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2.xml" ContentType="application/vnd.openxmlformats-officedocument.drawing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/>
  <workbookPr codeName="ThisWorkbook"/>
  <bookViews>
    <workbookView xWindow="-15" yWindow="-15" windowWidth="24240" windowHeight="6405" tabRatio="742" firstSheet="95"/>
  </bookViews>
  <sheets>
    <sheet name="LOGO" sheetId="1" r:id="rId1"/>
    <sheet name="GOTO" sheetId="2" r:id="rId2"/>
    <sheet name="PRINT" sheetId="3" r:id="rId3"/>
    <sheet name="BASE PERIOD" sheetId="5" r:id="rId4"/>
    <sheet name="BP Actual Exp" sheetId="156" r:id="rId5"/>
    <sheet name="BP Rev by Product" sheetId="148" r:id="rId6"/>
    <sheet name="BP Actual Rev" sheetId="157" r:id="rId7"/>
    <sheet name="FORECASTED PERIOD" sheetId="6" r:id="rId8"/>
    <sheet name="FP Rev by Product" sheetId="149" r:id="rId9"/>
    <sheet name="ALLOCTABLE" sheetId="7" r:id="rId10"/>
    <sheet name="SCH_A" sheetId="9" r:id="rId11"/>
    <sheet name="Rate Base Ratios" sheetId="75" r:id="rId12"/>
    <sheet name="SCH_B1" sheetId="170" r:id="rId13"/>
    <sheet name="SCH B-2" sheetId="171" r:id="rId14"/>
    <sheet name="SCH B-2.1" sheetId="172" r:id="rId15"/>
    <sheet name="SCH B-2.2" sheetId="173" r:id="rId16"/>
    <sheet name="SCH B-2.3" sheetId="174" r:id="rId17"/>
    <sheet name="SCH B-2.4" sheetId="175" r:id="rId18"/>
    <sheet name="SCH B-2.5" sheetId="176" r:id="rId19"/>
    <sheet name="SCH B-2.6" sheetId="177" r:id="rId20"/>
    <sheet name="SCH B-2.7" sheetId="178" r:id="rId21"/>
    <sheet name="SCH B-3" sheetId="179" r:id="rId22"/>
    <sheet name="SCH B-3.1" sheetId="180" r:id="rId23"/>
    <sheet name="SCH B-3.2 - Proposed" sheetId="181" r:id="rId24"/>
    <sheet name="SCH B-4" sheetId="182" r:id="rId25"/>
    <sheet name="SCH_B5s" sheetId="12" r:id="rId26"/>
    <sheet name="WPB-5's" sheetId="13" r:id="rId27"/>
    <sheet name="SCH_B6" sheetId="14" r:id="rId28"/>
    <sheet name="WPB-6's" sheetId="15" r:id="rId29"/>
    <sheet name="SCH_B7s" sheetId="16" r:id="rId30"/>
    <sheet name="SCH_B8" sheetId="164" r:id="rId31"/>
    <sheet name="SCH_C1" sheetId="18" r:id="rId32"/>
    <sheet name="SCH_C2" sheetId="19" r:id="rId33"/>
    <sheet name="WPC_2" sheetId="20" r:id="rId34"/>
    <sheet name="WPC-2e - Adj Summary" sheetId="163" r:id="rId35"/>
    <sheet name="SCH_C2.1 - Base Period" sheetId="21" r:id="rId36"/>
    <sheet name="SCH_C2.1 - Forecasted Period" sheetId="22" r:id="rId37"/>
    <sheet name="SCH_D1" sheetId="24" r:id="rId38"/>
    <sheet name="SCH_D2.1" sheetId="25" r:id="rId39"/>
    <sheet name="SCH_D2.2" sheetId="26" r:id="rId40"/>
    <sheet name="SCH_D2.3" sheetId="27" r:id="rId41"/>
    <sheet name="SCH_D2.4" sheetId="28" r:id="rId42"/>
    <sheet name="SCH_D2.5" sheetId="107" r:id="rId43"/>
    <sheet name="SCH_D2.6" sheetId="151" r:id="rId44"/>
    <sheet name="SCH_D2.7" sheetId="29" r:id="rId45"/>
    <sheet name="SCH_D2.8" sheetId="30" r:id="rId46"/>
    <sheet name="SCH_D2.9" sheetId="31" r:id="rId47"/>
    <sheet name="SCH_D2.10" sheetId="32" r:id="rId48"/>
    <sheet name="SCH_D2.11" sheetId="33" r:id="rId49"/>
    <sheet name="SCH_D2.12" sheetId="84" r:id="rId50"/>
    <sheet name="SCH_D2.13" sheetId="34" r:id="rId51"/>
    <sheet name="SCH_D2.14" sheetId="35" r:id="rId52"/>
    <sheet name="SCH_D2.15" sheetId="108" r:id="rId53"/>
    <sheet name="SCH_D2.16" sheetId="154" r:id="rId54"/>
    <sheet name="SCH_D2.17" sheetId="37" r:id="rId55"/>
    <sheet name="SCH_D2.18" sheetId="38" r:id="rId56"/>
    <sheet name="SCH_D2.19" sheetId="115" r:id="rId57"/>
    <sheet name="SCH_D2.20" sheetId="40" r:id="rId58"/>
    <sheet name="SCH_D2.21" sheetId="41" r:id="rId59"/>
    <sheet name="SCH_D2.22" sheetId="42" r:id="rId60"/>
    <sheet name="SCH_D2.23" sheetId="109" r:id="rId61"/>
    <sheet name="SCH_D2.24" sheetId="111" r:id="rId62"/>
    <sheet name="SCH_D2.25" sheetId="112" r:id="rId63"/>
    <sheet name="SCH_D2.26" sheetId="165" r:id="rId64"/>
    <sheet name="SCH_D2.27" sheetId="130" r:id="rId65"/>
    <sheet name="SCH_D2.28" sheetId="131" r:id="rId66"/>
    <sheet name="SCH_D2.29" sheetId="140" r:id="rId67"/>
    <sheet name="SCH_D2.30" sheetId="161" r:id="rId68"/>
    <sheet name="SCH_D2.31" sheetId="162" r:id="rId69"/>
    <sheet name="SCH_D2.32" sheetId="142" r:id="rId70"/>
    <sheet name="SCH_D2.33" sheetId="141" r:id="rId71"/>
    <sheet name="SCH_D2.34" sheetId="143" r:id="rId72"/>
    <sheet name="SCH_D2.35" sheetId="145" r:id="rId73"/>
    <sheet name="SCH_D3" sheetId="43" r:id="rId74"/>
    <sheet name="SCH_D4" sheetId="44" r:id="rId75"/>
    <sheet name="SCH_D5" sheetId="45" r:id="rId76"/>
    <sheet name="SCH_E1" sheetId="46" r:id="rId77"/>
    <sheet name="SCH_E2" sheetId="48" r:id="rId78"/>
    <sheet name="SCH_F1" sheetId="49" r:id="rId79"/>
    <sheet name="SCH_F2.1" sheetId="50" r:id="rId80"/>
    <sheet name="SCH_F2.2" sheetId="51" r:id="rId81"/>
    <sheet name="SCH_F2.3" sheetId="52" r:id="rId82"/>
    <sheet name="SCH_F3" sheetId="53" r:id="rId83"/>
    <sheet name="SCH_F4" sheetId="54" r:id="rId84"/>
    <sheet name="SCH_F5" sheetId="55" r:id="rId85"/>
    <sheet name="SCH_F6" sheetId="56" r:id="rId86"/>
    <sheet name="SCH_F7" sheetId="57" r:id="rId87"/>
    <sheet name="SCH_G1" sheetId="58" r:id="rId88"/>
    <sheet name="SCH_G2" sheetId="59" r:id="rId89"/>
    <sheet name="SCH_G3" sheetId="60" r:id="rId90"/>
    <sheet name="SCH_H" sheetId="61" r:id="rId91"/>
    <sheet name="SCH_I1 - Total Co" sheetId="159" r:id="rId92"/>
    <sheet name="SCH_I1 - Elec Only" sheetId="62" r:id="rId93"/>
    <sheet name="SCH_I2.1" sheetId="63" r:id="rId94"/>
    <sheet name="Base Period Cust" sheetId="64" r:id="rId95"/>
    <sheet name="KWH Sales" sheetId="124" r:id="rId96"/>
    <sheet name="SCH_I3" sheetId="65" r:id="rId97"/>
    <sheet name="SCH_I4" sheetId="66" r:id="rId98"/>
    <sheet name="SCH_I5" sheetId="67" r:id="rId99"/>
    <sheet name="SCH_J1 - Base" sheetId="76" r:id="rId100"/>
    <sheet name="SCH_J1 - Forecast" sheetId="68" r:id="rId101"/>
    <sheet name="SCH_J2 - Base" sheetId="70" r:id="rId102"/>
    <sheet name="SCH_J2 - Forecast" sheetId="80" r:id="rId103"/>
    <sheet name="SCH_J3 - Base" sheetId="71" r:id="rId104"/>
    <sheet name="SCH_J3 - Forecast" sheetId="81" r:id="rId105"/>
    <sheet name="SCH_J4" sheetId="72" r:id="rId106"/>
    <sheet name="SCH K" sheetId="110" r:id="rId107"/>
  </sheets>
  <externalReferences>
    <externalReference r:id="rId108"/>
  </externalReferences>
  <definedNames>
    <definedName name="_Dist_Bin" localSheetId="66" hidden="1">#REF!</definedName>
    <definedName name="_Dist_Bin" localSheetId="70" hidden="1">#REF!</definedName>
    <definedName name="_Dist_Bin" hidden="1">#REF!</definedName>
    <definedName name="_Dist_Values" localSheetId="66" hidden="1">#REF!</definedName>
    <definedName name="_Dist_Values" localSheetId="70" hidden="1">#REF!</definedName>
    <definedName name="_Dist_Values" hidden="1">#REF!</definedName>
    <definedName name="_Fill" localSheetId="24" hidden="1">#REF!</definedName>
    <definedName name="_Fill" localSheetId="30" hidden="1">SCH_B8!$A$53:$A$61</definedName>
    <definedName name="_Fill" localSheetId="77" hidden="1">SCH_E1!$S$150:$S$172</definedName>
    <definedName name="_Fill" localSheetId="92" hidden="1">'SCH_I1 - Elec Only'!#REF!</definedName>
    <definedName name="_Fill" localSheetId="91" hidden="1">'SCH_I1 - Total Co'!#REF!</definedName>
    <definedName name="_Fill" hidden="1">SCH_E1!$AB$409:$AB$448</definedName>
    <definedName name="_Regression_Int" localSheetId="30" hidden="1">1</definedName>
    <definedName name="_Regression_Int" localSheetId="76" hidden="1">1</definedName>
    <definedName name="_Regression_Int" localSheetId="77" hidden="1">1</definedName>
    <definedName name="_Regression_Int" localSheetId="92" hidden="1">1</definedName>
    <definedName name="_Regression_Int" localSheetId="91" hidden="1">1</definedName>
    <definedName name="_WIT1">LOGO!$G$6</definedName>
    <definedName name="_WIT10">LOGO!$G$15</definedName>
    <definedName name="_Wit11">LOGO!$G$16</definedName>
    <definedName name="_WIT2">LOGO!$G$7</definedName>
    <definedName name="_WIT3">LOGO!$G$8</definedName>
    <definedName name="_WIT4">LOGO!$G$9</definedName>
    <definedName name="_WIT5">LOGO!$G$10</definedName>
    <definedName name="_WIT6">LOGO!$G$11</definedName>
    <definedName name="_WIT7">LOGO!$G$12</definedName>
    <definedName name="_Wit8">LOGO!$G$13</definedName>
    <definedName name="_WIT9">LOGO!$G$14</definedName>
    <definedName name="AccountBP">'BASE PERIOD'!$A$11:$A$222</definedName>
    <definedName name="ACCT">'BASE PERIOD'!$A$11:$A$222</definedName>
    <definedName name="AcctTab1">'BASE PERIOD'!$A$11:$Q$222</definedName>
    <definedName name="ACCTTABLE">'BASE PERIOD'!$A$9:$E$322</definedName>
    <definedName name="ALLOCTABLE">ALLOCTABLE!$A$3:$D$36</definedName>
    <definedName name="AmountBP">'BASE PERIOD'!$E$11:$E$222</definedName>
    <definedName name="AmountFP">'FORECASTED PERIOD'!$E$11:$E$222</definedName>
    <definedName name="APPORT">SCH_E1!$AH$281</definedName>
    <definedName name="Base_Period">LOGO!$B$10</definedName>
    <definedName name="Base1">'BASE PERIOD'!$F$11:$F$222</definedName>
    <definedName name="Base10">'BASE PERIOD'!$O$11:$O$222</definedName>
    <definedName name="Base11">'BASE PERIOD'!$P$11:$P$222</definedName>
    <definedName name="Base12">'BASE PERIOD'!$Q$11:$Q$222</definedName>
    <definedName name="Base2">'BASE PERIOD'!$G$11:$G$222</definedName>
    <definedName name="Base3">'BASE PERIOD'!$H$11:$H$222</definedName>
    <definedName name="Base4">'BASE PERIOD'!$I$11:$I$222</definedName>
    <definedName name="Base5">'BASE PERIOD'!$J$11:$J$222</definedName>
    <definedName name="Base6">'BASE PERIOD'!$K$11:$K$222</definedName>
    <definedName name="Base7">'BASE PERIOD'!$L$11:$L$222</definedName>
    <definedName name="Base8">'BASE PERIOD'!$M$11:$M$222</definedName>
    <definedName name="Base9">'BASE PERIOD'!$N$11:$N$222</definedName>
    <definedName name="BaseFuelCurrent">LOGO!#REF!</definedName>
    <definedName name="BaseFuelProposed">LOGO!#REF!</definedName>
    <definedName name="BaseFuelRate">WPC_2!$AC$121</definedName>
    <definedName name="BasePeriod">'BASE PERIOD'!$A$11:$Q$222</definedName>
    <definedName name="BPActRev1">'BP Actual Rev'!$E$2:$E$63</definedName>
    <definedName name="BPActRev2">'BP Actual Rev'!$F$2:$F$63</definedName>
    <definedName name="BPActRev3">'BP Actual Rev'!$G$2:$G$63</definedName>
    <definedName name="BPActRev4">'BP Actual Rev'!$H$2:$H$63</definedName>
    <definedName name="BPActRev5">'BP Actual Rev'!$I$2:$I$63</definedName>
    <definedName name="BPActRev6">'BP Actual Rev'!$J$2:$J$63</definedName>
    <definedName name="BPActRev7">'BP Actual Rev'!$K$2:$K$63</definedName>
    <definedName name="BPActRevAccount">'BP Actual Rev'!$A$2:$A$63</definedName>
    <definedName name="BPActRevProduct">'BP Actual Rev'!$C$2:$C$63</definedName>
    <definedName name="BPActual">'BP Actual Exp'!$A$1:$N$213</definedName>
    <definedName name="BPActualRev">'BP Actual Rev'!$A$1:$K$51</definedName>
    <definedName name="BPrev1">'BP Rev by Product'!$G$12:$G$65</definedName>
    <definedName name="BPrev10">'BP Rev by Product'!$P$12:$P$65</definedName>
    <definedName name="BPrev11">'BP Rev by Product'!$Q$12:$Q$65</definedName>
    <definedName name="BPrev12">'BP Rev by Product'!$R$12:$R$65</definedName>
    <definedName name="BPrev2">'BP Rev by Product'!$H$12:$H$65</definedName>
    <definedName name="BPrev3">'BP Rev by Product'!$I$12:$I$65</definedName>
    <definedName name="BPrev4">'BP Rev by Product'!$J$12:$J$65</definedName>
    <definedName name="BPrev5">'BP Rev by Product'!$K$12:$K$65</definedName>
    <definedName name="BPrev6">'BP Rev by Product'!$L$12:$L$65</definedName>
    <definedName name="BPrev7">'BP Rev by Product'!$M$12:$M$65</definedName>
    <definedName name="BPrev8">'BP Rev by Product'!$N$12:$N$65</definedName>
    <definedName name="BPrev9">'BP Rev by Product'!$O$12:$O$65</definedName>
    <definedName name="BPrevACCT">'BP Rev by Product'!$A$12:$A$65</definedName>
    <definedName name="BPREVPROD">'BP Rev by Product'!$D$12:$D$65</definedName>
    <definedName name="BPrevTotal">'BP Rev by Product'!$F$12:$F$65</definedName>
    <definedName name="BPTotal">'BASE PERIOD'!$E$11:$E$222</definedName>
    <definedName name="C_1_PROEXP">SCH_C1!$G$23</definedName>
    <definedName name="CASE">LOGO!$B$6</definedName>
    <definedName name="CheckTotal">SCH_D1!$AQ$558</definedName>
    <definedName name="CODE">'BASE PERIOD'!$C$11:$C$222</definedName>
    <definedName name="CodeF">'FORECASTED PERIOD'!$C$11:$C$222</definedName>
    <definedName name="CommonE">'SCH B-2.1'!$C$259</definedName>
    <definedName name="COMPANY">LOGO!$B$5</definedName>
    <definedName name="COMPTAX">LOGO!$C$27</definedName>
    <definedName name="D_1_DEPR">SCH_D1!$E$40</definedName>
    <definedName name="D_1_INTADJ">SCH_D2.19!$AE$94</definedName>
    <definedName name="D_1_OMEXP">SCH_D1!$E$38</definedName>
    <definedName name="D_1_OTHER">SCH_D1!$E$40</definedName>
    <definedName name="D_1_OTHTX">SCH_D1!$E$45</definedName>
    <definedName name="D_1_REV">SCH_D1!$E$21</definedName>
    <definedName name="Data">LOGO!$B$12</definedName>
    <definedName name="DataB">LOGO!$B$14</definedName>
    <definedName name="_xlnm.Database">'BASE PERIOD'!$A$10:$E$385</definedName>
    <definedName name="DataF">LOGO!$B$13</definedName>
    <definedName name="DateCertain">LOGO!$B$16</definedName>
    <definedName name="DEPT">LOGO!$B$9</definedName>
    <definedName name="DUKE_ENERGY_KENTUCKY">SCH_A!$A$1:$J$38</definedName>
    <definedName name="ERBR_BP">'Rate Base Ratios'!$J$49</definedName>
    <definedName name="ERBR_FP">'Rate Base Ratios'!$X$109</definedName>
    <definedName name="ExpGRCF">SCH_H!$I$81</definedName>
    <definedName name="FACrate">WPC_2!$AC$120</definedName>
    <definedName name="FERCBP">'BASE PERIOD'!$D$11:$D$222</definedName>
    <definedName name="FERCFP">'FORECASTED PERIOD'!$D$11:$D$222</definedName>
    <definedName name="FIT">LOGO!$C$25</definedName>
    <definedName name="Forecast">LOGO!$B$11</definedName>
    <definedName name="Forecast1">'FORECASTED PERIOD'!$F$11:$F$222</definedName>
    <definedName name="Forecast10">'FORECASTED PERIOD'!$O$11:$O$222</definedName>
    <definedName name="Forecast11">'FORECASTED PERIOD'!$P$11:$P$222</definedName>
    <definedName name="Forecast12">'FORECASTED PERIOD'!$Q$11:$Q$222</definedName>
    <definedName name="Forecast2">'FORECASTED PERIOD'!$G$11:$G$222</definedName>
    <definedName name="Forecast3">'FORECASTED PERIOD'!$H$11:$H$222</definedName>
    <definedName name="forecast4">'FORECASTED PERIOD'!$I$11:$I$222</definedName>
    <definedName name="Forecast5">'FORECASTED PERIOD'!$J$11:$J$222</definedName>
    <definedName name="Forecast6">'FORECASTED PERIOD'!$K$11:$K$222</definedName>
    <definedName name="Forecast7">'FORECASTED PERIOD'!$L$11:$L$222</definedName>
    <definedName name="Forecast8">'FORECASTED PERIOD'!$M$11:$M$222</definedName>
    <definedName name="Forecast9">'FORECASTED PERIOD'!$N$11:$N$222</definedName>
    <definedName name="FPERIOD">'FORECASTED PERIOD'!$A$11:$Q$222</definedName>
    <definedName name="FPrev1">'FP Rev by Product'!$G$12:$G$65</definedName>
    <definedName name="FPrev10">'FP Rev by Product'!$P$12:$P$65</definedName>
    <definedName name="FPrev11">'FP Rev by Product'!$Q$12:$Q$65</definedName>
    <definedName name="FPrev12">'FP Rev by Product'!$R$12:$R$65</definedName>
    <definedName name="FPrev2">'FP Rev by Product'!$H$12:$H$65</definedName>
    <definedName name="FPrev3">'FP Rev by Product'!$I$12:$I$65</definedName>
    <definedName name="FPrev4">'FP Rev by Product'!$J$12:$J$65</definedName>
    <definedName name="FPrev5">'FP Rev by Product'!$K$12:$K$65</definedName>
    <definedName name="FPrev6">'FP Rev by Product'!$L$12:$L$65</definedName>
    <definedName name="FPrev7">'FP Rev by Product'!$M$12:$M$65</definedName>
    <definedName name="FPrev8">'FP Rev by Product'!$N$12:$N$65</definedName>
    <definedName name="FPrev9">'FP Rev by Product'!$O$12:$O$65</definedName>
    <definedName name="FPrevAcct">'FP Rev by Product'!$A$12:$A$65</definedName>
    <definedName name="FPrevProd">'FP Rev by Product'!$D$12:$D$65</definedName>
    <definedName name="FPrevTotal">'FP Rev by Product'!$F$12:$F$64</definedName>
    <definedName name="FPunbilled">WPC_2!$S$53</definedName>
    <definedName name="GRBR_BP">'Rate Base Ratios'!$F$49</definedName>
    <definedName name="GRBR_FP">'Rate Base Ratios'!$T$109</definedName>
    <definedName name="GRCF">SCH_H!$I$34</definedName>
    <definedName name="GRCFdiff">#REF!</definedName>
    <definedName name="GRCFold">#REF!</definedName>
    <definedName name="GROSS_REVENUE_CONVERSION_FACTOR">SCH_H!$I$34</definedName>
    <definedName name="KPSC">LOGO!$C$24</definedName>
    <definedName name="KPSCMaint">LOGO!$C$23</definedName>
    <definedName name="MINCR">SCH_C1!$G$17</definedName>
    <definedName name="NOTES" localSheetId="92">'SCH_I1 - Elec Only'!$X$1:$Y$65</definedName>
    <definedName name="PayrollWit">LOGO!$B$19</definedName>
    <definedName name="PERIOD">LOGO!$B$7</definedName>
    <definedName name="PeriodF">LOGO!$B$8</definedName>
    <definedName name="PLANT_IN_SERVICE">SCH_B1!$I$18</definedName>
    <definedName name="PRINT" localSheetId="92">'SCH_I1 - Elec Only'!$A$1:$U$78</definedName>
    <definedName name="_xlnm.Print_Area" localSheetId="3">'BASE PERIOD'!$A$1:$Q$254</definedName>
    <definedName name="_xlnm.Print_Area" localSheetId="7">'FORECASTED PERIOD'!$A$1:$Q$254</definedName>
    <definedName name="_xlnm.Print_Area" localSheetId="2">PRINT!$A$1:$AB$40</definedName>
    <definedName name="_xlnm.Print_Area" localSheetId="11">'Rate Base Ratios'!$O$61:$AA$118</definedName>
    <definedName name="_xlnm.Print_Area" localSheetId="13">'SCH B-2'!$A$49:$G$95</definedName>
    <definedName name="_xlnm.Print_Area" localSheetId="14">'SCH B-2.1'!$A$486:$I$529</definedName>
    <definedName name="_xlnm.Print_Area" localSheetId="15">'SCH B-2.2'!$A$41:$I$86</definedName>
    <definedName name="_xlnm.Print_Area" localSheetId="16">'SCH B-2.3'!$A$485:$L$528</definedName>
    <definedName name="_xlnm.Print_Area" localSheetId="17">'SCH B-2.4'!$A$23:$J$66</definedName>
    <definedName name="_xlnm.Print_Area" localSheetId="18">'SCH B-2.5'!$A$38:$G$70</definedName>
    <definedName name="_xlnm.Print_Area" localSheetId="19">'SCH B-2.6'!$A$25:$M$46</definedName>
    <definedName name="_xlnm.Print_Area" localSheetId="20">'SCH B-2.7'!$A$28:$K$52</definedName>
    <definedName name="_xlnm.Print_Area" localSheetId="21">'SCH B-3'!$A$504:$K$550</definedName>
    <definedName name="_xlnm.Print_Area" localSheetId="22">'SCH B-3.1'!$A$36:$I$83</definedName>
    <definedName name="_xlnm.Print_Area" localSheetId="23">'SCH B-3.2 - Proposed'!$A$255:$O$310</definedName>
    <definedName name="_xlnm.Print_Area" localSheetId="24">'SCH B-4'!$A$39:$G$72</definedName>
    <definedName name="_xlnm.Print_Area" localSheetId="106">'SCH K'!$A$1:$N$56</definedName>
    <definedName name="_xlnm.Print_Area" localSheetId="10">SCH_A!$A$1:$I$38</definedName>
    <definedName name="_xlnm.Print_Area" localSheetId="12">SCH_B1!$A$1:$J$50</definedName>
    <definedName name="_xlnm.Print_Area" localSheetId="25">SCH_B5s!$Q$95:$Y$142</definedName>
    <definedName name="_xlnm.Print_Area" localSheetId="27">SCH_B6!$A$40:$Q$76</definedName>
    <definedName name="_xlnm.Print_Area" localSheetId="29">SCH_B7s!$V$72:$AC$105</definedName>
    <definedName name="_xlnm.Print_Area" localSheetId="30">SCH_B8!$A$68:$Q$131</definedName>
    <definedName name="_xlnm.Print_Area" localSheetId="31">SCH_C1!$J$41:$P$74</definedName>
    <definedName name="_xlnm.Print_Area" localSheetId="32">SCH_C2!$A$1:$N$59</definedName>
    <definedName name="_xlnm.Print_Area" localSheetId="35">'SCH_C2.1 - Base Period'!$C$333:$K$372</definedName>
    <definedName name="_xlnm.Print_Area" localSheetId="36">'SCH_C2.1 - Forecasted Period'!$C$336:$K$375</definedName>
    <definedName name="_xlnm.Print_Area" localSheetId="37">SCH_D1!$Q$373:$AE$432</definedName>
    <definedName name="_xlnm.Print_Area" localSheetId="38">SCH_D2.1!$L$41:$T$65</definedName>
    <definedName name="_xlnm.Print_Area" localSheetId="47">SCH_D2.10!$L$43:$T$60</definedName>
    <definedName name="_xlnm.Print_Area" localSheetId="48">SCH_D2.11!$L$43:$T$60</definedName>
    <definedName name="_xlnm.Print_Area" localSheetId="49">SCH_D2.12!$L$43:$T$60</definedName>
    <definedName name="_xlnm.Print_Area" localSheetId="50">SCH_D2.13!$L$43:$T$60</definedName>
    <definedName name="_xlnm.Print_Area" localSheetId="51">SCH_D2.14!$L$46:$T$65</definedName>
    <definedName name="_xlnm.Print_Area" localSheetId="52">SCH_D2.15!$L$50:$T$77</definedName>
    <definedName name="_xlnm.Print_Area" localSheetId="53">SCH_D2.16!$I$32:$Q$60</definedName>
    <definedName name="_xlnm.Print_Area" localSheetId="54">SCH_D2.17!$N$35:$U$55</definedName>
    <definedName name="_xlnm.Print_Area" localSheetId="55">SCH_D2.18!$J$33:$Q$61</definedName>
    <definedName name="_xlnm.Print_Area" localSheetId="56">SCH_D2.19!$W$71:$AE$102</definedName>
    <definedName name="_xlnm.Print_Area" localSheetId="39">SCH_D2.2!$L$41:$T$57</definedName>
    <definedName name="_xlnm.Print_Area" localSheetId="57">SCH_D2.20!$J$62:$S$97</definedName>
    <definedName name="_xlnm.Print_Area" localSheetId="58">SCH_D2.21!$Q$74:$W$140</definedName>
    <definedName name="_xlnm.Print_Area" localSheetId="59">SCH_D2.22!$I$49:$P$86</definedName>
    <definedName name="_xlnm.Print_Area" localSheetId="60">SCH_D2.23!$J$42:$S$107</definedName>
    <definedName name="_xlnm.Print_Area" localSheetId="61">SCH_D2.24!$K$34:$S$55</definedName>
    <definedName name="_xlnm.Print_Area" localSheetId="62">SCH_D2.25!$A$1:$J$30</definedName>
    <definedName name="_xlnm.Print_Area" localSheetId="63">SCH_D2.26!$L$37:$W$76</definedName>
    <definedName name="_xlnm.Print_Area" localSheetId="64">SCH_D2.27!$K$34:$R$52</definedName>
    <definedName name="_xlnm.Print_Area" localSheetId="65">SCH_D2.28!$R$56:$AA$74</definedName>
    <definedName name="_xlnm.Print_Area" localSheetId="66">SCH_D2.29!$K$36:$U$54</definedName>
    <definedName name="_xlnm.Print_Area" localSheetId="40">SCH_D2.3!$L$43:$T$60</definedName>
    <definedName name="_xlnm.Print_Area" localSheetId="67">SCH_D2.30!$T$58:$AC$76</definedName>
    <definedName name="_xlnm.Print_Area" localSheetId="68">SCH_D2.31!$I$37:$R$65</definedName>
    <definedName name="_xlnm.Print_Area" localSheetId="69">SCH_D2.32!$K$35:$V$73</definedName>
    <definedName name="_xlnm.Print_Area" localSheetId="70">SCH_D2.33!$S$55:$AA$74</definedName>
    <definedName name="_xlnm.Print_Area" localSheetId="71">SCH_D2.34!$K$30:$Q$51</definedName>
    <definedName name="_xlnm.Print_Area" localSheetId="72">SCH_D2.35!$U$72:$AC$94</definedName>
    <definedName name="_xlnm.Print_Area" localSheetId="41">SCH_D2.4!$A$1:$J$33</definedName>
    <definedName name="_xlnm.Print_Area" localSheetId="42">SCH_D2.5!$L$43:$T$65</definedName>
    <definedName name="_xlnm.Print_Area" localSheetId="43">SCH_D2.6!$A$1:$J$35</definedName>
    <definedName name="_xlnm.Print_Area" localSheetId="44">SCH_D2.7!$L$43:$T$60</definedName>
    <definedName name="_xlnm.Print_Area" localSheetId="45">SCH_D2.8!$L$43:$T$60</definedName>
    <definedName name="_xlnm.Print_Area" localSheetId="46">SCH_D2.9!$L$43:$T$60</definedName>
    <definedName name="_xlnm.Print_Area" localSheetId="73">SCH_D3!$A$1:$K$40</definedName>
    <definedName name="_xlnm.Print_Area" localSheetId="74">SCH_D4!$A$1:$K$32</definedName>
    <definedName name="_xlnm.Print_Area" localSheetId="75">SCH_D5!$A$1:$H$34</definedName>
    <definedName name="_xlnm.Print_Area" localSheetId="76">SCH_E1!$Z$189:$AH$297</definedName>
    <definedName name="_xlnm.Print_Area" localSheetId="77">SCH_E2!$A$1:$H$27</definedName>
    <definedName name="_xlnm.Print_Area" localSheetId="78">SCH_F1!$A$1:$Q$38</definedName>
    <definedName name="_xlnm.Print_Area" localSheetId="79">SCH_F2.1!$A$1:$Q$72</definedName>
    <definedName name="_xlnm.Print_Area" localSheetId="80">SCH_F2.2!$A$1:$Q$38</definedName>
    <definedName name="_xlnm.Print_Area" localSheetId="81">SCH_F2.3!$A$1:$Q$31</definedName>
    <definedName name="_xlnm.Print_Area" localSheetId="82">SCH_F3!$C$1:$S$35</definedName>
    <definedName name="_xlnm.Print_Area" localSheetId="83">SCH_F4!$M$109:$AA$141</definedName>
    <definedName name="_xlnm.Print_Area" localSheetId="84">SCH_F5!$M$129:$AA$175</definedName>
    <definedName name="_xlnm.Print_Area" localSheetId="85">SCH_F6!$A$1:$L$47</definedName>
    <definedName name="_xlnm.Print_Area" localSheetId="86">SCH_F7!$A$1:$Q$35</definedName>
    <definedName name="_xlnm.Print_Area" localSheetId="87">SCH_G1!$B$1:$L$36</definedName>
    <definedName name="_xlnm.Print_Area" localSheetId="88">SCH_G2!$B$1:$I$25</definedName>
    <definedName name="_xlnm.Print_Area" localSheetId="89">SCH_G3!$A$36:$G$72</definedName>
    <definedName name="_xlnm.Print_Area" localSheetId="90">SCH_H!$K$80:$Y$102</definedName>
    <definedName name="_xlnm.Print_Area" localSheetId="92">'SCH_I1 - Elec Only'!$A$1:$V$78</definedName>
    <definedName name="_xlnm.Print_Area" localSheetId="91">'SCH_I1 - Total Co'!$A$1:$V$66</definedName>
    <definedName name="_xlnm.Print_Area" localSheetId="93">SCH_I2.1!$A$1:$P$55</definedName>
    <definedName name="_xlnm.Print_Area" localSheetId="96">SCH_I3!$A$1:$N$55</definedName>
    <definedName name="_xlnm.Print_Area" localSheetId="97">SCH_I4!$A$1:$N$56</definedName>
    <definedName name="_xlnm.Print_Area" localSheetId="98">SCH_I5!$A$1:$N$54</definedName>
    <definedName name="_xlnm.Print_Area" localSheetId="99">'SCH_J1 - Base'!$A$1:$M$35</definedName>
    <definedName name="_xlnm.Print_Area" localSheetId="100">'SCH_J1 - Forecast'!$A$1:$M$39</definedName>
    <definedName name="_xlnm.Print_Area" localSheetId="101">'SCH_J2 - Base'!$A$1:$G$37</definedName>
    <definedName name="_xlnm.Print_Area" localSheetId="102">'SCH_J2 - Forecast'!$A$1:$I$44</definedName>
    <definedName name="_xlnm.Print_Area" localSheetId="103">'SCH_J3 - Base'!$A$1:$M$58</definedName>
    <definedName name="_xlnm.Print_Area" localSheetId="104">'SCH_J3 - Forecast'!$A$1:$M$60</definedName>
    <definedName name="_xlnm.Print_Area" localSheetId="26">'WPB-5''s'!$CR$379:$DA$427</definedName>
    <definedName name="_xlnm.Print_Area" localSheetId="28">'WPB-6''s'!$X$161:$AF$185</definedName>
    <definedName name="_xlnm.Print_Area" localSheetId="33">WPC_2!$U$154:$AK$221</definedName>
    <definedName name="_xlnm.Print_Area" localSheetId="34">'WPC-2e - Adj Summary'!$A$1:$R$30</definedName>
    <definedName name="_xlnm.Print_Titles" localSheetId="3">'BASE PERIOD'!$A:$D,'BASE PERIOD'!$1:$8</definedName>
    <definedName name="_xlnm.Print_Titles" localSheetId="7">'FORECASTED PERIOD'!$A:$D,'FORECASTED PERIOD'!$1:$8</definedName>
    <definedName name="RBvsCAP_BP">#REF!</definedName>
    <definedName name="RBvsCAP_FP">#REF!</definedName>
    <definedName name="RofR">'SCH_J1 - Forecast'!$M$21</definedName>
    <definedName name="RofRdiff">#REF!</definedName>
    <definedName name="RofRold">#REF!</definedName>
    <definedName name="SCH_A">SCH_A!$A$1:$I$38</definedName>
    <definedName name="SCH_B1">SCH_B1!$A$1:$J$50</definedName>
    <definedName name="SCH_B2.1P1">'SCH B-2.1'!$A$1:$I$44</definedName>
    <definedName name="SCH_B2.1P10">'SCH B-2.1'!$A$390:$I$442</definedName>
    <definedName name="SCH_B2.1P11">'SCH B-2.1'!$A$444:$I$484</definedName>
    <definedName name="SCH_B2.1P12">'SCH B-2.1'!$A$486:$I$529</definedName>
    <definedName name="SCH_B2.1P2">'SCH B-2.1'!$A$45:$I$85</definedName>
    <definedName name="SCH_B2.1P3">'SCH B-2.1'!$A$86:$I$123</definedName>
    <definedName name="SCH_B2.1P4">'SCH B-2.1'!$A$125:$I$177</definedName>
    <definedName name="SCH_B2.1P5">'SCH B-2.1'!$A$179:$I$219</definedName>
    <definedName name="SCH_B2.1P6">'SCH B-2.1'!$A$221:$I$264</definedName>
    <definedName name="SCH_B2.1P7">'SCH B-2.1'!$A$266:$I$309</definedName>
    <definedName name="SCH_B2.1P8">'SCH B-2.1'!$A$310:$I$349</definedName>
    <definedName name="SCH_B2.1P9">'SCH B-2.1'!$A$351:$I$389</definedName>
    <definedName name="SCH_B2.2P1">'SCH B-2.2'!$A$1:$I$39</definedName>
    <definedName name="SCH_B2.2P2">'SCH B-2.2'!$A$41:$I$86</definedName>
    <definedName name="SCH_B2.3P1">'SCH B-2.3'!$A$1:$K$44</definedName>
    <definedName name="SCH_B2.3P10">'SCH B-2.3'!$A$389:$L$441</definedName>
    <definedName name="SCH_B2.3P11">'SCH B-2.3'!$A$443:$L$483</definedName>
    <definedName name="SCH_B2.3P12">'SCH B-2.3'!$A$485:$L$528</definedName>
    <definedName name="SCH_B2.3P2">'SCH B-2.3'!$A$45:$K$84</definedName>
    <definedName name="SCH_B2.3P3">'SCH B-2.3'!$A$86:$K$123</definedName>
    <definedName name="SCH_B2.3P4">'SCH B-2.3'!$A$125:$K$177</definedName>
    <definedName name="SCH_B2.3P5">'SCH B-2.3'!$A$179:$K$219</definedName>
    <definedName name="SCH_B2.3P6">'SCH B-2.3'!$A$221:$K$264</definedName>
    <definedName name="SCH_B2.3P7">'SCH B-2.3'!$A$266:$L$308</definedName>
    <definedName name="SCH_B2.3P8">'SCH B-2.3'!$A$309:$L$348</definedName>
    <definedName name="SCH_B2.3P9">'SCH B-2.3'!$A$350:$L$388</definedName>
    <definedName name="SCH_B2.4P1">'SCH B-2.4'!$A$1:$J$21</definedName>
    <definedName name="SCH_B2.4P2">'SCH B-2.4'!$A$23:$J$66</definedName>
    <definedName name="SCH_B2.5P1">'SCH B-2.5'!$A$1:$G$36</definedName>
    <definedName name="SCH_B2.5P2">'SCH B-2.5'!$A$38:$G$70</definedName>
    <definedName name="SCH_B2.6P1">'SCH B-2.6'!$A$1:$M$23</definedName>
    <definedName name="SCH_B2.6P2">'SCH B-2.6'!$A$25:$M$46</definedName>
    <definedName name="SCH_B2.7P1">'SCH B-2.7'!$A$1:$K$26</definedName>
    <definedName name="SCH_B2.7P2">'SCH B-2.7'!$A$28:$K$52</definedName>
    <definedName name="SCH_B2P1">'SCH B-2'!$A$1:$G$47</definedName>
    <definedName name="SCH_B2P2">'SCH B-2'!$A$49:$G$95</definedName>
    <definedName name="SCH_B3.1P1">'SCH B-3.1'!$A$1:$I$34</definedName>
    <definedName name="SCH_B3.1P2">'SCH B-3.1'!$A$36:$I$83</definedName>
    <definedName name="SCH_B3.2P1">'SCH B-3.2 - Proposed'!$A$1:$O$47</definedName>
    <definedName name="SCH_B3.2P2">'SCH B-3.2 - Proposed'!$A$50:$O$94</definedName>
    <definedName name="SCH_B3.2P3">'SCH B-3.2 - Proposed'!$A$98:$O$141</definedName>
    <definedName name="SCH_B3.2P4">'SCH B-3.2 - Proposed'!$A$143:$O$199</definedName>
    <definedName name="SCH_B3.2P5">'SCH B-3.2 - Proposed'!$A$203:$O$251</definedName>
    <definedName name="SCH_B3.2P6">'SCH B-3.2 - Proposed'!$A$255:$O$310</definedName>
    <definedName name="SCH_B3P1">'SCH B-3'!$A$1:$K$45</definedName>
    <definedName name="SCH_B3P10">'SCH B-3'!$A$407:$K$459</definedName>
    <definedName name="SCH_B3P11">'SCH B-3'!$A$461:$K$502</definedName>
    <definedName name="SCH_B3P12">'SCH B-3'!$A$504:$K$550</definedName>
    <definedName name="SCH_B3P2">'SCH B-3'!$A$47:$K$88</definedName>
    <definedName name="SCH_B3P3">'SCH B-3'!$A$90:$K$129</definedName>
    <definedName name="SCH_B3P4">'SCH B-3'!$A$131:$K$184</definedName>
    <definedName name="SCH_B3P5">'SCH B-3'!$A$186:$K$227</definedName>
    <definedName name="SCH_B3P6">'SCH B-3'!$A$229:$K$275</definedName>
    <definedName name="SCH_B3P7">'SCH B-3'!$A$278:$K$322</definedName>
    <definedName name="SCH_B3P8">'SCH B-3'!$A$324:$K$363</definedName>
    <definedName name="SCH_B3P9">'SCH B-3'!$A$365:$K$405</definedName>
    <definedName name="SCH_B4.1">'[1]SCH B-4.1'!$A$1:$I$80</definedName>
    <definedName name="SCH_B4.1P2">'[1]SCH B-4.1'!$A$82:$I$161</definedName>
    <definedName name="SCH_B4.1P3">'[1]SCH B-4.1'!$A$163:$I$242</definedName>
    <definedName name="SCH_B4.1P4">'[1]SCH B-4.1'!$A$244:$I$334</definedName>
    <definedName name="SCH_B4P1">'SCH B-4'!$A$1:$G$37</definedName>
    <definedName name="SCH_B4P2">'SCH B-4'!$A$39:$G$72</definedName>
    <definedName name="SCH_B5">SCH_B5s!$A$1:$O$45</definedName>
    <definedName name="SCH_B5.1">SCH_B5s!$Q$46:$Y$91</definedName>
    <definedName name="SCH_B5.1P2">SCH_B5s!$Q$95:$Y$142</definedName>
    <definedName name="SCH_B6P1">SCH_B6!$A$1:$Q$37</definedName>
    <definedName name="SCH_B6P2">SCH_B6!$A$40:$Q$76</definedName>
    <definedName name="SCH_B7.1">SCH_B7s!$L$40:$U$79</definedName>
    <definedName name="SCH_B7.2">SCH_B7s!$V$72:$AC$105</definedName>
    <definedName name="SCH_B7P1">SCH_B7s!$A$1:$K$34</definedName>
    <definedName name="SCH_B8P1">SCH_B8!$A$1:$Q$66</definedName>
    <definedName name="SCH_B8P2">SCH_B8!$A$68:$Q$131</definedName>
    <definedName name="SCH_C1">SCH_C1!$A$1:$I$40</definedName>
    <definedName name="SCH_C2">SCH_C2!$A$1:$N$59</definedName>
    <definedName name="SCH_C2.1FP1">'SCH_C2.1 - Forecasted Period'!$C$2:$K$47</definedName>
    <definedName name="SCH_C2.1FP2">'SCH_C2.1 - Forecasted Period'!$C$49:$K$123</definedName>
    <definedName name="SCH_C2.1FP3">'SCH_C2.1 - Forecasted Period'!$C$125:$K$199</definedName>
    <definedName name="SCH_C2.1FP4">'SCH_C2.1 - Forecasted Period'!$C$201:$K$244</definedName>
    <definedName name="SCH_C2.1FP5">'SCH_C2.1 - Forecasted Period'!$C$246:$K$297</definedName>
    <definedName name="SCH_C2.1FP6">'SCH_C2.1 - Forecasted Period'!$C$299:$K$334</definedName>
    <definedName name="SCH_C2.1FP7">'SCH_C2.1 - Forecasted Period'!$C$336:$K$375</definedName>
    <definedName name="SCH_C2.1P1">'SCH_C2.1 - Base Period'!$C$2:$K$51</definedName>
    <definedName name="SCH_C2.1P2">'SCH_C2.1 - Base Period'!$C$53:$K$120</definedName>
    <definedName name="SCH_C2.1P3">'SCH_C2.1 - Base Period'!$C$122:$K$193</definedName>
    <definedName name="SCH_C2.1P4">'SCH_C2.1 - Base Period'!$C$195:$K$238</definedName>
    <definedName name="SCH_C2.1P5">'SCH_C2.1 - Base Period'!$C$240:$K$292</definedName>
    <definedName name="SCH_C2.1P6">'SCH_C2.1 - Base Period'!$C$294:$K$331</definedName>
    <definedName name="SCH_C2.1P7">'SCH_C2.1 - Base Period'!$C$333:$K$372</definedName>
    <definedName name="SCH_D1P1">SCH_D1!$AG$499:$AO$559</definedName>
    <definedName name="SCH_D1P2">SCH_D1!$A$1:$O$60</definedName>
    <definedName name="SCH_D1P3">SCH_D1!$A$63:$O$122</definedName>
    <definedName name="SCH_D1P4">SCH_D1!$A$125:$O$184</definedName>
    <definedName name="SCH_D1P5">SCH_D1!$Q$187:$AE$246</definedName>
    <definedName name="SCH_D1P6">SCH_D1!$Q$249:$AE$308</definedName>
    <definedName name="SCH_D1P7">SCH_D1!$Q$311:$AE$370</definedName>
    <definedName name="SCH_D1P8">SCH_D1!$Q$373:$AE$432</definedName>
    <definedName name="SCH_D1P9">SCH_D1!$Q$435:$AE$494</definedName>
    <definedName name="SCH_D2.1">SCH_D2.1!$A$1:$J$40</definedName>
    <definedName name="SCH_D2.10">SCH_D2.10!$A$1:$J$36</definedName>
    <definedName name="SCH_D2.11">SCH_D2.11!$A$1:$J$36</definedName>
    <definedName name="SCH_D2.12">SCH_D2.12!$A$1:$J$36</definedName>
    <definedName name="SCH_D2.13">SCH_D2.13!$A$1:$J$36</definedName>
    <definedName name="SCH_D2.14">SCH_D2.14!$A$1:$J$40</definedName>
    <definedName name="SCH_D2.15">SCH_D2.15!$A$1:$J$44</definedName>
    <definedName name="SCH_D2.16">SCH_D2.16!$A$1:$G$30</definedName>
    <definedName name="SCH_D2.17">SCH_D2.17!$A$1:$J$30</definedName>
    <definedName name="SCH_D2.18">SCH_D2.18!$A$1:$H$32</definedName>
    <definedName name="SCH_D2.19">SCH_D2.19!$A$1:$J$35</definedName>
    <definedName name="SCH_D2.19P2">SCH_D2.19!$L$34:$T$70</definedName>
    <definedName name="SCH_D2.2">SCH_D2.2!$A$1:$J$34</definedName>
    <definedName name="SCH_D2.20">SCH_D2.20!$B$1:$H$55</definedName>
    <definedName name="SCH_D2.21">SCH_D2.21!$A$1:$H$32</definedName>
    <definedName name="SCH_D2.22">SCH_D2.22!$A$1:$G$41</definedName>
    <definedName name="SCH_D2.23">SCH_D2.23!$A$1:$H$41</definedName>
    <definedName name="SCH_D2.24P1">SCH_D2.24!$A$1:$J$32</definedName>
    <definedName name="SCH_D2.25">SCH_D2.25!$A$1:$J$30</definedName>
    <definedName name="SCH_D2.26">SCH_D2.26!$A$1:$J$32</definedName>
    <definedName name="SCH_D2.27">SCH_D2.27!$A$1:$H$28</definedName>
    <definedName name="SCH_D2.28">SCH_D2.28!$A$1:$F$30</definedName>
    <definedName name="SCH_D2.29">SCH_D2.29!$A$1:$H$30</definedName>
    <definedName name="SCH_D2.3">SCH_D2.3!$A$1:$J$36</definedName>
    <definedName name="SCH_D2.30">SCH_D2.30!$A$1:$H$32</definedName>
    <definedName name="SCH_D2.31">SCH_D2.31!$A$1:$G$31</definedName>
    <definedName name="SCH_D2.32">SCH_D2.32!$A$1:$I$34</definedName>
    <definedName name="SCH_D2.33">SCH_D2.33!$A$1:$H$37</definedName>
    <definedName name="SCH_D2.34">SCH_D2.34!$A$1:$I$30</definedName>
    <definedName name="SCH_D2.35">SCH_D2.35!$A$1:$I$37</definedName>
    <definedName name="SCH_D2.36">#REF!</definedName>
    <definedName name="SCH_D2.37">#REF!</definedName>
    <definedName name="SCH_D2.38">#REF!</definedName>
    <definedName name="SCH_D2.4">SCH_D2.4!$A$1:$J$33</definedName>
    <definedName name="SCH_D2.5">SCH_D2.5!$A$1:$J$40</definedName>
    <definedName name="SCH_D2.6">SCH_D2.6!$A$1:$J$35</definedName>
    <definedName name="SCH_D2.7">SCH_D2.7!$A$1:$J$36</definedName>
    <definedName name="SCH_D2.8">SCH_D2.8!$A$1:$J$36</definedName>
    <definedName name="SCH_D2.9">SCH_D2.9!$A$1:$J$36</definedName>
    <definedName name="SCH_D3">SCH_D3!$A$1:$K$40</definedName>
    <definedName name="SCH_D4">SCH_D4!$A$1:$K$32</definedName>
    <definedName name="SCH_D5">SCH_D5!$A$1:$H$34</definedName>
    <definedName name="Sch_E1P1">SCH_E1!$C$1:$Q$37</definedName>
    <definedName name="Sch_E1P2">SCH_E1!$C$38:$Q$81</definedName>
    <definedName name="Sch_E1P3">SCH_E1!$C$84:$Q$134</definedName>
    <definedName name="Sch_E2P1">SCH_E2!$A$1:$H$27</definedName>
    <definedName name="Sch_F1">SCH_F1!$A$1:$Q$38</definedName>
    <definedName name="SCH_F2.1">SCH_F2.1!$A$1:$Q$72</definedName>
    <definedName name="SCH_F2.2">SCH_F2.2!$A$1:$Q$38</definedName>
    <definedName name="SCH_F2.3">SCH_F2.3!$A$1:$Q$31</definedName>
    <definedName name="SCH_F3P1">SCH_F3!$C$1:$S$35</definedName>
    <definedName name="SCH_F4P1">SCH_F4!$A$1:$K$36</definedName>
    <definedName name="SCH_F4P2">SCH_F4!$A$69:$K$115</definedName>
    <definedName name="SCH_F5">SCH_F5!$A$1:$K$27</definedName>
    <definedName name="SCH_F5P2">SCH_F5!$A$29:$K$55</definedName>
    <definedName name="SCH_F6">SCH_F6!$A$1:$L$47</definedName>
    <definedName name="SCH_F7">SCH_F7!$A$1:$Q$35</definedName>
    <definedName name="SCH_G1">SCH_G1!$B$1:$L$36</definedName>
    <definedName name="SCH_G2">SCH_G2!$B$1:$I$25</definedName>
    <definedName name="SCH_G3">SCH_G3!$A$1:$G$35</definedName>
    <definedName name="Sch_G3p2">SCH_G3!$A$36:$G$72</definedName>
    <definedName name="SCH_H">SCH_H!$A$1:$I$37</definedName>
    <definedName name="SCH_H_FP">SCH_H!$A$39:$I$75</definedName>
    <definedName name="SCH_I1_Elec">'SCH_I1 - Elec Only'!$A$1:$V$78</definedName>
    <definedName name="SCH_I1_Total">'SCH_I1 - Total Co'!$A$1:$V$66</definedName>
    <definedName name="SCH_I2.1" localSheetId="94">'Base Period Cust'!$A$1:$J$17</definedName>
    <definedName name="SCH_I2.1">SCH_I2.1!$A$1:$P$55</definedName>
    <definedName name="SCH_I3">SCH_I3!$A$1:$N$55</definedName>
    <definedName name="SCH_I4">SCH_I4!$A$1:$N$56</definedName>
    <definedName name="SCH_I5">SCH_I5!$A$1:$N$54</definedName>
    <definedName name="SCH_J1_Base">'SCH_J1 - Base'!$A$1:$M$35</definedName>
    <definedName name="SCH_J1_Forecast">'SCH_J1 - Forecast'!$A$1:$M$39</definedName>
    <definedName name="SCH_J2_Base">'SCH_J2 - Base'!$A$1:$G$37</definedName>
    <definedName name="SCH_J2_Forecast">'SCH_J2 - Forecast'!$A$1:$I$44</definedName>
    <definedName name="SCH_J3_Base">'SCH_J3 - Base'!$A$1:$M$58</definedName>
    <definedName name="SCH_J3_Forecast">'SCH_J3 - Forecast'!$A$1:$M$60</definedName>
    <definedName name="SCH_J4">SCH_J4!$A$1:$M$42</definedName>
    <definedName name="SCH_K1P1">'SCH K'!$A$1:$N$56</definedName>
    <definedName name="SCH_K1P2">'SCH K'!$A$57:$N$103</definedName>
    <definedName name="SCH_K1P3">'SCH K'!$A$104:$N$132</definedName>
    <definedName name="SCH_K1P4">'SCH K'!$A$133:$N$175</definedName>
    <definedName name="SCH_K1p5">'SCH K'!$A$176:$N$208</definedName>
    <definedName name="SIT">LOGO!$C$24</definedName>
    <definedName name="Staff_DR_01_007">#REF!</definedName>
    <definedName name="Staff_DR_01_031">#REF!</definedName>
    <definedName name="TAXRECONTABLE">SCH_E1!$T$150:$X$158</definedName>
    <definedName name="Testyear">LOGO!$B$17</definedName>
    <definedName name="TESTYR">LOGO!$B$10</definedName>
    <definedName name="Type">LOGO!$B$15</definedName>
    <definedName name="UncollExp">LOGO!$C$22</definedName>
    <definedName name="UncollRatio">LOGO!$C$22</definedName>
    <definedName name="WCD">'SCH_J1 - Forecast'!$M$18</definedName>
    <definedName name="WORKING_CAPITAL">SCH_B5s!$O$41</definedName>
    <definedName name="WPA_1a">SCH_A!$K$46:$S$85</definedName>
    <definedName name="WPA_1b">'Rate Base Ratios'!$A$1:$N$56</definedName>
    <definedName name="WPA_1c">SCH_A!$K$86:$S$125</definedName>
    <definedName name="WPA_1d">'Rate Base Ratios'!$O$61:$AA$118</definedName>
    <definedName name="WPB_5.1a">'WPB-5''s'!$A$1:$G$38</definedName>
    <definedName name="WPB_5.1b">'WPB-5''s'!$I$39:$P$84</definedName>
    <definedName name="WPB_5.1c">'WPB-5''s'!$AO$138:$AZ$176</definedName>
    <definedName name="WPB_5.1d">'WPB-5''s'!$BN$225:$BW$274</definedName>
    <definedName name="WPB_5.1e">'WPB-5''s'!$Q$85:$AC$113</definedName>
    <definedName name="WPB_5.1f">'WPB-5''s'!$AF$115:$AM$137</definedName>
    <definedName name="WPB_5.1g">'WPB-5''s'!$BD$175:$BK$224</definedName>
    <definedName name="WPB_5.1h">'WPB-5''s'!$BY$275:$CE$328</definedName>
    <definedName name="WPB_5.1i">'WPB-5''s'!$CG$327:$CP$378</definedName>
    <definedName name="WPB_5.1j">'WPB-5''s'!$CR$379:$DA$427</definedName>
    <definedName name="WPB_6a">'WPB-6''s'!$A$1:$L$66</definedName>
    <definedName name="WPB_6b">'WPB-6''s'!$A$69:$T$133</definedName>
    <definedName name="WPB_6c">'WPB-6''s'!$X$138:$AF$158</definedName>
    <definedName name="WPB_6d">'WPB-6''s'!$X$161:$AF$185</definedName>
    <definedName name="WPB_6e">'WPB-6''s'!$AG$187:$AM$213</definedName>
    <definedName name="WPC_1a">SCH_C1!$J$41:$P$74</definedName>
    <definedName name="WPC_2.1a_BP">'BASE PERIOD'!$A$1:$Q$254</definedName>
    <definedName name="WPC_2.1a_FP">'FORECASTED PERIOD'!$A$1:$Q$254</definedName>
    <definedName name="WPC_2a">WPC_2!$A$1:$I$38</definedName>
    <definedName name="WPC_2b">WPC_2!$K$39:$S$76</definedName>
    <definedName name="WPC_2c">WPC_2!$U$77:$AK$145</definedName>
    <definedName name="WPC_2d">WPC_2!$U$154:$AK$221</definedName>
    <definedName name="WPC_2e">'WPC-2e - Adj Summary'!$A$1:$R$30</definedName>
    <definedName name="WPD_2.10a">SCH_D2.10!$L$43:$T$60</definedName>
    <definedName name="WPD_2.11a">SCH_D2.11!$L$43:$T$60</definedName>
    <definedName name="WPD_2.12a">SCH_D2.12!$L$43:$T$60</definedName>
    <definedName name="WPD_2.13a">SCH_D2.13!$L$43:$T$60</definedName>
    <definedName name="WPD_2.14a">SCH_D2.14!$L$46:$T$65</definedName>
    <definedName name="WPD_2.15a">SCH_D2.15!$L$50:$T$77</definedName>
    <definedName name="WPD_2.16a">SCH_D2.16!$I$32:$Q$60</definedName>
    <definedName name="WPD_2.17a">SCH_D2.17!$N$35:$U$55</definedName>
    <definedName name="WPD_2.18a">SCH_D2.18!$J$33:$Q$61</definedName>
    <definedName name="WPD_2.19a">SCH_D2.19!$W$71:$AE$102</definedName>
    <definedName name="WPD_2.1a">SCH_D2.1!$L$41:$T$65</definedName>
    <definedName name="WPD_2.1e">'KWH Sales'!$A$1:$J$30</definedName>
    <definedName name="WPD_2.20a">SCH_D2.20!$J$62:$S$97</definedName>
    <definedName name="WPD_2.21a">SCH_D2.21!$J$33:$O$73</definedName>
    <definedName name="WPD_2.21b">SCH_D2.21!$Q$74:$W$140</definedName>
    <definedName name="WPD_2.22a">SCH_D2.22!$I$49:$P$86</definedName>
    <definedName name="WPD_2.23a">SCH_D2.23!$J$42:$S$107</definedName>
    <definedName name="WPD_2.24a">SCH_D2.24!$K$34:$S$55</definedName>
    <definedName name="WPD_2.26a">SCH_D2.26!$L$37:$W$76</definedName>
    <definedName name="WPD_2.27a">SCH_D2.27!$K$34:$R$52</definedName>
    <definedName name="WPD_2.28a">SCH_D2.28!$H$29:$P$54</definedName>
    <definedName name="WPD_2.28b">SCH_D2.28!$R$56:$AA$74</definedName>
    <definedName name="WPD_2.29a">SCH_D2.29!$K$36:$U$54</definedName>
    <definedName name="WPD_2.2a">SCH_D2.2!$L$41:$T$57</definedName>
    <definedName name="WPD_2.2bAmount">SCH_D2.2!$AD$79:$AD$113</definedName>
    <definedName name="WPD_2.2bClass">SCH_D2.2!$AF$79:$AF$113</definedName>
    <definedName name="WPD_2.30a">SCH_D2.30!$I$35:$R$61</definedName>
    <definedName name="WPD_2.30b">SCH_D2.30!$T$58:$AC$76</definedName>
    <definedName name="WPD_2.31a">SCH_D2.31!$I$37:$R$65</definedName>
    <definedName name="WPD_2.32a">SCH_D2.32!$K$35:$V$73</definedName>
    <definedName name="WPD_2.33a">SCH_D2.33!$J$30:$Q$53</definedName>
    <definedName name="WPD_2.33b">SCH_D2.33!$S$55:$AA$74</definedName>
    <definedName name="WPD_2.34a">SCH_D2.34!$K$30:$Q$51</definedName>
    <definedName name="WPD_2.35a">SCH_D2.35!$K$38:$S$70</definedName>
    <definedName name="WPD_2.35b">SCH_D2.35!$U$72:$AC$94</definedName>
    <definedName name="WPD_2.3a">SCH_D2.3!$L$43:$T$60</definedName>
    <definedName name="WPD_2.5a">SCH_D2.5!$L$43:$T$65</definedName>
    <definedName name="WPD_2.6a">SCH_D2.6!$L$43:$T$60</definedName>
    <definedName name="WPD_2.7a">SCH_D2.7!$L$43:$T$60</definedName>
    <definedName name="WPD_2.8a">SCH_D2.8!$L$43:$T$60</definedName>
    <definedName name="WPD_2.8b">SCH_D2.24!$K$56:$S$64</definedName>
    <definedName name="WPD_2.9a">SCH_D2.9!$L$43:$T$60</definedName>
    <definedName name="WPE_1a">SCH_E1!$S$139:$X$190</definedName>
    <definedName name="WPE_1b">SCH_E1!$Z$189:$AH$297</definedName>
    <definedName name="WPF_4a">SCH_F4!$M$37:$AA$69</definedName>
    <definedName name="WPF_4b">SCH_F4!$M$109:$AA$141</definedName>
    <definedName name="WPF_5a">SCH_F5!$M$56:$AA$125</definedName>
    <definedName name="WPF_5b">SCH_F5!$M$129:$AA$175</definedName>
    <definedName name="WPH_a">SCH_H!$K$80:$Y$102</definedName>
  </definedNames>
  <calcPr calcId="145621" iterate="1"/>
  <fileRecoveryPr autoRecover="0"/>
</workbook>
</file>

<file path=xl/calcChain.xml><?xml version="1.0" encoding="utf-8"?>
<calcChain xmlns="http://schemas.openxmlformats.org/spreadsheetml/2006/main">
  <c r="O185" i="24" l="1"/>
  <c r="M185" i="24"/>
  <c r="A1" i="182" l="1"/>
  <c r="A2" i="182"/>
  <c r="A8" i="182"/>
  <c r="A9" i="182"/>
  <c r="F11" i="182"/>
  <c r="G18" i="182"/>
  <c r="G32" i="182" s="1"/>
  <c r="G20" i="182"/>
  <c r="G22" i="182"/>
  <c r="G24" i="182"/>
  <c r="G26" i="182"/>
  <c r="B28" i="182"/>
  <c r="E28" i="182"/>
  <c r="G28" i="182"/>
  <c r="A32" i="182"/>
  <c r="E32" i="182"/>
  <c r="A39" i="182"/>
  <c r="A40" i="182"/>
  <c r="A46" i="182"/>
  <c r="A47" i="182"/>
  <c r="F49" i="182"/>
  <c r="G56" i="182"/>
  <c r="A58" i="182"/>
  <c r="G58" i="182"/>
  <c r="G60" i="182"/>
  <c r="G62" i="182"/>
  <c r="G64" i="182"/>
  <c r="B66" i="182"/>
  <c r="E66" i="182"/>
  <c r="G66" i="182" s="1"/>
  <c r="A70" i="182"/>
  <c r="E70" i="182"/>
  <c r="G70" i="182"/>
  <c r="A1" i="181"/>
  <c r="A143" i="181" s="1"/>
  <c r="A2" i="181"/>
  <c r="A12" i="181"/>
  <c r="A213" i="181" s="1"/>
  <c r="A13" i="181"/>
  <c r="A214" i="181" s="1"/>
  <c r="M14" i="181"/>
  <c r="M15" i="181"/>
  <c r="D30" i="181"/>
  <c r="H32" i="181"/>
  <c r="F41" i="181"/>
  <c r="L41" i="181" s="1"/>
  <c r="A50" i="181"/>
  <c r="A51" i="181"/>
  <c r="A61" i="181"/>
  <c r="A62" i="181"/>
  <c r="M63" i="181"/>
  <c r="M64" i="181"/>
  <c r="H80" i="181"/>
  <c r="F87" i="181"/>
  <c r="A98" i="181"/>
  <c r="A99" i="181"/>
  <c r="A109" i="181"/>
  <c r="A110" i="181"/>
  <c r="M111" i="181"/>
  <c r="M112" i="181"/>
  <c r="H122" i="181"/>
  <c r="H123" i="181"/>
  <c r="H124" i="181"/>
  <c r="H125" i="181"/>
  <c r="H126" i="181"/>
  <c r="H127" i="181"/>
  <c r="H128" i="181"/>
  <c r="H129" i="181"/>
  <c r="H130" i="181"/>
  <c r="H131" i="181"/>
  <c r="H132" i="181"/>
  <c r="F133" i="181"/>
  <c r="L133" i="181" s="1"/>
  <c r="H133" i="181"/>
  <c r="H138" i="181"/>
  <c r="A144" i="181"/>
  <c r="A145" i="181"/>
  <c r="A146" i="181"/>
  <c r="A147" i="181"/>
  <c r="A154" i="181"/>
  <c r="M154" i="181"/>
  <c r="A155" i="181"/>
  <c r="A156" i="181"/>
  <c r="M156" i="181"/>
  <c r="H185" i="181"/>
  <c r="F192" i="181"/>
  <c r="L192" i="181" s="1"/>
  <c r="A204" i="181"/>
  <c r="A205" i="181"/>
  <c r="A206" i="181"/>
  <c r="A207" i="181"/>
  <c r="M213" i="181"/>
  <c r="A215" i="181"/>
  <c r="M215" i="181"/>
  <c r="M216" i="181"/>
  <c r="L230" i="181"/>
  <c r="L232" i="181"/>
  <c r="L236" i="181"/>
  <c r="L239" i="181"/>
  <c r="F241" i="181"/>
  <c r="H241" i="181"/>
  <c r="A256" i="181"/>
  <c r="A257" i="181"/>
  <c r="A258" i="181"/>
  <c r="A259" i="181"/>
  <c r="M265" i="181"/>
  <c r="A266" i="181"/>
  <c r="A267" i="181"/>
  <c r="M267" i="181"/>
  <c r="H279" i="181"/>
  <c r="L284" i="181"/>
  <c r="L286" i="181"/>
  <c r="L288" i="181"/>
  <c r="L290" i="181"/>
  <c r="L292" i="181"/>
  <c r="H293" i="181"/>
  <c r="F294" i="181"/>
  <c r="C302" i="181"/>
  <c r="C303" i="181"/>
  <c r="C304" i="181"/>
  <c r="A1" i="180"/>
  <c r="A2" i="180"/>
  <c r="A9" i="180"/>
  <c r="A10" i="180"/>
  <c r="H12" i="180"/>
  <c r="E23" i="180"/>
  <c r="G23" i="180" s="1"/>
  <c r="G25" i="180"/>
  <c r="A36" i="180"/>
  <c r="A37" i="180"/>
  <c r="A44" i="180"/>
  <c r="A45" i="180"/>
  <c r="H47" i="180"/>
  <c r="G59" i="180"/>
  <c r="J451" i="179" s="1"/>
  <c r="K451" i="179" s="1"/>
  <c r="H190" i="181" s="1"/>
  <c r="G60" i="180"/>
  <c r="A1" i="179"/>
  <c r="A2" i="179"/>
  <c r="A91" i="179" s="1"/>
  <c r="A10" i="179"/>
  <c r="A11" i="179"/>
  <c r="J13" i="179"/>
  <c r="J198" i="179" s="1"/>
  <c r="I22" i="179"/>
  <c r="K22" i="179" s="1"/>
  <c r="I23" i="179"/>
  <c r="K23" i="179" s="1"/>
  <c r="I24" i="179"/>
  <c r="K24" i="179" s="1"/>
  <c r="I25" i="179"/>
  <c r="K25" i="179"/>
  <c r="I26" i="179"/>
  <c r="K26" i="179" s="1"/>
  <c r="I27" i="179"/>
  <c r="I28" i="179"/>
  <c r="K28" i="179" s="1"/>
  <c r="I29" i="179"/>
  <c r="K29" i="179"/>
  <c r="I30" i="179"/>
  <c r="K30" i="179" s="1"/>
  <c r="E31" i="179"/>
  <c r="I31" i="179"/>
  <c r="K31" i="179" s="1"/>
  <c r="I32" i="179"/>
  <c r="K32" i="179" s="1"/>
  <c r="I33" i="179"/>
  <c r="K33" i="179"/>
  <c r="I34" i="179"/>
  <c r="K34" i="179" s="1"/>
  <c r="I35" i="179"/>
  <c r="I36" i="179"/>
  <c r="K36" i="179" s="1"/>
  <c r="I37" i="179"/>
  <c r="K37" i="179" s="1"/>
  <c r="I38" i="179"/>
  <c r="K38" i="179" s="1"/>
  <c r="G42" i="179"/>
  <c r="A47" i="179"/>
  <c r="A48" i="179"/>
  <c r="A56" i="179"/>
  <c r="A57" i="179"/>
  <c r="J59" i="179"/>
  <c r="I68" i="179"/>
  <c r="K68" i="179"/>
  <c r="I69" i="179"/>
  <c r="K69" i="179" s="1"/>
  <c r="I70" i="179"/>
  <c r="K70" i="179" s="1"/>
  <c r="I71" i="179"/>
  <c r="K71" i="179"/>
  <c r="I72" i="179"/>
  <c r="K72" i="179"/>
  <c r="I73" i="179"/>
  <c r="K73" i="179" s="1"/>
  <c r="I74" i="179"/>
  <c r="K74" i="179" s="1"/>
  <c r="I75" i="179"/>
  <c r="K75" i="179"/>
  <c r="I76" i="179"/>
  <c r="K76" i="179"/>
  <c r="I77" i="179"/>
  <c r="K77" i="179" s="1"/>
  <c r="I78" i="179"/>
  <c r="K78" i="179" s="1"/>
  <c r="I79" i="179"/>
  <c r="K79" i="179"/>
  <c r="I80" i="179"/>
  <c r="K80" i="179"/>
  <c r="I81" i="179"/>
  <c r="K81" i="179" s="1"/>
  <c r="G85" i="179"/>
  <c r="I85" i="179"/>
  <c r="J85" i="179"/>
  <c r="A90" i="179"/>
  <c r="A92" i="179"/>
  <c r="A99" i="179"/>
  <c r="A100" i="179"/>
  <c r="A101" i="179"/>
  <c r="J102" i="179"/>
  <c r="E105" i="179"/>
  <c r="E106" i="179"/>
  <c r="G106" i="179"/>
  <c r="E107" i="179"/>
  <c r="E108" i="179"/>
  <c r="I111" i="179"/>
  <c r="K111" i="179"/>
  <c r="I112" i="179"/>
  <c r="I113" i="179"/>
  <c r="K113" i="179"/>
  <c r="I114" i="179"/>
  <c r="K114" i="179" s="1"/>
  <c r="I115" i="179"/>
  <c r="K115" i="179"/>
  <c r="I116" i="179"/>
  <c r="K116" i="179" s="1"/>
  <c r="I117" i="179"/>
  <c r="K117" i="179" s="1"/>
  <c r="I118" i="179"/>
  <c r="K118" i="179"/>
  <c r="I119" i="179"/>
  <c r="K119" i="179"/>
  <c r="I120" i="179"/>
  <c r="K120" i="179" s="1"/>
  <c r="I121" i="179"/>
  <c r="K121" i="179"/>
  <c r="I122" i="179"/>
  <c r="K122" i="179"/>
  <c r="G126" i="179"/>
  <c r="J126" i="179"/>
  <c r="A131" i="179"/>
  <c r="A132" i="179"/>
  <c r="A133" i="179"/>
  <c r="A140" i="179"/>
  <c r="J140" i="179"/>
  <c r="A141" i="179"/>
  <c r="A142" i="179"/>
  <c r="J142" i="179"/>
  <c r="J143" i="179"/>
  <c r="E146" i="179"/>
  <c r="E147" i="179"/>
  <c r="G147" i="179"/>
  <c r="E148" i="179"/>
  <c r="E149" i="179"/>
  <c r="I152" i="179"/>
  <c r="K152" i="179"/>
  <c r="I153" i="179"/>
  <c r="K153" i="179" s="1"/>
  <c r="I154" i="179"/>
  <c r="K154" i="179" s="1"/>
  <c r="I155" i="179"/>
  <c r="K155" i="179"/>
  <c r="I156" i="179"/>
  <c r="K156" i="179"/>
  <c r="I157" i="179"/>
  <c r="K157" i="179" s="1"/>
  <c r="I158" i="179"/>
  <c r="K158" i="179"/>
  <c r="I159" i="179"/>
  <c r="K159" i="179" s="1"/>
  <c r="I160" i="179"/>
  <c r="K160" i="179"/>
  <c r="I161" i="179"/>
  <c r="K161" i="179" s="1"/>
  <c r="I162" i="179"/>
  <c r="K162" i="179" s="1"/>
  <c r="I163" i="179"/>
  <c r="K163" i="179"/>
  <c r="E164" i="179"/>
  <c r="I164" i="179"/>
  <c r="K164" i="179"/>
  <c r="I165" i="179"/>
  <c r="K165" i="179" s="1"/>
  <c r="I166" i="179"/>
  <c r="J166" i="179"/>
  <c r="I167" i="179"/>
  <c r="K167" i="179"/>
  <c r="I168" i="179"/>
  <c r="I169" i="179"/>
  <c r="K169" i="179"/>
  <c r="I170" i="179"/>
  <c r="K170" i="179"/>
  <c r="I171" i="179"/>
  <c r="K171" i="179" s="1"/>
  <c r="I172" i="179"/>
  <c r="K172" i="179"/>
  <c r="I173" i="179"/>
  <c r="K173" i="179" s="1"/>
  <c r="I174" i="179"/>
  <c r="J174" i="179"/>
  <c r="K174" i="179" s="1"/>
  <c r="I175" i="179"/>
  <c r="E24" i="180" s="1"/>
  <c r="G24" i="180" s="1"/>
  <c r="J175" i="179" s="1"/>
  <c r="K175" i="179" s="1"/>
  <c r="I176" i="179"/>
  <c r="K176" i="179"/>
  <c r="I177" i="179"/>
  <c r="K177" i="179"/>
  <c r="G181" i="179"/>
  <c r="I181" i="179"/>
  <c r="A186" i="179"/>
  <c r="A187" i="179"/>
  <c r="A188" i="179"/>
  <c r="A195" i="179"/>
  <c r="J195" i="179"/>
  <c r="A196" i="179"/>
  <c r="A197" i="179"/>
  <c r="J197" i="179"/>
  <c r="E201" i="179"/>
  <c r="E202" i="179"/>
  <c r="G202" i="179"/>
  <c r="E203" i="179"/>
  <c r="E204" i="179"/>
  <c r="I207" i="179"/>
  <c r="I208" i="179"/>
  <c r="K208" i="179"/>
  <c r="I209" i="179"/>
  <c r="K209" i="179"/>
  <c r="I210" i="179"/>
  <c r="K210" i="179" s="1"/>
  <c r="I211" i="179"/>
  <c r="K211" i="179"/>
  <c r="I212" i="179"/>
  <c r="K212" i="179"/>
  <c r="I213" i="179"/>
  <c r="K213" i="179"/>
  <c r="I214" i="179"/>
  <c r="K214" i="179" s="1"/>
  <c r="I215" i="179"/>
  <c r="K215" i="179" s="1"/>
  <c r="I216" i="179"/>
  <c r="K216" i="179"/>
  <c r="I217" i="179"/>
  <c r="K217" i="179" s="1"/>
  <c r="G221" i="179"/>
  <c r="J221" i="179"/>
  <c r="A229" i="179"/>
  <c r="A230" i="179"/>
  <c r="A231" i="179"/>
  <c r="A238" i="179"/>
  <c r="J238" i="179"/>
  <c r="A239" i="179"/>
  <c r="J240" i="179"/>
  <c r="E244" i="179"/>
  <c r="E245" i="179"/>
  <c r="G245" i="179"/>
  <c r="E246" i="179"/>
  <c r="E247" i="179"/>
  <c r="I250" i="179"/>
  <c r="K250" i="179"/>
  <c r="I251" i="179"/>
  <c r="I252" i="179"/>
  <c r="K252" i="179"/>
  <c r="I253" i="179"/>
  <c r="K253" i="179" s="1"/>
  <c r="I254" i="179"/>
  <c r="K254" i="179"/>
  <c r="I255" i="179"/>
  <c r="K255" i="179" s="1"/>
  <c r="I256" i="179"/>
  <c r="K256" i="179" s="1"/>
  <c r="I257" i="179"/>
  <c r="K257" i="179"/>
  <c r="I258" i="179"/>
  <c r="K258" i="179"/>
  <c r="I259" i="179"/>
  <c r="K259" i="179" s="1"/>
  <c r="I260" i="179"/>
  <c r="K260" i="179"/>
  <c r="G264" i="179"/>
  <c r="J264" i="179"/>
  <c r="J269" i="179" s="1"/>
  <c r="C268" i="179"/>
  <c r="C269" i="179" s="1"/>
  <c r="C544" i="179" s="1"/>
  <c r="G544" i="179" s="1"/>
  <c r="G269" i="179"/>
  <c r="I269" i="179"/>
  <c r="K269" i="179" s="1"/>
  <c r="A278" i="179"/>
  <c r="A279" i="179"/>
  <c r="A287" i="179"/>
  <c r="A288" i="179"/>
  <c r="J290" i="179"/>
  <c r="J473" i="179" s="1"/>
  <c r="I299" i="179"/>
  <c r="K299" i="179" s="1"/>
  <c r="I300" i="179"/>
  <c r="K300" i="179"/>
  <c r="H26" i="181" s="1"/>
  <c r="I301" i="179"/>
  <c r="K301" i="179"/>
  <c r="H27" i="181" s="1"/>
  <c r="I302" i="179"/>
  <c r="K302" i="179"/>
  <c r="H28" i="181" s="1"/>
  <c r="I303" i="179"/>
  <c r="K303" i="179" s="1"/>
  <c r="H29" i="181" s="1"/>
  <c r="I304" i="179"/>
  <c r="K304" i="179" s="1"/>
  <c r="H30" i="181" s="1"/>
  <c r="I305" i="179"/>
  <c r="K305" i="179"/>
  <c r="H31" i="181" s="1"/>
  <c r="I306" i="179"/>
  <c r="K306" i="179"/>
  <c r="I307" i="179"/>
  <c r="K307" i="179" s="1"/>
  <c r="H33" i="181" s="1"/>
  <c r="I308" i="179"/>
  <c r="K308" i="179" s="1"/>
  <c r="H34" i="181" s="1"/>
  <c r="I309" i="179"/>
  <c r="K309" i="179"/>
  <c r="H35" i="181" s="1"/>
  <c r="E310" i="179"/>
  <c r="I310" i="179"/>
  <c r="K310" i="179"/>
  <c r="H36" i="181" s="1"/>
  <c r="I311" i="179"/>
  <c r="K311" i="179" s="1"/>
  <c r="H37" i="181" s="1"/>
  <c r="I312" i="179"/>
  <c r="I313" i="179"/>
  <c r="K313" i="179"/>
  <c r="H39" i="181" s="1"/>
  <c r="I314" i="179"/>
  <c r="K314" i="179"/>
  <c r="H40" i="181" s="1"/>
  <c r="I315" i="179"/>
  <c r="K315" i="179" s="1"/>
  <c r="H41" i="181" s="1"/>
  <c r="G319" i="179"/>
  <c r="G499" i="179" s="1"/>
  <c r="G547" i="179" s="1"/>
  <c r="A324" i="179"/>
  <c r="A325" i="179"/>
  <c r="A333" i="179"/>
  <c r="A334" i="179"/>
  <c r="J336" i="179"/>
  <c r="I345" i="179"/>
  <c r="K345" i="179" s="1"/>
  <c r="H74" i="181" s="1"/>
  <c r="I346" i="179"/>
  <c r="K346" i="179"/>
  <c r="H75" i="181" s="1"/>
  <c r="I347" i="179"/>
  <c r="K347" i="179"/>
  <c r="H76" i="181" s="1"/>
  <c r="I348" i="179"/>
  <c r="K348" i="179" s="1"/>
  <c r="H77" i="181" s="1"/>
  <c r="I349" i="179"/>
  <c r="K349" i="179"/>
  <c r="H78" i="181" s="1"/>
  <c r="I350" i="179"/>
  <c r="K350" i="179"/>
  <c r="H79" i="181" s="1"/>
  <c r="I351" i="179"/>
  <c r="K351" i="179"/>
  <c r="I352" i="179"/>
  <c r="K352" i="179" s="1"/>
  <c r="H81" i="181" s="1"/>
  <c r="I353" i="179"/>
  <c r="K353" i="179" s="1"/>
  <c r="H82" i="181" s="1"/>
  <c r="I354" i="179"/>
  <c r="K354" i="179"/>
  <c r="H83" i="181" s="1"/>
  <c r="I355" i="179"/>
  <c r="K355" i="179"/>
  <c r="H84" i="181" s="1"/>
  <c r="I356" i="179"/>
  <c r="K356" i="179" s="1"/>
  <c r="H85" i="181" s="1"/>
  <c r="I357" i="179"/>
  <c r="K357" i="179" s="1"/>
  <c r="H86" i="181" s="1"/>
  <c r="I358" i="179"/>
  <c r="K358" i="179"/>
  <c r="H87" i="181" s="1"/>
  <c r="G362" i="179"/>
  <c r="J362" i="179"/>
  <c r="A365" i="179"/>
  <c r="A366" i="179"/>
  <c r="A367" i="179"/>
  <c r="A374" i="179"/>
  <c r="J374" i="179"/>
  <c r="A375" i="179"/>
  <c r="A376" i="179"/>
  <c r="J376" i="179"/>
  <c r="J377" i="179"/>
  <c r="E380" i="179"/>
  <c r="E381" i="179"/>
  <c r="G381" i="179"/>
  <c r="E382" i="179"/>
  <c r="E383" i="179"/>
  <c r="I386" i="179"/>
  <c r="K386" i="179"/>
  <c r="I387" i="179"/>
  <c r="I388" i="179"/>
  <c r="K388" i="179" s="1"/>
  <c r="I389" i="179"/>
  <c r="K389" i="179"/>
  <c r="I390" i="179"/>
  <c r="K390" i="179"/>
  <c r="I391" i="179"/>
  <c r="K391" i="179" s="1"/>
  <c r="I392" i="179"/>
  <c r="K392" i="179"/>
  <c r="I393" i="179"/>
  <c r="K393" i="179"/>
  <c r="I394" i="179"/>
  <c r="K394" i="179"/>
  <c r="I395" i="179"/>
  <c r="K395" i="179" s="1"/>
  <c r="I396" i="179"/>
  <c r="K396" i="179"/>
  <c r="E397" i="179"/>
  <c r="I397" i="179"/>
  <c r="K397" i="179"/>
  <c r="G402" i="179"/>
  <c r="J402" i="179"/>
  <c r="A407" i="179"/>
  <c r="A408" i="179"/>
  <c r="A409" i="179"/>
  <c r="A416" i="179"/>
  <c r="J416" i="179"/>
  <c r="A417" i="179"/>
  <c r="A418" i="179"/>
  <c r="J418" i="179"/>
  <c r="E422" i="179"/>
  <c r="E423" i="179"/>
  <c r="G423" i="179"/>
  <c r="E424" i="179"/>
  <c r="E425" i="179"/>
  <c r="I428" i="179"/>
  <c r="K428" i="179"/>
  <c r="I429" i="179"/>
  <c r="K429" i="179"/>
  <c r="H168" i="181" s="1"/>
  <c r="I430" i="179"/>
  <c r="K430" i="179" s="1"/>
  <c r="H169" i="181" s="1"/>
  <c r="I431" i="179"/>
  <c r="K431" i="179"/>
  <c r="H170" i="181" s="1"/>
  <c r="I432" i="179"/>
  <c r="K432" i="179"/>
  <c r="H171" i="181" s="1"/>
  <c r="I433" i="179"/>
  <c r="K433" i="179"/>
  <c r="H172" i="181" s="1"/>
  <c r="I434" i="179"/>
  <c r="K434" i="179" s="1"/>
  <c r="H173" i="181" s="1"/>
  <c r="I435" i="179"/>
  <c r="K435" i="179"/>
  <c r="H174" i="181" s="1"/>
  <c r="I436" i="179"/>
  <c r="K436" i="179"/>
  <c r="H175" i="181" s="1"/>
  <c r="I437" i="179"/>
  <c r="K437" i="179"/>
  <c r="H176" i="181" s="1"/>
  <c r="I438" i="179"/>
  <c r="K438" i="179" s="1"/>
  <c r="H177" i="181" s="1"/>
  <c r="I439" i="179"/>
  <c r="K439" i="179" s="1"/>
  <c r="H178" i="181" s="1"/>
  <c r="I440" i="179"/>
  <c r="K440" i="179"/>
  <c r="H179" i="181" s="1"/>
  <c r="I441" i="179"/>
  <c r="K441" i="179"/>
  <c r="H180" i="181" s="1"/>
  <c r="I442" i="179"/>
  <c r="K442" i="179" s="1"/>
  <c r="H181" i="181" s="1"/>
  <c r="J442" i="179"/>
  <c r="I443" i="179"/>
  <c r="K443" i="179" s="1"/>
  <c r="H182" i="181" s="1"/>
  <c r="I444" i="179"/>
  <c r="I445" i="179"/>
  <c r="K445" i="179"/>
  <c r="H184" i="181" s="1"/>
  <c r="I446" i="179"/>
  <c r="K446" i="179"/>
  <c r="I447" i="179"/>
  <c r="K447" i="179"/>
  <c r="H186" i="181" s="1"/>
  <c r="I448" i="179"/>
  <c r="K448" i="179" s="1"/>
  <c r="H187" i="181" s="1"/>
  <c r="I449" i="179"/>
  <c r="K449" i="179" s="1"/>
  <c r="H188" i="181" s="1"/>
  <c r="I450" i="179"/>
  <c r="E58" i="180" s="1"/>
  <c r="G58" i="180" s="1"/>
  <c r="J450" i="179"/>
  <c r="K450" i="179"/>
  <c r="H189" i="181" s="1"/>
  <c r="I451" i="179"/>
  <c r="E59" i="180" s="1"/>
  <c r="I452" i="179"/>
  <c r="K452" i="179"/>
  <c r="H191" i="181" s="1"/>
  <c r="I453" i="179"/>
  <c r="K453" i="179" s="1"/>
  <c r="H192" i="181" s="1"/>
  <c r="G456" i="179"/>
  <c r="A461" i="179"/>
  <c r="A462" i="179"/>
  <c r="A463" i="179"/>
  <c r="A470" i="179"/>
  <c r="J470" i="179"/>
  <c r="A471" i="179"/>
  <c r="A472" i="179"/>
  <c r="J472" i="179"/>
  <c r="E476" i="179"/>
  <c r="E477" i="179"/>
  <c r="G477" i="179"/>
  <c r="E478" i="179"/>
  <c r="E479" i="179"/>
  <c r="I482" i="179"/>
  <c r="I483" i="179"/>
  <c r="K483" i="179"/>
  <c r="H228" i="181" s="1"/>
  <c r="I484" i="179"/>
  <c r="K484" i="179"/>
  <c r="H229" i="181" s="1"/>
  <c r="I485" i="179"/>
  <c r="K485" i="179"/>
  <c r="H231" i="181" s="1"/>
  <c r="I486" i="179"/>
  <c r="K486" i="179" s="1"/>
  <c r="H233" i="181" s="1"/>
  <c r="I487" i="179"/>
  <c r="K487" i="179" s="1"/>
  <c r="H234" i="181" s="1"/>
  <c r="I488" i="179"/>
  <c r="K488" i="179"/>
  <c r="H235" i="181" s="1"/>
  <c r="I489" i="179"/>
  <c r="K489" i="179"/>
  <c r="H237" i="181" s="1"/>
  <c r="I490" i="179"/>
  <c r="K490" i="179" s="1"/>
  <c r="H238" i="181" s="1"/>
  <c r="I491" i="179"/>
  <c r="K491" i="179" s="1"/>
  <c r="H240" i="181" s="1"/>
  <c r="I492" i="179"/>
  <c r="K492" i="179"/>
  <c r="G496" i="179"/>
  <c r="J496" i="179"/>
  <c r="A504" i="179"/>
  <c r="A505" i="179"/>
  <c r="A506" i="179"/>
  <c r="A513" i="179"/>
  <c r="J513" i="179"/>
  <c r="A514" i="179"/>
  <c r="J515" i="179"/>
  <c r="E519" i="179"/>
  <c r="E520" i="179"/>
  <c r="G520" i="179"/>
  <c r="E521" i="179"/>
  <c r="E522" i="179"/>
  <c r="I525" i="179"/>
  <c r="K525" i="179"/>
  <c r="I526" i="179"/>
  <c r="K526" i="179"/>
  <c r="H280" i="181" s="1"/>
  <c r="I527" i="179"/>
  <c r="K527" i="179" s="1"/>
  <c r="H281" i="181" s="1"/>
  <c r="I528" i="179"/>
  <c r="K528" i="179" s="1"/>
  <c r="H282" i="181" s="1"/>
  <c r="I529" i="179"/>
  <c r="K529" i="179"/>
  <c r="H283" i="181" s="1"/>
  <c r="E530" i="179"/>
  <c r="I530" i="179"/>
  <c r="K530" i="179"/>
  <c r="H285" i="181" s="1"/>
  <c r="I531" i="179"/>
  <c r="K531" i="179" s="1"/>
  <c r="H287" i="181" s="1"/>
  <c r="I532" i="179"/>
  <c r="K532" i="179" s="1"/>
  <c r="H289" i="181" s="1"/>
  <c r="I533" i="179"/>
  <c r="K533" i="179"/>
  <c r="H291" i="181" s="1"/>
  <c r="I534" i="179"/>
  <c r="K534" i="179"/>
  <c r="I535" i="179"/>
  <c r="K535" i="179" s="1"/>
  <c r="H294" i="181" s="1"/>
  <c r="G539" i="179"/>
  <c r="J539" i="179"/>
  <c r="C543" i="179"/>
  <c r="I544" i="179"/>
  <c r="J544" i="179"/>
  <c r="A1" i="178"/>
  <c r="A2" i="178"/>
  <c r="A10" i="178"/>
  <c r="A11" i="178"/>
  <c r="J13" i="178"/>
  <c r="A28" i="178"/>
  <c r="A29" i="178"/>
  <c r="A37" i="178"/>
  <c r="A38" i="178"/>
  <c r="J40" i="178"/>
  <c r="A1" i="177"/>
  <c r="A2" i="177"/>
  <c r="A8" i="177"/>
  <c r="A9" i="177"/>
  <c r="K10" i="177"/>
  <c r="K34" i="177" s="1"/>
  <c r="K11" i="177"/>
  <c r="A25" i="177"/>
  <c r="A26" i="177"/>
  <c r="A32" i="177"/>
  <c r="A33" i="177"/>
  <c r="K35" i="177"/>
  <c r="A1" i="176"/>
  <c r="A2" i="176"/>
  <c r="A9" i="176"/>
  <c r="A10" i="176"/>
  <c r="F12" i="176"/>
  <c r="E33" i="176"/>
  <c r="F33" i="176"/>
  <c r="A38" i="176"/>
  <c r="A39" i="176"/>
  <c r="A46" i="176"/>
  <c r="A47" i="176"/>
  <c r="F49" i="176"/>
  <c r="E70" i="176"/>
  <c r="F70" i="176"/>
  <c r="A1" i="175"/>
  <c r="A2" i="175"/>
  <c r="A8" i="175"/>
  <c r="A9" i="175"/>
  <c r="I11" i="175"/>
  <c r="A23" i="175"/>
  <c r="A24" i="175"/>
  <c r="A30" i="175"/>
  <c r="A31" i="175"/>
  <c r="I33" i="175"/>
  <c r="A1" i="174"/>
  <c r="A179" i="174" s="1"/>
  <c r="A2" i="174"/>
  <c r="A10" i="174"/>
  <c r="A11" i="174"/>
  <c r="A189" i="174" s="1"/>
  <c r="J13" i="174"/>
  <c r="J191" i="174" s="1"/>
  <c r="K23" i="174"/>
  <c r="K24" i="174"/>
  <c r="K25" i="174"/>
  <c r="K26" i="174"/>
  <c r="E26" i="172" s="1"/>
  <c r="G26" i="172" s="1"/>
  <c r="I26" i="172" s="1"/>
  <c r="E25" i="179" s="1"/>
  <c r="K27" i="174"/>
  <c r="K28" i="174"/>
  <c r="K29" i="174"/>
  <c r="K30" i="174"/>
  <c r="E30" i="172" s="1"/>
  <c r="K31" i="174"/>
  <c r="K32" i="174"/>
  <c r="K33" i="174"/>
  <c r="K34" i="174"/>
  <c r="E34" i="172" s="1"/>
  <c r="K35" i="174"/>
  <c r="K36" i="174"/>
  <c r="K37" i="174"/>
  <c r="K38" i="174"/>
  <c r="E42" i="174"/>
  <c r="F42" i="174"/>
  <c r="G42" i="174"/>
  <c r="H42" i="174"/>
  <c r="A45" i="174"/>
  <c r="A46" i="174"/>
  <c r="A54" i="174"/>
  <c r="A55" i="174"/>
  <c r="J57" i="174"/>
  <c r="K67" i="174"/>
  <c r="K68" i="174"/>
  <c r="K69" i="174"/>
  <c r="K70" i="174"/>
  <c r="K71" i="174"/>
  <c r="K72" i="174"/>
  <c r="K73" i="174"/>
  <c r="K74" i="174"/>
  <c r="K75" i="174"/>
  <c r="K76" i="174"/>
  <c r="K77" i="174"/>
  <c r="K78" i="174"/>
  <c r="K79" i="174"/>
  <c r="E83" i="174"/>
  <c r="F83" i="174"/>
  <c r="G83" i="174"/>
  <c r="H83" i="174"/>
  <c r="A86" i="174"/>
  <c r="A87" i="174"/>
  <c r="A95" i="174"/>
  <c r="J95" i="174"/>
  <c r="A96" i="174"/>
  <c r="K108" i="174"/>
  <c r="K109" i="174"/>
  <c r="K110" i="174"/>
  <c r="K111" i="174"/>
  <c r="K112" i="174"/>
  <c r="K113" i="174"/>
  <c r="K114" i="174"/>
  <c r="E114" i="172" s="1"/>
  <c r="K115" i="174"/>
  <c r="K116" i="174"/>
  <c r="K117" i="174"/>
  <c r="K118" i="174"/>
  <c r="E118" i="172" s="1"/>
  <c r="E122" i="174"/>
  <c r="F122" i="174"/>
  <c r="G122" i="174"/>
  <c r="H122" i="174"/>
  <c r="A127" i="174"/>
  <c r="A134" i="174"/>
  <c r="J134" i="174"/>
  <c r="A136" i="174"/>
  <c r="K147" i="174"/>
  <c r="K148" i="174"/>
  <c r="K149" i="174"/>
  <c r="K150" i="174"/>
  <c r="K151" i="174"/>
  <c r="K152" i="174"/>
  <c r="K153" i="174"/>
  <c r="K154" i="174"/>
  <c r="K155" i="174"/>
  <c r="K156" i="174"/>
  <c r="K157" i="174"/>
  <c r="K158" i="174"/>
  <c r="K159" i="174"/>
  <c r="K160" i="174"/>
  <c r="K161" i="174"/>
  <c r="K162" i="174"/>
  <c r="K163" i="174"/>
  <c r="K164" i="174"/>
  <c r="K165" i="174"/>
  <c r="K166" i="174"/>
  <c r="K167" i="174"/>
  <c r="K168" i="174"/>
  <c r="K169" i="174"/>
  <c r="K170" i="174"/>
  <c r="K171" i="174"/>
  <c r="E175" i="174"/>
  <c r="F175" i="174"/>
  <c r="G175" i="174"/>
  <c r="H175" i="174"/>
  <c r="K175" i="174"/>
  <c r="A181" i="174"/>
  <c r="A188" i="174"/>
  <c r="J188" i="174"/>
  <c r="A190" i="174"/>
  <c r="K201" i="174"/>
  <c r="K202" i="174"/>
  <c r="K203" i="174"/>
  <c r="E203" i="172" s="1"/>
  <c r="G203" i="172" s="1"/>
  <c r="I203" i="172" s="1"/>
  <c r="E209" i="179" s="1"/>
  <c r="K204" i="174"/>
  <c r="E204" i="172" s="1"/>
  <c r="G204" i="172" s="1"/>
  <c r="I204" i="172" s="1"/>
  <c r="E210" i="179" s="1"/>
  <c r="K205" i="174"/>
  <c r="K206" i="174"/>
  <c r="K207" i="174"/>
  <c r="E207" i="172" s="1"/>
  <c r="K208" i="174"/>
  <c r="E208" i="172" s="1"/>
  <c r="G208" i="172" s="1"/>
  <c r="I208" i="172" s="1"/>
  <c r="E214" i="179" s="1"/>
  <c r="K209" i="174"/>
  <c r="K210" i="174"/>
  <c r="E214" i="174"/>
  <c r="F214" i="174"/>
  <c r="G214" i="174"/>
  <c r="H214" i="174"/>
  <c r="E217" i="174"/>
  <c r="A223" i="174"/>
  <c r="A230" i="174"/>
  <c r="J230" i="174"/>
  <c r="A232" i="174"/>
  <c r="K243" i="174"/>
  <c r="K244" i="174"/>
  <c r="K245" i="174"/>
  <c r="K246" i="174"/>
  <c r="K247" i="174"/>
  <c r="K248" i="174"/>
  <c r="K249" i="174"/>
  <c r="K250" i="174"/>
  <c r="K251" i="174"/>
  <c r="K252" i="174"/>
  <c r="E256" i="174"/>
  <c r="E259" i="174" s="1"/>
  <c r="E262" i="174" s="1"/>
  <c r="F256" i="174"/>
  <c r="G256" i="174"/>
  <c r="H256" i="174"/>
  <c r="H259" i="174" s="1"/>
  <c r="K256" i="174"/>
  <c r="C259" i="174"/>
  <c r="F259" i="174"/>
  <c r="G259" i="174"/>
  <c r="K259" i="174"/>
  <c r="A266" i="174"/>
  <c r="A389" i="174" s="1"/>
  <c r="A267" i="174"/>
  <c r="A275" i="174"/>
  <c r="A276" i="174"/>
  <c r="K278" i="174"/>
  <c r="K288" i="174"/>
  <c r="K289" i="174"/>
  <c r="K306" i="174" s="1"/>
  <c r="K290" i="174"/>
  <c r="K291" i="174"/>
  <c r="K292" i="174"/>
  <c r="K293" i="174"/>
  <c r="K294" i="174"/>
  <c r="K295" i="174"/>
  <c r="K296" i="174"/>
  <c r="K297" i="174"/>
  <c r="K298" i="174"/>
  <c r="K299" i="174"/>
  <c r="K300" i="174"/>
  <c r="K301" i="174"/>
  <c r="K302" i="174"/>
  <c r="K303" i="174"/>
  <c r="E306" i="174"/>
  <c r="E481" i="174" s="1"/>
  <c r="F306" i="174"/>
  <c r="F481" i="174" s="1"/>
  <c r="G306" i="174"/>
  <c r="H306" i="174"/>
  <c r="L306" i="174"/>
  <c r="L481" i="174" s="1"/>
  <c r="A309" i="174"/>
  <c r="A310" i="174"/>
  <c r="A318" i="174"/>
  <c r="A319" i="174"/>
  <c r="K321" i="174"/>
  <c r="K331" i="174"/>
  <c r="K332" i="174"/>
  <c r="K333" i="174"/>
  <c r="K334" i="174"/>
  <c r="K335" i="174"/>
  <c r="K336" i="174"/>
  <c r="K337" i="174"/>
  <c r="K338" i="174"/>
  <c r="K339" i="174"/>
  <c r="K340" i="174"/>
  <c r="K341" i="174"/>
  <c r="K342" i="174"/>
  <c r="K343" i="174"/>
  <c r="E347" i="174"/>
  <c r="F347" i="174"/>
  <c r="G347" i="174"/>
  <c r="H347" i="174"/>
  <c r="K347" i="174"/>
  <c r="L347" i="174"/>
  <c r="A350" i="174"/>
  <c r="A351" i="174"/>
  <c r="A359" i="174"/>
  <c r="K359" i="174"/>
  <c r="A360" i="174"/>
  <c r="K362" i="174"/>
  <c r="K372" i="174"/>
  <c r="K373" i="174"/>
  <c r="K374" i="174"/>
  <c r="K375" i="174"/>
  <c r="K376" i="174"/>
  <c r="K377" i="174"/>
  <c r="K378" i="174"/>
  <c r="K379" i="174"/>
  <c r="K380" i="174"/>
  <c r="K381" i="174"/>
  <c r="K382" i="174"/>
  <c r="E386" i="174"/>
  <c r="F386" i="174"/>
  <c r="G386" i="174"/>
  <c r="H386" i="174"/>
  <c r="K386" i="174"/>
  <c r="L386" i="174"/>
  <c r="A390" i="174"/>
  <c r="A391" i="174"/>
  <c r="A398" i="174"/>
  <c r="K398" i="174"/>
  <c r="A399" i="174"/>
  <c r="A400" i="174"/>
  <c r="K401" i="174"/>
  <c r="K411" i="174"/>
  <c r="K439" i="174" s="1"/>
  <c r="K412" i="174"/>
  <c r="K413" i="174"/>
  <c r="K414" i="174"/>
  <c r="K415" i="174"/>
  <c r="K416" i="174"/>
  <c r="K417" i="174"/>
  <c r="K418" i="174"/>
  <c r="K419" i="174"/>
  <c r="K420" i="174"/>
  <c r="K421" i="174"/>
  <c r="K422" i="174"/>
  <c r="K423" i="174"/>
  <c r="K424" i="174"/>
  <c r="K425" i="174"/>
  <c r="K426" i="174"/>
  <c r="K427" i="174"/>
  <c r="K428" i="174"/>
  <c r="K429" i="174"/>
  <c r="K430" i="174"/>
  <c r="K431" i="174"/>
  <c r="K432" i="174"/>
  <c r="K433" i="174"/>
  <c r="K434" i="174"/>
  <c r="K435" i="174"/>
  <c r="E439" i="174"/>
  <c r="F439" i="174"/>
  <c r="G439" i="174"/>
  <c r="H439" i="174"/>
  <c r="L439" i="174"/>
  <c r="A444" i="174"/>
  <c r="A445" i="174"/>
  <c r="A452" i="174"/>
  <c r="K452" i="174"/>
  <c r="A453" i="174"/>
  <c r="A454" i="174"/>
  <c r="K455" i="174"/>
  <c r="K465" i="174"/>
  <c r="K466" i="174"/>
  <c r="K467" i="174"/>
  <c r="K468" i="174"/>
  <c r="K469" i="174"/>
  <c r="K470" i="174"/>
  <c r="K471" i="174"/>
  <c r="K472" i="174"/>
  <c r="K473" i="174"/>
  <c r="K474" i="174"/>
  <c r="E478" i="174"/>
  <c r="F478" i="174"/>
  <c r="G478" i="174"/>
  <c r="G481" i="174" s="1"/>
  <c r="G526" i="174" s="1"/>
  <c r="H478" i="174"/>
  <c r="L478" i="174"/>
  <c r="A485" i="174"/>
  <c r="A486" i="174"/>
  <c r="A487" i="174"/>
  <c r="A494" i="174"/>
  <c r="K494" i="174"/>
  <c r="A495" i="174"/>
  <c r="A496" i="174"/>
  <c r="K497" i="174"/>
  <c r="K507" i="174"/>
  <c r="K508" i="174"/>
  <c r="K520" i="174" s="1"/>
  <c r="K509" i="174"/>
  <c r="K510" i="174"/>
  <c r="K511" i="174"/>
  <c r="K512" i="174"/>
  <c r="K513" i="174"/>
  <c r="K514" i="174"/>
  <c r="K515" i="174"/>
  <c r="K516" i="174"/>
  <c r="E520" i="174"/>
  <c r="F520" i="174"/>
  <c r="G520" i="174"/>
  <c r="H520" i="174"/>
  <c r="H523" i="174" s="1"/>
  <c r="L520" i="174"/>
  <c r="C523" i="174"/>
  <c r="E523" i="174"/>
  <c r="F523" i="174"/>
  <c r="G523" i="174"/>
  <c r="L523" i="174"/>
  <c r="A1" i="173"/>
  <c r="A2" i="173"/>
  <c r="A9" i="173"/>
  <c r="A10" i="173"/>
  <c r="H12" i="173"/>
  <c r="E23" i="173"/>
  <c r="G23" i="173" s="1"/>
  <c r="H36" i="172" s="1"/>
  <c r="H42" i="172" s="1"/>
  <c r="E24" i="173"/>
  <c r="G24" i="173"/>
  <c r="H169" i="172" s="1"/>
  <c r="E25" i="173"/>
  <c r="G25" i="173" s="1"/>
  <c r="H170" i="172" s="1"/>
  <c r="G26" i="173"/>
  <c r="E27" i="173"/>
  <c r="G27" i="173" s="1"/>
  <c r="H163" i="172" s="1"/>
  <c r="A41" i="173"/>
  <c r="A42" i="173"/>
  <c r="A49" i="173"/>
  <c r="A50" i="173"/>
  <c r="H52" i="173"/>
  <c r="E63" i="173"/>
  <c r="G63" i="173"/>
  <c r="E64" i="173"/>
  <c r="E65" i="173"/>
  <c r="G65" i="173"/>
  <c r="E66" i="173"/>
  <c r="G66" i="173" s="1"/>
  <c r="G67" i="173"/>
  <c r="E68" i="173"/>
  <c r="G68" i="173" s="1"/>
  <c r="H428" i="172" s="1"/>
  <c r="A1" i="172"/>
  <c r="A125" i="172" s="1"/>
  <c r="A2" i="172"/>
  <c r="A222" i="172" s="1"/>
  <c r="A10" i="172"/>
  <c r="A187" i="172" s="1"/>
  <c r="A11" i="172"/>
  <c r="H13" i="172"/>
  <c r="H136" i="172" s="1"/>
  <c r="E23" i="172"/>
  <c r="G23" i="172" s="1"/>
  <c r="I23" i="172" s="1"/>
  <c r="E24" i="172"/>
  <c r="G24" i="172" s="1"/>
  <c r="I24" i="172" s="1"/>
  <c r="E23" i="179" s="1"/>
  <c r="E25" i="172"/>
  <c r="G25" i="172" s="1"/>
  <c r="I25" i="172" s="1"/>
  <c r="E24" i="179" s="1"/>
  <c r="E27" i="172"/>
  <c r="G27" i="172" s="1"/>
  <c r="I27" i="172" s="1"/>
  <c r="E26" i="179" s="1"/>
  <c r="E28" i="172"/>
  <c r="G28" i="172" s="1"/>
  <c r="I28" i="172" s="1"/>
  <c r="E27" i="179" s="1"/>
  <c r="E29" i="172"/>
  <c r="G29" i="172"/>
  <c r="I29" i="172" s="1"/>
  <c r="E28" i="179" s="1"/>
  <c r="G30" i="172"/>
  <c r="I30" i="172" s="1"/>
  <c r="E29" i="179" s="1"/>
  <c r="E31" i="172"/>
  <c r="G31" i="172" s="1"/>
  <c r="I31" i="172"/>
  <c r="E30" i="179" s="1"/>
  <c r="E32" i="172"/>
  <c r="G32" i="172" s="1"/>
  <c r="I32" i="172" s="1"/>
  <c r="E33" i="172"/>
  <c r="G33" i="172"/>
  <c r="I33" i="172" s="1"/>
  <c r="E32" i="179" s="1"/>
  <c r="G34" i="172"/>
  <c r="I34" i="172" s="1"/>
  <c r="E33" i="179" s="1"/>
  <c r="E35" i="172"/>
  <c r="G35" i="172" s="1"/>
  <c r="I35" i="172"/>
  <c r="E34" i="179" s="1"/>
  <c r="E36" i="172"/>
  <c r="G36" i="172" s="1"/>
  <c r="I36" i="172" s="1"/>
  <c r="E35" i="179" s="1"/>
  <c r="E37" i="172"/>
  <c r="G37" i="172" s="1"/>
  <c r="I37" i="172" s="1"/>
  <c r="E36" i="179" s="1"/>
  <c r="E38" i="172"/>
  <c r="G38" i="172"/>
  <c r="I38" i="172" s="1"/>
  <c r="E37" i="179" s="1"/>
  <c r="A45" i="172"/>
  <c r="A46" i="172"/>
  <c r="A54" i="172"/>
  <c r="A55" i="172"/>
  <c r="H57" i="172"/>
  <c r="E67" i="172"/>
  <c r="G67" i="172" s="1"/>
  <c r="I67" i="172" s="1"/>
  <c r="E68" i="172"/>
  <c r="G68" i="172" s="1"/>
  <c r="I68" i="172" s="1"/>
  <c r="E69" i="179" s="1"/>
  <c r="E69" i="172"/>
  <c r="G69" i="172" s="1"/>
  <c r="I69" i="172" s="1"/>
  <c r="E70" i="179" s="1"/>
  <c r="E70" i="172"/>
  <c r="G70" i="172"/>
  <c r="I70" i="172"/>
  <c r="E71" i="179" s="1"/>
  <c r="E71" i="172"/>
  <c r="G71" i="172" s="1"/>
  <c r="I71" i="172" s="1"/>
  <c r="E72" i="179" s="1"/>
  <c r="E72" i="172"/>
  <c r="G72" i="172" s="1"/>
  <c r="I72" i="172" s="1"/>
  <c r="E73" i="179" s="1"/>
  <c r="E73" i="172"/>
  <c r="G73" i="172" s="1"/>
  <c r="I73" i="172" s="1"/>
  <c r="E74" i="179" s="1"/>
  <c r="E74" i="172"/>
  <c r="G74" i="172"/>
  <c r="I74" i="172"/>
  <c r="E75" i="179" s="1"/>
  <c r="E75" i="172"/>
  <c r="G75" i="172" s="1"/>
  <c r="I75" i="172" s="1"/>
  <c r="E76" i="179" s="1"/>
  <c r="E76" i="172"/>
  <c r="G76" i="172" s="1"/>
  <c r="I76" i="172" s="1"/>
  <c r="E77" i="179" s="1"/>
  <c r="E77" i="172"/>
  <c r="G77" i="172" s="1"/>
  <c r="I77" i="172" s="1"/>
  <c r="E78" i="179" s="1"/>
  <c r="E78" i="172"/>
  <c r="G78" i="172"/>
  <c r="I78" i="172"/>
  <c r="E79" i="179" s="1"/>
  <c r="E79" i="172"/>
  <c r="G79" i="172" s="1"/>
  <c r="I79" i="172" s="1"/>
  <c r="E80" i="179" s="1"/>
  <c r="H83" i="172"/>
  <c r="A86" i="172"/>
  <c r="A87" i="172"/>
  <c r="H94" i="172"/>
  <c r="A95" i="172"/>
  <c r="A96" i="172"/>
  <c r="H97" i="172"/>
  <c r="E108" i="172"/>
  <c r="E109" i="172"/>
  <c r="G109" i="172"/>
  <c r="I109" i="172" s="1"/>
  <c r="E112" i="179" s="1"/>
  <c r="E111" i="172"/>
  <c r="G111" i="172" s="1"/>
  <c r="I111" i="172"/>
  <c r="E114" i="179" s="1"/>
  <c r="E112" i="172"/>
  <c r="G112" i="172" s="1"/>
  <c r="I112" i="172" s="1"/>
  <c r="E115" i="179" s="1"/>
  <c r="E113" i="172"/>
  <c r="G113" i="172"/>
  <c r="I113" i="172" s="1"/>
  <c r="E116" i="179" s="1"/>
  <c r="G114" i="172"/>
  <c r="I114" i="172" s="1"/>
  <c r="E117" i="179" s="1"/>
  <c r="E115" i="172"/>
  <c r="G115" i="172" s="1"/>
  <c r="I115" i="172"/>
  <c r="E118" i="179" s="1"/>
  <c r="E116" i="172"/>
  <c r="G116" i="172" s="1"/>
  <c r="I116" i="172" s="1"/>
  <c r="E119" i="179" s="1"/>
  <c r="E117" i="172"/>
  <c r="G117" i="172" s="1"/>
  <c r="I117" i="172" s="1"/>
  <c r="E120" i="179" s="1"/>
  <c r="G118" i="172"/>
  <c r="I118" i="172"/>
  <c r="E121" i="179" s="1"/>
  <c r="H122" i="172"/>
  <c r="A127" i="172"/>
  <c r="H133" i="172"/>
  <c r="A134" i="172"/>
  <c r="A135" i="172"/>
  <c r="A136" i="172"/>
  <c r="E147" i="172"/>
  <c r="G147" i="172"/>
  <c r="I147" i="172" s="1"/>
  <c r="E148" i="172"/>
  <c r="G148" i="172"/>
  <c r="I148" i="172" s="1"/>
  <c r="E153" i="179" s="1"/>
  <c r="E149" i="172"/>
  <c r="G149" i="172" s="1"/>
  <c r="I149" i="172"/>
  <c r="E154" i="179" s="1"/>
  <c r="E150" i="172"/>
  <c r="G150" i="172" s="1"/>
  <c r="I150" i="172" s="1"/>
  <c r="E155" i="179" s="1"/>
  <c r="E151" i="172"/>
  <c r="G151" i="172"/>
  <c r="I151" i="172" s="1"/>
  <c r="E156" i="179" s="1"/>
  <c r="E152" i="172"/>
  <c r="G152" i="172"/>
  <c r="I152" i="172" s="1"/>
  <c r="E157" i="179" s="1"/>
  <c r="E153" i="172"/>
  <c r="G153" i="172" s="1"/>
  <c r="I153" i="172"/>
  <c r="E158" i="179" s="1"/>
  <c r="E154" i="172"/>
  <c r="G154" i="172" s="1"/>
  <c r="I154" i="172" s="1"/>
  <c r="E159" i="179" s="1"/>
  <c r="E155" i="172"/>
  <c r="G155" i="172"/>
  <c r="I155" i="172" s="1"/>
  <c r="E160" i="179" s="1"/>
  <c r="E156" i="172"/>
  <c r="G156" i="172"/>
  <c r="I156" i="172" s="1"/>
  <c r="E161" i="179" s="1"/>
  <c r="E157" i="172"/>
  <c r="G157" i="172" s="1"/>
  <c r="I157" i="172"/>
  <c r="E162" i="179" s="1"/>
  <c r="E158" i="172"/>
  <c r="G158" i="172" s="1"/>
  <c r="I158" i="172" s="1"/>
  <c r="E163" i="179" s="1"/>
  <c r="E159" i="172"/>
  <c r="G159" i="172"/>
  <c r="I159" i="172" s="1"/>
  <c r="E160" i="172"/>
  <c r="G160" i="172"/>
  <c r="I160" i="172" s="1"/>
  <c r="E165" i="179" s="1"/>
  <c r="E161" i="172"/>
  <c r="G161" i="172" s="1"/>
  <c r="I161" i="172" s="1"/>
  <c r="E166" i="179" s="1"/>
  <c r="H161" i="172"/>
  <c r="H175" i="172" s="1"/>
  <c r="F29" i="171" s="1"/>
  <c r="E162" i="172"/>
  <c r="G162" i="172" s="1"/>
  <c r="I162" i="172"/>
  <c r="E167" i="179" s="1"/>
  <c r="E163" i="172"/>
  <c r="G163" i="172" s="1"/>
  <c r="I163" i="172" s="1"/>
  <c r="E168" i="179" s="1"/>
  <c r="E164" i="172"/>
  <c r="G164" i="172" s="1"/>
  <c r="I164" i="172" s="1"/>
  <c r="E169" i="179" s="1"/>
  <c r="E165" i="172"/>
  <c r="G165" i="172"/>
  <c r="I165" i="172" s="1"/>
  <c r="E170" i="179" s="1"/>
  <c r="E166" i="172"/>
  <c r="G166" i="172"/>
  <c r="I166" i="172"/>
  <c r="E171" i="179" s="1"/>
  <c r="E167" i="172"/>
  <c r="G167" i="172" s="1"/>
  <c r="I167" i="172" s="1"/>
  <c r="E172" i="179" s="1"/>
  <c r="E168" i="172"/>
  <c r="G168" i="172" s="1"/>
  <c r="I168" i="172" s="1"/>
  <c r="E173" i="179" s="1"/>
  <c r="E169" i="172"/>
  <c r="G169" i="172"/>
  <c r="I169" i="172" s="1"/>
  <c r="E174" i="179" s="1"/>
  <c r="E170" i="172"/>
  <c r="G170" i="172" s="1"/>
  <c r="I170" i="172" s="1"/>
  <c r="E175" i="179" s="1"/>
  <c r="E171" i="172"/>
  <c r="G171" i="172"/>
  <c r="I171" i="172" s="1"/>
  <c r="E176" i="179" s="1"/>
  <c r="A179" i="172"/>
  <c r="A180" i="172"/>
  <c r="A181" i="172"/>
  <c r="H187" i="172"/>
  <c r="A189" i="172"/>
  <c r="E201" i="172"/>
  <c r="E202" i="172"/>
  <c r="G202" i="172"/>
  <c r="I202" i="172" s="1"/>
  <c r="E208" i="179" s="1"/>
  <c r="E205" i="172"/>
  <c r="G205" i="172" s="1"/>
  <c r="I205" i="172" s="1"/>
  <c r="E212" i="179" s="1"/>
  <c r="E206" i="172"/>
  <c r="G206" i="172" s="1"/>
  <c r="I206" i="172" s="1"/>
  <c r="E211" i="179" s="1"/>
  <c r="G207" i="172"/>
  <c r="I207" i="172"/>
  <c r="E213" i="179" s="1"/>
  <c r="E209" i="172"/>
  <c r="G209" i="172" s="1"/>
  <c r="I209" i="172" s="1"/>
  <c r="E215" i="179" s="1"/>
  <c r="E210" i="172"/>
  <c r="G210" i="172"/>
  <c r="I210" i="172" s="1"/>
  <c r="E216" i="179" s="1"/>
  <c r="H214" i="172"/>
  <c r="A223" i="172"/>
  <c r="H229" i="172"/>
  <c r="A231" i="172"/>
  <c r="E243" i="172"/>
  <c r="G243" i="172" s="1"/>
  <c r="I243" i="172" s="1"/>
  <c r="E244" i="172"/>
  <c r="G244" i="172" s="1"/>
  <c r="I244" i="172" s="1"/>
  <c r="E251" i="179" s="1"/>
  <c r="E245" i="172"/>
  <c r="G245" i="172" s="1"/>
  <c r="I245" i="172" s="1"/>
  <c r="E252" i="179" s="1"/>
  <c r="E246" i="172"/>
  <c r="G246" i="172"/>
  <c r="I246" i="172"/>
  <c r="E253" i="179" s="1"/>
  <c r="E247" i="172"/>
  <c r="G247" i="172" s="1"/>
  <c r="I247" i="172" s="1"/>
  <c r="E254" i="179" s="1"/>
  <c r="E248" i="172"/>
  <c r="G248" i="172" s="1"/>
  <c r="I248" i="172" s="1"/>
  <c r="E255" i="179" s="1"/>
  <c r="E249" i="172"/>
  <c r="G249" i="172" s="1"/>
  <c r="I249" i="172" s="1"/>
  <c r="E256" i="179" s="1"/>
  <c r="E250" i="172"/>
  <c r="G250" i="172"/>
  <c r="I250" i="172"/>
  <c r="E257" i="179" s="1"/>
  <c r="E251" i="172"/>
  <c r="G251" i="172" s="1"/>
  <c r="I251" i="172" s="1"/>
  <c r="E258" i="179" s="1"/>
  <c r="E252" i="172"/>
  <c r="G252" i="172" s="1"/>
  <c r="I252" i="172" s="1"/>
  <c r="E259" i="179" s="1"/>
  <c r="E256" i="172"/>
  <c r="E259" i="172" s="1"/>
  <c r="H256" i="172"/>
  <c r="H259" i="172" s="1"/>
  <c r="A266" i="172"/>
  <c r="A267" i="172"/>
  <c r="A391" i="172" s="1"/>
  <c r="A275" i="172"/>
  <c r="A399" i="172" s="1"/>
  <c r="A276" i="172"/>
  <c r="A400" i="172" s="1"/>
  <c r="H278" i="172"/>
  <c r="H401" i="172" s="1"/>
  <c r="E288" i="172"/>
  <c r="E289" i="172"/>
  <c r="G289" i="172" s="1"/>
  <c r="I289" i="172" s="1"/>
  <c r="E290" i="172"/>
  <c r="G290" i="172"/>
  <c r="I290" i="172"/>
  <c r="E291" i="172"/>
  <c r="G291" i="172" s="1"/>
  <c r="I291" i="172" s="1"/>
  <c r="E292" i="172"/>
  <c r="G292" i="172"/>
  <c r="I292" i="172" s="1"/>
  <c r="E293" i="172"/>
  <c r="G293" i="172" s="1"/>
  <c r="E294" i="172"/>
  <c r="G294" i="172" s="1"/>
  <c r="I294" i="172" s="1"/>
  <c r="E295" i="172"/>
  <c r="G295" i="172"/>
  <c r="I295" i="172" s="1"/>
  <c r="E296" i="172"/>
  <c r="G296" i="172" s="1"/>
  <c r="I296" i="172"/>
  <c r="E297" i="172"/>
  <c r="G297" i="172" s="1"/>
  <c r="I297" i="172" s="1"/>
  <c r="E298" i="172"/>
  <c r="G298" i="172"/>
  <c r="I298" i="172"/>
  <c r="E299" i="172"/>
  <c r="G299" i="172"/>
  <c r="I299" i="172"/>
  <c r="F36" i="181" s="1"/>
  <c r="L36" i="181" s="1"/>
  <c r="E300" i="172"/>
  <c r="G300" i="172" s="1"/>
  <c r="I300" i="172" s="1"/>
  <c r="E301" i="172"/>
  <c r="G301" i="172"/>
  <c r="E302" i="172"/>
  <c r="G302" i="172" s="1"/>
  <c r="I302" i="172" s="1"/>
  <c r="E303" i="172"/>
  <c r="G303" i="172"/>
  <c r="I303" i="172" s="1"/>
  <c r="A310" i="172"/>
  <c r="A311" i="172"/>
  <c r="A319" i="172"/>
  <c r="A320" i="172"/>
  <c r="H322" i="172"/>
  <c r="E332" i="172"/>
  <c r="G332" i="172" s="1"/>
  <c r="I332" i="172"/>
  <c r="E333" i="172"/>
  <c r="G333" i="172" s="1"/>
  <c r="E334" i="172"/>
  <c r="G334" i="172"/>
  <c r="I334" i="172" s="1"/>
  <c r="E335" i="172"/>
  <c r="G335" i="172"/>
  <c r="I335" i="172"/>
  <c r="F77" i="181" s="1"/>
  <c r="L77" i="181" s="1"/>
  <c r="E336" i="172"/>
  <c r="G336" i="172" s="1"/>
  <c r="I336" i="172" s="1"/>
  <c r="E337" i="172"/>
  <c r="G337" i="172"/>
  <c r="I337" i="172" s="1"/>
  <c r="E338" i="172"/>
  <c r="G338" i="172" s="1"/>
  <c r="I338" i="172" s="1"/>
  <c r="E339" i="172"/>
  <c r="G339" i="172"/>
  <c r="I339" i="172" s="1"/>
  <c r="E340" i="172"/>
  <c r="G340" i="172" s="1"/>
  <c r="I340" i="172"/>
  <c r="E341" i="172"/>
  <c r="G341" i="172" s="1"/>
  <c r="I341" i="172" s="1"/>
  <c r="E342" i="172"/>
  <c r="G342" i="172"/>
  <c r="I342" i="172" s="1"/>
  <c r="E343" i="172"/>
  <c r="G343" i="172"/>
  <c r="I343" i="172"/>
  <c r="E344" i="172"/>
  <c r="G344" i="172" s="1"/>
  <c r="I344" i="172" s="1"/>
  <c r="E348" i="172"/>
  <c r="K348" i="172" s="1"/>
  <c r="H348" i="172"/>
  <c r="A351" i="172"/>
  <c r="A352" i="172"/>
  <c r="H359" i="172"/>
  <c r="A360" i="172"/>
  <c r="A361" i="172"/>
  <c r="H362" i="172"/>
  <c r="E373" i="172"/>
  <c r="G373" i="172"/>
  <c r="E374" i="172"/>
  <c r="G374" i="172" s="1"/>
  <c r="I374" i="172" s="1"/>
  <c r="E375" i="172"/>
  <c r="G375" i="172"/>
  <c r="I375" i="172" s="1"/>
  <c r="E376" i="172"/>
  <c r="G376" i="172" s="1"/>
  <c r="I376" i="172"/>
  <c r="E377" i="172"/>
  <c r="G377" i="172" s="1"/>
  <c r="I377" i="172" s="1"/>
  <c r="E378" i="172"/>
  <c r="G378" i="172"/>
  <c r="I378" i="172" s="1"/>
  <c r="E379" i="172"/>
  <c r="G379" i="172"/>
  <c r="I379" i="172"/>
  <c r="E380" i="172"/>
  <c r="G380" i="172" s="1"/>
  <c r="I380" i="172" s="1"/>
  <c r="E381" i="172"/>
  <c r="G381" i="172"/>
  <c r="I381" i="172" s="1"/>
  <c r="E382" i="172"/>
  <c r="G382" i="172" s="1"/>
  <c r="I382" i="172" s="1"/>
  <c r="E383" i="172"/>
  <c r="G383" i="172"/>
  <c r="I383" i="172" s="1"/>
  <c r="E387" i="172"/>
  <c r="K387" i="172" s="1"/>
  <c r="H387" i="172"/>
  <c r="F75" i="171" s="1"/>
  <c r="A390" i="172"/>
  <c r="A392" i="172"/>
  <c r="H398" i="172"/>
  <c r="A401" i="172"/>
  <c r="E412" i="172"/>
  <c r="G412" i="172"/>
  <c r="I412" i="172" s="1"/>
  <c r="E413" i="172"/>
  <c r="G413" i="172"/>
  <c r="I413" i="172"/>
  <c r="E414" i="172"/>
  <c r="G414" i="172" s="1"/>
  <c r="I414" i="172" s="1"/>
  <c r="E415" i="172"/>
  <c r="G415" i="172"/>
  <c r="I415" i="172" s="1"/>
  <c r="E416" i="172"/>
  <c r="G416" i="172" s="1"/>
  <c r="E417" i="172"/>
  <c r="G417" i="172"/>
  <c r="I417" i="172" s="1"/>
  <c r="E418" i="172"/>
  <c r="G418" i="172" s="1"/>
  <c r="I418" i="172"/>
  <c r="E419" i="172"/>
  <c r="G419" i="172" s="1"/>
  <c r="I419" i="172" s="1"/>
  <c r="E420" i="172"/>
  <c r="G420" i="172"/>
  <c r="I420" i="172" s="1"/>
  <c r="E421" i="172"/>
  <c r="G421" i="172"/>
  <c r="I421" i="172"/>
  <c r="F176" i="181" s="1"/>
  <c r="L176" i="181" s="1"/>
  <c r="E422" i="172"/>
  <c r="G422" i="172" s="1"/>
  <c r="I422" i="172" s="1"/>
  <c r="E423" i="172"/>
  <c r="G423" i="172"/>
  <c r="I423" i="172" s="1"/>
  <c r="E424" i="172"/>
  <c r="G424" i="172" s="1"/>
  <c r="I424" i="172" s="1"/>
  <c r="E425" i="172"/>
  <c r="G425" i="172"/>
  <c r="I425" i="172" s="1"/>
  <c r="E426" i="172"/>
  <c r="G426" i="172" s="1"/>
  <c r="I426" i="172" s="1"/>
  <c r="H426" i="172"/>
  <c r="H440" i="172" s="1"/>
  <c r="F77" i="171" s="1"/>
  <c r="E427" i="172"/>
  <c r="G427" i="172" s="1"/>
  <c r="I427" i="172"/>
  <c r="E428" i="172"/>
  <c r="G428" i="172" s="1"/>
  <c r="I428" i="172" s="1"/>
  <c r="E429" i="172"/>
  <c r="G429" i="172"/>
  <c r="I429" i="172" s="1"/>
  <c r="E430" i="172"/>
  <c r="G430" i="172" s="1"/>
  <c r="I430" i="172" s="1"/>
  <c r="E431" i="172"/>
  <c r="G431" i="172"/>
  <c r="I431" i="172" s="1"/>
  <c r="E432" i="172"/>
  <c r="G432" i="172" s="1"/>
  <c r="I432" i="172"/>
  <c r="E433" i="172"/>
  <c r="G433" i="172" s="1"/>
  <c r="I433" i="172" s="1"/>
  <c r="E434" i="172"/>
  <c r="G434" i="172"/>
  <c r="I434" i="172" s="1"/>
  <c r="H434" i="172"/>
  <c r="E435" i="172"/>
  <c r="G435" i="172"/>
  <c r="H435" i="172"/>
  <c r="E436" i="172"/>
  <c r="G436" i="172" s="1"/>
  <c r="I436" i="172" s="1"/>
  <c r="A444" i="172"/>
  <c r="A446" i="172"/>
  <c r="H452" i="172"/>
  <c r="A453" i="172"/>
  <c r="A454" i="172"/>
  <c r="H455" i="172"/>
  <c r="E466" i="172"/>
  <c r="E467" i="172"/>
  <c r="G467" i="172"/>
  <c r="I467" i="172"/>
  <c r="E468" i="172"/>
  <c r="G468" i="172"/>
  <c r="I468" i="172"/>
  <c r="E469" i="172"/>
  <c r="G469" i="172" s="1"/>
  <c r="I469" i="172" s="1"/>
  <c r="E470" i="172"/>
  <c r="G470" i="172"/>
  <c r="I470" i="172" s="1"/>
  <c r="E471" i="172"/>
  <c r="G471" i="172" s="1"/>
  <c r="I471" i="172" s="1"/>
  <c r="E472" i="172"/>
  <c r="G472" i="172"/>
  <c r="I472" i="172" s="1"/>
  <c r="E473" i="172"/>
  <c r="G473" i="172" s="1"/>
  <c r="I473" i="172"/>
  <c r="F237" i="181" s="1"/>
  <c r="E474" i="172"/>
  <c r="G474" i="172" s="1"/>
  <c r="I474" i="172" s="1"/>
  <c r="E475" i="172"/>
  <c r="G475" i="172"/>
  <c r="I475" i="172"/>
  <c r="H479" i="172"/>
  <c r="A486" i="172"/>
  <c r="A488" i="172"/>
  <c r="H494" i="172"/>
  <c r="A496" i="172"/>
  <c r="H497" i="172"/>
  <c r="E508" i="172"/>
  <c r="E521" i="172" s="1"/>
  <c r="G508" i="172"/>
  <c r="E525" i="179" s="1"/>
  <c r="E509" i="172"/>
  <c r="G509" i="172"/>
  <c r="E526" i="179" s="1"/>
  <c r="I509" i="172"/>
  <c r="F280" i="181" s="1"/>
  <c r="E510" i="172"/>
  <c r="G510" i="172" s="1"/>
  <c r="E511" i="172"/>
  <c r="G511" i="172" s="1"/>
  <c r="E512" i="172"/>
  <c r="G512" i="172"/>
  <c r="E529" i="179" s="1"/>
  <c r="E513" i="172"/>
  <c r="G513" i="172"/>
  <c r="I513" i="172"/>
  <c r="F285" i="181" s="1"/>
  <c r="L285" i="181" s="1"/>
  <c r="E514" i="172"/>
  <c r="G514" i="172" s="1"/>
  <c r="E515" i="172"/>
  <c r="G515" i="172" s="1"/>
  <c r="E516" i="172"/>
  <c r="G516" i="172"/>
  <c r="E533" i="179" s="1"/>
  <c r="E517" i="172"/>
  <c r="G517" i="172"/>
  <c r="E534" i="179" s="1"/>
  <c r="I517" i="172"/>
  <c r="F293" i="181" s="1"/>
  <c r="L293" i="181" s="1"/>
  <c r="H521" i="172"/>
  <c r="H524" i="172" s="1"/>
  <c r="F81" i="171" s="1"/>
  <c r="C524" i="172"/>
  <c r="A1" i="171"/>
  <c r="A2" i="171"/>
  <c r="A9" i="171"/>
  <c r="A10" i="171"/>
  <c r="F12" i="171"/>
  <c r="A25" i="171"/>
  <c r="F25" i="171"/>
  <c r="A27" i="171"/>
  <c r="A29" i="171" s="1"/>
  <c r="A31" i="171" s="1"/>
  <c r="A33" i="171" s="1"/>
  <c r="A35" i="171" s="1"/>
  <c r="A38" i="171" s="1"/>
  <c r="A42" i="171" s="1"/>
  <c r="F27" i="171"/>
  <c r="F31" i="171"/>
  <c r="F33" i="171"/>
  <c r="A49" i="171"/>
  <c r="A50" i="171"/>
  <c r="A57" i="171"/>
  <c r="A58" i="171"/>
  <c r="F60" i="171"/>
  <c r="A73" i="171"/>
  <c r="A75" i="171" s="1"/>
  <c r="A77" i="171" s="1"/>
  <c r="A79" i="171" s="1"/>
  <c r="A81" i="171" s="1"/>
  <c r="A83" i="171" s="1"/>
  <c r="A86" i="171" s="1"/>
  <c r="A90" i="171" s="1"/>
  <c r="F73" i="171"/>
  <c r="C75" i="171"/>
  <c r="E75" i="171"/>
  <c r="F79" i="171"/>
  <c r="A1" i="170"/>
  <c r="A2" i="170"/>
  <c r="A7" i="170"/>
  <c r="A8" i="170"/>
  <c r="I10" i="170"/>
  <c r="A495" i="172" l="1"/>
  <c r="A452" i="172"/>
  <c r="A494" i="172"/>
  <c r="A229" i="172"/>
  <c r="A135" i="174"/>
  <c r="A231" i="174"/>
  <c r="J241" i="179"/>
  <c r="J419" i="179"/>
  <c r="A487" i="172"/>
  <c r="A445" i="172"/>
  <c r="J516" i="179"/>
  <c r="A255" i="181"/>
  <c r="A203" i="181"/>
  <c r="H232" i="172"/>
  <c r="F235" i="181"/>
  <c r="L235" i="181" s="1"/>
  <c r="E488" i="179"/>
  <c r="F186" i="181"/>
  <c r="E447" i="179"/>
  <c r="F179" i="181"/>
  <c r="L179" i="181" s="1"/>
  <c r="E440" i="179"/>
  <c r="F172" i="181"/>
  <c r="L172" i="181" s="1"/>
  <c r="E433" i="179"/>
  <c r="F39" i="181"/>
  <c r="L39" i="181" s="1"/>
  <c r="E313" i="179"/>
  <c r="K259" i="172"/>
  <c r="C33" i="171"/>
  <c r="E33" i="171" s="1"/>
  <c r="G33" i="171" s="1"/>
  <c r="G75" i="171"/>
  <c r="E528" i="179"/>
  <c r="I511" i="172"/>
  <c r="F282" i="181" s="1"/>
  <c r="L282" i="181" s="1"/>
  <c r="F238" i="181"/>
  <c r="L238" i="181" s="1"/>
  <c r="E490" i="179"/>
  <c r="F231" i="181"/>
  <c r="L231" i="181" s="1"/>
  <c r="E485" i="179"/>
  <c r="E449" i="179"/>
  <c r="F188" i="181"/>
  <c r="L188" i="181" s="1"/>
  <c r="F183" i="181"/>
  <c r="L183" i="181" s="1"/>
  <c r="E444" i="179"/>
  <c r="F181" i="181"/>
  <c r="L181" i="181" s="1"/>
  <c r="E442" i="179"/>
  <c r="F174" i="181"/>
  <c r="L174" i="181" s="1"/>
  <c r="E435" i="179"/>
  <c r="F169" i="181"/>
  <c r="L169" i="181" s="1"/>
  <c r="E430" i="179"/>
  <c r="F167" i="181"/>
  <c r="E428" i="179"/>
  <c r="I440" i="172"/>
  <c r="F132" i="181"/>
  <c r="L132" i="181" s="1"/>
  <c r="E396" i="179"/>
  <c r="F123" i="181"/>
  <c r="L123" i="181" s="1"/>
  <c r="E387" i="179"/>
  <c r="F86" i="181"/>
  <c r="L86" i="181" s="1"/>
  <c r="E357" i="179"/>
  <c r="F84" i="181"/>
  <c r="L84" i="181" s="1"/>
  <c r="E355" i="179"/>
  <c r="I333" i="172"/>
  <c r="G348" i="172"/>
  <c r="F32" i="181"/>
  <c r="L32" i="181" s="1"/>
  <c r="E306" i="179"/>
  <c r="E68" i="179"/>
  <c r="E85" i="179" s="1"/>
  <c r="N85" i="179" s="1"/>
  <c r="I83" i="172"/>
  <c r="H217" i="172"/>
  <c r="H262" i="172" s="1"/>
  <c r="F23" i="171"/>
  <c r="F42" i="171" s="1"/>
  <c r="E532" i="179"/>
  <c r="I515" i="172"/>
  <c r="F289" i="181" s="1"/>
  <c r="E527" i="179"/>
  <c r="I510" i="172"/>
  <c r="F281" i="181" s="1"/>
  <c r="L281" i="181" s="1"/>
  <c r="F234" i="181"/>
  <c r="E487" i="179"/>
  <c r="E452" i="179"/>
  <c r="F191" i="181"/>
  <c r="L191" i="181" s="1"/>
  <c r="E446" i="179"/>
  <c r="F185" i="181"/>
  <c r="L185" i="181" s="1"/>
  <c r="F180" i="181"/>
  <c r="L180" i="181" s="1"/>
  <c r="E441" i="179"/>
  <c r="G440" i="172"/>
  <c r="I416" i="172"/>
  <c r="F129" i="181"/>
  <c r="L129" i="181" s="1"/>
  <c r="E393" i="179"/>
  <c r="F127" i="181"/>
  <c r="L127" i="181" s="1"/>
  <c r="E391" i="179"/>
  <c r="F81" i="181"/>
  <c r="L81" i="181" s="1"/>
  <c r="E352" i="179"/>
  <c r="I348" i="172"/>
  <c r="F40" i="181"/>
  <c r="L40" i="181" s="1"/>
  <c r="E314" i="179"/>
  <c r="E308" i="179"/>
  <c r="F34" i="181"/>
  <c r="L34" i="181" s="1"/>
  <c r="E250" i="179"/>
  <c r="E264" i="179" s="1"/>
  <c r="I256" i="172"/>
  <c r="I259" i="172" s="1"/>
  <c r="H526" i="174"/>
  <c r="F126" i="181"/>
  <c r="L126" i="181" s="1"/>
  <c r="E390" i="179"/>
  <c r="E351" i="179"/>
  <c r="F80" i="181"/>
  <c r="L80" i="181" s="1"/>
  <c r="I514" i="172"/>
  <c r="F287" i="181" s="1"/>
  <c r="L287" i="181" s="1"/>
  <c r="E531" i="179"/>
  <c r="K521" i="172"/>
  <c r="E524" i="172"/>
  <c r="F177" i="181"/>
  <c r="L177" i="181" s="1"/>
  <c r="E438" i="179"/>
  <c r="F175" i="181"/>
  <c r="L175" i="181" s="1"/>
  <c r="E436" i="179"/>
  <c r="F131" i="181"/>
  <c r="L131" i="181" s="1"/>
  <c r="E395" i="179"/>
  <c r="F124" i="181"/>
  <c r="L124" i="181" s="1"/>
  <c r="E388" i="179"/>
  <c r="F83" i="181"/>
  <c r="L83" i="181" s="1"/>
  <c r="E354" i="179"/>
  <c r="F78" i="181"/>
  <c r="L78" i="181" s="1"/>
  <c r="E349" i="179"/>
  <c r="F76" i="181"/>
  <c r="L76" i="181" s="1"/>
  <c r="E347" i="179"/>
  <c r="F37" i="181"/>
  <c r="L37" i="181" s="1"/>
  <c r="E311" i="179"/>
  <c r="F31" i="181"/>
  <c r="L31" i="181" s="1"/>
  <c r="E305" i="179"/>
  <c r="F28" i="181"/>
  <c r="L28" i="181" s="1"/>
  <c r="E302" i="179"/>
  <c r="F26" i="181"/>
  <c r="L26" i="181" s="1"/>
  <c r="E300" i="179"/>
  <c r="E22" i="179"/>
  <c r="E42" i="179" s="1"/>
  <c r="I42" i="172"/>
  <c r="F228" i="181"/>
  <c r="L228" i="181" s="1"/>
  <c r="E483" i="179"/>
  <c r="F189" i="181"/>
  <c r="L189" i="181" s="1"/>
  <c r="E450" i="179"/>
  <c r="F187" i="181"/>
  <c r="L187" i="181" s="1"/>
  <c r="E448" i="179"/>
  <c r="F170" i="181"/>
  <c r="L170" i="181" s="1"/>
  <c r="E431" i="179"/>
  <c r="F168" i="181"/>
  <c r="L168" i="181" s="1"/>
  <c r="E429" i="179"/>
  <c r="F130" i="181"/>
  <c r="L130" i="181" s="1"/>
  <c r="E394" i="179"/>
  <c r="I373" i="172"/>
  <c r="G387" i="172"/>
  <c r="F79" i="181"/>
  <c r="L79" i="181" s="1"/>
  <c r="E350" i="179"/>
  <c r="E303" i="179"/>
  <c r="F29" i="181"/>
  <c r="L29" i="181" s="1"/>
  <c r="E526" i="174"/>
  <c r="F229" i="181"/>
  <c r="E484" i="179"/>
  <c r="E440" i="172"/>
  <c r="K256" i="172"/>
  <c r="E152" i="179"/>
  <c r="E181" i="179" s="1"/>
  <c r="I175" i="172"/>
  <c r="E83" i="172"/>
  <c r="K523" i="174"/>
  <c r="H481" i="174"/>
  <c r="K214" i="174"/>
  <c r="K544" i="179"/>
  <c r="I456" i="179"/>
  <c r="E437" i="179"/>
  <c r="H167" i="181"/>
  <c r="I402" i="179"/>
  <c r="K387" i="179"/>
  <c r="K402" i="179" s="1"/>
  <c r="E348" i="179"/>
  <c r="K27" i="179"/>
  <c r="I42" i="179"/>
  <c r="H298" i="181"/>
  <c r="H303" i="181" s="1"/>
  <c r="C73" i="171"/>
  <c r="E73" i="171" s="1"/>
  <c r="G73" i="171" s="1"/>
  <c r="G521" i="172"/>
  <c r="G524" i="172" s="1"/>
  <c r="I524" i="172" s="1"/>
  <c r="A221" i="172"/>
  <c r="G201" i="172"/>
  <c r="E214" i="172"/>
  <c r="E175" i="172"/>
  <c r="G108" i="172"/>
  <c r="K362" i="179"/>
  <c r="H91" i="181"/>
  <c r="E539" i="179"/>
  <c r="F240" i="181"/>
  <c r="L240" i="181" s="1"/>
  <c r="E491" i="179"/>
  <c r="E479" i="172"/>
  <c r="F184" i="181"/>
  <c r="L184" i="181" s="1"/>
  <c r="E445" i="179"/>
  <c r="F178" i="181"/>
  <c r="L178" i="181" s="1"/>
  <c r="E439" i="179"/>
  <c r="F173" i="181"/>
  <c r="L173" i="181" s="1"/>
  <c r="E434" i="179"/>
  <c r="F128" i="181"/>
  <c r="L128" i="181" s="1"/>
  <c r="E392" i="179"/>
  <c r="F125" i="181"/>
  <c r="L125" i="181" s="1"/>
  <c r="E389" i="179"/>
  <c r="F85" i="181"/>
  <c r="L85" i="181" s="1"/>
  <c r="E356" i="179"/>
  <c r="F82" i="181"/>
  <c r="L82" i="181" s="1"/>
  <c r="E353" i="179"/>
  <c r="F74" i="181"/>
  <c r="E345" i="179"/>
  <c r="F35" i="181"/>
  <c r="L35" i="181" s="1"/>
  <c r="E309" i="179"/>
  <c r="F27" i="181"/>
  <c r="L27" i="181" s="1"/>
  <c r="E301" i="179"/>
  <c r="G64" i="173"/>
  <c r="H293" i="172" s="1"/>
  <c r="H307" i="172" s="1"/>
  <c r="E71" i="173"/>
  <c r="L526" i="174"/>
  <c r="I539" i="179"/>
  <c r="I221" i="179"/>
  <c r="F233" i="181"/>
  <c r="E486" i="179"/>
  <c r="I435" i="172"/>
  <c r="F182" i="181"/>
  <c r="L182" i="181" s="1"/>
  <c r="E443" i="179"/>
  <c r="F33" i="181"/>
  <c r="L33" i="181" s="1"/>
  <c r="E307" i="179"/>
  <c r="G288" i="172"/>
  <c r="E307" i="172"/>
  <c r="A126" i="172"/>
  <c r="A188" i="172"/>
  <c r="A230" i="172"/>
  <c r="G71" i="173"/>
  <c r="H301" i="172"/>
  <c r="I301" i="172" s="1"/>
  <c r="G30" i="173"/>
  <c r="K478" i="174"/>
  <c r="K481" i="174" s="1"/>
  <c r="I516" i="172"/>
  <c r="F291" i="181" s="1"/>
  <c r="L291" i="181" s="1"/>
  <c r="I512" i="172"/>
  <c r="F283" i="181" s="1"/>
  <c r="L283" i="181" s="1"/>
  <c r="I508" i="172"/>
  <c r="G466" i="172"/>
  <c r="G256" i="172"/>
  <c r="G259" i="172" s="1"/>
  <c r="H190" i="172"/>
  <c r="G175" i="172"/>
  <c r="G83" i="172"/>
  <c r="G42" i="172"/>
  <c r="F526" i="174"/>
  <c r="K122" i="174"/>
  <c r="E110" i="172"/>
  <c r="G110" i="172" s="1"/>
  <c r="I110" i="172" s="1"/>
  <c r="E113" i="179" s="1"/>
  <c r="H217" i="174"/>
  <c r="H262" i="174" s="1"/>
  <c r="J137" i="174"/>
  <c r="J233" i="174"/>
  <c r="J98" i="174"/>
  <c r="A126" i="174"/>
  <c r="A222" i="174"/>
  <c r="A180" i="174"/>
  <c r="E489" i="179"/>
  <c r="E61" i="180"/>
  <c r="G61" i="180" s="1"/>
  <c r="J444" i="179" s="1"/>
  <c r="J456" i="179" s="1"/>
  <c r="I319" i="179"/>
  <c r="K207" i="179"/>
  <c r="K221" i="179" s="1"/>
  <c r="E42" i="172"/>
  <c r="E30" i="173"/>
  <c r="A443" i="174"/>
  <c r="F217" i="174"/>
  <c r="F262" i="174" s="1"/>
  <c r="K83" i="174"/>
  <c r="G217" i="174"/>
  <c r="G262" i="174" s="1"/>
  <c r="A125" i="174"/>
  <c r="A221" i="174"/>
  <c r="K539" i="179"/>
  <c r="E26" i="180"/>
  <c r="G26" i="180" s="1"/>
  <c r="J168" i="179" s="1"/>
  <c r="K168" i="179" s="1"/>
  <c r="G224" i="179"/>
  <c r="G272" i="179" s="1"/>
  <c r="E22" i="180"/>
  <c r="K42" i="174"/>
  <c r="K482" i="179"/>
  <c r="I496" i="179"/>
  <c r="I362" i="179"/>
  <c r="E57" i="180"/>
  <c r="H25" i="181"/>
  <c r="K251" i="179"/>
  <c r="K264" i="179" s="1"/>
  <c r="I264" i="179"/>
  <c r="K112" i="179"/>
  <c r="K126" i="179" s="1"/>
  <c r="I126" i="179"/>
  <c r="K85" i="179"/>
  <c r="M157" i="181"/>
  <c r="M268" i="181"/>
  <c r="K166" i="179"/>
  <c r="A265" i="181"/>
  <c r="A4" i="68"/>
  <c r="A4" i="81"/>
  <c r="K181" i="179" l="1"/>
  <c r="E29" i="180"/>
  <c r="G22" i="180"/>
  <c r="K307" i="172"/>
  <c r="E482" i="172"/>
  <c r="C71" i="171"/>
  <c r="E122" i="172"/>
  <c r="I201" i="172"/>
  <c r="G214" i="172"/>
  <c r="K440" i="172"/>
  <c r="C77" i="171"/>
  <c r="E77" i="171" s="1"/>
  <c r="G77" i="171" s="1"/>
  <c r="N42" i="179"/>
  <c r="H227" i="181"/>
  <c r="H245" i="181" s="1"/>
  <c r="K496" i="179"/>
  <c r="K42" i="172"/>
  <c r="E217" i="172"/>
  <c r="C23" i="171"/>
  <c r="I499" i="179"/>
  <c r="I547" i="179" s="1"/>
  <c r="I466" i="172"/>
  <c r="G479" i="172"/>
  <c r="I288" i="172"/>
  <c r="G307" i="172"/>
  <c r="H482" i="172"/>
  <c r="H527" i="172" s="1"/>
  <c r="F71" i="171"/>
  <c r="F90" i="171" s="1"/>
  <c r="N539" i="179"/>
  <c r="E543" i="179"/>
  <c r="N544" i="179" s="1"/>
  <c r="I108" i="172"/>
  <c r="G122" i="172"/>
  <c r="G217" i="172" s="1"/>
  <c r="G262" i="172" s="1"/>
  <c r="I224" i="179"/>
  <c r="I272" i="179" s="1"/>
  <c r="I387" i="172"/>
  <c r="F122" i="181"/>
  <c r="F138" i="181" s="1"/>
  <c r="E386" i="179"/>
  <c r="E402" i="179" s="1"/>
  <c r="N402" i="179" s="1"/>
  <c r="L196" i="181"/>
  <c r="L245" i="181"/>
  <c r="L138" i="181"/>
  <c r="G57" i="180"/>
  <c r="E64" i="180"/>
  <c r="K217" i="174"/>
  <c r="K262" i="174" s="1"/>
  <c r="J181" i="179"/>
  <c r="K444" i="179"/>
  <c r="F279" i="181"/>
  <c r="F298" i="181" s="1"/>
  <c r="F302" i="181" s="1"/>
  <c r="I521" i="172"/>
  <c r="F190" i="181"/>
  <c r="L190" i="181" s="1"/>
  <c r="E451" i="179"/>
  <c r="E456" i="179" s="1"/>
  <c r="N456" i="179" s="1"/>
  <c r="C79" i="171"/>
  <c r="E79" i="171" s="1"/>
  <c r="G79" i="171" s="1"/>
  <c r="K479" i="172"/>
  <c r="K175" i="172"/>
  <c r="C29" i="171"/>
  <c r="E29" i="171" s="1"/>
  <c r="G29" i="171" s="1"/>
  <c r="N181" i="179"/>
  <c r="N264" i="179"/>
  <c r="E268" i="179"/>
  <c r="N269" i="179" s="1"/>
  <c r="F171" i="181"/>
  <c r="L171" i="181" s="1"/>
  <c r="E432" i="179"/>
  <c r="F196" i="181"/>
  <c r="K83" i="172"/>
  <c r="C25" i="171"/>
  <c r="E25" i="171" s="1"/>
  <c r="G25" i="171" s="1"/>
  <c r="L298" i="181"/>
  <c r="L304" i="181" s="1"/>
  <c r="F38" i="181"/>
  <c r="E312" i="179"/>
  <c r="L74" i="181"/>
  <c r="L91" i="181" s="1"/>
  <c r="K214" i="172"/>
  <c r="C31" i="171"/>
  <c r="E31" i="171" s="1"/>
  <c r="G31" i="171" s="1"/>
  <c r="K526" i="174"/>
  <c r="K524" i="172"/>
  <c r="C81" i="171"/>
  <c r="E81" i="171" s="1"/>
  <c r="G81" i="171" s="1"/>
  <c r="I293" i="172"/>
  <c r="E346" i="179"/>
  <c r="E362" i="179" s="1"/>
  <c r="N362" i="179" s="1"/>
  <c r="F75" i="181"/>
  <c r="L75" i="181" s="1"/>
  <c r="H183" i="181" l="1"/>
  <c r="H196" i="181" s="1"/>
  <c r="K456" i="179"/>
  <c r="G64" i="180"/>
  <c r="J312" i="179"/>
  <c r="F25" i="181"/>
  <c r="E299" i="179"/>
  <c r="I307" i="172"/>
  <c r="I482" i="172" s="1"/>
  <c r="I527" i="172" s="1"/>
  <c r="C42" i="171"/>
  <c r="E23" i="171"/>
  <c r="C90" i="171"/>
  <c r="E71" i="171"/>
  <c r="E262" i="172"/>
  <c r="K262" i="172" s="1"/>
  <c r="K217" i="172"/>
  <c r="K482" i="172"/>
  <c r="E527" i="172"/>
  <c r="K527" i="172" s="1"/>
  <c r="F91" i="181"/>
  <c r="E111" i="179"/>
  <c r="E126" i="179" s="1"/>
  <c r="I122" i="172"/>
  <c r="F227" i="181"/>
  <c r="F245" i="181" s="1"/>
  <c r="I479" i="172"/>
  <c r="E482" i="179"/>
  <c r="E496" i="179" s="1"/>
  <c r="E207" i="179"/>
  <c r="E221" i="179" s="1"/>
  <c r="I214" i="172"/>
  <c r="J35" i="179"/>
  <c r="G29" i="180"/>
  <c r="F30" i="181"/>
  <c r="L30" i="181" s="1"/>
  <c r="E304" i="179"/>
  <c r="G482" i="172"/>
  <c r="G527" i="172" s="1"/>
  <c r="K122" i="172"/>
  <c r="C27" i="171"/>
  <c r="E27" i="171" s="1"/>
  <c r="G27" i="171" s="1"/>
  <c r="J319" i="179" l="1"/>
  <c r="J499" i="179" s="1"/>
  <c r="J547" i="179" s="1"/>
  <c r="K312" i="179"/>
  <c r="I217" i="172"/>
  <c r="I262" i="172" s="1"/>
  <c r="G71" i="171"/>
  <c r="G90" i="171" s="1"/>
  <c r="I18" i="170" s="1"/>
  <c r="E90" i="171"/>
  <c r="J42" i="179"/>
  <c r="J224" i="179" s="1"/>
  <c r="J272" i="179" s="1"/>
  <c r="K35" i="179"/>
  <c r="K42" i="179" s="1"/>
  <c r="K224" i="179" s="1"/>
  <c r="K272" i="179" s="1"/>
  <c r="G20" i="170" s="1"/>
  <c r="N496" i="179"/>
  <c r="N126" i="179"/>
  <c r="E224" i="179"/>
  <c r="E319" i="179"/>
  <c r="N221" i="179"/>
  <c r="G23" i="171"/>
  <c r="G42" i="171" s="1"/>
  <c r="G18" i="170" s="1"/>
  <c r="G22" i="170" s="1"/>
  <c r="E42" i="171"/>
  <c r="L25" i="181"/>
  <c r="L44" i="181" s="1"/>
  <c r="L248" i="181" s="1"/>
  <c r="L307" i="181" s="1"/>
  <c r="F44" i="181"/>
  <c r="F248" i="181" s="1"/>
  <c r="F307" i="181" s="1"/>
  <c r="N224" i="179" l="1"/>
  <c r="E272" i="179"/>
  <c r="N272" i="179" s="1"/>
  <c r="H38" i="181"/>
  <c r="H44" i="181" s="1"/>
  <c r="H248" i="181" s="1"/>
  <c r="H307" i="181" s="1"/>
  <c r="K319" i="179"/>
  <c r="K499" i="179" s="1"/>
  <c r="K547" i="179" s="1"/>
  <c r="E499" i="179"/>
  <c r="N319" i="179"/>
  <c r="N499" i="179" l="1"/>
  <c r="E547" i="179"/>
  <c r="N547" i="179" s="1"/>
  <c r="F19" i="61" l="1"/>
  <c r="U75" i="62" l="1"/>
  <c r="S75" i="62"/>
  <c r="Q75" i="62"/>
  <c r="O75" i="62"/>
  <c r="M75" i="62"/>
  <c r="J75" i="62"/>
  <c r="G75" i="62"/>
  <c r="E75" i="62"/>
  <c r="D75" i="62"/>
  <c r="F123" i="164" l="1"/>
  <c r="F53" i="164"/>
  <c r="L28" i="81" l="1"/>
  <c r="L27" i="81"/>
  <c r="L21" i="81"/>
  <c r="E30" i="62" l="1"/>
  <c r="D30" i="62"/>
  <c r="H16" i="159"/>
  <c r="H18" i="159"/>
  <c r="H19" i="159"/>
  <c r="H20" i="159"/>
  <c r="H21" i="159"/>
  <c r="H22" i="159"/>
  <c r="H23" i="159"/>
  <c r="H24" i="159"/>
  <c r="H25" i="159"/>
  <c r="H26" i="159"/>
  <c r="H27" i="159"/>
  <c r="H28" i="159"/>
  <c r="H29" i="159"/>
  <c r="H30" i="159"/>
  <c r="H31" i="159"/>
  <c r="F16" i="164" l="1"/>
  <c r="D16" i="164"/>
  <c r="D198" i="110" l="1"/>
  <c r="D190" i="110"/>
  <c r="F9" i="162"/>
  <c r="O60" i="41" l="1"/>
  <c r="W140" i="41"/>
  <c r="F57" i="61" l="1"/>
  <c r="H10" i="59" l="1"/>
  <c r="AL189" i="15"/>
  <c r="AD163" i="15"/>
  <c r="AD140" i="15"/>
  <c r="T72" i="75" l="1"/>
  <c r="G44" i="60" l="1"/>
  <c r="G9" i="60"/>
  <c r="O50" i="145" l="1"/>
  <c r="Q50" i="145" l="1"/>
  <c r="O53" i="145"/>
  <c r="V76" i="41" l="1"/>
  <c r="T86" i="41"/>
  <c r="Q77" i="41"/>
  <c r="Q76" i="41"/>
  <c r="Q75" i="41"/>
  <c r="Q74" i="41"/>
  <c r="Q87" i="41" l="1"/>
  <c r="Q88" i="41" s="1"/>
  <c r="Q89" i="41" l="1"/>
  <c r="Q90" i="41" s="1"/>
  <c r="Q91" i="41" s="1"/>
  <c r="Q92" i="41" l="1"/>
  <c r="Q93" i="41" s="1"/>
  <c r="Q94" i="41" s="1"/>
  <c r="Q95" i="41" l="1"/>
  <c r="Q96" i="41" l="1"/>
  <c r="Q97" i="41" l="1"/>
  <c r="Q98" i="41" l="1"/>
  <c r="Q99" i="41" s="1"/>
  <c r="Q100" i="41" s="1"/>
  <c r="Q101" i="41" s="1"/>
  <c r="Q102" i="41" s="1"/>
  <c r="Q103" i="41" s="1"/>
  <c r="Q104" i="41" s="1"/>
  <c r="Q105" i="41" s="1"/>
  <c r="Q106" i="41" s="1"/>
  <c r="Q107" i="41" s="1"/>
  <c r="Q108" i="41" s="1"/>
  <c r="Q109" i="41" s="1"/>
  <c r="Q110" i="41" s="1"/>
  <c r="Q111" i="41" s="1"/>
  <c r="Q112" i="41" s="1"/>
  <c r="Q113" i="41" s="1"/>
  <c r="Q114" i="41" s="1"/>
  <c r="Q115" i="41" s="1"/>
  <c r="Q116" i="41" s="1"/>
  <c r="Q117" i="41" s="1"/>
  <c r="Q118" i="41" s="1"/>
  <c r="Q119" i="41" s="1"/>
  <c r="Q120" i="41" s="1"/>
  <c r="Q121" i="41" s="1"/>
  <c r="Q122" i="41" s="1"/>
  <c r="Q123" i="41" s="1"/>
  <c r="Q124" i="41" s="1"/>
  <c r="Q125" i="41" s="1"/>
  <c r="Q126" i="41" s="1"/>
  <c r="Q127" i="41" s="1"/>
  <c r="Q128" i="41" s="1"/>
  <c r="Q129" i="41" s="1"/>
  <c r="Q130" i="41" s="1"/>
  <c r="Q131" i="41" s="1"/>
  <c r="Q132" i="41" s="1"/>
  <c r="Q133" i="41" s="1"/>
  <c r="Q134" i="41" s="1"/>
  <c r="Q135" i="41" s="1"/>
  <c r="Q136" i="41" s="1"/>
  <c r="Q137" i="41" s="1"/>
  <c r="Q138" i="41" s="1"/>
  <c r="T10" i="62" l="1"/>
  <c r="U10" i="159"/>
  <c r="L183" i="110"/>
  <c r="L140" i="110"/>
  <c r="L64" i="110"/>
  <c r="AC84" i="145" l="1"/>
  <c r="AC87" i="145" s="1"/>
  <c r="AC85" i="145"/>
  <c r="U75" i="145"/>
  <c r="AB74" i="145"/>
  <c r="U74" i="145"/>
  <c r="U73" i="145"/>
  <c r="R113" i="109" l="1"/>
  <c r="R111" i="109"/>
  <c r="R110" i="109"/>
  <c r="R108" i="109"/>
  <c r="R96" i="109"/>
  <c r="R97" i="109"/>
  <c r="R98" i="109"/>
  <c r="R109" i="109" l="1"/>
  <c r="P50" i="161"/>
  <c r="Z70" i="161"/>
  <c r="Q45" i="161" s="1"/>
  <c r="R45" i="161" s="1"/>
  <c r="Z71" i="161"/>
  <c r="Q46" i="161" s="1"/>
  <c r="R46" i="161" s="1"/>
  <c r="Z72" i="161"/>
  <c r="Q47" i="161" s="1"/>
  <c r="R47" i="161" s="1"/>
  <c r="Z73" i="161"/>
  <c r="Q48" i="161" s="1"/>
  <c r="R48" i="161" s="1"/>
  <c r="Z69" i="161"/>
  <c r="Q44" i="161" s="1"/>
  <c r="R44" i="161" s="1"/>
  <c r="J38" i="161"/>
  <c r="H22" i="161"/>
  <c r="G9" i="161"/>
  <c r="T70" i="161"/>
  <c r="T71" i="161" s="1"/>
  <c r="T72" i="161" s="1"/>
  <c r="T73" i="161" s="1"/>
  <c r="Z67" i="161"/>
  <c r="AA60" i="161"/>
  <c r="T60" i="161"/>
  <c r="T59" i="161"/>
  <c r="T58" i="161"/>
  <c r="Q37" i="161"/>
  <c r="J37" i="161"/>
  <c r="R50" i="161" l="1"/>
  <c r="R52" i="161" s="1"/>
  <c r="R56" i="161" s="1"/>
  <c r="AA337" i="24" s="1"/>
  <c r="H24" i="163" s="1"/>
  <c r="P52" i="162"/>
  <c r="H20" i="161" l="1"/>
  <c r="H25" i="161" s="1"/>
  <c r="A1" i="164"/>
  <c r="D124" i="164" l="1"/>
  <c r="H276" i="21" l="1"/>
  <c r="H275" i="21"/>
  <c r="H274" i="21"/>
  <c r="H273" i="21"/>
  <c r="H272" i="21"/>
  <c r="H271" i="21"/>
  <c r="H270" i="21"/>
  <c r="H269" i="21"/>
  <c r="H268" i="21"/>
  <c r="H267" i="21"/>
  <c r="H237" i="21"/>
  <c r="H236" i="21"/>
  <c r="H235" i="21"/>
  <c r="H228" i="21"/>
  <c r="H227" i="21"/>
  <c r="H226" i="21"/>
  <c r="H243" i="22"/>
  <c r="H242" i="22"/>
  <c r="H241" i="22"/>
  <c r="H234" i="22"/>
  <c r="H233" i="22"/>
  <c r="H232" i="22"/>
  <c r="H281" i="22"/>
  <c r="H280" i="22"/>
  <c r="H279" i="22"/>
  <c r="H278" i="22"/>
  <c r="H277" i="22"/>
  <c r="H276" i="22"/>
  <c r="H275" i="22"/>
  <c r="H274" i="22"/>
  <c r="H273" i="22"/>
  <c r="J52" i="71" l="1"/>
  <c r="D57" i="164" l="1"/>
  <c r="D44" i="164"/>
  <c r="F124" i="164" l="1"/>
  <c r="F99" i="164"/>
  <c r="F86" i="164"/>
  <c r="F36" i="164"/>
  <c r="D85" i="164"/>
  <c r="I46" i="154" l="1"/>
  <c r="I47" i="154" s="1"/>
  <c r="I49" i="154" s="1"/>
  <c r="I51" i="154" s="1"/>
  <c r="I53" i="154" s="1"/>
  <c r="P49" i="154"/>
  <c r="Q110" i="9" l="1"/>
  <c r="Q53" i="145" l="1"/>
  <c r="S53" i="145" l="1"/>
  <c r="S50" i="145"/>
  <c r="Q55" i="145"/>
  <c r="O55" i="145"/>
  <c r="S55" i="145" l="1"/>
  <c r="R40" i="145"/>
  <c r="G9" i="145"/>
  <c r="F9" i="154" l="1"/>
  <c r="H39" i="131" l="1"/>
  <c r="H40" i="131" s="1"/>
  <c r="H41" i="131" s="1"/>
  <c r="H42" i="131" s="1"/>
  <c r="H43" i="131" s="1"/>
  <c r="H44" i="131" s="1"/>
  <c r="H45" i="131" s="1"/>
  <c r="H46" i="131" s="1"/>
  <c r="H47" i="131" s="1"/>
  <c r="H48" i="131" s="1"/>
  <c r="H49" i="131" s="1"/>
  <c r="H50" i="131" s="1"/>
  <c r="H51" i="131" s="1"/>
  <c r="H52" i="131" s="1"/>
  <c r="Y58" i="131" l="1"/>
  <c r="O31" i="131"/>
  <c r="E9" i="131"/>
  <c r="P61" i="109" l="1"/>
  <c r="P100" i="109" s="1"/>
  <c r="W61" i="109"/>
  <c r="X61" i="109" s="1"/>
  <c r="V61" i="109"/>
  <c r="X60" i="109"/>
  <c r="Y60" i="109" s="1"/>
  <c r="R61" i="109"/>
  <c r="R60" i="109"/>
  <c r="Y61" i="109" l="1"/>
  <c r="K38" i="111" l="1"/>
  <c r="A17" i="111"/>
  <c r="N37" i="41" l="1"/>
  <c r="O55" i="41"/>
  <c r="O56" i="41" s="1"/>
  <c r="O57" i="41" s="1"/>
  <c r="O49" i="41"/>
  <c r="O50" i="41" s="1"/>
  <c r="U137" i="41" l="1"/>
  <c r="U133" i="41"/>
  <c r="U129" i="41"/>
  <c r="U125" i="41"/>
  <c r="V125" i="41" s="1"/>
  <c r="U121" i="41"/>
  <c r="V121" i="41" s="1"/>
  <c r="U115" i="41"/>
  <c r="U111" i="41"/>
  <c r="U107" i="41"/>
  <c r="V107" i="41" s="1"/>
  <c r="U103" i="41"/>
  <c r="U99" i="41"/>
  <c r="U95" i="41"/>
  <c r="U91" i="41"/>
  <c r="V91" i="41" s="1"/>
  <c r="U87" i="41"/>
  <c r="U120" i="41"/>
  <c r="U136" i="41"/>
  <c r="U132" i="41"/>
  <c r="U128" i="41"/>
  <c r="U124" i="41"/>
  <c r="V124" i="41" s="1"/>
  <c r="U118" i="41"/>
  <c r="U114" i="41"/>
  <c r="U110" i="41"/>
  <c r="U106" i="41"/>
  <c r="U102" i="41"/>
  <c r="U98" i="41"/>
  <c r="U94" i="41"/>
  <c r="U90" i="41"/>
  <c r="O62" i="41"/>
  <c r="U119" i="41"/>
  <c r="U135" i="41"/>
  <c r="U131" i="41"/>
  <c r="U127" i="41"/>
  <c r="U123" i="41"/>
  <c r="V123" i="41" s="1"/>
  <c r="U117" i="41"/>
  <c r="U113" i="41"/>
  <c r="U109" i="41"/>
  <c r="V109" i="41" s="1"/>
  <c r="U105" i="41"/>
  <c r="V105" i="41" s="1"/>
  <c r="U101" i="41"/>
  <c r="U97" i="41"/>
  <c r="U93" i="41"/>
  <c r="V93" i="41" s="1"/>
  <c r="U89" i="41"/>
  <c r="V89" i="41" s="1"/>
  <c r="U138" i="41"/>
  <c r="U130" i="41"/>
  <c r="U112" i="41"/>
  <c r="U96" i="41"/>
  <c r="U126" i="41"/>
  <c r="V126" i="41" s="1"/>
  <c r="U108" i="41"/>
  <c r="U92" i="41"/>
  <c r="V92" i="41" s="1"/>
  <c r="U122" i="41"/>
  <c r="V122" i="41" s="1"/>
  <c r="U104" i="41"/>
  <c r="U88" i="41"/>
  <c r="U134" i="41"/>
  <c r="U116" i="41"/>
  <c r="V116" i="41" s="1"/>
  <c r="U100" i="41"/>
  <c r="O51" i="41"/>
  <c r="S115" i="41"/>
  <c r="S111" i="41"/>
  <c r="S107" i="41"/>
  <c r="S103" i="41"/>
  <c r="S99" i="41"/>
  <c r="S95" i="41"/>
  <c r="S91" i="41"/>
  <c r="S87" i="41"/>
  <c r="S118" i="41"/>
  <c r="S114" i="41"/>
  <c r="S110" i="41"/>
  <c r="S106" i="41"/>
  <c r="S102" i="41"/>
  <c r="S98" i="41"/>
  <c r="S94" i="41"/>
  <c r="S90" i="41"/>
  <c r="S117" i="41"/>
  <c r="S113" i="41"/>
  <c r="S109" i="41"/>
  <c r="S105" i="41"/>
  <c r="S101" i="41"/>
  <c r="S97" i="41"/>
  <c r="S93" i="41"/>
  <c r="S89" i="41"/>
  <c r="S112" i="41"/>
  <c r="S96" i="41"/>
  <c r="S108" i="41"/>
  <c r="S92" i="41"/>
  <c r="S104" i="41"/>
  <c r="S88" i="41"/>
  <c r="V88" i="41" s="1"/>
  <c r="S116" i="41"/>
  <c r="S100" i="41"/>
  <c r="O58" i="41"/>
  <c r="O64" i="41" s="1"/>
  <c r="O68" i="41" s="1"/>
  <c r="V131" i="41" l="1"/>
  <c r="V135" i="41"/>
  <c r="V127" i="41"/>
  <c r="V128" i="41"/>
  <c r="V132" i="41"/>
  <c r="V136" i="41"/>
  <c r="V129" i="41"/>
  <c r="V133" i="41"/>
  <c r="V137" i="41"/>
  <c r="V130" i="41"/>
  <c r="V134" i="41"/>
  <c r="V138" i="41"/>
  <c r="V112" i="41"/>
  <c r="V118" i="41"/>
  <c r="V120" i="41"/>
  <c r="V95" i="41"/>
  <c r="T87" i="41"/>
  <c r="T88" i="41" s="1"/>
  <c r="T89" i="41" s="1"/>
  <c r="T90" i="41" s="1"/>
  <c r="T91" i="41" s="1"/>
  <c r="T92" i="41" s="1"/>
  <c r="T93" i="41" s="1"/>
  <c r="T94" i="41" s="1"/>
  <c r="T95" i="41" s="1"/>
  <c r="T96" i="41" s="1"/>
  <c r="T97" i="41" s="1"/>
  <c r="T98" i="41" s="1"/>
  <c r="T99" i="41" s="1"/>
  <c r="T100" i="41" s="1"/>
  <c r="T101" i="41" s="1"/>
  <c r="T102" i="41" s="1"/>
  <c r="T103" i="41" s="1"/>
  <c r="T104" i="41" s="1"/>
  <c r="T105" i="41" s="1"/>
  <c r="T106" i="41" s="1"/>
  <c r="T107" i="41" s="1"/>
  <c r="T108" i="41" s="1"/>
  <c r="T109" i="41" s="1"/>
  <c r="T110" i="41" s="1"/>
  <c r="T111" i="41" s="1"/>
  <c r="T112" i="41" s="1"/>
  <c r="T113" i="41" s="1"/>
  <c r="T114" i="41" s="1"/>
  <c r="T115" i="41" s="1"/>
  <c r="T116" i="41" s="1"/>
  <c r="T117" i="41" s="1"/>
  <c r="T118" i="41" s="1"/>
  <c r="V87" i="41"/>
  <c r="W87" i="41" s="1"/>
  <c r="W88" i="41" s="1"/>
  <c r="W89" i="41" s="1"/>
  <c r="V108" i="41"/>
  <c r="V97" i="41"/>
  <c r="V113" i="41"/>
  <c r="V90" i="41"/>
  <c r="V106" i="41"/>
  <c r="V99" i="41"/>
  <c r="V115" i="41"/>
  <c r="V96" i="41"/>
  <c r="V98" i="41"/>
  <c r="V114" i="41"/>
  <c r="V102" i="41"/>
  <c r="V111" i="41"/>
  <c r="V100" i="41"/>
  <c r="V104" i="41"/>
  <c r="V101" i="41"/>
  <c r="V117" i="41"/>
  <c r="V94" i="41"/>
  <c r="V110" i="41"/>
  <c r="V103" i="41"/>
  <c r="H20" i="41"/>
  <c r="W90" i="41" l="1"/>
  <c r="W91" i="41" s="1"/>
  <c r="W92" i="41" s="1"/>
  <c r="W93" i="41" s="1"/>
  <c r="W94" i="41" s="1"/>
  <c r="W95" i="41" s="1"/>
  <c r="W96" i="41" s="1"/>
  <c r="W97" i="41" s="1"/>
  <c r="W98" i="41" s="1"/>
  <c r="W99" i="41" s="1"/>
  <c r="W100" i="41" s="1"/>
  <c r="W101" i="41" s="1"/>
  <c r="W102" i="41" s="1"/>
  <c r="W103" i="41" s="1"/>
  <c r="W104" i="41" s="1"/>
  <c r="W105" i="41" s="1"/>
  <c r="W106" i="41" s="1"/>
  <c r="W107" i="41" s="1"/>
  <c r="W108" i="41" s="1"/>
  <c r="W109" i="41" s="1"/>
  <c r="W110" i="41" s="1"/>
  <c r="W111" i="41" s="1"/>
  <c r="W112" i="41" s="1"/>
  <c r="W113" i="41" s="1"/>
  <c r="W114" i="41" s="1"/>
  <c r="W115" i="41" s="1"/>
  <c r="W116" i="41" s="1"/>
  <c r="W117" i="41" s="1"/>
  <c r="W118" i="41" s="1"/>
  <c r="W119" i="41" s="1"/>
  <c r="W120" i="41" s="1"/>
  <c r="W121" i="41" s="1"/>
  <c r="W122" i="41" s="1"/>
  <c r="W123" i="41" s="1"/>
  <c r="W124" i="41" s="1"/>
  <c r="W125" i="41" s="1"/>
  <c r="W126" i="41" s="1"/>
  <c r="S119" i="41"/>
  <c r="V119" i="41" s="1"/>
  <c r="T119" i="41"/>
  <c r="T121" i="41" s="1"/>
  <c r="T122" i="41" s="1"/>
  <c r="T123" i="41" s="1"/>
  <c r="T124" i="41" s="1"/>
  <c r="T125" i="41" s="1"/>
  <c r="T126" i="41" s="1"/>
  <c r="T127" i="41" s="1"/>
  <c r="T128" i="41" s="1"/>
  <c r="T129" i="41" s="1"/>
  <c r="T130" i="41" s="1"/>
  <c r="T131" i="41" s="1"/>
  <c r="T132" i="41" s="1"/>
  <c r="T133" i="41" s="1"/>
  <c r="T134" i="41" s="1"/>
  <c r="T135" i="41" s="1"/>
  <c r="T136" i="41" s="1"/>
  <c r="T137" i="41" s="1"/>
  <c r="T138" i="41" s="1"/>
  <c r="W127" i="41" l="1"/>
  <c r="W128" i="41" s="1"/>
  <c r="W129" i="41" s="1"/>
  <c r="W130" i="41" s="1"/>
  <c r="W131" i="41" s="1"/>
  <c r="W132" i="41" s="1"/>
  <c r="W133" i="41" s="1"/>
  <c r="W134" i="41" s="1"/>
  <c r="W135" i="41" s="1"/>
  <c r="W136" i="41" s="1"/>
  <c r="W137" i="41" s="1"/>
  <c r="W138" i="41" s="1"/>
  <c r="H32" i="131"/>
  <c r="R68" i="131" l="1"/>
  <c r="R69" i="131" s="1"/>
  <c r="R70" i="131" s="1"/>
  <c r="R71" i="131" s="1"/>
  <c r="X67" i="131" l="1"/>
  <c r="X69" i="131"/>
  <c r="X70" i="131"/>
  <c r="X71" i="131"/>
  <c r="X68" i="131"/>
  <c r="X65" i="131"/>
  <c r="R58" i="131"/>
  <c r="R57" i="131"/>
  <c r="R56" i="131"/>
  <c r="L48" i="131"/>
  <c r="M48" i="131"/>
  <c r="N48" i="131"/>
  <c r="O48" i="131"/>
  <c r="K48" i="131"/>
  <c r="M50" i="131" l="1"/>
  <c r="M52" i="131" s="1"/>
  <c r="O50" i="131"/>
  <c r="O52" i="131" s="1"/>
  <c r="N50" i="131"/>
  <c r="N52" i="131" s="1"/>
  <c r="L50" i="131"/>
  <c r="L52" i="131" s="1"/>
  <c r="K50" i="131"/>
  <c r="K52" i="131" s="1"/>
  <c r="H31" i="131"/>
  <c r="F20" i="131"/>
  <c r="P52" i="131" l="1"/>
  <c r="F18" i="131" s="1"/>
  <c r="F22" i="131" l="1"/>
  <c r="W336" i="24"/>
  <c r="G22" i="163" s="1"/>
  <c r="AA98" i="115"/>
  <c r="AA96" i="115"/>
  <c r="W82" i="115"/>
  <c r="W83" i="115" s="1"/>
  <c r="W84" i="115" s="1"/>
  <c r="W85" i="115" s="1"/>
  <c r="W86" i="115" s="1"/>
  <c r="W87" i="115" s="1"/>
  <c r="W88" i="115" s="1"/>
  <c r="W89" i="115" s="1"/>
  <c r="W90" i="115" s="1"/>
  <c r="W91" i="115" s="1"/>
  <c r="W92" i="115" s="1"/>
  <c r="W93" i="115" s="1"/>
  <c r="W94" i="115" s="1"/>
  <c r="W95" i="115" s="1"/>
  <c r="W96" i="115" s="1"/>
  <c r="W97" i="115" s="1"/>
  <c r="W98" i="115" s="1"/>
  <c r="C23" i="1" l="1"/>
  <c r="F20" i="61" s="1"/>
  <c r="F58" i="61" s="1"/>
  <c r="I59" i="61" s="1"/>
  <c r="R73" i="165" l="1"/>
  <c r="Q63" i="165"/>
  <c r="I9" i="108" l="1"/>
  <c r="S52" i="108"/>
  <c r="R48" i="35"/>
  <c r="I9" i="35"/>
  <c r="R45" i="34"/>
  <c r="I9" i="34"/>
  <c r="R45" i="84"/>
  <c r="I9" i="84"/>
  <c r="R45" i="33"/>
  <c r="I9" i="33"/>
  <c r="R45" i="32"/>
  <c r="I9" i="32"/>
  <c r="R45" i="31"/>
  <c r="I9" i="31"/>
  <c r="R45" i="30"/>
  <c r="I9" i="30"/>
  <c r="R45" i="29"/>
  <c r="I9" i="29"/>
  <c r="R45" i="151"/>
  <c r="I9" i="151"/>
  <c r="R45" i="107"/>
  <c r="I9" i="107"/>
  <c r="I9" i="28"/>
  <c r="R45" i="27"/>
  <c r="I9" i="27"/>
  <c r="R43" i="26"/>
  <c r="I9" i="26"/>
  <c r="R43" i="25"/>
  <c r="I9" i="25"/>
  <c r="G9" i="41" l="1"/>
  <c r="H22" i="41"/>
  <c r="J38" i="41"/>
  <c r="J37" i="41"/>
  <c r="J36" i="41"/>
  <c r="J35" i="41"/>
  <c r="H24" i="41" l="1"/>
  <c r="U288" i="24" s="1"/>
  <c r="Q15" i="163" s="1"/>
  <c r="AN509" i="24" l="1"/>
  <c r="H146" i="22" l="1"/>
  <c r="H145" i="22"/>
  <c r="G76" i="22" l="1"/>
  <c r="K32" i="46" l="1"/>
  <c r="K27" i="46"/>
  <c r="K25" i="46"/>
  <c r="K22" i="46"/>
  <c r="H75" i="22" l="1"/>
  <c r="P51" i="38" l="1"/>
  <c r="H21" i="38" s="1"/>
  <c r="P46" i="38" l="1"/>
  <c r="H20" i="38" l="1"/>
  <c r="H22" i="38" s="1"/>
  <c r="G75" i="22"/>
  <c r="U50" i="140"/>
  <c r="U48" i="140"/>
  <c r="S38" i="140"/>
  <c r="K39" i="140"/>
  <c r="K38" i="140"/>
  <c r="K37" i="140"/>
  <c r="K36" i="140"/>
  <c r="U52" i="140" l="1"/>
  <c r="S50" i="165"/>
  <c r="S63" i="165" s="1"/>
  <c r="T50" i="165"/>
  <c r="T63" i="165" s="1"/>
  <c r="U50" i="165"/>
  <c r="U63" i="165" s="1"/>
  <c r="U65" i="165" s="1"/>
  <c r="V50" i="165"/>
  <c r="V63" i="165" s="1"/>
  <c r="W50" i="165"/>
  <c r="W63" i="165" s="1"/>
  <c r="R50" i="165"/>
  <c r="R63" i="165" s="1"/>
  <c r="A1" i="165"/>
  <c r="A2" i="165"/>
  <c r="V39" i="165"/>
  <c r="L40" i="165"/>
  <c r="L39" i="165"/>
  <c r="L38" i="165"/>
  <c r="L37" i="165"/>
  <c r="A6" i="165"/>
  <c r="A7" i="165"/>
  <c r="I9" i="165"/>
  <c r="J21" i="165"/>
  <c r="S65" i="165" l="1"/>
  <c r="T65" i="165"/>
  <c r="V65" i="165"/>
  <c r="R65" i="165"/>
  <c r="AH250" i="46"/>
  <c r="AH251" i="46"/>
  <c r="AH252" i="46"/>
  <c r="AH253" i="46"/>
  <c r="AH243" i="46"/>
  <c r="AH244" i="46"/>
  <c r="AH239" i="46"/>
  <c r="R66" i="165" l="1"/>
  <c r="H91" i="22"/>
  <c r="J91" i="22" s="1"/>
  <c r="R67" i="165" l="1"/>
  <c r="P34" i="154"/>
  <c r="I35" i="154"/>
  <c r="I34" i="154"/>
  <c r="I33" i="154"/>
  <c r="I32" i="154"/>
  <c r="G21" i="154"/>
  <c r="R68" i="165" l="1"/>
  <c r="R72" i="165"/>
  <c r="R74" i="165" s="1"/>
  <c r="J19" i="165" s="1"/>
  <c r="J24" i="165" s="1"/>
  <c r="AE281" i="24" s="1"/>
  <c r="L20" i="163" s="1"/>
  <c r="U67" i="165"/>
  <c r="S67" i="165"/>
  <c r="V67" i="165"/>
  <c r="T67" i="165"/>
  <c r="T68" i="165" l="1"/>
  <c r="U68" i="165"/>
  <c r="V68" i="165"/>
  <c r="S68" i="165"/>
  <c r="X52" i="109"/>
  <c r="Y52" i="109" s="1"/>
  <c r="X53" i="109"/>
  <c r="Y53" i="109" s="1"/>
  <c r="X54" i="109"/>
  <c r="Y54" i="109" s="1"/>
  <c r="X55" i="109"/>
  <c r="Y55" i="109" s="1"/>
  <c r="X56" i="109"/>
  <c r="Y56" i="109" s="1"/>
  <c r="X57" i="109"/>
  <c r="Y57" i="109" s="1"/>
  <c r="X58" i="109"/>
  <c r="Y58" i="109" s="1"/>
  <c r="X59" i="109"/>
  <c r="Y59" i="109" s="1"/>
  <c r="X62" i="109"/>
  <c r="Y62" i="109" s="1"/>
  <c r="X63" i="109"/>
  <c r="Y63" i="109" s="1"/>
  <c r="X64" i="109"/>
  <c r="Y64" i="109" s="1"/>
  <c r="X65" i="109"/>
  <c r="Y65" i="109" s="1"/>
  <c r="X66" i="109"/>
  <c r="Y66" i="109" s="1"/>
  <c r="X67" i="109"/>
  <c r="Y67" i="109" s="1"/>
  <c r="X68" i="109"/>
  <c r="Y68" i="109" s="1"/>
  <c r="X69" i="109"/>
  <c r="Y69" i="109" s="1"/>
  <c r="X70" i="109"/>
  <c r="Y70" i="109" s="1"/>
  <c r="X71" i="109"/>
  <c r="Y71" i="109" s="1"/>
  <c r="X72" i="109"/>
  <c r="Y72" i="109" s="1"/>
  <c r="X73" i="109"/>
  <c r="Y73" i="109" s="1"/>
  <c r="X74" i="109"/>
  <c r="Y74" i="109" s="1"/>
  <c r="X75" i="109"/>
  <c r="Y75" i="109" s="1"/>
  <c r="X76" i="109"/>
  <c r="Y76" i="109" s="1"/>
  <c r="X77" i="109"/>
  <c r="Y77" i="109" s="1"/>
  <c r="X78" i="109"/>
  <c r="Y78" i="109" s="1"/>
  <c r="X79" i="109"/>
  <c r="Y79" i="109" s="1"/>
  <c r="X80" i="109"/>
  <c r="Y80" i="109" s="1"/>
  <c r="X81" i="109"/>
  <c r="Y81" i="109" s="1"/>
  <c r="X82" i="109"/>
  <c r="Y82" i="109" s="1"/>
  <c r="X83" i="109"/>
  <c r="Y83" i="109" s="1"/>
  <c r="X84" i="109"/>
  <c r="Y84" i="109" s="1"/>
  <c r="X85" i="109"/>
  <c r="Y85" i="109" s="1"/>
  <c r="X86" i="109"/>
  <c r="Y86" i="109" s="1"/>
  <c r="X87" i="109"/>
  <c r="Y87" i="109" s="1"/>
  <c r="X88" i="109"/>
  <c r="Y88" i="109" s="1"/>
  <c r="X89" i="109"/>
  <c r="Y89" i="109" s="1"/>
  <c r="X90" i="109"/>
  <c r="Y90" i="109" s="1"/>
  <c r="X91" i="109"/>
  <c r="Y91" i="109" s="1"/>
  <c r="X92" i="109"/>
  <c r="Y92" i="109" s="1"/>
  <c r="X93" i="109"/>
  <c r="Y93" i="109" s="1"/>
  <c r="X94" i="109"/>
  <c r="Y94" i="109" s="1"/>
  <c r="X95" i="109"/>
  <c r="Y95" i="109" s="1"/>
  <c r="W100" i="109"/>
  <c r="Y100" i="109" l="1"/>
  <c r="X100" i="109"/>
  <c r="F36" i="75"/>
  <c r="T96" i="75"/>
  <c r="F12" i="75"/>
  <c r="Q129" i="6" l="1"/>
  <c r="P129" i="6"/>
  <c r="O129" i="6"/>
  <c r="N129" i="6"/>
  <c r="M129" i="6"/>
  <c r="L129" i="6"/>
  <c r="K129" i="6"/>
  <c r="J129" i="6"/>
  <c r="I129" i="6"/>
  <c r="H129" i="6"/>
  <c r="G129" i="6"/>
  <c r="F129" i="6"/>
  <c r="AL204" i="15" l="1"/>
  <c r="AL203" i="15"/>
  <c r="E24" i="13" l="1"/>
  <c r="U48" i="111" l="1"/>
  <c r="Z203" i="46" l="1"/>
  <c r="Z204" i="46" s="1"/>
  <c r="Z205" i="46" s="1"/>
  <c r="Z206" i="46" s="1"/>
  <c r="Z207" i="46" s="1"/>
  <c r="Z208" i="46" s="1"/>
  <c r="Z209" i="46" s="1"/>
  <c r="Z210" i="46" s="1"/>
  <c r="Z211" i="46" s="1"/>
  <c r="Z212" i="46" s="1"/>
  <c r="Z213" i="46" s="1"/>
  <c r="Z214" i="46" s="1"/>
  <c r="Z215" i="46" s="1"/>
  <c r="Z216" i="46" s="1"/>
  <c r="Z217" i="46" s="1"/>
  <c r="Z218" i="46" s="1"/>
  <c r="Z219" i="46" s="1"/>
  <c r="Z220" i="46" s="1"/>
  <c r="Z221" i="46" s="1"/>
  <c r="Z222" i="46" s="1"/>
  <c r="Z223" i="46" s="1"/>
  <c r="Z224" i="46" s="1"/>
  <c r="Z225" i="46" s="1"/>
  <c r="Z226" i="46" s="1"/>
  <c r="Z227" i="46" s="1"/>
  <c r="Z228" i="46" s="1"/>
  <c r="Z229" i="46" s="1"/>
  <c r="Z230" i="46" s="1"/>
  <c r="Z231" i="46" s="1"/>
  <c r="Z232" i="46" s="1"/>
  <c r="Z233" i="46" s="1"/>
  <c r="Z234" i="46" s="1"/>
  <c r="Z235" i="46" s="1"/>
  <c r="Z236" i="46" s="1"/>
  <c r="Z237" i="46" s="1"/>
  <c r="Z238" i="46" s="1"/>
  <c r="Z239" i="46" s="1"/>
  <c r="Z240" i="46" s="1"/>
  <c r="Z241" i="46" s="1"/>
  <c r="Z242" i="46" s="1"/>
  <c r="Z243" i="46" s="1"/>
  <c r="Z244" i="46" s="1"/>
  <c r="Z245" i="46" s="1"/>
  <c r="Z246" i="46" s="1"/>
  <c r="Z247" i="46" s="1"/>
  <c r="Z248" i="46" s="1"/>
  <c r="Z249" i="46" s="1"/>
  <c r="Z250" i="46" s="1"/>
  <c r="Z251" i="46" s="1"/>
  <c r="Z252" i="46" s="1"/>
  <c r="Z253" i="46" s="1"/>
  <c r="Z254" i="46" s="1"/>
  <c r="Z255" i="46" s="1"/>
  <c r="Z256" i="46" s="1"/>
  <c r="Z257" i="46" s="1"/>
  <c r="Z258" i="46" s="1"/>
  <c r="Z259" i="46" s="1"/>
  <c r="Z260" i="46" s="1"/>
  <c r="Z261" i="46" s="1"/>
  <c r="Z262" i="46" s="1"/>
  <c r="Z263" i="46" s="1"/>
  <c r="Z264" i="46" s="1"/>
  <c r="Z265" i="46" s="1"/>
  <c r="Z266" i="46" s="1"/>
  <c r="Z267" i="46" s="1"/>
  <c r="Z268" i="46" s="1"/>
  <c r="Z269" i="46" s="1"/>
  <c r="Z270" i="46" s="1"/>
  <c r="Z271" i="46" s="1"/>
  <c r="Z272" i="46" s="1"/>
  <c r="Z273" i="46" s="1"/>
  <c r="Z274" i="46" s="1"/>
  <c r="Z275" i="46" s="1"/>
  <c r="Z276" i="46" s="1"/>
  <c r="Z277" i="46" s="1"/>
  <c r="Z278" i="46" s="1"/>
  <c r="Z279" i="46" s="1"/>
  <c r="Z280" i="46" s="1"/>
  <c r="Z281" i="46" s="1"/>
  <c r="Z282" i="46" s="1"/>
  <c r="Z283" i="46" s="1"/>
  <c r="Z284" i="46" s="1"/>
  <c r="Z285" i="46" s="1"/>
  <c r="Z286" i="46" s="1"/>
  <c r="Z287" i="46" s="1"/>
  <c r="Z288" i="46" s="1"/>
  <c r="Z289" i="46" s="1"/>
  <c r="Z290" i="46" s="1"/>
  <c r="Z291" i="46" s="1"/>
  <c r="Z292" i="46" s="1"/>
  <c r="Z293" i="46" s="1"/>
  <c r="Z294" i="46" s="1"/>
  <c r="Z295" i="46" s="1"/>
  <c r="Z296" i="46" s="1"/>
  <c r="Z297" i="46" s="1"/>
  <c r="P43" i="143" l="1"/>
  <c r="K33" i="143"/>
  <c r="P32" i="143"/>
  <c r="K32" i="143"/>
  <c r="I22" i="143"/>
  <c r="G9" i="143"/>
  <c r="A7" i="143"/>
  <c r="A6" i="143"/>
  <c r="F20" i="58" l="1"/>
  <c r="F21" i="58"/>
  <c r="Q148" i="6" l="1"/>
  <c r="P148" i="6"/>
  <c r="O148" i="6"/>
  <c r="AA165" i="55" l="1"/>
  <c r="Z165" i="55"/>
  <c r="Y165" i="55"/>
  <c r="G28" i="58" l="1"/>
  <c r="G21" i="58"/>
  <c r="H21" i="58" s="1"/>
  <c r="L21" i="58" s="1"/>
  <c r="H86" i="22" l="1"/>
  <c r="J86" i="22" s="1"/>
  <c r="H79" i="22"/>
  <c r="J79" i="22" s="1"/>
  <c r="H73" i="22"/>
  <c r="A7" i="154" l="1"/>
  <c r="A6" i="154"/>
  <c r="L52" i="81"/>
  <c r="L48" i="81"/>
  <c r="L46" i="81"/>
  <c r="G44" i="81"/>
  <c r="H44" i="81" s="1"/>
  <c r="L44" i="81" s="1"/>
  <c r="H43" i="81"/>
  <c r="L43" i="81" s="1"/>
  <c r="H42" i="81"/>
  <c r="L42" i="81" s="1"/>
  <c r="H41" i="81"/>
  <c r="L41" i="81" s="1"/>
  <c r="H40" i="81"/>
  <c r="L40" i="81" s="1"/>
  <c r="H39" i="81"/>
  <c r="L39" i="81" s="1"/>
  <c r="H38" i="81"/>
  <c r="L38" i="81" s="1"/>
  <c r="H37" i="81"/>
  <c r="L37" i="81" s="1"/>
  <c r="H36" i="81"/>
  <c r="L36" i="81" s="1"/>
  <c r="L33" i="81"/>
  <c r="L32" i="81"/>
  <c r="L31" i="81"/>
  <c r="L30" i="81"/>
  <c r="L29" i="81"/>
  <c r="L23" i="81"/>
  <c r="M23" i="81" s="1"/>
  <c r="L22" i="81"/>
  <c r="M22" i="81" s="1"/>
  <c r="M21" i="81"/>
  <c r="L33" i="71"/>
  <c r="L32" i="71"/>
  <c r="L31" i="71"/>
  <c r="L30" i="71"/>
  <c r="L29" i="71"/>
  <c r="L28" i="71"/>
  <c r="L27" i="71"/>
  <c r="L23" i="71"/>
  <c r="M23" i="71" s="1"/>
  <c r="L22" i="71"/>
  <c r="M22" i="71" s="1"/>
  <c r="L21" i="71"/>
  <c r="M21" i="71" s="1"/>
  <c r="M50" i="71"/>
  <c r="L49" i="71"/>
  <c r="L48" i="71"/>
  <c r="G45" i="71"/>
  <c r="G46" i="71" s="1"/>
  <c r="H46" i="71" s="1"/>
  <c r="L46" i="71" s="1"/>
  <c r="H44" i="71"/>
  <c r="L44" i="71" s="1"/>
  <c r="H43" i="71"/>
  <c r="L43" i="71" s="1"/>
  <c r="H42" i="71"/>
  <c r="L42" i="71" s="1"/>
  <c r="H41" i="71"/>
  <c r="L41" i="71" s="1"/>
  <c r="H40" i="71"/>
  <c r="L40" i="71" s="1"/>
  <c r="H39" i="71"/>
  <c r="L39" i="71" s="1"/>
  <c r="H38" i="71"/>
  <c r="L38" i="71" s="1"/>
  <c r="H37" i="71"/>
  <c r="L37" i="71" s="1"/>
  <c r="M52" i="71" l="1"/>
  <c r="G45" i="81"/>
  <c r="H45" i="81" s="1"/>
  <c r="L45" i="81" s="1"/>
  <c r="H45" i="71"/>
  <c r="L45" i="71" s="1"/>
  <c r="H34" i="80" l="1"/>
  <c r="H33" i="80"/>
  <c r="H30" i="80"/>
  <c r="H26" i="80"/>
  <c r="H23" i="80"/>
  <c r="H22" i="80"/>
  <c r="I22" i="80" s="1"/>
  <c r="G36" i="80"/>
  <c r="F36" i="80"/>
  <c r="H36" i="80" l="1"/>
  <c r="C119" i="6" l="1"/>
  <c r="X48" i="111"/>
  <c r="W48" i="111"/>
  <c r="I36" i="149" l="1"/>
  <c r="I28" i="149"/>
  <c r="G28" i="149"/>
  <c r="G43" i="149"/>
  <c r="G36" i="149"/>
  <c r="G12" i="149"/>
  <c r="O23" i="52" l="1"/>
  <c r="Q23" i="52" s="1"/>
  <c r="I23" i="52"/>
  <c r="K23" i="52" s="1"/>
  <c r="O22" i="52"/>
  <c r="Q22" i="52" s="1"/>
  <c r="I22" i="52"/>
  <c r="K22" i="52" s="1"/>
  <c r="O20" i="52"/>
  <c r="Q20" i="52" s="1"/>
  <c r="I20" i="52"/>
  <c r="K20" i="52" s="1"/>
  <c r="O19" i="52"/>
  <c r="Q19" i="52" s="1"/>
  <c r="I19" i="52"/>
  <c r="K19" i="52" s="1"/>
  <c r="G63" i="50"/>
  <c r="O59" i="50"/>
  <c r="Q59" i="50" s="1"/>
  <c r="I59" i="50"/>
  <c r="K59" i="50" s="1"/>
  <c r="O31" i="50"/>
  <c r="Q31" i="50" s="1"/>
  <c r="I31" i="50"/>
  <c r="K31" i="50" s="1"/>
  <c r="O33" i="50"/>
  <c r="Q33" i="50" s="1"/>
  <c r="I33" i="50"/>
  <c r="K33" i="50" s="1"/>
  <c r="O34" i="50"/>
  <c r="Q34" i="50" s="1"/>
  <c r="I34" i="50"/>
  <c r="K34" i="50" s="1"/>
  <c r="O38" i="50"/>
  <c r="Q38" i="50" s="1"/>
  <c r="I38" i="50"/>
  <c r="K38" i="50" s="1"/>
  <c r="O39" i="50"/>
  <c r="Q39" i="50" s="1"/>
  <c r="I39" i="50"/>
  <c r="K39" i="50" s="1"/>
  <c r="O40" i="50"/>
  <c r="Q40" i="50" s="1"/>
  <c r="I40" i="50"/>
  <c r="K40" i="50" s="1"/>
  <c r="I41" i="50"/>
  <c r="K41" i="50" s="1"/>
  <c r="O41" i="50"/>
  <c r="Q41" i="50" s="1"/>
  <c r="O47" i="50"/>
  <c r="Q47" i="50" s="1"/>
  <c r="I47" i="50"/>
  <c r="K47" i="50" s="1"/>
  <c r="O57" i="50"/>
  <c r="Q57" i="50" s="1"/>
  <c r="I57" i="50"/>
  <c r="K57" i="50" s="1"/>
  <c r="O29" i="50"/>
  <c r="Q29" i="50" s="1"/>
  <c r="I29" i="50"/>
  <c r="K29" i="50" s="1"/>
  <c r="T66" i="54"/>
  <c r="R66" i="54"/>
  <c r="Q66" i="54"/>
  <c r="Q64" i="54"/>
  <c r="T64" i="54"/>
  <c r="U64" i="54"/>
  <c r="S64" i="54"/>
  <c r="R64" i="54"/>
  <c r="P66" i="54"/>
  <c r="P64" i="54"/>
  <c r="P61" i="54"/>
  <c r="P62" i="54" s="1"/>
  <c r="U111" i="55"/>
  <c r="U122" i="55" s="1"/>
  <c r="O86" i="55"/>
  <c r="T111" i="55"/>
  <c r="T122" i="55" s="1"/>
  <c r="O113" i="55"/>
  <c r="Q122" i="55"/>
  <c r="O80" i="55"/>
  <c r="S111" i="55"/>
  <c r="S122" i="55" s="1"/>
  <c r="O103" i="55"/>
  <c r="O99" i="55"/>
  <c r="AA111" i="55"/>
  <c r="AA122" i="55" s="1"/>
  <c r="Y111" i="55"/>
  <c r="Y122" i="55" s="1"/>
  <c r="Z111" i="55"/>
  <c r="Z122" i="55" s="1"/>
  <c r="Q165" i="55" l="1"/>
  <c r="P165" i="55"/>
  <c r="S149" i="55"/>
  <c r="R149" i="55"/>
  <c r="Q149" i="55"/>
  <c r="S145" i="55"/>
  <c r="R145" i="55"/>
  <c r="Q145" i="55"/>
  <c r="S141" i="55"/>
  <c r="R141" i="55"/>
  <c r="Q141" i="55"/>
  <c r="Q177" i="55"/>
  <c r="R177" i="55"/>
  <c r="S177" i="55"/>
  <c r="T177" i="55"/>
  <c r="U177" i="55"/>
  <c r="V177" i="55"/>
  <c r="W177" i="55"/>
  <c r="X177" i="55"/>
  <c r="Y177" i="55"/>
  <c r="Z177" i="55"/>
  <c r="AA177" i="55"/>
  <c r="P177" i="55"/>
  <c r="P117" i="55"/>
  <c r="X111" i="55"/>
  <c r="X122" i="55" s="1"/>
  <c r="W111" i="55"/>
  <c r="W122" i="55" s="1"/>
  <c r="V111" i="55"/>
  <c r="V122" i="55" s="1"/>
  <c r="R95" i="55"/>
  <c r="R122" i="55" s="1"/>
  <c r="P93" i="55"/>
  <c r="V61" i="159"/>
  <c r="V62" i="159"/>
  <c r="V52" i="159"/>
  <c r="V51" i="159"/>
  <c r="V43" i="159"/>
  <c r="V39" i="159"/>
  <c r="V31" i="159"/>
  <c r="V23" i="159"/>
  <c r="X139" i="15"/>
  <c r="X138" i="15"/>
  <c r="P122" i="55" l="1"/>
  <c r="H26" i="64" l="1"/>
  <c r="H49" i="156"/>
  <c r="H44" i="156"/>
  <c r="H42" i="156"/>
  <c r="H68" i="156"/>
  <c r="J53" i="157"/>
  <c r="K11" i="5"/>
  <c r="K14" i="5"/>
  <c r="K15" i="5"/>
  <c r="K16" i="5"/>
  <c r="K21" i="5"/>
  <c r="K22" i="5"/>
  <c r="K23" i="5"/>
  <c r="K24" i="5"/>
  <c r="K29" i="5"/>
  <c r="K30" i="5"/>
  <c r="R79" i="15" l="1"/>
  <c r="Q79" i="15"/>
  <c r="O79" i="15"/>
  <c r="Q13" i="15"/>
  <c r="P13" i="15"/>
  <c r="O142" i="46" l="1"/>
  <c r="O138" i="46"/>
  <c r="L66" i="18"/>
  <c r="Q70" i="46"/>
  <c r="O70" i="46"/>
  <c r="Y96" i="115" l="1"/>
  <c r="M70" i="46"/>
  <c r="L70" i="46"/>
  <c r="K70" i="46" l="1"/>
  <c r="I70" i="46"/>
  <c r="G70" i="46"/>
  <c r="X168" i="46"/>
  <c r="W168" i="46"/>
  <c r="C97" i="6" l="1"/>
  <c r="B97" i="6"/>
  <c r="A97" i="6"/>
  <c r="D97" i="6" s="1"/>
  <c r="V100" i="109" l="1"/>
  <c r="A36" i="124" l="1"/>
  <c r="A11" i="124"/>
  <c r="N26" i="64"/>
  <c r="M26" i="64"/>
  <c r="L26" i="64"/>
  <c r="G26" i="64"/>
  <c r="F26" i="64"/>
  <c r="K26" i="64"/>
  <c r="J26" i="64"/>
  <c r="I26" i="64"/>
  <c r="E26" i="64"/>
  <c r="D26" i="64"/>
  <c r="C26" i="64"/>
  <c r="I53" i="157" l="1"/>
  <c r="H53" i="157"/>
  <c r="E126" i="6"/>
  <c r="C126" i="6"/>
  <c r="B126" i="6"/>
  <c r="A126" i="6"/>
  <c r="D126" i="6" s="1"/>
  <c r="Q126" i="5"/>
  <c r="P126" i="5"/>
  <c r="O126" i="5"/>
  <c r="N126" i="5"/>
  <c r="M126" i="5"/>
  <c r="L126" i="5"/>
  <c r="K126" i="5"/>
  <c r="J126" i="5"/>
  <c r="I126" i="5"/>
  <c r="H126" i="5"/>
  <c r="G126" i="5"/>
  <c r="F126" i="5"/>
  <c r="D126" i="5"/>
  <c r="E126" i="5" l="1"/>
  <c r="M21" i="156" l="1"/>
  <c r="N21" i="156"/>
  <c r="L21" i="156"/>
  <c r="I48" i="5" l="1"/>
  <c r="J48" i="5"/>
  <c r="K48" i="5"/>
  <c r="L48" i="5"/>
  <c r="M48" i="5"/>
  <c r="N48" i="5"/>
  <c r="O48" i="5"/>
  <c r="P48" i="5"/>
  <c r="Q48" i="5"/>
  <c r="I49" i="5"/>
  <c r="J49" i="5"/>
  <c r="K49" i="5"/>
  <c r="L49" i="5"/>
  <c r="M49" i="5"/>
  <c r="N49" i="5"/>
  <c r="O49" i="5"/>
  <c r="P49" i="5"/>
  <c r="Q49" i="5"/>
  <c r="I50" i="5"/>
  <c r="J50" i="5"/>
  <c r="K50" i="5"/>
  <c r="L50" i="5"/>
  <c r="M50" i="5"/>
  <c r="N50" i="5"/>
  <c r="O50" i="5"/>
  <c r="P50" i="5"/>
  <c r="Q50" i="5"/>
  <c r="E97" i="6"/>
  <c r="F50" i="5"/>
  <c r="F49" i="5"/>
  <c r="G50" i="5" l="1"/>
  <c r="H50" i="5"/>
  <c r="G49" i="5"/>
  <c r="H49" i="5"/>
  <c r="J1" i="157"/>
  <c r="I1" i="157"/>
  <c r="H1" i="157"/>
  <c r="G1" i="157"/>
  <c r="F1" i="157"/>
  <c r="E1" i="157"/>
  <c r="N1" i="156"/>
  <c r="M1" i="156"/>
  <c r="L1" i="156"/>
  <c r="K1" i="156"/>
  <c r="J1" i="156"/>
  <c r="I1" i="156"/>
  <c r="H1" i="156"/>
  <c r="G1" i="156"/>
  <c r="F1" i="156"/>
  <c r="E1" i="156"/>
  <c r="D1" i="156"/>
  <c r="C1" i="156"/>
  <c r="M24" i="57" l="1"/>
  <c r="M26" i="57" s="1"/>
  <c r="F105" i="15" l="1"/>
  <c r="F122" i="15"/>
  <c r="S122" i="15" s="1"/>
  <c r="T122" i="15" s="1"/>
  <c r="U172" i="46" l="1"/>
  <c r="E74" i="46"/>
  <c r="L138" i="46" l="1"/>
  <c r="I124" i="46" l="1"/>
  <c r="AH291" i="46"/>
  <c r="O33" i="49" l="1"/>
  <c r="Q33" i="49" s="1"/>
  <c r="I33" i="49"/>
  <c r="K33" i="49" s="1"/>
  <c r="G35" i="49"/>
  <c r="O32" i="49"/>
  <c r="Q32" i="49" s="1"/>
  <c r="I32" i="49"/>
  <c r="K32" i="49" s="1"/>
  <c r="O31" i="49"/>
  <c r="Q31" i="49" s="1"/>
  <c r="I31" i="49"/>
  <c r="K31" i="49" s="1"/>
  <c r="O30" i="49"/>
  <c r="Q30" i="49" s="1"/>
  <c r="I30" i="49"/>
  <c r="K30" i="49" s="1"/>
  <c r="O29" i="49"/>
  <c r="Q29" i="49" s="1"/>
  <c r="I29" i="49"/>
  <c r="K29" i="49" s="1"/>
  <c r="O28" i="49"/>
  <c r="Q28" i="49" s="1"/>
  <c r="I28" i="49"/>
  <c r="K28" i="49" s="1"/>
  <c r="M35" i="49"/>
  <c r="S141" i="46" l="1"/>
  <c r="I105" i="46" l="1"/>
  <c r="M105" i="46"/>
  <c r="M106" i="46"/>
  <c r="Q106" i="46" s="1"/>
  <c r="M124" i="46"/>
  <c r="Q124" i="46" s="1"/>
  <c r="M125" i="46"/>
  <c r="Q125" i="46" s="1"/>
  <c r="Y91" i="61"/>
  <c r="Q105" i="46" l="1"/>
  <c r="O66" i="142" l="1"/>
  <c r="F222" i="22" l="1"/>
  <c r="H222" i="22"/>
  <c r="K58" i="142" l="1"/>
  <c r="K59" i="142" s="1"/>
  <c r="K61" i="142" s="1"/>
  <c r="C211" i="21"/>
  <c r="C212" i="21" s="1"/>
  <c r="C213" i="21" s="1"/>
  <c r="C214" i="21" s="1"/>
  <c r="C215" i="21" s="1"/>
  <c r="C216" i="21" s="1"/>
  <c r="C217" i="21" s="1"/>
  <c r="C218" i="21" s="1"/>
  <c r="C219" i="21" s="1"/>
  <c r="C220" i="21" s="1"/>
  <c r="C221" i="21" s="1"/>
  <c r="C222" i="21" s="1"/>
  <c r="C223" i="21" s="1"/>
  <c r="C224" i="21" s="1"/>
  <c r="C225" i="21" s="1"/>
  <c r="C226" i="21" s="1"/>
  <c r="C227" i="21" s="1"/>
  <c r="C228" i="21" s="1"/>
  <c r="C229" i="21" s="1"/>
  <c r="C230" i="21" s="1"/>
  <c r="C231" i="21" s="1"/>
  <c r="C232" i="21" s="1"/>
  <c r="C233" i="21" s="1"/>
  <c r="C234" i="21" s="1"/>
  <c r="C235" i="21" s="1"/>
  <c r="C236" i="21" s="1"/>
  <c r="C237" i="21" s="1"/>
  <c r="C238" i="21" s="1"/>
  <c r="H216" i="21"/>
  <c r="F225" i="22"/>
  <c r="H219" i="21"/>
  <c r="H225" i="22"/>
  <c r="C50" i="6" l="1"/>
  <c r="C49" i="6"/>
  <c r="E50" i="5"/>
  <c r="E49" i="5"/>
  <c r="D50" i="5"/>
  <c r="D49" i="5"/>
  <c r="E49" i="6"/>
  <c r="E50" i="6"/>
  <c r="D49" i="6"/>
  <c r="D50" i="6"/>
  <c r="X141" i="46" l="1"/>
  <c r="S140" i="46"/>
  <c r="S139" i="46"/>
  <c r="AD273" i="46" l="1"/>
  <c r="AH204" i="46"/>
  <c r="M21" i="53" l="1"/>
  <c r="F113" i="15" l="1"/>
  <c r="S113" i="15" s="1"/>
  <c r="T113" i="15" s="1"/>
  <c r="G117" i="15"/>
  <c r="H117" i="15"/>
  <c r="I117" i="15"/>
  <c r="J117" i="15"/>
  <c r="K117" i="15"/>
  <c r="L117" i="15"/>
  <c r="M117" i="15"/>
  <c r="N117" i="15"/>
  <c r="O117" i="15"/>
  <c r="P117" i="15"/>
  <c r="Q117" i="15"/>
  <c r="R117" i="15"/>
  <c r="F51" i="15" l="1"/>
  <c r="G51" i="15"/>
  <c r="H51" i="15"/>
  <c r="I51" i="15"/>
  <c r="J51" i="15"/>
  <c r="K51" i="15"/>
  <c r="L51" i="15"/>
  <c r="N51" i="15"/>
  <c r="O51" i="15"/>
  <c r="P51" i="15"/>
  <c r="Q51" i="15"/>
  <c r="A4" i="80" l="1"/>
  <c r="O44" i="50" l="1"/>
  <c r="Q44" i="50" s="1"/>
  <c r="I44" i="50"/>
  <c r="K44" i="50" s="1"/>
  <c r="O61" i="50"/>
  <c r="Q61" i="50" s="1"/>
  <c r="I61" i="50"/>
  <c r="K61" i="50" s="1"/>
  <c r="O52" i="50"/>
  <c r="Q52" i="50" s="1"/>
  <c r="I52" i="50"/>
  <c r="K52" i="50" s="1"/>
  <c r="O48" i="50"/>
  <c r="Q48" i="50" s="1"/>
  <c r="I48" i="50"/>
  <c r="K48" i="50" s="1"/>
  <c r="O50" i="50"/>
  <c r="Q50" i="50" s="1"/>
  <c r="I50" i="50"/>
  <c r="K50" i="50" s="1"/>
  <c r="O43" i="50"/>
  <c r="Q43" i="50" s="1"/>
  <c r="I43" i="50"/>
  <c r="K43" i="50" s="1"/>
  <c r="O36" i="50"/>
  <c r="Q36" i="50" s="1"/>
  <c r="I36" i="50"/>
  <c r="K36" i="50" s="1"/>
  <c r="H354" i="22" l="1"/>
  <c r="F354" i="22"/>
  <c r="H351" i="21"/>
  <c r="O126" i="46" l="1"/>
  <c r="O107" i="46"/>
  <c r="K138" i="46"/>
  <c r="E25" i="46"/>
  <c r="M77" i="46"/>
  <c r="AE92" i="115"/>
  <c r="Q77" i="46" l="1"/>
  <c r="M25" i="46"/>
  <c r="M138" i="46" s="1"/>
  <c r="Q25" i="46" l="1"/>
  <c r="Q138" i="46" s="1"/>
  <c r="W150" i="46"/>
  <c r="G22" i="46" s="1"/>
  <c r="AH223" i="46"/>
  <c r="AH224" i="46"/>
  <c r="AH225" i="46"/>
  <c r="AH226" i="46"/>
  <c r="AH227" i="46"/>
  <c r="AH228" i="46"/>
  <c r="AH229" i="46"/>
  <c r="AH230" i="46"/>
  <c r="AH231" i="46"/>
  <c r="AH232" i="46"/>
  <c r="AH233" i="46"/>
  <c r="AH234" i="46"/>
  <c r="AH235" i="46"/>
  <c r="AH236" i="46"/>
  <c r="AH237" i="46"/>
  <c r="AH238" i="46"/>
  <c r="AH240" i="46"/>
  <c r="AH241" i="46"/>
  <c r="AH242" i="46"/>
  <c r="AH245" i="46"/>
  <c r="AH246" i="46"/>
  <c r="AH247" i="46"/>
  <c r="AH248" i="46"/>
  <c r="AH249" i="46"/>
  <c r="AH254" i="46"/>
  <c r="AH255" i="46"/>
  <c r="AH256" i="46"/>
  <c r="AH257" i="46"/>
  <c r="AH258" i="46"/>
  <c r="AH259" i="46"/>
  <c r="AH260" i="46"/>
  <c r="AH261" i="46"/>
  <c r="AH262" i="46"/>
  <c r="AH263" i="46"/>
  <c r="AH264" i="46"/>
  <c r="C256" i="21" l="1"/>
  <c r="C257" i="21" s="1"/>
  <c r="C258" i="21" s="1"/>
  <c r="C259" i="21" s="1"/>
  <c r="C260" i="21" s="1"/>
  <c r="C261" i="21" s="1"/>
  <c r="C262" i="21" s="1"/>
  <c r="C263" i="21" s="1"/>
  <c r="C264" i="21" s="1"/>
  <c r="C265" i="21" s="1"/>
  <c r="C266" i="21" s="1"/>
  <c r="C267" i="21" s="1"/>
  <c r="C268" i="21" s="1"/>
  <c r="C269" i="21" s="1"/>
  <c r="C270" i="21" s="1"/>
  <c r="C271" i="21" s="1"/>
  <c r="C272" i="21" s="1"/>
  <c r="C273" i="21" s="1"/>
  <c r="C274" i="21" s="1"/>
  <c r="C275" i="21" s="1"/>
  <c r="C276" i="21" s="1"/>
  <c r="C277" i="21" s="1"/>
  <c r="C278" i="21" s="1"/>
  <c r="C279" i="21" s="1"/>
  <c r="C280" i="21" s="1"/>
  <c r="C281" i="21" s="1"/>
  <c r="C282" i="21" s="1"/>
  <c r="C283" i="21" s="1"/>
  <c r="C284" i="21" s="1"/>
  <c r="C285" i="21" s="1"/>
  <c r="C286" i="21" s="1"/>
  <c r="C287" i="21" s="1"/>
  <c r="C288" i="21" s="1"/>
  <c r="C289" i="21" s="1"/>
  <c r="C290" i="21" s="1"/>
  <c r="C291" i="21" s="1"/>
  <c r="C292" i="21" s="1"/>
  <c r="H326" i="21"/>
  <c r="H324" i="21"/>
  <c r="C310" i="21"/>
  <c r="C311" i="21" s="1"/>
  <c r="C312" i="21" s="1"/>
  <c r="C313" i="21" s="1"/>
  <c r="C314" i="21" s="1"/>
  <c r="C315" i="21" s="1"/>
  <c r="C316" i="21" s="1"/>
  <c r="C317" i="21" s="1"/>
  <c r="C318" i="21" s="1"/>
  <c r="C319" i="21" s="1"/>
  <c r="C320" i="21" s="1"/>
  <c r="C321" i="21" s="1"/>
  <c r="C322" i="21" s="1"/>
  <c r="C323" i="21" s="1"/>
  <c r="C324" i="21" s="1"/>
  <c r="C325" i="21" s="1"/>
  <c r="C326" i="21" s="1"/>
  <c r="C327" i="21" s="1"/>
  <c r="C328" i="21" s="1"/>
  <c r="C329" i="21" s="1"/>
  <c r="C330" i="21" s="1"/>
  <c r="C331" i="21" s="1"/>
  <c r="J23" i="14" l="1"/>
  <c r="J63" i="14"/>
  <c r="A60" i="14"/>
  <c r="A61" i="14" s="1"/>
  <c r="A62" i="14" s="1"/>
  <c r="A63" i="14" s="1"/>
  <c r="A64" i="14" s="1"/>
  <c r="A65" i="14" s="1"/>
  <c r="A66" i="14" s="1"/>
  <c r="A67" i="14" s="1"/>
  <c r="A20" i="14"/>
  <c r="A21" i="14" s="1"/>
  <c r="A22" i="14" s="1"/>
  <c r="A23" i="14" s="1"/>
  <c r="A24" i="14" s="1"/>
  <c r="A25" i="14" s="1"/>
  <c r="A26" i="14" s="1"/>
  <c r="A27" i="14" s="1"/>
  <c r="G23" i="14"/>
  <c r="F108" i="15"/>
  <c r="F124" i="15"/>
  <c r="F123" i="15"/>
  <c r="F43" i="15"/>
  <c r="F24" i="15"/>
  <c r="F89" i="15"/>
  <c r="O43" i="15" l="1"/>
  <c r="G43" i="15"/>
  <c r="H43" i="15"/>
  <c r="Q43" i="15"/>
  <c r="L23" i="14"/>
  <c r="N23" i="14" s="1"/>
  <c r="P23" i="14" s="1"/>
  <c r="S108" i="15" l="1"/>
  <c r="T108" i="15" s="1"/>
  <c r="G63" i="14" s="1"/>
  <c r="L63" i="14" s="1"/>
  <c r="N63" i="14" s="1"/>
  <c r="I43" i="15"/>
  <c r="S89" i="15"/>
  <c r="T89" i="15" s="1"/>
  <c r="H24" i="15"/>
  <c r="G24" i="15"/>
  <c r="P63" i="14" l="1"/>
  <c r="J43" i="15"/>
  <c r="H150" i="22"/>
  <c r="J150" i="22" s="1"/>
  <c r="H88" i="22"/>
  <c r="J88" i="22" s="1"/>
  <c r="F89" i="22"/>
  <c r="H76" i="22"/>
  <c r="G24" i="76" l="1"/>
  <c r="K43" i="15"/>
  <c r="I24" i="15"/>
  <c r="L43" i="15" l="1"/>
  <c r="J24" i="15"/>
  <c r="N43" i="15" l="1"/>
  <c r="P43" i="15"/>
  <c r="K24" i="15"/>
  <c r="L24" i="15" l="1"/>
  <c r="N24" i="15" l="1"/>
  <c r="O24" i="15" l="1"/>
  <c r="Q24" i="15" l="1"/>
  <c r="P24" i="15"/>
  <c r="P84" i="42"/>
  <c r="G31" i="42" s="1"/>
  <c r="W284" i="24" s="1"/>
  <c r="O16" i="163" s="1"/>
  <c r="G30" i="42"/>
  <c r="W281" i="24" s="1"/>
  <c r="L16" i="163" s="1"/>
  <c r="P65" i="42"/>
  <c r="G32" i="42" s="1"/>
  <c r="W292" i="24" s="1"/>
  <c r="R16" i="163" s="1"/>
  <c r="H22" i="140"/>
  <c r="H25" i="140" l="1"/>
  <c r="Y330" i="24" l="1"/>
  <c r="E23" i="163" s="1"/>
  <c r="AL200" i="15"/>
  <c r="AL199" i="15"/>
  <c r="E200" i="110" l="1"/>
  <c r="E202" i="110" s="1"/>
  <c r="E203" i="110" s="1"/>
  <c r="N199" i="110"/>
  <c r="N200" i="110" s="1"/>
  <c r="N202" i="110" s="1"/>
  <c r="N203" i="110" s="1"/>
  <c r="M199" i="110"/>
  <c r="M200" i="110" s="1"/>
  <c r="M202" i="110" s="1"/>
  <c r="M203" i="110" s="1"/>
  <c r="L199" i="110"/>
  <c r="L200" i="110" s="1"/>
  <c r="L202" i="110" s="1"/>
  <c r="L203" i="110" s="1"/>
  <c r="K199" i="110"/>
  <c r="K200" i="110" s="1"/>
  <c r="K202" i="110" s="1"/>
  <c r="K203" i="110" s="1"/>
  <c r="J199" i="110"/>
  <c r="J200" i="110" s="1"/>
  <c r="J202" i="110" s="1"/>
  <c r="J203" i="110" s="1"/>
  <c r="I199" i="110"/>
  <c r="I200" i="110" s="1"/>
  <c r="I202" i="110" s="1"/>
  <c r="I203" i="110" s="1"/>
  <c r="H199" i="110"/>
  <c r="H200" i="110" s="1"/>
  <c r="H202" i="110" s="1"/>
  <c r="H203" i="110" s="1"/>
  <c r="G199" i="110"/>
  <c r="G200" i="110" s="1"/>
  <c r="G202" i="110" s="1"/>
  <c r="G203" i="110" s="1"/>
  <c r="F199" i="110"/>
  <c r="F200" i="110" s="1"/>
  <c r="F202" i="110" s="1"/>
  <c r="F203" i="110" s="1"/>
  <c r="N192" i="110"/>
  <c r="N194" i="110" s="1"/>
  <c r="N195" i="110" s="1"/>
  <c r="M192" i="110"/>
  <c r="M194" i="110" s="1"/>
  <c r="M195" i="110" s="1"/>
  <c r="L192" i="110"/>
  <c r="L194" i="110" s="1"/>
  <c r="L195" i="110" s="1"/>
  <c r="K192" i="110"/>
  <c r="K194" i="110" s="1"/>
  <c r="K195" i="110" s="1"/>
  <c r="J192" i="110"/>
  <c r="J194" i="110" s="1"/>
  <c r="J195" i="110" s="1"/>
  <c r="I192" i="110"/>
  <c r="I194" i="110" s="1"/>
  <c r="I195" i="110" s="1"/>
  <c r="H192" i="110"/>
  <c r="H194" i="110" s="1"/>
  <c r="H195" i="110" s="1"/>
  <c r="G192" i="110"/>
  <c r="G194" i="110" s="1"/>
  <c r="G195" i="110" s="1"/>
  <c r="F192" i="110"/>
  <c r="F194" i="110" s="1"/>
  <c r="F195" i="110" s="1"/>
  <c r="E192" i="110"/>
  <c r="E194" i="110" s="1"/>
  <c r="E195" i="110" s="1"/>
  <c r="D186" i="110"/>
  <c r="E185" i="110"/>
  <c r="D185" i="110"/>
  <c r="A182" i="110"/>
  <c r="L180" i="110"/>
  <c r="A178" i="110"/>
  <c r="N169" i="110"/>
  <c r="M169" i="110"/>
  <c r="L169" i="110"/>
  <c r="K169" i="110"/>
  <c r="J169" i="110"/>
  <c r="N168" i="110"/>
  <c r="M168" i="110"/>
  <c r="L168" i="110"/>
  <c r="K168" i="110"/>
  <c r="J168" i="110"/>
  <c r="N165" i="110"/>
  <c r="M165" i="110"/>
  <c r="L165" i="110"/>
  <c r="K165" i="110"/>
  <c r="N153" i="110"/>
  <c r="N154" i="110" s="1"/>
  <c r="M153" i="110"/>
  <c r="M154" i="110" s="1"/>
  <c r="L153" i="110"/>
  <c r="L154" i="110" s="1"/>
  <c r="K153" i="110"/>
  <c r="K154" i="110" s="1"/>
  <c r="J153" i="110"/>
  <c r="J154" i="110" s="1"/>
  <c r="I153" i="110"/>
  <c r="I154" i="110" s="1"/>
  <c r="H153" i="110"/>
  <c r="H154" i="110" s="1"/>
  <c r="G153" i="110"/>
  <c r="G154" i="110" s="1"/>
  <c r="F153" i="110"/>
  <c r="F154" i="110" s="1"/>
  <c r="E153" i="110"/>
  <c r="E154" i="110" s="1"/>
  <c r="D143" i="110"/>
  <c r="E142" i="110"/>
  <c r="D142" i="110"/>
  <c r="A139" i="110"/>
  <c r="L137" i="110"/>
  <c r="A135" i="110"/>
  <c r="D114" i="110"/>
  <c r="E113" i="110"/>
  <c r="D113" i="110"/>
  <c r="L111" i="110"/>
  <c r="A110" i="110"/>
  <c r="L108" i="110"/>
  <c r="A106" i="110"/>
  <c r="N93" i="110"/>
  <c r="N150" i="110" s="1"/>
  <c r="N152" i="110" s="1"/>
  <c r="M93" i="110"/>
  <c r="M150" i="110" s="1"/>
  <c r="M152" i="110" s="1"/>
  <c r="L93" i="110"/>
  <c r="L150" i="110" s="1"/>
  <c r="L152" i="110" s="1"/>
  <c r="K93" i="110"/>
  <c r="K150" i="110" s="1"/>
  <c r="K152" i="110" s="1"/>
  <c r="J93" i="110"/>
  <c r="J150" i="110" s="1"/>
  <c r="N86" i="110"/>
  <c r="N95" i="110" s="1"/>
  <c r="M86" i="110"/>
  <c r="M95" i="110" s="1"/>
  <c r="L86" i="110"/>
  <c r="L95" i="110" s="1"/>
  <c r="K86" i="110"/>
  <c r="K96" i="110" s="1"/>
  <c r="J86" i="110"/>
  <c r="J95" i="110" s="1"/>
  <c r="I82" i="110"/>
  <c r="H82" i="110"/>
  <c r="G82" i="110"/>
  <c r="F82" i="110"/>
  <c r="E82" i="110"/>
  <c r="D82" i="110"/>
  <c r="C82" i="110"/>
  <c r="I81" i="110"/>
  <c r="H81" i="110"/>
  <c r="G81" i="110"/>
  <c r="F81" i="110"/>
  <c r="E81" i="110"/>
  <c r="D81" i="110"/>
  <c r="C81" i="110"/>
  <c r="N80" i="110"/>
  <c r="M80" i="110"/>
  <c r="L80" i="110"/>
  <c r="K80" i="110"/>
  <c r="J80" i="110"/>
  <c r="I79" i="110"/>
  <c r="H79" i="110"/>
  <c r="G79" i="110"/>
  <c r="F79" i="110"/>
  <c r="E79" i="110"/>
  <c r="D79" i="110"/>
  <c r="C79" i="110"/>
  <c r="I78" i="110"/>
  <c r="H78" i="110"/>
  <c r="G78" i="110"/>
  <c r="F78" i="110"/>
  <c r="E78" i="110"/>
  <c r="D78" i="110"/>
  <c r="C78" i="110"/>
  <c r="N77" i="110"/>
  <c r="M77" i="110"/>
  <c r="L77" i="110"/>
  <c r="K77" i="110"/>
  <c r="J77" i="110"/>
  <c r="I76" i="110"/>
  <c r="H76" i="110"/>
  <c r="G76" i="110"/>
  <c r="F76" i="110"/>
  <c r="E76" i="110"/>
  <c r="D76" i="110"/>
  <c r="C76" i="110"/>
  <c r="I74" i="110"/>
  <c r="H74" i="110"/>
  <c r="G74" i="110"/>
  <c r="F74" i="110"/>
  <c r="E74" i="110"/>
  <c r="D74" i="110"/>
  <c r="C74" i="110"/>
  <c r="D72" i="110"/>
  <c r="C72" i="110"/>
  <c r="A70" i="110"/>
  <c r="A71" i="110" s="1"/>
  <c r="A72" i="110" s="1"/>
  <c r="A73" i="110" s="1"/>
  <c r="A74" i="110" s="1"/>
  <c r="A75" i="110" s="1"/>
  <c r="A76" i="110" s="1"/>
  <c r="A77" i="110" s="1"/>
  <c r="A78" i="110" s="1"/>
  <c r="A79" i="110" s="1"/>
  <c r="A80" i="110" s="1"/>
  <c r="A81" i="110" s="1"/>
  <c r="A82" i="110" s="1"/>
  <c r="A83" i="110" s="1"/>
  <c r="A84" i="110" s="1"/>
  <c r="A85" i="110" s="1"/>
  <c r="A86" i="110" s="1"/>
  <c r="A87" i="110" s="1"/>
  <c r="A88" i="110" s="1"/>
  <c r="A89" i="110" s="1"/>
  <c r="A90" i="110" s="1"/>
  <c r="A91" i="110" s="1"/>
  <c r="A92" i="110" s="1"/>
  <c r="A93" i="110" s="1"/>
  <c r="A94" i="110" s="1"/>
  <c r="A95" i="110" s="1"/>
  <c r="A96" i="110" s="1"/>
  <c r="A97" i="110" s="1"/>
  <c r="A98" i="110" s="1"/>
  <c r="A99" i="110" s="1"/>
  <c r="D67" i="110"/>
  <c r="E66" i="110"/>
  <c r="D66" i="110"/>
  <c r="A63" i="110"/>
  <c r="L61" i="110"/>
  <c r="A59" i="110"/>
  <c r="G45" i="110"/>
  <c r="N41" i="110"/>
  <c r="M41" i="110"/>
  <c r="L41" i="110"/>
  <c r="K41" i="110"/>
  <c r="J41" i="110"/>
  <c r="H41" i="110"/>
  <c r="G41" i="110"/>
  <c r="F41" i="110"/>
  <c r="E41" i="110"/>
  <c r="I40" i="110"/>
  <c r="I41" i="110" s="1"/>
  <c r="F36" i="110"/>
  <c r="N34" i="110"/>
  <c r="N36" i="110" s="1"/>
  <c r="M34" i="110"/>
  <c r="M36" i="110" s="1"/>
  <c r="L34" i="110"/>
  <c r="L36" i="110" s="1"/>
  <c r="K34" i="110"/>
  <c r="K36" i="110" s="1"/>
  <c r="J34" i="110"/>
  <c r="J36" i="110" s="1"/>
  <c r="H34" i="110"/>
  <c r="H36" i="110" s="1"/>
  <c r="F34" i="110"/>
  <c r="E34" i="110"/>
  <c r="E36" i="110" s="1"/>
  <c r="I31" i="110"/>
  <c r="I34" i="110" s="1"/>
  <c r="I36" i="110" s="1"/>
  <c r="G28" i="110"/>
  <c r="G27" i="110"/>
  <c r="N22" i="110"/>
  <c r="N24" i="110" s="1"/>
  <c r="M22" i="110"/>
  <c r="M24" i="110" s="1"/>
  <c r="L22" i="110"/>
  <c r="L24" i="110" s="1"/>
  <c r="K22" i="110"/>
  <c r="K24" i="110" s="1"/>
  <c r="J22" i="110"/>
  <c r="J24" i="110" s="1"/>
  <c r="I22" i="110"/>
  <c r="I24" i="110" s="1"/>
  <c r="H22" i="110"/>
  <c r="H24" i="110" s="1"/>
  <c r="H47" i="110" s="1"/>
  <c r="G22" i="110"/>
  <c r="G24" i="110" s="1"/>
  <c r="F22" i="110"/>
  <c r="F24" i="110" s="1"/>
  <c r="E22" i="110"/>
  <c r="E24" i="110" s="1"/>
  <c r="D22" i="110"/>
  <c r="D24" i="110" s="1"/>
  <c r="C22" i="110"/>
  <c r="C24" i="110" s="1"/>
  <c r="A14" i="110"/>
  <c r="A15" i="110" s="1"/>
  <c r="A16" i="110" s="1"/>
  <c r="A17" i="110" s="1"/>
  <c r="A18" i="110" s="1"/>
  <c r="A19" i="110" s="1"/>
  <c r="A20" i="110" s="1"/>
  <c r="A21" i="110" s="1"/>
  <c r="A22" i="110" s="1"/>
  <c r="A23" i="110" s="1"/>
  <c r="A24" i="110" s="1"/>
  <c r="A25" i="110" s="1"/>
  <c r="A26" i="110" s="1"/>
  <c r="A27" i="110" s="1"/>
  <c r="A28" i="110" s="1"/>
  <c r="A29" i="110" s="1"/>
  <c r="A30" i="110" s="1"/>
  <c r="A31" i="110" s="1"/>
  <c r="A32" i="110" s="1"/>
  <c r="A33" i="110" s="1"/>
  <c r="A34" i="110" s="1"/>
  <c r="A35" i="110" s="1"/>
  <c r="A36" i="110" s="1"/>
  <c r="A37" i="110" s="1"/>
  <c r="A38" i="110" s="1"/>
  <c r="A39" i="110" s="1"/>
  <c r="A40" i="110" s="1"/>
  <c r="A41" i="110" s="1"/>
  <c r="A42" i="110" s="1"/>
  <c r="A43" i="110" s="1"/>
  <c r="A44" i="110" s="1"/>
  <c r="A45" i="110" s="1"/>
  <c r="A46" i="110" s="1"/>
  <c r="A47" i="110" s="1"/>
  <c r="A48" i="110" s="1"/>
  <c r="A49" i="110" s="1"/>
  <c r="A50" i="110" s="1"/>
  <c r="A51" i="110" s="1"/>
  <c r="A52" i="110" s="1"/>
  <c r="E11" i="110"/>
  <c r="F11" i="110" s="1"/>
  <c r="L8" i="110"/>
  <c r="A6" i="110"/>
  <c r="A5" i="110"/>
  <c r="A2" i="110"/>
  <c r="A1" i="110"/>
  <c r="A57" i="110" s="1"/>
  <c r="M36" i="72"/>
  <c r="K36" i="72"/>
  <c r="J36" i="72"/>
  <c r="I36" i="72"/>
  <c r="H36" i="72"/>
  <c r="G36" i="72"/>
  <c r="L9" i="72"/>
  <c r="A8" i="72"/>
  <c r="A6" i="72"/>
  <c r="A2" i="72"/>
  <c r="A1" i="72"/>
  <c r="M54" i="81"/>
  <c r="L54" i="81"/>
  <c r="G18" i="68" s="1"/>
  <c r="K54" i="81"/>
  <c r="J54" i="81"/>
  <c r="I54" i="81"/>
  <c r="H54" i="81"/>
  <c r="G54" i="81"/>
  <c r="L10" i="81"/>
  <c r="A9" i="81"/>
  <c r="A7" i="81"/>
  <c r="A2" i="81"/>
  <c r="A1" i="81"/>
  <c r="K52" i="71"/>
  <c r="I52" i="71"/>
  <c r="G52" i="71"/>
  <c r="L10" i="71"/>
  <c r="A9" i="71"/>
  <c r="A7" i="71"/>
  <c r="A2" i="71"/>
  <c r="A1" i="71"/>
  <c r="D36" i="80"/>
  <c r="G19" i="68" s="1"/>
  <c r="I30" i="80"/>
  <c r="I26" i="80"/>
  <c r="I23" i="80"/>
  <c r="H10" i="80"/>
  <c r="A9" i="80"/>
  <c r="A7" i="80"/>
  <c r="A2" i="80"/>
  <c r="A1" i="80"/>
  <c r="D29" i="70"/>
  <c r="G18" i="76" s="1"/>
  <c r="G27" i="70"/>
  <c r="G23" i="70"/>
  <c r="G22" i="70"/>
  <c r="G21" i="70"/>
  <c r="F10" i="70"/>
  <c r="A9" i="70"/>
  <c r="A7" i="70"/>
  <c r="A2" i="70"/>
  <c r="A1" i="70"/>
  <c r="A18" i="68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K17" i="68"/>
  <c r="K9" i="68"/>
  <c r="A8" i="68"/>
  <c r="A6" i="68"/>
  <c r="A2" i="68"/>
  <c r="A1" i="68"/>
  <c r="K29" i="76"/>
  <c r="A17" i="76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K9" i="76"/>
  <c r="A8" i="76"/>
  <c r="A6" i="76"/>
  <c r="A2" i="76"/>
  <c r="A1" i="76"/>
  <c r="G15" i="67"/>
  <c r="F15" i="67" s="1"/>
  <c r="M10" i="67"/>
  <c r="A10" i="67"/>
  <c r="A9" i="67"/>
  <c r="A2" i="67"/>
  <c r="A1" i="67"/>
  <c r="N43" i="66"/>
  <c r="M43" i="66"/>
  <c r="K43" i="66"/>
  <c r="G43" i="66"/>
  <c r="F43" i="66"/>
  <c r="E43" i="66"/>
  <c r="D43" i="66"/>
  <c r="C43" i="66"/>
  <c r="N42" i="66"/>
  <c r="N52" i="66" s="1"/>
  <c r="M42" i="66"/>
  <c r="M52" i="66" s="1"/>
  <c r="K42" i="66"/>
  <c r="G42" i="66"/>
  <c r="F42" i="66"/>
  <c r="F52" i="66" s="1"/>
  <c r="E42" i="66"/>
  <c r="E52" i="66" s="1"/>
  <c r="D42" i="66"/>
  <c r="D52" i="66" s="1"/>
  <c r="C42" i="66"/>
  <c r="C52" i="66" s="1"/>
  <c r="N41" i="66"/>
  <c r="N51" i="66" s="1"/>
  <c r="M41" i="66"/>
  <c r="M51" i="66" s="1"/>
  <c r="K41" i="66"/>
  <c r="G41" i="66"/>
  <c r="G51" i="66" s="1"/>
  <c r="F41" i="66"/>
  <c r="F51" i="66" s="1"/>
  <c r="E41" i="66"/>
  <c r="E51" i="66" s="1"/>
  <c r="D41" i="66"/>
  <c r="D51" i="66" s="1"/>
  <c r="C41" i="66"/>
  <c r="C51" i="66" s="1"/>
  <c r="N40" i="66"/>
  <c r="N50" i="66" s="1"/>
  <c r="M40" i="66"/>
  <c r="M50" i="66" s="1"/>
  <c r="K40" i="66"/>
  <c r="G40" i="66"/>
  <c r="G50" i="66" s="1"/>
  <c r="F40" i="66"/>
  <c r="E40" i="66"/>
  <c r="E50" i="66" s="1"/>
  <c r="D40" i="66"/>
  <c r="D50" i="66" s="1"/>
  <c r="C40" i="66"/>
  <c r="C50" i="66" s="1"/>
  <c r="N39" i="66"/>
  <c r="M39" i="66"/>
  <c r="M49" i="66" s="1"/>
  <c r="K39" i="66"/>
  <c r="G39" i="66"/>
  <c r="F39" i="66"/>
  <c r="F49" i="66" s="1"/>
  <c r="E39" i="66"/>
  <c r="E49" i="66" s="1"/>
  <c r="D39" i="66"/>
  <c r="D49" i="66" s="1"/>
  <c r="C39" i="66"/>
  <c r="C44" i="66" s="1"/>
  <c r="N33" i="66"/>
  <c r="M33" i="66"/>
  <c r="K33" i="66"/>
  <c r="G33" i="66"/>
  <c r="F33" i="66"/>
  <c r="E33" i="66"/>
  <c r="D33" i="66"/>
  <c r="C33" i="66"/>
  <c r="N32" i="66"/>
  <c r="M32" i="66"/>
  <c r="K32" i="66"/>
  <c r="G32" i="66"/>
  <c r="F32" i="66"/>
  <c r="E32" i="66"/>
  <c r="D32" i="66"/>
  <c r="C32" i="66"/>
  <c r="N31" i="66"/>
  <c r="M31" i="66"/>
  <c r="K31" i="66"/>
  <c r="G31" i="66"/>
  <c r="F31" i="66"/>
  <c r="E31" i="66"/>
  <c r="D31" i="66"/>
  <c r="C31" i="66"/>
  <c r="N30" i="66"/>
  <c r="M30" i="66"/>
  <c r="K30" i="66"/>
  <c r="G30" i="66"/>
  <c r="F30" i="66"/>
  <c r="E30" i="66"/>
  <c r="D30" i="66"/>
  <c r="C30" i="66"/>
  <c r="N29" i="66"/>
  <c r="M29" i="66"/>
  <c r="K29" i="66"/>
  <c r="G29" i="66"/>
  <c r="F29" i="66"/>
  <c r="E29" i="66"/>
  <c r="E34" i="66" s="1"/>
  <c r="D29" i="66"/>
  <c r="C29" i="66"/>
  <c r="D24" i="66"/>
  <c r="N24" i="66"/>
  <c r="M24" i="66"/>
  <c r="G23" i="66"/>
  <c r="F23" i="66"/>
  <c r="F24" i="66" s="1"/>
  <c r="E23" i="66"/>
  <c r="E24" i="66" s="1"/>
  <c r="D23" i="66"/>
  <c r="C23" i="66"/>
  <c r="C24" i="66" s="1"/>
  <c r="G22" i="66"/>
  <c r="G15" i="66"/>
  <c r="F15" i="66" s="1"/>
  <c r="M10" i="66"/>
  <c r="A10" i="66"/>
  <c r="A9" i="66"/>
  <c r="A2" i="66"/>
  <c r="A1" i="66"/>
  <c r="G15" i="65"/>
  <c r="C15" i="65" s="1"/>
  <c r="M10" i="65"/>
  <c r="A10" i="65"/>
  <c r="A9" i="65"/>
  <c r="A2" i="65"/>
  <c r="A1" i="65"/>
  <c r="I40" i="124"/>
  <c r="G40" i="124"/>
  <c r="F40" i="124"/>
  <c r="K22" i="66" s="1"/>
  <c r="K52" i="66" s="1"/>
  <c r="E40" i="124"/>
  <c r="K21" i="66" s="1"/>
  <c r="K51" i="66" s="1"/>
  <c r="D40" i="124"/>
  <c r="K20" i="66" s="1"/>
  <c r="K50" i="66" s="1"/>
  <c r="C40" i="124"/>
  <c r="K19" i="66" s="1"/>
  <c r="H38" i="124"/>
  <c r="J38" i="124" s="1"/>
  <c r="H37" i="124"/>
  <c r="J37" i="124" s="1"/>
  <c r="H36" i="124"/>
  <c r="J36" i="124" s="1"/>
  <c r="H35" i="124"/>
  <c r="J35" i="124" s="1"/>
  <c r="H34" i="124"/>
  <c r="J34" i="124" s="1"/>
  <c r="H33" i="124"/>
  <c r="J33" i="124" s="1"/>
  <c r="H32" i="124"/>
  <c r="J32" i="124" s="1"/>
  <c r="H31" i="124"/>
  <c r="J31" i="124" s="1"/>
  <c r="H30" i="124"/>
  <c r="J30" i="124" s="1"/>
  <c r="H29" i="124"/>
  <c r="J29" i="124" s="1"/>
  <c r="H28" i="124"/>
  <c r="J28" i="124" s="1"/>
  <c r="H27" i="124"/>
  <c r="J27" i="124" s="1"/>
  <c r="I23" i="124"/>
  <c r="G21" i="124"/>
  <c r="F21" i="124"/>
  <c r="E21" i="124"/>
  <c r="D21" i="124"/>
  <c r="C21" i="124"/>
  <c r="G20" i="124"/>
  <c r="F20" i="124"/>
  <c r="E20" i="124"/>
  <c r="D20" i="124"/>
  <c r="C20" i="124"/>
  <c r="G19" i="124"/>
  <c r="F19" i="124"/>
  <c r="E19" i="124"/>
  <c r="D19" i="124"/>
  <c r="C19" i="124"/>
  <c r="G18" i="124"/>
  <c r="F18" i="124"/>
  <c r="E18" i="124"/>
  <c r="D18" i="124"/>
  <c r="C18" i="124"/>
  <c r="G17" i="124"/>
  <c r="F17" i="124"/>
  <c r="E17" i="124"/>
  <c r="D17" i="124"/>
  <c r="C17" i="124"/>
  <c r="G16" i="124"/>
  <c r="F16" i="124"/>
  <c r="E16" i="124"/>
  <c r="D16" i="124"/>
  <c r="C16" i="124"/>
  <c r="G15" i="124"/>
  <c r="F15" i="124"/>
  <c r="E15" i="124"/>
  <c r="D15" i="124"/>
  <c r="C15" i="124"/>
  <c r="G14" i="124"/>
  <c r="F14" i="124"/>
  <c r="E14" i="124"/>
  <c r="D14" i="124"/>
  <c r="C14" i="124"/>
  <c r="G13" i="124"/>
  <c r="F13" i="124"/>
  <c r="E13" i="124"/>
  <c r="D13" i="124"/>
  <c r="C13" i="124"/>
  <c r="G12" i="124"/>
  <c r="F12" i="124"/>
  <c r="E12" i="124"/>
  <c r="D12" i="124"/>
  <c r="C12" i="124"/>
  <c r="G11" i="124"/>
  <c r="F11" i="124"/>
  <c r="E11" i="124"/>
  <c r="D11" i="124"/>
  <c r="C11" i="124"/>
  <c r="G10" i="124"/>
  <c r="F10" i="124"/>
  <c r="E10" i="124"/>
  <c r="D10" i="124"/>
  <c r="C10" i="124"/>
  <c r="A1" i="124"/>
  <c r="N27" i="64"/>
  <c r="M27" i="64"/>
  <c r="L27" i="64"/>
  <c r="K27" i="64"/>
  <c r="J27" i="64"/>
  <c r="I27" i="64"/>
  <c r="H27" i="64"/>
  <c r="G27" i="64"/>
  <c r="F27" i="64"/>
  <c r="E27" i="64"/>
  <c r="D27" i="64"/>
  <c r="C27" i="64"/>
  <c r="O26" i="64"/>
  <c r="I23" i="66" s="1"/>
  <c r="O25" i="64"/>
  <c r="I22" i="66" s="1"/>
  <c r="O24" i="64"/>
  <c r="I21" i="66" s="1"/>
  <c r="O23" i="64"/>
  <c r="I20" i="66" s="1"/>
  <c r="O22" i="64"/>
  <c r="N17" i="64"/>
  <c r="M17" i="64"/>
  <c r="L17" i="64"/>
  <c r="K17" i="64"/>
  <c r="J17" i="64"/>
  <c r="I17" i="64"/>
  <c r="H17" i="64"/>
  <c r="G17" i="64"/>
  <c r="F17" i="64"/>
  <c r="E17" i="64"/>
  <c r="D17" i="64"/>
  <c r="C17" i="64"/>
  <c r="O16" i="64"/>
  <c r="P16" i="64" s="1"/>
  <c r="I43" i="63" s="1"/>
  <c r="I43" i="66" s="1"/>
  <c r="O15" i="64"/>
  <c r="P15" i="64" s="1"/>
  <c r="I42" i="63" s="1"/>
  <c r="I42" i="66" s="1"/>
  <c r="O14" i="64"/>
  <c r="P14" i="64" s="1"/>
  <c r="I41" i="63" s="1"/>
  <c r="I41" i="66" s="1"/>
  <c r="O13" i="64"/>
  <c r="P13" i="64" s="1"/>
  <c r="I40" i="63" s="1"/>
  <c r="I40" i="66" s="1"/>
  <c r="O12" i="64"/>
  <c r="P12" i="64" s="1"/>
  <c r="I39" i="63" s="1"/>
  <c r="I39" i="66" s="1"/>
  <c r="N9" i="64"/>
  <c r="M9" i="64"/>
  <c r="L9" i="64"/>
  <c r="K9" i="64"/>
  <c r="J9" i="64"/>
  <c r="I9" i="64"/>
  <c r="H9" i="64"/>
  <c r="G9" i="64"/>
  <c r="F9" i="64"/>
  <c r="E9" i="64"/>
  <c r="D9" i="64"/>
  <c r="C9" i="64"/>
  <c r="A2" i="64"/>
  <c r="A1" i="64"/>
  <c r="N52" i="63"/>
  <c r="M52" i="63"/>
  <c r="G52" i="63"/>
  <c r="F52" i="63"/>
  <c r="E52" i="63"/>
  <c r="D52" i="63"/>
  <c r="C52" i="63"/>
  <c r="N51" i="63"/>
  <c r="M51" i="63"/>
  <c r="G51" i="63"/>
  <c r="F51" i="63"/>
  <c r="E51" i="63"/>
  <c r="D51" i="63"/>
  <c r="C51" i="63"/>
  <c r="N50" i="63"/>
  <c r="M50" i="63"/>
  <c r="G50" i="63"/>
  <c r="F50" i="63"/>
  <c r="E50" i="63"/>
  <c r="D50" i="63"/>
  <c r="C50" i="63"/>
  <c r="N49" i="63"/>
  <c r="M49" i="63"/>
  <c r="G49" i="63"/>
  <c r="F49" i="63"/>
  <c r="E49" i="63"/>
  <c r="D49" i="63"/>
  <c r="C49" i="63"/>
  <c r="N44" i="63"/>
  <c r="M44" i="63"/>
  <c r="K44" i="63"/>
  <c r="G44" i="63"/>
  <c r="F44" i="63"/>
  <c r="E44" i="63"/>
  <c r="D44" i="63"/>
  <c r="C44" i="63"/>
  <c r="N34" i="63"/>
  <c r="M34" i="63"/>
  <c r="K34" i="63"/>
  <c r="G34" i="63"/>
  <c r="F34" i="63"/>
  <c r="E34" i="63"/>
  <c r="D34" i="63"/>
  <c r="C34" i="63"/>
  <c r="I33" i="63"/>
  <c r="I33" i="66" s="1"/>
  <c r="I32" i="63"/>
  <c r="I32" i="66" s="1"/>
  <c r="I31" i="63"/>
  <c r="I31" i="66" s="1"/>
  <c r="I30" i="63"/>
  <c r="I30" i="66" s="1"/>
  <c r="I29" i="63"/>
  <c r="I29" i="66" s="1"/>
  <c r="N24" i="63"/>
  <c r="M24" i="63"/>
  <c r="G23" i="63"/>
  <c r="G24" i="63" s="1"/>
  <c r="F23" i="63"/>
  <c r="F24" i="63" s="1"/>
  <c r="E23" i="63"/>
  <c r="E24" i="63" s="1"/>
  <c r="D23" i="63"/>
  <c r="D24" i="63" s="1"/>
  <c r="C23" i="63"/>
  <c r="C24" i="63" s="1"/>
  <c r="N15" i="63"/>
  <c r="N15" i="65" s="1"/>
  <c r="M15" i="63"/>
  <c r="G15" i="63"/>
  <c r="D15" i="63" s="1"/>
  <c r="M10" i="63"/>
  <c r="A10" i="63"/>
  <c r="A9" i="63"/>
  <c r="A2" i="63"/>
  <c r="A1" i="63"/>
  <c r="X72" i="62"/>
  <c r="U72" i="62"/>
  <c r="S72" i="62"/>
  <c r="Q72" i="62"/>
  <c r="O72" i="62"/>
  <c r="M72" i="62"/>
  <c r="E72" i="62"/>
  <c r="D72" i="62"/>
  <c r="V71" i="62"/>
  <c r="T71" i="62"/>
  <c r="R71" i="62"/>
  <c r="P71" i="62"/>
  <c r="N71" i="62"/>
  <c r="V70" i="62"/>
  <c r="T70" i="62"/>
  <c r="R70" i="62"/>
  <c r="P70" i="62"/>
  <c r="N70" i="62"/>
  <c r="G72" i="62"/>
  <c r="V69" i="62"/>
  <c r="T69" i="62"/>
  <c r="R69" i="62"/>
  <c r="P69" i="62"/>
  <c r="N69" i="62"/>
  <c r="V68" i="62"/>
  <c r="T68" i="62"/>
  <c r="R68" i="62"/>
  <c r="P68" i="62"/>
  <c r="N68" i="62"/>
  <c r="K68" i="62"/>
  <c r="V67" i="62"/>
  <c r="T67" i="62"/>
  <c r="R67" i="62"/>
  <c r="P67" i="62"/>
  <c r="N67" i="62"/>
  <c r="V66" i="62"/>
  <c r="T66" i="62"/>
  <c r="R66" i="62"/>
  <c r="P66" i="62"/>
  <c r="N66" i="62"/>
  <c r="V65" i="62"/>
  <c r="T65" i="62"/>
  <c r="R65" i="62"/>
  <c r="P65" i="62"/>
  <c r="N65" i="62"/>
  <c r="X61" i="62"/>
  <c r="V61" i="62" s="1"/>
  <c r="U61" i="62"/>
  <c r="T61" i="62" s="1"/>
  <c r="S61" i="62"/>
  <c r="R61" i="62" s="1"/>
  <c r="Q61" i="62"/>
  <c r="P61" i="62" s="1"/>
  <c r="O61" i="62"/>
  <c r="N61" i="62" s="1"/>
  <c r="M61" i="62"/>
  <c r="K61" i="62" s="1"/>
  <c r="G61" i="62"/>
  <c r="E61" i="62"/>
  <c r="D61" i="62"/>
  <c r="V60" i="62"/>
  <c r="T60" i="62"/>
  <c r="R60" i="62"/>
  <c r="P60" i="62"/>
  <c r="N60" i="62"/>
  <c r="K60" i="62"/>
  <c r="V59" i="62"/>
  <c r="T59" i="62"/>
  <c r="R59" i="62"/>
  <c r="P59" i="62"/>
  <c r="N59" i="62"/>
  <c r="K59" i="62"/>
  <c r="X56" i="62"/>
  <c r="V56" i="62" s="1"/>
  <c r="U56" i="62"/>
  <c r="T56" i="62" s="1"/>
  <c r="S56" i="62"/>
  <c r="R56" i="62" s="1"/>
  <c r="Q56" i="62"/>
  <c r="P56" i="62" s="1"/>
  <c r="O56" i="62"/>
  <c r="N56" i="62" s="1"/>
  <c r="M56" i="62"/>
  <c r="K56" i="62" s="1"/>
  <c r="G56" i="62"/>
  <c r="E56" i="62"/>
  <c r="D56" i="62"/>
  <c r="V55" i="62"/>
  <c r="T55" i="62"/>
  <c r="R55" i="62"/>
  <c r="P55" i="62"/>
  <c r="N55" i="62"/>
  <c r="K55" i="62"/>
  <c r="V54" i="62"/>
  <c r="T54" i="62"/>
  <c r="R54" i="62"/>
  <c r="P54" i="62"/>
  <c r="N54" i="62"/>
  <c r="K54" i="62"/>
  <c r="X51" i="62"/>
  <c r="U51" i="62"/>
  <c r="S51" i="62"/>
  <c r="Q51" i="62"/>
  <c r="O51" i="62"/>
  <c r="M51" i="62"/>
  <c r="G51" i="62"/>
  <c r="E51" i="62"/>
  <c r="D51" i="62"/>
  <c r="V50" i="62"/>
  <c r="T50" i="62"/>
  <c r="R50" i="62"/>
  <c r="P50" i="62"/>
  <c r="N50" i="62"/>
  <c r="K50" i="62"/>
  <c r="V49" i="62"/>
  <c r="T49" i="62"/>
  <c r="R49" i="62"/>
  <c r="P49" i="62"/>
  <c r="N49" i="62"/>
  <c r="K49" i="62"/>
  <c r="V48" i="62"/>
  <c r="T48" i="62"/>
  <c r="R48" i="62"/>
  <c r="P48" i="62"/>
  <c r="N48" i="62"/>
  <c r="V47" i="62"/>
  <c r="T47" i="62"/>
  <c r="R47" i="62"/>
  <c r="P47" i="62"/>
  <c r="N47" i="62"/>
  <c r="K47" i="62"/>
  <c r="V46" i="62"/>
  <c r="T46" i="62"/>
  <c r="R46" i="62"/>
  <c r="P46" i="62"/>
  <c r="N46" i="62"/>
  <c r="K46" i="62"/>
  <c r="V45" i="62"/>
  <c r="T45" i="62"/>
  <c r="R45" i="62"/>
  <c r="P45" i="62"/>
  <c r="N45" i="62"/>
  <c r="K45" i="62"/>
  <c r="V39" i="62"/>
  <c r="T39" i="62"/>
  <c r="R39" i="62"/>
  <c r="P39" i="62"/>
  <c r="N39" i="62"/>
  <c r="K39" i="62"/>
  <c r="H39" i="62"/>
  <c r="V38" i="62"/>
  <c r="T38" i="62"/>
  <c r="R38" i="62"/>
  <c r="P38" i="62"/>
  <c r="N38" i="62"/>
  <c r="K38" i="62"/>
  <c r="H38" i="62"/>
  <c r="V37" i="62"/>
  <c r="T37" i="62"/>
  <c r="R37" i="62"/>
  <c r="P37" i="62"/>
  <c r="N37" i="62"/>
  <c r="X36" i="62"/>
  <c r="U36" i="62"/>
  <c r="S36" i="62"/>
  <c r="Q36" i="62"/>
  <c r="O36" i="62"/>
  <c r="M36" i="62"/>
  <c r="V35" i="62"/>
  <c r="T35" i="62"/>
  <c r="R35" i="62"/>
  <c r="P35" i="62"/>
  <c r="N35" i="62"/>
  <c r="V34" i="62"/>
  <c r="T34" i="62"/>
  <c r="R34" i="62"/>
  <c r="P34" i="62"/>
  <c r="N34" i="62"/>
  <c r="V33" i="62"/>
  <c r="T33" i="62"/>
  <c r="R33" i="62"/>
  <c r="P33" i="62"/>
  <c r="N33" i="62"/>
  <c r="V32" i="62"/>
  <c r="T32" i="62"/>
  <c r="R32" i="62"/>
  <c r="P32" i="62"/>
  <c r="N32" i="62"/>
  <c r="V31" i="62"/>
  <c r="T31" i="62"/>
  <c r="R31" i="62"/>
  <c r="P31" i="62"/>
  <c r="N31" i="62"/>
  <c r="E40" i="62"/>
  <c r="E41" i="62" s="1"/>
  <c r="D40" i="62"/>
  <c r="D41" i="62" s="1"/>
  <c r="V29" i="62"/>
  <c r="T29" i="62"/>
  <c r="Q29" i="62"/>
  <c r="O29" i="62"/>
  <c r="M29" i="62"/>
  <c r="V28" i="62"/>
  <c r="T28" i="62"/>
  <c r="R28" i="62"/>
  <c r="P28" i="62"/>
  <c r="N28" i="62"/>
  <c r="V27" i="62"/>
  <c r="T27" i="62"/>
  <c r="R27" i="62"/>
  <c r="P27" i="62"/>
  <c r="N27" i="62"/>
  <c r="V26" i="62"/>
  <c r="T26" i="62"/>
  <c r="R26" i="62"/>
  <c r="P26" i="62"/>
  <c r="N26" i="62"/>
  <c r="V25" i="62"/>
  <c r="T25" i="62"/>
  <c r="R25" i="62"/>
  <c r="P25" i="62"/>
  <c r="N25" i="62"/>
  <c r="V24" i="62"/>
  <c r="T24" i="62"/>
  <c r="R24" i="62"/>
  <c r="P24" i="62"/>
  <c r="N24" i="62"/>
  <c r="V23" i="62"/>
  <c r="T23" i="62"/>
  <c r="R23" i="62"/>
  <c r="P23" i="62"/>
  <c r="N23" i="62"/>
  <c r="V22" i="62"/>
  <c r="T22" i="62"/>
  <c r="R22" i="62"/>
  <c r="P22" i="62"/>
  <c r="N22" i="62"/>
  <c r="V21" i="62"/>
  <c r="T21" i="62"/>
  <c r="R21" i="62"/>
  <c r="P21" i="62"/>
  <c r="N21" i="62"/>
  <c r="X20" i="62"/>
  <c r="X30" i="62" s="1"/>
  <c r="U20" i="62"/>
  <c r="S20" i="62"/>
  <c r="S30" i="62" s="1"/>
  <c r="Q20" i="62"/>
  <c r="O20" i="62"/>
  <c r="M20" i="62"/>
  <c r="V16" i="62"/>
  <c r="T16" i="62"/>
  <c r="R16" i="62"/>
  <c r="P16" i="62"/>
  <c r="N16" i="62"/>
  <c r="O14" i="62"/>
  <c r="A9" i="62"/>
  <c r="A8" i="62"/>
  <c r="A2" i="62"/>
  <c r="A1" i="62"/>
  <c r="X63" i="159"/>
  <c r="U63" i="159"/>
  <c r="I88" i="110" s="1"/>
  <c r="S63" i="159"/>
  <c r="Q63" i="159"/>
  <c r="G88" i="110" s="1"/>
  <c r="O63" i="159"/>
  <c r="M63" i="159"/>
  <c r="E88" i="110" s="1"/>
  <c r="J63" i="159"/>
  <c r="G63" i="159"/>
  <c r="C88" i="110" s="1"/>
  <c r="E63" i="159"/>
  <c r="D63" i="159"/>
  <c r="T62" i="159"/>
  <c r="R62" i="159"/>
  <c r="P62" i="159"/>
  <c r="N62" i="159"/>
  <c r="K62" i="159"/>
  <c r="H62" i="159"/>
  <c r="T61" i="159"/>
  <c r="R61" i="159"/>
  <c r="P61" i="159"/>
  <c r="N61" i="159"/>
  <c r="K61" i="159"/>
  <c r="H61" i="159"/>
  <c r="V60" i="159"/>
  <c r="T60" i="159"/>
  <c r="R60" i="159"/>
  <c r="P60" i="159"/>
  <c r="N60" i="159"/>
  <c r="K60" i="159"/>
  <c r="H60" i="159"/>
  <c r="V59" i="159"/>
  <c r="T59" i="159"/>
  <c r="R59" i="159"/>
  <c r="P59" i="159"/>
  <c r="N59" i="159"/>
  <c r="K59" i="159"/>
  <c r="H59" i="159"/>
  <c r="V58" i="159"/>
  <c r="T58" i="159"/>
  <c r="R58" i="159"/>
  <c r="P58" i="159"/>
  <c r="N58" i="159"/>
  <c r="K58" i="159"/>
  <c r="H58" i="159"/>
  <c r="V57" i="159"/>
  <c r="T57" i="159"/>
  <c r="R57" i="159"/>
  <c r="P57" i="159"/>
  <c r="N57" i="159"/>
  <c r="K57" i="159"/>
  <c r="H57" i="159"/>
  <c r="V56" i="159"/>
  <c r="T56" i="159"/>
  <c r="R56" i="159"/>
  <c r="P56" i="159"/>
  <c r="N56" i="159"/>
  <c r="K56" i="159"/>
  <c r="H56" i="159"/>
  <c r="X53" i="159"/>
  <c r="U53" i="159"/>
  <c r="S53" i="159"/>
  <c r="Q53" i="159"/>
  <c r="O53" i="159"/>
  <c r="M53" i="159"/>
  <c r="J53" i="159"/>
  <c r="G53" i="159"/>
  <c r="E53" i="159"/>
  <c r="D53" i="159"/>
  <c r="T52" i="159"/>
  <c r="R52" i="159"/>
  <c r="P52" i="159"/>
  <c r="N52" i="159"/>
  <c r="K52" i="159"/>
  <c r="H52" i="159"/>
  <c r="T51" i="159"/>
  <c r="R51" i="159"/>
  <c r="P51" i="159"/>
  <c r="N51" i="159"/>
  <c r="K51" i="159"/>
  <c r="H51" i="159"/>
  <c r="V50" i="159"/>
  <c r="T50" i="159"/>
  <c r="R50" i="159"/>
  <c r="P50" i="159"/>
  <c r="N50" i="159"/>
  <c r="K50" i="159"/>
  <c r="H50" i="159"/>
  <c r="V49" i="159"/>
  <c r="T49" i="159"/>
  <c r="R49" i="159"/>
  <c r="P49" i="159"/>
  <c r="N49" i="159"/>
  <c r="K49" i="159"/>
  <c r="H49" i="159"/>
  <c r="V48" i="159"/>
  <c r="T48" i="159"/>
  <c r="R48" i="159"/>
  <c r="P48" i="159"/>
  <c r="N48" i="159"/>
  <c r="K48" i="159"/>
  <c r="H48" i="159"/>
  <c r="V47" i="159"/>
  <c r="T47" i="159"/>
  <c r="R47" i="159"/>
  <c r="P47" i="159"/>
  <c r="N47" i="159"/>
  <c r="K47" i="159"/>
  <c r="H47" i="159"/>
  <c r="X45" i="159"/>
  <c r="S45" i="159"/>
  <c r="Q45" i="159"/>
  <c r="R45" i="159" s="1"/>
  <c r="U44" i="159"/>
  <c r="R44" i="159"/>
  <c r="O44" i="159"/>
  <c r="M44" i="159"/>
  <c r="G45" i="159"/>
  <c r="E45" i="159"/>
  <c r="D45" i="159"/>
  <c r="T43" i="159"/>
  <c r="R43" i="159"/>
  <c r="P43" i="159"/>
  <c r="N43" i="159"/>
  <c r="K43" i="159"/>
  <c r="H43" i="159"/>
  <c r="V40" i="159"/>
  <c r="T40" i="159"/>
  <c r="R40" i="159"/>
  <c r="P40" i="159"/>
  <c r="N40" i="159"/>
  <c r="K40" i="159"/>
  <c r="H40" i="159"/>
  <c r="T39" i="159"/>
  <c r="R39" i="159"/>
  <c r="P39" i="159"/>
  <c r="N39" i="159"/>
  <c r="K39" i="159"/>
  <c r="H39" i="159"/>
  <c r="V38" i="159"/>
  <c r="T38" i="159"/>
  <c r="R38" i="159"/>
  <c r="P38" i="159"/>
  <c r="N38" i="159"/>
  <c r="K38" i="159"/>
  <c r="H38" i="159"/>
  <c r="V37" i="159"/>
  <c r="T37" i="159"/>
  <c r="R37" i="159"/>
  <c r="P37" i="159"/>
  <c r="N37" i="159"/>
  <c r="K37" i="159"/>
  <c r="H37" i="159"/>
  <c r="X36" i="159"/>
  <c r="U36" i="159"/>
  <c r="U41" i="159" s="1"/>
  <c r="S36" i="159"/>
  <c r="S41" i="159" s="1"/>
  <c r="Q36" i="159"/>
  <c r="Q41" i="159" s="1"/>
  <c r="O36" i="159"/>
  <c r="M36" i="159"/>
  <c r="M41" i="159" s="1"/>
  <c r="J41" i="159"/>
  <c r="G41" i="159"/>
  <c r="E41" i="159"/>
  <c r="D41" i="159"/>
  <c r="X32" i="159"/>
  <c r="X33" i="159" s="1"/>
  <c r="U32" i="159"/>
  <c r="U33" i="159" s="1"/>
  <c r="S32" i="159"/>
  <c r="S33" i="159" s="1"/>
  <c r="Q32" i="159"/>
  <c r="O32" i="159"/>
  <c r="O33" i="159" s="1"/>
  <c r="M32" i="159"/>
  <c r="J32" i="159"/>
  <c r="J33" i="159" s="1"/>
  <c r="G32" i="159"/>
  <c r="G33" i="159" s="1"/>
  <c r="E32" i="159"/>
  <c r="E33" i="159" s="1"/>
  <c r="D32" i="159"/>
  <c r="D33" i="159" s="1"/>
  <c r="T31" i="159"/>
  <c r="R31" i="159"/>
  <c r="P31" i="159"/>
  <c r="N31" i="159"/>
  <c r="K31" i="159"/>
  <c r="V30" i="159"/>
  <c r="T30" i="159"/>
  <c r="R30" i="159"/>
  <c r="P30" i="159"/>
  <c r="N30" i="159"/>
  <c r="K30" i="159"/>
  <c r="V29" i="159"/>
  <c r="T29" i="159"/>
  <c r="R29" i="159"/>
  <c r="P29" i="159"/>
  <c r="N29" i="159"/>
  <c r="K29" i="159"/>
  <c r="V28" i="159"/>
  <c r="T28" i="159"/>
  <c r="R28" i="159"/>
  <c r="P28" i="159"/>
  <c r="N28" i="159"/>
  <c r="K28" i="159"/>
  <c r="V27" i="159"/>
  <c r="T27" i="159"/>
  <c r="R27" i="159"/>
  <c r="P27" i="159"/>
  <c r="N27" i="159"/>
  <c r="K27" i="159"/>
  <c r="V26" i="159"/>
  <c r="T26" i="159"/>
  <c r="R26" i="159"/>
  <c r="P26" i="159"/>
  <c r="N26" i="159"/>
  <c r="K26" i="159"/>
  <c r="V25" i="159"/>
  <c r="T25" i="159"/>
  <c r="R25" i="159"/>
  <c r="P25" i="159"/>
  <c r="N25" i="159"/>
  <c r="K25" i="159"/>
  <c r="V24" i="159"/>
  <c r="T24" i="159"/>
  <c r="R24" i="159"/>
  <c r="P24" i="159"/>
  <c r="N24" i="159"/>
  <c r="K24" i="159"/>
  <c r="T23" i="159"/>
  <c r="R23" i="159"/>
  <c r="P23" i="159"/>
  <c r="N23" i="159"/>
  <c r="K23" i="159"/>
  <c r="V22" i="159"/>
  <c r="T22" i="159"/>
  <c r="R22" i="159"/>
  <c r="P22" i="159"/>
  <c r="N22" i="159"/>
  <c r="K22" i="159"/>
  <c r="V21" i="159"/>
  <c r="T21" i="159"/>
  <c r="R21" i="159"/>
  <c r="P21" i="159"/>
  <c r="N21" i="159"/>
  <c r="K21" i="159"/>
  <c r="V20" i="159"/>
  <c r="T20" i="159"/>
  <c r="R20" i="159"/>
  <c r="P20" i="159"/>
  <c r="N20" i="159"/>
  <c r="K20" i="159"/>
  <c r="V19" i="159"/>
  <c r="T19" i="159"/>
  <c r="R19" i="159"/>
  <c r="P19" i="159"/>
  <c r="N19" i="159"/>
  <c r="K19" i="159"/>
  <c r="V18" i="159"/>
  <c r="T18" i="159"/>
  <c r="R18" i="159"/>
  <c r="P18" i="159"/>
  <c r="N18" i="159"/>
  <c r="K18" i="159"/>
  <c r="V16" i="159"/>
  <c r="T16" i="159"/>
  <c r="R16" i="159"/>
  <c r="P16" i="159"/>
  <c r="N16" i="159"/>
  <c r="K16" i="159"/>
  <c r="O14" i="159"/>
  <c r="Q14" i="159" s="1"/>
  <c r="S14" i="159" s="1"/>
  <c r="U14" i="159" s="1"/>
  <c r="A9" i="159"/>
  <c r="A8" i="159"/>
  <c r="A2" i="159"/>
  <c r="A1" i="159"/>
  <c r="X98" i="61"/>
  <c r="W98" i="61"/>
  <c r="V98" i="61"/>
  <c r="U98" i="61"/>
  <c r="T98" i="61"/>
  <c r="S98" i="61"/>
  <c r="R98" i="61"/>
  <c r="Q98" i="61"/>
  <c r="P98" i="61"/>
  <c r="O98" i="61"/>
  <c r="N98" i="61"/>
  <c r="M98" i="61"/>
  <c r="X96" i="61"/>
  <c r="X100" i="61" s="1"/>
  <c r="W96" i="61"/>
  <c r="W100" i="61" s="1"/>
  <c r="V96" i="61"/>
  <c r="V100" i="61" s="1"/>
  <c r="U96" i="61"/>
  <c r="U100" i="61" s="1"/>
  <c r="T96" i="61"/>
  <c r="T100" i="61" s="1"/>
  <c r="S96" i="61"/>
  <c r="S100" i="61" s="1"/>
  <c r="R96" i="61"/>
  <c r="R100" i="61" s="1"/>
  <c r="Q96" i="61"/>
  <c r="Q100" i="61" s="1"/>
  <c r="P96" i="61"/>
  <c r="P100" i="61" s="1"/>
  <c r="O96" i="61"/>
  <c r="O100" i="61" s="1"/>
  <c r="N96" i="61"/>
  <c r="N100" i="61" s="1"/>
  <c r="M96" i="61"/>
  <c r="Y94" i="61"/>
  <c r="O69" i="142" s="1"/>
  <c r="Y93" i="61"/>
  <c r="O68" i="142" s="1"/>
  <c r="Y92" i="61"/>
  <c r="O67" i="142" s="1"/>
  <c r="X82" i="61"/>
  <c r="K82" i="61"/>
  <c r="K81" i="61"/>
  <c r="K80" i="61"/>
  <c r="I47" i="61"/>
  <c r="A45" i="61"/>
  <c r="A44" i="61"/>
  <c r="A40" i="61"/>
  <c r="A39" i="61"/>
  <c r="I9" i="61"/>
  <c r="A7" i="61"/>
  <c r="A6" i="61"/>
  <c r="A2" i="61"/>
  <c r="A1" i="61"/>
  <c r="A42" i="60"/>
  <c r="A41" i="60"/>
  <c r="A37" i="60"/>
  <c r="A36" i="60"/>
  <c r="A7" i="60"/>
  <c r="A6" i="60"/>
  <c r="A2" i="60"/>
  <c r="A1" i="60"/>
  <c r="I21" i="59"/>
  <c r="E21" i="59"/>
  <c r="I18" i="59"/>
  <c r="E18" i="59"/>
  <c r="G18" i="59" s="1"/>
  <c r="G17" i="59"/>
  <c r="G16" i="59"/>
  <c r="B8" i="59"/>
  <c r="B7" i="59"/>
  <c r="B2" i="59"/>
  <c r="B1" i="59"/>
  <c r="G30" i="58"/>
  <c r="G29" i="58"/>
  <c r="G27" i="58"/>
  <c r="H27" i="58" s="1"/>
  <c r="J24" i="58"/>
  <c r="G23" i="58"/>
  <c r="G22" i="58"/>
  <c r="G20" i="58"/>
  <c r="H20" i="58" s="1"/>
  <c r="L20" i="58" s="1"/>
  <c r="J10" i="58"/>
  <c r="B8" i="58"/>
  <c r="B7" i="58"/>
  <c r="B2" i="58"/>
  <c r="B1" i="58"/>
  <c r="G26" i="57"/>
  <c r="O24" i="57"/>
  <c r="Q24" i="57" s="1"/>
  <c r="I24" i="57"/>
  <c r="K24" i="57" s="1"/>
  <c r="O23" i="57"/>
  <c r="Q23" i="57" s="1"/>
  <c r="I23" i="57"/>
  <c r="K23" i="57" s="1"/>
  <c r="O22" i="57"/>
  <c r="Q22" i="57" s="1"/>
  <c r="I22" i="57"/>
  <c r="K22" i="57" s="1"/>
  <c r="O21" i="57"/>
  <c r="Q21" i="57" s="1"/>
  <c r="I21" i="57"/>
  <c r="K21" i="57" s="1"/>
  <c r="O20" i="57"/>
  <c r="Q20" i="57" s="1"/>
  <c r="I20" i="57"/>
  <c r="K20" i="57" s="1"/>
  <c r="O19" i="57"/>
  <c r="Q19" i="57" s="1"/>
  <c r="I19" i="57"/>
  <c r="K19" i="57" s="1"/>
  <c r="O18" i="57"/>
  <c r="Q18" i="57" s="1"/>
  <c r="I18" i="57"/>
  <c r="K18" i="57" s="1"/>
  <c r="O10" i="57"/>
  <c r="A8" i="57"/>
  <c r="A7" i="57"/>
  <c r="A2" i="57"/>
  <c r="A1" i="57"/>
  <c r="K26" i="56"/>
  <c r="I26" i="56"/>
  <c r="G26" i="56"/>
  <c r="E26" i="56"/>
  <c r="C26" i="56"/>
  <c r="C37" i="56" s="1"/>
  <c r="C13" i="56"/>
  <c r="K9" i="56"/>
  <c r="A7" i="56"/>
  <c r="A6" i="56"/>
  <c r="A2" i="56"/>
  <c r="A1" i="56"/>
  <c r="AA172" i="55"/>
  <c r="Z172" i="55"/>
  <c r="Y172" i="55"/>
  <c r="X172" i="55"/>
  <c r="W172" i="55"/>
  <c r="V172" i="55"/>
  <c r="U172" i="55"/>
  <c r="T172" i="55"/>
  <c r="S172" i="55"/>
  <c r="S174" i="55" s="1"/>
  <c r="R172" i="55"/>
  <c r="R174" i="55" s="1"/>
  <c r="Q172" i="55"/>
  <c r="Q174" i="55" s="1"/>
  <c r="P172" i="55"/>
  <c r="O171" i="55"/>
  <c r="O170" i="55"/>
  <c r="O169" i="55"/>
  <c r="O168" i="55"/>
  <c r="O167" i="55"/>
  <c r="O166" i="55"/>
  <c r="O165" i="55"/>
  <c r="O164" i="55"/>
  <c r="O163" i="55"/>
  <c r="O162" i="55"/>
  <c r="O161" i="55"/>
  <c r="O160" i="55"/>
  <c r="O159" i="55"/>
  <c r="O158" i="55"/>
  <c r="O157" i="55"/>
  <c r="O156" i="55"/>
  <c r="O155" i="55"/>
  <c r="O154" i="55"/>
  <c r="O153" i="55"/>
  <c r="O152" i="55"/>
  <c r="AA149" i="55"/>
  <c r="Z149" i="55"/>
  <c r="Y149" i="55"/>
  <c r="X149" i="55"/>
  <c r="W149" i="55"/>
  <c r="V149" i="55"/>
  <c r="U149" i="55"/>
  <c r="T149" i="55"/>
  <c r="P149" i="55"/>
  <c r="O148" i="55"/>
  <c r="AA145" i="55"/>
  <c r="Z145" i="55"/>
  <c r="Y145" i="55"/>
  <c r="X145" i="55"/>
  <c r="W145" i="55"/>
  <c r="V145" i="55"/>
  <c r="U145" i="55"/>
  <c r="T145" i="55"/>
  <c r="P145" i="55"/>
  <c r="O144" i="55"/>
  <c r="O145" i="55" s="1"/>
  <c r="E48" i="55" s="1"/>
  <c r="F48" i="55" s="1"/>
  <c r="AA141" i="55"/>
  <c r="Z141" i="55"/>
  <c r="Y141" i="55"/>
  <c r="X141" i="55"/>
  <c r="W141" i="55"/>
  <c r="V141" i="55"/>
  <c r="U141" i="55"/>
  <c r="T141" i="55"/>
  <c r="P141" i="55"/>
  <c r="O140" i="55"/>
  <c r="O139" i="55"/>
  <c r="AA136" i="55"/>
  <c r="Z136" i="55"/>
  <c r="Y136" i="55"/>
  <c r="X136" i="55"/>
  <c r="W136" i="55"/>
  <c r="V136" i="55"/>
  <c r="U136" i="55"/>
  <c r="T136" i="55"/>
  <c r="S136" i="55"/>
  <c r="R136" i="55"/>
  <c r="Q136" i="55"/>
  <c r="P136" i="55"/>
  <c r="M132" i="55"/>
  <c r="Y131" i="55"/>
  <c r="M130" i="55"/>
  <c r="M129" i="55"/>
  <c r="O121" i="55"/>
  <c r="O120" i="55"/>
  <c r="O119" i="55"/>
  <c r="O118" i="55"/>
  <c r="O117" i="55"/>
  <c r="O116" i="55"/>
  <c r="O115" i="55"/>
  <c r="O114" i="55"/>
  <c r="O112" i="55"/>
  <c r="O111" i="55"/>
  <c r="O110" i="55"/>
  <c r="O109" i="55"/>
  <c r="O108" i="55"/>
  <c r="O107" i="55"/>
  <c r="O106" i="55"/>
  <c r="O105" i="55"/>
  <c r="O104" i="55"/>
  <c r="O102" i="55"/>
  <c r="O101" i="55"/>
  <c r="O100" i="55"/>
  <c r="O98" i="55"/>
  <c r="O97" i="55"/>
  <c r="O96" i="55"/>
  <c r="O95" i="55"/>
  <c r="O94" i="55"/>
  <c r="O93" i="55"/>
  <c r="O92" i="55"/>
  <c r="O91" i="55"/>
  <c r="O90" i="55"/>
  <c r="O89" i="55"/>
  <c r="O88" i="55"/>
  <c r="O87" i="55"/>
  <c r="O85" i="55"/>
  <c r="O84" i="55"/>
  <c r="O83" i="55"/>
  <c r="O82" i="55"/>
  <c r="O81" i="55"/>
  <c r="AA77" i="55"/>
  <c r="Z77" i="55"/>
  <c r="Y77" i="55"/>
  <c r="X77" i="55"/>
  <c r="W77" i="55"/>
  <c r="V77" i="55"/>
  <c r="U77" i="55"/>
  <c r="T77" i="55"/>
  <c r="S77" i="55"/>
  <c r="R77" i="55"/>
  <c r="Q77" i="55"/>
  <c r="P77" i="55"/>
  <c r="O76" i="55"/>
  <c r="O77" i="55" s="1"/>
  <c r="E22" i="55" s="1"/>
  <c r="F22" i="55" s="1"/>
  <c r="AA73" i="55"/>
  <c r="Z73" i="55"/>
  <c r="Y73" i="55"/>
  <c r="X73" i="55"/>
  <c r="W73" i="55"/>
  <c r="V73" i="55"/>
  <c r="U73" i="55"/>
  <c r="T73" i="55"/>
  <c r="S73" i="55"/>
  <c r="R73" i="55"/>
  <c r="Q73" i="55"/>
  <c r="P73" i="55"/>
  <c r="O72" i="55"/>
  <c r="O73" i="55" s="1"/>
  <c r="E20" i="55" s="1"/>
  <c r="F20" i="55" s="1"/>
  <c r="AA69" i="55"/>
  <c r="Z69" i="55"/>
  <c r="Y69" i="55"/>
  <c r="X69" i="55"/>
  <c r="W69" i="55"/>
  <c r="V69" i="55"/>
  <c r="U69" i="55"/>
  <c r="T69" i="55"/>
  <c r="S69" i="55"/>
  <c r="R69" i="55"/>
  <c r="Q69" i="55"/>
  <c r="P69" i="55"/>
  <c r="O68" i="55"/>
  <c r="O67" i="55"/>
  <c r="O66" i="55"/>
  <c r="AA63" i="55"/>
  <c r="Z63" i="55"/>
  <c r="Y63" i="55"/>
  <c r="X63" i="55"/>
  <c r="W63" i="55"/>
  <c r="V63" i="55"/>
  <c r="U63" i="55"/>
  <c r="T63" i="55"/>
  <c r="S63" i="55"/>
  <c r="R63" i="55"/>
  <c r="Q63" i="55"/>
  <c r="P63" i="55"/>
  <c r="M59" i="55"/>
  <c r="Y58" i="55"/>
  <c r="M57" i="55"/>
  <c r="M56" i="55"/>
  <c r="I54" i="55"/>
  <c r="D54" i="55"/>
  <c r="C54" i="55"/>
  <c r="G52" i="55"/>
  <c r="G50" i="55"/>
  <c r="G48" i="55"/>
  <c r="G46" i="55"/>
  <c r="J38" i="55"/>
  <c r="A37" i="55"/>
  <c r="A36" i="55"/>
  <c r="A35" i="55"/>
  <c r="A30" i="55"/>
  <c r="A29" i="55"/>
  <c r="I26" i="55"/>
  <c r="D26" i="55"/>
  <c r="C26" i="55"/>
  <c r="G24" i="55"/>
  <c r="G22" i="55"/>
  <c r="G20" i="55"/>
  <c r="G18" i="55"/>
  <c r="J10" i="55"/>
  <c r="A8" i="55"/>
  <c r="A7" i="55"/>
  <c r="A2" i="55"/>
  <c r="A1" i="55"/>
  <c r="AA142" i="54"/>
  <c r="Z142" i="54"/>
  <c r="Y142" i="54"/>
  <c r="X142" i="54"/>
  <c r="W142" i="54"/>
  <c r="V142" i="54"/>
  <c r="U142" i="54"/>
  <c r="T142" i="54"/>
  <c r="S142" i="54"/>
  <c r="R142" i="54"/>
  <c r="Q142" i="54"/>
  <c r="P142" i="54"/>
  <c r="AA137" i="54"/>
  <c r="Z137" i="54"/>
  <c r="Y137" i="54"/>
  <c r="X137" i="54"/>
  <c r="W137" i="54"/>
  <c r="V137" i="54"/>
  <c r="U137" i="54"/>
  <c r="T137" i="54"/>
  <c r="S137" i="54"/>
  <c r="R137" i="54"/>
  <c r="Q137" i="54"/>
  <c r="P137" i="54"/>
  <c r="O135" i="54"/>
  <c r="O133" i="54"/>
  <c r="O131" i="54"/>
  <c r="O129" i="54"/>
  <c r="O127" i="54"/>
  <c r="O125" i="54"/>
  <c r="O123" i="54"/>
  <c r="AA119" i="54"/>
  <c r="Z119" i="54"/>
  <c r="Y119" i="54"/>
  <c r="X119" i="54"/>
  <c r="W119" i="54"/>
  <c r="V119" i="54"/>
  <c r="U119" i="54"/>
  <c r="T119" i="54"/>
  <c r="S119" i="54"/>
  <c r="R119" i="54"/>
  <c r="Q119" i="54"/>
  <c r="P119" i="54"/>
  <c r="M112" i="54"/>
  <c r="Y111" i="54"/>
  <c r="M111" i="54"/>
  <c r="M110" i="54"/>
  <c r="M109" i="54"/>
  <c r="I98" i="54"/>
  <c r="I101" i="54" s="1"/>
  <c r="H98" i="54"/>
  <c r="H101" i="54" s="1"/>
  <c r="G98" i="54"/>
  <c r="G101" i="54" s="1"/>
  <c r="F98" i="54"/>
  <c r="F101" i="54" s="1"/>
  <c r="E98" i="54"/>
  <c r="E101" i="54" s="1"/>
  <c r="K94" i="54"/>
  <c r="K92" i="54"/>
  <c r="K90" i="54"/>
  <c r="K88" i="54"/>
  <c r="K86" i="54"/>
  <c r="K84" i="54"/>
  <c r="J77" i="54"/>
  <c r="A76" i="54"/>
  <c r="A75" i="54"/>
  <c r="A74" i="54"/>
  <c r="A70" i="54"/>
  <c r="A69" i="54"/>
  <c r="P68" i="54"/>
  <c r="O66" i="54"/>
  <c r="J28" i="54" s="1"/>
  <c r="K28" i="54" s="1"/>
  <c r="O64" i="54"/>
  <c r="J26" i="54" s="1"/>
  <c r="AA62" i="54"/>
  <c r="AA68" i="54" s="1"/>
  <c r="Z62" i="54"/>
  <c r="Z68" i="54" s="1"/>
  <c r="Y62" i="54"/>
  <c r="Y68" i="54" s="1"/>
  <c r="X62" i="54"/>
  <c r="X68" i="54" s="1"/>
  <c r="W62" i="54"/>
  <c r="W68" i="54" s="1"/>
  <c r="V62" i="54"/>
  <c r="V68" i="54" s="1"/>
  <c r="U62" i="54"/>
  <c r="U68" i="54" s="1"/>
  <c r="T62" i="54"/>
  <c r="T68" i="54" s="1"/>
  <c r="S62" i="54"/>
  <c r="S68" i="54" s="1"/>
  <c r="R62" i="54"/>
  <c r="R68" i="54" s="1"/>
  <c r="Q62" i="54"/>
  <c r="Q68" i="54" s="1"/>
  <c r="O61" i="54"/>
  <c r="H24" i="54" s="1"/>
  <c r="H30" i="54" s="1"/>
  <c r="H33" i="54" s="1"/>
  <c r="O60" i="54"/>
  <c r="O57" i="54"/>
  <c r="O55" i="54"/>
  <c r="O53" i="54"/>
  <c r="J18" i="54" s="1"/>
  <c r="K18" i="54" s="1"/>
  <c r="O51" i="54"/>
  <c r="AA47" i="54"/>
  <c r="Z47" i="54"/>
  <c r="Y47" i="54"/>
  <c r="X47" i="54"/>
  <c r="W47" i="54"/>
  <c r="V47" i="54"/>
  <c r="U47" i="54"/>
  <c r="T47" i="54"/>
  <c r="S47" i="54"/>
  <c r="R47" i="54"/>
  <c r="Q47" i="54"/>
  <c r="P47" i="54"/>
  <c r="M40" i="54"/>
  <c r="Y39" i="54"/>
  <c r="M39" i="54"/>
  <c r="M38" i="54"/>
  <c r="M37" i="54"/>
  <c r="I30" i="54"/>
  <c r="I33" i="54" s="1"/>
  <c r="F30" i="54"/>
  <c r="F33" i="54" s="1"/>
  <c r="E30" i="54"/>
  <c r="E33" i="54" s="1"/>
  <c r="K20" i="54"/>
  <c r="K16" i="54"/>
  <c r="J9" i="54"/>
  <c r="A7" i="54"/>
  <c r="A6" i="54"/>
  <c r="A2" i="54"/>
  <c r="A1" i="54"/>
  <c r="R30" i="53"/>
  <c r="J30" i="53"/>
  <c r="E30" i="53"/>
  <c r="R26" i="53"/>
  <c r="J26" i="53"/>
  <c r="E26" i="53"/>
  <c r="R25" i="53"/>
  <c r="J25" i="53"/>
  <c r="E25" i="53"/>
  <c r="R24" i="53"/>
  <c r="J24" i="53"/>
  <c r="E24" i="53"/>
  <c r="R20" i="53"/>
  <c r="J20" i="53"/>
  <c r="E20" i="53"/>
  <c r="R19" i="53"/>
  <c r="J19" i="53"/>
  <c r="E19" i="53"/>
  <c r="R18" i="53"/>
  <c r="J18" i="53"/>
  <c r="E18" i="53"/>
  <c r="R10" i="53"/>
  <c r="C8" i="53"/>
  <c r="C7" i="53"/>
  <c r="C2" i="53"/>
  <c r="C1" i="53"/>
  <c r="M27" i="52"/>
  <c r="G27" i="52"/>
  <c r="O25" i="52"/>
  <c r="Q25" i="52" s="1"/>
  <c r="I25" i="52"/>
  <c r="K25" i="52" s="1"/>
  <c r="O24" i="52"/>
  <c r="Q24" i="52" s="1"/>
  <c r="I24" i="52"/>
  <c r="K24" i="52" s="1"/>
  <c r="O21" i="52"/>
  <c r="Q21" i="52" s="1"/>
  <c r="I21" i="52"/>
  <c r="K21" i="52" s="1"/>
  <c r="O18" i="52"/>
  <c r="Q18" i="52" s="1"/>
  <c r="I18" i="52"/>
  <c r="K18" i="52" s="1"/>
  <c r="O10" i="52"/>
  <c r="A8" i="52"/>
  <c r="A7" i="52"/>
  <c r="A2" i="52"/>
  <c r="A1" i="52"/>
  <c r="O10" i="51"/>
  <c r="A8" i="51"/>
  <c r="A7" i="51"/>
  <c r="A2" i="51"/>
  <c r="A1" i="51"/>
  <c r="M66" i="50"/>
  <c r="G66" i="50"/>
  <c r="O64" i="50"/>
  <c r="Q64" i="50" s="1"/>
  <c r="I64" i="50"/>
  <c r="K64" i="50" s="1"/>
  <c r="O63" i="50"/>
  <c r="Q63" i="50" s="1"/>
  <c r="I63" i="50"/>
  <c r="K63" i="50" s="1"/>
  <c r="O62" i="50"/>
  <c r="Q62" i="50" s="1"/>
  <c r="I62" i="50"/>
  <c r="K62" i="50" s="1"/>
  <c r="O60" i="50"/>
  <c r="Q60" i="50" s="1"/>
  <c r="I60" i="50"/>
  <c r="K60" i="50" s="1"/>
  <c r="O58" i="50"/>
  <c r="Q58" i="50" s="1"/>
  <c r="I58" i="50"/>
  <c r="K58" i="50" s="1"/>
  <c r="O56" i="50"/>
  <c r="Q56" i="50" s="1"/>
  <c r="I56" i="50"/>
  <c r="K56" i="50" s="1"/>
  <c r="O55" i="50"/>
  <c r="Q55" i="50" s="1"/>
  <c r="I55" i="50"/>
  <c r="K55" i="50" s="1"/>
  <c r="O54" i="50"/>
  <c r="Q54" i="50" s="1"/>
  <c r="I54" i="50"/>
  <c r="K54" i="50" s="1"/>
  <c r="O53" i="50"/>
  <c r="Q53" i="50" s="1"/>
  <c r="I53" i="50"/>
  <c r="K53" i="50" s="1"/>
  <c r="O51" i="50"/>
  <c r="Q51" i="50" s="1"/>
  <c r="I51" i="50"/>
  <c r="K51" i="50" s="1"/>
  <c r="O49" i="50"/>
  <c r="Q49" i="50" s="1"/>
  <c r="I49" i="50"/>
  <c r="K49" i="50" s="1"/>
  <c r="O46" i="50"/>
  <c r="Q46" i="50" s="1"/>
  <c r="I46" i="50"/>
  <c r="K46" i="50" s="1"/>
  <c r="O45" i="50"/>
  <c r="Q45" i="50" s="1"/>
  <c r="I45" i="50"/>
  <c r="K45" i="50" s="1"/>
  <c r="O42" i="50"/>
  <c r="Q42" i="50" s="1"/>
  <c r="I42" i="50"/>
  <c r="K42" i="50" s="1"/>
  <c r="O37" i="50"/>
  <c r="Q37" i="50" s="1"/>
  <c r="I37" i="50"/>
  <c r="K37" i="50" s="1"/>
  <c r="O35" i="50"/>
  <c r="Q35" i="50" s="1"/>
  <c r="I35" i="50"/>
  <c r="K35" i="50" s="1"/>
  <c r="O32" i="50"/>
  <c r="Q32" i="50" s="1"/>
  <c r="I32" i="50"/>
  <c r="K32" i="50" s="1"/>
  <c r="O30" i="50"/>
  <c r="Q30" i="50" s="1"/>
  <c r="I30" i="50"/>
  <c r="K30" i="50" s="1"/>
  <c r="O28" i="50"/>
  <c r="Q28" i="50" s="1"/>
  <c r="I28" i="50"/>
  <c r="K28" i="50" s="1"/>
  <c r="O27" i="50"/>
  <c r="Q27" i="50" s="1"/>
  <c r="I27" i="50"/>
  <c r="K27" i="50" s="1"/>
  <c r="O26" i="50"/>
  <c r="Q26" i="50" s="1"/>
  <c r="I26" i="50"/>
  <c r="K26" i="50" s="1"/>
  <c r="O25" i="50"/>
  <c r="Q25" i="50" s="1"/>
  <c r="I25" i="50"/>
  <c r="K25" i="50" s="1"/>
  <c r="O24" i="50"/>
  <c r="Q24" i="50" s="1"/>
  <c r="I24" i="50"/>
  <c r="K24" i="50" s="1"/>
  <c r="O23" i="50"/>
  <c r="Q23" i="50" s="1"/>
  <c r="I23" i="50"/>
  <c r="K23" i="50" s="1"/>
  <c r="O22" i="50"/>
  <c r="Q22" i="50" s="1"/>
  <c r="I22" i="50"/>
  <c r="K22" i="50" s="1"/>
  <c r="O21" i="50"/>
  <c r="Q21" i="50" s="1"/>
  <c r="I21" i="50"/>
  <c r="K21" i="50" s="1"/>
  <c r="O20" i="50"/>
  <c r="Q20" i="50" s="1"/>
  <c r="I20" i="50"/>
  <c r="K20" i="50" s="1"/>
  <c r="O19" i="50"/>
  <c r="Q19" i="50" s="1"/>
  <c r="I19" i="50"/>
  <c r="K19" i="50" s="1"/>
  <c r="O18" i="50"/>
  <c r="Q18" i="50" s="1"/>
  <c r="I18" i="50"/>
  <c r="K18" i="50" s="1"/>
  <c r="O10" i="50"/>
  <c r="A8" i="50"/>
  <c r="A7" i="50"/>
  <c r="A2" i="50"/>
  <c r="A1" i="50"/>
  <c r="O34" i="49"/>
  <c r="Q34" i="49" s="1"/>
  <c r="I34" i="49"/>
  <c r="K34" i="49" s="1"/>
  <c r="O27" i="49"/>
  <c r="Q27" i="49" s="1"/>
  <c r="I27" i="49"/>
  <c r="K27" i="49" s="1"/>
  <c r="O26" i="49"/>
  <c r="Q26" i="49" s="1"/>
  <c r="I26" i="49"/>
  <c r="K26" i="49" s="1"/>
  <c r="O25" i="49"/>
  <c r="Q25" i="49" s="1"/>
  <c r="I25" i="49"/>
  <c r="K25" i="49" s="1"/>
  <c r="O24" i="49"/>
  <c r="Q24" i="49" s="1"/>
  <c r="I24" i="49"/>
  <c r="K24" i="49" s="1"/>
  <c r="O23" i="49"/>
  <c r="Q23" i="49" s="1"/>
  <c r="I23" i="49"/>
  <c r="K23" i="49" s="1"/>
  <c r="O22" i="49"/>
  <c r="Q22" i="49" s="1"/>
  <c r="I22" i="49"/>
  <c r="K22" i="49" s="1"/>
  <c r="O21" i="49"/>
  <c r="Q21" i="49" s="1"/>
  <c r="I21" i="49"/>
  <c r="K21" i="49" s="1"/>
  <c r="O20" i="49"/>
  <c r="Q20" i="49" s="1"/>
  <c r="I20" i="49"/>
  <c r="K20" i="49" s="1"/>
  <c r="O19" i="49"/>
  <c r="Q19" i="49" s="1"/>
  <c r="I19" i="49"/>
  <c r="K19" i="49" s="1"/>
  <c r="O18" i="49"/>
  <c r="Q18" i="49" s="1"/>
  <c r="I18" i="49"/>
  <c r="K18" i="49" s="1"/>
  <c r="O10" i="49"/>
  <c r="A8" i="49"/>
  <c r="A7" i="49"/>
  <c r="A2" i="49"/>
  <c r="A1" i="49"/>
  <c r="H10" i="48"/>
  <c r="A8" i="48"/>
  <c r="A7" i="48"/>
  <c r="A2" i="48"/>
  <c r="A1" i="48"/>
  <c r="AB295" i="46"/>
  <c r="W173" i="46"/>
  <c r="AB285" i="46"/>
  <c r="AH270" i="46"/>
  <c r="AH269" i="46"/>
  <c r="AH268" i="46"/>
  <c r="AH267" i="46"/>
  <c r="AH266" i="46"/>
  <c r="AH265" i="46"/>
  <c r="AH222" i="46"/>
  <c r="AH221" i="46"/>
  <c r="AH220" i="46"/>
  <c r="AH219" i="46"/>
  <c r="AH218" i="46"/>
  <c r="AH217" i="46"/>
  <c r="AH216" i="46"/>
  <c r="AH215" i="46"/>
  <c r="AH214" i="46"/>
  <c r="AH213" i="46"/>
  <c r="AH212" i="46"/>
  <c r="AH211" i="46"/>
  <c r="AH210" i="46"/>
  <c r="AH209" i="46"/>
  <c r="AH208" i="46"/>
  <c r="AH207" i="46"/>
  <c r="AH206" i="46"/>
  <c r="AG191" i="46"/>
  <c r="Z191" i="46"/>
  <c r="Z190" i="46"/>
  <c r="Z189" i="46"/>
  <c r="U182" i="46"/>
  <c r="S150" i="46"/>
  <c r="M120" i="46"/>
  <c r="M119" i="46"/>
  <c r="Q119" i="46" s="1"/>
  <c r="E118" i="46"/>
  <c r="C92" i="46"/>
  <c r="C91" i="46"/>
  <c r="C90" i="46"/>
  <c r="C85" i="46"/>
  <c r="C84" i="46"/>
  <c r="K75" i="46"/>
  <c r="M75" i="46" s="1"/>
  <c r="Q75" i="46" s="1"/>
  <c r="O66" i="46"/>
  <c r="L66" i="46"/>
  <c r="K65" i="46"/>
  <c r="M65" i="46" s="1"/>
  <c r="C57" i="46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46" i="46"/>
  <c r="C45" i="46"/>
  <c r="C44" i="46"/>
  <c r="C39" i="46"/>
  <c r="C38" i="46"/>
  <c r="O34" i="46"/>
  <c r="L34" i="46"/>
  <c r="E32" i="46"/>
  <c r="O29" i="46"/>
  <c r="BD28" i="46"/>
  <c r="O23" i="46"/>
  <c r="K23" i="46"/>
  <c r="G23" i="46"/>
  <c r="O10" i="46"/>
  <c r="O47" i="46" s="1"/>
  <c r="C8" i="46"/>
  <c r="C7" i="46"/>
  <c r="C2" i="46"/>
  <c r="C1" i="46"/>
  <c r="H11" i="45"/>
  <c r="A9" i="45"/>
  <c r="A8" i="45"/>
  <c r="A2" i="45"/>
  <c r="A1" i="45"/>
  <c r="J10" i="44"/>
  <c r="A8" i="44"/>
  <c r="A7" i="44"/>
  <c r="A2" i="44"/>
  <c r="A1" i="44"/>
  <c r="K10" i="43"/>
  <c r="A8" i="43"/>
  <c r="A7" i="43"/>
  <c r="A2" i="43"/>
  <c r="A1" i="43"/>
  <c r="K41" i="145"/>
  <c r="K40" i="145"/>
  <c r="K39" i="145"/>
  <c r="K38" i="145"/>
  <c r="I25" i="145"/>
  <c r="A7" i="145"/>
  <c r="A6" i="145"/>
  <c r="A2" i="145"/>
  <c r="A1" i="145"/>
  <c r="A2" i="143"/>
  <c r="A1" i="143"/>
  <c r="Y69" i="141"/>
  <c r="P41" i="141" s="1"/>
  <c r="Y68" i="141"/>
  <c r="P40" i="141" s="1"/>
  <c r="Y67" i="141"/>
  <c r="P39" i="141" s="1"/>
  <c r="Y66" i="141"/>
  <c r="P38" i="141" s="1"/>
  <c r="Y64" i="141"/>
  <c r="Y57" i="141"/>
  <c r="S57" i="141"/>
  <c r="S56" i="141"/>
  <c r="S55" i="141"/>
  <c r="O43" i="141"/>
  <c r="O42" i="141"/>
  <c r="O41" i="141"/>
  <c r="O40" i="141"/>
  <c r="O39" i="141"/>
  <c r="O38" i="141"/>
  <c r="J33" i="141"/>
  <c r="P32" i="141"/>
  <c r="J32" i="141"/>
  <c r="H22" i="141"/>
  <c r="G9" i="141"/>
  <c r="A7" i="141"/>
  <c r="A6" i="141"/>
  <c r="A2" i="141"/>
  <c r="A1" i="141"/>
  <c r="S53" i="142"/>
  <c r="K38" i="142"/>
  <c r="U37" i="142"/>
  <c r="K37" i="142"/>
  <c r="K36" i="142"/>
  <c r="K35" i="142"/>
  <c r="I22" i="142"/>
  <c r="G9" i="142"/>
  <c r="A7" i="142"/>
  <c r="A6" i="142"/>
  <c r="A2" i="142"/>
  <c r="A1" i="142"/>
  <c r="P56" i="162"/>
  <c r="R54" i="162"/>
  <c r="R50" i="162"/>
  <c r="R48" i="162"/>
  <c r="I40" i="162"/>
  <c r="Q39" i="162"/>
  <c r="I39" i="162"/>
  <c r="I38" i="162"/>
  <c r="I37" i="162"/>
  <c r="G22" i="162"/>
  <c r="A7" i="162"/>
  <c r="A6" i="162"/>
  <c r="A2" i="162"/>
  <c r="A1" i="162"/>
  <c r="A7" i="161"/>
  <c r="A6" i="161"/>
  <c r="A2" i="161"/>
  <c r="A1" i="161"/>
  <c r="G9" i="140"/>
  <c r="A7" i="140"/>
  <c r="A6" i="140"/>
  <c r="A2" i="140"/>
  <c r="A1" i="140"/>
  <c r="H28" i="58"/>
  <c r="A7" i="131"/>
  <c r="A6" i="131"/>
  <c r="A2" i="131"/>
  <c r="A1" i="131"/>
  <c r="R47" i="130"/>
  <c r="H19" i="130" s="1"/>
  <c r="K37" i="130"/>
  <c r="Q36" i="130"/>
  <c r="K36" i="130"/>
  <c r="K35" i="130"/>
  <c r="K34" i="130"/>
  <c r="H21" i="130"/>
  <c r="F9" i="130"/>
  <c r="A7" i="130"/>
  <c r="A6" i="130"/>
  <c r="A2" i="130"/>
  <c r="A1" i="130"/>
  <c r="J22" i="112"/>
  <c r="I9" i="112"/>
  <c r="A7" i="112"/>
  <c r="A6" i="112"/>
  <c r="A2" i="112"/>
  <c r="A1" i="112"/>
  <c r="Z48" i="111"/>
  <c r="Q36" i="111"/>
  <c r="K36" i="111"/>
  <c r="K35" i="111"/>
  <c r="K34" i="111"/>
  <c r="J24" i="111"/>
  <c r="I9" i="111"/>
  <c r="A7" i="111"/>
  <c r="A6" i="111"/>
  <c r="A2" i="111"/>
  <c r="A1" i="111"/>
  <c r="H25" i="109"/>
  <c r="H23" i="109"/>
  <c r="H22" i="109"/>
  <c r="H20" i="109"/>
  <c r="R95" i="109"/>
  <c r="R94" i="109"/>
  <c r="R93" i="109"/>
  <c r="R92" i="109"/>
  <c r="R91" i="109"/>
  <c r="R90" i="109"/>
  <c r="R89" i="109"/>
  <c r="R88" i="109"/>
  <c r="R87" i="109"/>
  <c r="R86" i="109"/>
  <c r="R85" i="109"/>
  <c r="R84" i="109"/>
  <c r="R83" i="109"/>
  <c r="R82" i="109"/>
  <c r="R81" i="109"/>
  <c r="R80" i="109"/>
  <c r="R79" i="109"/>
  <c r="R78" i="109"/>
  <c r="R77" i="109"/>
  <c r="R76" i="109"/>
  <c r="R75" i="109"/>
  <c r="R74" i="109"/>
  <c r="R73" i="109"/>
  <c r="R72" i="109"/>
  <c r="R71" i="109"/>
  <c r="R70" i="109"/>
  <c r="R69" i="109"/>
  <c r="R68" i="109"/>
  <c r="R67" i="109"/>
  <c r="R66" i="109"/>
  <c r="R65" i="109"/>
  <c r="R64" i="109"/>
  <c r="R63" i="109"/>
  <c r="R62" i="109"/>
  <c r="R59" i="109"/>
  <c r="R58" i="109"/>
  <c r="R57" i="109"/>
  <c r="R56" i="109"/>
  <c r="R55" i="109"/>
  <c r="R54" i="109"/>
  <c r="R53" i="109"/>
  <c r="R52" i="109"/>
  <c r="J45" i="109"/>
  <c r="P44" i="109"/>
  <c r="J44" i="109"/>
  <c r="J43" i="109"/>
  <c r="J42" i="109"/>
  <c r="H31" i="109"/>
  <c r="G9" i="109"/>
  <c r="A7" i="109"/>
  <c r="A6" i="109"/>
  <c r="A2" i="109"/>
  <c r="A1" i="109"/>
  <c r="P74" i="42"/>
  <c r="P86" i="42" s="1"/>
  <c r="I52" i="42"/>
  <c r="O51" i="42"/>
  <c r="I51" i="42"/>
  <c r="I50" i="42"/>
  <c r="I49" i="42"/>
  <c r="G35" i="42"/>
  <c r="G23" i="42"/>
  <c r="F9" i="42"/>
  <c r="A7" i="42"/>
  <c r="A6" i="42"/>
  <c r="A2" i="42"/>
  <c r="A1" i="42"/>
  <c r="A7" i="41"/>
  <c r="A6" i="41"/>
  <c r="A2" i="41"/>
  <c r="A1" i="41"/>
  <c r="R92" i="40"/>
  <c r="H42" i="40" s="1"/>
  <c r="AE213" i="24" s="1"/>
  <c r="J65" i="40"/>
  <c r="J64" i="40"/>
  <c r="Q64" i="40"/>
  <c r="H47" i="40"/>
  <c r="H36" i="40"/>
  <c r="H26" i="40"/>
  <c r="G9" i="40"/>
  <c r="B7" i="40"/>
  <c r="B6" i="40"/>
  <c r="B2" i="40"/>
  <c r="B1" i="40"/>
  <c r="Y98" i="115"/>
  <c r="W74" i="115"/>
  <c r="AC73" i="115"/>
  <c r="W73" i="115"/>
  <c r="W72" i="115"/>
  <c r="W71" i="115"/>
  <c r="L49" i="115"/>
  <c r="S42" i="115"/>
  <c r="L41" i="115"/>
  <c r="L40" i="115"/>
  <c r="L39" i="115"/>
  <c r="L35" i="115"/>
  <c r="L34" i="115"/>
  <c r="J25" i="115"/>
  <c r="A16" i="115"/>
  <c r="I9" i="115"/>
  <c r="A7" i="115"/>
  <c r="A6" i="115"/>
  <c r="A2" i="115"/>
  <c r="A1" i="115"/>
  <c r="J36" i="38"/>
  <c r="P35" i="38"/>
  <c r="J35" i="38"/>
  <c r="H24" i="38"/>
  <c r="H26" i="38" s="1"/>
  <c r="G9" i="38"/>
  <c r="A7" i="38"/>
  <c r="A6" i="38"/>
  <c r="A2" i="38"/>
  <c r="A1" i="38"/>
  <c r="P52" i="37"/>
  <c r="P50" i="37"/>
  <c r="T37" i="37"/>
  <c r="N37" i="37"/>
  <c r="P45" i="37" s="1"/>
  <c r="N36" i="37"/>
  <c r="N35" i="37"/>
  <c r="J23" i="37"/>
  <c r="I9" i="37"/>
  <c r="A7" i="37"/>
  <c r="A6" i="37"/>
  <c r="A2" i="37"/>
  <c r="A1" i="37"/>
  <c r="A2" i="154"/>
  <c r="A1" i="154"/>
  <c r="L52" i="108"/>
  <c r="L51" i="108"/>
  <c r="L50" i="108"/>
  <c r="J33" i="108"/>
  <c r="A7" i="108"/>
  <c r="A6" i="108"/>
  <c r="A2" i="108"/>
  <c r="A1" i="108"/>
  <c r="L48" i="35"/>
  <c r="L47" i="35"/>
  <c r="L46" i="35"/>
  <c r="J29" i="35"/>
  <c r="A7" i="35"/>
  <c r="A6" i="35"/>
  <c r="A2" i="35"/>
  <c r="A1" i="35"/>
  <c r="L45" i="34"/>
  <c r="L44" i="34"/>
  <c r="L43" i="34"/>
  <c r="J26" i="34"/>
  <c r="A7" i="34"/>
  <c r="A6" i="34"/>
  <c r="A2" i="34"/>
  <c r="A1" i="34"/>
  <c r="L46" i="84"/>
  <c r="L45" i="84"/>
  <c r="L44" i="84"/>
  <c r="L43" i="84"/>
  <c r="J26" i="84"/>
  <c r="A7" i="84"/>
  <c r="A6" i="84"/>
  <c r="A2" i="84"/>
  <c r="A1" i="84"/>
  <c r="L45" i="33"/>
  <c r="L44" i="33"/>
  <c r="L43" i="33"/>
  <c r="J26" i="33"/>
  <c r="A7" i="33"/>
  <c r="A6" i="33"/>
  <c r="A2" i="33"/>
  <c r="A1" i="33"/>
  <c r="L45" i="32"/>
  <c r="L44" i="32"/>
  <c r="L43" i="32"/>
  <c r="J26" i="32"/>
  <c r="A7" i="32"/>
  <c r="A6" i="32"/>
  <c r="A2" i="32"/>
  <c r="A1" i="32"/>
  <c r="L45" i="31"/>
  <c r="L44" i="31"/>
  <c r="L43" i="31"/>
  <c r="J26" i="31"/>
  <c r="A7" i="31"/>
  <c r="A6" i="31"/>
  <c r="A2" i="31"/>
  <c r="A1" i="31"/>
  <c r="L45" i="30"/>
  <c r="L44" i="30"/>
  <c r="L43" i="30"/>
  <c r="J26" i="30"/>
  <c r="A7" i="30"/>
  <c r="A6" i="30"/>
  <c r="A2" i="30"/>
  <c r="A1" i="30"/>
  <c r="L45" i="29"/>
  <c r="L44" i="29"/>
  <c r="L43" i="29"/>
  <c r="J26" i="29"/>
  <c r="A7" i="29"/>
  <c r="A6" i="29"/>
  <c r="A2" i="29"/>
  <c r="A1" i="29"/>
  <c r="L45" i="151"/>
  <c r="L44" i="151"/>
  <c r="L43" i="151"/>
  <c r="J26" i="151"/>
  <c r="A7" i="151"/>
  <c r="A6" i="151"/>
  <c r="A2" i="151"/>
  <c r="A1" i="151"/>
  <c r="L45" i="107"/>
  <c r="L44" i="107"/>
  <c r="L43" i="107"/>
  <c r="J26" i="107"/>
  <c r="A7" i="107"/>
  <c r="A6" i="107"/>
  <c r="A2" i="107"/>
  <c r="A1" i="107"/>
  <c r="J23" i="28"/>
  <c r="J26" i="28" s="1"/>
  <c r="A7" i="28"/>
  <c r="A6" i="28"/>
  <c r="A2" i="28"/>
  <c r="A1" i="28"/>
  <c r="L45" i="27"/>
  <c r="L44" i="27"/>
  <c r="L43" i="27"/>
  <c r="J26" i="27"/>
  <c r="A7" i="27"/>
  <c r="A6" i="27"/>
  <c r="A2" i="27"/>
  <c r="A1" i="27"/>
  <c r="L43" i="26"/>
  <c r="L42" i="26"/>
  <c r="L41" i="26"/>
  <c r="J24" i="26"/>
  <c r="A7" i="26"/>
  <c r="A6" i="26"/>
  <c r="A2" i="26"/>
  <c r="A1" i="26"/>
  <c r="L44" i="25"/>
  <c r="L43" i="25"/>
  <c r="L42" i="25"/>
  <c r="L41" i="25"/>
  <c r="J30" i="25"/>
  <c r="A7" i="25"/>
  <c r="A6" i="25"/>
  <c r="A2" i="25"/>
  <c r="A1" i="25"/>
  <c r="AM514" i="24"/>
  <c r="AM513" i="24"/>
  <c r="AO512" i="24"/>
  <c r="AM512" i="24"/>
  <c r="AO511" i="24"/>
  <c r="AG507" i="24"/>
  <c r="AG506" i="24"/>
  <c r="AG500" i="24"/>
  <c r="AG499" i="24"/>
  <c r="AE479" i="24"/>
  <c r="AC479" i="24"/>
  <c r="AA479" i="24"/>
  <c r="Y479" i="24"/>
  <c r="W479" i="24"/>
  <c r="U479" i="24"/>
  <c r="AE462" i="24"/>
  <c r="AE472" i="24" s="1"/>
  <c r="AC462" i="24"/>
  <c r="AC472" i="24" s="1"/>
  <c r="AA462" i="24"/>
  <c r="AA472" i="24" s="1"/>
  <c r="Y462" i="24"/>
  <c r="Y472" i="24" s="1"/>
  <c r="W462" i="24"/>
  <c r="W472" i="24" s="1"/>
  <c r="U462" i="24"/>
  <c r="U472" i="24" s="1"/>
  <c r="AE455" i="24"/>
  <c r="AA455" i="24"/>
  <c r="Y455" i="24"/>
  <c r="W455" i="24"/>
  <c r="U455" i="24"/>
  <c r="AC445" i="24"/>
  <c r="Q443" i="24"/>
  <c r="Q442" i="24"/>
  <c r="Q438" i="24"/>
  <c r="Q437" i="24"/>
  <c r="Q436" i="24"/>
  <c r="Q435" i="24"/>
  <c r="AE417" i="24"/>
  <c r="AC417" i="24"/>
  <c r="AA417" i="24"/>
  <c r="Y417" i="24"/>
  <c r="W417" i="24"/>
  <c r="U417" i="24"/>
  <c r="U412" i="24"/>
  <c r="AE400" i="24"/>
  <c r="AE410" i="24" s="1"/>
  <c r="AC400" i="24"/>
  <c r="AC410" i="24" s="1"/>
  <c r="AA400" i="24"/>
  <c r="AA410" i="24" s="1"/>
  <c r="Y400" i="24"/>
  <c r="Y410" i="24" s="1"/>
  <c r="W400" i="24"/>
  <c r="AE393" i="24"/>
  <c r="AA393" i="24"/>
  <c r="W393" i="24"/>
  <c r="U393" i="24"/>
  <c r="AC383" i="24"/>
  <c r="Q381" i="24"/>
  <c r="Q380" i="24"/>
  <c r="Q376" i="24"/>
  <c r="Q375" i="24"/>
  <c r="Q374" i="24"/>
  <c r="Q373" i="24"/>
  <c r="AE355" i="24"/>
  <c r="AC355" i="24"/>
  <c r="AA355" i="24"/>
  <c r="Y355" i="24"/>
  <c r="U355" i="24"/>
  <c r="U350" i="24"/>
  <c r="AE338" i="24"/>
  <c r="AC338" i="24"/>
  <c r="AA338" i="24"/>
  <c r="Y338" i="24"/>
  <c r="Y348" i="24" s="1"/>
  <c r="W338" i="24"/>
  <c r="U338" i="24"/>
  <c r="AE331" i="24"/>
  <c r="AA331" i="24"/>
  <c r="Y331" i="24"/>
  <c r="W331" i="24"/>
  <c r="U331" i="24"/>
  <c r="AC321" i="24"/>
  <c r="Q319" i="24"/>
  <c r="Q318" i="24"/>
  <c r="Q315" i="24"/>
  <c r="Q439" i="24" s="1"/>
  <c r="Q314" i="24"/>
  <c r="Q313" i="24"/>
  <c r="Q312" i="24"/>
  <c r="Q311" i="24"/>
  <c r="AE293" i="24"/>
  <c r="AC293" i="24"/>
  <c r="AA293" i="24"/>
  <c r="W293" i="24"/>
  <c r="U293" i="24"/>
  <c r="AC276" i="24"/>
  <c r="AC286" i="24" s="1"/>
  <c r="AA276" i="24"/>
  <c r="AA286" i="24" s="1"/>
  <c r="U276" i="24"/>
  <c r="U286" i="24" s="1"/>
  <c r="AE269" i="24"/>
  <c r="AA269" i="24"/>
  <c r="Y269" i="24"/>
  <c r="U269" i="24"/>
  <c r="AC259" i="24"/>
  <c r="Q257" i="24"/>
  <c r="Q256" i="24"/>
  <c r="Q253" i="24"/>
  <c r="Q377" i="24" s="1"/>
  <c r="Q252" i="24"/>
  <c r="Q251" i="24"/>
  <c r="Q250" i="24"/>
  <c r="Q249" i="24"/>
  <c r="U241" i="24"/>
  <c r="AO554" i="24" s="1"/>
  <c r="AE231" i="24"/>
  <c r="AC231" i="24"/>
  <c r="AA231" i="24"/>
  <c r="Y231" i="24"/>
  <c r="W231" i="24"/>
  <c r="U217" i="24"/>
  <c r="J30" i="19" s="1"/>
  <c r="AC214" i="24"/>
  <c r="AC224" i="24" s="1"/>
  <c r="Y214" i="24"/>
  <c r="W214" i="24"/>
  <c r="AC207" i="24"/>
  <c r="AA207" i="24"/>
  <c r="Y207" i="24"/>
  <c r="AC197" i="24"/>
  <c r="Q195" i="24"/>
  <c r="Q194" i="24"/>
  <c r="Q190" i="24"/>
  <c r="Q189" i="24"/>
  <c r="Q188" i="24"/>
  <c r="Q187" i="24"/>
  <c r="K169" i="24"/>
  <c r="G169" i="24"/>
  <c r="E169" i="24"/>
  <c r="K152" i="24"/>
  <c r="K162" i="24" s="1"/>
  <c r="I152" i="24"/>
  <c r="I162" i="24" s="1"/>
  <c r="G152" i="24"/>
  <c r="G162" i="24" s="1"/>
  <c r="E152" i="24"/>
  <c r="K145" i="24"/>
  <c r="I145" i="24"/>
  <c r="G145" i="24"/>
  <c r="E145" i="24"/>
  <c r="M135" i="24"/>
  <c r="A133" i="24"/>
  <c r="A132" i="24"/>
  <c r="A129" i="24"/>
  <c r="A128" i="24"/>
  <c r="A127" i="24"/>
  <c r="A126" i="24"/>
  <c r="A125" i="24"/>
  <c r="O107" i="24"/>
  <c r="M107" i="24"/>
  <c r="K107" i="24"/>
  <c r="I107" i="24"/>
  <c r="G107" i="24"/>
  <c r="E107" i="24"/>
  <c r="O90" i="24"/>
  <c r="M90" i="24"/>
  <c r="K90" i="24"/>
  <c r="I90" i="24"/>
  <c r="G90" i="24"/>
  <c r="E90" i="24"/>
  <c r="O83" i="24"/>
  <c r="M83" i="24"/>
  <c r="K83" i="24"/>
  <c r="I83" i="24"/>
  <c r="G83" i="24"/>
  <c r="E83" i="24"/>
  <c r="M73" i="24"/>
  <c r="A71" i="24"/>
  <c r="A70" i="24"/>
  <c r="A67" i="24"/>
  <c r="A66" i="24"/>
  <c r="A65" i="24"/>
  <c r="A64" i="24"/>
  <c r="A63" i="24"/>
  <c r="O45" i="24"/>
  <c r="M45" i="24"/>
  <c r="K45" i="24"/>
  <c r="I45" i="24"/>
  <c r="G45" i="24"/>
  <c r="O28" i="24"/>
  <c r="M28" i="24"/>
  <c r="M38" i="24" s="1"/>
  <c r="G28" i="24"/>
  <c r="G38" i="24" s="1"/>
  <c r="O21" i="24"/>
  <c r="M21" i="24"/>
  <c r="K21" i="24"/>
  <c r="I21" i="24"/>
  <c r="M11" i="24"/>
  <c r="A9" i="24"/>
  <c r="A8" i="24"/>
  <c r="A4" i="24"/>
  <c r="A3" i="24"/>
  <c r="A2" i="24"/>
  <c r="A1" i="24"/>
  <c r="H371" i="22"/>
  <c r="F371" i="22"/>
  <c r="H368" i="22"/>
  <c r="F368" i="22"/>
  <c r="H367" i="22"/>
  <c r="F367" i="22"/>
  <c r="H366" i="22"/>
  <c r="F366" i="22"/>
  <c r="H365" i="22"/>
  <c r="F365" i="22"/>
  <c r="H361" i="22"/>
  <c r="F361" i="22"/>
  <c r="H360" i="22"/>
  <c r="F360" i="22"/>
  <c r="H359" i="22"/>
  <c r="F359" i="22"/>
  <c r="F358" i="22"/>
  <c r="H353" i="22"/>
  <c r="F353" i="22"/>
  <c r="F352" i="22"/>
  <c r="J344" i="22"/>
  <c r="C344" i="22"/>
  <c r="J343" i="22"/>
  <c r="C343" i="22"/>
  <c r="J342" i="22"/>
  <c r="C342" i="22"/>
  <c r="J341" i="22"/>
  <c r="C337" i="22"/>
  <c r="C336" i="22"/>
  <c r="H331" i="22"/>
  <c r="F331" i="22"/>
  <c r="H330" i="22"/>
  <c r="F330" i="22"/>
  <c r="H329" i="22"/>
  <c r="F329" i="22"/>
  <c r="H328" i="22"/>
  <c r="F328" i="22"/>
  <c r="H327" i="22"/>
  <c r="F327" i="22"/>
  <c r="H326" i="22"/>
  <c r="F326" i="22"/>
  <c r="H325" i="22"/>
  <c r="F325" i="22"/>
  <c r="H324" i="22"/>
  <c r="F324" i="22"/>
  <c r="H323" i="22"/>
  <c r="F323" i="22"/>
  <c r="H319" i="22"/>
  <c r="F319" i="22"/>
  <c r="H318" i="22"/>
  <c r="F318" i="22"/>
  <c r="H317" i="22"/>
  <c r="F317" i="22"/>
  <c r="J307" i="22"/>
  <c r="C307" i="22"/>
  <c r="J306" i="22"/>
  <c r="C306" i="22"/>
  <c r="J305" i="22"/>
  <c r="C305" i="22"/>
  <c r="J304" i="22"/>
  <c r="C300" i="22"/>
  <c r="C299" i="22"/>
  <c r="H296" i="22"/>
  <c r="F296" i="22"/>
  <c r="H295" i="22"/>
  <c r="F295" i="22"/>
  <c r="H294" i="22"/>
  <c r="F294" i="22"/>
  <c r="H291" i="22"/>
  <c r="H286" i="22"/>
  <c r="F286" i="22"/>
  <c r="H282" i="22"/>
  <c r="F282" i="22"/>
  <c r="F281" i="22"/>
  <c r="F280" i="22"/>
  <c r="F279" i="22"/>
  <c r="F278" i="22"/>
  <c r="F277" i="22"/>
  <c r="F276" i="22"/>
  <c r="F275" i="22"/>
  <c r="F274" i="22"/>
  <c r="F273" i="22"/>
  <c r="H272" i="22"/>
  <c r="F272" i="22"/>
  <c r="H271" i="22"/>
  <c r="F271" i="22"/>
  <c r="H270" i="22"/>
  <c r="F270" i="22"/>
  <c r="H269" i="22"/>
  <c r="F269" i="22"/>
  <c r="H268" i="22"/>
  <c r="F268" i="22"/>
  <c r="H267" i="22"/>
  <c r="F267" i="22"/>
  <c r="H266" i="22"/>
  <c r="F266" i="22"/>
  <c r="H265" i="22"/>
  <c r="F265" i="22"/>
  <c r="H264" i="22"/>
  <c r="F264" i="22"/>
  <c r="J254" i="22"/>
  <c r="C254" i="22"/>
  <c r="J253" i="22"/>
  <c r="C253" i="22"/>
  <c r="J252" i="22"/>
  <c r="C252" i="22"/>
  <c r="J251" i="22"/>
  <c r="C247" i="22"/>
  <c r="C246" i="22"/>
  <c r="F243" i="22"/>
  <c r="F242" i="22"/>
  <c r="F241" i="22"/>
  <c r="F234" i="22"/>
  <c r="F233" i="22"/>
  <c r="F232" i="22"/>
  <c r="H226" i="22"/>
  <c r="F226" i="22"/>
  <c r="H224" i="22"/>
  <c r="F224" i="22"/>
  <c r="H223" i="22"/>
  <c r="F223" i="22"/>
  <c r="H221" i="22"/>
  <c r="F221" i="22"/>
  <c r="H220" i="22"/>
  <c r="F220" i="22"/>
  <c r="H219" i="22"/>
  <c r="F219" i="22"/>
  <c r="J209" i="22"/>
  <c r="C209" i="22"/>
  <c r="J208" i="22"/>
  <c r="C208" i="22"/>
  <c r="J207" i="22"/>
  <c r="C207" i="22"/>
  <c r="J206" i="22"/>
  <c r="C202" i="22"/>
  <c r="C201" i="22"/>
  <c r="H197" i="22"/>
  <c r="F197" i="22"/>
  <c r="H196" i="22"/>
  <c r="F196" i="22"/>
  <c r="H195" i="22"/>
  <c r="F195" i="22"/>
  <c r="H194" i="22"/>
  <c r="F194" i="22"/>
  <c r="H193" i="22"/>
  <c r="F193" i="22"/>
  <c r="H192" i="22"/>
  <c r="F192" i="22"/>
  <c r="H191" i="22"/>
  <c r="F191" i="22"/>
  <c r="H190" i="22"/>
  <c r="F190" i="22"/>
  <c r="H189" i="22"/>
  <c r="F189" i="22"/>
  <c r="H184" i="22"/>
  <c r="F184" i="22"/>
  <c r="H183" i="22"/>
  <c r="F183" i="22"/>
  <c r="H182" i="22"/>
  <c r="F182" i="22"/>
  <c r="H181" i="22"/>
  <c r="F181" i="22"/>
  <c r="H180" i="22"/>
  <c r="F180" i="22"/>
  <c r="H179" i="22"/>
  <c r="F179" i="22"/>
  <c r="H178" i="22"/>
  <c r="F178" i="22"/>
  <c r="H177" i="22"/>
  <c r="F177" i="22"/>
  <c r="H176" i="22"/>
  <c r="F176" i="22"/>
  <c r="H175" i="22"/>
  <c r="F175" i="22"/>
  <c r="H169" i="22"/>
  <c r="F169" i="22"/>
  <c r="H162" i="22"/>
  <c r="F162" i="22"/>
  <c r="H161" i="22"/>
  <c r="F161" i="22"/>
  <c r="H160" i="22"/>
  <c r="F160" i="22"/>
  <c r="H159" i="22"/>
  <c r="F159" i="22"/>
  <c r="H158" i="22"/>
  <c r="F158" i="22"/>
  <c r="H157" i="22"/>
  <c r="F157" i="22"/>
  <c r="H152" i="22"/>
  <c r="F152" i="22"/>
  <c r="H151" i="22"/>
  <c r="F151" i="22"/>
  <c r="H149" i="22"/>
  <c r="F149" i="22"/>
  <c r="H148" i="22"/>
  <c r="F148" i="22"/>
  <c r="H147" i="22"/>
  <c r="F147" i="22"/>
  <c r="H144" i="22"/>
  <c r="F144" i="22"/>
  <c r="H143" i="22"/>
  <c r="F143" i="22"/>
  <c r="J133" i="22"/>
  <c r="C133" i="22"/>
  <c r="J132" i="22"/>
  <c r="C132" i="22"/>
  <c r="J131" i="22"/>
  <c r="C131" i="22"/>
  <c r="J130" i="22"/>
  <c r="C126" i="22"/>
  <c r="C125" i="22"/>
  <c r="H120" i="22"/>
  <c r="F120" i="22"/>
  <c r="H119" i="22"/>
  <c r="F119" i="22"/>
  <c r="H118" i="22"/>
  <c r="F118" i="22"/>
  <c r="H117" i="22"/>
  <c r="H116" i="22"/>
  <c r="F115" i="22"/>
  <c r="H108" i="22"/>
  <c r="F108" i="22"/>
  <c r="H107" i="22"/>
  <c r="F107" i="22"/>
  <c r="H106" i="22"/>
  <c r="F106" i="22"/>
  <c r="H105" i="22"/>
  <c r="F105" i="22"/>
  <c r="H101" i="22"/>
  <c r="F101" i="22"/>
  <c r="H100" i="22"/>
  <c r="F100" i="22"/>
  <c r="H99" i="22"/>
  <c r="F99" i="22"/>
  <c r="H98" i="22"/>
  <c r="F98" i="22"/>
  <c r="H97" i="22"/>
  <c r="F97" i="22"/>
  <c r="H90" i="22"/>
  <c r="F90" i="22"/>
  <c r="H89" i="22"/>
  <c r="H87" i="22"/>
  <c r="F87" i="22"/>
  <c r="H85" i="22"/>
  <c r="F85" i="22"/>
  <c r="H84" i="22"/>
  <c r="F84" i="22"/>
  <c r="H80" i="22"/>
  <c r="F80" i="22"/>
  <c r="H78" i="22"/>
  <c r="F78" i="22"/>
  <c r="H77" i="22"/>
  <c r="F77" i="22"/>
  <c r="H74" i="22"/>
  <c r="F74" i="22"/>
  <c r="H72" i="22"/>
  <c r="F72" i="22"/>
  <c r="H71" i="22"/>
  <c r="F71" i="22"/>
  <c r="H70" i="22"/>
  <c r="F70" i="22"/>
  <c r="J57" i="22"/>
  <c r="C57" i="22"/>
  <c r="J56" i="22"/>
  <c r="C56" i="22"/>
  <c r="J55" i="22"/>
  <c r="C55" i="22"/>
  <c r="J54" i="22"/>
  <c r="C50" i="22"/>
  <c r="C49" i="22"/>
  <c r="H44" i="22"/>
  <c r="H43" i="22"/>
  <c r="H42" i="22"/>
  <c r="H41" i="22"/>
  <c r="H40" i="22"/>
  <c r="H39" i="22"/>
  <c r="H38" i="22"/>
  <c r="H37" i="22"/>
  <c r="H36" i="22"/>
  <c r="H35" i="22"/>
  <c r="H34" i="22"/>
  <c r="F34" i="22"/>
  <c r="H33" i="22"/>
  <c r="F33" i="22"/>
  <c r="H32" i="22"/>
  <c r="F32" i="22"/>
  <c r="H26" i="22"/>
  <c r="F26" i="22"/>
  <c r="H29" i="22"/>
  <c r="F29" i="22"/>
  <c r="H25" i="22"/>
  <c r="F25" i="22"/>
  <c r="H24" i="22"/>
  <c r="F24" i="22"/>
  <c r="H23" i="22"/>
  <c r="F23" i="22"/>
  <c r="H22" i="22"/>
  <c r="F22" i="22"/>
  <c r="H21" i="22"/>
  <c r="F21" i="22"/>
  <c r="J11" i="22"/>
  <c r="J10" i="22"/>
  <c r="C10" i="22"/>
  <c r="J9" i="22"/>
  <c r="C9" i="22"/>
  <c r="J8" i="22"/>
  <c r="C4" i="22"/>
  <c r="C3" i="22"/>
  <c r="H368" i="21"/>
  <c r="H365" i="21"/>
  <c r="H364" i="21"/>
  <c r="H363" i="21"/>
  <c r="H362" i="21"/>
  <c r="H358" i="21"/>
  <c r="H357" i="21"/>
  <c r="H356" i="21"/>
  <c r="H350" i="21"/>
  <c r="J341" i="21"/>
  <c r="C341" i="21"/>
  <c r="J340" i="21"/>
  <c r="C340" i="21"/>
  <c r="J339" i="21"/>
  <c r="C339" i="21"/>
  <c r="J338" i="21"/>
  <c r="C334" i="21"/>
  <c r="C333" i="21"/>
  <c r="H328" i="21"/>
  <c r="H327" i="21"/>
  <c r="H325" i="21"/>
  <c r="H323" i="21"/>
  <c r="H322" i="21"/>
  <c r="H321" i="21"/>
  <c r="H320" i="21"/>
  <c r="H319" i="21"/>
  <c r="H318" i="21"/>
  <c r="H314" i="21"/>
  <c r="H313" i="21"/>
  <c r="H312" i="21"/>
  <c r="J302" i="21"/>
  <c r="C302" i="21"/>
  <c r="J301" i="21"/>
  <c r="C301" i="21"/>
  <c r="J300" i="21"/>
  <c r="C300" i="21"/>
  <c r="J299" i="21"/>
  <c r="C295" i="21"/>
  <c r="C294" i="21"/>
  <c r="H291" i="21"/>
  <c r="H290" i="21"/>
  <c r="H289" i="21"/>
  <c r="H286" i="21"/>
  <c r="H281" i="21"/>
  <c r="H277" i="21"/>
  <c r="H266" i="21"/>
  <c r="H265" i="21"/>
  <c r="H264" i="21"/>
  <c r="H263" i="21"/>
  <c r="H262" i="21"/>
  <c r="H261" i="21"/>
  <c r="H260" i="21"/>
  <c r="H259" i="21"/>
  <c r="H258" i="21"/>
  <c r="J248" i="21"/>
  <c r="C248" i="21"/>
  <c r="J247" i="21"/>
  <c r="C247" i="21"/>
  <c r="J246" i="21"/>
  <c r="C246" i="21"/>
  <c r="J245" i="21"/>
  <c r="C241" i="21"/>
  <c r="C240" i="21"/>
  <c r="H220" i="21"/>
  <c r="H218" i="21"/>
  <c r="H217" i="21"/>
  <c r="H215" i="21"/>
  <c r="H214" i="21"/>
  <c r="H213" i="21"/>
  <c r="J203" i="21"/>
  <c r="C203" i="21"/>
  <c r="J202" i="21"/>
  <c r="C202" i="21"/>
  <c r="J201" i="21"/>
  <c r="C201" i="21"/>
  <c r="J200" i="21"/>
  <c r="C196" i="21"/>
  <c r="C195" i="21"/>
  <c r="H191" i="21"/>
  <c r="H190" i="21"/>
  <c r="H189" i="21"/>
  <c r="H188" i="21"/>
  <c r="H187" i="21"/>
  <c r="H186" i="21"/>
  <c r="H185" i="21"/>
  <c r="H184" i="21"/>
  <c r="H183" i="21"/>
  <c r="H178" i="21"/>
  <c r="H177" i="21"/>
  <c r="H176" i="21"/>
  <c r="H175" i="21"/>
  <c r="H174" i="21"/>
  <c r="H173" i="21"/>
  <c r="H172" i="21"/>
  <c r="H171" i="21"/>
  <c r="H170" i="21"/>
  <c r="H169" i="21"/>
  <c r="H163" i="21"/>
  <c r="H156" i="21"/>
  <c r="H155" i="21"/>
  <c r="H154" i="21"/>
  <c r="H153" i="21"/>
  <c r="H152" i="21"/>
  <c r="H151" i="21"/>
  <c r="H146" i="21"/>
  <c r="H145" i="21"/>
  <c r="H144" i="21"/>
  <c r="H143" i="21"/>
  <c r="H142" i="21"/>
  <c r="H141" i="21"/>
  <c r="H140" i="21"/>
  <c r="J130" i="21"/>
  <c r="C130" i="21"/>
  <c r="J129" i="21"/>
  <c r="C129" i="21"/>
  <c r="J128" i="21"/>
  <c r="C128" i="21"/>
  <c r="J127" i="21"/>
  <c r="C123" i="21"/>
  <c r="C122" i="21"/>
  <c r="H117" i="21"/>
  <c r="H116" i="21"/>
  <c r="H115" i="21"/>
  <c r="H114" i="21"/>
  <c r="H113" i="21"/>
  <c r="H105" i="21"/>
  <c r="H104" i="21"/>
  <c r="H103" i="21"/>
  <c r="H102" i="21"/>
  <c r="H98" i="21"/>
  <c r="H97" i="21"/>
  <c r="H96" i="21"/>
  <c r="H95" i="21"/>
  <c r="H94" i="21"/>
  <c r="H88" i="21"/>
  <c r="H87" i="21"/>
  <c r="H86" i="21"/>
  <c r="H85" i="21"/>
  <c r="H84" i="21"/>
  <c r="H80" i="21"/>
  <c r="H79" i="21"/>
  <c r="H78" i="21"/>
  <c r="H77" i="21"/>
  <c r="H76" i="21"/>
  <c r="H75" i="21"/>
  <c r="H74" i="21"/>
  <c r="J61" i="21"/>
  <c r="C61" i="21"/>
  <c r="J60" i="21"/>
  <c r="C60" i="21"/>
  <c r="J59" i="21"/>
  <c r="C59" i="21"/>
  <c r="J58" i="21"/>
  <c r="C54" i="21"/>
  <c r="C53" i="21"/>
  <c r="H48" i="21"/>
  <c r="F48" i="21"/>
  <c r="F44" i="22" s="1"/>
  <c r="H47" i="21"/>
  <c r="F47" i="21"/>
  <c r="H46" i="21"/>
  <c r="F46" i="21"/>
  <c r="H45" i="21"/>
  <c r="F45" i="21"/>
  <c r="F43" i="22" s="1"/>
  <c r="H44" i="21"/>
  <c r="F44" i="21"/>
  <c r="F42" i="22" s="1"/>
  <c r="H43" i="21"/>
  <c r="F43" i="21"/>
  <c r="F41" i="22" s="1"/>
  <c r="H42" i="21"/>
  <c r="F42" i="21"/>
  <c r="F40" i="22" s="1"/>
  <c r="H41" i="21"/>
  <c r="F41" i="21"/>
  <c r="F39" i="22" s="1"/>
  <c r="H40" i="21"/>
  <c r="F40" i="21"/>
  <c r="F38" i="22" s="1"/>
  <c r="H39" i="21"/>
  <c r="F39" i="21"/>
  <c r="H38" i="21"/>
  <c r="F38" i="21"/>
  <c r="F37" i="22" s="1"/>
  <c r="H37" i="21"/>
  <c r="F37" i="21"/>
  <c r="F36" i="22" s="1"/>
  <c r="H36" i="21"/>
  <c r="F36" i="21"/>
  <c r="F35" i="22" s="1"/>
  <c r="H35" i="21"/>
  <c r="H34" i="21"/>
  <c r="H33" i="21"/>
  <c r="H32" i="21"/>
  <c r="H29" i="21"/>
  <c r="H26" i="21"/>
  <c r="H25" i="21"/>
  <c r="H24" i="21"/>
  <c r="H23" i="21"/>
  <c r="H22" i="21"/>
  <c r="H21" i="21"/>
  <c r="J11" i="21"/>
  <c r="J10" i="21"/>
  <c r="C10" i="21"/>
  <c r="J9" i="21"/>
  <c r="C9" i="21"/>
  <c r="J8" i="21"/>
  <c r="C4" i="21"/>
  <c r="C3" i="21"/>
  <c r="J30" i="163"/>
  <c r="Q3" i="163"/>
  <c r="A2" i="163"/>
  <c r="A1" i="163"/>
  <c r="T219" i="20"/>
  <c r="T218" i="20"/>
  <c r="T217" i="20"/>
  <c r="T216" i="20"/>
  <c r="T215" i="20"/>
  <c r="T213" i="20"/>
  <c r="T211" i="20"/>
  <c r="T210" i="20"/>
  <c r="T209" i="20"/>
  <c r="T208" i="20"/>
  <c r="T207" i="20"/>
  <c r="S206" i="20"/>
  <c r="T204" i="20"/>
  <c r="T203" i="20"/>
  <c r="T202" i="20"/>
  <c r="T201" i="20"/>
  <c r="T200" i="20"/>
  <c r="S199" i="20"/>
  <c r="Z203" i="20" s="1" a="1"/>
  <c r="Z203" i="20" s="1"/>
  <c r="AK195" i="20"/>
  <c r="T194" i="20"/>
  <c r="T193" i="20"/>
  <c r="T192" i="20"/>
  <c r="T191" i="20"/>
  <c r="AA191" i="20" s="1" a="1"/>
  <c r="AA191" i="20" s="1"/>
  <c r="T190" i="20"/>
  <c r="S189" i="20"/>
  <c r="AK187" i="20"/>
  <c r="T186" i="20"/>
  <c r="T185" i="20"/>
  <c r="T184" i="20"/>
  <c r="T183" i="20"/>
  <c r="T182" i="20"/>
  <c r="S181" i="20"/>
  <c r="T179" i="20"/>
  <c r="AK178" i="20"/>
  <c r="T177" i="20"/>
  <c r="T176" i="20"/>
  <c r="T175" i="20"/>
  <c r="T172" i="20"/>
  <c r="T171" i="20"/>
  <c r="T170" i="20"/>
  <c r="T169" i="20"/>
  <c r="T168" i="20"/>
  <c r="T167" i="20"/>
  <c r="S167" i="20"/>
  <c r="AJ164" i="20"/>
  <c r="AI164" i="20"/>
  <c r="AH164" i="20"/>
  <c r="AG164" i="20"/>
  <c r="AF164" i="20"/>
  <c r="AE164" i="20"/>
  <c r="AD164" i="20"/>
  <c r="AC164" i="20"/>
  <c r="AB164" i="20"/>
  <c r="AA164" i="20"/>
  <c r="Z164" i="20"/>
  <c r="Y164" i="20"/>
  <c r="U160" i="20"/>
  <c r="U159" i="20"/>
  <c r="AJ156" i="20"/>
  <c r="U156" i="20"/>
  <c r="U155" i="20"/>
  <c r="U154" i="20"/>
  <c r="W140" i="20"/>
  <c r="AJ134" i="20" a="1"/>
  <c r="AJ134" i="20" s="1"/>
  <c r="AI134" i="20" a="1"/>
  <c r="AI134" i="20" s="1"/>
  <c r="AH134" i="20" a="1"/>
  <c r="AH134" i="20" s="1"/>
  <c r="AG134" i="20" a="1"/>
  <c r="AG134" i="20" s="1"/>
  <c r="AF134" i="20" a="1"/>
  <c r="AF134" i="20" s="1"/>
  <c r="AE134" i="20" a="1"/>
  <c r="AE134" i="20" s="1"/>
  <c r="AJ133" i="20" a="1"/>
  <c r="AJ133" i="20" s="1"/>
  <c r="AI133" i="20" a="1"/>
  <c r="AI133" i="20" s="1"/>
  <c r="AH133" i="20" a="1"/>
  <c r="AH133" i="20" s="1"/>
  <c r="AG133" i="20" a="1"/>
  <c r="AG133" i="20" s="1"/>
  <c r="AF133" i="20" a="1"/>
  <c r="AF133" i="20" s="1"/>
  <c r="AE133" i="20" a="1"/>
  <c r="AE133" i="20" s="1"/>
  <c r="AJ132" i="20" a="1"/>
  <c r="AJ132" i="20" s="1"/>
  <c r="AI132" i="20" a="1"/>
  <c r="AI132" i="20" s="1"/>
  <c r="AH132" i="20" a="1"/>
  <c r="AH132" i="20" s="1"/>
  <c r="AG132" i="20" a="1"/>
  <c r="AG132" i="20" s="1"/>
  <c r="AF132" i="20" a="1"/>
  <c r="AF132" i="20" s="1"/>
  <c r="AE132" i="20" a="1"/>
  <c r="AE132" i="20" s="1"/>
  <c r="AJ131" i="20" a="1"/>
  <c r="AJ131" i="20" s="1"/>
  <c r="AI131" i="20" a="1"/>
  <c r="AI131" i="20" s="1"/>
  <c r="AH131" i="20" a="1"/>
  <c r="AH131" i="20" s="1"/>
  <c r="AG131" i="20" a="1"/>
  <c r="AG131" i="20" s="1"/>
  <c r="AF131" i="20" a="1"/>
  <c r="AF131" i="20" s="1"/>
  <c r="AE131" i="20" a="1"/>
  <c r="AE131" i="20" s="1"/>
  <c r="AJ130" i="20" a="1"/>
  <c r="AJ130" i="20" s="1"/>
  <c r="AI130" i="20" a="1"/>
  <c r="AI130" i="20" s="1"/>
  <c r="AH130" i="20" a="1"/>
  <c r="AH130" i="20" s="1"/>
  <c r="AG130" i="20" a="1"/>
  <c r="AG130" i="20" s="1"/>
  <c r="AF130" i="20" a="1"/>
  <c r="AF130" i="20" s="1"/>
  <c r="AE130" i="20" a="1"/>
  <c r="AE130" i="20" s="1"/>
  <c r="AJ127" i="20" a="1"/>
  <c r="AJ127" i="20" s="1"/>
  <c r="AI127" i="20" a="1"/>
  <c r="AI127" i="20" s="1"/>
  <c r="AH127" i="20" a="1"/>
  <c r="AH127" i="20" s="1"/>
  <c r="AG127" i="20" a="1"/>
  <c r="AG127" i="20" s="1"/>
  <c r="AF127" i="20" a="1"/>
  <c r="AF127" i="20" s="1"/>
  <c r="AE127" i="20" a="1"/>
  <c r="AE127" i="20" s="1"/>
  <c r="AJ126" i="20" a="1"/>
  <c r="AJ126" i="20" s="1"/>
  <c r="AI126" i="20" a="1"/>
  <c r="AI126" i="20" s="1"/>
  <c r="AH126" i="20" a="1"/>
  <c r="AH126" i="20" s="1"/>
  <c r="AG126" i="20" a="1"/>
  <c r="AG126" i="20" s="1"/>
  <c r="AF126" i="20" a="1"/>
  <c r="AF126" i="20" s="1"/>
  <c r="AE126" i="20" a="1"/>
  <c r="AE126" i="20" s="1"/>
  <c r="AJ125" i="20" a="1"/>
  <c r="AJ125" i="20" s="1"/>
  <c r="AI125" i="20" a="1"/>
  <c r="AI125" i="20" s="1"/>
  <c r="AH125" i="20" a="1"/>
  <c r="AH125" i="20" s="1"/>
  <c r="AG125" i="20" a="1"/>
  <c r="AG125" i="20" s="1"/>
  <c r="AF125" i="20" a="1"/>
  <c r="AF125" i="20" s="1"/>
  <c r="AE125" i="20" a="1"/>
  <c r="AE125" i="20" s="1"/>
  <c r="AJ124" i="20" a="1"/>
  <c r="AJ124" i="20" s="1"/>
  <c r="AI124" i="20" a="1"/>
  <c r="AI124" i="20" s="1"/>
  <c r="AH124" i="20" a="1"/>
  <c r="AH124" i="20" s="1"/>
  <c r="AG124" i="20" a="1"/>
  <c r="AG124" i="20" s="1"/>
  <c r="AF124" i="20" a="1"/>
  <c r="AF124" i="20" s="1"/>
  <c r="AE124" i="20" a="1"/>
  <c r="AE124" i="20" s="1"/>
  <c r="AJ123" i="20" a="1"/>
  <c r="AJ123" i="20" s="1"/>
  <c r="AI123" i="20" a="1"/>
  <c r="AI123" i="20" s="1"/>
  <c r="AH123" i="20" a="1"/>
  <c r="AH123" i="20" s="1"/>
  <c r="AG123" i="20" a="1"/>
  <c r="AG123" i="20" s="1"/>
  <c r="AF123" i="20" a="1"/>
  <c r="AF123" i="20" s="1"/>
  <c r="AE123" i="20" a="1"/>
  <c r="AE123" i="20" s="1"/>
  <c r="AK118" i="20"/>
  <c r="AJ117" i="20" a="1"/>
  <c r="AJ117" i="20" s="1"/>
  <c r="AI117" i="20" a="1"/>
  <c r="AI117" i="20" s="1"/>
  <c r="AH117" i="20" a="1"/>
  <c r="AH117" i="20" s="1"/>
  <c r="AG117" i="20" a="1"/>
  <c r="AG117" i="20" s="1"/>
  <c r="AF117" i="20" a="1"/>
  <c r="AF117" i="20" s="1"/>
  <c r="AE117" i="20" a="1"/>
  <c r="AE117" i="20" s="1"/>
  <c r="AJ116" i="20" a="1"/>
  <c r="AJ116" i="20" s="1"/>
  <c r="AI116" i="20" a="1"/>
  <c r="AI116" i="20" s="1"/>
  <c r="AH116" i="20" a="1"/>
  <c r="AH116" i="20" s="1"/>
  <c r="AG116" i="20" a="1"/>
  <c r="AG116" i="20" s="1"/>
  <c r="AF116" i="20" a="1"/>
  <c r="AF116" i="20" s="1"/>
  <c r="AE116" i="20" a="1"/>
  <c r="AE116" i="20" s="1"/>
  <c r="AJ115" i="20" a="1"/>
  <c r="AJ115" i="20" s="1"/>
  <c r="AI115" i="20" a="1"/>
  <c r="AI115" i="20" s="1"/>
  <c r="AH115" i="20" a="1"/>
  <c r="AH115" i="20" s="1"/>
  <c r="AG115" i="20" a="1"/>
  <c r="AG115" i="20" s="1"/>
  <c r="AF115" i="20" a="1"/>
  <c r="AF115" i="20" s="1"/>
  <c r="AE115" i="20" a="1"/>
  <c r="AE115" i="20" s="1"/>
  <c r="AJ114" i="20" a="1"/>
  <c r="AJ114" i="20" s="1"/>
  <c r="AI114" i="20" a="1"/>
  <c r="AI114" i="20" s="1"/>
  <c r="AH114" i="20" a="1"/>
  <c r="AH114" i="20" s="1"/>
  <c r="AG114" i="20" a="1"/>
  <c r="AG114" i="20" s="1"/>
  <c r="AF114" i="20" a="1"/>
  <c r="AF114" i="20" s="1"/>
  <c r="AE114" i="20" a="1"/>
  <c r="AE114" i="20" s="1"/>
  <c r="AJ113" i="20" a="1"/>
  <c r="AJ113" i="20" s="1"/>
  <c r="AI113" i="20" a="1"/>
  <c r="AI113" i="20" s="1"/>
  <c r="AH113" i="20" a="1"/>
  <c r="AH113" i="20" s="1"/>
  <c r="AG113" i="20" a="1"/>
  <c r="AG113" i="20" s="1"/>
  <c r="AF113" i="20" a="1"/>
  <c r="AF113" i="20" s="1"/>
  <c r="AE113" i="20" a="1"/>
  <c r="AE113" i="20" s="1"/>
  <c r="AK110" i="20"/>
  <c r="AJ109" i="20" a="1"/>
  <c r="AJ109" i="20" s="1"/>
  <c r="AI109" i="20" a="1"/>
  <c r="AI109" i="20" s="1"/>
  <c r="AH109" i="20" a="1"/>
  <c r="AH109" i="20" s="1"/>
  <c r="AG109" i="20" a="1"/>
  <c r="AG109" i="20" s="1"/>
  <c r="AF109" i="20" a="1"/>
  <c r="AF109" i="20" s="1"/>
  <c r="AE109" i="20" a="1"/>
  <c r="AE109" i="20" s="1"/>
  <c r="AJ108" i="20" a="1"/>
  <c r="AJ108" i="20" s="1"/>
  <c r="AI108" i="20" a="1"/>
  <c r="AI108" i="20" s="1"/>
  <c r="AH108" i="20" a="1"/>
  <c r="AH108" i="20" s="1"/>
  <c r="AG108" i="20" a="1"/>
  <c r="AG108" i="20" s="1"/>
  <c r="AF108" i="20" a="1"/>
  <c r="AF108" i="20" s="1"/>
  <c r="AE108" i="20" a="1"/>
  <c r="AE108" i="20" s="1"/>
  <c r="AJ107" i="20" a="1"/>
  <c r="AJ107" i="20" s="1"/>
  <c r="AI107" i="20" a="1"/>
  <c r="AI107" i="20" s="1"/>
  <c r="AH107" i="20" a="1"/>
  <c r="AH107" i="20" s="1"/>
  <c r="AG107" i="20" a="1"/>
  <c r="AG107" i="20" s="1"/>
  <c r="AF107" i="20" a="1"/>
  <c r="AF107" i="20" s="1"/>
  <c r="AE107" i="20" a="1"/>
  <c r="AE107" i="20" s="1"/>
  <c r="AJ106" i="20" a="1"/>
  <c r="AJ106" i="20" s="1"/>
  <c r="AI106" i="20" a="1"/>
  <c r="AI106" i="20" s="1"/>
  <c r="AH106" i="20" a="1"/>
  <c r="AH106" i="20" s="1"/>
  <c r="AG106" i="20" a="1"/>
  <c r="AG106" i="20" s="1"/>
  <c r="AF106" i="20" a="1"/>
  <c r="AF106" i="20" s="1"/>
  <c r="AE106" i="20" a="1"/>
  <c r="AE106" i="20" s="1"/>
  <c r="AJ105" i="20" a="1"/>
  <c r="AJ105" i="20" s="1"/>
  <c r="AI105" i="20" a="1"/>
  <c r="AI105" i="20" s="1"/>
  <c r="AH105" i="20" a="1"/>
  <c r="AH105" i="20" s="1"/>
  <c r="AG105" i="20" a="1"/>
  <c r="AG105" i="20" s="1"/>
  <c r="AF105" i="20" a="1"/>
  <c r="AF105" i="20" s="1"/>
  <c r="AE105" i="20" a="1"/>
  <c r="AE105" i="20" s="1"/>
  <c r="AK101" i="20"/>
  <c r="AJ94" i="20" a="1"/>
  <c r="AJ94" i="20" s="1"/>
  <c r="AI94" i="20" a="1"/>
  <c r="AI94" i="20" s="1"/>
  <c r="AH94" i="20" a="1"/>
  <c r="AH94" i="20" s="1"/>
  <c r="AG94" i="20" a="1"/>
  <c r="AG94" i="20" s="1"/>
  <c r="AF94" i="20" a="1"/>
  <c r="AF94" i="20" s="1"/>
  <c r="AE94" i="20" a="1"/>
  <c r="AE94" i="20" s="1"/>
  <c r="AJ93" i="20" a="1"/>
  <c r="AJ93" i="20" s="1"/>
  <c r="AI93" i="20" a="1"/>
  <c r="AI93" i="20" s="1"/>
  <c r="AH93" i="20" a="1"/>
  <c r="AH93" i="20" s="1"/>
  <c r="AG93" i="20" a="1"/>
  <c r="AG93" i="20" s="1"/>
  <c r="AF93" i="20" a="1"/>
  <c r="AF93" i="20" s="1"/>
  <c r="AE93" i="20" a="1"/>
  <c r="AE93" i="20" s="1"/>
  <c r="AJ92" i="20" a="1"/>
  <c r="AJ92" i="20" s="1"/>
  <c r="AI92" i="20" a="1"/>
  <c r="AI92" i="20" s="1"/>
  <c r="AH92" i="20" a="1"/>
  <c r="AH92" i="20" s="1"/>
  <c r="AG92" i="20" a="1"/>
  <c r="AG92" i="20" s="1"/>
  <c r="AF92" i="20" a="1"/>
  <c r="AF92" i="20" s="1"/>
  <c r="AE92" i="20" a="1"/>
  <c r="AE92" i="20" s="1"/>
  <c r="AJ91" i="20" a="1"/>
  <c r="AJ91" i="20" s="1"/>
  <c r="AI91" i="20" a="1"/>
  <c r="AI91" i="20" s="1"/>
  <c r="AH91" i="20" a="1"/>
  <c r="AH91" i="20" s="1"/>
  <c r="AG91" i="20" a="1"/>
  <c r="AG91" i="20" s="1"/>
  <c r="AF91" i="20" a="1"/>
  <c r="AF91" i="20" s="1"/>
  <c r="AE91" i="20" a="1"/>
  <c r="AE91" i="20" s="1"/>
  <c r="AJ90" i="20" a="1"/>
  <c r="AJ90" i="20" s="1"/>
  <c r="AI90" i="20" a="1"/>
  <c r="AI90" i="20" s="1"/>
  <c r="AH90" i="20" a="1"/>
  <c r="AH90" i="20" s="1"/>
  <c r="AG90" i="20" a="1"/>
  <c r="AG90" i="20" s="1"/>
  <c r="AF90" i="20" a="1"/>
  <c r="AF90" i="20" s="1"/>
  <c r="AE90" i="20" a="1"/>
  <c r="AE90" i="20" s="1"/>
  <c r="AJ87" i="20"/>
  <c r="AI87" i="20"/>
  <c r="AH87" i="20"/>
  <c r="AG87" i="20"/>
  <c r="AF87" i="20"/>
  <c r="AE87" i="20"/>
  <c r="AD87" i="20"/>
  <c r="AC87" i="20"/>
  <c r="AB87" i="20"/>
  <c r="AA87" i="20"/>
  <c r="Z87" i="20"/>
  <c r="Y87" i="20"/>
  <c r="U83" i="20"/>
  <c r="U82" i="20"/>
  <c r="AJ79" i="20"/>
  <c r="U79" i="20"/>
  <c r="U78" i="20"/>
  <c r="U77" i="20"/>
  <c r="K44" i="20"/>
  <c r="K43" i="20"/>
  <c r="Q41" i="20"/>
  <c r="K41" i="20"/>
  <c r="K40" i="20"/>
  <c r="K39" i="20"/>
  <c r="A6" i="20"/>
  <c r="A5" i="20"/>
  <c r="G3" i="20"/>
  <c r="A3" i="20"/>
  <c r="A2" i="20"/>
  <c r="A1" i="20"/>
  <c r="L10" i="19"/>
  <c r="A8" i="19"/>
  <c r="A7" i="19"/>
  <c r="A2" i="19"/>
  <c r="A1" i="19"/>
  <c r="L68" i="18"/>
  <c r="L60" i="18"/>
  <c r="N43" i="18"/>
  <c r="J43" i="18"/>
  <c r="J42" i="18"/>
  <c r="J41" i="18"/>
  <c r="H9" i="18"/>
  <c r="A7" i="18"/>
  <c r="A6" i="18"/>
  <c r="A2" i="18"/>
  <c r="A1" i="18"/>
  <c r="H126" i="164"/>
  <c r="F126" i="164"/>
  <c r="D126" i="164"/>
  <c r="S125" i="164"/>
  <c r="P125" i="164"/>
  <c r="P126" i="164" s="1"/>
  <c r="N125" i="164"/>
  <c r="N126" i="164" s="1"/>
  <c r="L125" i="164"/>
  <c r="L126" i="164" s="1"/>
  <c r="J125" i="164"/>
  <c r="I125" i="164" s="1"/>
  <c r="G125" i="164"/>
  <c r="E125" i="164"/>
  <c r="Q124" i="164"/>
  <c r="O124" i="164"/>
  <c r="M124" i="164"/>
  <c r="K124" i="164"/>
  <c r="I124" i="164"/>
  <c r="G124" i="164"/>
  <c r="E124" i="164"/>
  <c r="Q123" i="164"/>
  <c r="O123" i="164"/>
  <c r="M123" i="164"/>
  <c r="K123" i="164"/>
  <c r="I123" i="164"/>
  <c r="G123" i="164"/>
  <c r="E123" i="164"/>
  <c r="Q122" i="164"/>
  <c r="O122" i="164"/>
  <c r="M122" i="164"/>
  <c r="K122" i="164"/>
  <c r="I122" i="164"/>
  <c r="G122" i="164"/>
  <c r="E122" i="164"/>
  <c r="Q121" i="164"/>
  <c r="O121" i="164"/>
  <c r="M121" i="164"/>
  <c r="K121" i="164"/>
  <c r="I121" i="164"/>
  <c r="G121" i="164"/>
  <c r="E121" i="164"/>
  <c r="S119" i="164"/>
  <c r="P119" i="164"/>
  <c r="N119" i="164"/>
  <c r="L119" i="164"/>
  <c r="J119" i="164"/>
  <c r="H119" i="164"/>
  <c r="F119" i="164"/>
  <c r="D119" i="164"/>
  <c r="Q118" i="164"/>
  <c r="O118" i="164"/>
  <c r="M118" i="164"/>
  <c r="K118" i="164"/>
  <c r="I118" i="164"/>
  <c r="G118" i="164"/>
  <c r="E118" i="164"/>
  <c r="Q117" i="164"/>
  <c r="O117" i="164"/>
  <c r="M117" i="164"/>
  <c r="K117" i="164"/>
  <c r="I117" i="164"/>
  <c r="G117" i="164"/>
  <c r="E117" i="164"/>
  <c r="Q116" i="164"/>
  <c r="O116" i="164"/>
  <c r="M116" i="164"/>
  <c r="K116" i="164"/>
  <c r="I116" i="164"/>
  <c r="G116" i="164"/>
  <c r="E116" i="164"/>
  <c r="Q115" i="164"/>
  <c r="O115" i="164"/>
  <c r="M115" i="164"/>
  <c r="K115" i="164"/>
  <c r="I115" i="164"/>
  <c r="G115" i="164"/>
  <c r="E115" i="164"/>
  <c r="Q114" i="164"/>
  <c r="O114" i="164"/>
  <c r="M114" i="164"/>
  <c r="K114" i="164"/>
  <c r="I114" i="164"/>
  <c r="G114" i="164"/>
  <c r="E114" i="164"/>
  <c r="Q113" i="164"/>
  <c r="O113" i="164"/>
  <c r="M113" i="164"/>
  <c r="K113" i="164"/>
  <c r="I113" i="164"/>
  <c r="G113" i="164"/>
  <c r="E113" i="164"/>
  <c r="Q112" i="164"/>
  <c r="O112" i="164"/>
  <c r="M112" i="164"/>
  <c r="K112" i="164"/>
  <c r="I112" i="164"/>
  <c r="G112" i="164"/>
  <c r="E112" i="164"/>
  <c r="Q111" i="164"/>
  <c r="O111" i="164"/>
  <c r="M111" i="164"/>
  <c r="K111" i="164"/>
  <c r="I111" i="164"/>
  <c r="G111" i="164"/>
  <c r="E111" i="164"/>
  <c r="Q110" i="164"/>
  <c r="O110" i="164"/>
  <c r="M110" i="164"/>
  <c r="K110" i="164"/>
  <c r="I110" i="164"/>
  <c r="G110" i="164"/>
  <c r="E110" i="164"/>
  <c r="Q109" i="164"/>
  <c r="O109" i="164"/>
  <c r="M109" i="164"/>
  <c r="K109" i="164"/>
  <c r="I109" i="164"/>
  <c r="G109" i="164"/>
  <c r="E109" i="164"/>
  <c r="Q108" i="164"/>
  <c r="O108" i="164"/>
  <c r="M108" i="164"/>
  <c r="K108" i="164"/>
  <c r="I108" i="164"/>
  <c r="G108" i="164"/>
  <c r="E108" i="164"/>
  <c r="Q107" i="164"/>
  <c r="O107" i="164"/>
  <c r="M107" i="164"/>
  <c r="K107" i="164"/>
  <c r="I107" i="164"/>
  <c r="G107" i="164"/>
  <c r="E107" i="164"/>
  <c r="Q106" i="164"/>
  <c r="O106" i="164"/>
  <c r="M106" i="164"/>
  <c r="K106" i="164"/>
  <c r="I106" i="164"/>
  <c r="G106" i="164"/>
  <c r="E106" i="164"/>
  <c r="S104" i="164"/>
  <c r="P104" i="164"/>
  <c r="N104" i="164"/>
  <c r="L104" i="164"/>
  <c r="J104" i="164"/>
  <c r="H104" i="164"/>
  <c r="F104" i="164"/>
  <c r="D104" i="164"/>
  <c r="Q103" i="164"/>
  <c r="O103" i="164"/>
  <c r="M103" i="164"/>
  <c r="K103" i="164"/>
  <c r="I103" i="164"/>
  <c r="G103" i="164"/>
  <c r="E103" i="164"/>
  <c r="Q102" i="164"/>
  <c r="O102" i="164"/>
  <c r="M102" i="164"/>
  <c r="K102" i="164"/>
  <c r="I102" i="164"/>
  <c r="G102" i="164"/>
  <c r="E102" i="164"/>
  <c r="Q101" i="164"/>
  <c r="O101" i="164"/>
  <c r="M101" i="164"/>
  <c r="K101" i="164"/>
  <c r="I101" i="164"/>
  <c r="G101" i="164"/>
  <c r="E101" i="164"/>
  <c r="Q100" i="164"/>
  <c r="O100" i="164"/>
  <c r="M100" i="164"/>
  <c r="K100" i="164"/>
  <c r="I100" i="164"/>
  <c r="G100" i="164"/>
  <c r="E100" i="164"/>
  <c r="Q99" i="164"/>
  <c r="O99" i="164"/>
  <c r="M99" i="164"/>
  <c r="K99" i="164"/>
  <c r="I99" i="164"/>
  <c r="G99" i="164"/>
  <c r="E99" i="164"/>
  <c r="Q98" i="164"/>
  <c r="O98" i="164"/>
  <c r="M98" i="164"/>
  <c r="K98" i="164"/>
  <c r="I98" i="164"/>
  <c r="G98" i="164"/>
  <c r="E98" i="164"/>
  <c r="Q97" i="164"/>
  <c r="O97" i="164"/>
  <c r="M97" i="164"/>
  <c r="K97" i="164"/>
  <c r="I97" i="164"/>
  <c r="G97" i="164"/>
  <c r="E97" i="164"/>
  <c r="S95" i="164"/>
  <c r="P95" i="164"/>
  <c r="N95" i="164"/>
  <c r="H70" i="110" s="1"/>
  <c r="L95" i="164"/>
  <c r="M95" i="164" s="1"/>
  <c r="J95" i="164"/>
  <c r="F70" i="110" s="1"/>
  <c r="H95" i="164"/>
  <c r="E70" i="110" s="1"/>
  <c r="F95" i="164"/>
  <c r="D95" i="164"/>
  <c r="Q94" i="164"/>
  <c r="O94" i="164"/>
  <c r="M94" i="164"/>
  <c r="K94" i="164"/>
  <c r="I94" i="164"/>
  <c r="G94" i="164"/>
  <c r="E94" i="164"/>
  <c r="Q93" i="164"/>
  <c r="O93" i="164"/>
  <c r="M93" i="164"/>
  <c r="K93" i="164"/>
  <c r="I93" i="164"/>
  <c r="G93" i="164"/>
  <c r="E93" i="164"/>
  <c r="Q92" i="164"/>
  <c r="O92" i="164"/>
  <c r="M92" i="164"/>
  <c r="K92" i="164"/>
  <c r="I92" i="164"/>
  <c r="G92" i="164"/>
  <c r="E92" i="164"/>
  <c r="Q91" i="164"/>
  <c r="O91" i="164"/>
  <c r="M91" i="164"/>
  <c r="K91" i="164"/>
  <c r="I91" i="164"/>
  <c r="G91" i="164"/>
  <c r="E91" i="164"/>
  <c r="Q90" i="164"/>
  <c r="O90" i="164"/>
  <c r="M90" i="164"/>
  <c r="K90" i="164"/>
  <c r="I90" i="164"/>
  <c r="G90" i="164"/>
  <c r="E90" i="164"/>
  <c r="S88" i="164"/>
  <c r="L88" i="164"/>
  <c r="J88" i="164"/>
  <c r="F165" i="110" s="1"/>
  <c r="H88" i="164"/>
  <c r="E165" i="110" s="1"/>
  <c r="F88" i="164"/>
  <c r="D88" i="164"/>
  <c r="Q87" i="164"/>
  <c r="O87" i="164"/>
  <c r="M87" i="164"/>
  <c r="K87" i="164"/>
  <c r="I87" i="164"/>
  <c r="G87" i="164"/>
  <c r="E87" i="164"/>
  <c r="Q86" i="164"/>
  <c r="O86" i="164"/>
  <c r="M86" i="164"/>
  <c r="K86" i="164"/>
  <c r="I86" i="164"/>
  <c r="G86" i="164"/>
  <c r="E86" i="164"/>
  <c r="Q85" i="164"/>
  <c r="O85" i="164"/>
  <c r="M85" i="164"/>
  <c r="K85" i="164"/>
  <c r="I85" i="164"/>
  <c r="G85" i="164"/>
  <c r="E85" i="164"/>
  <c r="P84" i="164"/>
  <c r="Q84" i="164" s="1"/>
  <c r="N84" i="164"/>
  <c r="M84" i="164" s="1"/>
  <c r="K84" i="164"/>
  <c r="I84" i="164"/>
  <c r="G84" i="164"/>
  <c r="E84" i="164"/>
  <c r="Q83" i="164"/>
  <c r="O83" i="164"/>
  <c r="M83" i="164"/>
  <c r="K83" i="164"/>
  <c r="I83" i="164"/>
  <c r="G83" i="164"/>
  <c r="E83" i="164"/>
  <c r="H80" i="164"/>
  <c r="J80" i="164" s="1"/>
  <c r="L80" i="164" s="1"/>
  <c r="N80" i="164" s="1"/>
  <c r="P80" i="164" s="1"/>
  <c r="S80" i="164" s="1"/>
  <c r="N76" i="164"/>
  <c r="A73" i="164"/>
  <c r="A71" i="164"/>
  <c r="S61" i="164"/>
  <c r="P61" i="164"/>
  <c r="N61" i="164"/>
  <c r="L61" i="164"/>
  <c r="J61" i="164"/>
  <c r="H61" i="164"/>
  <c r="F61" i="164"/>
  <c r="D61" i="164"/>
  <c r="Q60" i="164"/>
  <c r="O60" i="164"/>
  <c r="M60" i="164"/>
  <c r="K60" i="164"/>
  <c r="I60" i="164"/>
  <c r="G60" i="164"/>
  <c r="E60" i="164"/>
  <c r="Q59" i="164"/>
  <c r="O59" i="164"/>
  <c r="M59" i="164"/>
  <c r="K59" i="164"/>
  <c r="I59" i="164"/>
  <c r="G59" i="164"/>
  <c r="E59" i="164"/>
  <c r="Q58" i="164"/>
  <c r="O58" i="164"/>
  <c r="M58" i="164"/>
  <c r="K58" i="164"/>
  <c r="I58" i="164"/>
  <c r="G58" i="164"/>
  <c r="E58" i="164"/>
  <c r="Q57" i="164"/>
  <c r="O57" i="164"/>
  <c r="M57" i="164"/>
  <c r="K57" i="164"/>
  <c r="I57" i="164"/>
  <c r="G57" i="164"/>
  <c r="E57" i="164"/>
  <c r="Q56" i="164"/>
  <c r="O56" i="164"/>
  <c r="M56" i="164"/>
  <c r="K56" i="164"/>
  <c r="I56" i="164"/>
  <c r="G56" i="164"/>
  <c r="E56" i="164"/>
  <c r="Q55" i="164"/>
  <c r="O55" i="164"/>
  <c r="M55" i="164"/>
  <c r="K55" i="164"/>
  <c r="I55" i="164"/>
  <c r="G55" i="164"/>
  <c r="E55" i="164"/>
  <c r="Q54" i="164"/>
  <c r="O54" i="164"/>
  <c r="M54" i="164"/>
  <c r="K54" i="164"/>
  <c r="I54" i="164"/>
  <c r="G54" i="164"/>
  <c r="E54" i="164"/>
  <c r="Q53" i="164"/>
  <c r="O53" i="164"/>
  <c r="M53" i="164"/>
  <c r="K53" i="164"/>
  <c r="I53" i="164"/>
  <c r="G53" i="164"/>
  <c r="E53" i="164"/>
  <c r="Q52" i="164"/>
  <c r="O52" i="164"/>
  <c r="M52" i="164"/>
  <c r="K52" i="164"/>
  <c r="I52" i="164"/>
  <c r="G52" i="164"/>
  <c r="E52" i="164"/>
  <c r="F50" i="164"/>
  <c r="D50" i="164"/>
  <c r="Q49" i="164"/>
  <c r="O49" i="164"/>
  <c r="M49" i="164"/>
  <c r="K49" i="164"/>
  <c r="I49" i="164"/>
  <c r="G49" i="164"/>
  <c r="E49" i="164"/>
  <c r="Q48" i="164"/>
  <c r="O48" i="164"/>
  <c r="M48" i="164"/>
  <c r="K48" i="164"/>
  <c r="I48" i="164"/>
  <c r="G48" i="164"/>
  <c r="E48" i="164"/>
  <c r="Q47" i="164"/>
  <c r="O47" i="164"/>
  <c r="M47" i="164"/>
  <c r="K47" i="164"/>
  <c r="I47" i="164"/>
  <c r="G47" i="164"/>
  <c r="E47" i="164"/>
  <c r="Q46" i="164"/>
  <c r="O46" i="164"/>
  <c r="M46" i="164"/>
  <c r="K46" i="164"/>
  <c r="I46" i="164"/>
  <c r="G46" i="164"/>
  <c r="E46" i="164"/>
  <c r="Q45" i="164"/>
  <c r="O45" i="164"/>
  <c r="M45" i="164"/>
  <c r="K45" i="164"/>
  <c r="I45" i="164"/>
  <c r="G45" i="164"/>
  <c r="E45" i="164"/>
  <c r="Q44" i="164"/>
  <c r="O44" i="164"/>
  <c r="M44" i="164"/>
  <c r="K44" i="164"/>
  <c r="I44" i="164"/>
  <c r="G44" i="164"/>
  <c r="E44" i="164"/>
  <c r="Q43" i="164"/>
  <c r="O43" i="164"/>
  <c r="M43" i="164"/>
  <c r="K43" i="164"/>
  <c r="I43" i="164"/>
  <c r="G43" i="164"/>
  <c r="E43" i="164"/>
  <c r="Q42" i="164"/>
  <c r="O42" i="164"/>
  <c r="M42" i="164"/>
  <c r="K42" i="164"/>
  <c r="I42" i="164"/>
  <c r="G42" i="164"/>
  <c r="E42" i="164"/>
  <c r="Q41" i="164"/>
  <c r="O41" i="164"/>
  <c r="M41" i="164"/>
  <c r="K41" i="164"/>
  <c r="I41" i="164"/>
  <c r="G41" i="164"/>
  <c r="E41" i="164"/>
  <c r="Q40" i="164"/>
  <c r="O40" i="164"/>
  <c r="M40" i="164"/>
  <c r="K40" i="164"/>
  <c r="I40" i="164"/>
  <c r="G40" i="164"/>
  <c r="E40" i="164"/>
  <c r="S39" i="164"/>
  <c r="S50" i="164" s="1"/>
  <c r="P39" i="164"/>
  <c r="N39" i="164"/>
  <c r="L39" i="164"/>
  <c r="J39" i="164"/>
  <c r="J50" i="164" s="1"/>
  <c r="H39" i="164"/>
  <c r="E39" i="164"/>
  <c r="Q38" i="164"/>
  <c r="O38" i="164"/>
  <c r="M38" i="164"/>
  <c r="K38" i="164"/>
  <c r="I38" i="164"/>
  <c r="G38" i="164"/>
  <c r="E38" i="164"/>
  <c r="Q37" i="164"/>
  <c r="O37" i="164"/>
  <c r="M37" i="164"/>
  <c r="K37" i="164"/>
  <c r="I37" i="164"/>
  <c r="G37" i="164"/>
  <c r="E37" i="164"/>
  <c r="Q36" i="164"/>
  <c r="O36" i="164"/>
  <c r="M36" i="164"/>
  <c r="K36" i="164"/>
  <c r="I36" i="164"/>
  <c r="G36" i="164"/>
  <c r="E36" i="164"/>
  <c r="Q35" i="164"/>
  <c r="O35" i="164"/>
  <c r="M35" i="164"/>
  <c r="K35" i="164"/>
  <c r="I35" i="164"/>
  <c r="G35" i="164"/>
  <c r="E35" i="164"/>
  <c r="Q34" i="164"/>
  <c r="O34" i="164"/>
  <c r="M34" i="164"/>
  <c r="K34" i="164"/>
  <c r="I34" i="164"/>
  <c r="G34" i="164"/>
  <c r="E34" i="164"/>
  <c r="Q33" i="164"/>
  <c r="O33" i="164"/>
  <c r="M33" i="164"/>
  <c r="K33" i="164"/>
  <c r="I33" i="164"/>
  <c r="G33" i="164"/>
  <c r="E33" i="164"/>
  <c r="Q32" i="164"/>
  <c r="O32" i="164"/>
  <c r="M32" i="164"/>
  <c r="K32" i="164"/>
  <c r="I32" i="164"/>
  <c r="G32" i="164"/>
  <c r="E32" i="164"/>
  <c r="Q31" i="164"/>
  <c r="O31" i="164"/>
  <c r="M31" i="164"/>
  <c r="K31" i="164"/>
  <c r="I31" i="164"/>
  <c r="G31" i="164"/>
  <c r="E31" i="164"/>
  <c r="Q30" i="164"/>
  <c r="O30" i="164"/>
  <c r="M30" i="164"/>
  <c r="K30" i="164"/>
  <c r="I30" i="164"/>
  <c r="G30" i="164"/>
  <c r="E30" i="164"/>
  <c r="S28" i="164"/>
  <c r="P28" i="164"/>
  <c r="N28" i="164"/>
  <c r="L28" i="164"/>
  <c r="J28" i="164"/>
  <c r="H28" i="164"/>
  <c r="F28" i="164"/>
  <c r="D28" i="164"/>
  <c r="Q27" i="164"/>
  <c r="O27" i="164"/>
  <c r="M27" i="164"/>
  <c r="K27" i="164"/>
  <c r="I27" i="164"/>
  <c r="G27" i="164"/>
  <c r="E27" i="164"/>
  <c r="Q26" i="164"/>
  <c r="O26" i="164"/>
  <c r="M26" i="164"/>
  <c r="K26" i="164"/>
  <c r="I26" i="164"/>
  <c r="G26" i="164"/>
  <c r="E26" i="164"/>
  <c r="Q25" i="164"/>
  <c r="O25" i="164"/>
  <c r="M25" i="164"/>
  <c r="K25" i="164"/>
  <c r="I25" i="164"/>
  <c r="G25" i="164"/>
  <c r="E25" i="164"/>
  <c r="Q24" i="164"/>
  <c r="O24" i="164"/>
  <c r="M24" i="164"/>
  <c r="K24" i="164"/>
  <c r="I24" i="164"/>
  <c r="G24" i="164"/>
  <c r="E24" i="164"/>
  <c r="Q23" i="164"/>
  <c r="O23" i="164"/>
  <c r="M23" i="164"/>
  <c r="K23" i="164"/>
  <c r="I23" i="164"/>
  <c r="G23" i="164"/>
  <c r="E23" i="164"/>
  <c r="Q22" i="164"/>
  <c r="O22" i="164"/>
  <c r="M22" i="164"/>
  <c r="K22" i="164"/>
  <c r="I22" i="164"/>
  <c r="G22" i="164"/>
  <c r="E22" i="164"/>
  <c r="Q19" i="164"/>
  <c r="O19" i="164"/>
  <c r="M19" i="164"/>
  <c r="K19" i="164"/>
  <c r="I19" i="164"/>
  <c r="G19" i="164"/>
  <c r="E19" i="164"/>
  <c r="S18" i="164"/>
  <c r="S20" i="164" s="1"/>
  <c r="P18" i="164"/>
  <c r="P20" i="164" s="1"/>
  <c r="N18" i="164"/>
  <c r="L18" i="164"/>
  <c r="L20" i="164" s="1"/>
  <c r="J18" i="164"/>
  <c r="H18" i="164"/>
  <c r="H20" i="164" s="1"/>
  <c r="F18" i="164"/>
  <c r="D18" i="164"/>
  <c r="Q17" i="164"/>
  <c r="O17" i="164"/>
  <c r="M17" i="164"/>
  <c r="K17" i="164"/>
  <c r="I17" i="164"/>
  <c r="G17" i="164"/>
  <c r="E17" i="164"/>
  <c r="Q16" i="164"/>
  <c r="O16" i="164"/>
  <c r="M16" i="164"/>
  <c r="K16" i="164"/>
  <c r="I16" i="164"/>
  <c r="G16" i="164"/>
  <c r="E16" i="164"/>
  <c r="J13" i="164"/>
  <c r="L13" i="164" s="1"/>
  <c r="N13" i="164" s="1"/>
  <c r="P13" i="164" s="1"/>
  <c r="S13" i="164" s="1"/>
  <c r="N9" i="164"/>
  <c r="A7" i="164"/>
  <c r="A74" i="164" s="1"/>
  <c r="A6" i="164"/>
  <c r="A2" i="164"/>
  <c r="A69" i="164" s="1"/>
  <c r="A68" i="164"/>
  <c r="AC82" i="16"/>
  <c r="V80" i="16"/>
  <c r="V79" i="16"/>
  <c r="V73" i="16"/>
  <c r="V72" i="16"/>
  <c r="T48" i="16"/>
  <c r="L46" i="16"/>
  <c r="L45" i="16"/>
  <c r="L41" i="16"/>
  <c r="L40" i="16"/>
  <c r="K9" i="16"/>
  <c r="A7" i="16"/>
  <c r="A6" i="16"/>
  <c r="A2" i="16"/>
  <c r="A1" i="16"/>
  <c r="AL205" i="15"/>
  <c r="AL201" i="15"/>
  <c r="AG199" i="15"/>
  <c r="AG200" i="15" s="1"/>
  <c r="AG201" i="15" s="1"/>
  <c r="AG202" i="15" s="1"/>
  <c r="AG203" i="15" s="1"/>
  <c r="AG204" i="15" s="1"/>
  <c r="AG205" i="15" s="1"/>
  <c r="AG206" i="15" s="1"/>
  <c r="AG207" i="15" s="1"/>
  <c r="AG208" i="15" s="1"/>
  <c r="AG209" i="15" s="1"/>
  <c r="AG189" i="15"/>
  <c r="AG188" i="15"/>
  <c r="AG187" i="15"/>
  <c r="X166" i="15"/>
  <c r="X163" i="15"/>
  <c r="X162" i="15"/>
  <c r="X161" i="15"/>
  <c r="AB154" i="15"/>
  <c r="X143" i="15"/>
  <c r="X140" i="15"/>
  <c r="F130" i="15"/>
  <c r="S130" i="15" s="1"/>
  <c r="F115" i="15"/>
  <c r="S105" i="15"/>
  <c r="T105" i="15" s="1"/>
  <c r="G60" i="14" s="1"/>
  <c r="S102" i="15"/>
  <c r="T102" i="15" s="1"/>
  <c r="F98" i="15"/>
  <c r="S98" i="15" s="1"/>
  <c r="T98" i="15" s="1"/>
  <c r="F97" i="15"/>
  <c r="S97" i="15" s="1"/>
  <c r="T97" i="15" s="1"/>
  <c r="F96" i="15"/>
  <c r="S96" i="15" s="1"/>
  <c r="T96" i="15" s="1"/>
  <c r="AB177" i="15" s="1"/>
  <c r="F93" i="15"/>
  <c r="F88" i="15"/>
  <c r="A83" i="15"/>
  <c r="A84" i="15" s="1"/>
  <c r="A85" i="15" s="1"/>
  <c r="A86" i="15" s="1"/>
  <c r="A87" i="15" s="1"/>
  <c r="A88" i="15" s="1"/>
  <c r="P79" i="15"/>
  <c r="N79" i="15"/>
  <c r="M79" i="15"/>
  <c r="L79" i="15"/>
  <c r="K79" i="15"/>
  <c r="J79" i="15"/>
  <c r="I79" i="15"/>
  <c r="H79" i="15"/>
  <c r="G79" i="15"/>
  <c r="A72" i="15"/>
  <c r="S71" i="15"/>
  <c r="A71" i="15"/>
  <c r="A70" i="15"/>
  <c r="A69" i="15"/>
  <c r="F131" i="15"/>
  <c r="S131" i="15" s="1"/>
  <c r="F129" i="15"/>
  <c r="S129" i="15" s="1"/>
  <c r="F59" i="15"/>
  <c r="F116" i="15"/>
  <c r="F114" i="15"/>
  <c r="G17" i="15"/>
  <c r="H17" i="15" s="1"/>
  <c r="I17" i="15" s="1"/>
  <c r="J17" i="15" s="1"/>
  <c r="K17" i="15" s="1"/>
  <c r="L17" i="15" s="1"/>
  <c r="A17" i="15"/>
  <c r="A18" i="15" s="1"/>
  <c r="A19" i="15" s="1"/>
  <c r="A20" i="15" s="1"/>
  <c r="A21" i="15" s="1"/>
  <c r="N13" i="15"/>
  <c r="L13" i="15"/>
  <c r="K13" i="15"/>
  <c r="J13" i="15"/>
  <c r="I13" i="15"/>
  <c r="H13" i="15"/>
  <c r="G13" i="15"/>
  <c r="A4" i="15"/>
  <c r="K3" i="15"/>
  <c r="A2" i="15"/>
  <c r="A1" i="15"/>
  <c r="J67" i="14"/>
  <c r="J62" i="14"/>
  <c r="J61" i="14"/>
  <c r="N60" i="14"/>
  <c r="J60" i="14"/>
  <c r="O50" i="14"/>
  <c r="A48" i="14"/>
  <c r="A47" i="14"/>
  <c r="A41" i="14"/>
  <c r="A40" i="14"/>
  <c r="N27" i="14"/>
  <c r="J27" i="14"/>
  <c r="J22" i="14"/>
  <c r="J21" i="14"/>
  <c r="N20" i="14"/>
  <c r="J20" i="14"/>
  <c r="L20" i="14" s="1"/>
  <c r="O11" i="14"/>
  <c r="A9" i="14"/>
  <c r="A8" i="14"/>
  <c r="A2" i="14"/>
  <c r="A1" i="14"/>
  <c r="CZ419" i="13"/>
  <c r="CZ421" i="13" s="1"/>
  <c r="CY419" i="13"/>
  <c r="CY421" i="13" s="1"/>
  <c r="CX419" i="13"/>
  <c r="CX421" i="13" s="1"/>
  <c r="DA418" i="13"/>
  <c r="DA417" i="13"/>
  <c r="DA416" i="13"/>
  <c r="DA415" i="13"/>
  <c r="DA414" i="13"/>
  <c r="DA413" i="13"/>
  <c r="DA412" i="13"/>
  <c r="DA411" i="13"/>
  <c r="DA410" i="13"/>
  <c r="DA409" i="13"/>
  <c r="DA408" i="13"/>
  <c r="DA407" i="13"/>
  <c r="DA406" i="13"/>
  <c r="DA403" i="13"/>
  <c r="U79" i="12" s="1"/>
  <c r="I33" i="12" s="1"/>
  <c r="DA402" i="13"/>
  <c r="DA401" i="13"/>
  <c r="DA400" i="13"/>
  <c r="DA399" i="13"/>
  <c r="DA398" i="13"/>
  <c r="DA397" i="13"/>
  <c r="DA396" i="13"/>
  <c r="DA395" i="13"/>
  <c r="DA394" i="13"/>
  <c r="DA393" i="13"/>
  <c r="CR393" i="13"/>
  <c r="CR394" i="13" s="1"/>
  <c r="CR395" i="13" s="1"/>
  <c r="CR396" i="13" s="1"/>
  <c r="CR397" i="13" s="1"/>
  <c r="CR398" i="13" s="1"/>
  <c r="CR399" i="13" s="1"/>
  <c r="CR400" i="13" s="1"/>
  <c r="CR401" i="13" s="1"/>
  <c r="CR402" i="13" s="1"/>
  <c r="CR403" i="13" s="1"/>
  <c r="CR404" i="13" s="1"/>
  <c r="CR405" i="13" s="1"/>
  <c r="CR406" i="13" s="1"/>
  <c r="CR407" i="13" s="1"/>
  <c r="CR408" i="13" s="1"/>
  <c r="CR409" i="13" s="1"/>
  <c r="CR410" i="13" s="1"/>
  <c r="CR411" i="13" s="1"/>
  <c r="CR412" i="13" s="1"/>
  <c r="CR413" i="13" s="1"/>
  <c r="CR414" i="13" s="1"/>
  <c r="CR415" i="13" s="1"/>
  <c r="CR416" i="13" s="1"/>
  <c r="CR417" i="13" s="1"/>
  <c r="CR418" i="13" s="1"/>
  <c r="CR419" i="13" s="1"/>
  <c r="CR420" i="13" s="1"/>
  <c r="CR421" i="13" s="1"/>
  <c r="DA392" i="13"/>
  <c r="CR381" i="13"/>
  <c r="CR380" i="13"/>
  <c r="CR379" i="13"/>
  <c r="CP367" i="13"/>
  <c r="CP369" i="13" s="1"/>
  <c r="U121" i="12" s="1"/>
  <c r="CO367" i="13"/>
  <c r="CO369" i="13" s="1"/>
  <c r="U120" i="12" s="1"/>
  <c r="K25" i="12" s="1"/>
  <c r="CM367" i="13"/>
  <c r="CM369" i="13" s="1"/>
  <c r="U119" i="12" s="1"/>
  <c r="K24" i="12" s="1"/>
  <c r="CK367" i="13"/>
  <c r="CK369" i="13" s="1"/>
  <c r="CJ367" i="13"/>
  <c r="CJ369" i="13" s="1"/>
  <c r="CG341" i="13"/>
  <c r="CG342" i="13" s="1"/>
  <c r="CG343" i="13" s="1"/>
  <c r="CG344" i="13" s="1"/>
  <c r="CG345" i="13" s="1"/>
  <c r="CG346" i="13" s="1"/>
  <c r="CG347" i="13" s="1"/>
  <c r="CG348" i="13" s="1"/>
  <c r="CG349" i="13" s="1"/>
  <c r="CG350" i="13" s="1"/>
  <c r="CG351" i="13" s="1"/>
  <c r="CG352" i="13" s="1"/>
  <c r="CG353" i="13" s="1"/>
  <c r="CG354" i="13" s="1"/>
  <c r="CG355" i="13" s="1"/>
  <c r="CG356" i="13" s="1"/>
  <c r="CG357" i="13" s="1"/>
  <c r="CG358" i="13" s="1"/>
  <c r="CG359" i="13" s="1"/>
  <c r="CG360" i="13" s="1"/>
  <c r="CG361" i="13" s="1"/>
  <c r="CG362" i="13" s="1"/>
  <c r="CG363" i="13" s="1"/>
  <c r="CG364" i="13" s="1"/>
  <c r="CG365" i="13" s="1"/>
  <c r="CG366" i="13" s="1"/>
  <c r="CG367" i="13" s="1"/>
  <c r="CG368" i="13" s="1"/>
  <c r="CG369" i="13" s="1"/>
  <c r="CG329" i="13"/>
  <c r="CG328" i="13"/>
  <c r="CG327" i="13"/>
  <c r="CE315" i="13"/>
  <c r="CE317" i="13" s="1"/>
  <c r="W106" i="13" s="1"/>
  <c r="CD315" i="13"/>
  <c r="CD317" i="13" s="1"/>
  <c r="W104" i="13" s="1"/>
  <c r="CC315" i="13"/>
  <c r="CC317" i="13" s="1"/>
  <c r="W103" i="13" s="1"/>
  <c r="CB315" i="13"/>
  <c r="CB317" i="13" s="1"/>
  <c r="W105" i="13" s="1"/>
  <c r="BY289" i="13"/>
  <c r="BY290" i="13" s="1"/>
  <c r="BY291" i="13" s="1"/>
  <c r="BY292" i="13" s="1"/>
  <c r="BY293" i="13" s="1"/>
  <c r="BY294" i="13" s="1"/>
  <c r="BY295" i="13" s="1"/>
  <c r="BY296" i="13" s="1"/>
  <c r="BY297" i="13" s="1"/>
  <c r="BY298" i="13" s="1"/>
  <c r="BY299" i="13" s="1"/>
  <c r="BY300" i="13" s="1"/>
  <c r="BY301" i="13" s="1"/>
  <c r="BY302" i="13" s="1"/>
  <c r="BY303" i="13" s="1"/>
  <c r="BY304" i="13" s="1"/>
  <c r="BY305" i="13" s="1"/>
  <c r="BY306" i="13" s="1"/>
  <c r="BY307" i="13" s="1"/>
  <c r="BY308" i="13" s="1"/>
  <c r="BY309" i="13" s="1"/>
  <c r="BY310" i="13" s="1"/>
  <c r="BY311" i="13" s="1"/>
  <c r="BY312" i="13" s="1"/>
  <c r="BY313" i="13" s="1"/>
  <c r="BY314" i="13" s="1"/>
  <c r="BY315" i="13" s="1"/>
  <c r="BY316" i="13" s="1"/>
  <c r="BY317" i="13" s="1"/>
  <c r="BY277" i="13"/>
  <c r="BY276" i="13"/>
  <c r="BY275" i="13"/>
  <c r="BV263" i="13"/>
  <c r="BV265" i="13" s="1"/>
  <c r="AT166" i="13" s="1"/>
  <c r="BU263" i="13"/>
  <c r="BU265" i="13" s="1"/>
  <c r="AT165" i="13" s="1"/>
  <c r="BT263" i="13"/>
  <c r="BT265" i="13" s="1"/>
  <c r="AT163" i="13" s="1"/>
  <c r="BS263" i="13"/>
  <c r="BS265" i="13" s="1"/>
  <c r="AT162" i="13" s="1"/>
  <c r="BR263" i="13"/>
  <c r="BR265" i="13" s="1"/>
  <c r="AT161" i="13" s="1"/>
  <c r="BQ263" i="13"/>
  <c r="BQ265" i="13" s="1"/>
  <c r="AT160" i="13" s="1"/>
  <c r="BN237" i="13"/>
  <c r="BN238" i="13" s="1"/>
  <c r="BN239" i="13" s="1"/>
  <c r="BN240" i="13" s="1"/>
  <c r="BN241" i="13" s="1"/>
  <c r="BN242" i="13" s="1"/>
  <c r="BN243" i="13" s="1"/>
  <c r="BN244" i="13" s="1"/>
  <c r="BN245" i="13" s="1"/>
  <c r="BN246" i="13" s="1"/>
  <c r="BN247" i="13" s="1"/>
  <c r="BN248" i="13" s="1"/>
  <c r="BN249" i="13" s="1"/>
  <c r="BN250" i="13" s="1"/>
  <c r="BN251" i="13" s="1"/>
  <c r="BN252" i="13" s="1"/>
  <c r="BN253" i="13" s="1"/>
  <c r="BN254" i="13" s="1"/>
  <c r="BN255" i="13" s="1"/>
  <c r="BN256" i="13" s="1"/>
  <c r="BN257" i="13" s="1"/>
  <c r="BN258" i="13" s="1"/>
  <c r="BN259" i="13" s="1"/>
  <c r="BN260" i="13" s="1"/>
  <c r="BN261" i="13" s="1"/>
  <c r="BN262" i="13" s="1"/>
  <c r="BN263" i="13" s="1"/>
  <c r="BN264" i="13" s="1"/>
  <c r="BN265" i="13" s="1"/>
  <c r="BN227" i="13"/>
  <c r="BN226" i="13"/>
  <c r="BN225" i="13"/>
  <c r="BJ213" i="13"/>
  <c r="BJ215" i="13" s="1"/>
  <c r="BE212" i="13"/>
  <c r="BZ314" i="13" s="1"/>
  <c r="BE211" i="13"/>
  <c r="CS417" i="13" s="1"/>
  <c r="BE210" i="13"/>
  <c r="CS416" i="13" s="1"/>
  <c r="BE209" i="13"/>
  <c r="BZ311" i="13" s="1"/>
  <c r="BE208" i="13"/>
  <c r="BZ310" i="13" s="1"/>
  <c r="BE207" i="13"/>
  <c r="BZ309" i="13" s="1"/>
  <c r="BE206" i="13"/>
  <c r="CS412" i="13" s="1"/>
  <c r="BE205" i="13"/>
  <c r="BZ307" i="13" s="1"/>
  <c r="BE204" i="13"/>
  <c r="BZ306" i="13" s="1"/>
  <c r="BE203" i="13"/>
  <c r="BE202" i="13"/>
  <c r="CS408" i="13" s="1"/>
  <c r="BE201" i="13"/>
  <c r="BZ303" i="13" s="1"/>
  <c r="BE200" i="13"/>
  <c r="BZ302" i="13" s="1"/>
  <c r="BE197" i="13"/>
  <c r="BZ299" i="13" s="1"/>
  <c r="BE196" i="13"/>
  <c r="BZ298" i="13" s="1"/>
  <c r="BE195" i="13"/>
  <c r="BZ297" i="13" s="1"/>
  <c r="BE194" i="13"/>
  <c r="BE193" i="13"/>
  <c r="BZ295" i="13" s="1"/>
  <c r="BE192" i="13"/>
  <c r="BZ294" i="13" s="1"/>
  <c r="BE191" i="13"/>
  <c r="BZ293" i="13" s="1"/>
  <c r="BE190" i="13"/>
  <c r="BZ292" i="13" s="1"/>
  <c r="BE189" i="13"/>
  <c r="BZ291" i="13" s="1"/>
  <c r="BE188" i="13"/>
  <c r="BZ290" i="13" s="1"/>
  <c r="BE187" i="13"/>
  <c r="BZ289" i="13" s="1"/>
  <c r="BD187" i="13"/>
  <c r="BD188" i="13" s="1"/>
  <c r="BD189" i="13" s="1"/>
  <c r="BD190" i="13" s="1"/>
  <c r="BD191" i="13" s="1"/>
  <c r="BD192" i="13" s="1"/>
  <c r="BD193" i="13" s="1"/>
  <c r="BD194" i="13" s="1"/>
  <c r="BD195" i="13" s="1"/>
  <c r="BD196" i="13" s="1"/>
  <c r="BD197" i="13" s="1"/>
  <c r="BD198" i="13" s="1"/>
  <c r="BD199" i="13" s="1"/>
  <c r="BD200" i="13" s="1"/>
  <c r="BD201" i="13" s="1"/>
  <c r="BD202" i="13" s="1"/>
  <c r="BD203" i="13" s="1"/>
  <c r="BD204" i="13" s="1"/>
  <c r="BD205" i="13" s="1"/>
  <c r="BD206" i="13" s="1"/>
  <c r="BD207" i="13" s="1"/>
  <c r="BD208" i="13" s="1"/>
  <c r="BD209" i="13" s="1"/>
  <c r="BD210" i="13" s="1"/>
  <c r="BD211" i="13" s="1"/>
  <c r="BD212" i="13" s="1"/>
  <c r="BD213" i="13" s="1"/>
  <c r="BD214" i="13" s="1"/>
  <c r="BD215" i="13" s="1"/>
  <c r="BE186" i="13"/>
  <c r="BD177" i="13"/>
  <c r="BD176" i="13"/>
  <c r="BD175" i="13"/>
  <c r="AY166" i="13"/>
  <c r="AU166" i="13"/>
  <c r="AY165" i="13"/>
  <c r="AU165" i="13"/>
  <c r="AY163" i="13"/>
  <c r="AU163" i="13"/>
  <c r="AY162" i="13"/>
  <c r="AU162" i="13"/>
  <c r="AY161" i="13"/>
  <c r="AU161" i="13"/>
  <c r="AY160" i="13"/>
  <c r="AU160" i="13"/>
  <c r="AY155" i="13"/>
  <c r="AT155" i="13"/>
  <c r="AW155" i="13" s="1"/>
  <c r="AY154" i="13"/>
  <c r="AT154" i="13"/>
  <c r="AW154" i="13" s="1"/>
  <c r="AY152" i="13"/>
  <c r="AT152" i="13"/>
  <c r="AW152" i="13" s="1"/>
  <c r="AY151" i="13"/>
  <c r="AT151" i="13"/>
  <c r="AW151" i="13" s="1"/>
  <c r="AY150" i="13"/>
  <c r="AT150" i="13"/>
  <c r="AW150" i="13" s="1"/>
  <c r="AY149" i="13"/>
  <c r="AT149" i="13"/>
  <c r="AW149" i="13" s="1"/>
  <c r="AO140" i="13"/>
  <c r="AO139" i="13"/>
  <c r="AO138" i="13"/>
  <c r="AI133" i="13"/>
  <c r="AJ132" i="13" s="1"/>
  <c r="AJ131" i="13" s="1"/>
  <c r="AH130" i="13"/>
  <c r="AI128" i="13"/>
  <c r="AJ127" i="13" s="1"/>
  <c r="AJ126" i="13" s="1"/>
  <c r="AF117" i="13"/>
  <c r="AL116" i="13"/>
  <c r="AF116" i="13"/>
  <c r="AF115" i="13"/>
  <c r="AA106" i="13"/>
  <c r="AB106" i="13" s="1"/>
  <c r="X106" i="13"/>
  <c r="AA105" i="13"/>
  <c r="AB105" i="13" s="1"/>
  <c r="X105" i="13"/>
  <c r="AA104" i="13"/>
  <c r="AB104" i="13" s="1"/>
  <c r="X104" i="13"/>
  <c r="AA103" i="13"/>
  <c r="AB103" i="13" s="1"/>
  <c r="X103" i="13"/>
  <c r="AB99" i="13"/>
  <c r="W99" i="13"/>
  <c r="Z99" i="13" s="1"/>
  <c r="AB98" i="13"/>
  <c r="W98" i="13"/>
  <c r="Z98" i="13" s="1"/>
  <c r="AB97" i="13"/>
  <c r="W97" i="13"/>
  <c r="L26" i="75" s="1"/>
  <c r="AB96" i="13"/>
  <c r="W96" i="13"/>
  <c r="H26" i="75" s="1"/>
  <c r="Q87" i="13"/>
  <c r="Q86" i="13"/>
  <c r="Q85" i="13"/>
  <c r="M77" i="13"/>
  <c r="M79" i="13" s="1"/>
  <c r="S80" i="75" s="1"/>
  <c r="N61" i="13"/>
  <c r="O61" i="13" s="1"/>
  <c r="F20" i="75" s="1"/>
  <c r="N60" i="13"/>
  <c r="O60" i="13" s="1"/>
  <c r="N59" i="13"/>
  <c r="N70" i="13" s="1"/>
  <c r="O70" i="13" s="1"/>
  <c r="N58" i="13"/>
  <c r="O58" i="13" s="1"/>
  <c r="N57" i="13"/>
  <c r="O57" i="13" s="1"/>
  <c r="N56" i="13"/>
  <c r="O56" i="13" s="1"/>
  <c r="N55" i="13"/>
  <c r="O55" i="13" s="1"/>
  <c r="N54" i="13"/>
  <c r="O54" i="13" s="1"/>
  <c r="N53" i="13"/>
  <c r="O53" i="13" s="1"/>
  <c r="N52" i="13"/>
  <c r="O52" i="13" s="1"/>
  <c r="I52" i="13"/>
  <c r="I53" i="13" s="1"/>
  <c r="I54" i="13" s="1"/>
  <c r="I55" i="13" s="1"/>
  <c r="I56" i="13" s="1"/>
  <c r="I57" i="13" s="1"/>
  <c r="I58" i="13" s="1"/>
  <c r="I59" i="13" s="1"/>
  <c r="I60" i="13" s="1"/>
  <c r="I61" i="13" s="1"/>
  <c r="I62" i="13" s="1"/>
  <c r="I63" i="13" s="1"/>
  <c r="I64" i="13" s="1"/>
  <c r="I65" i="13" s="1"/>
  <c r="I66" i="13" s="1"/>
  <c r="I67" i="13" s="1"/>
  <c r="I68" i="13" s="1"/>
  <c r="I69" i="13" s="1"/>
  <c r="I70" i="13" s="1"/>
  <c r="I71" i="13" s="1"/>
  <c r="I72" i="13" s="1"/>
  <c r="I73" i="13" s="1"/>
  <c r="I74" i="13" s="1"/>
  <c r="I75" i="13" s="1"/>
  <c r="I76" i="13" s="1"/>
  <c r="I77" i="13" s="1"/>
  <c r="I78" i="13" s="1"/>
  <c r="I79" i="13" s="1"/>
  <c r="N51" i="13"/>
  <c r="O51" i="13" s="1"/>
  <c r="O50" i="13"/>
  <c r="I50" i="13"/>
  <c r="M47" i="13"/>
  <c r="I41" i="13"/>
  <c r="I40" i="13"/>
  <c r="I39" i="13"/>
  <c r="G28" i="13"/>
  <c r="G32" i="13" s="1"/>
  <c r="T90" i="75" s="1"/>
  <c r="E28" i="13"/>
  <c r="E32" i="13" s="1"/>
  <c r="F30" i="75" s="1"/>
  <c r="A3" i="13"/>
  <c r="A2" i="13"/>
  <c r="A1" i="13"/>
  <c r="W128" i="12"/>
  <c r="W126" i="12"/>
  <c r="W124" i="12"/>
  <c r="W121" i="12"/>
  <c r="W120" i="12"/>
  <c r="W119" i="12"/>
  <c r="W118" i="12"/>
  <c r="Q102" i="12"/>
  <c r="Q101" i="12"/>
  <c r="Q96" i="12"/>
  <c r="Q95" i="12"/>
  <c r="W79" i="12"/>
  <c r="W77" i="12"/>
  <c r="U77" i="12"/>
  <c r="W75" i="12"/>
  <c r="U75" i="12"/>
  <c r="W72" i="12"/>
  <c r="U72" i="12"/>
  <c r="I26" i="12" s="1"/>
  <c r="W71" i="12"/>
  <c r="U71" i="12"/>
  <c r="I25" i="12" s="1"/>
  <c r="W70" i="12"/>
  <c r="U70" i="12"/>
  <c r="I24" i="12" s="1"/>
  <c r="W69" i="12"/>
  <c r="U69" i="12"/>
  <c r="I23" i="12" s="1"/>
  <c r="Q53" i="12"/>
  <c r="Q52" i="12"/>
  <c r="Q47" i="12"/>
  <c r="Q46" i="12"/>
  <c r="I31" i="12"/>
  <c r="I29" i="12"/>
  <c r="A8" i="12"/>
  <c r="A7" i="12"/>
  <c r="A2" i="12"/>
  <c r="A1" i="12"/>
  <c r="C40" i="110"/>
  <c r="Z103" i="75"/>
  <c r="AA102" i="75"/>
  <c r="T92" i="75"/>
  <c r="S92" i="75" s="1"/>
  <c r="AA82" i="75"/>
  <c r="AA93" i="75" s="1"/>
  <c r="Z82" i="75"/>
  <c r="O73" i="75"/>
  <c r="O74" i="75" s="1"/>
  <c r="O75" i="75" s="1"/>
  <c r="O76" i="75" s="1"/>
  <c r="O77" i="75" s="1"/>
  <c r="O78" i="75" s="1"/>
  <c r="O79" i="75" s="1"/>
  <c r="O80" i="75" s="1"/>
  <c r="O81" i="75" s="1"/>
  <c r="O82" i="75" s="1"/>
  <c r="O83" i="75" s="1"/>
  <c r="O84" i="75" s="1"/>
  <c r="O85" i="75" s="1"/>
  <c r="O86" i="75" s="1"/>
  <c r="O87" i="75" s="1"/>
  <c r="O88" i="75" s="1"/>
  <c r="O89" i="75" s="1"/>
  <c r="O90" i="75" s="1"/>
  <c r="O91" i="75" s="1"/>
  <c r="O92" i="75" s="1"/>
  <c r="O93" i="75" s="1"/>
  <c r="O94" i="75" s="1"/>
  <c r="O95" i="75" s="1"/>
  <c r="O96" i="75" s="1"/>
  <c r="O97" i="75" s="1"/>
  <c r="O98" i="75" s="1"/>
  <c r="O99" i="75" s="1"/>
  <c r="O100" i="75" s="1"/>
  <c r="O101" i="75" s="1"/>
  <c r="O102" i="75" s="1"/>
  <c r="O103" i="75" s="1"/>
  <c r="O104" i="75" s="1"/>
  <c r="O105" i="75" s="1"/>
  <c r="O106" i="75" s="1"/>
  <c r="O107" i="75" s="1"/>
  <c r="O108" i="75" s="1"/>
  <c r="O109" i="75" s="1"/>
  <c r="O66" i="75"/>
  <c r="Z63" i="75"/>
  <c r="O63" i="75"/>
  <c r="O62" i="75"/>
  <c r="O61" i="75"/>
  <c r="L43" i="75"/>
  <c r="M42" i="75"/>
  <c r="M33" i="75"/>
  <c r="J32" i="75"/>
  <c r="E32" i="75" s="1"/>
  <c r="F24" i="75"/>
  <c r="E24" i="75" s="1"/>
  <c r="M22" i="75"/>
  <c r="L22" i="75"/>
  <c r="E20" i="75"/>
  <c r="A6" i="75"/>
  <c r="L3" i="75"/>
  <c r="A3" i="75"/>
  <c r="A2" i="75"/>
  <c r="A1" i="75"/>
  <c r="K89" i="9"/>
  <c r="Q88" i="9"/>
  <c r="K88" i="9"/>
  <c r="K87" i="9"/>
  <c r="K86" i="9"/>
  <c r="K49" i="9"/>
  <c r="Q48" i="9"/>
  <c r="K48" i="9"/>
  <c r="K47" i="9"/>
  <c r="K46" i="9"/>
  <c r="H10" i="9"/>
  <c r="A8" i="9"/>
  <c r="A7" i="9"/>
  <c r="A2" i="9"/>
  <c r="A1" i="9"/>
  <c r="R67" i="149"/>
  <c r="Q67" i="149"/>
  <c r="P67" i="149"/>
  <c r="O67" i="149"/>
  <c r="N67" i="149"/>
  <c r="M67" i="149"/>
  <c r="L67" i="149"/>
  <c r="K67" i="149"/>
  <c r="J67" i="149"/>
  <c r="I67" i="149"/>
  <c r="H67" i="149"/>
  <c r="G67" i="149"/>
  <c r="F65" i="149"/>
  <c r="F64" i="149"/>
  <c r="F63" i="149"/>
  <c r="F62" i="149"/>
  <c r="F61" i="149"/>
  <c r="F60" i="149"/>
  <c r="F59" i="149"/>
  <c r="F58" i="149"/>
  <c r="F57" i="149"/>
  <c r="F56" i="149"/>
  <c r="F55" i="149"/>
  <c r="F54" i="149"/>
  <c r="F53" i="149"/>
  <c r="F52" i="149"/>
  <c r="F51" i="149"/>
  <c r="F50" i="149"/>
  <c r="F49" i="149"/>
  <c r="F48" i="149"/>
  <c r="F47" i="149"/>
  <c r="F46" i="149"/>
  <c r="F45" i="149"/>
  <c r="F44" i="149"/>
  <c r="F43" i="149"/>
  <c r="F42" i="149"/>
  <c r="F41" i="149"/>
  <c r="F40" i="149"/>
  <c r="F39" i="149"/>
  <c r="F38" i="149"/>
  <c r="F37" i="149"/>
  <c r="F36" i="149"/>
  <c r="F35" i="149"/>
  <c r="F34" i="149"/>
  <c r="F33" i="149"/>
  <c r="F32" i="149"/>
  <c r="F31" i="149"/>
  <c r="F30" i="149"/>
  <c r="F29" i="149"/>
  <c r="F28" i="149"/>
  <c r="F27" i="149"/>
  <c r="F26" i="149"/>
  <c r="F25" i="149"/>
  <c r="F24" i="149"/>
  <c r="F23" i="149"/>
  <c r="F22" i="149"/>
  <c r="F21" i="149"/>
  <c r="F20" i="149"/>
  <c r="F19" i="149"/>
  <c r="F18" i="149"/>
  <c r="F17" i="149"/>
  <c r="F16" i="149"/>
  <c r="F15" i="149"/>
  <c r="F14" i="149"/>
  <c r="F13" i="149"/>
  <c r="F12" i="149"/>
  <c r="R11" i="149"/>
  <c r="Q11" i="149"/>
  <c r="P11" i="149"/>
  <c r="O11" i="149"/>
  <c r="N11" i="149"/>
  <c r="M11" i="149"/>
  <c r="L11" i="149"/>
  <c r="K11" i="149"/>
  <c r="J11" i="149"/>
  <c r="I11" i="149"/>
  <c r="H11" i="149"/>
  <c r="G11" i="149"/>
  <c r="A7" i="149"/>
  <c r="A6" i="149"/>
  <c r="A2" i="149"/>
  <c r="A1" i="149"/>
  <c r="H312" i="6"/>
  <c r="E222" i="6"/>
  <c r="C222" i="6"/>
  <c r="B222" i="6"/>
  <c r="A222" i="6"/>
  <c r="D222" i="6" s="1"/>
  <c r="E221" i="6"/>
  <c r="C221" i="6"/>
  <c r="B221" i="6"/>
  <c r="A221" i="6"/>
  <c r="D221" i="6" s="1"/>
  <c r="E220" i="6"/>
  <c r="C220" i="6"/>
  <c r="B220" i="6"/>
  <c r="A220" i="6"/>
  <c r="D220" i="6" s="1"/>
  <c r="E219" i="6"/>
  <c r="C219" i="6"/>
  <c r="B219" i="6"/>
  <c r="A219" i="6"/>
  <c r="D219" i="6" s="1"/>
  <c r="E218" i="6"/>
  <c r="C218" i="6"/>
  <c r="B218" i="6"/>
  <c r="A218" i="6"/>
  <c r="D218" i="6" s="1"/>
  <c r="E217" i="6"/>
  <c r="C217" i="6"/>
  <c r="B217" i="6"/>
  <c r="A217" i="6"/>
  <c r="D217" i="6" s="1"/>
  <c r="E216" i="6"/>
  <c r="C216" i="6"/>
  <c r="B216" i="6"/>
  <c r="A216" i="6"/>
  <c r="D216" i="6" s="1"/>
  <c r="E215" i="6"/>
  <c r="C215" i="6"/>
  <c r="B215" i="6"/>
  <c r="A215" i="6"/>
  <c r="D215" i="6" s="1"/>
  <c r="E214" i="6"/>
  <c r="C214" i="6"/>
  <c r="B214" i="6"/>
  <c r="A214" i="6"/>
  <c r="D214" i="6" s="1"/>
  <c r="E213" i="6"/>
  <c r="C213" i="6"/>
  <c r="B213" i="6"/>
  <c r="A213" i="6"/>
  <c r="D213" i="6" s="1"/>
  <c r="E212" i="6"/>
  <c r="C212" i="6"/>
  <c r="B212" i="6"/>
  <c r="A212" i="6"/>
  <c r="D212" i="6" s="1"/>
  <c r="E211" i="6"/>
  <c r="C211" i="6"/>
  <c r="B211" i="6"/>
  <c r="A211" i="6"/>
  <c r="D211" i="6" s="1"/>
  <c r="E210" i="6"/>
  <c r="C210" i="6"/>
  <c r="B210" i="6"/>
  <c r="A210" i="6"/>
  <c r="D210" i="6" s="1"/>
  <c r="E209" i="6"/>
  <c r="C209" i="6"/>
  <c r="B209" i="6"/>
  <c r="A209" i="6"/>
  <c r="D209" i="6" s="1"/>
  <c r="E208" i="6"/>
  <c r="C208" i="6"/>
  <c r="B208" i="6"/>
  <c r="A208" i="6"/>
  <c r="D208" i="6" s="1"/>
  <c r="E207" i="6"/>
  <c r="C207" i="6"/>
  <c r="B207" i="6"/>
  <c r="A207" i="6"/>
  <c r="D207" i="6" s="1"/>
  <c r="E206" i="6"/>
  <c r="D206" i="6"/>
  <c r="C206" i="6"/>
  <c r="E205" i="6"/>
  <c r="C205" i="6"/>
  <c r="B205" i="6"/>
  <c r="A205" i="6"/>
  <c r="D205" i="6" s="1"/>
  <c r="E204" i="6"/>
  <c r="C204" i="6"/>
  <c r="B204" i="6"/>
  <c r="A204" i="6"/>
  <c r="D204" i="6" s="1"/>
  <c r="E203" i="6"/>
  <c r="C203" i="6"/>
  <c r="B203" i="6"/>
  <c r="A203" i="6"/>
  <c r="D203" i="6" s="1"/>
  <c r="E202" i="6"/>
  <c r="C202" i="6"/>
  <c r="B202" i="6"/>
  <c r="A202" i="6"/>
  <c r="D202" i="6" s="1"/>
  <c r="E201" i="6"/>
  <c r="C201" i="6"/>
  <c r="B201" i="6"/>
  <c r="A201" i="6"/>
  <c r="D201" i="6" s="1"/>
  <c r="E200" i="6"/>
  <c r="C200" i="6"/>
  <c r="B200" i="6"/>
  <c r="A200" i="6"/>
  <c r="D200" i="6" s="1"/>
  <c r="E199" i="6"/>
  <c r="C199" i="6"/>
  <c r="B199" i="6"/>
  <c r="A199" i="6"/>
  <c r="D199" i="6" s="1"/>
  <c r="E198" i="6"/>
  <c r="C198" i="6"/>
  <c r="B198" i="6"/>
  <c r="A198" i="6"/>
  <c r="D198" i="6" s="1"/>
  <c r="E197" i="6"/>
  <c r="C197" i="6"/>
  <c r="B197" i="6"/>
  <c r="A197" i="6"/>
  <c r="D197" i="6" s="1"/>
  <c r="E196" i="6"/>
  <c r="C196" i="6"/>
  <c r="B196" i="6"/>
  <c r="A196" i="6"/>
  <c r="D196" i="6" s="1"/>
  <c r="E195" i="6"/>
  <c r="C195" i="6"/>
  <c r="B195" i="6"/>
  <c r="A195" i="6"/>
  <c r="D195" i="6" s="1"/>
  <c r="E194" i="6"/>
  <c r="C194" i="6"/>
  <c r="B194" i="6"/>
  <c r="A194" i="6"/>
  <c r="D194" i="6" s="1"/>
  <c r="E193" i="6"/>
  <c r="C193" i="6"/>
  <c r="B193" i="6"/>
  <c r="A193" i="6"/>
  <c r="D193" i="6" s="1"/>
  <c r="E192" i="6"/>
  <c r="C192" i="6"/>
  <c r="B192" i="6"/>
  <c r="A192" i="6"/>
  <c r="D192" i="6" s="1"/>
  <c r="E191" i="6"/>
  <c r="C191" i="6"/>
  <c r="B191" i="6"/>
  <c r="A191" i="6"/>
  <c r="D191" i="6" s="1"/>
  <c r="E190" i="6"/>
  <c r="C190" i="6"/>
  <c r="B190" i="6"/>
  <c r="A190" i="6"/>
  <c r="D190" i="6" s="1"/>
  <c r="E189" i="6"/>
  <c r="C189" i="6"/>
  <c r="B189" i="6"/>
  <c r="A189" i="6"/>
  <c r="D189" i="6" s="1"/>
  <c r="E188" i="6"/>
  <c r="C188" i="6"/>
  <c r="B188" i="6"/>
  <c r="A188" i="6"/>
  <c r="D188" i="6" s="1"/>
  <c r="E187" i="6"/>
  <c r="C187" i="6"/>
  <c r="B187" i="6"/>
  <c r="A187" i="6"/>
  <c r="D187" i="6" s="1"/>
  <c r="E186" i="6"/>
  <c r="C186" i="6"/>
  <c r="B186" i="6"/>
  <c r="A186" i="6"/>
  <c r="D186" i="6" s="1"/>
  <c r="E185" i="6"/>
  <c r="C185" i="6"/>
  <c r="B185" i="6"/>
  <c r="A185" i="6"/>
  <c r="D185" i="6" s="1"/>
  <c r="E184" i="6"/>
  <c r="C184" i="6"/>
  <c r="B184" i="6"/>
  <c r="A184" i="6"/>
  <c r="D184" i="6" s="1"/>
  <c r="E183" i="6"/>
  <c r="C183" i="6"/>
  <c r="B183" i="6"/>
  <c r="A183" i="6"/>
  <c r="D183" i="6" s="1"/>
  <c r="E182" i="6"/>
  <c r="C182" i="6"/>
  <c r="B182" i="6"/>
  <c r="A182" i="6"/>
  <c r="D182" i="6" s="1"/>
  <c r="E181" i="6"/>
  <c r="C181" i="6"/>
  <c r="B181" i="6"/>
  <c r="A181" i="6"/>
  <c r="D181" i="6" s="1"/>
  <c r="E180" i="6"/>
  <c r="C180" i="6"/>
  <c r="B180" i="6"/>
  <c r="A180" i="6"/>
  <c r="D180" i="6" s="1"/>
  <c r="E179" i="6"/>
  <c r="C179" i="6"/>
  <c r="B179" i="6"/>
  <c r="A179" i="6"/>
  <c r="D179" i="6" s="1"/>
  <c r="E178" i="6"/>
  <c r="C178" i="6"/>
  <c r="B178" i="6"/>
  <c r="A178" i="6"/>
  <c r="D178" i="6" s="1"/>
  <c r="E177" i="6"/>
  <c r="C177" i="6"/>
  <c r="B177" i="6"/>
  <c r="A177" i="6"/>
  <c r="D177" i="6" s="1"/>
  <c r="E176" i="6"/>
  <c r="C176" i="6"/>
  <c r="B176" i="6"/>
  <c r="A176" i="6"/>
  <c r="D176" i="6" s="1"/>
  <c r="E175" i="6"/>
  <c r="C175" i="6"/>
  <c r="B175" i="6"/>
  <c r="A175" i="6"/>
  <c r="D175" i="6" s="1"/>
  <c r="E174" i="6"/>
  <c r="C174" i="6"/>
  <c r="B174" i="6"/>
  <c r="A174" i="6"/>
  <c r="D174" i="6" s="1"/>
  <c r="E173" i="6"/>
  <c r="C173" i="6"/>
  <c r="B173" i="6"/>
  <c r="A173" i="6"/>
  <c r="D173" i="6" s="1"/>
  <c r="E172" i="6"/>
  <c r="C172" i="6"/>
  <c r="B172" i="6"/>
  <c r="A172" i="6"/>
  <c r="D172" i="6" s="1"/>
  <c r="E171" i="6"/>
  <c r="C171" i="6"/>
  <c r="B171" i="6"/>
  <c r="A171" i="6"/>
  <c r="D171" i="6" s="1"/>
  <c r="E170" i="6"/>
  <c r="C170" i="6"/>
  <c r="B170" i="6"/>
  <c r="A170" i="6"/>
  <c r="D170" i="6" s="1"/>
  <c r="E169" i="6"/>
  <c r="C169" i="6"/>
  <c r="B169" i="6"/>
  <c r="A169" i="6"/>
  <c r="D169" i="6" s="1"/>
  <c r="E168" i="6"/>
  <c r="C168" i="6"/>
  <c r="B168" i="6"/>
  <c r="A168" i="6"/>
  <c r="D168" i="6" s="1"/>
  <c r="E167" i="6"/>
  <c r="C167" i="6"/>
  <c r="B167" i="6"/>
  <c r="A167" i="6"/>
  <c r="D167" i="6" s="1"/>
  <c r="E166" i="6"/>
  <c r="C166" i="6"/>
  <c r="B166" i="6"/>
  <c r="A166" i="6"/>
  <c r="D166" i="6" s="1"/>
  <c r="E165" i="6"/>
  <c r="C165" i="6"/>
  <c r="B165" i="6"/>
  <c r="A165" i="6"/>
  <c r="D165" i="6" s="1"/>
  <c r="E164" i="6"/>
  <c r="D164" i="6"/>
  <c r="C164" i="6"/>
  <c r="E163" i="6"/>
  <c r="C163" i="6"/>
  <c r="B163" i="6"/>
  <c r="A163" i="6"/>
  <c r="D163" i="6" s="1"/>
  <c r="E162" i="6"/>
  <c r="C162" i="6"/>
  <c r="B162" i="6"/>
  <c r="A162" i="6"/>
  <c r="D162" i="6" s="1"/>
  <c r="E161" i="6"/>
  <c r="C161" i="6"/>
  <c r="B161" i="6"/>
  <c r="A161" i="6"/>
  <c r="D161" i="6" s="1"/>
  <c r="E160" i="6"/>
  <c r="C160" i="6"/>
  <c r="B160" i="6"/>
  <c r="A160" i="6"/>
  <c r="D160" i="6" s="1"/>
  <c r="E159" i="6"/>
  <c r="C159" i="6"/>
  <c r="B159" i="6"/>
  <c r="A159" i="6"/>
  <c r="D159" i="6" s="1"/>
  <c r="E158" i="6"/>
  <c r="C158" i="6"/>
  <c r="B158" i="6"/>
  <c r="A158" i="6"/>
  <c r="D158" i="6" s="1"/>
  <c r="E157" i="6"/>
  <c r="C157" i="6"/>
  <c r="B157" i="6"/>
  <c r="A157" i="6"/>
  <c r="D157" i="6" s="1"/>
  <c r="E156" i="6"/>
  <c r="C156" i="6"/>
  <c r="B156" i="6"/>
  <c r="A156" i="6"/>
  <c r="D156" i="6" s="1"/>
  <c r="E155" i="6"/>
  <c r="C155" i="6"/>
  <c r="B155" i="6"/>
  <c r="A155" i="6"/>
  <c r="D155" i="6" s="1"/>
  <c r="E154" i="6"/>
  <c r="C154" i="6"/>
  <c r="B154" i="6"/>
  <c r="A154" i="6"/>
  <c r="D154" i="6" s="1"/>
  <c r="E153" i="6"/>
  <c r="C153" i="6"/>
  <c r="B153" i="6"/>
  <c r="A153" i="6"/>
  <c r="D153" i="6" s="1"/>
  <c r="E152" i="6"/>
  <c r="C152" i="6"/>
  <c r="B152" i="6"/>
  <c r="A152" i="6"/>
  <c r="D152" i="6" s="1"/>
  <c r="E151" i="6"/>
  <c r="C151" i="6"/>
  <c r="B151" i="6"/>
  <c r="A151" i="6"/>
  <c r="D151" i="6" s="1"/>
  <c r="E150" i="6"/>
  <c r="C150" i="6"/>
  <c r="B150" i="6"/>
  <c r="A150" i="6"/>
  <c r="D150" i="6" s="1"/>
  <c r="E149" i="6"/>
  <c r="C149" i="6"/>
  <c r="B149" i="6"/>
  <c r="A149" i="6"/>
  <c r="D149" i="6" s="1"/>
  <c r="E148" i="6"/>
  <c r="C148" i="6"/>
  <c r="B148" i="6"/>
  <c r="A148" i="6"/>
  <c r="D148" i="6" s="1"/>
  <c r="E147" i="6"/>
  <c r="C147" i="6"/>
  <c r="B147" i="6"/>
  <c r="A147" i="6"/>
  <c r="D147" i="6" s="1"/>
  <c r="E146" i="6"/>
  <c r="C146" i="6"/>
  <c r="B146" i="6"/>
  <c r="A146" i="6"/>
  <c r="D146" i="6" s="1"/>
  <c r="E145" i="6"/>
  <c r="C145" i="6"/>
  <c r="B145" i="6"/>
  <c r="A145" i="6"/>
  <c r="D145" i="6" s="1"/>
  <c r="E144" i="6"/>
  <c r="C144" i="6"/>
  <c r="B144" i="6"/>
  <c r="A144" i="6"/>
  <c r="D144" i="6" s="1"/>
  <c r="E143" i="6"/>
  <c r="C143" i="6"/>
  <c r="B143" i="6"/>
  <c r="A143" i="6"/>
  <c r="D143" i="6" s="1"/>
  <c r="E142" i="6"/>
  <c r="C142" i="6"/>
  <c r="B142" i="6"/>
  <c r="A142" i="6"/>
  <c r="D142" i="6" s="1"/>
  <c r="E141" i="6"/>
  <c r="C141" i="6"/>
  <c r="B141" i="6"/>
  <c r="A141" i="6"/>
  <c r="D141" i="6" s="1"/>
  <c r="E140" i="6"/>
  <c r="C140" i="6"/>
  <c r="B140" i="6"/>
  <c r="A140" i="6"/>
  <c r="D140" i="6" s="1"/>
  <c r="E139" i="6"/>
  <c r="C139" i="6"/>
  <c r="B139" i="6"/>
  <c r="A139" i="6"/>
  <c r="D139" i="6" s="1"/>
  <c r="E138" i="6"/>
  <c r="C138" i="6"/>
  <c r="B138" i="6"/>
  <c r="A138" i="6"/>
  <c r="D138" i="6" s="1"/>
  <c r="E137" i="6"/>
  <c r="C137" i="6"/>
  <c r="B137" i="6"/>
  <c r="A137" i="6"/>
  <c r="D137" i="6" s="1"/>
  <c r="E136" i="6"/>
  <c r="C136" i="6"/>
  <c r="B136" i="6"/>
  <c r="A136" i="6"/>
  <c r="D136" i="6" s="1"/>
  <c r="E135" i="6"/>
  <c r="C135" i="6"/>
  <c r="B135" i="6"/>
  <c r="A135" i="6"/>
  <c r="D135" i="6" s="1"/>
  <c r="E134" i="6"/>
  <c r="C134" i="6"/>
  <c r="B134" i="6"/>
  <c r="A134" i="6"/>
  <c r="D134" i="6" s="1"/>
  <c r="E133" i="6"/>
  <c r="C133" i="6"/>
  <c r="B133" i="6"/>
  <c r="A133" i="6"/>
  <c r="D133" i="6" s="1"/>
  <c r="E132" i="6"/>
  <c r="C132" i="6"/>
  <c r="B132" i="6"/>
  <c r="A132" i="6"/>
  <c r="D132" i="6" s="1"/>
  <c r="E131" i="6"/>
  <c r="C131" i="6"/>
  <c r="B131" i="6"/>
  <c r="A131" i="6"/>
  <c r="D131" i="6" s="1"/>
  <c r="E130" i="6"/>
  <c r="C130" i="6"/>
  <c r="B130" i="6"/>
  <c r="A130" i="6"/>
  <c r="D130" i="6" s="1"/>
  <c r="E129" i="6"/>
  <c r="C129" i="6"/>
  <c r="B129" i="6"/>
  <c r="A129" i="6"/>
  <c r="D129" i="6" s="1"/>
  <c r="E128" i="6"/>
  <c r="C128" i="6"/>
  <c r="B128" i="6"/>
  <c r="A128" i="6"/>
  <c r="D128" i="6" s="1"/>
  <c r="E127" i="6"/>
  <c r="C127" i="6"/>
  <c r="B127" i="6"/>
  <c r="A127" i="6"/>
  <c r="D127" i="6" s="1"/>
  <c r="E125" i="6"/>
  <c r="C125" i="6"/>
  <c r="B125" i="6"/>
  <c r="A125" i="6"/>
  <c r="D125" i="6" s="1"/>
  <c r="E124" i="6"/>
  <c r="C124" i="6"/>
  <c r="B124" i="6"/>
  <c r="A124" i="6"/>
  <c r="D124" i="6" s="1"/>
  <c r="E123" i="6"/>
  <c r="C123" i="6"/>
  <c r="B123" i="6"/>
  <c r="A123" i="6"/>
  <c r="D123" i="6" s="1"/>
  <c r="E122" i="6"/>
  <c r="C122" i="6"/>
  <c r="B122" i="6"/>
  <c r="A122" i="6"/>
  <c r="D122" i="6" s="1"/>
  <c r="E121" i="6"/>
  <c r="C121" i="6"/>
  <c r="B121" i="6"/>
  <c r="A121" i="6"/>
  <c r="D121" i="6" s="1"/>
  <c r="E120" i="6"/>
  <c r="C120" i="6"/>
  <c r="B120" i="6"/>
  <c r="A120" i="6"/>
  <c r="D120" i="6" s="1"/>
  <c r="E119" i="6"/>
  <c r="B119" i="6"/>
  <c r="A119" i="6"/>
  <c r="D119" i="6" s="1"/>
  <c r="E118" i="6"/>
  <c r="C118" i="6"/>
  <c r="B118" i="6"/>
  <c r="A118" i="6"/>
  <c r="D118" i="6" s="1"/>
  <c r="E117" i="6"/>
  <c r="C117" i="6"/>
  <c r="B117" i="6"/>
  <c r="A117" i="6"/>
  <c r="D117" i="6" s="1"/>
  <c r="E116" i="6"/>
  <c r="C116" i="6"/>
  <c r="B116" i="6"/>
  <c r="A116" i="6"/>
  <c r="D116" i="6" s="1"/>
  <c r="E115" i="6"/>
  <c r="C115" i="6"/>
  <c r="B115" i="6"/>
  <c r="A115" i="6"/>
  <c r="D115" i="6" s="1"/>
  <c r="E114" i="6"/>
  <c r="C114" i="6"/>
  <c r="B114" i="6"/>
  <c r="A114" i="6"/>
  <c r="D114" i="6" s="1"/>
  <c r="E113" i="6"/>
  <c r="C113" i="6"/>
  <c r="B113" i="6"/>
  <c r="A113" i="6"/>
  <c r="D113" i="6" s="1"/>
  <c r="E112" i="6"/>
  <c r="C112" i="6"/>
  <c r="B112" i="6"/>
  <c r="A112" i="6"/>
  <c r="D112" i="6" s="1"/>
  <c r="E111" i="6"/>
  <c r="C111" i="6"/>
  <c r="B111" i="6"/>
  <c r="A111" i="6"/>
  <c r="D111" i="6" s="1"/>
  <c r="E110" i="6"/>
  <c r="C110" i="6"/>
  <c r="B110" i="6"/>
  <c r="A110" i="6"/>
  <c r="D110" i="6" s="1"/>
  <c r="E109" i="6"/>
  <c r="C109" i="6"/>
  <c r="B109" i="6"/>
  <c r="A109" i="6"/>
  <c r="D109" i="6" s="1"/>
  <c r="E108" i="6"/>
  <c r="C108" i="6"/>
  <c r="B108" i="6"/>
  <c r="A108" i="6"/>
  <c r="D108" i="6" s="1"/>
  <c r="E107" i="6"/>
  <c r="C107" i="6"/>
  <c r="B107" i="6"/>
  <c r="A107" i="6"/>
  <c r="D107" i="6" s="1"/>
  <c r="E106" i="6"/>
  <c r="C106" i="6"/>
  <c r="B106" i="6"/>
  <c r="A106" i="6"/>
  <c r="D106" i="6" s="1"/>
  <c r="E105" i="6"/>
  <c r="C105" i="6"/>
  <c r="B105" i="6"/>
  <c r="A105" i="6"/>
  <c r="D105" i="6" s="1"/>
  <c r="E104" i="6"/>
  <c r="B104" i="6"/>
  <c r="A104" i="6"/>
  <c r="D104" i="6" s="1"/>
  <c r="E103" i="6"/>
  <c r="C103" i="6"/>
  <c r="B103" i="6"/>
  <c r="A103" i="6"/>
  <c r="D103" i="6" s="1"/>
  <c r="E102" i="6"/>
  <c r="C102" i="6"/>
  <c r="B102" i="6"/>
  <c r="A102" i="6"/>
  <c r="D102" i="6" s="1"/>
  <c r="E101" i="6"/>
  <c r="C101" i="6"/>
  <c r="B101" i="6"/>
  <c r="A101" i="6"/>
  <c r="D101" i="6" s="1"/>
  <c r="E100" i="6"/>
  <c r="C100" i="6"/>
  <c r="B100" i="6"/>
  <c r="A100" i="6"/>
  <c r="D100" i="6" s="1"/>
  <c r="E99" i="6"/>
  <c r="C99" i="6"/>
  <c r="B99" i="6"/>
  <c r="A99" i="6"/>
  <c r="D99" i="6" s="1"/>
  <c r="E98" i="6"/>
  <c r="C98" i="6"/>
  <c r="B98" i="6"/>
  <c r="A98" i="6"/>
  <c r="D98" i="6" s="1"/>
  <c r="E96" i="6"/>
  <c r="C96" i="6"/>
  <c r="B96" i="6"/>
  <c r="A96" i="6"/>
  <c r="D96" i="6" s="1"/>
  <c r="E95" i="6"/>
  <c r="C95" i="6"/>
  <c r="B95" i="6"/>
  <c r="A95" i="6"/>
  <c r="D95" i="6" s="1"/>
  <c r="E94" i="6"/>
  <c r="C94" i="6"/>
  <c r="B94" i="6"/>
  <c r="A94" i="6"/>
  <c r="D94" i="6" s="1"/>
  <c r="E93" i="6"/>
  <c r="C93" i="6"/>
  <c r="B93" i="6"/>
  <c r="A93" i="6"/>
  <c r="D93" i="6" s="1"/>
  <c r="E92" i="6"/>
  <c r="C92" i="6"/>
  <c r="B92" i="6"/>
  <c r="A92" i="6"/>
  <c r="D92" i="6" s="1"/>
  <c r="E91" i="6"/>
  <c r="C91" i="6"/>
  <c r="B91" i="6"/>
  <c r="A91" i="6"/>
  <c r="D91" i="6" s="1"/>
  <c r="E90" i="6"/>
  <c r="C90" i="6"/>
  <c r="B90" i="6"/>
  <c r="A90" i="6"/>
  <c r="D90" i="6" s="1"/>
  <c r="E89" i="6"/>
  <c r="C89" i="6"/>
  <c r="B89" i="6"/>
  <c r="A89" i="6"/>
  <c r="D89" i="6" s="1"/>
  <c r="E88" i="6"/>
  <c r="C88" i="6"/>
  <c r="B88" i="6"/>
  <c r="A88" i="6"/>
  <c r="D88" i="6" s="1"/>
  <c r="E87" i="6"/>
  <c r="C87" i="6"/>
  <c r="B87" i="6"/>
  <c r="A87" i="6"/>
  <c r="D87" i="6" s="1"/>
  <c r="E86" i="6"/>
  <c r="C86" i="6"/>
  <c r="B86" i="6"/>
  <c r="A86" i="6"/>
  <c r="D86" i="6" s="1"/>
  <c r="E85" i="6"/>
  <c r="C85" i="6"/>
  <c r="B85" i="6"/>
  <c r="A85" i="6"/>
  <c r="D85" i="6" s="1"/>
  <c r="E84" i="6"/>
  <c r="C84" i="6"/>
  <c r="B84" i="6"/>
  <c r="A84" i="6"/>
  <c r="D84" i="6" s="1"/>
  <c r="E83" i="6"/>
  <c r="C83" i="6"/>
  <c r="B83" i="6"/>
  <c r="A83" i="6"/>
  <c r="D83" i="6" s="1"/>
  <c r="E82" i="6"/>
  <c r="C82" i="6"/>
  <c r="B82" i="6"/>
  <c r="A82" i="6"/>
  <c r="D82" i="6" s="1"/>
  <c r="E81" i="6"/>
  <c r="C81" i="6"/>
  <c r="B81" i="6"/>
  <c r="A81" i="6"/>
  <c r="D81" i="6" s="1"/>
  <c r="E80" i="6"/>
  <c r="C80" i="6"/>
  <c r="B80" i="6"/>
  <c r="A80" i="6"/>
  <c r="D80" i="6" s="1"/>
  <c r="E79" i="6"/>
  <c r="C79" i="6"/>
  <c r="B79" i="6"/>
  <c r="A79" i="6"/>
  <c r="D79" i="6" s="1"/>
  <c r="E78" i="6"/>
  <c r="C78" i="6"/>
  <c r="B78" i="6"/>
  <c r="A78" i="6"/>
  <c r="D78" i="6" s="1"/>
  <c r="E77" i="6"/>
  <c r="C77" i="6"/>
  <c r="B77" i="6"/>
  <c r="A77" i="6"/>
  <c r="D77" i="6" s="1"/>
  <c r="E76" i="6"/>
  <c r="C76" i="6"/>
  <c r="B76" i="6"/>
  <c r="A76" i="6"/>
  <c r="D76" i="6" s="1"/>
  <c r="E75" i="6"/>
  <c r="C75" i="6"/>
  <c r="B75" i="6"/>
  <c r="A75" i="6"/>
  <c r="D75" i="6" s="1"/>
  <c r="E74" i="6"/>
  <c r="C74" i="6"/>
  <c r="B74" i="6"/>
  <c r="A74" i="6"/>
  <c r="D74" i="6" s="1"/>
  <c r="E73" i="6"/>
  <c r="C73" i="6"/>
  <c r="B73" i="6"/>
  <c r="A73" i="6"/>
  <c r="D73" i="6" s="1"/>
  <c r="E72" i="6"/>
  <c r="C72" i="6"/>
  <c r="B72" i="6"/>
  <c r="A72" i="6"/>
  <c r="D72" i="6" s="1"/>
  <c r="E71" i="6"/>
  <c r="C71" i="6"/>
  <c r="B71" i="6"/>
  <c r="A71" i="6"/>
  <c r="D71" i="6" s="1"/>
  <c r="E70" i="6"/>
  <c r="C70" i="6"/>
  <c r="B70" i="6"/>
  <c r="A70" i="6"/>
  <c r="D70" i="6" s="1"/>
  <c r="E69" i="6"/>
  <c r="C69" i="6"/>
  <c r="B69" i="6"/>
  <c r="A69" i="6"/>
  <c r="D69" i="6" s="1"/>
  <c r="E68" i="6"/>
  <c r="C68" i="6"/>
  <c r="B68" i="6"/>
  <c r="A68" i="6"/>
  <c r="D68" i="6" s="1"/>
  <c r="E67" i="6"/>
  <c r="C67" i="6"/>
  <c r="B67" i="6"/>
  <c r="A67" i="6"/>
  <c r="D67" i="6" s="1"/>
  <c r="E66" i="6"/>
  <c r="C66" i="6"/>
  <c r="B66" i="6"/>
  <c r="A66" i="6"/>
  <c r="D66" i="6" s="1"/>
  <c r="E65" i="6"/>
  <c r="C65" i="6"/>
  <c r="B65" i="6"/>
  <c r="A65" i="6"/>
  <c r="D65" i="6" s="1"/>
  <c r="E64" i="6"/>
  <c r="C64" i="6"/>
  <c r="B64" i="6"/>
  <c r="A64" i="6"/>
  <c r="D64" i="6" s="1"/>
  <c r="E63" i="6"/>
  <c r="C63" i="6"/>
  <c r="B63" i="6"/>
  <c r="A63" i="6"/>
  <c r="D63" i="6" s="1"/>
  <c r="E62" i="6"/>
  <c r="C62" i="6"/>
  <c r="B62" i="6"/>
  <c r="A62" i="6"/>
  <c r="D62" i="6" s="1"/>
  <c r="E61" i="6"/>
  <c r="C61" i="6"/>
  <c r="B61" i="6"/>
  <c r="A61" i="6"/>
  <c r="D61" i="6" s="1"/>
  <c r="E60" i="6"/>
  <c r="C60" i="6"/>
  <c r="B60" i="6"/>
  <c r="A60" i="6"/>
  <c r="D60" i="6" s="1"/>
  <c r="E59" i="6"/>
  <c r="C59" i="6"/>
  <c r="B59" i="6"/>
  <c r="A59" i="6"/>
  <c r="D59" i="6" s="1"/>
  <c r="E58" i="6"/>
  <c r="C58" i="6"/>
  <c r="B58" i="6"/>
  <c r="A58" i="6"/>
  <c r="D58" i="6" s="1"/>
  <c r="E57" i="6"/>
  <c r="C57" i="6"/>
  <c r="B57" i="6"/>
  <c r="A57" i="6"/>
  <c r="D57" i="6" s="1"/>
  <c r="E56" i="6"/>
  <c r="C56" i="6"/>
  <c r="B56" i="6"/>
  <c r="A56" i="6"/>
  <c r="D56" i="6" s="1"/>
  <c r="E55" i="6"/>
  <c r="C55" i="6"/>
  <c r="B55" i="6"/>
  <c r="A55" i="6"/>
  <c r="D55" i="6" s="1"/>
  <c r="E54" i="6"/>
  <c r="C54" i="6"/>
  <c r="B54" i="6"/>
  <c r="A54" i="6"/>
  <c r="D54" i="6" s="1"/>
  <c r="E53" i="6"/>
  <c r="C53" i="6"/>
  <c r="B53" i="6"/>
  <c r="A53" i="6"/>
  <c r="D53" i="6" s="1"/>
  <c r="E52" i="6"/>
  <c r="C52" i="6"/>
  <c r="B52" i="6"/>
  <c r="A52" i="6"/>
  <c r="D52" i="6" s="1"/>
  <c r="E51" i="6"/>
  <c r="C51" i="6"/>
  <c r="B51" i="6"/>
  <c r="A51" i="6"/>
  <c r="D51" i="6" s="1"/>
  <c r="E48" i="6"/>
  <c r="C48" i="6"/>
  <c r="B48" i="6"/>
  <c r="A48" i="6"/>
  <c r="D48" i="6" s="1"/>
  <c r="E47" i="6"/>
  <c r="C47" i="6"/>
  <c r="B47" i="6"/>
  <c r="A47" i="6"/>
  <c r="D47" i="6" s="1"/>
  <c r="E46" i="6"/>
  <c r="C46" i="6"/>
  <c r="B46" i="6"/>
  <c r="A46" i="6"/>
  <c r="D46" i="6" s="1"/>
  <c r="E45" i="6"/>
  <c r="C45" i="6"/>
  <c r="B45" i="6"/>
  <c r="A45" i="6"/>
  <c r="D45" i="6" s="1"/>
  <c r="E44" i="6"/>
  <c r="C44" i="6"/>
  <c r="B44" i="6"/>
  <c r="A44" i="6"/>
  <c r="D44" i="6" s="1"/>
  <c r="E43" i="6"/>
  <c r="C43" i="6"/>
  <c r="B43" i="6"/>
  <c r="A43" i="6"/>
  <c r="D43" i="6" s="1"/>
  <c r="E42" i="6"/>
  <c r="C42" i="6"/>
  <c r="B42" i="6"/>
  <c r="A42" i="6"/>
  <c r="D42" i="6" s="1"/>
  <c r="E41" i="6"/>
  <c r="C41" i="6"/>
  <c r="B41" i="6"/>
  <c r="A41" i="6"/>
  <c r="D41" i="6" s="1"/>
  <c r="E40" i="6"/>
  <c r="C40" i="6"/>
  <c r="B40" i="6"/>
  <c r="A40" i="6"/>
  <c r="D40" i="6" s="1"/>
  <c r="C39" i="6"/>
  <c r="B39" i="6"/>
  <c r="A39" i="6"/>
  <c r="D39" i="6" s="1"/>
  <c r="C38" i="6"/>
  <c r="B38" i="6"/>
  <c r="A38" i="6"/>
  <c r="D38" i="6" s="1"/>
  <c r="E37" i="6"/>
  <c r="C37" i="6"/>
  <c r="B37" i="6"/>
  <c r="A37" i="6"/>
  <c r="D37" i="6" s="1"/>
  <c r="E36" i="6"/>
  <c r="C36" i="6"/>
  <c r="B36" i="6"/>
  <c r="A36" i="6"/>
  <c r="D36" i="6" s="1"/>
  <c r="E35" i="6"/>
  <c r="C35" i="6"/>
  <c r="B35" i="6"/>
  <c r="A35" i="6"/>
  <c r="D35" i="6" s="1"/>
  <c r="E34" i="6"/>
  <c r="C34" i="6"/>
  <c r="B34" i="6"/>
  <c r="A34" i="6"/>
  <c r="D34" i="6" s="1"/>
  <c r="C33" i="6"/>
  <c r="B33" i="6"/>
  <c r="A33" i="6"/>
  <c r="D33" i="6" s="1"/>
  <c r="E32" i="6"/>
  <c r="C32" i="6"/>
  <c r="B32" i="6"/>
  <c r="A32" i="6"/>
  <c r="D32" i="6" s="1"/>
  <c r="C31" i="6"/>
  <c r="B31" i="6"/>
  <c r="A31" i="6"/>
  <c r="D31" i="6" s="1"/>
  <c r="E30" i="6"/>
  <c r="C30" i="6"/>
  <c r="B30" i="6"/>
  <c r="A30" i="6"/>
  <c r="D30" i="6" s="1"/>
  <c r="E29" i="6"/>
  <c r="C29" i="6"/>
  <c r="B29" i="6"/>
  <c r="A29" i="6"/>
  <c r="D29" i="6" s="1"/>
  <c r="E28" i="6"/>
  <c r="C28" i="6"/>
  <c r="B28" i="6"/>
  <c r="A28" i="6"/>
  <c r="D28" i="6" s="1"/>
  <c r="E27" i="6"/>
  <c r="C27" i="6"/>
  <c r="B27" i="6"/>
  <c r="A27" i="6"/>
  <c r="D27" i="6" s="1"/>
  <c r="E26" i="6"/>
  <c r="D26" i="6"/>
  <c r="C26" i="6"/>
  <c r="E25" i="6"/>
  <c r="C25" i="6"/>
  <c r="B25" i="6"/>
  <c r="A25" i="6"/>
  <c r="D25" i="6" s="1"/>
  <c r="E24" i="6"/>
  <c r="C24" i="6"/>
  <c r="B24" i="6"/>
  <c r="A24" i="6"/>
  <c r="D24" i="6" s="1"/>
  <c r="E23" i="6"/>
  <c r="C23" i="6"/>
  <c r="B23" i="6"/>
  <c r="A23" i="6"/>
  <c r="D23" i="6" s="1"/>
  <c r="E22" i="6"/>
  <c r="C22" i="6"/>
  <c r="B22" i="6"/>
  <c r="A22" i="6"/>
  <c r="D22" i="6" s="1"/>
  <c r="E21" i="6"/>
  <c r="C21" i="6"/>
  <c r="B21" i="6"/>
  <c r="A21" i="6"/>
  <c r="D21" i="6" s="1"/>
  <c r="E20" i="6"/>
  <c r="C20" i="6"/>
  <c r="B20" i="6"/>
  <c r="A20" i="6"/>
  <c r="D20" i="6" s="1"/>
  <c r="E19" i="6"/>
  <c r="C19" i="6"/>
  <c r="B19" i="6"/>
  <c r="A19" i="6"/>
  <c r="D19" i="6" s="1"/>
  <c r="E18" i="6"/>
  <c r="C18" i="6"/>
  <c r="B18" i="6"/>
  <c r="A18" i="6"/>
  <c r="D18" i="6" s="1"/>
  <c r="E17" i="6"/>
  <c r="C17" i="6"/>
  <c r="B17" i="6"/>
  <c r="A17" i="6"/>
  <c r="D17" i="6" s="1"/>
  <c r="E16" i="6"/>
  <c r="C16" i="6"/>
  <c r="B16" i="6"/>
  <c r="A16" i="6"/>
  <c r="D16" i="6" s="1"/>
  <c r="E15" i="6"/>
  <c r="C15" i="6"/>
  <c r="B15" i="6"/>
  <c r="A15" i="6"/>
  <c r="D15" i="6" s="1"/>
  <c r="E14" i="6"/>
  <c r="C14" i="6"/>
  <c r="B14" i="6"/>
  <c r="A14" i="6"/>
  <c r="D14" i="6" s="1"/>
  <c r="E13" i="6"/>
  <c r="B13" i="6"/>
  <c r="A13" i="6"/>
  <c r="D13" i="6" s="1"/>
  <c r="E12" i="6"/>
  <c r="C12" i="6"/>
  <c r="B12" i="6"/>
  <c r="A12" i="6"/>
  <c r="D12" i="6" s="1"/>
  <c r="E11" i="6"/>
  <c r="C11" i="6"/>
  <c r="B11" i="6"/>
  <c r="A11" i="6"/>
  <c r="Q10" i="6"/>
  <c r="P10" i="6"/>
  <c r="O10" i="6"/>
  <c r="N10" i="6"/>
  <c r="M10" i="6"/>
  <c r="L10" i="6"/>
  <c r="K10" i="6"/>
  <c r="J10" i="6"/>
  <c r="I10" i="6"/>
  <c r="H10" i="6"/>
  <c r="G10" i="6"/>
  <c r="F10" i="6"/>
  <c r="A7" i="6"/>
  <c r="A6" i="6"/>
  <c r="A2" i="6"/>
  <c r="A1" i="6"/>
  <c r="J65" i="157"/>
  <c r="I65" i="157"/>
  <c r="H65" i="157"/>
  <c r="G65" i="157"/>
  <c r="F65" i="157"/>
  <c r="E65" i="157"/>
  <c r="R70" i="148"/>
  <c r="Q70" i="148"/>
  <c r="P70" i="148"/>
  <c r="O70" i="148"/>
  <c r="N70" i="148"/>
  <c r="M70" i="148"/>
  <c r="L68" i="148" a="1"/>
  <c r="L68" i="148" s="1"/>
  <c r="K68" i="148" a="1"/>
  <c r="K68" i="148" s="1"/>
  <c r="J68" i="148" a="1"/>
  <c r="J68" i="148" s="1"/>
  <c r="I68" i="148" a="1"/>
  <c r="I68" i="148" s="1"/>
  <c r="H68" i="148" a="1"/>
  <c r="H68" i="148" s="1"/>
  <c r="G68" i="148" a="1"/>
  <c r="G68" i="148" s="1"/>
  <c r="L67" i="148" a="1"/>
  <c r="L67" i="148" s="1"/>
  <c r="K67" i="148" a="1"/>
  <c r="K67" i="148" s="1"/>
  <c r="J67" i="148" a="1"/>
  <c r="J67" i="148" s="1"/>
  <c r="I67" i="148" a="1"/>
  <c r="I67" i="148" s="1"/>
  <c r="H67" i="148" a="1"/>
  <c r="H67" i="148" s="1"/>
  <c r="G67" i="148" a="1"/>
  <c r="G67" i="148" s="1"/>
  <c r="L66" i="148" a="1"/>
  <c r="L66" i="148" s="1"/>
  <c r="K66" i="148" a="1"/>
  <c r="K66" i="148" s="1"/>
  <c r="J66" i="148" a="1"/>
  <c r="J66" i="148" s="1"/>
  <c r="I66" i="148" a="1"/>
  <c r="I66" i="148" s="1"/>
  <c r="H66" i="148" a="1"/>
  <c r="H66" i="148" s="1"/>
  <c r="G66" i="148" a="1"/>
  <c r="G66" i="148" s="1"/>
  <c r="L65" i="148" a="1"/>
  <c r="L65" i="148" s="1"/>
  <c r="K65" i="148" a="1"/>
  <c r="K65" i="148" s="1"/>
  <c r="J65" i="148" a="1"/>
  <c r="J65" i="148" s="1"/>
  <c r="I65" i="148" a="1"/>
  <c r="I65" i="148" s="1"/>
  <c r="H65" i="148" a="1"/>
  <c r="H65" i="148" s="1"/>
  <c r="G65" i="148" a="1"/>
  <c r="G65" i="148" s="1"/>
  <c r="L64" i="148" a="1"/>
  <c r="L64" i="148" s="1"/>
  <c r="K64" i="148" a="1"/>
  <c r="K64" i="148" s="1"/>
  <c r="J64" i="148" a="1"/>
  <c r="J64" i="148" s="1"/>
  <c r="I64" i="148" a="1"/>
  <c r="I64" i="148" s="1"/>
  <c r="H64" i="148" a="1"/>
  <c r="H64" i="148" s="1"/>
  <c r="G64" i="148" a="1"/>
  <c r="G64" i="148" s="1"/>
  <c r="L63" i="148" a="1"/>
  <c r="L63" i="148" s="1"/>
  <c r="K63" i="148" a="1"/>
  <c r="K63" i="148" s="1"/>
  <c r="J63" i="148" a="1"/>
  <c r="J63" i="148" s="1"/>
  <c r="I63" i="148" a="1"/>
  <c r="I63" i="148" s="1"/>
  <c r="H63" i="148" a="1"/>
  <c r="H63" i="148" s="1"/>
  <c r="G63" i="148" a="1"/>
  <c r="G63" i="148" s="1"/>
  <c r="L62" i="148" a="1"/>
  <c r="L62" i="148" s="1"/>
  <c r="K62" i="148" a="1"/>
  <c r="K62" i="148" s="1"/>
  <c r="J62" i="148" a="1"/>
  <c r="J62" i="148" s="1"/>
  <c r="I62" i="148" a="1"/>
  <c r="I62" i="148" s="1"/>
  <c r="H62" i="148" a="1"/>
  <c r="H62" i="148" s="1"/>
  <c r="G62" i="148" a="1"/>
  <c r="G62" i="148" s="1"/>
  <c r="L61" i="148" a="1"/>
  <c r="L61" i="148" s="1"/>
  <c r="K61" i="148" a="1"/>
  <c r="K61" i="148" s="1"/>
  <c r="J61" i="148" a="1"/>
  <c r="J61" i="148" s="1"/>
  <c r="I61" i="148" a="1"/>
  <c r="I61" i="148" s="1"/>
  <c r="H61" i="148" a="1"/>
  <c r="H61" i="148" s="1"/>
  <c r="G61" i="148" a="1"/>
  <c r="G61" i="148" s="1"/>
  <c r="L60" i="148" a="1"/>
  <c r="L60" i="148" s="1"/>
  <c r="K60" i="148" a="1"/>
  <c r="K60" i="148" s="1"/>
  <c r="J60" i="148" a="1"/>
  <c r="J60" i="148" s="1"/>
  <c r="I60" i="148" a="1"/>
  <c r="I60" i="148" s="1"/>
  <c r="H60" i="148" a="1"/>
  <c r="H60" i="148" s="1"/>
  <c r="G60" i="148" a="1"/>
  <c r="G60" i="148" s="1"/>
  <c r="L59" i="148" a="1"/>
  <c r="L59" i="148" s="1"/>
  <c r="K59" i="148" a="1"/>
  <c r="K59" i="148" s="1"/>
  <c r="J59" i="148" a="1"/>
  <c r="J59" i="148" s="1"/>
  <c r="I59" i="148" a="1"/>
  <c r="I59" i="148" s="1"/>
  <c r="H59" i="148" a="1"/>
  <c r="H59" i="148" s="1"/>
  <c r="G59" i="148" a="1"/>
  <c r="G59" i="148" s="1"/>
  <c r="F58" i="148"/>
  <c r="F57" i="148"/>
  <c r="L56" i="148" a="1"/>
  <c r="L56" i="148" s="1"/>
  <c r="K56" i="148" a="1"/>
  <c r="K56" i="148" s="1"/>
  <c r="J56" i="148" a="1"/>
  <c r="J56" i="148" s="1"/>
  <c r="I56" i="148" a="1"/>
  <c r="I56" i="148" s="1"/>
  <c r="H56" i="148" a="1"/>
  <c r="H56" i="148" s="1"/>
  <c r="G56" i="148" a="1"/>
  <c r="G56" i="148" s="1"/>
  <c r="L55" i="148" a="1"/>
  <c r="L55" i="148" s="1"/>
  <c r="K55" i="148" a="1"/>
  <c r="K55" i="148" s="1"/>
  <c r="J55" i="148" a="1"/>
  <c r="J55" i="148" s="1"/>
  <c r="I55" i="148" a="1"/>
  <c r="I55" i="148" s="1"/>
  <c r="H55" i="148" a="1"/>
  <c r="H55" i="148" s="1"/>
  <c r="G55" i="148" a="1"/>
  <c r="G55" i="148" s="1"/>
  <c r="L54" i="148" a="1"/>
  <c r="L54" i="148" s="1"/>
  <c r="K54" i="148" a="1"/>
  <c r="K54" i="148" s="1"/>
  <c r="J54" i="148" a="1"/>
  <c r="J54" i="148" s="1"/>
  <c r="I54" i="148" a="1"/>
  <c r="I54" i="148" s="1"/>
  <c r="H54" i="148" a="1"/>
  <c r="H54" i="148" s="1"/>
  <c r="G54" i="148" a="1"/>
  <c r="G54" i="148" s="1"/>
  <c r="L53" i="148" a="1"/>
  <c r="L53" i="148" s="1"/>
  <c r="K53" i="148" a="1"/>
  <c r="K53" i="148" s="1"/>
  <c r="J53" i="148" a="1"/>
  <c r="J53" i="148" s="1"/>
  <c r="I53" i="148" a="1"/>
  <c r="I53" i="148" s="1"/>
  <c r="H53" i="148" a="1"/>
  <c r="H53" i="148" s="1"/>
  <c r="G53" i="148" a="1"/>
  <c r="G53" i="148" s="1"/>
  <c r="L52" i="148" a="1"/>
  <c r="L52" i="148" s="1"/>
  <c r="K52" i="148" a="1"/>
  <c r="K52" i="148" s="1"/>
  <c r="J52" i="148" a="1"/>
  <c r="J52" i="148" s="1"/>
  <c r="I52" i="148" a="1"/>
  <c r="I52" i="148" s="1"/>
  <c r="H52" i="148" a="1"/>
  <c r="H52" i="148" s="1"/>
  <c r="G52" i="148" a="1"/>
  <c r="G52" i="148" s="1"/>
  <c r="L51" i="148" a="1"/>
  <c r="L51" i="148" s="1"/>
  <c r="K51" i="148" a="1"/>
  <c r="K51" i="148" s="1"/>
  <c r="J51" i="148" a="1"/>
  <c r="J51" i="148" s="1"/>
  <c r="I51" i="148" a="1"/>
  <c r="I51" i="148" s="1"/>
  <c r="H51" i="148" a="1"/>
  <c r="H51" i="148" s="1"/>
  <c r="G51" i="148" a="1"/>
  <c r="G51" i="148" s="1"/>
  <c r="L50" i="148" a="1"/>
  <c r="L50" i="148" s="1"/>
  <c r="K50" i="148" a="1"/>
  <c r="K50" i="148" s="1"/>
  <c r="J50" i="148" a="1"/>
  <c r="J50" i="148" s="1"/>
  <c r="I50" i="148" a="1"/>
  <c r="I50" i="148" s="1"/>
  <c r="H50" i="148" a="1"/>
  <c r="H50" i="148" s="1"/>
  <c r="G50" i="148" a="1"/>
  <c r="G50" i="148" s="1"/>
  <c r="L49" i="148" a="1"/>
  <c r="L49" i="148" s="1"/>
  <c r="K49" i="148" a="1"/>
  <c r="K49" i="148" s="1"/>
  <c r="J49" i="148" a="1"/>
  <c r="J49" i="148" s="1"/>
  <c r="I49" i="148" a="1"/>
  <c r="I49" i="148" s="1"/>
  <c r="H49" i="148" a="1"/>
  <c r="H49" i="148" s="1"/>
  <c r="G49" i="148" a="1"/>
  <c r="G49" i="148" s="1"/>
  <c r="L48" i="148" a="1"/>
  <c r="L48" i="148" s="1"/>
  <c r="K48" i="148" a="1"/>
  <c r="K48" i="148" s="1"/>
  <c r="J48" i="148" a="1"/>
  <c r="J48" i="148" s="1"/>
  <c r="I48" i="148" a="1"/>
  <c r="I48" i="148" s="1"/>
  <c r="H48" i="148" a="1"/>
  <c r="H48" i="148" s="1"/>
  <c r="G48" i="148" a="1"/>
  <c r="G48" i="148" s="1"/>
  <c r="L47" i="148" a="1"/>
  <c r="L47" i="148" s="1"/>
  <c r="K47" i="148" a="1"/>
  <c r="K47" i="148" s="1"/>
  <c r="J47" i="148" a="1"/>
  <c r="J47" i="148" s="1"/>
  <c r="I47" i="148" a="1"/>
  <c r="I47" i="148" s="1"/>
  <c r="H47" i="148" a="1"/>
  <c r="H47" i="148" s="1"/>
  <c r="G47" i="148" a="1"/>
  <c r="G47" i="148" s="1"/>
  <c r="L46" i="148" a="1"/>
  <c r="L46" i="148" s="1"/>
  <c r="K46" i="148" a="1"/>
  <c r="K46" i="148" s="1"/>
  <c r="J46" i="148" a="1"/>
  <c r="J46" i="148" s="1"/>
  <c r="I46" i="148" a="1"/>
  <c r="I46" i="148" s="1"/>
  <c r="H46" i="148" a="1"/>
  <c r="H46" i="148" s="1"/>
  <c r="G46" i="148" a="1"/>
  <c r="G46" i="148" s="1"/>
  <c r="L45" i="148" a="1"/>
  <c r="L45" i="148" s="1"/>
  <c r="K45" i="148" a="1"/>
  <c r="K45" i="148" s="1"/>
  <c r="J45" i="148" a="1"/>
  <c r="J45" i="148" s="1"/>
  <c r="I45" i="148" a="1"/>
  <c r="I45" i="148" s="1"/>
  <c r="H45" i="148" a="1"/>
  <c r="H45" i="148" s="1"/>
  <c r="G45" i="148" a="1"/>
  <c r="G45" i="148" s="1"/>
  <c r="L44" i="148" a="1"/>
  <c r="L44" i="148" s="1"/>
  <c r="K44" i="148" a="1"/>
  <c r="K44" i="148" s="1"/>
  <c r="J44" i="148" a="1"/>
  <c r="J44" i="148" s="1"/>
  <c r="I44" i="148" a="1"/>
  <c r="I44" i="148" s="1"/>
  <c r="H44" i="148" a="1"/>
  <c r="H44" i="148" s="1"/>
  <c r="G44" i="148" a="1"/>
  <c r="G44" i="148" s="1"/>
  <c r="L43" i="148" a="1"/>
  <c r="L43" i="148" s="1"/>
  <c r="K43" i="148" a="1"/>
  <c r="K43" i="148" s="1"/>
  <c r="J43" i="148" a="1"/>
  <c r="J43" i="148" s="1"/>
  <c r="I43" i="148" a="1"/>
  <c r="I43" i="148" s="1"/>
  <c r="H43" i="148" a="1"/>
  <c r="H43" i="148" s="1"/>
  <c r="G43" i="148" a="1"/>
  <c r="G43" i="148" s="1"/>
  <c r="L42" i="148" a="1"/>
  <c r="L42" i="148" s="1"/>
  <c r="K42" i="148" a="1"/>
  <c r="K42" i="148" s="1"/>
  <c r="J42" i="148" a="1"/>
  <c r="J42" i="148" s="1"/>
  <c r="I42" i="148" a="1"/>
  <c r="I42" i="148" s="1"/>
  <c r="H42" i="148" a="1"/>
  <c r="H42" i="148" s="1"/>
  <c r="G42" i="148" a="1"/>
  <c r="G42" i="148" s="1"/>
  <c r="L41" i="148" a="1"/>
  <c r="L41" i="148" s="1"/>
  <c r="K41" i="148" a="1"/>
  <c r="K41" i="148" s="1"/>
  <c r="J41" i="148" a="1"/>
  <c r="J41" i="148" s="1"/>
  <c r="I41" i="148" a="1"/>
  <c r="I41" i="148" s="1"/>
  <c r="H41" i="148" a="1"/>
  <c r="H41" i="148" s="1"/>
  <c r="G41" i="148" a="1"/>
  <c r="G41" i="148" s="1"/>
  <c r="L40" i="148" a="1"/>
  <c r="L40" i="148" s="1"/>
  <c r="K40" i="148" a="1"/>
  <c r="K40" i="148" s="1"/>
  <c r="J40" i="148" a="1"/>
  <c r="J40" i="148" s="1"/>
  <c r="I40" i="148" a="1"/>
  <c r="I40" i="148" s="1"/>
  <c r="H40" i="148" a="1"/>
  <c r="H40" i="148" s="1"/>
  <c r="G40" i="148" a="1"/>
  <c r="G40" i="148" s="1"/>
  <c r="L39" i="148" a="1"/>
  <c r="L39" i="148" s="1"/>
  <c r="K39" i="148" a="1"/>
  <c r="K39" i="148" s="1"/>
  <c r="J39" i="148" a="1"/>
  <c r="J39" i="148" s="1"/>
  <c r="I39" i="148" a="1"/>
  <c r="I39" i="148" s="1"/>
  <c r="H39" i="148" a="1"/>
  <c r="H39" i="148" s="1"/>
  <c r="G39" i="148" a="1"/>
  <c r="G39" i="148" s="1"/>
  <c r="L38" i="148" a="1"/>
  <c r="L38" i="148" s="1"/>
  <c r="K38" i="148" a="1"/>
  <c r="K38" i="148" s="1"/>
  <c r="J38" i="148" a="1"/>
  <c r="J38" i="148" s="1"/>
  <c r="I38" i="148" a="1"/>
  <c r="I38" i="148" s="1"/>
  <c r="H38" i="148" a="1"/>
  <c r="H38" i="148" s="1"/>
  <c r="G38" i="148" a="1"/>
  <c r="G38" i="148" s="1"/>
  <c r="L37" i="148" a="1"/>
  <c r="L37" i="148" s="1"/>
  <c r="K37" i="148" a="1"/>
  <c r="K37" i="148" s="1"/>
  <c r="J37" i="148" a="1"/>
  <c r="J37" i="148" s="1"/>
  <c r="I37" i="148" a="1"/>
  <c r="I37" i="148" s="1"/>
  <c r="H37" i="148" a="1"/>
  <c r="H37" i="148" s="1"/>
  <c r="G37" i="148" a="1"/>
  <c r="G37" i="148" s="1"/>
  <c r="L36" i="148" a="1"/>
  <c r="L36" i="148" s="1"/>
  <c r="K36" i="148" a="1"/>
  <c r="K36" i="148" s="1"/>
  <c r="J36" i="148" a="1"/>
  <c r="J36" i="148" s="1"/>
  <c r="I36" i="148" a="1"/>
  <c r="I36" i="148" s="1"/>
  <c r="H36" i="148" a="1"/>
  <c r="H36" i="148" s="1"/>
  <c r="G36" i="148" a="1"/>
  <c r="G36" i="148" s="1"/>
  <c r="L35" i="148" a="1"/>
  <c r="L35" i="148" s="1"/>
  <c r="K35" i="148" a="1"/>
  <c r="K35" i="148" s="1"/>
  <c r="J35" i="148" a="1"/>
  <c r="J35" i="148" s="1"/>
  <c r="I35" i="148" a="1"/>
  <c r="I35" i="148" s="1"/>
  <c r="H35" i="148" a="1"/>
  <c r="H35" i="148" s="1"/>
  <c r="G35" i="148" a="1"/>
  <c r="G35" i="148" s="1"/>
  <c r="L34" i="148" a="1"/>
  <c r="L34" i="148" s="1"/>
  <c r="K34" i="148" a="1"/>
  <c r="K34" i="148" s="1"/>
  <c r="J34" i="148" a="1"/>
  <c r="J34" i="148" s="1"/>
  <c r="I34" i="148" a="1"/>
  <c r="I34" i="148" s="1"/>
  <c r="H34" i="148" a="1"/>
  <c r="H34" i="148" s="1"/>
  <c r="G34" i="148" a="1"/>
  <c r="G34" i="148" s="1"/>
  <c r="L33" i="148" a="1"/>
  <c r="L33" i="148" s="1"/>
  <c r="K33" i="148" a="1"/>
  <c r="K33" i="148" s="1"/>
  <c r="J33" i="148" a="1"/>
  <c r="J33" i="148" s="1"/>
  <c r="I33" i="148" a="1"/>
  <c r="I33" i="148" s="1"/>
  <c r="H33" i="148" a="1"/>
  <c r="H33" i="148" s="1"/>
  <c r="G33" i="148" a="1"/>
  <c r="G33" i="148" s="1"/>
  <c r="L32" i="148" a="1"/>
  <c r="L32" i="148" s="1"/>
  <c r="K32" i="148" a="1"/>
  <c r="K32" i="148" s="1"/>
  <c r="J32" i="148" a="1"/>
  <c r="J32" i="148" s="1"/>
  <c r="I32" i="148" a="1"/>
  <c r="I32" i="148" s="1"/>
  <c r="H32" i="148" a="1"/>
  <c r="H32" i="148" s="1"/>
  <c r="G32" i="148" a="1"/>
  <c r="G32" i="148" s="1"/>
  <c r="L31" i="148" a="1"/>
  <c r="L31" i="148" s="1"/>
  <c r="K31" i="148" a="1"/>
  <c r="K31" i="148" s="1"/>
  <c r="J31" i="148" a="1"/>
  <c r="J31" i="148" s="1"/>
  <c r="I31" i="148" a="1"/>
  <c r="I31" i="148" s="1"/>
  <c r="H31" i="148" a="1"/>
  <c r="H31" i="148" s="1"/>
  <c r="G31" i="148" a="1"/>
  <c r="G31" i="148" s="1"/>
  <c r="L30" i="148" a="1"/>
  <c r="L30" i="148" s="1"/>
  <c r="K30" i="148" a="1"/>
  <c r="K30" i="148" s="1"/>
  <c r="J30" i="148" a="1"/>
  <c r="J30" i="148" s="1"/>
  <c r="I30" i="148" a="1"/>
  <c r="I30" i="148" s="1"/>
  <c r="H30" i="148" a="1"/>
  <c r="H30" i="148" s="1"/>
  <c r="G30" i="148" a="1"/>
  <c r="G30" i="148" s="1"/>
  <c r="L29" i="148" a="1"/>
  <c r="L29" i="148" s="1"/>
  <c r="K29" i="148" a="1"/>
  <c r="K29" i="148" s="1"/>
  <c r="J29" i="148" a="1"/>
  <c r="J29" i="148" s="1"/>
  <c r="I29" i="148" a="1"/>
  <c r="I29" i="148" s="1"/>
  <c r="H29" i="148" a="1"/>
  <c r="H29" i="148" s="1"/>
  <c r="G29" i="148" a="1"/>
  <c r="G29" i="148" s="1"/>
  <c r="L28" i="148" a="1"/>
  <c r="L28" i="148" s="1"/>
  <c r="K28" i="148" a="1"/>
  <c r="K28" i="148" s="1"/>
  <c r="J28" i="148" a="1"/>
  <c r="J28" i="148" s="1"/>
  <c r="I28" i="148" a="1"/>
  <c r="I28" i="148" s="1"/>
  <c r="H28" i="148" a="1"/>
  <c r="H28" i="148" s="1"/>
  <c r="G28" i="148" a="1"/>
  <c r="G28" i="148" s="1"/>
  <c r="L27" i="148" a="1"/>
  <c r="L27" i="148" s="1"/>
  <c r="K27" i="148" a="1"/>
  <c r="K27" i="148" s="1"/>
  <c r="J27" i="148" a="1"/>
  <c r="J27" i="148" s="1"/>
  <c r="I27" i="148" a="1"/>
  <c r="I27" i="148" s="1"/>
  <c r="H27" i="148" a="1"/>
  <c r="H27" i="148" s="1"/>
  <c r="G27" i="148" a="1"/>
  <c r="G27" i="148" s="1"/>
  <c r="L26" i="148" a="1"/>
  <c r="L26" i="148" s="1"/>
  <c r="K26" i="148" a="1"/>
  <c r="K26" i="148" s="1"/>
  <c r="J26" i="148" a="1"/>
  <c r="J26" i="148" s="1"/>
  <c r="I26" i="148" a="1"/>
  <c r="I26" i="148" s="1"/>
  <c r="H26" i="148" a="1"/>
  <c r="H26" i="148" s="1"/>
  <c r="G26" i="148" a="1"/>
  <c r="G26" i="148" s="1"/>
  <c r="L25" i="148" a="1"/>
  <c r="L25" i="148" s="1"/>
  <c r="K25" i="148" a="1"/>
  <c r="K25" i="148" s="1"/>
  <c r="J25" i="148" a="1"/>
  <c r="J25" i="148" s="1"/>
  <c r="I25" i="148" a="1"/>
  <c r="I25" i="148" s="1"/>
  <c r="H25" i="148" a="1"/>
  <c r="H25" i="148" s="1"/>
  <c r="G25" i="148" a="1"/>
  <c r="G25" i="148" s="1"/>
  <c r="L24" i="148" a="1"/>
  <c r="L24" i="148" s="1"/>
  <c r="K24" i="148" a="1"/>
  <c r="K24" i="148" s="1"/>
  <c r="J24" i="148" a="1"/>
  <c r="J24" i="148" s="1"/>
  <c r="I24" i="148" a="1"/>
  <c r="I24" i="148" s="1"/>
  <c r="H24" i="148" a="1"/>
  <c r="H24" i="148" s="1"/>
  <c r="G24" i="148" a="1"/>
  <c r="G24" i="148" s="1"/>
  <c r="L23" i="148" a="1"/>
  <c r="L23" i="148" s="1"/>
  <c r="K23" i="148" a="1"/>
  <c r="K23" i="148" s="1"/>
  <c r="J23" i="148" a="1"/>
  <c r="J23" i="148" s="1"/>
  <c r="I23" i="148" a="1"/>
  <c r="I23" i="148" s="1"/>
  <c r="H23" i="148" a="1"/>
  <c r="H23" i="148" s="1"/>
  <c r="G23" i="148" a="1"/>
  <c r="G23" i="148" s="1"/>
  <c r="L22" i="148" a="1"/>
  <c r="L22" i="148" s="1"/>
  <c r="K22" i="148" a="1"/>
  <c r="K22" i="148" s="1"/>
  <c r="J22" i="148" a="1"/>
  <c r="J22" i="148" s="1"/>
  <c r="I22" i="148" a="1"/>
  <c r="I22" i="148" s="1"/>
  <c r="H22" i="148" a="1"/>
  <c r="H22" i="148" s="1"/>
  <c r="G22" i="148" a="1"/>
  <c r="G22" i="148" s="1"/>
  <c r="L21" i="148" a="1"/>
  <c r="L21" i="148" s="1"/>
  <c r="K21" i="148" a="1"/>
  <c r="K21" i="148" s="1"/>
  <c r="J21" i="148" a="1"/>
  <c r="J21" i="148" s="1"/>
  <c r="I21" i="148" a="1"/>
  <c r="I21" i="148" s="1"/>
  <c r="H21" i="148" a="1"/>
  <c r="H21" i="148" s="1"/>
  <c r="G21" i="148" a="1"/>
  <c r="G21" i="148" s="1"/>
  <c r="L20" i="148" a="1"/>
  <c r="L20" i="148" s="1"/>
  <c r="K20" i="148" a="1"/>
  <c r="K20" i="148" s="1"/>
  <c r="J20" i="148" a="1"/>
  <c r="J20" i="148" s="1"/>
  <c r="I20" i="148" a="1"/>
  <c r="I20" i="148" s="1"/>
  <c r="H20" i="148" a="1"/>
  <c r="H20" i="148" s="1"/>
  <c r="G20" i="148" a="1"/>
  <c r="G20" i="148" s="1"/>
  <c r="L19" i="148" a="1"/>
  <c r="L19" i="148" s="1"/>
  <c r="K19" i="148" a="1"/>
  <c r="K19" i="148" s="1"/>
  <c r="J19" i="148" a="1"/>
  <c r="J19" i="148" s="1"/>
  <c r="I19" i="148" a="1"/>
  <c r="I19" i="148" s="1"/>
  <c r="H19" i="148" a="1"/>
  <c r="H19" i="148" s="1"/>
  <c r="G19" i="148" a="1"/>
  <c r="G19" i="148" s="1"/>
  <c r="L18" i="148" a="1"/>
  <c r="L18" i="148" s="1"/>
  <c r="K18" i="148" a="1"/>
  <c r="K18" i="148" s="1"/>
  <c r="J18" i="148" a="1"/>
  <c r="J18" i="148" s="1"/>
  <c r="I18" i="148" a="1"/>
  <c r="I18" i="148" s="1"/>
  <c r="H18" i="148" a="1"/>
  <c r="H18" i="148" s="1"/>
  <c r="G18" i="148" a="1"/>
  <c r="G18" i="148" s="1"/>
  <c r="L17" i="148" a="1"/>
  <c r="L17" i="148" s="1"/>
  <c r="K17" i="148" a="1"/>
  <c r="K17" i="148" s="1"/>
  <c r="J17" i="148" a="1"/>
  <c r="J17" i="148" s="1"/>
  <c r="I17" i="148" a="1"/>
  <c r="I17" i="148" s="1"/>
  <c r="H17" i="148" a="1"/>
  <c r="H17" i="148" s="1"/>
  <c r="G17" i="148" a="1"/>
  <c r="G17" i="148" s="1"/>
  <c r="L16" i="148" a="1"/>
  <c r="L16" i="148" s="1"/>
  <c r="K16" i="148" a="1"/>
  <c r="K16" i="148" s="1"/>
  <c r="J16" i="148" a="1"/>
  <c r="J16" i="148" s="1"/>
  <c r="I16" i="148" a="1"/>
  <c r="I16" i="148" s="1"/>
  <c r="H16" i="148" a="1"/>
  <c r="H16" i="148" s="1"/>
  <c r="G16" i="148" a="1"/>
  <c r="G16" i="148" s="1"/>
  <c r="L15" i="148" a="1"/>
  <c r="L15" i="148" s="1"/>
  <c r="K15" i="148" a="1"/>
  <c r="K15" i="148" s="1"/>
  <c r="J15" i="148" a="1"/>
  <c r="J15" i="148" s="1"/>
  <c r="I15" i="148" a="1"/>
  <c r="I15" i="148" s="1"/>
  <c r="H15" i="148" a="1"/>
  <c r="H15" i="148" s="1"/>
  <c r="G15" i="148" a="1"/>
  <c r="G15" i="148" s="1"/>
  <c r="L14" i="148" a="1"/>
  <c r="L14" i="148" s="1"/>
  <c r="K14" i="148" a="1"/>
  <c r="K14" i="148" s="1"/>
  <c r="J14" i="148" a="1"/>
  <c r="J14" i="148" s="1"/>
  <c r="I14" i="148" a="1"/>
  <c r="I14" i="148" s="1"/>
  <c r="H14" i="148" a="1"/>
  <c r="H14" i="148" s="1"/>
  <c r="G14" i="148" a="1"/>
  <c r="G14" i="148" s="1"/>
  <c r="L13" i="148" a="1"/>
  <c r="L13" i="148" s="1"/>
  <c r="K13" i="148" a="1"/>
  <c r="K13" i="148" s="1"/>
  <c r="J13" i="148" a="1"/>
  <c r="J13" i="148" s="1"/>
  <c r="I13" i="148" a="1"/>
  <c r="I13" i="148" s="1"/>
  <c r="H13" i="148" a="1"/>
  <c r="H13" i="148" s="1"/>
  <c r="G13" i="148" a="1"/>
  <c r="G13" i="148" s="1"/>
  <c r="L12" i="148" a="1"/>
  <c r="L12" i="148" s="1"/>
  <c r="K12" i="148" a="1"/>
  <c r="K12" i="148" s="1"/>
  <c r="J12" i="148" a="1"/>
  <c r="J12" i="148" s="1"/>
  <c r="I12" i="148" a="1"/>
  <c r="I12" i="148" s="1"/>
  <c r="H12" i="148" a="1"/>
  <c r="H12" i="148" s="1"/>
  <c r="G12" i="148" a="1"/>
  <c r="G12" i="148" s="1"/>
  <c r="R11" i="148"/>
  <c r="Q11" i="148"/>
  <c r="P11" i="148"/>
  <c r="O11" i="148"/>
  <c r="N11" i="148"/>
  <c r="M11" i="148"/>
  <c r="L11" i="148"/>
  <c r="K11" i="148"/>
  <c r="J11" i="148"/>
  <c r="I11" i="148"/>
  <c r="H11" i="148"/>
  <c r="G11" i="148"/>
  <c r="A7" i="148"/>
  <c r="A6" i="148"/>
  <c r="A2" i="148"/>
  <c r="A1" i="148"/>
  <c r="Q244" i="5"/>
  <c r="P244" i="5"/>
  <c r="O244" i="5"/>
  <c r="N244" i="5"/>
  <c r="M244" i="5"/>
  <c r="L244" i="5"/>
  <c r="K244" i="5"/>
  <c r="J244" i="5"/>
  <c r="I244" i="5"/>
  <c r="H244" i="5"/>
  <c r="G244" i="5"/>
  <c r="F244" i="5"/>
  <c r="Q222" i="5"/>
  <c r="P222" i="5"/>
  <c r="O222" i="5"/>
  <c r="N222" i="5"/>
  <c r="M222" i="5"/>
  <c r="L222" i="5"/>
  <c r="K222" i="5"/>
  <c r="J222" i="5"/>
  <c r="I222" i="5"/>
  <c r="F222" i="5"/>
  <c r="D222" i="5"/>
  <c r="Q221" i="5"/>
  <c r="P221" i="5"/>
  <c r="O221" i="5"/>
  <c r="N221" i="5"/>
  <c r="M221" i="5"/>
  <c r="L221" i="5"/>
  <c r="K221" i="5"/>
  <c r="J221" i="5"/>
  <c r="I221" i="5"/>
  <c r="G221" i="5"/>
  <c r="F221" i="5"/>
  <c r="D221" i="5"/>
  <c r="Q220" i="5"/>
  <c r="P220" i="5"/>
  <c r="O220" i="5"/>
  <c r="N220" i="5"/>
  <c r="M220" i="5"/>
  <c r="L220" i="5"/>
  <c r="K220" i="5"/>
  <c r="J220" i="5"/>
  <c r="I220" i="5"/>
  <c r="H220" i="5"/>
  <c r="F220" i="5"/>
  <c r="D220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D219" i="5"/>
  <c r="Q218" i="5"/>
  <c r="P218" i="5"/>
  <c r="O218" i="5"/>
  <c r="N218" i="5"/>
  <c r="M218" i="5"/>
  <c r="L218" i="5"/>
  <c r="K218" i="5"/>
  <c r="J218" i="5"/>
  <c r="I218" i="5"/>
  <c r="F218" i="5"/>
  <c r="D218" i="5"/>
  <c r="Q217" i="5"/>
  <c r="P217" i="5"/>
  <c r="O217" i="5"/>
  <c r="N217" i="5"/>
  <c r="M217" i="5"/>
  <c r="L217" i="5"/>
  <c r="K217" i="5"/>
  <c r="J217" i="5"/>
  <c r="I217" i="5"/>
  <c r="F217" i="5"/>
  <c r="D217" i="5"/>
  <c r="Q216" i="5"/>
  <c r="P216" i="5"/>
  <c r="O216" i="5"/>
  <c r="N216" i="5"/>
  <c r="M216" i="5"/>
  <c r="L216" i="5"/>
  <c r="K216" i="5"/>
  <c r="J216" i="5"/>
  <c r="I216" i="5"/>
  <c r="F216" i="5"/>
  <c r="D216" i="5"/>
  <c r="Q215" i="5"/>
  <c r="P215" i="5"/>
  <c r="O215" i="5"/>
  <c r="N215" i="5"/>
  <c r="M215" i="5"/>
  <c r="L215" i="5"/>
  <c r="K215" i="5"/>
  <c r="J215" i="5"/>
  <c r="I215" i="5"/>
  <c r="G215" i="5"/>
  <c r="F215" i="5"/>
  <c r="D215" i="5"/>
  <c r="Q214" i="5"/>
  <c r="P214" i="5"/>
  <c r="O214" i="5"/>
  <c r="N214" i="5"/>
  <c r="M214" i="5"/>
  <c r="L214" i="5"/>
  <c r="K214" i="5"/>
  <c r="J214" i="5"/>
  <c r="I214" i="5"/>
  <c r="F214" i="5"/>
  <c r="D214" i="5"/>
  <c r="Q213" i="5"/>
  <c r="P213" i="5"/>
  <c r="O213" i="5"/>
  <c r="N213" i="5"/>
  <c r="M213" i="5"/>
  <c r="L213" i="5"/>
  <c r="K213" i="5"/>
  <c r="J213" i="5"/>
  <c r="I213" i="5"/>
  <c r="F213" i="5"/>
  <c r="D213" i="5"/>
  <c r="Q212" i="5"/>
  <c r="P212" i="5"/>
  <c r="O212" i="5"/>
  <c r="N212" i="5"/>
  <c r="M212" i="5"/>
  <c r="L212" i="5"/>
  <c r="K212" i="5"/>
  <c r="J212" i="5"/>
  <c r="I212" i="5"/>
  <c r="F212" i="5"/>
  <c r="D212" i="5"/>
  <c r="Q211" i="5"/>
  <c r="P211" i="5"/>
  <c r="O211" i="5"/>
  <c r="N211" i="5"/>
  <c r="M211" i="5"/>
  <c r="L211" i="5"/>
  <c r="K211" i="5"/>
  <c r="J211" i="5"/>
  <c r="I211" i="5"/>
  <c r="F211" i="5"/>
  <c r="D211" i="5"/>
  <c r="Q210" i="5"/>
  <c r="P210" i="5"/>
  <c r="O210" i="5"/>
  <c r="N210" i="5"/>
  <c r="M210" i="5"/>
  <c r="L210" i="5"/>
  <c r="K210" i="5"/>
  <c r="J210" i="5"/>
  <c r="I210" i="5"/>
  <c r="F210" i="5"/>
  <c r="D210" i="5"/>
  <c r="Q209" i="5"/>
  <c r="P209" i="5"/>
  <c r="O209" i="5"/>
  <c r="N209" i="5"/>
  <c r="M209" i="5"/>
  <c r="L209" i="5"/>
  <c r="K209" i="5"/>
  <c r="J209" i="5"/>
  <c r="I209" i="5"/>
  <c r="F209" i="5"/>
  <c r="D209" i="5"/>
  <c r="Q208" i="5"/>
  <c r="P208" i="5"/>
  <c r="O208" i="5"/>
  <c r="N208" i="5"/>
  <c r="M208" i="5"/>
  <c r="L208" i="5"/>
  <c r="K208" i="5"/>
  <c r="J208" i="5"/>
  <c r="I208" i="5"/>
  <c r="F208" i="5"/>
  <c r="D208" i="5"/>
  <c r="Q207" i="5"/>
  <c r="P207" i="5"/>
  <c r="O207" i="5"/>
  <c r="N207" i="5"/>
  <c r="M207" i="5"/>
  <c r="L207" i="5"/>
  <c r="K207" i="5"/>
  <c r="J207" i="5"/>
  <c r="I207" i="5"/>
  <c r="F207" i="5"/>
  <c r="D207" i="5"/>
  <c r="Q206" i="5"/>
  <c r="P206" i="5"/>
  <c r="O206" i="5"/>
  <c r="N206" i="5"/>
  <c r="M206" i="5"/>
  <c r="L206" i="5"/>
  <c r="K206" i="5"/>
  <c r="J206" i="5"/>
  <c r="I206" i="5"/>
  <c r="F206" i="5"/>
  <c r="D206" i="5"/>
  <c r="Q205" i="5"/>
  <c r="P205" i="5"/>
  <c r="O205" i="5"/>
  <c r="N205" i="5"/>
  <c r="M205" i="5"/>
  <c r="L205" i="5"/>
  <c r="K205" i="5"/>
  <c r="J205" i="5"/>
  <c r="I205" i="5"/>
  <c r="F205" i="5"/>
  <c r="D205" i="5"/>
  <c r="Q204" i="5"/>
  <c r="P204" i="5"/>
  <c r="O204" i="5"/>
  <c r="N204" i="5"/>
  <c r="M204" i="5"/>
  <c r="L204" i="5"/>
  <c r="K204" i="5"/>
  <c r="J204" i="5"/>
  <c r="I204" i="5"/>
  <c r="F204" i="5"/>
  <c r="D204" i="5"/>
  <c r="Q203" i="5"/>
  <c r="P203" i="5"/>
  <c r="O203" i="5"/>
  <c r="N203" i="5"/>
  <c r="M203" i="5"/>
  <c r="L203" i="5"/>
  <c r="K203" i="5"/>
  <c r="J203" i="5"/>
  <c r="I203" i="5"/>
  <c r="F203" i="5"/>
  <c r="D203" i="5"/>
  <c r="Q202" i="5"/>
  <c r="P202" i="5"/>
  <c r="O202" i="5"/>
  <c r="N202" i="5"/>
  <c r="M202" i="5"/>
  <c r="L202" i="5"/>
  <c r="K202" i="5"/>
  <c r="J202" i="5"/>
  <c r="I202" i="5"/>
  <c r="F202" i="5"/>
  <c r="D202" i="5"/>
  <c r="Q201" i="5"/>
  <c r="P201" i="5"/>
  <c r="O201" i="5"/>
  <c r="N201" i="5"/>
  <c r="M201" i="5"/>
  <c r="L201" i="5"/>
  <c r="K201" i="5"/>
  <c r="J201" i="5"/>
  <c r="I201" i="5"/>
  <c r="F201" i="5"/>
  <c r="D201" i="5"/>
  <c r="Q200" i="5"/>
  <c r="P200" i="5"/>
  <c r="O200" i="5"/>
  <c r="N200" i="5"/>
  <c r="M200" i="5"/>
  <c r="L200" i="5"/>
  <c r="K200" i="5"/>
  <c r="J200" i="5"/>
  <c r="I200" i="5"/>
  <c r="F200" i="5"/>
  <c r="D200" i="5"/>
  <c r="Q199" i="5"/>
  <c r="P199" i="5"/>
  <c r="O199" i="5"/>
  <c r="N199" i="5"/>
  <c r="M199" i="5"/>
  <c r="L199" i="5"/>
  <c r="K199" i="5"/>
  <c r="J199" i="5"/>
  <c r="I199" i="5"/>
  <c r="F199" i="5"/>
  <c r="D199" i="5"/>
  <c r="Q198" i="5"/>
  <c r="P198" i="5"/>
  <c r="O198" i="5"/>
  <c r="N198" i="5"/>
  <c r="M198" i="5"/>
  <c r="L198" i="5"/>
  <c r="K198" i="5"/>
  <c r="J198" i="5"/>
  <c r="I198" i="5"/>
  <c r="F198" i="5"/>
  <c r="D198" i="5"/>
  <c r="Q197" i="5"/>
  <c r="P197" i="5"/>
  <c r="O197" i="5"/>
  <c r="N197" i="5"/>
  <c r="M197" i="5"/>
  <c r="L197" i="5"/>
  <c r="K197" i="5"/>
  <c r="J197" i="5"/>
  <c r="I197" i="5"/>
  <c r="F197" i="5"/>
  <c r="D197" i="5"/>
  <c r="Q196" i="5"/>
  <c r="P196" i="5"/>
  <c r="O196" i="5"/>
  <c r="N196" i="5"/>
  <c r="M196" i="5"/>
  <c r="L196" i="5"/>
  <c r="K196" i="5"/>
  <c r="J196" i="5"/>
  <c r="I196" i="5"/>
  <c r="F196" i="5"/>
  <c r="D196" i="5"/>
  <c r="Q195" i="5"/>
  <c r="P195" i="5"/>
  <c r="O195" i="5"/>
  <c r="N195" i="5"/>
  <c r="M195" i="5"/>
  <c r="L195" i="5"/>
  <c r="K195" i="5"/>
  <c r="J195" i="5"/>
  <c r="I195" i="5"/>
  <c r="F195" i="5"/>
  <c r="D195" i="5"/>
  <c r="Q194" i="5"/>
  <c r="P194" i="5"/>
  <c r="O194" i="5"/>
  <c r="N194" i="5"/>
  <c r="M194" i="5"/>
  <c r="L194" i="5"/>
  <c r="K194" i="5"/>
  <c r="J194" i="5"/>
  <c r="I194" i="5"/>
  <c r="F194" i="5"/>
  <c r="D194" i="5"/>
  <c r="Q193" i="5"/>
  <c r="P193" i="5"/>
  <c r="O193" i="5"/>
  <c r="N193" i="5"/>
  <c r="M193" i="5"/>
  <c r="L193" i="5"/>
  <c r="K193" i="5"/>
  <c r="J193" i="5"/>
  <c r="I193" i="5"/>
  <c r="F193" i="5"/>
  <c r="D193" i="5"/>
  <c r="Q192" i="5"/>
  <c r="P192" i="5"/>
  <c r="O192" i="5"/>
  <c r="N192" i="5"/>
  <c r="M192" i="5"/>
  <c r="L192" i="5"/>
  <c r="K192" i="5"/>
  <c r="J192" i="5"/>
  <c r="I192" i="5"/>
  <c r="F192" i="5"/>
  <c r="D192" i="5"/>
  <c r="Q191" i="5"/>
  <c r="P191" i="5"/>
  <c r="O191" i="5"/>
  <c r="N191" i="5"/>
  <c r="M191" i="5"/>
  <c r="L191" i="5"/>
  <c r="K191" i="5"/>
  <c r="J191" i="5"/>
  <c r="I191" i="5"/>
  <c r="F191" i="5"/>
  <c r="D191" i="5"/>
  <c r="Q190" i="5"/>
  <c r="P190" i="5"/>
  <c r="O190" i="5"/>
  <c r="N190" i="5"/>
  <c r="M190" i="5"/>
  <c r="L190" i="5"/>
  <c r="K190" i="5"/>
  <c r="J190" i="5"/>
  <c r="I190" i="5"/>
  <c r="F190" i="5"/>
  <c r="D190" i="5"/>
  <c r="Q189" i="5"/>
  <c r="P189" i="5"/>
  <c r="O189" i="5"/>
  <c r="N189" i="5"/>
  <c r="M189" i="5"/>
  <c r="L189" i="5"/>
  <c r="K189" i="5"/>
  <c r="J189" i="5"/>
  <c r="I189" i="5"/>
  <c r="F189" i="5"/>
  <c r="D189" i="5"/>
  <c r="Q188" i="5"/>
  <c r="P188" i="5"/>
  <c r="O188" i="5"/>
  <c r="N188" i="5"/>
  <c r="M188" i="5"/>
  <c r="L188" i="5"/>
  <c r="K188" i="5"/>
  <c r="J188" i="5"/>
  <c r="I188" i="5"/>
  <c r="F188" i="5"/>
  <c r="D188" i="5"/>
  <c r="Q187" i="5"/>
  <c r="P187" i="5"/>
  <c r="O187" i="5"/>
  <c r="N187" i="5"/>
  <c r="M187" i="5"/>
  <c r="L187" i="5"/>
  <c r="K187" i="5"/>
  <c r="J187" i="5"/>
  <c r="I187" i="5"/>
  <c r="F187" i="5"/>
  <c r="D187" i="5"/>
  <c r="Q186" i="5"/>
  <c r="P186" i="5"/>
  <c r="O186" i="5"/>
  <c r="N186" i="5"/>
  <c r="M186" i="5"/>
  <c r="L186" i="5"/>
  <c r="K186" i="5"/>
  <c r="J186" i="5"/>
  <c r="I186" i="5"/>
  <c r="F186" i="5"/>
  <c r="D186" i="5"/>
  <c r="Q185" i="5"/>
  <c r="P185" i="5"/>
  <c r="O185" i="5"/>
  <c r="N185" i="5"/>
  <c r="M185" i="5"/>
  <c r="L185" i="5"/>
  <c r="K185" i="5"/>
  <c r="J185" i="5"/>
  <c r="I185" i="5"/>
  <c r="F185" i="5"/>
  <c r="D185" i="5"/>
  <c r="Q184" i="5"/>
  <c r="P184" i="5"/>
  <c r="O184" i="5"/>
  <c r="N184" i="5"/>
  <c r="M184" i="5"/>
  <c r="L184" i="5"/>
  <c r="K184" i="5"/>
  <c r="J184" i="5"/>
  <c r="I184" i="5"/>
  <c r="F184" i="5"/>
  <c r="D184" i="5"/>
  <c r="Q183" i="5"/>
  <c r="P183" i="5"/>
  <c r="O183" i="5"/>
  <c r="N183" i="5"/>
  <c r="M183" i="5"/>
  <c r="L183" i="5"/>
  <c r="K183" i="5"/>
  <c r="J183" i="5"/>
  <c r="I183" i="5"/>
  <c r="F183" i="5"/>
  <c r="D183" i="5"/>
  <c r="Q182" i="5"/>
  <c r="P182" i="5"/>
  <c r="O182" i="5"/>
  <c r="N182" i="5"/>
  <c r="M182" i="5"/>
  <c r="L182" i="5"/>
  <c r="K182" i="5"/>
  <c r="J182" i="5"/>
  <c r="I182" i="5"/>
  <c r="F182" i="5"/>
  <c r="D182" i="5"/>
  <c r="Q181" i="5"/>
  <c r="P181" i="5"/>
  <c r="O181" i="5"/>
  <c r="N181" i="5"/>
  <c r="M181" i="5"/>
  <c r="L181" i="5"/>
  <c r="K181" i="5"/>
  <c r="J181" i="5"/>
  <c r="I181" i="5"/>
  <c r="F181" i="5"/>
  <c r="D181" i="5"/>
  <c r="Q180" i="5"/>
  <c r="P180" i="5"/>
  <c r="O180" i="5"/>
  <c r="N180" i="5"/>
  <c r="M180" i="5"/>
  <c r="L180" i="5"/>
  <c r="K180" i="5"/>
  <c r="J180" i="5"/>
  <c r="I180" i="5"/>
  <c r="F180" i="5"/>
  <c r="D180" i="5"/>
  <c r="Q179" i="5"/>
  <c r="P179" i="5"/>
  <c r="O179" i="5"/>
  <c r="N179" i="5"/>
  <c r="M179" i="5"/>
  <c r="L179" i="5"/>
  <c r="K179" i="5"/>
  <c r="J179" i="5"/>
  <c r="I179" i="5"/>
  <c r="F179" i="5"/>
  <c r="D179" i="5"/>
  <c r="Q178" i="5"/>
  <c r="P178" i="5"/>
  <c r="O178" i="5"/>
  <c r="N178" i="5"/>
  <c r="M178" i="5"/>
  <c r="L178" i="5"/>
  <c r="K178" i="5"/>
  <c r="J178" i="5"/>
  <c r="I178" i="5"/>
  <c r="F178" i="5"/>
  <c r="D178" i="5"/>
  <c r="Q177" i="5"/>
  <c r="P177" i="5"/>
  <c r="O177" i="5"/>
  <c r="N177" i="5"/>
  <c r="M177" i="5"/>
  <c r="L177" i="5"/>
  <c r="K177" i="5"/>
  <c r="J177" i="5"/>
  <c r="I177" i="5"/>
  <c r="F177" i="5"/>
  <c r="D177" i="5"/>
  <c r="Q176" i="5"/>
  <c r="P176" i="5"/>
  <c r="O176" i="5"/>
  <c r="N176" i="5"/>
  <c r="M176" i="5"/>
  <c r="L176" i="5"/>
  <c r="K176" i="5"/>
  <c r="J176" i="5"/>
  <c r="I176" i="5"/>
  <c r="F176" i="5"/>
  <c r="D176" i="5"/>
  <c r="Q175" i="5"/>
  <c r="P175" i="5"/>
  <c r="O175" i="5"/>
  <c r="N175" i="5"/>
  <c r="M175" i="5"/>
  <c r="L175" i="5"/>
  <c r="K175" i="5"/>
  <c r="J175" i="5"/>
  <c r="I175" i="5"/>
  <c r="F175" i="5"/>
  <c r="D175" i="5"/>
  <c r="Q174" i="5"/>
  <c r="P174" i="5"/>
  <c r="O174" i="5"/>
  <c r="N174" i="5"/>
  <c r="M174" i="5"/>
  <c r="L174" i="5"/>
  <c r="K174" i="5"/>
  <c r="J174" i="5"/>
  <c r="I174" i="5"/>
  <c r="F174" i="5"/>
  <c r="D174" i="5"/>
  <c r="Q173" i="5"/>
  <c r="P173" i="5"/>
  <c r="O173" i="5"/>
  <c r="N173" i="5"/>
  <c r="M173" i="5"/>
  <c r="L173" i="5"/>
  <c r="K173" i="5"/>
  <c r="J173" i="5"/>
  <c r="I173" i="5"/>
  <c r="F173" i="5"/>
  <c r="D173" i="5"/>
  <c r="Q172" i="5"/>
  <c r="P172" i="5"/>
  <c r="O172" i="5"/>
  <c r="N172" i="5"/>
  <c r="M172" i="5"/>
  <c r="L172" i="5"/>
  <c r="K172" i="5"/>
  <c r="J172" i="5"/>
  <c r="I172" i="5"/>
  <c r="F172" i="5"/>
  <c r="D172" i="5"/>
  <c r="Q171" i="5"/>
  <c r="P171" i="5"/>
  <c r="O171" i="5"/>
  <c r="N171" i="5"/>
  <c r="M171" i="5"/>
  <c r="L171" i="5"/>
  <c r="K171" i="5"/>
  <c r="J171" i="5"/>
  <c r="I171" i="5"/>
  <c r="F171" i="5"/>
  <c r="D171" i="5"/>
  <c r="Q170" i="5"/>
  <c r="P170" i="5"/>
  <c r="O170" i="5"/>
  <c r="N170" i="5"/>
  <c r="M170" i="5"/>
  <c r="L170" i="5"/>
  <c r="K170" i="5"/>
  <c r="J170" i="5"/>
  <c r="I170" i="5"/>
  <c r="F170" i="5"/>
  <c r="D170" i="5"/>
  <c r="Q169" i="5"/>
  <c r="P169" i="5"/>
  <c r="O169" i="5"/>
  <c r="N169" i="5"/>
  <c r="M169" i="5"/>
  <c r="L169" i="5"/>
  <c r="K169" i="5"/>
  <c r="J169" i="5"/>
  <c r="I169" i="5"/>
  <c r="F169" i="5"/>
  <c r="D169" i="5"/>
  <c r="Q168" i="5"/>
  <c r="P168" i="5"/>
  <c r="O168" i="5"/>
  <c r="N168" i="5"/>
  <c r="M168" i="5"/>
  <c r="L168" i="5"/>
  <c r="K168" i="5"/>
  <c r="J168" i="5"/>
  <c r="I168" i="5"/>
  <c r="F168" i="5"/>
  <c r="D168" i="5"/>
  <c r="Q167" i="5"/>
  <c r="P167" i="5"/>
  <c r="O167" i="5"/>
  <c r="N167" i="5"/>
  <c r="M167" i="5"/>
  <c r="L167" i="5"/>
  <c r="K167" i="5"/>
  <c r="J167" i="5"/>
  <c r="I167" i="5"/>
  <c r="F167" i="5"/>
  <c r="D167" i="5"/>
  <c r="Q166" i="5"/>
  <c r="P166" i="5"/>
  <c r="O166" i="5"/>
  <c r="N166" i="5"/>
  <c r="M166" i="5"/>
  <c r="L166" i="5"/>
  <c r="K166" i="5"/>
  <c r="J166" i="5"/>
  <c r="I166" i="5"/>
  <c r="F166" i="5"/>
  <c r="D166" i="5"/>
  <c r="Q165" i="5"/>
  <c r="P165" i="5"/>
  <c r="O165" i="5"/>
  <c r="N165" i="5"/>
  <c r="M165" i="5"/>
  <c r="L165" i="5"/>
  <c r="K165" i="5"/>
  <c r="J165" i="5"/>
  <c r="I165" i="5"/>
  <c r="F165" i="5"/>
  <c r="D165" i="5"/>
  <c r="Q164" i="5"/>
  <c r="P164" i="5"/>
  <c r="O164" i="5"/>
  <c r="N164" i="5"/>
  <c r="M164" i="5"/>
  <c r="L164" i="5"/>
  <c r="K164" i="5"/>
  <c r="J164" i="5"/>
  <c r="I164" i="5"/>
  <c r="F164" i="5"/>
  <c r="D164" i="5"/>
  <c r="Q163" i="5"/>
  <c r="P163" i="5"/>
  <c r="O163" i="5"/>
  <c r="N163" i="5"/>
  <c r="M163" i="5"/>
  <c r="L163" i="5"/>
  <c r="K163" i="5"/>
  <c r="J163" i="5"/>
  <c r="I163" i="5"/>
  <c r="F163" i="5"/>
  <c r="D163" i="5"/>
  <c r="Q162" i="5"/>
  <c r="P162" i="5"/>
  <c r="O162" i="5"/>
  <c r="N162" i="5"/>
  <c r="M162" i="5"/>
  <c r="L162" i="5"/>
  <c r="K162" i="5"/>
  <c r="J162" i="5"/>
  <c r="I162" i="5"/>
  <c r="F162" i="5"/>
  <c r="D162" i="5"/>
  <c r="Q161" i="5"/>
  <c r="P161" i="5"/>
  <c r="O161" i="5"/>
  <c r="N161" i="5"/>
  <c r="M161" i="5"/>
  <c r="L161" i="5"/>
  <c r="K161" i="5"/>
  <c r="J161" i="5"/>
  <c r="I161" i="5"/>
  <c r="F161" i="5"/>
  <c r="D161" i="5"/>
  <c r="Q160" i="5"/>
  <c r="P160" i="5"/>
  <c r="O160" i="5"/>
  <c r="N160" i="5"/>
  <c r="M160" i="5"/>
  <c r="L160" i="5"/>
  <c r="K160" i="5"/>
  <c r="J160" i="5"/>
  <c r="I160" i="5"/>
  <c r="F160" i="5"/>
  <c r="D160" i="5"/>
  <c r="Q159" i="5"/>
  <c r="P159" i="5"/>
  <c r="O159" i="5"/>
  <c r="N159" i="5"/>
  <c r="M159" i="5"/>
  <c r="L159" i="5"/>
  <c r="K159" i="5"/>
  <c r="J159" i="5"/>
  <c r="I159" i="5"/>
  <c r="F159" i="5"/>
  <c r="D159" i="5"/>
  <c r="Q158" i="5"/>
  <c r="P158" i="5"/>
  <c r="O158" i="5"/>
  <c r="N158" i="5"/>
  <c r="M158" i="5"/>
  <c r="L158" i="5"/>
  <c r="K158" i="5"/>
  <c r="J158" i="5"/>
  <c r="I158" i="5"/>
  <c r="F158" i="5"/>
  <c r="D158" i="5"/>
  <c r="Q157" i="5"/>
  <c r="P157" i="5"/>
  <c r="O157" i="5"/>
  <c r="N157" i="5"/>
  <c r="M157" i="5"/>
  <c r="L157" i="5"/>
  <c r="K157" i="5"/>
  <c r="J157" i="5"/>
  <c r="I157" i="5"/>
  <c r="F157" i="5"/>
  <c r="D157" i="5"/>
  <c r="Q156" i="5"/>
  <c r="P156" i="5"/>
  <c r="O156" i="5"/>
  <c r="N156" i="5"/>
  <c r="M156" i="5"/>
  <c r="L156" i="5"/>
  <c r="K156" i="5"/>
  <c r="J156" i="5"/>
  <c r="I156" i="5"/>
  <c r="F156" i="5"/>
  <c r="D156" i="5"/>
  <c r="Q155" i="5"/>
  <c r="P155" i="5"/>
  <c r="O155" i="5"/>
  <c r="N155" i="5"/>
  <c r="M155" i="5"/>
  <c r="L155" i="5"/>
  <c r="K155" i="5"/>
  <c r="J155" i="5"/>
  <c r="I155" i="5"/>
  <c r="F155" i="5"/>
  <c r="D155" i="5"/>
  <c r="Q154" i="5"/>
  <c r="P154" i="5"/>
  <c r="O154" i="5"/>
  <c r="N154" i="5"/>
  <c r="M154" i="5"/>
  <c r="L154" i="5"/>
  <c r="K154" i="5"/>
  <c r="J154" i="5"/>
  <c r="I154" i="5"/>
  <c r="F154" i="5"/>
  <c r="D154" i="5"/>
  <c r="Q153" i="5"/>
  <c r="P153" i="5"/>
  <c r="O153" i="5"/>
  <c r="N153" i="5"/>
  <c r="M153" i="5"/>
  <c r="L153" i="5"/>
  <c r="K153" i="5"/>
  <c r="J153" i="5"/>
  <c r="I153" i="5"/>
  <c r="F153" i="5"/>
  <c r="D153" i="5"/>
  <c r="Q152" i="5"/>
  <c r="P152" i="5"/>
  <c r="O152" i="5"/>
  <c r="N152" i="5"/>
  <c r="M152" i="5"/>
  <c r="L152" i="5"/>
  <c r="K152" i="5"/>
  <c r="J152" i="5"/>
  <c r="I152" i="5"/>
  <c r="F152" i="5"/>
  <c r="D152" i="5"/>
  <c r="Q151" i="5"/>
  <c r="P151" i="5"/>
  <c r="O151" i="5"/>
  <c r="N151" i="5"/>
  <c r="M151" i="5"/>
  <c r="L151" i="5"/>
  <c r="K151" i="5"/>
  <c r="J151" i="5"/>
  <c r="I151" i="5"/>
  <c r="F151" i="5"/>
  <c r="D151" i="5"/>
  <c r="Q150" i="5"/>
  <c r="P150" i="5"/>
  <c r="O150" i="5"/>
  <c r="N150" i="5"/>
  <c r="M150" i="5"/>
  <c r="L150" i="5"/>
  <c r="K150" i="5"/>
  <c r="J150" i="5"/>
  <c r="I150" i="5"/>
  <c r="F150" i="5"/>
  <c r="D150" i="5"/>
  <c r="Q149" i="5"/>
  <c r="P149" i="5"/>
  <c r="O149" i="5"/>
  <c r="N149" i="5"/>
  <c r="M149" i="5"/>
  <c r="L149" i="5"/>
  <c r="K149" i="5"/>
  <c r="J149" i="5"/>
  <c r="I149" i="5"/>
  <c r="F149" i="5"/>
  <c r="D149" i="5"/>
  <c r="Q148" i="5"/>
  <c r="P148" i="5"/>
  <c r="O148" i="5"/>
  <c r="N148" i="5"/>
  <c r="M148" i="5"/>
  <c r="L148" i="5"/>
  <c r="K148" i="5"/>
  <c r="J148" i="5"/>
  <c r="I148" i="5"/>
  <c r="F148" i="5"/>
  <c r="D148" i="5"/>
  <c r="Q147" i="5"/>
  <c r="P147" i="5"/>
  <c r="O147" i="5"/>
  <c r="N147" i="5"/>
  <c r="M147" i="5"/>
  <c r="L147" i="5"/>
  <c r="K147" i="5"/>
  <c r="J147" i="5"/>
  <c r="I147" i="5"/>
  <c r="F147" i="5"/>
  <c r="D147" i="5"/>
  <c r="Q146" i="5"/>
  <c r="P146" i="5"/>
  <c r="O146" i="5"/>
  <c r="N146" i="5"/>
  <c r="M146" i="5"/>
  <c r="L146" i="5"/>
  <c r="K146" i="5"/>
  <c r="J146" i="5"/>
  <c r="I146" i="5"/>
  <c r="F146" i="5"/>
  <c r="D146" i="5"/>
  <c r="Q145" i="5"/>
  <c r="P145" i="5"/>
  <c r="O145" i="5"/>
  <c r="N145" i="5"/>
  <c r="M145" i="5"/>
  <c r="L145" i="5"/>
  <c r="K145" i="5"/>
  <c r="J145" i="5"/>
  <c r="I145" i="5"/>
  <c r="F145" i="5"/>
  <c r="D145" i="5"/>
  <c r="Q144" i="5"/>
  <c r="P144" i="5"/>
  <c r="O144" i="5"/>
  <c r="N144" i="5"/>
  <c r="M144" i="5"/>
  <c r="L144" i="5"/>
  <c r="K144" i="5"/>
  <c r="J144" i="5"/>
  <c r="I144" i="5"/>
  <c r="F144" i="5"/>
  <c r="D144" i="5"/>
  <c r="Q143" i="5"/>
  <c r="P143" i="5"/>
  <c r="O143" i="5"/>
  <c r="N143" i="5"/>
  <c r="M143" i="5"/>
  <c r="L143" i="5"/>
  <c r="K143" i="5"/>
  <c r="J143" i="5"/>
  <c r="I143" i="5"/>
  <c r="F143" i="5"/>
  <c r="D143" i="5"/>
  <c r="Q142" i="5"/>
  <c r="P142" i="5"/>
  <c r="O142" i="5"/>
  <c r="N142" i="5"/>
  <c r="M142" i="5"/>
  <c r="L142" i="5"/>
  <c r="K142" i="5"/>
  <c r="J142" i="5"/>
  <c r="I142" i="5"/>
  <c r="F142" i="5"/>
  <c r="D142" i="5"/>
  <c r="Q141" i="5"/>
  <c r="P141" i="5"/>
  <c r="O141" i="5"/>
  <c r="N141" i="5"/>
  <c r="M141" i="5"/>
  <c r="L141" i="5"/>
  <c r="K141" i="5"/>
  <c r="J141" i="5"/>
  <c r="I141" i="5"/>
  <c r="F141" i="5"/>
  <c r="D141" i="5"/>
  <c r="Q140" i="5"/>
  <c r="P140" i="5"/>
  <c r="O140" i="5"/>
  <c r="N140" i="5"/>
  <c r="M140" i="5"/>
  <c r="L140" i="5"/>
  <c r="K140" i="5"/>
  <c r="J140" i="5"/>
  <c r="I140" i="5"/>
  <c r="F140" i="5"/>
  <c r="D140" i="5"/>
  <c r="Q139" i="5"/>
  <c r="Q237" i="5" s="1"/>
  <c r="P139" i="5"/>
  <c r="P237" i="5" s="1"/>
  <c r="O139" i="5"/>
  <c r="O237" i="5" s="1"/>
  <c r="N139" i="5"/>
  <c r="N237" i="5" s="1"/>
  <c r="M139" i="5"/>
  <c r="M237" i="5" s="1"/>
  <c r="L139" i="5"/>
  <c r="L237" i="5" s="1"/>
  <c r="K139" i="5"/>
  <c r="K237" i="5" s="1"/>
  <c r="J139" i="5"/>
  <c r="J237" i="5" s="1"/>
  <c r="I139" i="5"/>
  <c r="I237" i="5" s="1"/>
  <c r="F139" i="5"/>
  <c r="D139" i="5"/>
  <c r="Q138" i="5"/>
  <c r="P138" i="5"/>
  <c r="O138" i="5"/>
  <c r="N138" i="5"/>
  <c r="M138" i="5"/>
  <c r="L138" i="5"/>
  <c r="K138" i="5"/>
  <c r="J138" i="5"/>
  <c r="I138" i="5"/>
  <c r="F138" i="5"/>
  <c r="D138" i="5"/>
  <c r="Q137" i="5"/>
  <c r="P137" i="5"/>
  <c r="O137" i="5"/>
  <c r="N137" i="5"/>
  <c r="M137" i="5"/>
  <c r="L137" i="5"/>
  <c r="K137" i="5"/>
  <c r="J137" i="5"/>
  <c r="I137" i="5"/>
  <c r="F137" i="5"/>
  <c r="D137" i="5"/>
  <c r="Q136" i="5"/>
  <c r="P136" i="5"/>
  <c r="O136" i="5"/>
  <c r="N136" i="5"/>
  <c r="M136" i="5"/>
  <c r="L136" i="5"/>
  <c r="K136" i="5"/>
  <c r="J136" i="5"/>
  <c r="I136" i="5"/>
  <c r="F136" i="5"/>
  <c r="D136" i="5"/>
  <c r="Q135" i="5"/>
  <c r="P135" i="5"/>
  <c r="O135" i="5"/>
  <c r="N135" i="5"/>
  <c r="M135" i="5"/>
  <c r="L135" i="5"/>
  <c r="K135" i="5"/>
  <c r="J135" i="5"/>
  <c r="I135" i="5"/>
  <c r="F135" i="5"/>
  <c r="D135" i="5"/>
  <c r="Q134" i="5"/>
  <c r="P134" i="5"/>
  <c r="O134" i="5"/>
  <c r="N134" i="5"/>
  <c r="M134" i="5"/>
  <c r="L134" i="5"/>
  <c r="K134" i="5"/>
  <c r="J134" i="5"/>
  <c r="I134" i="5"/>
  <c r="F134" i="5"/>
  <c r="D134" i="5"/>
  <c r="Q133" i="5"/>
  <c r="P133" i="5"/>
  <c r="O133" i="5"/>
  <c r="N133" i="5"/>
  <c r="M133" i="5"/>
  <c r="L133" i="5"/>
  <c r="K133" i="5"/>
  <c r="J133" i="5"/>
  <c r="I133" i="5"/>
  <c r="F133" i="5"/>
  <c r="D133" i="5"/>
  <c r="Q132" i="5"/>
  <c r="P132" i="5"/>
  <c r="O132" i="5"/>
  <c r="N132" i="5"/>
  <c r="M132" i="5"/>
  <c r="L132" i="5"/>
  <c r="K132" i="5"/>
  <c r="J132" i="5"/>
  <c r="I132" i="5"/>
  <c r="F132" i="5"/>
  <c r="D132" i="5"/>
  <c r="Q131" i="5"/>
  <c r="P131" i="5"/>
  <c r="O131" i="5"/>
  <c r="N131" i="5"/>
  <c r="M131" i="5"/>
  <c r="L131" i="5"/>
  <c r="K131" i="5"/>
  <c r="J131" i="5"/>
  <c r="I131" i="5"/>
  <c r="F131" i="5"/>
  <c r="D131" i="5"/>
  <c r="Q130" i="5"/>
  <c r="P130" i="5"/>
  <c r="O130" i="5"/>
  <c r="N130" i="5"/>
  <c r="M130" i="5"/>
  <c r="L130" i="5"/>
  <c r="K130" i="5"/>
  <c r="J130" i="5"/>
  <c r="I130" i="5"/>
  <c r="F130" i="5"/>
  <c r="D130" i="5"/>
  <c r="Q129" i="5"/>
  <c r="P129" i="5"/>
  <c r="O129" i="5"/>
  <c r="N129" i="5"/>
  <c r="M129" i="5"/>
  <c r="L129" i="5"/>
  <c r="K129" i="5"/>
  <c r="J129" i="5"/>
  <c r="I129" i="5"/>
  <c r="F129" i="5"/>
  <c r="D129" i="5"/>
  <c r="Q128" i="5"/>
  <c r="P128" i="5"/>
  <c r="O128" i="5"/>
  <c r="N128" i="5"/>
  <c r="M128" i="5"/>
  <c r="L128" i="5"/>
  <c r="K128" i="5"/>
  <c r="J128" i="5"/>
  <c r="I128" i="5"/>
  <c r="F128" i="5"/>
  <c r="D128" i="5"/>
  <c r="Q127" i="5"/>
  <c r="P127" i="5"/>
  <c r="O127" i="5"/>
  <c r="N127" i="5"/>
  <c r="M127" i="5"/>
  <c r="L127" i="5"/>
  <c r="K127" i="5"/>
  <c r="J127" i="5"/>
  <c r="I127" i="5"/>
  <c r="F127" i="5"/>
  <c r="D127" i="5"/>
  <c r="Q125" i="5"/>
  <c r="P125" i="5"/>
  <c r="O125" i="5"/>
  <c r="N125" i="5"/>
  <c r="M125" i="5"/>
  <c r="L125" i="5"/>
  <c r="K125" i="5"/>
  <c r="J125" i="5"/>
  <c r="I125" i="5"/>
  <c r="F125" i="5"/>
  <c r="D125" i="5"/>
  <c r="Q124" i="5"/>
  <c r="P124" i="5"/>
  <c r="O124" i="5"/>
  <c r="N124" i="5"/>
  <c r="M124" i="5"/>
  <c r="L124" i="5"/>
  <c r="K124" i="5"/>
  <c r="J124" i="5"/>
  <c r="I124" i="5"/>
  <c r="F124" i="5"/>
  <c r="D124" i="5"/>
  <c r="Q123" i="5"/>
  <c r="P123" i="5"/>
  <c r="O123" i="5"/>
  <c r="N123" i="5"/>
  <c r="M123" i="5"/>
  <c r="L123" i="5"/>
  <c r="K123" i="5"/>
  <c r="J123" i="5"/>
  <c r="I123" i="5"/>
  <c r="F123" i="5"/>
  <c r="D123" i="5"/>
  <c r="Q122" i="5"/>
  <c r="P122" i="5"/>
  <c r="O122" i="5"/>
  <c r="N122" i="5"/>
  <c r="M122" i="5"/>
  <c r="L122" i="5"/>
  <c r="K122" i="5"/>
  <c r="J122" i="5"/>
  <c r="I122" i="5"/>
  <c r="F122" i="5"/>
  <c r="D122" i="5"/>
  <c r="Q121" i="5"/>
  <c r="P121" i="5"/>
  <c r="O121" i="5"/>
  <c r="N121" i="5"/>
  <c r="M121" i="5"/>
  <c r="L121" i="5"/>
  <c r="K121" i="5"/>
  <c r="J121" i="5"/>
  <c r="I121" i="5"/>
  <c r="F121" i="5"/>
  <c r="D121" i="5"/>
  <c r="Q120" i="5"/>
  <c r="P120" i="5"/>
  <c r="O120" i="5"/>
  <c r="N120" i="5"/>
  <c r="M120" i="5"/>
  <c r="L120" i="5"/>
  <c r="K120" i="5"/>
  <c r="J120" i="5"/>
  <c r="I120" i="5"/>
  <c r="F120" i="5"/>
  <c r="D120" i="5"/>
  <c r="Q119" i="5"/>
  <c r="P119" i="5"/>
  <c r="O119" i="5"/>
  <c r="N119" i="5"/>
  <c r="M119" i="5"/>
  <c r="L119" i="5"/>
  <c r="K119" i="5"/>
  <c r="J119" i="5"/>
  <c r="I119" i="5"/>
  <c r="F119" i="5"/>
  <c r="D119" i="5"/>
  <c r="Q118" i="5"/>
  <c r="P118" i="5"/>
  <c r="O118" i="5"/>
  <c r="N118" i="5"/>
  <c r="M118" i="5"/>
  <c r="L118" i="5"/>
  <c r="K118" i="5"/>
  <c r="J118" i="5"/>
  <c r="I118" i="5"/>
  <c r="F118" i="5"/>
  <c r="D118" i="5"/>
  <c r="Q117" i="5"/>
  <c r="P117" i="5"/>
  <c r="O117" i="5"/>
  <c r="N117" i="5"/>
  <c r="M117" i="5"/>
  <c r="L117" i="5"/>
  <c r="K117" i="5"/>
  <c r="J117" i="5"/>
  <c r="I117" i="5"/>
  <c r="F117" i="5"/>
  <c r="D117" i="5"/>
  <c r="Q116" i="5"/>
  <c r="P116" i="5"/>
  <c r="O116" i="5"/>
  <c r="N116" i="5"/>
  <c r="M116" i="5"/>
  <c r="L116" i="5"/>
  <c r="K116" i="5"/>
  <c r="J116" i="5"/>
  <c r="I116" i="5"/>
  <c r="F116" i="5"/>
  <c r="D116" i="5"/>
  <c r="Q115" i="5"/>
  <c r="P115" i="5"/>
  <c r="O115" i="5"/>
  <c r="N115" i="5"/>
  <c r="M115" i="5"/>
  <c r="L115" i="5"/>
  <c r="K115" i="5"/>
  <c r="J115" i="5"/>
  <c r="I115" i="5"/>
  <c r="F115" i="5"/>
  <c r="D115" i="5"/>
  <c r="Q114" i="5"/>
  <c r="P114" i="5"/>
  <c r="O114" i="5"/>
  <c r="N114" i="5"/>
  <c r="M114" i="5"/>
  <c r="L114" i="5"/>
  <c r="K114" i="5"/>
  <c r="J114" i="5"/>
  <c r="I114" i="5"/>
  <c r="F114" i="5"/>
  <c r="D114" i="5"/>
  <c r="Q113" i="5"/>
  <c r="P113" i="5"/>
  <c r="O113" i="5"/>
  <c r="N113" i="5"/>
  <c r="M113" i="5"/>
  <c r="L113" i="5"/>
  <c r="K113" i="5"/>
  <c r="J113" i="5"/>
  <c r="I113" i="5"/>
  <c r="F113" i="5"/>
  <c r="D113" i="5"/>
  <c r="Q112" i="5"/>
  <c r="P112" i="5"/>
  <c r="O112" i="5"/>
  <c r="N112" i="5"/>
  <c r="M112" i="5"/>
  <c r="L112" i="5"/>
  <c r="K112" i="5"/>
  <c r="J112" i="5"/>
  <c r="I112" i="5"/>
  <c r="F112" i="5"/>
  <c r="D112" i="5"/>
  <c r="Q111" i="5"/>
  <c r="P111" i="5"/>
  <c r="O111" i="5"/>
  <c r="N111" i="5"/>
  <c r="M111" i="5"/>
  <c r="L111" i="5"/>
  <c r="K111" i="5"/>
  <c r="J111" i="5"/>
  <c r="I111" i="5"/>
  <c r="F111" i="5"/>
  <c r="D111" i="5"/>
  <c r="Q110" i="5"/>
  <c r="P110" i="5"/>
  <c r="O110" i="5"/>
  <c r="N110" i="5"/>
  <c r="M110" i="5"/>
  <c r="L110" i="5"/>
  <c r="K110" i="5"/>
  <c r="J110" i="5"/>
  <c r="I110" i="5"/>
  <c r="F110" i="5"/>
  <c r="D110" i="5"/>
  <c r="Q109" i="5"/>
  <c r="P109" i="5"/>
  <c r="O109" i="5"/>
  <c r="N109" i="5"/>
  <c r="M109" i="5"/>
  <c r="L109" i="5"/>
  <c r="K109" i="5"/>
  <c r="J109" i="5"/>
  <c r="I109" i="5"/>
  <c r="F109" i="5"/>
  <c r="D109" i="5"/>
  <c r="Q108" i="5"/>
  <c r="P108" i="5"/>
  <c r="O108" i="5"/>
  <c r="N108" i="5"/>
  <c r="M108" i="5"/>
  <c r="L108" i="5"/>
  <c r="K108" i="5"/>
  <c r="J108" i="5"/>
  <c r="I108" i="5"/>
  <c r="F108" i="5"/>
  <c r="D108" i="5"/>
  <c r="Q107" i="5"/>
  <c r="P107" i="5"/>
  <c r="O107" i="5"/>
  <c r="N107" i="5"/>
  <c r="M107" i="5"/>
  <c r="L107" i="5"/>
  <c r="K107" i="5"/>
  <c r="J107" i="5"/>
  <c r="I107" i="5"/>
  <c r="F107" i="5"/>
  <c r="D107" i="5"/>
  <c r="Q106" i="5"/>
  <c r="P106" i="5"/>
  <c r="O106" i="5"/>
  <c r="N106" i="5"/>
  <c r="M106" i="5"/>
  <c r="L106" i="5"/>
  <c r="K106" i="5"/>
  <c r="J106" i="5"/>
  <c r="I106" i="5"/>
  <c r="F106" i="5"/>
  <c r="D106" i="5"/>
  <c r="Q105" i="5"/>
  <c r="P105" i="5"/>
  <c r="O105" i="5"/>
  <c r="N105" i="5"/>
  <c r="M105" i="5"/>
  <c r="L105" i="5"/>
  <c r="K105" i="5"/>
  <c r="J105" i="5"/>
  <c r="I105" i="5"/>
  <c r="F105" i="5"/>
  <c r="D105" i="5"/>
  <c r="Q104" i="5"/>
  <c r="P104" i="5"/>
  <c r="O104" i="5"/>
  <c r="N104" i="5"/>
  <c r="M104" i="5"/>
  <c r="L104" i="5"/>
  <c r="K104" i="5"/>
  <c r="J104" i="5"/>
  <c r="I104" i="5"/>
  <c r="F104" i="5"/>
  <c r="D104" i="5"/>
  <c r="Q103" i="5"/>
  <c r="P103" i="5"/>
  <c r="O103" i="5"/>
  <c r="N103" i="5"/>
  <c r="M103" i="5"/>
  <c r="L103" i="5"/>
  <c r="K103" i="5"/>
  <c r="J103" i="5"/>
  <c r="I103" i="5"/>
  <c r="F103" i="5"/>
  <c r="D103" i="5"/>
  <c r="Q102" i="5"/>
  <c r="P102" i="5"/>
  <c r="O102" i="5"/>
  <c r="N102" i="5"/>
  <c r="M102" i="5"/>
  <c r="L102" i="5"/>
  <c r="K102" i="5"/>
  <c r="J102" i="5"/>
  <c r="I102" i="5"/>
  <c r="F102" i="5"/>
  <c r="D102" i="5"/>
  <c r="Q101" i="5"/>
  <c r="P101" i="5"/>
  <c r="O101" i="5"/>
  <c r="N101" i="5"/>
  <c r="M101" i="5"/>
  <c r="L101" i="5"/>
  <c r="K101" i="5"/>
  <c r="J101" i="5"/>
  <c r="I101" i="5"/>
  <c r="F101" i="5"/>
  <c r="D101" i="5"/>
  <c r="Q100" i="5"/>
  <c r="P100" i="5"/>
  <c r="O100" i="5"/>
  <c r="N100" i="5"/>
  <c r="M100" i="5"/>
  <c r="L100" i="5"/>
  <c r="K100" i="5"/>
  <c r="J100" i="5"/>
  <c r="I100" i="5"/>
  <c r="F100" i="5"/>
  <c r="D100" i="5"/>
  <c r="Q99" i="5"/>
  <c r="P99" i="5"/>
  <c r="O99" i="5"/>
  <c r="N99" i="5"/>
  <c r="M99" i="5"/>
  <c r="L99" i="5"/>
  <c r="K99" i="5"/>
  <c r="J99" i="5"/>
  <c r="I99" i="5"/>
  <c r="F99" i="5"/>
  <c r="D99" i="5"/>
  <c r="Q98" i="5"/>
  <c r="P98" i="5"/>
  <c r="O98" i="5"/>
  <c r="N98" i="5"/>
  <c r="M98" i="5"/>
  <c r="L98" i="5"/>
  <c r="K98" i="5"/>
  <c r="J98" i="5"/>
  <c r="I98" i="5"/>
  <c r="F98" i="5"/>
  <c r="D98" i="5"/>
  <c r="Q97" i="5"/>
  <c r="P97" i="5"/>
  <c r="O97" i="5"/>
  <c r="N97" i="5"/>
  <c r="M97" i="5"/>
  <c r="L97" i="5"/>
  <c r="K97" i="5"/>
  <c r="J97" i="5"/>
  <c r="I97" i="5"/>
  <c r="F97" i="5"/>
  <c r="D97" i="5"/>
  <c r="Q96" i="5"/>
  <c r="P96" i="5"/>
  <c r="O96" i="5"/>
  <c r="N96" i="5"/>
  <c r="M96" i="5"/>
  <c r="L96" i="5"/>
  <c r="K96" i="5"/>
  <c r="J96" i="5"/>
  <c r="I96" i="5"/>
  <c r="F96" i="5"/>
  <c r="D96" i="5"/>
  <c r="Q95" i="5"/>
  <c r="P95" i="5"/>
  <c r="O95" i="5"/>
  <c r="N95" i="5"/>
  <c r="M95" i="5"/>
  <c r="L95" i="5"/>
  <c r="K95" i="5"/>
  <c r="J95" i="5"/>
  <c r="I95" i="5"/>
  <c r="F95" i="5"/>
  <c r="D95" i="5"/>
  <c r="Q94" i="5"/>
  <c r="P94" i="5"/>
  <c r="O94" i="5"/>
  <c r="N94" i="5"/>
  <c r="M94" i="5"/>
  <c r="L94" i="5"/>
  <c r="K94" i="5"/>
  <c r="J94" i="5"/>
  <c r="I94" i="5"/>
  <c r="F94" i="5"/>
  <c r="D94" i="5"/>
  <c r="Q93" i="5"/>
  <c r="P93" i="5"/>
  <c r="O93" i="5"/>
  <c r="N93" i="5"/>
  <c r="M93" i="5"/>
  <c r="L93" i="5"/>
  <c r="K93" i="5"/>
  <c r="J93" i="5"/>
  <c r="I93" i="5"/>
  <c r="F93" i="5"/>
  <c r="D93" i="5"/>
  <c r="Q92" i="5"/>
  <c r="P92" i="5"/>
  <c r="O92" i="5"/>
  <c r="N92" i="5"/>
  <c r="M92" i="5"/>
  <c r="L92" i="5"/>
  <c r="K92" i="5"/>
  <c r="J92" i="5"/>
  <c r="I92" i="5"/>
  <c r="F92" i="5"/>
  <c r="D92" i="5"/>
  <c r="Q91" i="5"/>
  <c r="P91" i="5"/>
  <c r="O91" i="5"/>
  <c r="N91" i="5"/>
  <c r="M91" i="5"/>
  <c r="L91" i="5"/>
  <c r="K91" i="5"/>
  <c r="J91" i="5"/>
  <c r="I91" i="5"/>
  <c r="F91" i="5"/>
  <c r="D91" i="5"/>
  <c r="Q90" i="5"/>
  <c r="P90" i="5"/>
  <c r="O90" i="5"/>
  <c r="N90" i="5"/>
  <c r="M90" i="5"/>
  <c r="L90" i="5"/>
  <c r="K90" i="5"/>
  <c r="J90" i="5"/>
  <c r="I90" i="5"/>
  <c r="F90" i="5"/>
  <c r="D90" i="5"/>
  <c r="Q89" i="5"/>
  <c r="P89" i="5"/>
  <c r="O89" i="5"/>
  <c r="N89" i="5"/>
  <c r="M89" i="5"/>
  <c r="L89" i="5"/>
  <c r="K89" i="5"/>
  <c r="J89" i="5"/>
  <c r="I89" i="5"/>
  <c r="F89" i="5"/>
  <c r="D89" i="5"/>
  <c r="Q88" i="5"/>
  <c r="P88" i="5"/>
  <c r="O88" i="5"/>
  <c r="N88" i="5"/>
  <c r="M88" i="5"/>
  <c r="L88" i="5"/>
  <c r="K88" i="5"/>
  <c r="J88" i="5"/>
  <c r="I88" i="5"/>
  <c r="F88" i="5"/>
  <c r="D88" i="5"/>
  <c r="Q87" i="5"/>
  <c r="P87" i="5"/>
  <c r="O87" i="5"/>
  <c r="N87" i="5"/>
  <c r="M87" i="5"/>
  <c r="L87" i="5"/>
  <c r="K87" i="5"/>
  <c r="J87" i="5"/>
  <c r="I87" i="5"/>
  <c r="F87" i="5"/>
  <c r="D87" i="5"/>
  <c r="Q86" i="5"/>
  <c r="P86" i="5"/>
  <c r="O86" i="5"/>
  <c r="N86" i="5"/>
  <c r="M86" i="5"/>
  <c r="L86" i="5"/>
  <c r="K86" i="5"/>
  <c r="J86" i="5"/>
  <c r="I86" i="5"/>
  <c r="F86" i="5"/>
  <c r="D86" i="5"/>
  <c r="Q85" i="5"/>
  <c r="P85" i="5"/>
  <c r="O85" i="5"/>
  <c r="N85" i="5"/>
  <c r="M85" i="5"/>
  <c r="L85" i="5"/>
  <c r="K85" i="5"/>
  <c r="J85" i="5"/>
  <c r="I85" i="5"/>
  <c r="F85" i="5"/>
  <c r="D85" i="5"/>
  <c r="Q84" i="5"/>
  <c r="P84" i="5"/>
  <c r="O84" i="5"/>
  <c r="N84" i="5"/>
  <c r="M84" i="5"/>
  <c r="L84" i="5"/>
  <c r="K84" i="5"/>
  <c r="J84" i="5"/>
  <c r="I84" i="5"/>
  <c r="F84" i="5"/>
  <c r="D84" i="5"/>
  <c r="Q83" i="5"/>
  <c r="P83" i="5"/>
  <c r="O83" i="5"/>
  <c r="N83" i="5"/>
  <c r="M83" i="5"/>
  <c r="L83" i="5"/>
  <c r="K83" i="5"/>
  <c r="J83" i="5"/>
  <c r="I83" i="5"/>
  <c r="F83" i="5"/>
  <c r="D83" i="5"/>
  <c r="Q82" i="5"/>
  <c r="P82" i="5"/>
  <c r="O82" i="5"/>
  <c r="N82" i="5"/>
  <c r="M82" i="5"/>
  <c r="L82" i="5"/>
  <c r="K82" i="5"/>
  <c r="J82" i="5"/>
  <c r="I82" i="5"/>
  <c r="F82" i="5"/>
  <c r="D82" i="5"/>
  <c r="Q81" i="5"/>
  <c r="P81" i="5"/>
  <c r="O81" i="5"/>
  <c r="N81" i="5"/>
  <c r="M81" i="5"/>
  <c r="L81" i="5"/>
  <c r="K81" i="5"/>
  <c r="J81" i="5"/>
  <c r="I81" i="5"/>
  <c r="F81" i="5"/>
  <c r="D81" i="5"/>
  <c r="Q80" i="5"/>
  <c r="P80" i="5"/>
  <c r="O80" i="5"/>
  <c r="N80" i="5"/>
  <c r="M80" i="5"/>
  <c r="L80" i="5"/>
  <c r="K80" i="5"/>
  <c r="J80" i="5"/>
  <c r="I80" i="5"/>
  <c r="F80" i="5"/>
  <c r="D80" i="5"/>
  <c r="Q79" i="5"/>
  <c r="P79" i="5"/>
  <c r="O79" i="5"/>
  <c r="N79" i="5"/>
  <c r="M79" i="5"/>
  <c r="L79" i="5"/>
  <c r="K79" i="5"/>
  <c r="J79" i="5"/>
  <c r="I79" i="5"/>
  <c r="F79" i="5"/>
  <c r="D79" i="5"/>
  <c r="Q78" i="5"/>
  <c r="P78" i="5"/>
  <c r="O78" i="5"/>
  <c r="N78" i="5"/>
  <c r="M78" i="5"/>
  <c r="L78" i="5"/>
  <c r="K78" i="5"/>
  <c r="J78" i="5"/>
  <c r="I78" i="5"/>
  <c r="F78" i="5"/>
  <c r="D78" i="5"/>
  <c r="Q77" i="5"/>
  <c r="P77" i="5"/>
  <c r="O77" i="5"/>
  <c r="N77" i="5"/>
  <c r="M77" i="5"/>
  <c r="L77" i="5"/>
  <c r="K77" i="5"/>
  <c r="J77" i="5"/>
  <c r="I77" i="5"/>
  <c r="F77" i="5"/>
  <c r="D77" i="5"/>
  <c r="Q76" i="5"/>
  <c r="P76" i="5"/>
  <c r="O76" i="5"/>
  <c r="N76" i="5"/>
  <c r="M76" i="5"/>
  <c r="L76" i="5"/>
  <c r="K76" i="5"/>
  <c r="J76" i="5"/>
  <c r="I76" i="5"/>
  <c r="F76" i="5"/>
  <c r="D76" i="5"/>
  <c r="Q75" i="5"/>
  <c r="P75" i="5"/>
  <c r="O75" i="5"/>
  <c r="N75" i="5"/>
  <c r="M75" i="5"/>
  <c r="L75" i="5"/>
  <c r="K75" i="5"/>
  <c r="J75" i="5"/>
  <c r="I75" i="5"/>
  <c r="F75" i="5"/>
  <c r="D75" i="5"/>
  <c r="Q74" i="5"/>
  <c r="P74" i="5"/>
  <c r="O74" i="5"/>
  <c r="N74" i="5"/>
  <c r="M74" i="5"/>
  <c r="L74" i="5"/>
  <c r="K74" i="5"/>
  <c r="J74" i="5"/>
  <c r="I74" i="5"/>
  <c r="F74" i="5"/>
  <c r="D74" i="5"/>
  <c r="Q73" i="5"/>
  <c r="P73" i="5"/>
  <c r="O73" i="5"/>
  <c r="N73" i="5"/>
  <c r="M73" i="5"/>
  <c r="L73" i="5"/>
  <c r="K73" i="5"/>
  <c r="J73" i="5"/>
  <c r="I73" i="5"/>
  <c r="F73" i="5"/>
  <c r="D73" i="5"/>
  <c r="Q72" i="5"/>
  <c r="P72" i="5"/>
  <c r="O72" i="5"/>
  <c r="N72" i="5"/>
  <c r="M72" i="5"/>
  <c r="L72" i="5"/>
  <c r="K72" i="5"/>
  <c r="J72" i="5"/>
  <c r="I72" i="5"/>
  <c r="F72" i="5"/>
  <c r="D72" i="5"/>
  <c r="Q71" i="5"/>
  <c r="P71" i="5"/>
  <c r="O71" i="5"/>
  <c r="N71" i="5"/>
  <c r="M71" i="5"/>
  <c r="L71" i="5"/>
  <c r="K71" i="5"/>
  <c r="J71" i="5"/>
  <c r="I71" i="5"/>
  <c r="F71" i="5"/>
  <c r="D71" i="5"/>
  <c r="Q70" i="5"/>
  <c r="P70" i="5"/>
  <c r="O70" i="5"/>
  <c r="N70" i="5"/>
  <c r="M70" i="5"/>
  <c r="L70" i="5"/>
  <c r="K70" i="5"/>
  <c r="J70" i="5"/>
  <c r="I70" i="5"/>
  <c r="F70" i="5"/>
  <c r="D70" i="5"/>
  <c r="Q69" i="5"/>
  <c r="P69" i="5"/>
  <c r="O69" i="5"/>
  <c r="N69" i="5"/>
  <c r="M69" i="5"/>
  <c r="L69" i="5"/>
  <c r="D69" i="5"/>
  <c r="Q68" i="5"/>
  <c r="P68" i="5"/>
  <c r="O68" i="5"/>
  <c r="N68" i="5"/>
  <c r="M68" i="5"/>
  <c r="L68" i="5"/>
  <c r="K68" i="5"/>
  <c r="J68" i="5"/>
  <c r="I68" i="5"/>
  <c r="F68" i="5"/>
  <c r="D68" i="5"/>
  <c r="Q67" i="5"/>
  <c r="P67" i="5"/>
  <c r="O67" i="5"/>
  <c r="N67" i="5"/>
  <c r="M67" i="5"/>
  <c r="L67" i="5"/>
  <c r="K67" i="5"/>
  <c r="J67" i="5"/>
  <c r="I67" i="5"/>
  <c r="F67" i="5"/>
  <c r="D67" i="5"/>
  <c r="Q66" i="5"/>
  <c r="P66" i="5"/>
  <c r="O66" i="5"/>
  <c r="N66" i="5"/>
  <c r="M66" i="5"/>
  <c r="L66" i="5"/>
  <c r="K66" i="5"/>
  <c r="J66" i="5"/>
  <c r="I66" i="5"/>
  <c r="F66" i="5"/>
  <c r="D66" i="5"/>
  <c r="Q65" i="5"/>
  <c r="P65" i="5"/>
  <c r="O65" i="5"/>
  <c r="N65" i="5"/>
  <c r="M65" i="5"/>
  <c r="L65" i="5"/>
  <c r="K65" i="5"/>
  <c r="J65" i="5"/>
  <c r="I65" i="5"/>
  <c r="F65" i="5"/>
  <c r="D65" i="5"/>
  <c r="Q64" i="5"/>
  <c r="P64" i="5"/>
  <c r="O64" i="5"/>
  <c r="N64" i="5"/>
  <c r="M64" i="5"/>
  <c r="L64" i="5"/>
  <c r="K64" i="5"/>
  <c r="J64" i="5"/>
  <c r="I64" i="5"/>
  <c r="F64" i="5"/>
  <c r="D64" i="5"/>
  <c r="Q63" i="5"/>
  <c r="P63" i="5"/>
  <c r="O63" i="5"/>
  <c r="N63" i="5"/>
  <c r="M63" i="5"/>
  <c r="L63" i="5"/>
  <c r="K63" i="5"/>
  <c r="J63" i="5"/>
  <c r="I63" i="5"/>
  <c r="F63" i="5"/>
  <c r="D63" i="5"/>
  <c r="Q62" i="5"/>
  <c r="P62" i="5"/>
  <c r="O62" i="5"/>
  <c r="N62" i="5"/>
  <c r="M62" i="5"/>
  <c r="L62" i="5"/>
  <c r="K62" i="5"/>
  <c r="J62" i="5"/>
  <c r="I62" i="5"/>
  <c r="F62" i="5"/>
  <c r="D62" i="5"/>
  <c r="Q61" i="5"/>
  <c r="AJ95" i="20" s="1"/>
  <c r="P61" i="5"/>
  <c r="AI95" i="20" s="1"/>
  <c r="O61" i="5"/>
  <c r="AH95" i="20" s="1"/>
  <c r="N61" i="5"/>
  <c r="AG95" i="20" s="1"/>
  <c r="M61" i="5"/>
  <c r="AF95" i="20" s="1"/>
  <c r="L61" i="5"/>
  <c r="AE95" i="20" s="1"/>
  <c r="K61" i="5"/>
  <c r="AD95" i="20" s="1"/>
  <c r="J61" i="5"/>
  <c r="AC95" i="20" s="1"/>
  <c r="I61" i="5"/>
  <c r="AB95" i="20" s="1"/>
  <c r="F61" i="5"/>
  <c r="Y95" i="20" s="1"/>
  <c r="D61" i="5"/>
  <c r="Q60" i="5"/>
  <c r="P60" i="5"/>
  <c r="O60" i="5"/>
  <c r="N60" i="5"/>
  <c r="M60" i="5"/>
  <c r="L60" i="5"/>
  <c r="K60" i="5"/>
  <c r="J60" i="5"/>
  <c r="I60" i="5"/>
  <c r="F60" i="5"/>
  <c r="D60" i="5"/>
  <c r="Q59" i="5"/>
  <c r="P59" i="5"/>
  <c r="O59" i="5"/>
  <c r="N59" i="5"/>
  <c r="M59" i="5"/>
  <c r="L59" i="5"/>
  <c r="K59" i="5"/>
  <c r="J59" i="5"/>
  <c r="I59" i="5"/>
  <c r="F59" i="5"/>
  <c r="D59" i="5"/>
  <c r="Q58" i="5"/>
  <c r="P58" i="5"/>
  <c r="O58" i="5"/>
  <c r="N58" i="5"/>
  <c r="M58" i="5"/>
  <c r="L58" i="5"/>
  <c r="K58" i="5"/>
  <c r="J58" i="5"/>
  <c r="I58" i="5"/>
  <c r="F58" i="5"/>
  <c r="D58" i="5"/>
  <c r="Q57" i="5"/>
  <c r="P57" i="5"/>
  <c r="O57" i="5"/>
  <c r="N57" i="5"/>
  <c r="M57" i="5"/>
  <c r="L57" i="5"/>
  <c r="K57" i="5"/>
  <c r="J57" i="5"/>
  <c r="I57" i="5"/>
  <c r="F57" i="5"/>
  <c r="D57" i="5"/>
  <c r="Q56" i="5"/>
  <c r="P56" i="5"/>
  <c r="O56" i="5"/>
  <c r="N56" i="5"/>
  <c r="M56" i="5"/>
  <c r="L56" i="5"/>
  <c r="K56" i="5"/>
  <c r="J56" i="5"/>
  <c r="I56" i="5"/>
  <c r="F56" i="5"/>
  <c r="D56" i="5"/>
  <c r="Q55" i="5"/>
  <c r="P55" i="5"/>
  <c r="O55" i="5"/>
  <c r="N55" i="5"/>
  <c r="M55" i="5"/>
  <c r="L55" i="5"/>
  <c r="K55" i="5"/>
  <c r="J55" i="5"/>
  <c r="I55" i="5"/>
  <c r="F55" i="5"/>
  <c r="D55" i="5"/>
  <c r="Q54" i="5"/>
  <c r="P54" i="5"/>
  <c r="O54" i="5"/>
  <c r="N54" i="5"/>
  <c r="M54" i="5"/>
  <c r="L54" i="5"/>
  <c r="K54" i="5"/>
  <c r="J54" i="5"/>
  <c r="I54" i="5"/>
  <c r="F54" i="5"/>
  <c r="D54" i="5"/>
  <c r="Q53" i="5"/>
  <c r="P53" i="5"/>
  <c r="O53" i="5"/>
  <c r="N53" i="5"/>
  <c r="M53" i="5"/>
  <c r="L53" i="5"/>
  <c r="K53" i="5"/>
  <c r="J53" i="5"/>
  <c r="I53" i="5"/>
  <c r="F53" i="5"/>
  <c r="D53" i="5"/>
  <c r="Q52" i="5"/>
  <c r="P52" i="5"/>
  <c r="O52" i="5"/>
  <c r="N52" i="5"/>
  <c r="M52" i="5"/>
  <c r="L52" i="5"/>
  <c r="K52" i="5"/>
  <c r="J52" i="5"/>
  <c r="I52" i="5"/>
  <c r="F52" i="5"/>
  <c r="D52" i="5"/>
  <c r="Q51" i="5"/>
  <c r="P51" i="5"/>
  <c r="O51" i="5"/>
  <c r="N51" i="5"/>
  <c r="M51" i="5"/>
  <c r="L51" i="5"/>
  <c r="K51" i="5"/>
  <c r="J51" i="5"/>
  <c r="I51" i="5"/>
  <c r="F51" i="5"/>
  <c r="D51" i="5"/>
  <c r="F48" i="5"/>
  <c r="D48" i="5"/>
  <c r="Q47" i="5"/>
  <c r="P47" i="5"/>
  <c r="O47" i="5"/>
  <c r="N47" i="5"/>
  <c r="M47" i="5"/>
  <c r="L47" i="5"/>
  <c r="K47" i="5"/>
  <c r="J47" i="5"/>
  <c r="I47" i="5"/>
  <c r="H47" i="5"/>
  <c r="G47" i="5"/>
  <c r="F47" i="5"/>
  <c r="D47" i="5"/>
  <c r="Q46" i="5"/>
  <c r="P46" i="5"/>
  <c r="O46" i="5"/>
  <c r="N46" i="5"/>
  <c r="M46" i="5"/>
  <c r="L46" i="5"/>
  <c r="K46" i="5"/>
  <c r="J46" i="5"/>
  <c r="I46" i="5"/>
  <c r="F46" i="5"/>
  <c r="D46" i="5"/>
  <c r="Q45" i="5"/>
  <c r="P45" i="5"/>
  <c r="O45" i="5"/>
  <c r="N45" i="5"/>
  <c r="M45" i="5"/>
  <c r="L45" i="5"/>
  <c r="K45" i="5"/>
  <c r="J45" i="5"/>
  <c r="I45" i="5"/>
  <c r="F45" i="5"/>
  <c r="D45" i="5"/>
  <c r="E44" i="5"/>
  <c r="D44" i="5"/>
  <c r="E43" i="5"/>
  <c r="D43" i="5"/>
  <c r="Q42" i="5"/>
  <c r="P42" i="5"/>
  <c r="O42" i="5"/>
  <c r="N42" i="5"/>
  <c r="M42" i="5"/>
  <c r="L42" i="5"/>
  <c r="K42" i="5"/>
  <c r="J42" i="5"/>
  <c r="I42" i="5"/>
  <c r="H42" i="5"/>
  <c r="G42" i="5"/>
  <c r="F42" i="5"/>
  <c r="D42" i="5"/>
  <c r="Q41" i="5"/>
  <c r="P41" i="5"/>
  <c r="O41" i="5"/>
  <c r="N41" i="5"/>
  <c r="M41" i="5"/>
  <c r="L41" i="5"/>
  <c r="K41" i="5"/>
  <c r="J41" i="5"/>
  <c r="I41" i="5"/>
  <c r="F41" i="5"/>
  <c r="D41" i="5"/>
  <c r="Q40" i="5"/>
  <c r="P40" i="5"/>
  <c r="O40" i="5"/>
  <c r="N40" i="5"/>
  <c r="M40" i="5"/>
  <c r="L40" i="5"/>
  <c r="K40" i="5"/>
  <c r="J40" i="5"/>
  <c r="I40" i="5"/>
  <c r="F40" i="5"/>
  <c r="D40" i="5"/>
  <c r="D39" i="5"/>
  <c r="D38" i="5"/>
  <c r="Q37" i="5"/>
  <c r="P37" i="5"/>
  <c r="O37" i="5"/>
  <c r="N37" i="5"/>
  <c r="M37" i="5"/>
  <c r="L37" i="5"/>
  <c r="K37" i="5"/>
  <c r="J37" i="5"/>
  <c r="I37" i="5"/>
  <c r="F37" i="5"/>
  <c r="D37" i="5"/>
  <c r="Q36" i="5"/>
  <c r="P36" i="5"/>
  <c r="O36" i="5"/>
  <c r="N36" i="5"/>
  <c r="M36" i="5"/>
  <c r="L36" i="5"/>
  <c r="K36" i="5"/>
  <c r="J36" i="5"/>
  <c r="I36" i="5"/>
  <c r="F36" i="5"/>
  <c r="D36" i="5"/>
  <c r="Q35" i="5"/>
  <c r="P35" i="5"/>
  <c r="O35" i="5"/>
  <c r="N35" i="5"/>
  <c r="M35" i="5"/>
  <c r="L35" i="5"/>
  <c r="K35" i="5"/>
  <c r="J35" i="5"/>
  <c r="I35" i="5"/>
  <c r="F35" i="5"/>
  <c r="D35" i="5"/>
  <c r="Q34" i="5"/>
  <c r="P34" i="5"/>
  <c r="O34" i="5"/>
  <c r="N34" i="5"/>
  <c r="M34" i="5"/>
  <c r="L34" i="5"/>
  <c r="K34" i="5"/>
  <c r="J34" i="5"/>
  <c r="I34" i="5"/>
  <c r="F34" i="5"/>
  <c r="D34" i="5"/>
  <c r="D33" i="5"/>
  <c r="Q32" i="5"/>
  <c r="P32" i="5"/>
  <c r="O32" i="5"/>
  <c r="N32" i="5"/>
  <c r="M32" i="5"/>
  <c r="L32" i="5"/>
  <c r="K32" i="5"/>
  <c r="J32" i="5"/>
  <c r="I32" i="5"/>
  <c r="F32" i="5"/>
  <c r="D32" i="5"/>
  <c r="D31" i="5"/>
  <c r="Q30" i="5"/>
  <c r="P30" i="5"/>
  <c r="O30" i="5"/>
  <c r="N30" i="5"/>
  <c r="M30" i="5"/>
  <c r="L30" i="5"/>
  <c r="J30" i="5"/>
  <c r="I30" i="5"/>
  <c r="F30" i="5"/>
  <c r="D30" i="5"/>
  <c r="Q29" i="5"/>
  <c r="P29" i="5"/>
  <c r="O29" i="5"/>
  <c r="N29" i="5"/>
  <c r="M29" i="5"/>
  <c r="L29" i="5"/>
  <c r="J29" i="5"/>
  <c r="I29" i="5"/>
  <c r="F29" i="5"/>
  <c r="D29" i="5"/>
  <c r="Q28" i="5"/>
  <c r="P28" i="5"/>
  <c r="O28" i="5"/>
  <c r="N28" i="5"/>
  <c r="M28" i="5"/>
  <c r="L28" i="5"/>
  <c r="K28" i="5"/>
  <c r="J28" i="5"/>
  <c r="I28" i="5"/>
  <c r="F28" i="5"/>
  <c r="D28" i="5"/>
  <c r="Q27" i="5"/>
  <c r="P27" i="5"/>
  <c r="O27" i="5"/>
  <c r="N27" i="5"/>
  <c r="M27" i="5"/>
  <c r="L27" i="5"/>
  <c r="K27" i="5"/>
  <c r="J27" i="5"/>
  <c r="I27" i="5"/>
  <c r="F27" i="5"/>
  <c r="D27" i="5"/>
  <c r="Q26" i="5"/>
  <c r="P26" i="5"/>
  <c r="O26" i="5"/>
  <c r="N26" i="5"/>
  <c r="M26" i="5"/>
  <c r="L26" i="5"/>
  <c r="K26" i="5"/>
  <c r="J26" i="5"/>
  <c r="I26" i="5"/>
  <c r="F26" i="5"/>
  <c r="D26" i="5"/>
  <c r="Q25" i="5"/>
  <c r="P25" i="5"/>
  <c r="O25" i="5"/>
  <c r="N25" i="5"/>
  <c r="M25" i="5"/>
  <c r="L25" i="5"/>
  <c r="K25" i="5"/>
  <c r="J25" i="5"/>
  <c r="I25" i="5"/>
  <c r="F25" i="5"/>
  <c r="D25" i="5"/>
  <c r="Q24" i="5"/>
  <c r="P24" i="5"/>
  <c r="O24" i="5"/>
  <c r="N24" i="5"/>
  <c r="M24" i="5"/>
  <c r="L24" i="5"/>
  <c r="J24" i="5"/>
  <c r="I24" i="5"/>
  <c r="F24" i="5"/>
  <c r="D24" i="5"/>
  <c r="Q23" i="5"/>
  <c r="P23" i="5"/>
  <c r="O23" i="5"/>
  <c r="N23" i="5"/>
  <c r="M23" i="5"/>
  <c r="L23" i="5"/>
  <c r="J23" i="5"/>
  <c r="I23" i="5"/>
  <c r="F23" i="5"/>
  <c r="D23" i="5"/>
  <c r="Q22" i="5"/>
  <c r="P22" i="5"/>
  <c r="O22" i="5"/>
  <c r="N22" i="5"/>
  <c r="M22" i="5"/>
  <c r="L22" i="5"/>
  <c r="J22" i="5"/>
  <c r="I22" i="5"/>
  <c r="F22" i="5"/>
  <c r="D22" i="5"/>
  <c r="Q21" i="5"/>
  <c r="P21" i="5"/>
  <c r="O21" i="5"/>
  <c r="N21" i="5"/>
  <c r="M21" i="5"/>
  <c r="L21" i="5"/>
  <c r="J21" i="5"/>
  <c r="I21" i="5"/>
  <c r="F21" i="5"/>
  <c r="D21" i="5"/>
  <c r="Q20" i="5"/>
  <c r="P20" i="5"/>
  <c r="O20" i="5"/>
  <c r="N20" i="5"/>
  <c r="M20" i="5"/>
  <c r="L20" i="5"/>
  <c r="K20" i="5"/>
  <c r="J20" i="5"/>
  <c r="I20" i="5"/>
  <c r="F20" i="5"/>
  <c r="D20" i="5"/>
  <c r="Q19" i="5"/>
  <c r="P19" i="5"/>
  <c r="O19" i="5"/>
  <c r="N19" i="5"/>
  <c r="M19" i="5"/>
  <c r="L19" i="5"/>
  <c r="K19" i="5"/>
  <c r="J19" i="5"/>
  <c r="I19" i="5"/>
  <c r="F19" i="5"/>
  <c r="D19" i="5"/>
  <c r="Q18" i="5"/>
  <c r="P18" i="5"/>
  <c r="O18" i="5"/>
  <c r="N18" i="5"/>
  <c r="M18" i="5"/>
  <c r="L18" i="5"/>
  <c r="K18" i="5"/>
  <c r="J18" i="5"/>
  <c r="I18" i="5"/>
  <c r="F18" i="5"/>
  <c r="D18" i="5"/>
  <c r="Q17" i="5"/>
  <c r="P17" i="5"/>
  <c r="O17" i="5"/>
  <c r="N17" i="5"/>
  <c r="M17" i="5"/>
  <c r="L17" i="5"/>
  <c r="K17" i="5"/>
  <c r="J17" i="5"/>
  <c r="I17" i="5"/>
  <c r="F17" i="5"/>
  <c r="D17" i="5"/>
  <c r="Q16" i="5"/>
  <c r="P16" i="5"/>
  <c r="O16" i="5"/>
  <c r="N16" i="5"/>
  <c r="M16" i="5"/>
  <c r="L16" i="5"/>
  <c r="J16" i="5"/>
  <c r="I16" i="5"/>
  <c r="F16" i="5"/>
  <c r="D16" i="5"/>
  <c r="Q15" i="5"/>
  <c r="P15" i="5"/>
  <c r="O15" i="5"/>
  <c r="N15" i="5"/>
  <c r="M15" i="5"/>
  <c r="L15" i="5"/>
  <c r="J15" i="5"/>
  <c r="I15" i="5"/>
  <c r="F15" i="5"/>
  <c r="D15" i="5"/>
  <c r="Q14" i="5"/>
  <c r="P14" i="5"/>
  <c r="O14" i="5"/>
  <c r="N14" i="5"/>
  <c r="M14" i="5"/>
  <c r="L14" i="5"/>
  <c r="J14" i="5"/>
  <c r="I14" i="5"/>
  <c r="F14" i="5"/>
  <c r="D14" i="5"/>
  <c r="Q13" i="5"/>
  <c r="P13" i="5"/>
  <c r="O13" i="5"/>
  <c r="N13" i="5"/>
  <c r="M13" i="5"/>
  <c r="L13" i="5"/>
  <c r="K13" i="5"/>
  <c r="J13" i="5"/>
  <c r="I13" i="5"/>
  <c r="F13" i="5"/>
  <c r="D13" i="5"/>
  <c r="Q12" i="5"/>
  <c r="P12" i="5"/>
  <c r="O12" i="5"/>
  <c r="N12" i="5"/>
  <c r="M12" i="5"/>
  <c r="L12" i="5"/>
  <c r="K12" i="5"/>
  <c r="J12" i="5"/>
  <c r="I12" i="5"/>
  <c r="F12" i="5"/>
  <c r="D12" i="5"/>
  <c r="Q11" i="5"/>
  <c r="P11" i="5"/>
  <c r="O11" i="5"/>
  <c r="N11" i="5"/>
  <c r="M11" i="5"/>
  <c r="L11" i="5"/>
  <c r="J11" i="5"/>
  <c r="I11" i="5"/>
  <c r="F11" i="5"/>
  <c r="D11" i="5"/>
  <c r="Q10" i="5"/>
  <c r="P10" i="5"/>
  <c r="O10" i="5"/>
  <c r="N10" i="5"/>
  <c r="M10" i="5"/>
  <c r="L10" i="5"/>
  <c r="K10" i="5"/>
  <c r="J10" i="5"/>
  <c r="I10" i="5"/>
  <c r="H10" i="5"/>
  <c r="G10" i="5"/>
  <c r="F10" i="5"/>
  <c r="A7" i="5"/>
  <c r="A6" i="5"/>
  <c r="A2" i="5"/>
  <c r="A1" i="5"/>
  <c r="C27" i="1"/>
  <c r="B11" i="1"/>
  <c r="B10" i="1"/>
  <c r="B8" i="1"/>
  <c r="B7" i="1"/>
  <c r="O119" i="164" l="1"/>
  <c r="A4" i="180"/>
  <c r="A4" i="179"/>
  <c r="A50" i="179"/>
  <c r="A189" i="179"/>
  <c r="A4" i="172"/>
  <c r="A89" i="172"/>
  <c r="A4" i="170"/>
  <c r="A354" i="172"/>
  <c r="A134" i="179"/>
  <c r="A5" i="178"/>
  <c r="A4" i="177"/>
  <c r="A93" i="179"/>
  <c r="A4" i="182"/>
  <c r="A232" i="179"/>
  <c r="A5" i="176"/>
  <c r="A4" i="175"/>
  <c r="A4" i="174"/>
  <c r="A4" i="173"/>
  <c r="A48" i="172"/>
  <c r="A4" i="171"/>
  <c r="A39" i="180"/>
  <c r="A410" i="179"/>
  <c r="A28" i="177"/>
  <c r="A26" i="175"/>
  <c r="A313" i="172"/>
  <c r="A393" i="172"/>
  <c r="A32" i="178"/>
  <c r="A52" i="171"/>
  <c r="A55" i="181"/>
  <c r="A281" i="179"/>
  <c r="A507" i="179"/>
  <c r="A447" i="172"/>
  <c r="A6" i="181"/>
  <c r="A269" i="174"/>
  <c r="A5" i="170"/>
  <c r="A42" i="182"/>
  <c r="A103" i="181"/>
  <c r="A368" i="179"/>
  <c r="A42" i="176"/>
  <c r="A44" i="173"/>
  <c r="A489" i="172"/>
  <c r="A327" i="179"/>
  <c r="A464" i="179"/>
  <c r="A269" i="172"/>
  <c r="X167" i="15"/>
  <c r="M41" i="54"/>
  <c r="A4" i="57"/>
  <c r="A5" i="159"/>
  <c r="A6" i="62"/>
  <c r="A5" i="57"/>
  <c r="A6" i="159"/>
  <c r="A4" i="30"/>
  <c r="G80" i="110"/>
  <c r="C80" i="110"/>
  <c r="H54" i="62"/>
  <c r="K88" i="164"/>
  <c r="O104" i="164"/>
  <c r="K61" i="164"/>
  <c r="G34" i="110"/>
  <c r="G36" i="110" s="1"/>
  <c r="C77" i="110"/>
  <c r="G77" i="110"/>
  <c r="D54" i="159"/>
  <c r="D64" i="159" s="1"/>
  <c r="G29" i="42"/>
  <c r="W275" i="24" s="1"/>
  <c r="W276" i="24" s="1"/>
  <c r="W286" i="24" s="1"/>
  <c r="H53" i="159"/>
  <c r="I28" i="164"/>
  <c r="Q40" i="141"/>
  <c r="N32" i="159"/>
  <c r="H33" i="159"/>
  <c r="I104" i="164"/>
  <c r="A4" i="33"/>
  <c r="A5" i="49"/>
  <c r="A5" i="50"/>
  <c r="E54" i="159"/>
  <c r="E64" i="159" s="1"/>
  <c r="H11" i="124"/>
  <c r="J11" i="124" s="1"/>
  <c r="L11" i="124" s="1"/>
  <c r="G24" i="66"/>
  <c r="K47" i="110"/>
  <c r="M39" i="164"/>
  <c r="A4" i="26"/>
  <c r="B4" i="40"/>
  <c r="R116" i="109"/>
  <c r="H28" i="109" s="1"/>
  <c r="Y284" i="24" s="1"/>
  <c r="O17" i="163" s="1"/>
  <c r="A4" i="131"/>
  <c r="G52" i="66"/>
  <c r="L47" i="110"/>
  <c r="I39" i="164"/>
  <c r="O61" i="164"/>
  <c r="G104" i="164"/>
  <c r="A4" i="42"/>
  <c r="I53" i="42"/>
  <c r="A4" i="109"/>
  <c r="R32" i="159"/>
  <c r="H41" i="159"/>
  <c r="R41" i="159"/>
  <c r="N53" i="159"/>
  <c r="T63" i="159"/>
  <c r="Q20" i="164"/>
  <c r="O28" i="164"/>
  <c r="K104" i="164"/>
  <c r="A5" i="9"/>
  <c r="M18" i="164"/>
  <c r="N88" i="164"/>
  <c r="M88" i="164" s="1"/>
  <c r="I95" i="164"/>
  <c r="Q104" i="164"/>
  <c r="Q119" i="164"/>
  <c r="J126" i="164"/>
  <c r="K126" i="164" s="1"/>
  <c r="A4" i="27"/>
  <c r="A4" i="38"/>
  <c r="R115" i="109"/>
  <c r="H27" i="109" s="1"/>
  <c r="Y292" i="24" s="1"/>
  <c r="U230" i="24" s="1"/>
  <c r="A4" i="112"/>
  <c r="A5" i="45"/>
  <c r="A42" i="61"/>
  <c r="Q33" i="159"/>
  <c r="R33" i="159" s="1"/>
  <c r="V36" i="159"/>
  <c r="J47" i="110"/>
  <c r="D77" i="110"/>
  <c r="H77" i="110"/>
  <c r="N50" i="164"/>
  <c r="A5" i="66"/>
  <c r="U76" i="145"/>
  <c r="I61" i="164"/>
  <c r="M104" i="164"/>
  <c r="G119" i="164"/>
  <c r="M119" i="164"/>
  <c r="A4" i="34"/>
  <c r="R114" i="109"/>
  <c r="H26" i="109" s="1"/>
  <c r="Y283" i="24" s="1"/>
  <c r="R100" i="109"/>
  <c r="R112" i="109"/>
  <c r="H24" i="109" s="1"/>
  <c r="Y281" i="24" s="1"/>
  <c r="L17" i="163" s="1"/>
  <c r="A4" i="145"/>
  <c r="K42" i="145"/>
  <c r="A5" i="43"/>
  <c r="A5" i="51"/>
  <c r="Q26" i="57"/>
  <c r="B5" i="58"/>
  <c r="H36" i="159"/>
  <c r="K44" i="159"/>
  <c r="M45" i="159"/>
  <c r="M54" i="159" s="1"/>
  <c r="R53" i="159"/>
  <c r="I47" i="110"/>
  <c r="M47" i="110"/>
  <c r="E72" i="110"/>
  <c r="L155" i="110"/>
  <c r="B5" i="59"/>
  <c r="H32" i="159"/>
  <c r="P32" i="159"/>
  <c r="K36" i="159"/>
  <c r="K53" i="159"/>
  <c r="M38" i="72"/>
  <c r="F47" i="110"/>
  <c r="N47" i="110"/>
  <c r="F77" i="110"/>
  <c r="D80" i="110"/>
  <c r="H80" i="110"/>
  <c r="AC90" i="145"/>
  <c r="AC92" i="145" s="1"/>
  <c r="AC94" i="145" s="1"/>
  <c r="I22" i="145" s="1"/>
  <c r="Y392" i="24" s="1"/>
  <c r="E29" i="163" s="1"/>
  <c r="G95" i="164"/>
  <c r="E61" i="164"/>
  <c r="A5" i="12"/>
  <c r="E104" i="164"/>
  <c r="I119" i="164"/>
  <c r="K119" i="164"/>
  <c r="Q125" i="164"/>
  <c r="S126" i="164"/>
  <c r="P36" i="159"/>
  <c r="O41" i="159"/>
  <c r="P41" i="159" s="1"/>
  <c r="J20" i="164"/>
  <c r="I20" i="164" s="1"/>
  <c r="K18" i="164"/>
  <c r="I18" i="164"/>
  <c r="Q28" i="164"/>
  <c r="O39" i="164"/>
  <c r="P50" i="164"/>
  <c r="Q39" i="164"/>
  <c r="J165" i="110"/>
  <c r="I70" i="110"/>
  <c r="O95" i="164"/>
  <c r="Q95" i="164"/>
  <c r="X14" i="159"/>
  <c r="F88" i="110"/>
  <c r="N63" i="159"/>
  <c r="P63" i="159"/>
  <c r="D20" i="164"/>
  <c r="D64" i="164" s="1"/>
  <c r="Q18" i="164"/>
  <c r="K28" i="164"/>
  <c r="M28" i="164"/>
  <c r="O84" i="164"/>
  <c r="P88" i="164"/>
  <c r="P129" i="164" s="1"/>
  <c r="E88" i="164"/>
  <c r="E95" i="164"/>
  <c r="M125" i="164"/>
  <c r="O125" i="164"/>
  <c r="O137" i="54"/>
  <c r="T32" i="159"/>
  <c r="T36" i="159"/>
  <c r="R36" i="159"/>
  <c r="P53" i="159"/>
  <c r="D34" i="66"/>
  <c r="G44" i="66"/>
  <c r="G49" i="66"/>
  <c r="C49" i="66"/>
  <c r="P53" i="154"/>
  <c r="G19" i="154" s="1"/>
  <c r="G23" i="154" s="1"/>
  <c r="W223" i="24" s="1"/>
  <c r="P10" i="163" s="1"/>
  <c r="H50" i="164"/>
  <c r="G50" i="164" s="1"/>
  <c r="G39" i="164"/>
  <c r="S64" i="164"/>
  <c r="Q61" i="164"/>
  <c r="M126" i="164"/>
  <c r="C83" i="110"/>
  <c r="G54" i="159"/>
  <c r="G64" i="159" s="1"/>
  <c r="N36" i="159"/>
  <c r="T41" i="159"/>
  <c r="H83" i="110"/>
  <c r="S54" i="159"/>
  <c r="N20" i="164"/>
  <c r="O18" i="164"/>
  <c r="K39" i="164"/>
  <c r="L50" i="164"/>
  <c r="K50" i="164" s="1"/>
  <c r="F72" i="110"/>
  <c r="I88" i="164"/>
  <c r="K125" i="164"/>
  <c r="H129" i="164"/>
  <c r="AA207" i="20" a="1"/>
  <c r="AA207" i="20" s="1"/>
  <c r="E83" i="110"/>
  <c r="K41" i="159"/>
  <c r="X41" i="159"/>
  <c r="V53" i="159"/>
  <c r="T53" i="159"/>
  <c r="D88" i="110"/>
  <c r="H63" i="159"/>
  <c r="K63" i="159"/>
  <c r="N44" i="66"/>
  <c r="N49" i="66"/>
  <c r="F44" i="66"/>
  <c r="F50" i="66"/>
  <c r="G47" i="110"/>
  <c r="M61" i="164"/>
  <c r="G70" i="110"/>
  <c r="K95" i="164"/>
  <c r="L129" i="164"/>
  <c r="O149" i="55"/>
  <c r="E50" i="55"/>
  <c r="F50" i="55" s="1"/>
  <c r="H50" i="55" s="1"/>
  <c r="J50" i="55" s="1"/>
  <c r="K32" i="159"/>
  <c r="M33" i="159"/>
  <c r="N33" i="159" s="1"/>
  <c r="G83" i="110"/>
  <c r="Q54" i="159"/>
  <c r="T44" i="159"/>
  <c r="U45" i="159"/>
  <c r="I83" i="110" s="1"/>
  <c r="V44" i="159"/>
  <c r="E18" i="164"/>
  <c r="E50" i="164"/>
  <c r="G72" i="110"/>
  <c r="G165" i="110"/>
  <c r="G126" i="164"/>
  <c r="O126" i="164"/>
  <c r="AE211" i="20" a="1"/>
  <c r="AE211" i="20" s="1"/>
  <c r="C339" i="22"/>
  <c r="Q192" i="24"/>
  <c r="A4" i="25"/>
  <c r="A4" i="84"/>
  <c r="A4" i="115"/>
  <c r="L37" i="115"/>
  <c r="A4" i="140"/>
  <c r="Q39" i="141"/>
  <c r="C88" i="46"/>
  <c r="M133" i="55"/>
  <c r="V32" i="159"/>
  <c r="N44" i="159"/>
  <c r="O45" i="159"/>
  <c r="A5" i="63"/>
  <c r="A4" i="165"/>
  <c r="A4" i="143"/>
  <c r="A4" i="154"/>
  <c r="N61" i="109"/>
  <c r="N60" i="109"/>
  <c r="A4" i="16"/>
  <c r="A4" i="29"/>
  <c r="A4" i="37"/>
  <c r="A4" i="130"/>
  <c r="Q38" i="141"/>
  <c r="A32" i="55"/>
  <c r="H44" i="159"/>
  <c r="J45" i="159"/>
  <c r="H45" i="159" s="1"/>
  <c r="P44" i="159"/>
  <c r="H88" i="110"/>
  <c r="R63" i="159"/>
  <c r="A5" i="65"/>
  <c r="N155" i="110"/>
  <c r="M34" i="66"/>
  <c r="E80" i="110"/>
  <c r="I80" i="110"/>
  <c r="K95" i="110"/>
  <c r="V63" i="159"/>
  <c r="N34" i="66"/>
  <c r="F34" i="66"/>
  <c r="M44" i="66"/>
  <c r="F80" i="110"/>
  <c r="M155" i="110"/>
  <c r="E77" i="110"/>
  <c r="K37" i="56"/>
  <c r="K42" i="56" s="1"/>
  <c r="U46" i="37"/>
  <c r="U50" i="37" s="1"/>
  <c r="U52" i="37" s="1"/>
  <c r="J20" i="37" s="1"/>
  <c r="J26" i="37" s="1"/>
  <c r="Y223" i="24" s="1"/>
  <c r="P43" i="141"/>
  <c r="Q43" i="141" s="1"/>
  <c r="P42" i="141"/>
  <c r="Q42" i="141" s="1"/>
  <c r="Q41" i="141"/>
  <c r="AA420" i="24"/>
  <c r="AA422" i="24" s="1"/>
  <c r="AA169" i="20" a="1"/>
  <c r="AA169" i="20" s="1"/>
  <c r="AH211" i="20" a="1"/>
  <c r="AH211" i="20" s="1"/>
  <c r="AI167" i="20" a="1"/>
  <c r="AI167" i="20" s="1"/>
  <c r="AC171" i="20" a="1"/>
  <c r="AC171" i="20" s="1"/>
  <c r="AD190" i="20" a="1"/>
  <c r="AD190" i="20" s="1"/>
  <c r="AJ193" i="20" a="1"/>
  <c r="AJ193" i="20" s="1"/>
  <c r="AG194" i="20" a="1"/>
  <c r="AG194" i="20" s="1"/>
  <c r="AI168" i="20" a="1"/>
  <c r="AI168" i="20" s="1"/>
  <c r="AE185" i="20" a="1"/>
  <c r="AE185" i="20" s="1"/>
  <c r="AI203" i="20" a="1"/>
  <c r="AI203" i="20" s="1"/>
  <c r="Z182" i="20" a="1"/>
  <c r="Z182" i="20" s="1"/>
  <c r="Z186" i="20" a="1"/>
  <c r="Z186" i="20" s="1"/>
  <c r="AI191" i="20" a="1"/>
  <c r="AI191" i="20" s="1"/>
  <c r="Y193" i="20" a="1"/>
  <c r="Y193" i="20" s="1"/>
  <c r="AE183" i="20" a="1"/>
  <c r="AE183" i="20" s="1"/>
  <c r="AD201" i="20" a="1"/>
  <c r="AD201" i="20" s="1"/>
  <c r="AB170" i="20" a="1"/>
  <c r="AB170" i="20" s="1"/>
  <c r="AC192" i="20" a="1"/>
  <c r="AC192" i="20" s="1"/>
  <c r="Z202" i="20" a="1"/>
  <c r="Z202" i="20" s="1"/>
  <c r="AG204" i="20" a="1"/>
  <c r="AG204" i="20" s="1"/>
  <c r="AJ209" i="20" a="1"/>
  <c r="AJ209" i="20" s="1"/>
  <c r="AD182" i="20" a="1"/>
  <c r="AD182" i="20" s="1"/>
  <c r="AB194" i="20" a="1"/>
  <c r="AB194" i="20" s="1"/>
  <c r="AG200" i="20" a="1"/>
  <c r="AG200" i="20" s="1"/>
  <c r="AB202" i="20" a="1"/>
  <c r="AB202" i="20" s="1"/>
  <c r="AA203" i="20" a="1"/>
  <c r="AA203" i="20" s="1"/>
  <c r="AI204" i="20" a="1"/>
  <c r="AI204" i="20" s="1"/>
  <c r="AG208" i="20" a="1"/>
  <c r="AG208" i="20" s="1"/>
  <c r="AH202" i="20" a="1"/>
  <c r="AH202" i="20" s="1"/>
  <c r="AC203" i="20" a="1"/>
  <c r="AC203" i="20" s="1"/>
  <c r="AH208" i="20" a="1"/>
  <c r="AH208" i="20" s="1"/>
  <c r="AJ186" i="20" a="1"/>
  <c r="AJ186" i="20" s="1"/>
  <c r="Z184" i="20" a="1"/>
  <c r="Z184" i="20" s="1"/>
  <c r="AJ191" i="20" a="1"/>
  <c r="AJ191" i="20" s="1"/>
  <c r="AD191" i="20" a="1"/>
  <c r="AD191" i="20" s="1"/>
  <c r="AF193" i="20" a="1"/>
  <c r="AF193" i="20" s="1"/>
  <c r="AD202" i="20" a="1"/>
  <c r="AD202" i="20" s="1"/>
  <c r="AJ202" i="20" a="1"/>
  <c r="AJ202" i="20" s="1"/>
  <c r="G145" i="22"/>
  <c r="J145" i="22" s="1"/>
  <c r="G146" i="22"/>
  <c r="J146" i="22" s="1"/>
  <c r="P45" i="143"/>
  <c r="P47" i="143" s="1"/>
  <c r="I20" i="143" s="1"/>
  <c r="I24" i="143" s="1"/>
  <c r="W402" i="24" s="1"/>
  <c r="I28" i="163" s="1"/>
  <c r="AC420" i="24"/>
  <c r="AC422" i="24" s="1"/>
  <c r="AE482" i="24"/>
  <c r="AE484" i="24" s="1"/>
  <c r="AC482" i="24"/>
  <c r="AC487" i="24" s="1"/>
  <c r="AC490" i="24" s="1"/>
  <c r="U482" i="24"/>
  <c r="U487" i="24" s="1"/>
  <c r="U490" i="24" s="1"/>
  <c r="U297" i="24"/>
  <c r="U298" i="24" s="1"/>
  <c r="AE420" i="24"/>
  <c r="AE422" i="24" s="1"/>
  <c r="AA482" i="24"/>
  <c r="AA484" i="24" s="1"/>
  <c r="M48" i="24"/>
  <c r="M53" i="24" s="1"/>
  <c r="M56" i="24" s="1"/>
  <c r="W482" i="24"/>
  <c r="W487" i="24" s="1"/>
  <c r="W490" i="24" s="1"/>
  <c r="Y482" i="24"/>
  <c r="Y484" i="24" s="1"/>
  <c r="K44" i="66"/>
  <c r="K49" i="66"/>
  <c r="K34" i="66"/>
  <c r="G18" i="164"/>
  <c r="F20" i="164"/>
  <c r="G20" i="164" s="1"/>
  <c r="E126" i="164"/>
  <c r="D129" i="164"/>
  <c r="E119" i="164"/>
  <c r="G88" i="164"/>
  <c r="F129" i="164"/>
  <c r="G61" i="164"/>
  <c r="E28" i="164"/>
  <c r="G28" i="164"/>
  <c r="T53" i="142"/>
  <c r="O45" i="141"/>
  <c r="H24" i="130"/>
  <c r="U346" i="24" s="1"/>
  <c r="C69" i="46"/>
  <c r="C70" i="46" s="1"/>
  <c r="C71" i="46" s="1"/>
  <c r="C72" i="46" s="1"/>
  <c r="C73" i="46" s="1"/>
  <c r="C74" i="46" s="1"/>
  <c r="C75" i="46" s="1"/>
  <c r="C76" i="46" s="1"/>
  <c r="C77" i="46" s="1"/>
  <c r="C78" i="46" s="1"/>
  <c r="M30" i="163"/>
  <c r="U220" i="24"/>
  <c r="AO533" i="24" s="1"/>
  <c r="K30" i="163"/>
  <c r="U218" i="24"/>
  <c r="AO531" i="24" s="1"/>
  <c r="P61" i="20"/>
  <c r="P68" i="20" s="1"/>
  <c r="Q124" i="55"/>
  <c r="U124" i="55"/>
  <c r="U126" i="55" s="1"/>
  <c r="X174" i="55"/>
  <c r="X176" i="55" s="1"/>
  <c r="T174" i="55"/>
  <c r="T176" i="55" s="1"/>
  <c r="P124" i="55"/>
  <c r="P126" i="55" s="1"/>
  <c r="T124" i="55"/>
  <c r="T126" i="55" s="1"/>
  <c r="X124" i="55"/>
  <c r="X126" i="55" s="1"/>
  <c r="AA124" i="55"/>
  <c r="AA126" i="55" s="1"/>
  <c r="W174" i="55"/>
  <c r="W176" i="55" s="1"/>
  <c r="H20" i="55"/>
  <c r="J20" i="55" s="1"/>
  <c r="O69" i="55"/>
  <c r="E18" i="55" s="1"/>
  <c r="R124" i="55"/>
  <c r="V124" i="55"/>
  <c r="V126" i="55" s="1"/>
  <c r="Y174" i="55"/>
  <c r="Y176" i="55" s="1"/>
  <c r="AA174" i="55"/>
  <c r="AA178" i="55" s="1"/>
  <c r="H22" i="55"/>
  <c r="J22" i="55" s="1"/>
  <c r="W124" i="55"/>
  <c r="W126" i="55" s="1"/>
  <c r="Z174" i="55"/>
  <c r="Z176" i="55" s="1"/>
  <c r="G85" i="22"/>
  <c r="J85" i="22" s="1"/>
  <c r="J73" i="22"/>
  <c r="J76" i="22"/>
  <c r="G78" i="22"/>
  <c r="J78" i="22" s="1"/>
  <c r="F23" i="20"/>
  <c r="T143" i="54"/>
  <c r="X143" i="54"/>
  <c r="Q143" i="54"/>
  <c r="U143" i="54"/>
  <c r="Y143" i="54"/>
  <c r="R143" i="54"/>
  <c r="V143" i="54"/>
  <c r="Z143" i="54"/>
  <c r="S143" i="54"/>
  <c r="W143" i="54"/>
  <c r="AA143" i="54"/>
  <c r="P143" i="54"/>
  <c r="J96" i="54"/>
  <c r="Y358" i="24"/>
  <c r="Y363" i="24" s="1"/>
  <c r="Y366" i="24" s="1"/>
  <c r="S127" i="55"/>
  <c r="W127" i="55"/>
  <c r="AA127" i="55"/>
  <c r="D40" i="110"/>
  <c r="U127" i="55"/>
  <c r="Y127" i="55"/>
  <c r="T127" i="55"/>
  <c r="X127" i="55"/>
  <c r="P127" i="55"/>
  <c r="V127" i="55"/>
  <c r="Z127" i="55"/>
  <c r="R87" i="40"/>
  <c r="H43" i="40" s="1"/>
  <c r="R73" i="40"/>
  <c r="H22" i="40" s="1"/>
  <c r="M57" i="81"/>
  <c r="K18" i="68" s="1"/>
  <c r="G21" i="68"/>
  <c r="O62" i="54"/>
  <c r="O68" i="54" s="1"/>
  <c r="G24" i="54"/>
  <c r="J30" i="54"/>
  <c r="J33" i="54" s="1"/>
  <c r="K26" i="54"/>
  <c r="O122" i="55"/>
  <c r="E24" i="55" s="1"/>
  <c r="F24" i="55" s="1"/>
  <c r="H24" i="55" s="1"/>
  <c r="J24" i="55" s="1"/>
  <c r="S124" i="55"/>
  <c r="S126" i="55" s="1"/>
  <c r="Z124" i="55"/>
  <c r="Z126" i="55" s="1"/>
  <c r="Y124" i="55"/>
  <c r="Y126" i="55" s="1"/>
  <c r="V174" i="55"/>
  <c r="V176" i="55" s="1"/>
  <c r="U174" i="55"/>
  <c r="U178" i="55" s="1"/>
  <c r="P174" i="55"/>
  <c r="P176" i="55" s="1"/>
  <c r="O141" i="55"/>
  <c r="E46" i="55" s="1"/>
  <c r="F46" i="55" s="1"/>
  <c r="H46" i="55" s="1"/>
  <c r="J46" i="55" s="1"/>
  <c r="H48" i="55"/>
  <c r="J48" i="55" s="1"/>
  <c r="O172" i="55"/>
  <c r="Q176" i="55"/>
  <c r="Q178" i="55"/>
  <c r="R176" i="55"/>
  <c r="R178" i="55"/>
  <c r="S176" i="55"/>
  <c r="S178" i="55"/>
  <c r="V33" i="159"/>
  <c r="T33" i="159"/>
  <c r="I77" i="110"/>
  <c r="A89" i="15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T72" i="62"/>
  <c r="D62" i="62"/>
  <c r="D73" i="62" s="1"/>
  <c r="D76" i="62" s="1"/>
  <c r="P51" i="62"/>
  <c r="R51" i="62"/>
  <c r="P20" i="62"/>
  <c r="V51" i="62"/>
  <c r="K67" i="62"/>
  <c r="K69" i="62"/>
  <c r="V36" i="62"/>
  <c r="H45" i="62"/>
  <c r="E62" i="62"/>
  <c r="E73" i="62" s="1"/>
  <c r="E76" i="62" s="1"/>
  <c r="H67" i="62"/>
  <c r="P72" i="62"/>
  <c r="V72" i="62"/>
  <c r="K48" i="62"/>
  <c r="H48" i="62"/>
  <c r="H68" i="62"/>
  <c r="Q14" i="62"/>
  <c r="O30" i="62"/>
  <c r="O40" i="62" s="1"/>
  <c r="M62" i="62"/>
  <c r="X62" i="62"/>
  <c r="R72" i="62"/>
  <c r="E15" i="66"/>
  <c r="N29" i="62"/>
  <c r="H49" i="62"/>
  <c r="H50" i="62"/>
  <c r="N51" i="62"/>
  <c r="S62" i="62"/>
  <c r="N72" i="62"/>
  <c r="U30" i="62"/>
  <c r="V20" i="62"/>
  <c r="P29" i="62"/>
  <c r="R29" i="62"/>
  <c r="R36" i="62"/>
  <c r="T36" i="62"/>
  <c r="S40" i="62"/>
  <c r="H66" i="62"/>
  <c r="Q30" i="62"/>
  <c r="R30" i="62" s="1"/>
  <c r="R20" i="62"/>
  <c r="X40" i="62"/>
  <c r="H71" i="62"/>
  <c r="K71" i="62"/>
  <c r="M30" i="62"/>
  <c r="M40" i="62" s="1"/>
  <c r="M41" i="62" s="1"/>
  <c r="N20" i="62"/>
  <c r="N36" i="62"/>
  <c r="P36" i="62"/>
  <c r="U62" i="62"/>
  <c r="K66" i="62"/>
  <c r="T20" i="62"/>
  <c r="H47" i="62"/>
  <c r="G62" i="62"/>
  <c r="Q62" i="62"/>
  <c r="H59" i="62"/>
  <c r="H70" i="62"/>
  <c r="K70" i="62"/>
  <c r="H69" i="62"/>
  <c r="O62" i="62"/>
  <c r="T51" i="62"/>
  <c r="C15" i="63"/>
  <c r="E15" i="63"/>
  <c r="N15" i="66"/>
  <c r="F15" i="63"/>
  <c r="C15" i="66"/>
  <c r="C15" i="67"/>
  <c r="D15" i="67"/>
  <c r="E15" i="67"/>
  <c r="H40" i="124"/>
  <c r="J40" i="124"/>
  <c r="F67" i="149"/>
  <c r="Y96" i="61"/>
  <c r="AA91" i="61" s="1"/>
  <c r="Y98" i="61"/>
  <c r="Q120" i="46"/>
  <c r="K23" i="66"/>
  <c r="K24" i="66" s="1"/>
  <c r="H20" i="124"/>
  <c r="AI150" i="20" s="1"/>
  <c r="F23" i="124"/>
  <c r="O27" i="64"/>
  <c r="I19" i="66"/>
  <c r="I49" i="66" s="1"/>
  <c r="P17" i="64"/>
  <c r="I44" i="63" s="1"/>
  <c r="O17" i="64"/>
  <c r="H13" i="124"/>
  <c r="H16" i="124"/>
  <c r="AE150" i="20" s="1"/>
  <c r="E23" i="124"/>
  <c r="H12" i="124"/>
  <c r="D23" i="124"/>
  <c r="H18" i="124"/>
  <c r="AG150" i="20" s="1"/>
  <c r="I50" i="66"/>
  <c r="L70" i="148"/>
  <c r="J66" i="157" s="1"/>
  <c r="J67" i="157" s="1"/>
  <c r="O70" i="142"/>
  <c r="Q66" i="142" s="1"/>
  <c r="M100" i="61"/>
  <c r="Y100" i="61" s="1"/>
  <c r="U53" i="142"/>
  <c r="H151" i="5"/>
  <c r="H155" i="5"/>
  <c r="H171" i="5"/>
  <c r="H215" i="5"/>
  <c r="E215" i="5" s="1"/>
  <c r="H216" i="5"/>
  <c r="H150" i="5"/>
  <c r="H154" i="5"/>
  <c r="H158" i="5"/>
  <c r="H170" i="5"/>
  <c r="H214" i="5"/>
  <c r="H149" i="5"/>
  <c r="H153" i="5"/>
  <c r="H157" i="5"/>
  <c r="H169" i="5"/>
  <c r="H173" i="5"/>
  <c r="H213" i="5"/>
  <c r="H218" i="5"/>
  <c r="H221" i="5"/>
  <c r="E221" i="5" s="1"/>
  <c r="H222" i="5"/>
  <c r="H152" i="5"/>
  <c r="H156" i="5"/>
  <c r="H168" i="5"/>
  <c r="H172" i="5"/>
  <c r="H217" i="5"/>
  <c r="H135" i="5"/>
  <c r="H139" i="5"/>
  <c r="H237" i="5" s="1"/>
  <c r="H143" i="5"/>
  <c r="H147" i="5"/>
  <c r="H134" i="5"/>
  <c r="H138" i="5"/>
  <c r="H142" i="5"/>
  <c r="H146" i="5"/>
  <c r="H133" i="5"/>
  <c r="H137" i="5"/>
  <c r="H141" i="5"/>
  <c r="H145" i="5"/>
  <c r="H136" i="5"/>
  <c r="H140" i="5"/>
  <c r="H144" i="5"/>
  <c r="H148" i="5"/>
  <c r="H127" i="5"/>
  <c r="H131" i="5"/>
  <c r="H121" i="5"/>
  <c r="H125" i="5"/>
  <c r="H130" i="5"/>
  <c r="H120" i="5"/>
  <c r="H124" i="5"/>
  <c r="H129" i="5"/>
  <c r="H122" i="5"/>
  <c r="H123" i="5"/>
  <c r="H128" i="5"/>
  <c r="H132" i="5"/>
  <c r="H109" i="5"/>
  <c r="H113" i="5"/>
  <c r="H104" i="5"/>
  <c r="H108" i="5"/>
  <c r="H112" i="5"/>
  <c r="H110" i="5"/>
  <c r="H107" i="5"/>
  <c r="H111" i="5"/>
  <c r="H86" i="5"/>
  <c r="H90" i="5"/>
  <c r="H85" i="5"/>
  <c r="H89" i="5"/>
  <c r="H97" i="5"/>
  <c r="H84" i="5"/>
  <c r="H88" i="5"/>
  <c r="H96" i="5"/>
  <c r="H83" i="5"/>
  <c r="H87" i="5"/>
  <c r="H91" i="5"/>
  <c r="H95" i="5"/>
  <c r="H58" i="5"/>
  <c r="H48" i="5"/>
  <c r="H53" i="5"/>
  <c r="H57" i="5"/>
  <c r="H61" i="5"/>
  <c r="AA95" i="20" s="1"/>
  <c r="H60" i="5"/>
  <c r="H51" i="5"/>
  <c r="H55" i="5"/>
  <c r="AF98" i="20"/>
  <c r="AJ98" i="20"/>
  <c r="AH99" i="20"/>
  <c r="AF100" i="20"/>
  <c r="AJ100" i="20"/>
  <c r="AE102" i="20"/>
  <c r="AI102" i="20"/>
  <c r="AE98" i="20"/>
  <c r="AI98" i="20"/>
  <c r="AG99" i="20"/>
  <c r="AE100" i="20"/>
  <c r="AI100" i="20"/>
  <c r="AH102" i="20"/>
  <c r="AG98" i="20"/>
  <c r="AE99" i="20"/>
  <c r="AI99" i="20"/>
  <c r="AG100" i="20"/>
  <c r="AF102" i="20"/>
  <c r="AJ102" i="20"/>
  <c r="AH98" i="20"/>
  <c r="AF99" i="20"/>
  <c r="AJ99" i="20"/>
  <c r="AH100" i="20"/>
  <c r="AG102" i="20"/>
  <c r="G213" i="5"/>
  <c r="G220" i="5"/>
  <c r="E220" i="5" s="1"/>
  <c r="G217" i="5"/>
  <c r="G218" i="5"/>
  <c r="G222" i="5"/>
  <c r="G246" i="5" s="1"/>
  <c r="H202" i="5"/>
  <c r="H206" i="5"/>
  <c r="H210" i="5"/>
  <c r="G216" i="5"/>
  <c r="H205" i="5"/>
  <c r="H209" i="5"/>
  <c r="H204" i="5"/>
  <c r="H203" i="5"/>
  <c r="H208" i="5"/>
  <c r="H207" i="5"/>
  <c r="H212" i="5"/>
  <c r="H211" i="5"/>
  <c r="G214" i="5"/>
  <c r="G207" i="5"/>
  <c r="G211" i="5"/>
  <c r="H200" i="5"/>
  <c r="G204" i="5"/>
  <c r="G208" i="5"/>
  <c r="G212" i="5"/>
  <c r="H201" i="5"/>
  <c r="G203" i="5"/>
  <c r="H199" i="5"/>
  <c r="H192" i="5"/>
  <c r="H191" i="5"/>
  <c r="H195" i="5"/>
  <c r="H196" i="5"/>
  <c r="H197" i="5"/>
  <c r="H198" i="5"/>
  <c r="G192" i="5"/>
  <c r="H193" i="5"/>
  <c r="G196" i="5"/>
  <c r="H190" i="5"/>
  <c r="R127" i="55" s="1"/>
  <c r="G195" i="5"/>
  <c r="G193" i="5"/>
  <c r="G197" i="5"/>
  <c r="H188" i="5"/>
  <c r="G190" i="5"/>
  <c r="H189" i="5"/>
  <c r="H187" i="5"/>
  <c r="H186" i="5"/>
  <c r="U70" i="54"/>
  <c r="U71" i="54" s="1"/>
  <c r="Y70" i="54"/>
  <c r="Y71" i="54" s="1"/>
  <c r="H185" i="5"/>
  <c r="S70" i="54"/>
  <c r="S71" i="54" s="1"/>
  <c r="W70" i="54"/>
  <c r="W71" i="54" s="1"/>
  <c r="AA70" i="54"/>
  <c r="AA71" i="54" s="1"/>
  <c r="G170" i="5"/>
  <c r="H179" i="5"/>
  <c r="G189" i="5"/>
  <c r="H175" i="5"/>
  <c r="H174" i="5"/>
  <c r="H184" i="5"/>
  <c r="G168" i="5"/>
  <c r="H181" i="5"/>
  <c r="H180" i="5"/>
  <c r="H183" i="5"/>
  <c r="H182" i="5"/>
  <c r="G188" i="5"/>
  <c r="G172" i="5"/>
  <c r="H177" i="5"/>
  <c r="T70" i="54"/>
  <c r="T71" i="54" s="1"/>
  <c r="X70" i="54"/>
  <c r="X71" i="54" s="1"/>
  <c r="V70" i="54"/>
  <c r="V71" i="54" s="1"/>
  <c r="Z70" i="54"/>
  <c r="Z71" i="54" s="1"/>
  <c r="G181" i="5"/>
  <c r="G173" i="5"/>
  <c r="G175" i="5"/>
  <c r="G179" i="5"/>
  <c r="G183" i="5"/>
  <c r="G171" i="5"/>
  <c r="P70" i="54"/>
  <c r="P71" i="54" s="1"/>
  <c r="G177" i="5"/>
  <c r="G180" i="5"/>
  <c r="H167" i="5"/>
  <c r="H166" i="5"/>
  <c r="H161" i="5"/>
  <c r="H160" i="5"/>
  <c r="H159" i="5"/>
  <c r="H165" i="5"/>
  <c r="H164" i="5"/>
  <c r="G169" i="5"/>
  <c r="H162" i="5"/>
  <c r="H163" i="5"/>
  <c r="G146" i="5"/>
  <c r="G148" i="5"/>
  <c r="G150" i="5"/>
  <c r="G152" i="5"/>
  <c r="G154" i="5"/>
  <c r="G156" i="5"/>
  <c r="G158" i="5"/>
  <c r="G123" i="5"/>
  <c r="G136" i="5"/>
  <c r="G138" i="5"/>
  <c r="G140" i="5"/>
  <c r="G121" i="5"/>
  <c r="G125" i="5"/>
  <c r="G128" i="5"/>
  <c r="G130" i="5"/>
  <c r="G132" i="5"/>
  <c r="G134" i="5"/>
  <c r="G161" i="5"/>
  <c r="G165" i="5"/>
  <c r="G166" i="5"/>
  <c r="E166" i="5" s="1"/>
  <c r="G151" i="5"/>
  <c r="G155" i="5"/>
  <c r="G167" i="5"/>
  <c r="E167" i="5" s="1"/>
  <c r="G142" i="5"/>
  <c r="G144" i="5"/>
  <c r="G149" i="5"/>
  <c r="G153" i="5"/>
  <c r="G157" i="5"/>
  <c r="G135" i="5"/>
  <c r="G139" i="5"/>
  <c r="G237" i="5" s="1"/>
  <c r="G143" i="5"/>
  <c r="G147" i="5"/>
  <c r="G133" i="5"/>
  <c r="G137" i="5"/>
  <c r="G141" i="5"/>
  <c r="G145" i="5"/>
  <c r="G113" i="5"/>
  <c r="G122" i="5"/>
  <c r="G127" i="5"/>
  <c r="G131" i="5"/>
  <c r="G120" i="5"/>
  <c r="G124" i="5"/>
  <c r="G129" i="5"/>
  <c r="H117" i="5"/>
  <c r="G109" i="5"/>
  <c r="H116" i="5"/>
  <c r="H115" i="5"/>
  <c r="G89" i="5"/>
  <c r="H119" i="5"/>
  <c r="G108" i="5"/>
  <c r="G112" i="5"/>
  <c r="H99" i="5"/>
  <c r="H98" i="5"/>
  <c r="H106" i="5"/>
  <c r="H100" i="5"/>
  <c r="H103" i="5"/>
  <c r="H102" i="5"/>
  <c r="G107" i="5"/>
  <c r="G111" i="5"/>
  <c r="G104" i="5"/>
  <c r="G110" i="5"/>
  <c r="G116" i="5"/>
  <c r="G85" i="5"/>
  <c r="G97" i="5"/>
  <c r="G90" i="5"/>
  <c r="G95" i="5"/>
  <c r="G91" i="5"/>
  <c r="G106" i="5"/>
  <c r="G84" i="5"/>
  <c r="G88" i="5"/>
  <c r="G96" i="5"/>
  <c r="G99" i="5"/>
  <c r="G103" i="5"/>
  <c r="H82" i="5"/>
  <c r="H80" i="5"/>
  <c r="H78" i="5"/>
  <c r="G83" i="5"/>
  <c r="G87" i="5"/>
  <c r="H81" i="5"/>
  <c r="H79" i="5"/>
  <c r="G86" i="5"/>
  <c r="H74" i="5"/>
  <c r="H73" i="5"/>
  <c r="H77" i="5"/>
  <c r="H76" i="5"/>
  <c r="H75" i="5"/>
  <c r="H66" i="5"/>
  <c r="H72" i="5"/>
  <c r="H65" i="5"/>
  <c r="H71" i="5"/>
  <c r="L235" i="5"/>
  <c r="P235" i="5"/>
  <c r="H64" i="5"/>
  <c r="H63" i="5"/>
  <c r="H68" i="5"/>
  <c r="H67" i="5"/>
  <c r="I246" i="5"/>
  <c r="M246" i="5"/>
  <c r="Q246" i="5"/>
  <c r="L246" i="5"/>
  <c r="P246" i="5"/>
  <c r="G222" i="22"/>
  <c r="J222" i="22" s="1"/>
  <c r="Q58" i="142"/>
  <c r="G75" i="5"/>
  <c r="G77" i="5"/>
  <c r="G81" i="5"/>
  <c r="G55" i="5"/>
  <c r="G57" i="5"/>
  <c r="G73" i="5"/>
  <c r="G53" i="5"/>
  <c r="G68" i="5"/>
  <c r="G51" i="5"/>
  <c r="G61" i="5"/>
  <c r="Z95" i="20" s="1"/>
  <c r="G74" i="5"/>
  <c r="G82" i="5"/>
  <c r="G60" i="5"/>
  <c r="G58" i="5"/>
  <c r="G34" i="5"/>
  <c r="H45" i="5"/>
  <c r="H46" i="5"/>
  <c r="G48" i="5"/>
  <c r="G29" i="5"/>
  <c r="H41" i="5"/>
  <c r="H36" i="5"/>
  <c r="H40" i="5"/>
  <c r="K246" i="5"/>
  <c r="O246" i="5"/>
  <c r="H34" i="5"/>
  <c r="H35" i="5"/>
  <c r="G40" i="5"/>
  <c r="H12" i="5"/>
  <c r="H13" i="5"/>
  <c r="H23" i="5"/>
  <c r="O240" i="5"/>
  <c r="H16" i="5"/>
  <c r="H17" i="5"/>
  <c r="H27" i="5"/>
  <c r="G45" i="5"/>
  <c r="H19" i="5"/>
  <c r="H21" i="5"/>
  <c r="G41" i="5"/>
  <c r="G12" i="5"/>
  <c r="K240" i="5"/>
  <c r="G21" i="5"/>
  <c r="G16" i="5"/>
  <c r="H25" i="5"/>
  <c r="H29" i="5"/>
  <c r="G36" i="5"/>
  <c r="G17" i="5"/>
  <c r="G13" i="5"/>
  <c r="G27" i="5"/>
  <c r="K225" i="5"/>
  <c r="O225" i="5"/>
  <c r="P72" i="148" s="1"/>
  <c r="P73" i="148" s="1"/>
  <c r="K232" i="5"/>
  <c r="O232" i="5"/>
  <c r="F227" i="5"/>
  <c r="J227" i="5"/>
  <c r="N227" i="5"/>
  <c r="K242" i="5"/>
  <c r="O242" i="5"/>
  <c r="L228" i="5"/>
  <c r="P228" i="5"/>
  <c r="I229" i="5"/>
  <c r="M229" i="5"/>
  <c r="Q229" i="5"/>
  <c r="I236" i="5"/>
  <c r="M236" i="5"/>
  <c r="Q236" i="5"/>
  <c r="I243" i="5"/>
  <c r="M243" i="5"/>
  <c r="Q243" i="5"/>
  <c r="F238" i="5"/>
  <c r="J238" i="5"/>
  <c r="N238" i="5"/>
  <c r="L245" i="5"/>
  <c r="P245" i="5"/>
  <c r="F233" i="5"/>
  <c r="J233" i="5"/>
  <c r="N233" i="5"/>
  <c r="L234" i="5"/>
  <c r="L239" i="5"/>
  <c r="K249" i="5"/>
  <c r="O249" i="5"/>
  <c r="I251" i="5"/>
  <c r="M251" i="5"/>
  <c r="Q251" i="5"/>
  <c r="P234" i="5"/>
  <c r="P239" i="5"/>
  <c r="K227" i="5"/>
  <c r="O227" i="5"/>
  <c r="A43" i="14"/>
  <c r="Q98" i="12"/>
  <c r="AG192" i="15"/>
  <c r="L43" i="16"/>
  <c r="A4" i="18"/>
  <c r="U158" i="20"/>
  <c r="Q378" i="24"/>
  <c r="AG504" i="24"/>
  <c r="A4" i="151"/>
  <c r="A4" i="32"/>
  <c r="A4" i="108"/>
  <c r="A4" i="41"/>
  <c r="A4" i="161"/>
  <c r="A4" i="141"/>
  <c r="A5" i="67"/>
  <c r="A5" i="19"/>
  <c r="K42" i="20"/>
  <c r="C6" i="22"/>
  <c r="C52" i="22"/>
  <c r="C128" i="22"/>
  <c r="C204" i="22"/>
  <c r="C249" i="22"/>
  <c r="C302" i="22"/>
  <c r="Q254" i="24"/>
  <c r="Q316" i="24"/>
  <c r="Q440" i="24"/>
  <c r="A4" i="28"/>
  <c r="A4" i="107"/>
  <c r="A4" i="31"/>
  <c r="A4" i="35"/>
  <c r="A4" i="111"/>
  <c r="A4" i="162"/>
  <c r="A4" i="142"/>
  <c r="A5" i="44"/>
  <c r="C5" i="46"/>
  <c r="C42" i="46"/>
  <c r="A5" i="48"/>
  <c r="A5" i="52"/>
  <c r="C5" i="53"/>
  <c r="A72" i="54"/>
  <c r="M113" i="54"/>
  <c r="A4" i="56"/>
  <c r="A39" i="60"/>
  <c r="X144" i="15"/>
  <c r="A4" i="20"/>
  <c r="C6" i="21"/>
  <c r="C56" i="21"/>
  <c r="C125" i="21"/>
  <c r="C297" i="21"/>
  <c r="AG503" i="24"/>
  <c r="A4" i="50"/>
  <c r="A4" i="52"/>
  <c r="A4" i="55"/>
  <c r="B4" i="58"/>
  <c r="B4" i="59"/>
  <c r="A4" i="61"/>
  <c r="A4" i="64"/>
  <c r="A4" i="67"/>
  <c r="A4" i="71"/>
  <c r="A4" i="9"/>
  <c r="A4" i="12"/>
  <c r="U81" i="20"/>
  <c r="C87" i="46"/>
  <c r="A4" i="51"/>
  <c r="C4" i="53"/>
  <c r="A4" i="54"/>
  <c r="M60" i="55"/>
  <c r="A5" i="62"/>
  <c r="A4" i="63"/>
  <c r="A4" i="65"/>
  <c r="A4" i="70"/>
  <c r="A7" i="72"/>
  <c r="Q49" i="12"/>
  <c r="AH125" i="13"/>
  <c r="A4" i="14"/>
  <c r="V76" i="16"/>
  <c r="A4" i="19"/>
  <c r="C336" i="21"/>
  <c r="A6" i="24"/>
  <c r="A68" i="24" s="1"/>
  <c r="C4" i="46"/>
  <c r="A4" i="60"/>
  <c r="A4" i="66"/>
  <c r="C198" i="21"/>
  <c r="C243" i="21"/>
  <c r="C41" i="46"/>
  <c r="A4" i="49"/>
  <c r="A4" i="76"/>
  <c r="O233" i="5"/>
  <c r="K235" i="5"/>
  <c r="O235" i="5"/>
  <c r="J246" i="5"/>
  <c r="N246" i="5"/>
  <c r="P242" i="5"/>
  <c r="F229" i="5"/>
  <c r="N229" i="5"/>
  <c r="J236" i="5"/>
  <c r="J243" i="5"/>
  <c r="K238" i="5"/>
  <c r="M245" i="5"/>
  <c r="L232" i="5"/>
  <c r="P232" i="5"/>
  <c r="L242" i="5"/>
  <c r="J229" i="5"/>
  <c r="N236" i="5"/>
  <c r="F243" i="5"/>
  <c r="N243" i="5"/>
  <c r="O238" i="5"/>
  <c r="I245" i="5"/>
  <c r="Q245" i="5"/>
  <c r="K233" i="5"/>
  <c r="I234" i="5"/>
  <c r="Q234" i="5"/>
  <c r="J235" i="5"/>
  <c r="I239" i="5"/>
  <c r="Q239" i="5"/>
  <c r="M232" i="5"/>
  <c r="Q232" i="5"/>
  <c r="L227" i="5"/>
  <c r="P227" i="5"/>
  <c r="I242" i="5"/>
  <c r="M242" i="5"/>
  <c r="Q242" i="5"/>
  <c r="K229" i="5"/>
  <c r="O229" i="5"/>
  <c r="K236" i="5"/>
  <c r="O236" i="5"/>
  <c r="K243" i="5"/>
  <c r="O243" i="5"/>
  <c r="L238" i="5"/>
  <c r="P238" i="5"/>
  <c r="F245" i="5"/>
  <c r="J245" i="5"/>
  <c r="N245" i="5"/>
  <c r="L233" i="5"/>
  <c r="P233" i="5"/>
  <c r="F234" i="5"/>
  <c r="J234" i="5"/>
  <c r="N234" i="5"/>
  <c r="M234" i="5"/>
  <c r="F235" i="5"/>
  <c r="N235" i="5"/>
  <c r="M239" i="5"/>
  <c r="I232" i="5"/>
  <c r="J232" i="5"/>
  <c r="N232" i="5"/>
  <c r="I227" i="5"/>
  <c r="M227" i="5"/>
  <c r="Q227" i="5"/>
  <c r="J242" i="5"/>
  <c r="N242" i="5"/>
  <c r="K228" i="5"/>
  <c r="O228" i="5"/>
  <c r="L229" i="5"/>
  <c r="P229" i="5"/>
  <c r="L236" i="5"/>
  <c r="P236" i="5"/>
  <c r="L243" i="5"/>
  <c r="P243" i="5"/>
  <c r="I238" i="5"/>
  <c r="M238" i="5"/>
  <c r="Q238" i="5"/>
  <c r="K245" i="5"/>
  <c r="O245" i="5"/>
  <c r="I233" i="5"/>
  <c r="M233" i="5"/>
  <c r="Q233" i="5"/>
  <c r="K234" i="5"/>
  <c r="O234" i="5"/>
  <c r="I235" i="5"/>
  <c r="M235" i="5"/>
  <c r="Q235" i="5"/>
  <c r="E219" i="5"/>
  <c r="F16" i="148"/>
  <c r="F20" i="148"/>
  <c r="F24" i="148"/>
  <c r="F28" i="148"/>
  <c r="F32" i="148"/>
  <c r="F36" i="148"/>
  <c r="F40" i="148"/>
  <c r="F44" i="148"/>
  <c r="F48" i="148"/>
  <c r="F52" i="148"/>
  <c r="F56" i="148"/>
  <c r="F60" i="148"/>
  <c r="F64" i="148"/>
  <c r="F68" i="148"/>
  <c r="AA348" i="24"/>
  <c r="AE276" i="24"/>
  <c r="AE286" i="24" s="1"/>
  <c r="AE296" i="24" s="1"/>
  <c r="AE298" i="24" s="1"/>
  <c r="K26" i="57"/>
  <c r="K35" i="49"/>
  <c r="Q35" i="49"/>
  <c r="Q27" i="52"/>
  <c r="L240" i="5"/>
  <c r="F251" i="5"/>
  <c r="N251" i="5"/>
  <c r="P225" i="5"/>
  <c r="I240" i="5"/>
  <c r="M240" i="5"/>
  <c r="Q240" i="5"/>
  <c r="K251" i="5"/>
  <c r="O251" i="5"/>
  <c r="E42" i="5"/>
  <c r="G291" i="21" s="1"/>
  <c r="J291" i="21" s="1"/>
  <c r="I225" i="5"/>
  <c r="M225" i="5"/>
  <c r="N72" i="148" s="1"/>
  <c r="N73" i="148" s="1"/>
  <c r="Q225" i="5"/>
  <c r="E69" i="5"/>
  <c r="F239" i="5"/>
  <c r="J239" i="5"/>
  <c r="N239" i="5"/>
  <c r="P240" i="5"/>
  <c r="J251" i="5"/>
  <c r="L225" i="5"/>
  <c r="M72" i="148" s="1"/>
  <c r="M73" i="148" s="1"/>
  <c r="F249" i="5"/>
  <c r="J249" i="5"/>
  <c r="N249" i="5"/>
  <c r="L251" i="5"/>
  <c r="P251" i="5"/>
  <c r="E47" i="5"/>
  <c r="F225" i="5"/>
  <c r="J225" i="5"/>
  <c r="K72" i="148" s="1"/>
  <c r="N225" i="5"/>
  <c r="K239" i="5"/>
  <c r="O239" i="5"/>
  <c r="D11" i="6"/>
  <c r="G354" i="22"/>
  <c r="J354" i="22" s="1"/>
  <c r="L128" i="46"/>
  <c r="L142" i="46" s="1"/>
  <c r="AO530" i="24"/>
  <c r="W157" i="46"/>
  <c r="H52" i="71"/>
  <c r="L52" i="71"/>
  <c r="I36" i="80"/>
  <c r="G29" i="70"/>
  <c r="G31" i="70" s="1"/>
  <c r="K18" i="76" s="1"/>
  <c r="K31" i="76" s="1"/>
  <c r="K66" i="50"/>
  <c r="O35" i="46"/>
  <c r="O59" i="46" s="1"/>
  <c r="W156" i="46"/>
  <c r="G28" i="46" s="1"/>
  <c r="W158" i="46"/>
  <c r="G32" i="46" s="1"/>
  <c r="W164" i="46"/>
  <c r="G65" i="46" s="1"/>
  <c r="G66" i="46" s="1"/>
  <c r="S151" i="46"/>
  <c r="S152" i="46" s="1"/>
  <c r="S153" i="46" s="1"/>
  <c r="S154" i="46" s="1"/>
  <c r="S155" i="46" s="1"/>
  <c r="W153" i="46"/>
  <c r="K34" i="46"/>
  <c r="I22" i="46"/>
  <c r="I23" i="46" s="1"/>
  <c r="M66" i="46"/>
  <c r="Q65" i="46"/>
  <c r="Q66" i="46" s="1"/>
  <c r="M27" i="46"/>
  <c r="Q27" i="46" s="1"/>
  <c r="M32" i="46"/>
  <c r="Q32" i="46" s="1"/>
  <c r="K66" i="46"/>
  <c r="AH296" i="46"/>
  <c r="W183" i="46" s="1"/>
  <c r="W179" i="46"/>
  <c r="G75" i="46"/>
  <c r="I75" i="46" s="1"/>
  <c r="E15" i="75"/>
  <c r="L60" i="14"/>
  <c r="P60" i="14" s="1"/>
  <c r="A22" i="15"/>
  <c r="A23" i="15" s="1"/>
  <c r="A24" i="15" s="1"/>
  <c r="A25" i="15" s="1"/>
  <c r="A26" i="15" s="1"/>
  <c r="A27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H66" i="15"/>
  <c r="N17" i="15"/>
  <c r="O17" i="15" s="1"/>
  <c r="P17" i="15" s="1"/>
  <c r="Q17" i="15" s="1"/>
  <c r="F83" i="15" s="1"/>
  <c r="F40" i="75"/>
  <c r="E40" i="75" s="1"/>
  <c r="G22" i="14"/>
  <c r="L22" i="14" s="1"/>
  <c r="N22" i="14" s="1"/>
  <c r="P22" i="14" s="1"/>
  <c r="F107" i="15"/>
  <c r="J59" i="15"/>
  <c r="S115" i="15"/>
  <c r="T115" i="15" s="1"/>
  <c r="H59" i="15"/>
  <c r="G66" i="15"/>
  <c r="G59" i="15"/>
  <c r="I59" i="15"/>
  <c r="F66" i="15"/>
  <c r="F87" i="15"/>
  <c r="E47" i="110"/>
  <c r="AW166" i="13"/>
  <c r="AZ166" i="13" s="1"/>
  <c r="Y72" i="12"/>
  <c r="M26" i="12" s="1"/>
  <c r="O59" i="13"/>
  <c r="N71" i="13"/>
  <c r="O71" i="13" s="1"/>
  <c r="AZ150" i="13"/>
  <c r="U118" i="12"/>
  <c r="Y118" i="12" s="1"/>
  <c r="O23" i="12" s="1"/>
  <c r="Z106" i="13"/>
  <c r="AC106" i="13" s="1"/>
  <c r="BO247" i="13"/>
  <c r="CH341" i="13"/>
  <c r="BO250" i="13"/>
  <c r="CH347" i="13"/>
  <c r="CS418" i="13"/>
  <c r="AW163" i="13"/>
  <c r="AZ163" i="13" s="1"/>
  <c r="BO239" i="13"/>
  <c r="BO258" i="13"/>
  <c r="Z104" i="13"/>
  <c r="AC104" i="13" s="1"/>
  <c r="CS393" i="13"/>
  <c r="AW161" i="13"/>
  <c r="AZ161" i="13" s="1"/>
  <c r="AZ152" i="13"/>
  <c r="BO241" i="13"/>
  <c r="CS410" i="13"/>
  <c r="CS413" i="13"/>
  <c r="Y121" i="12"/>
  <c r="O26" i="12" s="1"/>
  <c r="K26" i="12"/>
  <c r="CH356" i="13"/>
  <c r="CH364" i="13"/>
  <c r="Y69" i="12"/>
  <c r="M23" i="12" s="1"/>
  <c r="Y71" i="12"/>
  <c r="M25" i="12" s="1"/>
  <c r="Y75" i="12"/>
  <c r="N67" i="13"/>
  <c r="O67" i="13" s="1"/>
  <c r="N75" i="13"/>
  <c r="O75" i="13" s="1"/>
  <c r="Z96" i="13"/>
  <c r="AC96" i="13" s="1"/>
  <c r="AC98" i="13"/>
  <c r="AC99" i="13"/>
  <c r="BO243" i="13"/>
  <c r="BO252" i="13"/>
  <c r="BO260" i="13"/>
  <c r="AW165" i="13"/>
  <c r="AZ165" i="13" s="1"/>
  <c r="CH349" i="13"/>
  <c r="CH358" i="13"/>
  <c r="CH366" i="13"/>
  <c r="Z86" i="75"/>
  <c r="Y77" i="12"/>
  <c r="BO245" i="13"/>
  <c r="BO254" i="13"/>
  <c r="BO262" i="13"/>
  <c r="AW162" i="13"/>
  <c r="AZ162" i="13" s="1"/>
  <c r="CH343" i="13"/>
  <c r="CH351" i="13"/>
  <c r="CH360" i="13"/>
  <c r="CS397" i="13"/>
  <c r="CS414" i="13"/>
  <c r="AT153" i="13"/>
  <c r="AT156" i="13" s="1"/>
  <c r="BO256" i="13"/>
  <c r="CH345" i="13"/>
  <c r="CH354" i="13"/>
  <c r="CH362" i="13"/>
  <c r="CS401" i="13"/>
  <c r="CS406" i="13"/>
  <c r="U126" i="12"/>
  <c r="Y126" i="12" s="1"/>
  <c r="T84" i="75"/>
  <c r="S84" i="75" s="1"/>
  <c r="K31" i="12"/>
  <c r="CH350" i="13"/>
  <c r="BO246" i="13"/>
  <c r="CS402" i="13"/>
  <c r="H20" i="75"/>
  <c r="H22" i="75" s="1"/>
  <c r="H33" i="75" s="1"/>
  <c r="Y119" i="12"/>
  <c r="O24" i="12" s="1"/>
  <c r="N76" i="13"/>
  <c r="O76" i="13" s="1"/>
  <c r="N72" i="13"/>
  <c r="O72" i="13" s="1"/>
  <c r="N68" i="13"/>
  <c r="O68" i="13" s="1"/>
  <c r="N64" i="13"/>
  <c r="O64" i="13" s="1"/>
  <c r="N73" i="13"/>
  <c r="O73" i="13" s="1"/>
  <c r="N69" i="13"/>
  <c r="O69" i="13" s="1"/>
  <c r="N65" i="13"/>
  <c r="O65" i="13" s="1"/>
  <c r="N66" i="13"/>
  <c r="O66" i="13" s="1"/>
  <c r="N74" i="13"/>
  <c r="O74" i="13" s="1"/>
  <c r="Z97" i="13"/>
  <c r="AC97" i="13" s="1"/>
  <c r="W100" i="13"/>
  <c r="AZ149" i="13"/>
  <c r="CH359" i="13"/>
  <c r="BO255" i="13"/>
  <c r="CS411" i="13"/>
  <c r="CH365" i="13"/>
  <c r="BO261" i="13"/>
  <c r="BZ313" i="13"/>
  <c r="CH357" i="13"/>
  <c r="BO253" i="13"/>
  <c r="BZ305" i="13"/>
  <c r="W107" i="13"/>
  <c r="Y79" i="12"/>
  <c r="M33" i="12" s="1"/>
  <c r="Z103" i="13"/>
  <c r="AC103" i="13" s="1"/>
  <c r="AW160" i="13"/>
  <c r="AZ160" i="13" s="1"/>
  <c r="AT164" i="13"/>
  <c r="AT167" i="13" s="1"/>
  <c r="V86" i="75"/>
  <c r="Y120" i="12"/>
  <c r="O25" i="12" s="1"/>
  <c r="U124" i="12"/>
  <c r="Y124" i="12" s="1"/>
  <c r="K29" i="12"/>
  <c r="Z105" i="13"/>
  <c r="AC105" i="13" s="1"/>
  <c r="AZ151" i="13"/>
  <c r="AW153" i="13"/>
  <c r="AW156" i="13" s="1"/>
  <c r="Y81" i="12" s="1"/>
  <c r="M35" i="12" s="1"/>
  <c r="CS392" i="13"/>
  <c r="CH340" i="13"/>
  <c r="BZ288" i="13"/>
  <c r="BO236" i="13"/>
  <c r="CH342" i="13"/>
  <c r="BO238" i="13"/>
  <c r="CS394" i="13"/>
  <c r="CS400" i="13"/>
  <c r="CH348" i="13"/>
  <c r="BO244" i="13"/>
  <c r="BZ296" i="13"/>
  <c r="CS409" i="13"/>
  <c r="U73" i="12"/>
  <c r="CH346" i="13"/>
  <c r="BO242" i="13"/>
  <c r="CH355" i="13"/>
  <c r="BO251" i="13"/>
  <c r="CS407" i="13"/>
  <c r="CH363" i="13"/>
  <c r="BO259" i="13"/>
  <c r="CS415" i="13"/>
  <c r="CS398" i="13"/>
  <c r="I27" i="12"/>
  <c r="AZ154" i="13"/>
  <c r="CS396" i="13"/>
  <c r="CH344" i="13"/>
  <c r="BO240" i="13"/>
  <c r="CH361" i="13"/>
  <c r="BO257" i="13"/>
  <c r="DA419" i="13"/>
  <c r="DA421" i="13" s="1"/>
  <c r="U128" i="12" s="1"/>
  <c r="BO237" i="13"/>
  <c r="CS395" i="13"/>
  <c r="CS399" i="13"/>
  <c r="CS403" i="13"/>
  <c r="AZ155" i="13"/>
  <c r="BZ304" i="13"/>
  <c r="BZ308" i="13"/>
  <c r="BZ312" i="13"/>
  <c r="O251" i="6"/>
  <c r="E244" i="5"/>
  <c r="C35" i="110"/>
  <c r="D35" i="110"/>
  <c r="K30" i="68"/>
  <c r="G33" i="42"/>
  <c r="G38" i="42" s="1"/>
  <c r="AI183" i="20" a="1"/>
  <c r="AI183" i="20" s="1"/>
  <c r="AA185" i="20" a="1"/>
  <c r="AA185" i="20" s="1"/>
  <c r="AD186" i="20" a="1"/>
  <c r="AD186" i="20" s="1"/>
  <c r="AD183" i="20" a="1"/>
  <c r="AD183" i="20" s="1"/>
  <c r="AH184" i="20" a="1"/>
  <c r="AH184" i="20" s="1"/>
  <c r="AD185" i="20" a="1"/>
  <c r="AD185" i="20" s="1"/>
  <c r="AH186" i="20" a="1"/>
  <c r="AH186" i="20" s="1"/>
  <c r="Z190" i="20" a="1"/>
  <c r="Z190" i="20" s="1"/>
  <c r="AJ190" i="20" a="1"/>
  <c r="AJ190" i="20" s="1"/>
  <c r="AE207" i="20" a="1"/>
  <c r="AE207" i="20" s="1"/>
  <c r="AG209" i="20" a="1"/>
  <c r="AG209" i="20" s="1"/>
  <c r="AH167" i="20" a="1"/>
  <c r="AH167" i="20" s="1"/>
  <c r="AB168" i="20" a="1"/>
  <c r="AB168" i="20" s="1"/>
  <c r="Y182" i="20" a="1"/>
  <c r="Y182" i="20" s="1"/>
  <c r="Y184" i="20" a="1"/>
  <c r="Y184" i="20" s="1"/>
  <c r="Y186" i="20" a="1"/>
  <c r="Y186" i="20" s="1"/>
  <c r="AB190" i="20" a="1"/>
  <c r="AB190" i="20" s="1"/>
  <c r="AH192" i="20" a="1"/>
  <c r="AH192" i="20" s="1"/>
  <c r="AE200" i="20" a="1"/>
  <c r="AE200" i="20" s="1"/>
  <c r="AB201" i="20" a="1"/>
  <c r="AB201" i="20" s="1"/>
  <c r="AJ201" i="20" a="1"/>
  <c r="AJ201" i="20" s="1"/>
  <c r="AJ203" i="20" a="1"/>
  <c r="AJ203" i="20" s="1"/>
  <c r="AE203" i="20" a="1"/>
  <c r="AE203" i="20" s="1"/>
  <c r="AA204" i="20" a="1"/>
  <c r="AA204" i="20" s="1"/>
  <c r="AG207" i="20" a="1"/>
  <c r="AG207" i="20" s="1"/>
  <c r="AH207" i="20" a="1"/>
  <c r="AH207" i="20" s="1"/>
  <c r="Z208" i="20" a="1"/>
  <c r="Z208" i="20" s="1"/>
  <c r="AB209" i="20" a="1"/>
  <c r="AB209" i="20" s="1"/>
  <c r="AG211" i="20" a="1"/>
  <c r="AG211" i="20" s="1"/>
  <c r="AA183" i="20" a="1"/>
  <c r="AA183" i="20" s="1"/>
  <c r="AD184" i="20" a="1"/>
  <c r="AD184" i="20" s="1"/>
  <c r="AI185" i="20" a="1"/>
  <c r="AI185" i="20" s="1"/>
  <c r="AI190" i="20" a="1"/>
  <c r="AI190" i="20" s="1"/>
  <c r="AF201" i="20" a="1"/>
  <c r="AF201" i="20" s="1"/>
  <c r="AH169" i="20" a="1"/>
  <c r="AH169" i="20" s="1"/>
  <c r="AH182" i="20" a="1"/>
  <c r="AH182" i="20" s="1"/>
  <c r="AA200" i="20" a="1"/>
  <c r="AA200" i="20" s="1"/>
  <c r="Z201" i="20" a="1"/>
  <c r="Z201" i="20" s="1"/>
  <c r="AH201" i="20" a="1"/>
  <c r="AH201" i="20" s="1"/>
  <c r="Y208" i="20" a="1"/>
  <c r="Y208" i="20" s="1"/>
  <c r="AB167" i="20" a="1"/>
  <c r="AB167" i="20" s="1"/>
  <c r="Y183" i="20" a="1"/>
  <c r="Y183" i="20" s="1"/>
  <c r="AH183" i="20" a="1"/>
  <c r="AH183" i="20" s="1"/>
  <c r="Y185" i="20" a="1"/>
  <c r="Y185" i="20" s="1"/>
  <c r="AH185" i="20" a="1"/>
  <c r="AH185" i="20" s="1"/>
  <c r="AF190" i="20" a="1"/>
  <c r="AF190" i="20" s="1"/>
  <c r="Z191" i="20" a="1"/>
  <c r="Z191" i="20" s="1"/>
  <c r="AE193" i="20" a="1"/>
  <c r="AE193" i="20" s="1"/>
  <c r="AI194" i="20" a="1"/>
  <c r="AI194" i="20" s="1"/>
  <c r="AI200" i="20" a="1"/>
  <c r="AI200" i="20" s="1"/>
  <c r="AI202" i="20" a="1"/>
  <c r="AI202" i="20" s="1"/>
  <c r="AF202" i="20" a="1"/>
  <c r="AF202" i="20" s="1"/>
  <c r="Y203" i="20" a="1"/>
  <c r="Y203" i="20" s="1"/>
  <c r="AG203" i="20" a="1"/>
  <c r="AG203" i="20" s="1"/>
  <c r="AE204" i="20" a="1"/>
  <c r="AE204" i="20" s="1"/>
  <c r="Z207" i="20" a="1"/>
  <c r="Z207" i="20" s="1"/>
  <c r="AI207" i="20" a="1"/>
  <c r="AI207" i="20" s="1"/>
  <c r="AC209" i="20" a="1"/>
  <c r="AC209" i="20" s="1"/>
  <c r="Z211" i="20" a="1"/>
  <c r="Z211" i="20" s="1"/>
  <c r="AI171" i="20" a="1"/>
  <c r="AI171" i="20" s="1"/>
  <c r="AH168" i="20" a="1"/>
  <c r="AH168" i="20" s="1"/>
  <c r="AD168" i="20" a="1"/>
  <c r="AD168" i="20" s="1"/>
  <c r="AA168" i="20" a="1"/>
  <c r="AA168" i="20" s="1"/>
  <c r="AC168" i="20" a="1"/>
  <c r="AC168" i="20" s="1"/>
  <c r="AD169" i="20" a="1"/>
  <c r="AD169" i="20" s="1"/>
  <c r="AJ170" i="20" a="1"/>
  <c r="AJ170" i="20" s="1"/>
  <c r="AG170" i="20" a="1"/>
  <c r="AG170" i="20" s="1"/>
  <c r="AC170" i="20" a="1"/>
  <c r="AC170" i="20" s="1"/>
  <c r="Z170" i="20" a="1"/>
  <c r="Z170" i="20" s="1"/>
  <c r="AH170" i="20" a="1"/>
  <c r="AH170" i="20" s="1"/>
  <c r="AD170" i="20" a="1"/>
  <c r="AD170" i="20" s="1"/>
  <c r="AA170" i="20" a="1"/>
  <c r="AA170" i="20" s="1"/>
  <c r="AE170" i="20" a="1"/>
  <c r="AE170" i="20" s="1"/>
  <c r="AH210" i="20" a="1"/>
  <c r="AH210" i="20" s="1"/>
  <c r="AD210" i="20" a="1"/>
  <c r="AD210" i="20" s="1"/>
  <c r="Z210" i="20" a="1"/>
  <c r="Z210" i="20" s="1"/>
  <c r="AG210" i="20" a="1"/>
  <c r="AG210" i="20" s="1"/>
  <c r="AC210" i="20" a="1"/>
  <c r="AC210" i="20" s="1"/>
  <c r="Y210" i="20" a="1"/>
  <c r="Y210" i="20" s="1"/>
  <c r="AI210" i="20" a="1"/>
  <c r="AI210" i="20" s="1"/>
  <c r="AA210" i="20" a="1"/>
  <c r="AA210" i="20" s="1"/>
  <c r="AJ210" i="20" a="1"/>
  <c r="AJ210" i="20" s="1"/>
  <c r="AB210" i="20" a="1"/>
  <c r="AB210" i="20" s="1"/>
  <c r="AA167" i="20" a="1"/>
  <c r="AA167" i="20" s="1"/>
  <c r="Z168" i="20" a="1"/>
  <c r="Z168" i="20" s="1"/>
  <c r="AG168" i="20" a="1"/>
  <c r="AG168" i="20" s="1"/>
  <c r="Z169" i="20" a="1"/>
  <c r="Z169" i="20" s="1"/>
  <c r="AG169" i="20" a="1"/>
  <c r="AG169" i="20" s="1"/>
  <c r="AI170" i="20" a="1"/>
  <c r="AI170" i="20" s="1"/>
  <c r="Z171" i="20" a="1"/>
  <c r="Z171" i="20" s="1"/>
  <c r="AH171" i="20" a="1"/>
  <c r="AH171" i="20" s="1"/>
  <c r="AC194" i="20" a="1"/>
  <c r="AC194" i="20" s="1"/>
  <c r="Z194" i="20" a="1"/>
  <c r="Z194" i="20" s="1"/>
  <c r="AH193" i="20" a="1"/>
  <c r="AH193" i="20" s="1"/>
  <c r="AD193" i="20" a="1"/>
  <c r="AD193" i="20" s="1"/>
  <c r="AA193" i="20" a="1"/>
  <c r="AA193" i="20" s="1"/>
  <c r="AD194" i="20" a="1"/>
  <c r="AD194" i="20" s="1"/>
  <c r="Y194" i="20" a="1"/>
  <c r="Y194" i="20" s="1"/>
  <c r="AG193" i="20" a="1"/>
  <c r="AG193" i="20" s="1"/>
  <c r="Z193" i="20" a="1"/>
  <c r="Z193" i="20" s="1"/>
  <c r="AI192" i="20" a="1"/>
  <c r="AI192" i="20" s="1"/>
  <c r="AE192" i="20" a="1"/>
  <c r="AE192" i="20" s="1"/>
  <c r="Z192" i="20" a="1"/>
  <c r="Z192" i="20" s="1"/>
  <c r="AG190" i="20" a="1"/>
  <c r="AG190" i="20" s="1"/>
  <c r="AC190" i="20" a="1"/>
  <c r="AC190" i="20" s="1"/>
  <c r="Y190" i="20" a="1"/>
  <c r="Y190" i="20" s="1"/>
  <c r="AJ194" i="20" a="1"/>
  <c r="AJ194" i="20" s="1"/>
  <c r="AE194" i="20" a="1"/>
  <c r="AE194" i="20" s="1"/>
  <c r="AI193" i="20" a="1"/>
  <c r="AI193" i="20" s="1"/>
  <c r="AJ192" i="20" a="1"/>
  <c r="AJ192" i="20" s="1"/>
  <c r="AF192" i="20" a="1"/>
  <c r="AF192" i="20" s="1"/>
  <c r="AB192" i="20" a="1"/>
  <c r="AB192" i="20" s="1"/>
  <c r="AG191" i="20" a="1"/>
  <c r="AG191" i="20" s="1"/>
  <c r="AC191" i="20" a="1"/>
  <c r="AC191" i="20" s="1"/>
  <c r="Y191" i="20" a="1"/>
  <c r="Y191" i="20" s="1"/>
  <c r="AH190" i="20" a="1"/>
  <c r="AH190" i="20" s="1"/>
  <c r="AE190" i="20" a="1"/>
  <c r="AE190" i="20" s="1"/>
  <c r="AF191" i="20" a="1"/>
  <c r="AF191" i="20" s="1"/>
  <c r="Y192" i="20" a="1"/>
  <c r="Y192" i="20" s="1"/>
  <c r="AG192" i="20" a="1"/>
  <c r="AG192" i="20" s="1"/>
  <c r="AC193" i="20" a="1"/>
  <c r="AC193" i="20" s="1"/>
  <c r="AF210" i="20" a="1"/>
  <c r="AF210" i="20" s="1"/>
  <c r="AJ168" i="20" a="1"/>
  <c r="AJ168" i="20" s="1"/>
  <c r="AD171" i="20" a="1"/>
  <c r="AD171" i="20" s="1"/>
  <c r="AJ167" i="20" a="1"/>
  <c r="AJ167" i="20" s="1"/>
  <c r="AF167" i="20" a="1"/>
  <c r="AF167" i="20" s="1"/>
  <c r="AC167" i="20" a="1"/>
  <c r="AC167" i="20" s="1"/>
  <c r="Y167" i="20" a="1"/>
  <c r="Y167" i="20" s="1"/>
  <c r="AG167" i="20" a="1"/>
  <c r="AG167" i="20" s="1"/>
  <c r="AD167" i="20" a="1"/>
  <c r="AD167" i="20" s="1"/>
  <c r="Z167" i="20" a="1"/>
  <c r="Z167" i="20" s="1"/>
  <c r="AE167" i="20" a="1"/>
  <c r="AE167" i="20" s="1"/>
  <c r="Y168" i="20" a="1"/>
  <c r="Y168" i="20" s="1"/>
  <c r="AF168" i="20" a="1"/>
  <c r="AF168" i="20" s="1"/>
  <c r="AI169" i="20" a="1"/>
  <c r="AI169" i="20" s="1"/>
  <c r="Y170" i="20" a="1"/>
  <c r="Y170" i="20" s="1"/>
  <c r="AF170" i="20" a="1"/>
  <c r="AF170" i="20" s="1"/>
  <c r="Y171" i="20" a="1"/>
  <c r="Y171" i="20" s="1"/>
  <c r="AG171" i="20" a="1"/>
  <c r="AG171" i="20" s="1"/>
  <c r="AE210" i="20" a="1"/>
  <c r="AE210" i="20" s="1"/>
  <c r="AE168" i="20" a="1"/>
  <c r="AE168" i="20" s="1"/>
  <c r="Y169" i="20" a="1"/>
  <c r="Y169" i="20" s="1"/>
  <c r="AC169" i="20" a="1"/>
  <c r="AC169" i="20" s="1"/>
  <c r="AF169" i="20" a="1"/>
  <c r="AF169" i="20" s="1"/>
  <c r="AJ169" i="20" a="1"/>
  <c r="AJ169" i="20" s="1"/>
  <c r="AE171" i="20" a="1"/>
  <c r="AE171" i="20" s="1"/>
  <c r="AB171" i="20" a="1"/>
  <c r="AB171" i="20" s="1"/>
  <c r="AA171" i="20" a="1"/>
  <c r="AA171" i="20" s="1"/>
  <c r="AF171" i="20" a="1"/>
  <c r="AF171" i="20" s="1"/>
  <c r="AJ171" i="20" a="1"/>
  <c r="AJ171" i="20" s="1"/>
  <c r="AI182" i="20" a="1"/>
  <c r="AI182" i="20" s="1"/>
  <c r="AF182" i="20" a="1"/>
  <c r="AF182" i="20" s="1"/>
  <c r="AC182" i="20" a="1"/>
  <c r="AC182" i="20" s="1"/>
  <c r="AB182" i="20" a="1"/>
  <c r="AB182" i="20" s="1"/>
  <c r="AG182" i="20" a="1"/>
  <c r="AG182" i="20" s="1"/>
  <c r="AJ183" i="20" a="1"/>
  <c r="AJ183" i="20" s="1"/>
  <c r="AC183" i="20" a="1"/>
  <c r="AC183" i="20" s="1"/>
  <c r="Z183" i="20" a="1"/>
  <c r="Z183" i="20" s="1"/>
  <c r="AG183" i="20" a="1"/>
  <c r="AG183" i="20" s="1"/>
  <c r="AI184" i="20" a="1"/>
  <c r="AI184" i="20" s="1"/>
  <c r="AF184" i="20" a="1"/>
  <c r="AF184" i="20" s="1"/>
  <c r="AC184" i="20" a="1"/>
  <c r="AC184" i="20" s="1"/>
  <c r="AB184" i="20" a="1"/>
  <c r="AB184" i="20" s="1"/>
  <c r="AG184" i="20" a="1"/>
  <c r="AG184" i="20" s="1"/>
  <c r="AJ185" i="20" a="1"/>
  <c r="AJ185" i="20" s="1"/>
  <c r="AC185" i="20" a="1"/>
  <c r="AC185" i="20" s="1"/>
  <c r="Z185" i="20" a="1"/>
  <c r="Z185" i="20" s="1"/>
  <c r="AG185" i="20" a="1"/>
  <c r="AG185" i="20" s="1"/>
  <c r="AI186" i="20" a="1"/>
  <c r="AI186" i="20" s="1"/>
  <c r="AF186" i="20" a="1"/>
  <c r="AF186" i="20" s="1"/>
  <c r="AC186" i="20" a="1"/>
  <c r="AC186" i="20" s="1"/>
  <c r="AB186" i="20" a="1"/>
  <c r="AB186" i="20" s="1"/>
  <c r="AG186" i="20" a="1"/>
  <c r="AG186" i="20" s="1"/>
  <c r="AD192" i="20" a="1"/>
  <c r="AD192" i="20" s="1"/>
  <c r="Y200" i="20" a="1"/>
  <c r="Y200" i="20" s="1"/>
  <c r="AC200" i="20" a="1"/>
  <c r="AC200" i="20" s="1"/>
  <c r="AI201" i="20" a="1"/>
  <c r="AI201" i="20" s="1"/>
  <c r="AG201" i="20" a="1"/>
  <c r="AG201" i="20" s="1"/>
  <c r="AE201" i="20" a="1"/>
  <c r="AE201" i="20" s="1"/>
  <c r="AC201" i="20" a="1"/>
  <c r="AC201" i="20" s="1"/>
  <c r="AA201" i="20" a="1"/>
  <c r="AA201" i="20" s="1"/>
  <c r="Y201" i="20" a="1"/>
  <c r="Y201" i="20" s="1"/>
  <c r="Y204" i="20" a="1"/>
  <c r="Y204" i="20" s="1"/>
  <c r="AC204" i="20" a="1"/>
  <c r="AC204" i="20" s="1"/>
  <c r="AD207" i="20" a="1"/>
  <c r="AD207" i="20" s="1"/>
  <c r="AJ208" i="20" a="1"/>
  <c r="AJ208" i="20" s="1"/>
  <c r="AD208" i="20" a="1"/>
  <c r="AD208" i="20" s="1"/>
  <c r="Y209" i="20" a="1"/>
  <c r="Y209" i="20" s="1"/>
  <c r="AD211" i="20" a="1"/>
  <c r="AD211" i="20" s="1"/>
  <c r="AJ211" i="20" a="1"/>
  <c r="AJ211" i="20" s="1"/>
  <c r="AB169" i="20" a="1"/>
  <c r="AB169" i="20" s="1"/>
  <c r="AE169" i="20" a="1"/>
  <c r="AE169" i="20" s="1"/>
  <c r="AA182" i="20" a="1"/>
  <c r="AA182" i="20" s="1"/>
  <c r="AE182" i="20" a="1"/>
  <c r="AE182" i="20" s="1"/>
  <c r="AJ182" i="20" a="1"/>
  <c r="AJ182" i="20" s="1"/>
  <c r="AB183" i="20" a="1"/>
  <c r="AB183" i="20" s="1"/>
  <c r="AF183" i="20" a="1"/>
  <c r="AF183" i="20" s="1"/>
  <c r="AA184" i="20" a="1"/>
  <c r="AA184" i="20" s="1"/>
  <c r="AE184" i="20" a="1"/>
  <c r="AE184" i="20" s="1"/>
  <c r="AJ184" i="20" a="1"/>
  <c r="AJ184" i="20" s="1"/>
  <c r="AB185" i="20" a="1"/>
  <c r="AB185" i="20" s="1"/>
  <c r="AF185" i="20" a="1"/>
  <c r="AF185" i="20" s="1"/>
  <c r="AA186" i="20" a="1"/>
  <c r="AA186" i="20" s="1"/>
  <c r="AE186" i="20" a="1"/>
  <c r="AE186" i="20" s="1"/>
  <c r="AH191" i="20" a="1"/>
  <c r="AH191" i="20" s="1"/>
  <c r="AJ200" i="20" a="1"/>
  <c r="AJ200" i="20" s="1"/>
  <c r="AH200" i="20" a="1"/>
  <c r="AH200" i="20" s="1"/>
  <c r="AF200" i="20" a="1"/>
  <c r="AF200" i="20" s="1"/>
  <c r="AD200" i="20" a="1"/>
  <c r="AD200" i="20" s="1"/>
  <c r="AB200" i="20" a="1"/>
  <c r="AB200" i="20" s="1"/>
  <c r="Z200" i="20" a="1"/>
  <c r="Z200" i="20" s="1"/>
  <c r="AJ204" i="20" a="1"/>
  <c r="AJ204" i="20" s="1"/>
  <c r="AH204" i="20" a="1"/>
  <c r="AH204" i="20" s="1"/>
  <c r="AF204" i="20" a="1"/>
  <c r="AF204" i="20" s="1"/>
  <c r="AD204" i="20" a="1"/>
  <c r="AD204" i="20" s="1"/>
  <c r="AB204" i="20" a="1"/>
  <c r="AB204" i="20" s="1"/>
  <c r="Z204" i="20" a="1"/>
  <c r="Z204" i="20" s="1"/>
  <c r="AC208" i="20" a="1"/>
  <c r="AC208" i="20" s="1"/>
  <c r="AI209" i="20" a="1"/>
  <c r="AI209" i="20" s="1"/>
  <c r="AE209" i="20" a="1"/>
  <c r="AE209" i="20" s="1"/>
  <c r="AA209" i="20" a="1"/>
  <c r="AA209" i="20" s="1"/>
  <c r="AH209" i="20" a="1"/>
  <c r="AH209" i="20" s="1"/>
  <c r="AD209" i="20" a="1"/>
  <c r="AD209" i="20" s="1"/>
  <c r="Z209" i="20" a="1"/>
  <c r="Z209" i="20" s="1"/>
  <c r="AF209" i="20" a="1"/>
  <c r="AF209" i="20" s="1"/>
  <c r="AA211" i="20" a="1"/>
  <c r="AA211" i="20" s="1"/>
  <c r="AH194" i="20" a="1"/>
  <c r="AH194" i="20" s="1"/>
  <c r="AB203" i="20" a="1"/>
  <c r="AB203" i="20" s="1"/>
  <c r="AD203" i="20" a="1"/>
  <c r="AD203" i="20" s="1"/>
  <c r="AF203" i="20" a="1"/>
  <c r="AF203" i="20" s="1"/>
  <c r="AH203" i="20" a="1"/>
  <c r="AH203" i="20" s="1"/>
  <c r="AB207" i="20" a="1"/>
  <c r="AB207" i="20" s="1"/>
  <c r="AF207" i="20" a="1"/>
  <c r="AF207" i="20" s="1"/>
  <c r="AJ207" i="20" a="1"/>
  <c r="AJ207" i="20" s="1"/>
  <c r="AA208" i="20" a="1"/>
  <c r="AA208" i="20" s="1"/>
  <c r="AE208" i="20" a="1"/>
  <c r="AE208" i="20" s="1"/>
  <c r="AI208" i="20" a="1"/>
  <c r="AI208" i="20" s="1"/>
  <c r="AB211" i="20" a="1"/>
  <c r="AB211" i="20" s="1"/>
  <c r="AF211" i="20" a="1"/>
  <c r="AF211" i="20" s="1"/>
  <c r="AI211" i="20" a="1"/>
  <c r="AI211" i="20" s="1"/>
  <c r="AA190" i="20" a="1"/>
  <c r="AA190" i="20" s="1"/>
  <c r="AB191" i="20" a="1"/>
  <c r="AB191" i="20" s="1"/>
  <c r="AE191" i="20" a="1"/>
  <c r="AE191" i="20" s="1"/>
  <c r="AA192" i="20" a="1"/>
  <c r="AA192" i="20" s="1"/>
  <c r="AB193" i="20" a="1"/>
  <c r="AB193" i="20" s="1"/>
  <c r="AA194" i="20" a="1"/>
  <c r="AA194" i="20" s="1"/>
  <c r="AF194" i="20" a="1"/>
  <c r="AF194" i="20" s="1"/>
  <c r="Y202" i="20" a="1"/>
  <c r="Y202" i="20" s="1"/>
  <c r="AA202" i="20" a="1"/>
  <c r="AA202" i="20" s="1"/>
  <c r="AC202" i="20" a="1"/>
  <c r="AC202" i="20" s="1"/>
  <c r="AE202" i="20" a="1"/>
  <c r="AE202" i="20" s="1"/>
  <c r="AG202" i="20" a="1"/>
  <c r="AG202" i="20" s="1"/>
  <c r="Y207" i="20" a="1"/>
  <c r="Y207" i="20" s="1"/>
  <c r="AC207" i="20" a="1"/>
  <c r="AC207" i="20" s="1"/>
  <c r="AB208" i="20" a="1"/>
  <c r="AB208" i="20" s="1"/>
  <c r="AF208" i="20" a="1"/>
  <c r="AF208" i="20" s="1"/>
  <c r="Y211" i="20" a="1"/>
  <c r="Y211" i="20" s="1"/>
  <c r="AC211" i="20" a="1"/>
  <c r="AC211" i="20" s="1"/>
  <c r="AL209" i="15"/>
  <c r="AC175" i="15" s="1"/>
  <c r="AC177" i="15" s="1"/>
  <c r="AA213" i="24"/>
  <c r="H12" i="163" s="1"/>
  <c r="Y131" i="20" a="1"/>
  <c r="Y131" i="20" s="1"/>
  <c r="Y125" i="20" a="1"/>
  <c r="Y125" i="20" s="1"/>
  <c r="Y114" i="20" a="1"/>
  <c r="Y114" i="20" s="1"/>
  <c r="Y134" i="20" a="1"/>
  <c r="Y134" i="20" s="1"/>
  <c r="Y130" i="20" a="1"/>
  <c r="Y130" i="20" s="1"/>
  <c r="Y124" i="20" a="1"/>
  <c r="Y124" i="20" s="1"/>
  <c r="Y133" i="20" a="1"/>
  <c r="Y133" i="20" s="1"/>
  <c r="Y127" i="20" a="1"/>
  <c r="Y127" i="20" s="1"/>
  <c r="Y123" i="20" a="1"/>
  <c r="Y123" i="20" s="1"/>
  <c r="Y116" i="20" a="1"/>
  <c r="Y116" i="20" s="1"/>
  <c r="Y132" i="20" a="1"/>
  <c r="Y132" i="20" s="1"/>
  <c r="Y126" i="20" a="1"/>
  <c r="Y126" i="20" s="1"/>
  <c r="Y107" i="20" a="1"/>
  <c r="Y107" i="20" s="1"/>
  <c r="Y91" i="20" a="1"/>
  <c r="Y91" i="20" s="1"/>
  <c r="Y115" i="20" a="1"/>
  <c r="Y115" i="20" s="1"/>
  <c r="Y106" i="20" a="1"/>
  <c r="Y106" i="20" s="1"/>
  <c r="Y94" i="20" a="1"/>
  <c r="Y94" i="20" s="1"/>
  <c r="Y90" i="20" a="1"/>
  <c r="Y90" i="20" s="1"/>
  <c r="Y117" i="20" a="1"/>
  <c r="Y117" i="20" s="1"/>
  <c r="Y105" i="20" a="1"/>
  <c r="Y105" i="20" s="1"/>
  <c r="Y93" i="20" a="1"/>
  <c r="Y93" i="20" s="1"/>
  <c r="Y113" i="20" a="1"/>
  <c r="Y113" i="20" s="1"/>
  <c r="Y109" i="20" a="1"/>
  <c r="Y109" i="20" s="1"/>
  <c r="Y108" i="20" a="1"/>
  <c r="Y108" i="20" s="1"/>
  <c r="Y92" i="20" a="1"/>
  <c r="Y92" i="20" s="1"/>
  <c r="F12" i="148"/>
  <c r="G70" i="148"/>
  <c r="E66" i="157" s="1"/>
  <c r="E67" i="157" s="1"/>
  <c r="H70" i="148"/>
  <c r="F66" i="157" s="1"/>
  <c r="F67" i="157" s="1"/>
  <c r="AC131" i="20" a="1"/>
  <c r="AC131" i="20" s="1"/>
  <c r="AC125" i="20" a="1"/>
  <c r="AC125" i="20" s="1"/>
  <c r="AC114" i="20" a="1"/>
  <c r="AC114" i="20" s="1"/>
  <c r="AC134" i="20" a="1"/>
  <c r="AC134" i="20" s="1"/>
  <c r="AC130" i="20" a="1"/>
  <c r="AC130" i="20" s="1"/>
  <c r="AC124" i="20" a="1"/>
  <c r="AC124" i="20" s="1"/>
  <c r="AC133" i="20" a="1"/>
  <c r="AC133" i="20" s="1"/>
  <c r="AC127" i="20" a="1"/>
  <c r="AC127" i="20" s="1"/>
  <c r="AC123" i="20" a="1"/>
  <c r="AC123" i="20" s="1"/>
  <c r="AC116" i="20" a="1"/>
  <c r="AC116" i="20" s="1"/>
  <c r="AC132" i="20" a="1"/>
  <c r="AC132" i="20" s="1"/>
  <c r="AC126" i="20" a="1"/>
  <c r="AC126" i="20" s="1"/>
  <c r="AC107" i="20" a="1"/>
  <c r="AC107" i="20" s="1"/>
  <c r="AC91" i="20" a="1"/>
  <c r="AC91" i="20" s="1"/>
  <c r="AC115" i="20" a="1"/>
  <c r="AC115" i="20" s="1"/>
  <c r="AC113" i="20" a="1"/>
  <c r="AC113" i="20" s="1"/>
  <c r="AC109" i="20" a="1"/>
  <c r="AC109" i="20" s="1"/>
  <c r="AC106" i="20" a="1"/>
  <c r="AC106" i="20" s="1"/>
  <c r="AC94" i="20" a="1"/>
  <c r="AC94" i="20" s="1"/>
  <c r="AC90" i="20" a="1"/>
  <c r="AC90" i="20" s="1"/>
  <c r="AC117" i="20" a="1"/>
  <c r="AC117" i="20" s="1"/>
  <c r="AC105" i="20" a="1"/>
  <c r="AC105" i="20" s="1"/>
  <c r="AC93" i="20" a="1"/>
  <c r="AC93" i="20" s="1"/>
  <c r="AC108" i="20" a="1"/>
  <c r="AC108" i="20" s="1"/>
  <c r="AC92" i="20" a="1"/>
  <c r="AC92" i="20" s="1"/>
  <c r="K70" i="148"/>
  <c r="I66" i="157" s="1"/>
  <c r="I67" i="157" s="1"/>
  <c r="AA131" i="20" a="1"/>
  <c r="AA131" i="20" s="1"/>
  <c r="AA125" i="20" a="1"/>
  <c r="AA125" i="20" s="1"/>
  <c r="AA114" i="20" a="1"/>
  <c r="AA114" i="20" s="1"/>
  <c r="AA134" i="20" a="1"/>
  <c r="AA134" i="20" s="1"/>
  <c r="AA130" i="20" a="1"/>
  <c r="AA130" i="20" s="1"/>
  <c r="AA124" i="20" a="1"/>
  <c r="AA124" i="20" s="1"/>
  <c r="AA133" i="20" a="1"/>
  <c r="AA133" i="20" s="1"/>
  <c r="AA127" i="20" a="1"/>
  <c r="AA127" i="20" s="1"/>
  <c r="AA123" i="20" a="1"/>
  <c r="AA123" i="20" s="1"/>
  <c r="AA116" i="20" a="1"/>
  <c r="AA116" i="20" s="1"/>
  <c r="AA132" i="20" a="1"/>
  <c r="AA132" i="20" s="1"/>
  <c r="AA126" i="20" a="1"/>
  <c r="AA126" i="20" s="1"/>
  <c r="AA117" i="20" a="1"/>
  <c r="AA117" i="20" s="1"/>
  <c r="AA113" i="20" a="1"/>
  <c r="AA113" i="20" s="1"/>
  <c r="AA109" i="20" a="1"/>
  <c r="AA109" i="20" s="1"/>
  <c r="AA107" i="20" a="1"/>
  <c r="AA107" i="20" s="1"/>
  <c r="AA91" i="20" a="1"/>
  <c r="AA91" i="20" s="1"/>
  <c r="AA106" i="20" a="1"/>
  <c r="AA106" i="20" s="1"/>
  <c r="AA94" i="20" a="1"/>
  <c r="AA94" i="20" s="1"/>
  <c r="AA90" i="20" a="1"/>
  <c r="AA90" i="20" s="1"/>
  <c r="AA105" i="20" a="1"/>
  <c r="AA105" i="20" s="1"/>
  <c r="AA93" i="20" a="1"/>
  <c r="AA93" i="20" s="1"/>
  <c r="AA115" i="20" a="1"/>
  <c r="AA115" i="20" s="1"/>
  <c r="AA108" i="20" a="1"/>
  <c r="AA108" i="20" s="1"/>
  <c r="AA92" i="20" a="1"/>
  <c r="AA92" i="20" s="1"/>
  <c r="I70" i="148"/>
  <c r="G66" i="157" s="1"/>
  <c r="G67" i="157" s="1"/>
  <c r="F13" i="148"/>
  <c r="F14" i="148"/>
  <c r="F15" i="148"/>
  <c r="F17" i="148"/>
  <c r="F18" i="148"/>
  <c r="F19" i="148"/>
  <c r="F21" i="148"/>
  <c r="F22" i="148"/>
  <c r="F23" i="148"/>
  <c r="F25" i="148"/>
  <c r="F26" i="148"/>
  <c r="F27" i="148"/>
  <c r="F29" i="148"/>
  <c r="F30" i="148"/>
  <c r="F31" i="148"/>
  <c r="F33" i="148"/>
  <c r="F34" i="148"/>
  <c r="F35" i="148"/>
  <c r="F37" i="148"/>
  <c r="F38" i="148"/>
  <c r="F39" i="148"/>
  <c r="F41" i="148"/>
  <c r="F42" i="148"/>
  <c r="F43" i="148"/>
  <c r="F45" i="148"/>
  <c r="F46" i="148"/>
  <c r="F47" i="148"/>
  <c r="F49" i="148"/>
  <c r="F50" i="148"/>
  <c r="F51" i="148"/>
  <c r="F53" i="148"/>
  <c r="F54" i="148"/>
  <c r="F55" i="148"/>
  <c r="F59" i="148"/>
  <c r="F61" i="148"/>
  <c r="F62" i="148"/>
  <c r="F63" i="148"/>
  <c r="F65" i="148"/>
  <c r="F66" i="148"/>
  <c r="F67" i="148"/>
  <c r="I228" i="5"/>
  <c r="M228" i="5"/>
  <c r="Q228" i="5"/>
  <c r="K230" i="5"/>
  <c r="O230" i="5"/>
  <c r="F232" i="5"/>
  <c r="F236" i="5"/>
  <c r="F240" i="5"/>
  <c r="J240" i="5"/>
  <c r="N240" i="5"/>
  <c r="J70" i="148"/>
  <c r="H66" i="157" s="1"/>
  <c r="H67" i="157" s="1"/>
  <c r="F30" i="58"/>
  <c r="Q30" i="53"/>
  <c r="Q49" i="142"/>
  <c r="N94" i="109"/>
  <c r="N92" i="109"/>
  <c r="N90" i="109"/>
  <c r="N88" i="109"/>
  <c r="N86" i="109"/>
  <c r="N84" i="109"/>
  <c r="N82" i="109"/>
  <c r="N80" i="109"/>
  <c r="N78" i="109"/>
  <c r="N76" i="109"/>
  <c r="N74" i="109"/>
  <c r="N72" i="109"/>
  <c r="N70" i="109"/>
  <c r="N68" i="109"/>
  <c r="N66" i="109"/>
  <c r="N64" i="109"/>
  <c r="N62" i="109"/>
  <c r="N58" i="109"/>
  <c r="N56" i="109"/>
  <c r="N54" i="109"/>
  <c r="N52" i="109"/>
  <c r="N91" i="40"/>
  <c r="R84" i="40"/>
  <c r="H33" i="40" s="1"/>
  <c r="R72" i="40"/>
  <c r="N95" i="109"/>
  <c r="N93" i="109"/>
  <c r="N91" i="109"/>
  <c r="N89" i="109"/>
  <c r="N87" i="109"/>
  <c r="N85" i="109"/>
  <c r="N83" i="109"/>
  <c r="N81" i="109"/>
  <c r="N79" i="109"/>
  <c r="N77" i="109"/>
  <c r="N75" i="109"/>
  <c r="N73" i="109"/>
  <c r="N71" i="109"/>
  <c r="N69" i="109"/>
  <c r="N67" i="109"/>
  <c r="N65" i="109"/>
  <c r="N63" i="109"/>
  <c r="N59" i="109"/>
  <c r="N57" i="109"/>
  <c r="N55" i="109"/>
  <c r="N53" i="109"/>
  <c r="N90" i="40"/>
  <c r="R78" i="40"/>
  <c r="H32" i="40" s="1"/>
  <c r="N72" i="40"/>
  <c r="G368" i="22"/>
  <c r="J368" i="22" s="1"/>
  <c r="G367" i="22"/>
  <c r="J367" i="22" s="1"/>
  <c r="G353" i="22"/>
  <c r="J353" i="22" s="1"/>
  <c r="G319" i="22"/>
  <c r="J319" i="22" s="1"/>
  <c r="G318" i="22"/>
  <c r="J318" i="22" s="1"/>
  <c r="G317" i="22"/>
  <c r="G296" i="22"/>
  <c r="J296" i="22" s="1"/>
  <c r="G295" i="22"/>
  <c r="J295" i="22" s="1"/>
  <c r="G294" i="22"/>
  <c r="G278" i="22"/>
  <c r="J278" i="22" s="1"/>
  <c r="G274" i="22"/>
  <c r="J274" i="22" s="1"/>
  <c r="G279" i="22"/>
  <c r="J279" i="22" s="1"/>
  <c r="G275" i="22"/>
  <c r="J275" i="22" s="1"/>
  <c r="G281" i="22"/>
  <c r="J281" i="22" s="1"/>
  <c r="G277" i="22"/>
  <c r="J277" i="22" s="1"/>
  <c r="G273" i="22"/>
  <c r="J273" i="22" s="1"/>
  <c r="G116" i="22"/>
  <c r="G360" i="22"/>
  <c r="J360" i="22" s="1"/>
  <c r="G329" i="22"/>
  <c r="J329" i="22" s="1"/>
  <c r="G325" i="22"/>
  <c r="J325" i="22" s="1"/>
  <c r="G276" i="22"/>
  <c r="J276" i="22" s="1"/>
  <c r="G99" i="22"/>
  <c r="J99" i="22" s="1"/>
  <c r="G97" i="22"/>
  <c r="G77" i="22"/>
  <c r="J77" i="22" s="1"/>
  <c r="G371" i="22"/>
  <c r="J371" i="22" s="1"/>
  <c r="G361" i="22"/>
  <c r="J361" i="22" s="1"/>
  <c r="G330" i="22"/>
  <c r="J330" i="22" s="1"/>
  <c r="G326" i="22"/>
  <c r="J326" i="22" s="1"/>
  <c r="G44" i="22"/>
  <c r="J44" i="22" s="1"/>
  <c r="G43" i="22"/>
  <c r="J43" i="22" s="1"/>
  <c r="G42" i="22"/>
  <c r="J42" i="22" s="1"/>
  <c r="G41" i="22"/>
  <c r="J41" i="22" s="1"/>
  <c r="G40" i="22"/>
  <c r="J40" i="22" s="1"/>
  <c r="G39" i="22"/>
  <c r="J39" i="22" s="1"/>
  <c r="G38" i="22"/>
  <c r="J38" i="22" s="1"/>
  <c r="G37" i="22"/>
  <c r="J37" i="22" s="1"/>
  <c r="G36" i="22"/>
  <c r="J36" i="22" s="1"/>
  <c r="G35" i="22"/>
  <c r="J35" i="22" s="1"/>
  <c r="G34" i="22"/>
  <c r="J34" i="22" s="1"/>
  <c r="G33" i="22"/>
  <c r="J33" i="22" s="1"/>
  <c r="G331" i="22"/>
  <c r="J331" i="22" s="1"/>
  <c r="G327" i="22"/>
  <c r="J327" i="22" s="1"/>
  <c r="G323" i="22"/>
  <c r="G280" i="22"/>
  <c r="J280" i="22" s="1"/>
  <c r="G120" i="22"/>
  <c r="J120" i="22" s="1"/>
  <c r="G26" i="22"/>
  <c r="G359" i="22"/>
  <c r="J359" i="22" s="1"/>
  <c r="G328" i="22"/>
  <c r="J328" i="22" s="1"/>
  <c r="G324" i="22"/>
  <c r="J324" i="22" s="1"/>
  <c r="G107" i="22"/>
  <c r="J107" i="22" s="1"/>
  <c r="G106" i="22"/>
  <c r="J106" i="22" s="1"/>
  <c r="G105" i="22"/>
  <c r="G70" i="22"/>
  <c r="G23" i="22"/>
  <c r="J23" i="22" s="1"/>
  <c r="K21" i="63" s="1"/>
  <c r="K51" i="63" s="1"/>
  <c r="G22" i="22"/>
  <c r="J22" i="22" s="1"/>
  <c r="K20" i="63" s="1"/>
  <c r="K50" i="63" s="1"/>
  <c r="AI179" i="20"/>
  <c r="AE179" i="20"/>
  <c r="AA179" i="20"/>
  <c r="AH177" i="20"/>
  <c r="AD177" i="20"/>
  <c r="Z177" i="20"/>
  <c r="AJ176" i="20"/>
  <c r="AF176" i="20"/>
  <c r="AB176" i="20"/>
  <c r="AH175" i="20"/>
  <c r="AD175" i="20"/>
  <c r="Z175" i="20"/>
  <c r="AJ172" i="20"/>
  <c r="AF172" i="20"/>
  <c r="AB172" i="20"/>
  <c r="AJ179" i="20"/>
  <c r="AD179" i="20"/>
  <c r="Y179" i="20"/>
  <c r="AJ177" i="20"/>
  <c r="AE177" i="20"/>
  <c r="Y177" i="20"/>
  <c r="AH176" i="20"/>
  <c r="AC176" i="20"/>
  <c r="AG175" i="20"/>
  <c r="AB175" i="20"/>
  <c r="AE172" i="20"/>
  <c r="Z172" i="20"/>
  <c r="AH179" i="20"/>
  <c r="AC179" i="20"/>
  <c r="AI177" i="20"/>
  <c r="AC177" i="20"/>
  <c r="AG176" i="20"/>
  <c r="AA176" i="20"/>
  <c r="AF175" i="20"/>
  <c r="AA175" i="20"/>
  <c r="AI172" i="20"/>
  <c r="AD172" i="20"/>
  <c r="Y172" i="20"/>
  <c r="AG179" i="20"/>
  <c r="AB179" i="20"/>
  <c r="AG177" i="20"/>
  <c r="AB177" i="20"/>
  <c r="AE176" i="20"/>
  <c r="Z176" i="20"/>
  <c r="AJ175" i="20"/>
  <c r="AE175" i="20"/>
  <c r="Y175" i="20"/>
  <c r="AH172" i="20"/>
  <c r="AC172" i="20"/>
  <c r="AF179" i="20"/>
  <c r="Z179" i="20"/>
  <c r="AF177" i="20"/>
  <c r="AA177" i="20"/>
  <c r="AI176" i="20"/>
  <c r="AD176" i="20"/>
  <c r="Y176" i="20"/>
  <c r="AI175" i="20"/>
  <c r="AC175" i="20"/>
  <c r="AG172" i="20"/>
  <c r="AA172" i="20"/>
  <c r="S61" i="20"/>
  <c r="J225" i="6"/>
  <c r="O225" i="6"/>
  <c r="H227" i="6"/>
  <c r="M227" i="6"/>
  <c r="K228" i="6"/>
  <c r="P228" i="6"/>
  <c r="H229" i="6"/>
  <c r="N229" i="6"/>
  <c r="F230" i="6"/>
  <c r="K230" i="6"/>
  <c r="Q230" i="6"/>
  <c r="I232" i="6"/>
  <c r="N232" i="6"/>
  <c r="G233" i="6"/>
  <c r="L233" i="6"/>
  <c r="Q233" i="6"/>
  <c r="J234" i="6"/>
  <c r="O234" i="6"/>
  <c r="G235" i="6"/>
  <c r="M235" i="6"/>
  <c r="J236" i="6"/>
  <c r="P236" i="6"/>
  <c r="H237" i="6"/>
  <c r="M237" i="6"/>
  <c r="F238" i="6"/>
  <c r="K238" i="6"/>
  <c r="P238" i="6"/>
  <c r="H242" i="6"/>
  <c r="K243" i="6"/>
  <c r="N244" i="6"/>
  <c r="Q245" i="6"/>
  <c r="M249" i="6"/>
  <c r="P250" i="6"/>
  <c r="F228" i="5"/>
  <c r="J228" i="5"/>
  <c r="N228" i="5"/>
  <c r="L230" i="5"/>
  <c r="P230" i="5"/>
  <c r="F237" i="5"/>
  <c r="F242" i="5"/>
  <c r="F246" i="5"/>
  <c r="F225" i="6"/>
  <c r="K225" i="6"/>
  <c r="Q225" i="6"/>
  <c r="I227" i="6"/>
  <c r="N227" i="6"/>
  <c r="G228" i="6"/>
  <c r="L228" i="6"/>
  <c r="Q228" i="6"/>
  <c r="J229" i="6"/>
  <c r="O229" i="6"/>
  <c r="G230" i="6"/>
  <c r="M230" i="6"/>
  <c r="J232" i="6"/>
  <c r="P232" i="6"/>
  <c r="H233" i="6"/>
  <c r="M233" i="6"/>
  <c r="F234" i="6"/>
  <c r="K234" i="6"/>
  <c r="P234" i="6"/>
  <c r="I235" i="6"/>
  <c r="N235" i="6"/>
  <c r="F236" i="6"/>
  <c r="L236" i="6"/>
  <c r="Q236" i="6"/>
  <c r="I237" i="6"/>
  <c r="O237" i="6"/>
  <c r="G238" i="6"/>
  <c r="L238" i="6"/>
  <c r="F239" i="6"/>
  <c r="I240" i="6"/>
  <c r="L242" i="6"/>
  <c r="O243" i="6"/>
  <c r="H246" i="6"/>
  <c r="Q249" i="6"/>
  <c r="G251" i="6"/>
  <c r="I230" i="5"/>
  <c r="M230" i="5"/>
  <c r="Q230" i="5"/>
  <c r="L249" i="5"/>
  <c r="P249" i="5"/>
  <c r="N251" i="6"/>
  <c r="J251" i="6"/>
  <c r="F251" i="6"/>
  <c r="O250" i="6"/>
  <c r="K250" i="6"/>
  <c r="G250" i="6"/>
  <c r="P249" i="6"/>
  <c r="L249" i="6"/>
  <c r="H249" i="6"/>
  <c r="O246" i="6"/>
  <c r="K246" i="6"/>
  <c r="G246" i="6"/>
  <c r="P245" i="6"/>
  <c r="L245" i="6"/>
  <c r="H245" i="6"/>
  <c r="Q244" i="6"/>
  <c r="M244" i="6"/>
  <c r="I244" i="6"/>
  <c r="N243" i="6"/>
  <c r="J243" i="6"/>
  <c r="F243" i="6"/>
  <c r="O242" i="6"/>
  <c r="K242" i="6"/>
  <c r="G242" i="6"/>
  <c r="P240" i="6"/>
  <c r="L240" i="6"/>
  <c r="H240" i="6"/>
  <c r="Q239" i="6"/>
  <c r="M239" i="6"/>
  <c r="I239" i="6"/>
  <c r="Q251" i="6"/>
  <c r="M251" i="6"/>
  <c r="I251" i="6"/>
  <c r="N250" i="6"/>
  <c r="J250" i="6"/>
  <c r="F250" i="6"/>
  <c r="O249" i="6"/>
  <c r="K249" i="6"/>
  <c r="G249" i="6"/>
  <c r="N246" i="6"/>
  <c r="J246" i="6"/>
  <c r="F246" i="6"/>
  <c r="O245" i="6"/>
  <c r="K245" i="6"/>
  <c r="G245" i="6"/>
  <c r="P244" i="6"/>
  <c r="L244" i="6"/>
  <c r="H244" i="6"/>
  <c r="Q243" i="6"/>
  <c r="M243" i="6"/>
  <c r="I243" i="6"/>
  <c r="N242" i="6"/>
  <c r="J242" i="6"/>
  <c r="F242" i="6"/>
  <c r="O240" i="6"/>
  <c r="K240" i="6"/>
  <c r="G240" i="6"/>
  <c r="P239" i="6"/>
  <c r="L239" i="6"/>
  <c r="H239" i="6"/>
  <c r="Q238" i="6"/>
  <c r="M238" i="6"/>
  <c r="I238" i="6"/>
  <c r="N237" i="6"/>
  <c r="J237" i="6"/>
  <c r="F237" i="6"/>
  <c r="O236" i="6"/>
  <c r="K236" i="6"/>
  <c r="G236" i="6"/>
  <c r="P235" i="6"/>
  <c r="L235" i="6"/>
  <c r="H235" i="6"/>
  <c r="Q234" i="6"/>
  <c r="M234" i="6"/>
  <c r="I234" i="6"/>
  <c r="N233" i="6"/>
  <c r="J233" i="6"/>
  <c r="F233" i="6"/>
  <c r="O232" i="6"/>
  <c r="K232" i="6"/>
  <c r="G232" i="6"/>
  <c r="P230" i="6"/>
  <c r="L230" i="6"/>
  <c r="H230" i="6"/>
  <c r="Q229" i="6"/>
  <c r="M229" i="6"/>
  <c r="I229" i="6"/>
  <c r="N228" i="6"/>
  <c r="J228" i="6"/>
  <c r="F228" i="6"/>
  <c r="O227" i="6"/>
  <c r="K227" i="6"/>
  <c r="G227" i="6"/>
  <c r="P225" i="6"/>
  <c r="L225" i="6"/>
  <c r="H225" i="6"/>
  <c r="P251" i="6"/>
  <c r="L251" i="6"/>
  <c r="H251" i="6"/>
  <c r="Q250" i="6"/>
  <c r="M250" i="6"/>
  <c r="I250" i="6"/>
  <c r="N249" i="6"/>
  <c r="J249" i="6"/>
  <c r="F249" i="6"/>
  <c r="Q246" i="6"/>
  <c r="M246" i="6"/>
  <c r="I246" i="6"/>
  <c r="N245" i="6"/>
  <c r="J245" i="6"/>
  <c r="F245" i="6"/>
  <c r="O244" i="6"/>
  <c r="K244" i="6"/>
  <c r="G244" i="6"/>
  <c r="P243" i="6"/>
  <c r="L243" i="6"/>
  <c r="H243" i="6"/>
  <c r="Q242" i="6"/>
  <c r="M242" i="6"/>
  <c r="I242" i="6"/>
  <c r="N240" i="6"/>
  <c r="J240" i="6"/>
  <c r="F240" i="6"/>
  <c r="O239" i="6"/>
  <c r="K239" i="6"/>
  <c r="G239" i="6"/>
  <c r="G225" i="6"/>
  <c r="M225" i="6"/>
  <c r="J227" i="6"/>
  <c r="P227" i="6"/>
  <c r="H228" i="6"/>
  <c r="M228" i="6"/>
  <c r="F229" i="6"/>
  <c r="K229" i="6"/>
  <c r="P229" i="6"/>
  <c r="I230" i="6"/>
  <c r="N230" i="6"/>
  <c r="F232" i="6"/>
  <c r="L232" i="6"/>
  <c r="Q232" i="6"/>
  <c r="I233" i="6"/>
  <c r="O233" i="6"/>
  <c r="G234" i="6"/>
  <c r="L234" i="6"/>
  <c r="J235" i="6"/>
  <c r="O235" i="6"/>
  <c r="H236" i="6"/>
  <c r="M236" i="6"/>
  <c r="K237" i="6"/>
  <c r="P237" i="6"/>
  <c r="H238" i="6"/>
  <c r="N238" i="6"/>
  <c r="J239" i="6"/>
  <c r="M240" i="6"/>
  <c r="P242" i="6"/>
  <c r="F244" i="6"/>
  <c r="I245" i="6"/>
  <c r="L246" i="6"/>
  <c r="H250" i="6"/>
  <c r="K251" i="6"/>
  <c r="F230" i="5"/>
  <c r="J230" i="5"/>
  <c r="N230" i="5"/>
  <c r="I249" i="5"/>
  <c r="M249" i="5"/>
  <c r="Q249" i="5"/>
  <c r="Z133" i="20" a="1"/>
  <c r="Z133" i="20" s="1"/>
  <c r="Z127" i="20" a="1"/>
  <c r="Z127" i="20" s="1"/>
  <c r="Z123" i="20" a="1"/>
  <c r="Z123" i="20" s="1"/>
  <c r="Z116" i="20" a="1"/>
  <c r="Z116" i="20" s="1"/>
  <c r="Z132" i="20" a="1"/>
  <c r="Z132" i="20" s="1"/>
  <c r="Z126" i="20" a="1"/>
  <c r="Z126" i="20" s="1"/>
  <c r="Z131" i="20" a="1"/>
  <c r="Z131" i="20" s="1"/>
  <c r="Z125" i="20" a="1"/>
  <c r="Z125" i="20" s="1"/>
  <c r="Z134" i="20" a="1"/>
  <c r="Z134" i="20" s="1"/>
  <c r="Z130" i="20" a="1"/>
  <c r="Z130" i="20" s="1"/>
  <c r="Z124" i="20" a="1"/>
  <c r="Z124" i="20" s="1"/>
  <c r="Z115" i="20" a="1"/>
  <c r="Z115" i="20" s="1"/>
  <c r="Z105" i="20" a="1"/>
  <c r="Z105" i="20" s="1"/>
  <c r="Z93" i="20" a="1"/>
  <c r="Z93" i="20" s="1"/>
  <c r="Z117" i="20" a="1"/>
  <c r="Z117" i="20" s="1"/>
  <c r="Z109" i="20" a="1"/>
  <c r="Z109" i="20" s="1"/>
  <c r="Z108" i="20" a="1"/>
  <c r="Z108" i="20" s="1"/>
  <c r="Z92" i="20" a="1"/>
  <c r="Z92" i="20" s="1"/>
  <c r="Z113" i="20" a="1"/>
  <c r="Z113" i="20" s="1"/>
  <c r="Z107" i="20" a="1"/>
  <c r="Z107" i="20" s="1"/>
  <c r="Z91" i="20" a="1"/>
  <c r="Z91" i="20" s="1"/>
  <c r="Z114" i="20" a="1"/>
  <c r="Z114" i="20" s="1"/>
  <c r="Z106" i="20" a="1"/>
  <c r="Z106" i="20" s="1"/>
  <c r="Z94" i="20" a="1"/>
  <c r="Z94" i="20" s="1"/>
  <c r="Z90" i="20" a="1"/>
  <c r="Z90" i="20" s="1"/>
  <c r="AB133" i="20" a="1"/>
  <c r="AB133" i="20" s="1"/>
  <c r="AB127" i="20" a="1"/>
  <c r="AB127" i="20" s="1"/>
  <c r="AB123" i="20" a="1"/>
  <c r="AB123" i="20" s="1"/>
  <c r="AB116" i="20" a="1"/>
  <c r="AB116" i="20" s="1"/>
  <c r="AB132" i="20" a="1"/>
  <c r="AB132" i="20" s="1"/>
  <c r="AB126" i="20" a="1"/>
  <c r="AB126" i="20" s="1"/>
  <c r="AB131" i="20" a="1"/>
  <c r="AB131" i="20" s="1"/>
  <c r="AB125" i="20" a="1"/>
  <c r="AB125" i="20" s="1"/>
  <c r="AB114" i="20" a="1"/>
  <c r="AB114" i="20" s="1"/>
  <c r="AB134" i="20" a="1"/>
  <c r="AB134" i="20" s="1"/>
  <c r="AB130" i="20" a="1"/>
  <c r="AB130" i="20" s="1"/>
  <c r="AB124" i="20" a="1"/>
  <c r="AB124" i="20" s="1"/>
  <c r="AB105" i="20" a="1"/>
  <c r="AB105" i="20" s="1"/>
  <c r="AB93" i="20" a="1"/>
  <c r="AB93" i="20" s="1"/>
  <c r="AB108" i="20" a="1"/>
  <c r="AB108" i="20" s="1"/>
  <c r="AB92" i="20" a="1"/>
  <c r="AB92" i="20" s="1"/>
  <c r="AB115" i="20" a="1"/>
  <c r="AB115" i="20" s="1"/>
  <c r="AB109" i="20" a="1"/>
  <c r="AB109" i="20" s="1"/>
  <c r="AB107" i="20" a="1"/>
  <c r="AB107" i="20" s="1"/>
  <c r="AB91" i="20" a="1"/>
  <c r="AB91" i="20" s="1"/>
  <c r="AB117" i="20" a="1"/>
  <c r="AB117" i="20" s="1"/>
  <c r="AB113" i="20" a="1"/>
  <c r="AB113" i="20" s="1"/>
  <c r="AB106" i="20" a="1"/>
  <c r="AB106" i="20" s="1"/>
  <c r="AB94" i="20" a="1"/>
  <c r="AB94" i="20" s="1"/>
  <c r="AB90" i="20" a="1"/>
  <c r="AB90" i="20" s="1"/>
  <c r="AD133" i="20" a="1"/>
  <c r="AD133" i="20" s="1"/>
  <c r="AD127" i="20" a="1"/>
  <c r="AD127" i="20" s="1"/>
  <c r="AD123" i="20" a="1"/>
  <c r="AD123" i="20" s="1"/>
  <c r="AD116" i="20" a="1"/>
  <c r="AD116" i="20" s="1"/>
  <c r="AD132" i="20" a="1"/>
  <c r="AD132" i="20" s="1"/>
  <c r="AD126" i="20" a="1"/>
  <c r="AD126" i="20" s="1"/>
  <c r="AD131" i="20" a="1"/>
  <c r="AD131" i="20" s="1"/>
  <c r="AD125" i="20" a="1"/>
  <c r="AD125" i="20" s="1"/>
  <c r="AD114" i="20" a="1"/>
  <c r="AD114" i="20" s="1"/>
  <c r="AD134" i="20" a="1"/>
  <c r="AD134" i="20" s="1"/>
  <c r="AD130" i="20" a="1"/>
  <c r="AD130" i="20" s="1"/>
  <c r="AD124" i="20" a="1"/>
  <c r="AD124" i="20" s="1"/>
  <c r="AD115" i="20" a="1"/>
  <c r="AD115" i="20" s="1"/>
  <c r="AD113" i="20" a="1"/>
  <c r="AD113" i="20" s="1"/>
  <c r="AD105" i="20" a="1"/>
  <c r="AD105" i="20" s="1"/>
  <c r="AD93" i="20" a="1"/>
  <c r="AD93" i="20" s="1"/>
  <c r="AD117" i="20" a="1"/>
  <c r="AD117" i="20" s="1"/>
  <c r="AD108" i="20" a="1"/>
  <c r="AD108" i="20" s="1"/>
  <c r="AD92" i="20" a="1"/>
  <c r="AD92" i="20" s="1"/>
  <c r="AD107" i="20" a="1"/>
  <c r="AD107" i="20" s="1"/>
  <c r="AD91" i="20" a="1"/>
  <c r="AD91" i="20" s="1"/>
  <c r="AD109" i="20" a="1"/>
  <c r="AD109" i="20" s="1"/>
  <c r="AD106" i="20" a="1"/>
  <c r="AD106" i="20" s="1"/>
  <c r="AD94" i="20" a="1"/>
  <c r="AD94" i="20" s="1"/>
  <c r="AD90" i="20" a="1"/>
  <c r="AD90" i="20" s="1"/>
  <c r="I225" i="6"/>
  <c r="N225" i="6"/>
  <c r="F227" i="6"/>
  <c r="L227" i="6"/>
  <c r="Q227" i="6"/>
  <c r="I228" i="6"/>
  <c r="O228" i="6"/>
  <c r="G229" i="6"/>
  <c r="L229" i="6"/>
  <c r="J230" i="6"/>
  <c r="O230" i="6"/>
  <c r="H232" i="6"/>
  <c r="M232" i="6"/>
  <c r="K233" i="6"/>
  <c r="P233" i="6"/>
  <c r="H234" i="6"/>
  <c r="N234" i="6"/>
  <c r="F235" i="6"/>
  <c r="K235" i="6"/>
  <c r="Q235" i="6"/>
  <c r="I236" i="6"/>
  <c r="N236" i="6"/>
  <c r="G237" i="6"/>
  <c r="L237" i="6"/>
  <c r="Q237" i="6"/>
  <c r="J238" i="6"/>
  <c r="O238" i="6"/>
  <c r="N239" i="6"/>
  <c r="Q240" i="6"/>
  <c r="G243" i="6"/>
  <c r="J244" i="6"/>
  <c r="M245" i="6"/>
  <c r="P246" i="6"/>
  <c r="I249" i="6"/>
  <c r="L250" i="6"/>
  <c r="P20" i="14"/>
  <c r="AF120" i="20"/>
  <c r="AH120" i="20"/>
  <c r="AJ120" i="20"/>
  <c r="Y70" i="12"/>
  <c r="M24" i="12" s="1"/>
  <c r="AE120" i="20"/>
  <c r="AG120" i="20"/>
  <c r="AI120" i="20"/>
  <c r="K27" i="52"/>
  <c r="Q66" i="50"/>
  <c r="O93" i="46"/>
  <c r="L27" i="58"/>
  <c r="O142" i="54"/>
  <c r="M15" i="65"/>
  <c r="M15" i="67"/>
  <c r="M15" i="66"/>
  <c r="I34" i="63"/>
  <c r="I44" i="66"/>
  <c r="C34" i="66"/>
  <c r="G34" i="66"/>
  <c r="I52" i="66"/>
  <c r="F186" i="110"/>
  <c r="F67" i="110"/>
  <c r="F143" i="110"/>
  <c r="G11" i="110"/>
  <c r="F114" i="110"/>
  <c r="I34" i="66"/>
  <c r="C23" i="124"/>
  <c r="H10" i="124"/>
  <c r="G23" i="124"/>
  <c r="H15" i="124"/>
  <c r="H17" i="124"/>
  <c r="H19" i="124"/>
  <c r="H21" i="124"/>
  <c r="E15" i="65"/>
  <c r="D15" i="65"/>
  <c r="F15" i="65"/>
  <c r="I51" i="66"/>
  <c r="D15" i="66"/>
  <c r="A108" i="110"/>
  <c r="A61" i="110"/>
  <c r="A180" i="110"/>
  <c r="L96" i="110"/>
  <c r="A104" i="110"/>
  <c r="A137" i="110"/>
  <c r="D44" i="66"/>
  <c r="A181" i="110"/>
  <c r="A138" i="110"/>
  <c r="A109" i="110"/>
  <c r="A62" i="110"/>
  <c r="K155" i="110"/>
  <c r="E44" i="66"/>
  <c r="N15" i="67"/>
  <c r="A176" i="110"/>
  <c r="A133" i="110"/>
  <c r="C70" i="110"/>
  <c r="H14" i="124"/>
  <c r="A177" i="110"/>
  <c r="A134" i="110"/>
  <c r="A105" i="110"/>
  <c r="A58" i="110"/>
  <c r="E114" i="110"/>
  <c r="E186" i="110"/>
  <c r="E67" i="110"/>
  <c r="J155" i="110"/>
  <c r="J152" i="110"/>
  <c r="E143" i="110"/>
  <c r="M96" i="110"/>
  <c r="J96" i="110"/>
  <c r="N96" i="110"/>
  <c r="A312" i="174" l="1"/>
  <c r="A353" i="174"/>
  <c r="A392" i="174"/>
  <c r="A446" i="174"/>
  <c r="A488" i="174"/>
  <c r="A148" i="181"/>
  <c r="A208" i="181"/>
  <c r="A260" i="181"/>
  <c r="A48" i="174"/>
  <c r="A182" i="174"/>
  <c r="A128" i="174"/>
  <c r="A224" i="174"/>
  <c r="A89" i="174"/>
  <c r="A182" i="172"/>
  <c r="A224" i="172"/>
  <c r="A128" i="172"/>
  <c r="J61" i="62"/>
  <c r="H61" i="62" s="1"/>
  <c r="Q109" i="9"/>
  <c r="C45" i="110" s="1"/>
  <c r="Q69" i="9"/>
  <c r="D45" i="110" s="1"/>
  <c r="H60" i="62"/>
  <c r="W178" i="55"/>
  <c r="N45" i="159"/>
  <c r="D83" i="110"/>
  <c r="O50" i="164"/>
  <c r="N17" i="163"/>
  <c r="N30" i="163" s="1"/>
  <c r="U221" i="24"/>
  <c r="AO534" i="24" s="1"/>
  <c r="H72" i="110"/>
  <c r="AA93" i="61"/>
  <c r="U58" i="142" s="1"/>
  <c r="Q88" i="164"/>
  <c r="H165" i="110"/>
  <c r="J54" i="159"/>
  <c r="H54" i="159" s="1"/>
  <c r="U54" i="159"/>
  <c r="T54" i="159" s="1"/>
  <c r="N129" i="164"/>
  <c r="O129" i="164" s="1"/>
  <c r="AC85" i="115"/>
  <c r="R52" i="162"/>
  <c r="R56" i="162" s="1"/>
  <c r="AC347" i="24" s="1"/>
  <c r="U223" i="24" s="1"/>
  <c r="X178" i="55"/>
  <c r="X128" i="55"/>
  <c r="R54" i="159"/>
  <c r="P33" i="159"/>
  <c r="AA176" i="55"/>
  <c r="J129" i="164"/>
  <c r="I129" i="164" s="1"/>
  <c r="I126" i="164"/>
  <c r="L64" i="164"/>
  <c r="I38" i="80"/>
  <c r="K19" i="68" s="1"/>
  <c r="K31" i="68"/>
  <c r="C98" i="110"/>
  <c r="I18" i="68"/>
  <c r="M18" i="68" s="1"/>
  <c r="X54" i="159"/>
  <c r="V41" i="159"/>
  <c r="Q50" i="164"/>
  <c r="O61" i="20"/>
  <c r="O68" i="20" s="1"/>
  <c r="I50" i="164"/>
  <c r="E20" i="164"/>
  <c r="Q64" i="159"/>
  <c r="J64" i="164"/>
  <c r="K45" i="159"/>
  <c r="Q45" i="141"/>
  <c r="Q47" i="141" s="1"/>
  <c r="Q51" i="141" s="1"/>
  <c r="H20" i="141" s="1"/>
  <c r="H24" i="141" s="1"/>
  <c r="U399" i="24" s="1"/>
  <c r="U400" i="24" s="1"/>
  <c r="U410" i="24" s="1"/>
  <c r="U420" i="24" s="1"/>
  <c r="U422" i="24" s="1"/>
  <c r="M64" i="159"/>
  <c r="K33" i="159"/>
  <c r="C90" i="110"/>
  <c r="C93" i="110" s="1"/>
  <c r="C85" i="110"/>
  <c r="F83" i="110"/>
  <c r="O54" i="159"/>
  <c r="N41" i="159"/>
  <c r="Q126" i="164"/>
  <c r="S129" i="164"/>
  <c r="Q129" i="164" s="1"/>
  <c r="AA94" i="61"/>
  <c r="T178" i="55"/>
  <c r="H64" i="164"/>
  <c r="P45" i="159"/>
  <c r="T45" i="159"/>
  <c r="V45" i="159"/>
  <c r="S64" i="159"/>
  <c r="M50" i="164"/>
  <c r="M20" i="164"/>
  <c r="N64" i="164"/>
  <c r="O20" i="164"/>
  <c r="P64" i="164"/>
  <c r="I72" i="110"/>
  <c r="I165" i="110"/>
  <c r="O88" i="164"/>
  <c r="K20" i="164"/>
  <c r="W484" i="24"/>
  <c r="AE487" i="24"/>
  <c r="AE490" i="24" s="1"/>
  <c r="AE492" i="24" s="1"/>
  <c r="AA425" i="24"/>
  <c r="AA428" i="24" s="1"/>
  <c r="AA430" i="24" s="1"/>
  <c r="AA432" i="24" s="1"/>
  <c r="AC425" i="24"/>
  <c r="AC428" i="24" s="1"/>
  <c r="AC430" i="24" s="1"/>
  <c r="AC432" i="24" s="1"/>
  <c r="M50" i="24"/>
  <c r="W410" i="24"/>
  <c r="W420" i="24" s="1"/>
  <c r="W422" i="24" s="1"/>
  <c r="AE425" i="24"/>
  <c r="AE428" i="24" s="1"/>
  <c r="AE430" i="24" s="1"/>
  <c r="AC484" i="24"/>
  <c r="Y487" i="24"/>
  <c r="Y490" i="24" s="1"/>
  <c r="Y492" i="24" s="1"/>
  <c r="Y494" i="24" s="1"/>
  <c r="J33" i="19"/>
  <c r="AA487" i="24"/>
  <c r="AA490" i="24" s="1"/>
  <c r="AA492" i="24" s="1"/>
  <c r="AA494" i="24" s="1"/>
  <c r="H45" i="40"/>
  <c r="H50" i="40" s="1"/>
  <c r="H14" i="163" s="1"/>
  <c r="AE216" i="24"/>
  <c r="U302" i="24"/>
  <c r="U304" i="24" s="1"/>
  <c r="U306" i="24" s="1"/>
  <c r="U308" i="24" s="1"/>
  <c r="A130" i="24"/>
  <c r="U484" i="24"/>
  <c r="J31" i="19"/>
  <c r="G25" i="46"/>
  <c r="G138" i="46" s="1"/>
  <c r="G27" i="46"/>
  <c r="I27" i="46" s="1"/>
  <c r="F64" i="164"/>
  <c r="E64" i="164" s="1"/>
  <c r="G129" i="164"/>
  <c r="E129" i="164"/>
  <c r="AA92" i="61"/>
  <c r="U348" i="24"/>
  <c r="U358" i="24" s="1"/>
  <c r="U360" i="24" s="1"/>
  <c r="O21" i="163"/>
  <c r="AO543" i="24"/>
  <c r="J43" i="19"/>
  <c r="Y293" i="24"/>
  <c r="R17" i="163"/>
  <c r="H21" i="109"/>
  <c r="R117" i="109"/>
  <c r="H16" i="163"/>
  <c r="T128" i="55"/>
  <c r="Z178" i="55"/>
  <c r="Y178" i="55"/>
  <c r="U128" i="55"/>
  <c r="AA128" i="55"/>
  <c r="V178" i="55"/>
  <c r="Y128" i="55"/>
  <c r="V128" i="55"/>
  <c r="W128" i="55"/>
  <c r="P178" i="55"/>
  <c r="U176" i="55"/>
  <c r="O143" i="54"/>
  <c r="J98" i="54"/>
  <c r="J101" i="54" s="1"/>
  <c r="K101" i="54" s="1"/>
  <c r="K96" i="54"/>
  <c r="K98" i="54" s="1"/>
  <c r="Y360" i="24"/>
  <c r="H34" i="40"/>
  <c r="H39" i="40" s="1"/>
  <c r="AE212" i="24" s="1"/>
  <c r="R126" i="55"/>
  <c r="AA358" i="24"/>
  <c r="AA360" i="24" s="1"/>
  <c r="I19" i="68"/>
  <c r="O97" i="9"/>
  <c r="F247" i="6"/>
  <c r="F248" i="6" s="1"/>
  <c r="AD227" i="20"/>
  <c r="K24" i="54"/>
  <c r="K30" i="54" s="1"/>
  <c r="G30" i="54"/>
  <c r="G33" i="54" s="1"/>
  <c r="K33" i="54" s="1"/>
  <c r="S128" i="55"/>
  <c r="Z128" i="55"/>
  <c r="O124" i="55"/>
  <c r="O174" i="55"/>
  <c r="E52" i="55"/>
  <c r="F52" i="55" s="1"/>
  <c r="F18" i="55"/>
  <c r="E26" i="55"/>
  <c r="G99" i="15"/>
  <c r="K247" i="5"/>
  <c r="K248" i="5" s="1"/>
  <c r="M73" i="62"/>
  <c r="M76" i="62" s="1"/>
  <c r="N62" i="62"/>
  <c r="T62" i="62"/>
  <c r="N30" i="62"/>
  <c r="S14" i="62"/>
  <c r="V62" i="62"/>
  <c r="S41" i="62"/>
  <c r="T30" i="62"/>
  <c r="U40" i="62"/>
  <c r="V40" i="62" s="1"/>
  <c r="N40" i="62"/>
  <c r="O41" i="62"/>
  <c r="P30" i="62"/>
  <c r="Q40" i="62"/>
  <c r="R40" i="62" s="1"/>
  <c r="J72" i="62"/>
  <c r="H65" i="62"/>
  <c r="K65" i="62"/>
  <c r="P62" i="62"/>
  <c r="R62" i="62"/>
  <c r="V30" i="62"/>
  <c r="X41" i="62"/>
  <c r="J56" i="62"/>
  <c r="H56" i="62" s="1"/>
  <c r="H55" i="62"/>
  <c r="E125" i="5"/>
  <c r="E146" i="5"/>
  <c r="E217" i="5"/>
  <c r="G275" i="21" s="1"/>
  <c r="J275" i="21" s="1"/>
  <c r="AJ226" i="20"/>
  <c r="AH227" i="20"/>
  <c r="Q67" i="142"/>
  <c r="Y227" i="20"/>
  <c r="I24" i="66"/>
  <c r="J20" i="124"/>
  <c r="J12" i="124"/>
  <c r="L12" i="124" s="1"/>
  <c r="J18" i="124"/>
  <c r="J16" i="124"/>
  <c r="J13" i="124"/>
  <c r="L13" i="124" s="1"/>
  <c r="K73" i="148"/>
  <c r="E21" i="5"/>
  <c r="G322" i="21" s="1"/>
  <c r="J322" i="21" s="1"/>
  <c r="C22" i="1"/>
  <c r="I21" i="61"/>
  <c r="I23" i="61" s="1"/>
  <c r="Q68" i="142"/>
  <c r="Q69" i="142"/>
  <c r="E110" i="5"/>
  <c r="G103" i="21" s="1"/>
  <c r="J103" i="21" s="1"/>
  <c r="E120" i="5"/>
  <c r="E216" i="5"/>
  <c r="G274" i="21" s="1"/>
  <c r="J274" i="21" s="1"/>
  <c r="E97" i="5"/>
  <c r="E109" i="5"/>
  <c r="G102" i="21" s="1"/>
  <c r="J102" i="21" s="1"/>
  <c r="E135" i="5"/>
  <c r="E151" i="5"/>
  <c r="E133" i="5"/>
  <c r="E134" i="5"/>
  <c r="E136" i="5"/>
  <c r="E58" i="5"/>
  <c r="E112" i="5"/>
  <c r="E127" i="5"/>
  <c r="E130" i="5"/>
  <c r="H243" i="5"/>
  <c r="E171" i="5"/>
  <c r="E88" i="5"/>
  <c r="E141" i="5"/>
  <c r="E143" i="5"/>
  <c r="E173" i="5"/>
  <c r="H246" i="5"/>
  <c r="E246" i="5" s="1"/>
  <c r="E195" i="5"/>
  <c r="E144" i="5"/>
  <c r="E154" i="5"/>
  <c r="E53" i="5"/>
  <c r="E55" i="5"/>
  <c r="E91" i="5"/>
  <c r="G79" i="21" s="1"/>
  <c r="J79" i="21" s="1"/>
  <c r="E85" i="5"/>
  <c r="E104" i="5"/>
  <c r="E157" i="5"/>
  <c r="E142" i="5"/>
  <c r="E121" i="5"/>
  <c r="E172" i="5"/>
  <c r="E170" i="5"/>
  <c r="H245" i="5"/>
  <c r="E51" i="5"/>
  <c r="E86" i="5"/>
  <c r="E83" i="5"/>
  <c r="E107" i="5"/>
  <c r="E124" i="5"/>
  <c r="E149" i="5"/>
  <c r="E128" i="5"/>
  <c r="E156" i="5"/>
  <c r="E218" i="5"/>
  <c r="E152" i="5"/>
  <c r="E214" i="5"/>
  <c r="G272" i="21" s="1"/>
  <c r="J272" i="21" s="1"/>
  <c r="H238" i="5"/>
  <c r="E153" i="5"/>
  <c r="E158" i="5"/>
  <c r="E150" i="5"/>
  <c r="E213" i="5"/>
  <c r="E155" i="5"/>
  <c r="E169" i="5"/>
  <c r="E168" i="5"/>
  <c r="E147" i="5"/>
  <c r="H236" i="5"/>
  <c r="E140" i="5"/>
  <c r="E145" i="5"/>
  <c r="E138" i="5"/>
  <c r="E148" i="5"/>
  <c r="E131" i="5"/>
  <c r="E132" i="5"/>
  <c r="E123" i="5"/>
  <c r="E129" i="5"/>
  <c r="E111" i="5"/>
  <c r="E108" i="5"/>
  <c r="E87" i="5"/>
  <c r="E95" i="5"/>
  <c r="E96" i="5"/>
  <c r="E89" i="5"/>
  <c r="E84" i="5"/>
  <c r="E90" i="5"/>
  <c r="G78" i="21" s="1"/>
  <c r="J78" i="21" s="1"/>
  <c r="E48" i="5"/>
  <c r="E60" i="5"/>
  <c r="E57" i="5"/>
  <c r="E222" i="5"/>
  <c r="E192" i="5"/>
  <c r="E45" i="5"/>
  <c r="E204" i="5"/>
  <c r="E207" i="5"/>
  <c r="E208" i="5"/>
  <c r="E212" i="5"/>
  <c r="G270" i="21" s="1"/>
  <c r="J270" i="21" s="1"/>
  <c r="G210" i="5"/>
  <c r="E210" i="5" s="1"/>
  <c r="E211" i="5"/>
  <c r="G209" i="5"/>
  <c r="E209" i="5" s="1"/>
  <c r="G267" i="21" s="1"/>
  <c r="J267" i="21" s="1"/>
  <c r="G202" i="5"/>
  <c r="E202" i="5" s="1"/>
  <c r="G205" i="5"/>
  <c r="E205" i="5" s="1"/>
  <c r="E203" i="5"/>
  <c r="G206" i="5"/>
  <c r="E206" i="5" s="1"/>
  <c r="G199" i="5"/>
  <c r="E199" i="5" s="1"/>
  <c r="G201" i="5"/>
  <c r="E201" i="5" s="1"/>
  <c r="G200" i="5"/>
  <c r="E200" i="5" s="1"/>
  <c r="E193" i="5"/>
  <c r="G191" i="5"/>
  <c r="Q127" i="55" s="1"/>
  <c r="E196" i="5"/>
  <c r="G198" i="5"/>
  <c r="E198" i="5" s="1"/>
  <c r="E181" i="5"/>
  <c r="E180" i="5"/>
  <c r="G187" i="5"/>
  <c r="E187" i="5" s="1"/>
  <c r="H194" i="5"/>
  <c r="H239" i="5" s="1"/>
  <c r="G194" i="5"/>
  <c r="E188" i="5"/>
  <c r="E197" i="5"/>
  <c r="E190" i="5"/>
  <c r="E179" i="5"/>
  <c r="E189" i="5"/>
  <c r="E183" i="5"/>
  <c r="E175" i="5"/>
  <c r="E139" i="5"/>
  <c r="G185" i="5"/>
  <c r="E185" i="5" s="1"/>
  <c r="G186" i="5"/>
  <c r="E186" i="5" s="1"/>
  <c r="G182" i="5"/>
  <c r="H178" i="5"/>
  <c r="H235" i="5" s="1"/>
  <c r="G178" i="5"/>
  <c r="E161" i="5"/>
  <c r="G184" i="5"/>
  <c r="E184" i="5" s="1"/>
  <c r="G174" i="5"/>
  <c r="E174" i="5" s="1"/>
  <c r="E177" i="5"/>
  <c r="G245" i="5"/>
  <c r="G159" i="5"/>
  <c r="E159" i="5" s="1"/>
  <c r="G162" i="5"/>
  <c r="E162" i="5" s="1"/>
  <c r="H176" i="5"/>
  <c r="H234" i="5" s="1"/>
  <c r="G176" i="5"/>
  <c r="G163" i="5"/>
  <c r="E163" i="5" s="1"/>
  <c r="H233" i="5"/>
  <c r="G164" i="5"/>
  <c r="E164" i="5" s="1"/>
  <c r="E113" i="5"/>
  <c r="G160" i="5"/>
  <c r="E160" i="5" s="1"/>
  <c r="E165" i="5"/>
  <c r="G243" i="5"/>
  <c r="G115" i="5"/>
  <c r="E115" i="5" s="1"/>
  <c r="G238" i="5"/>
  <c r="E103" i="5"/>
  <c r="E237" i="5"/>
  <c r="E137" i="5"/>
  <c r="G236" i="5"/>
  <c r="E106" i="5"/>
  <c r="E116" i="5"/>
  <c r="E81" i="5"/>
  <c r="E122" i="5"/>
  <c r="E99" i="5"/>
  <c r="H118" i="5"/>
  <c r="H229" i="5" s="1"/>
  <c r="G118" i="5"/>
  <c r="G119" i="5"/>
  <c r="G117" i="5"/>
  <c r="E117" i="5" s="1"/>
  <c r="H114" i="5"/>
  <c r="H228" i="5" s="1"/>
  <c r="G114" i="5"/>
  <c r="E82" i="5"/>
  <c r="H101" i="5"/>
  <c r="H242" i="5" s="1"/>
  <c r="G101" i="5"/>
  <c r="H105" i="5"/>
  <c r="H227" i="5" s="1"/>
  <c r="G105" i="5"/>
  <c r="G98" i="5"/>
  <c r="E98" i="5" s="1"/>
  <c r="G102" i="5"/>
  <c r="E102" i="5" s="1"/>
  <c r="G94" i="21" s="1"/>
  <c r="J94" i="21" s="1"/>
  <c r="E75" i="5"/>
  <c r="G45" i="21" s="1"/>
  <c r="J45" i="21" s="1"/>
  <c r="G100" i="5"/>
  <c r="E100" i="5" s="1"/>
  <c r="G80" i="5"/>
  <c r="G67" i="5"/>
  <c r="E67" i="5" s="1"/>
  <c r="G64" i="5"/>
  <c r="E64" i="5" s="1"/>
  <c r="G34" i="21" s="1"/>
  <c r="J34" i="21" s="1"/>
  <c r="E73" i="5"/>
  <c r="G43" i="21" s="1"/>
  <c r="J43" i="21" s="1"/>
  <c r="H93" i="5"/>
  <c r="G93" i="5"/>
  <c r="H94" i="5"/>
  <c r="G94" i="5"/>
  <c r="H92" i="5"/>
  <c r="G92" i="5"/>
  <c r="H232" i="5"/>
  <c r="G65" i="5"/>
  <c r="E65" i="5" s="1"/>
  <c r="G79" i="5"/>
  <c r="E79" i="5" s="1"/>
  <c r="G74" i="21" s="1"/>
  <c r="J74" i="21" s="1"/>
  <c r="E77" i="5"/>
  <c r="G47" i="21" s="1"/>
  <c r="J47" i="21" s="1"/>
  <c r="G71" i="5"/>
  <c r="E71" i="5" s="1"/>
  <c r="G63" i="5"/>
  <c r="E63" i="5" s="1"/>
  <c r="G33" i="21" s="1"/>
  <c r="J33" i="21" s="1"/>
  <c r="G78" i="5"/>
  <c r="E78" i="5" s="1"/>
  <c r="E74" i="5"/>
  <c r="E68" i="5"/>
  <c r="G76" i="5"/>
  <c r="E76" i="5" s="1"/>
  <c r="G46" i="5"/>
  <c r="E46" i="5" s="1"/>
  <c r="E29" i="5"/>
  <c r="G327" i="21" s="1"/>
  <c r="J327" i="21" s="1"/>
  <c r="G72" i="5"/>
  <c r="E72" i="5" s="1"/>
  <c r="G42" i="21" s="1"/>
  <c r="J42" i="21" s="1"/>
  <c r="H70" i="5"/>
  <c r="G70" i="5"/>
  <c r="G66" i="5"/>
  <c r="E66" i="5" s="1"/>
  <c r="G36" i="21" s="1"/>
  <c r="J36" i="21" s="1"/>
  <c r="E34" i="5"/>
  <c r="G356" i="21" s="1"/>
  <c r="J356" i="21" s="1"/>
  <c r="T58" i="142"/>
  <c r="E61" i="5"/>
  <c r="E40" i="5"/>
  <c r="S58" i="142"/>
  <c r="H62" i="5"/>
  <c r="G62" i="5"/>
  <c r="H56" i="5"/>
  <c r="G56" i="5"/>
  <c r="H54" i="5"/>
  <c r="G54" i="5"/>
  <c r="H59" i="5"/>
  <c r="G59" i="5"/>
  <c r="H52" i="5"/>
  <c r="AD98" i="20" s="1"/>
  <c r="G52" i="5"/>
  <c r="E12" i="5"/>
  <c r="G11" i="5"/>
  <c r="H11" i="5"/>
  <c r="E41" i="5"/>
  <c r="E36" i="5"/>
  <c r="L72" i="148"/>
  <c r="L73" i="148" s="1"/>
  <c r="G23" i="5"/>
  <c r="E23" i="5" s="1"/>
  <c r="G323" i="21" s="1"/>
  <c r="J323" i="21" s="1"/>
  <c r="E16" i="5"/>
  <c r="E27" i="5"/>
  <c r="G312" i="21" s="1"/>
  <c r="J312" i="21" s="1"/>
  <c r="G35" i="5"/>
  <c r="E35" i="5" s="1"/>
  <c r="G357" i="21" s="1"/>
  <c r="J357" i="21" s="1"/>
  <c r="E13" i="5"/>
  <c r="H22" i="5"/>
  <c r="G22" i="5"/>
  <c r="H24" i="5"/>
  <c r="G24" i="5"/>
  <c r="H20" i="5"/>
  <c r="G20" i="5"/>
  <c r="E17" i="5"/>
  <c r="G318" i="21" s="1"/>
  <c r="H26" i="5"/>
  <c r="G26" i="5"/>
  <c r="H18" i="5"/>
  <c r="G18" i="5"/>
  <c r="G19" i="5"/>
  <c r="E19" i="5" s="1"/>
  <c r="G320" i="21" s="1"/>
  <c r="J320" i="21" s="1"/>
  <c r="G25" i="5"/>
  <c r="E25" i="5" s="1"/>
  <c r="G325" i="21" s="1"/>
  <c r="J325" i="21" s="1"/>
  <c r="H28" i="5"/>
  <c r="G28" i="5"/>
  <c r="AD147" i="20"/>
  <c r="H14" i="5"/>
  <c r="G14" i="5"/>
  <c r="H15" i="5"/>
  <c r="G15" i="5"/>
  <c r="AH147" i="20"/>
  <c r="L247" i="5"/>
  <c r="M247" i="5"/>
  <c r="M248" i="5" s="1"/>
  <c r="G273" i="21"/>
  <c r="J273" i="21" s="1"/>
  <c r="G39" i="21"/>
  <c r="J39" i="21" s="1"/>
  <c r="O247" i="5"/>
  <c r="O256" i="5" s="1"/>
  <c r="I247" i="5"/>
  <c r="P247" i="5"/>
  <c r="Q247" i="5"/>
  <c r="Q248" i="5" s="1"/>
  <c r="Y224" i="24"/>
  <c r="P11" i="163"/>
  <c r="N247" i="5"/>
  <c r="AE147" i="20"/>
  <c r="AC147" i="20"/>
  <c r="AB147" i="20"/>
  <c r="AI147" i="20"/>
  <c r="AF147" i="20"/>
  <c r="O72" i="148"/>
  <c r="O73" i="148" s="1"/>
  <c r="R72" i="148"/>
  <c r="R73" i="148" s="1"/>
  <c r="AE301" i="24"/>
  <c r="AE304" i="24" s="1"/>
  <c r="AE306" i="24" s="1"/>
  <c r="AE308" i="24" s="1"/>
  <c r="AG147" i="20"/>
  <c r="AJ147" i="20"/>
  <c r="J247" i="5"/>
  <c r="J248" i="5" s="1"/>
  <c r="Q72" i="148"/>
  <c r="Q73" i="148" s="1"/>
  <c r="G72" i="148"/>
  <c r="G73" i="148" s="1"/>
  <c r="Y147" i="20"/>
  <c r="J72" i="148"/>
  <c r="J73" i="148" s="1"/>
  <c r="K128" i="46"/>
  <c r="K142" i="46" s="1"/>
  <c r="A46" i="15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G17" i="76"/>
  <c r="M55" i="71"/>
  <c r="K17" i="76" s="1"/>
  <c r="G34" i="46"/>
  <c r="G119" i="46"/>
  <c r="I119" i="46" s="1"/>
  <c r="I65" i="46"/>
  <c r="I66" i="46" s="1"/>
  <c r="W159" i="46"/>
  <c r="S156" i="46"/>
  <c r="S157" i="46" s="1"/>
  <c r="S158" i="46" s="1"/>
  <c r="S159" i="46" s="1"/>
  <c r="S160" i="46" s="1"/>
  <c r="S161" i="46" s="1"/>
  <c r="S162" i="46" s="1"/>
  <c r="S163" i="46" s="1"/>
  <c r="S164" i="46" s="1"/>
  <c r="S165" i="46" s="1"/>
  <c r="M34" i="46"/>
  <c r="Q34" i="46"/>
  <c r="S75" i="75"/>
  <c r="S116" i="15"/>
  <c r="T116" i="15" s="1"/>
  <c r="S114" i="15"/>
  <c r="T114" i="15" s="1"/>
  <c r="K59" i="15"/>
  <c r="I66" i="15"/>
  <c r="T129" i="15"/>
  <c r="G83" i="15"/>
  <c r="H83" i="15" s="1"/>
  <c r="I83" i="15" s="1"/>
  <c r="J83" i="15" s="1"/>
  <c r="K83" i="15" s="1"/>
  <c r="L83" i="15" s="1"/>
  <c r="M83" i="15" s="1"/>
  <c r="N83" i="15" s="1"/>
  <c r="O83" i="15" s="1"/>
  <c r="P83" i="15" s="1"/>
  <c r="Q83" i="15" s="1"/>
  <c r="R83" i="15" s="1"/>
  <c r="T130" i="15"/>
  <c r="T131" i="15"/>
  <c r="AC152" i="15"/>
  <c r="AC154" i="15" s="1"/>
  <c r="AD154" i="15" s="1"/>
  <c r="B54" i="75" s="1"/>
  <c r="S88" i="15"/>
  <c r="T88" i="15" s="1"/>
  <c r="K23" i="12"/>
  <c r="K27" i="12" s="1"/>
  <c r="U122" i="12"/>
  <c r="J26" i="75"/>
  <c r="E26" i="75" s="1"/>
  <c r="AC107" i="13"/>
  <c r="Y132" i="12" s="1"/>
  <c r="O37" i="12" s="1"/>
  <c r="AC100" i="13"/>
  <c r="Y83" i="12" s="1"/>
  <c r="M37" i="12" s="1"/>
  <c r="X86" i="75"/>
  <c r="AZ164" i="13"/>
  <c r="AZ167" i="13" s="1"/>
  <c r="X81" i="75" s="1"/>
  <c r="J28" i="75"/>
  <c r="O27" i="12"/>
  <c r="X77" i="75" s="1"/>
  <c r="K33" i="12"/>
  <c r="Y128" i="12"/>
  <c r="O33" i="12" s="1"/>
  <c r="Y122" i="12"/>
  <c r="AW164" i="13"/>
  <c r="AW167" i="13" s="1"/>
  <c r="K37" i="12"/>
  <c r="U132" i="12"/>
  <c r="S86" i="75"/>
  <c r="O77" i="13"/>
  <c r="O79" i="13" s="1"/>
  <c r="T80" i="75" s="1"/>
  <c r="V80" i="75" s="1"/>
  <c r="V82" i="75" s="1"/>
  <c r="V93" i="75" s="1"/>
  <c r="I35" i="12"/>
  <c r="U81" i="12"/>
  <c r="E21" i="75"/>
  <c r="Z107" i="13"/>
  <c r="Z100" i="13"/>
  <c r="K35" i="12"/>
  <c r="U130" i="12"/>
  <c r="S81" i="75"/>
  <c r="S82" i="75" s="1"/>
  <c r="AZ153" i="13"/>
  <c r="AZ156" i="13" s="1"/>
  <c r="J21" i="75" s="1"/>
  <c r="J22" i="75" s="1"/>
  <c r="I37" i="12"/>
  <c r="U83" i="12"/>
  <c r="L28" i="75"/>
  <c r="M247" i="6"/>
  <c r="M248" i="6" s="1"/>
  <c r="AK185" i="20"/>
  <c r="AK190" i="20"/>
  <c r="AK186" i="20"/>
  <c r="AJ227" i="20"/>
  <c r="AK207" i="20"/>
  <c r="AK193" i="20"/>
  <c r="AK203" i="20"/>
  <c r="AH197" i="20"/>
  <c r="AF197" i="20"/>
  <c r="AK182" i="20"/>
  <c r="AI227" i="20"/>
  <c r="AK170" i="20"/>
  <c r="AK192" i="20"/>
  <c r="Y197" i="20"/>
  <c r="Z197" i="20"/>
  <c r="AK169" i="20"/>
  <c r="AK168" i="20"/>
  <c r="AK167" i="20"/>
  <c r="AJ197" i="20"/>
  <c r="AF226" i="20"/>
  <c r="AK208" i="20"/>
  <c r="AE226" i="20"/>
  <c r="AG197" i="20"/>
  <c r="AI226" i="20"/>
  <c r="AK194" i="20"/>
  <c r="AA197" i="20"/>
  <c r="AH226" i="20"/>
  <c r="AB226" i="20"/>
  <c r="AK211" i="20"/>
  <c r="AK209" i="20"/>
  <c r="AK184" i="20"/>
  <c r="AE227" i="20"/>
  <c r="AK201" i="20"/>
  <c r="AD226" i="20"/>
  <c r="Z227" i="20"/>
  <c r="AB197" i="20"/>
  <c r="AK171" i="20"/>
  <c r="Z226" i="20"/>
  <c r="AC226" i="20"/>
  <c r="AK183" i="20"/>
  <c r="AA227" i="20"/>
  <c r="AI197" i="20"/>
  <c r="AC120" i="20"/>
  <c r="AA226" i="20"/>
  <c r="AC227" i="20"/>
  <c r="AG226" i="20"/>
  <c r="AD197" i="20"/>
  <c r="AF227" i="20"/>
  <c r="AB227" i="20"/>
  <c r="AE197" i="20"/>
  <c r="AK172" i="20"/>
  <c r="AK204" i="20"/>
  <c r="AK200" i="20"/>
  <c r="AG227" i="20"/>
  <c r="Y226" i="20"/>
  <c r="AC197" i="20"/>
  <c r="AK202" i="20"/>
  <c r="AK191" i="20"/>
  <c r="AK210" i="20"/>
  <c r="AA214" i="24"/>
  <c r="AA224" i="24" s="1"/>
  <c r="AA234" i="24" s="1"/>
  <c r="J14" i="124"/>
  <c r="L14" i="124" s="1"/>
  <c r="AC151" i="20"/>
  <c r="AC150" i="20"/>
  <c r="J15" i="124"/>
  <c r="L15" i="124" s="1"/>
  <c r="AD150" i="20"/>
  <c r="AD151" i="20"/>
  <c r="E229" i="6"/>
  <c r="E249" i="6"/>
  <c r="AA223" i="20"/>
  <c r="I69" i="149"/>
  <c r="I70" i="149" s="1"/>
  <c r="K247" i="6"/>
  <c r="K248" i="6" s="1"/>
  <c r="E250" i="6"/>
  <c r="E251" i="6"/>
  <c r="AJ223" i="20"/>
  <c r="R69" i="149"/>
  <c r="R70" i="149" s="1"/>
  <c r="E238" i="6"/>
  <c r="N247" i="6"/>
  <c r="N248" i="6" s="1"/>
  <c r="E230" i="6"/>
  <c r="AC223" i="20"/>
  <c r="K69" i="149"/>
  <c r="K70" i="149" s="1"/>
  <c r="AK179" i="20"/>
  <c r="J70" i="22"/>
  <c r="AK109" i="20"/>
  <c r="AK117" i="20"/>
  <c r="AK115" i="20"/>
  <c r="AK132" i="20"/>
  <c r="AK133" i="20"/>
  <c r="AK114" i="20"/>
  <c r="AB223" i="20"/>
  <c r="J69" i="149"/>
  <c r="J70" i="149" s="1"/>
  <c r="J21" i="124"/>
  <c r="AJ150" i="20"/>
  <c r="H247" i="6"/>
  <c r="H248" i="6" s="1"/>
  <c r="AB150" i="20"/>
  <c r="Z150" i="20"/>
  <c r="E244" i="6"/>
  <c r="Q247" i="6"/>
  <c r="Q248" i="6" s="1"/>
  <c r="AF223" i="20"/>
  <c r="N69" i="149"/>
  <c r="N70" i="149" s="1"/>
  <c r="AE223" i="20"/>
  <c r="M69" i="149"/>
  <c r="M70" i="149" s="1"/>
  <c r="O247" i="6"/>
  <c r="O248" i="6" s="1"/>
  <c r="E236" i="6"/>
  <c r="P247" i="6"/>
  <c r="P248" i="6" s="1"/>
  <c r="AD223" i="20"/>
  <c r="L69" i="149"/>
  <c r="L70" i="149" s="1"/>
  <c r="I247" i="6"/>
  <c r="I248" i="6" s="1"/>
  <c r="AK177" i="20"/>
  <c r="J105" i="22"/>
  <c r="J97" i="22"/>
  <c r="O30" i="53"/>
  <c r="Q31" i="53"/>
  <c r="O31" i="53" s="1"/>
  <c r="S30" i="53"/>
  <c r="F247" i="5"/>
  <c r="F248" i="5" s="1"/>
  <c r="AA150" i="20"/>
  <c r="F70" i="148"/>
  <c r="AK113" i="20"/>
  <c r="AK90" i="20"/>
  <c r="AK91" i="20"/>
  <c r="AK116" i="20"/>
  <c r="AK124" i="20"/>
  <c r="AK125" i="20"/>
  <c r="Y73" i="12"/>
  <c r="J19" i="124"/>
  <c r="AH150" i="20"/>
  <c r="V46" i="111"/>
  <c r="V51" i="111" s="1"/>
  <c r="E227" i="6"/>
  <c r="AB120" i="20"/>
  <c r="AB151" i="20"/>
  <c r="L247" i="6"/>
  <c r="L248" i="6" s="1"/>
  <c r="Z223" i="20"/>
  <c r="H69" i="149"/>
  <c r="H70" i="149" s="1"/>
  <c r="E240" i="6"/>
  <c r="E245" i="6"/>
  <c r="AI223" i="20"/>
  <c r="Q69" i="149"/>
  <c r="Q70" i="149" s="1"/>
  <c r="E228" i="6"/>
  <c r="E233" i="6"/>
  <c r="E237" i="6"/>
  <c r="E242" i="6"/>
  <c r="E246" i="6"/>
  <c r="E243" i="6"/>
  <c r="E239" i="6"/>
  <c r="E234" i="6"/>
  <c r="J247" i="6"/>
  <c r="J248" i="6" s="1"/>
  <c r="Y223" i="20"/>
  <c r="G69" i="149"/>
  <c r="G70" i="149" s="1"/>
  <c r="E225" i="6"/>
  <c r="AK176" i="20"/>
  <c r="J323" i="22"/>
  <c r="J332" i="22" s="1"/>
  <c r="G332" i="22"/>
  <c r="G320" i="22"/>
  <c r="J317" i="22"/>
  <c r="J320" i="22" s="1"/>
  <c r="W224" i="24"/>
  <c r="W207" i="24"/>
  <c r="H30" i="58"/>
  <c r="AA151" i="20"/>
  <c r="AA120" i="20"/>
  <c r="AK92" i="20"/>
  <c r="AK93" i="20"/>
  <c r="AK94" i="20"/>
  <c r="AK107" i="20"/>
  <c r="AK123" i="20"/>
  <c r="AK130" i="20"/>
  <c r="AK131" i="20"/>
  <c r="H23" i="124"/>
  <c r="J10" i="124"/>
  <c r="Y151" i="20"/>
  <c r="Y150" i="20"/>
  <c r="J17" i="124"/>
  <c r="AF150" i="20"/>
  <c r="G186" i="110"/>
  <c r="G67" i="110"/>
  <c r="G143" i="110"/>
  <c r="G114" i="110"/>
  <c r="H11" i="110"/>
  <c r="I61" i="61"/>
  <c r="X102" i="75"/>
  <c r="M27" i="12"/>
  <c r="E235" i="6"/>
  <c r="AG223" i="20"/>
  <c r="O69" i="149"/>
  <c r="O70" i="149" s="1"/>
  <c r="AD120" i="20"/>
  <c r="Z151" i="20"/>
  <c r="Z120" i="20"/>
  <c r="E232" i="6"/>
  <c r="G247" i="6"/>
  <c r="G248" i="6" s="1"/>
  <c r="AH223" i="20"/>
  <c r="P69" i="149"/>
  <c r="P70" i="149" s="1"/>
  <c r="AK175" i="20"/>
  <c r="J26" i="22"/>
  <c r="J116" i="22"/>
  <c r="G297" i="22"/>
  <c r="J294" i="22"/>
  <c r="J297" i="22" s="1"/>
  <c r="H21" i="40"/>
  <c r="AK108" i="20"/>
  <c r="Y120" i="20"/>
  <c r="AK105" i="20"/>
  <c r="AK106" i="20"/>
  <c r="AK126" i="20"/>
  <c r="AK127" i="20"/>
  <c r="AK134" i="20"/>
  <c r="Y495" i="24" l="1"/>
  <c r="U309" i="24"/>
  <c r="AA433" i="24"/>
  <c r="AE309" i="24"/>
  <c r="AC433" i="24"/>
  <c r="Y368" i="24"/>
  <c r="Y370" i="24" s="1"/>
  <c r="Y371" i="24" s="1"/>
  <c r="U492" i="24"/>
  <c r="U494" i="24" s="1"/>
  <c r="U495" i="24" s="1"/>
  <c r="AC492" i="24"/>
  <c r="AC494" i="24" s="1"/>
  <c r="AC495" i="24" s="1"/>
  <c r="M58" i="24"/>
  <c r="M60" i="24" s="1"/>
  <c r="M61" i="24" s="1"/>
  <c r="W492" i="24"/>
  <c r="W494" i="24" s="1"/>
  <c r="W495" i="24" s="1"/>
  <c r="AA495" i="24"/>
  <c r="H27" i="163"/>
  <c r="P25" i="163"/>
  <c r="I81" i="61"/>
  <c r="I64" i="61"/>
  <c r="I66" i="61" s="1"/>
  <c r="I68" i="61" s="1"/>
  <c r="G20" i="162"/>
  <c r="G24" i="162" s="1"/>
  <c r="AC348" i="24"/>
  <c r="AC358" i="24" s="1"/>
  <c r="AC363" i="24" s="1"/>
  <c r="AC366" i="24" s="1"/>
  <c r="U64" i="159"/>
  <c r="I85" i="110" s="1"/>
  <c r="I169" i="110" s="1"/>
  <c r="J34" i="19"/>
  <c r="M129" i="164"/>
  <c r="J64" i="159"/>
  <c r="D85" i="110" s="1"/>
  <c r="I64" i="164"/>
  <c r="AA96" i="61"/>
  <c r="K54" i="159"/>
  <c r="K64" i="164"/>
  <c r="K129" i="164"/>
  <c r="AE85" i="115"/>
  <c r="K32" i="68"/>
  <c r="M19" i="68"/>
  <c r="AC81" i="115"/>
  <c r="I17" i="68"/>
  <c r="M17" i="68" s="1"/>
  <c r="G64" i="164"/>
  <c r="O64" i="164"/>
  <c r="C86" i="110"/>
  <c r="C168" i="110"/>
  <c r="V54" i="159"/>
  <c r="X64" i="159"/>
  <c r="B64" i="61"/>
  <c r="M64" i="164"/>
  <c r="H85" i="110"/>
  <c r="R64" i="159"/>
  <c r="H90" i="110"/>
  <c r="H93" i="110" s="1"/>
  <c r="H150" i="110" s="1"/>
  <c r="N54" i="159"/>
  <c r="O64" i="159"/>
  <c r="P64" i="159" s="1"/>
  <c r="P54" i="159"/>
  <c r="G85" i="110"/>
  <c r="G90" i="110"/>
  <c r="G93" i="110" s="1"/>
  <c r="G150" i="110" s="1"/>
  <c r="Q64" i="164"/>
  <c r="I26" i="61"/>
  <c r="I28" i="61" s="1"/>
  <c r="I30" i="61" s="1"/>
  <c r="I32" i="61" s="1"/>
  <c r="B26" i="61"/>
  <c r="I31" i="68"/>
  <c r="M31" i="68" s="1"/>
  <c r="E85" i="110"/>
  <c r="E90" i="110"/>
  <c r="E93" i="110" s="1"/>
  <c r="E150" i="110" s="1"/>
  <c r="AE494" i="24"/>
  <c r="AE495" i="24" s="1"/>
  <c r="AE432" i="24"/>
  <c r="AE433" i="24" s="1"/>
  <c r="U363" i="24"/>
  <c r="U366" i="24" s="1"/>
  <c r="U368" i="24" s="1"/>
  <c r="U370" i="24" s="1"/>
  <c r="W425" i="24"/>
  <c r="W428" i="24" s="1"/>
  <c r="W430" i="24" s="1"/>
  <c r="U216" i="24"/>
  <c r="I14" i="163"/>
  <c r="I30" i="163" s="1"/>
  <c r="Y130" i="12"/>
  <c r="Y134" i="12" s="1"/>
  <c r="G29" i="46"/>
  <c r="G104" i="46" s="1"/>
  <c r="P30" i="163"/>
  <c r="I25" i="46"/>
  <c r="V58" i="142"/>
  <c r="U425" i="24"/>
  <c r="U428" i="24" s="1"/>
  <c r="U430" i="24" s="1"/>
  <c r="Q70" i="142"/>
  <c r="C39" i="110"/>
  <c r="C41" i="110" s="1"/>
  <c r="Y46" i="111"/>
  <c r="Y51" i="111" s="1"/>
  <c r="C27" i="110"/>
  <c r="C30" i="110"/>
  <c r="S166" i="46"/>
  <c r="S167" i="46" s="1"/>
  <c r="S168" i="46" s="1"/>
  <c r="S169" i="46" s="1"/>
  <c r="S170" i="46" s="1"/>
  <c r="S171" i="46" s="1"/>
  <c r="S172" i="46" s="1"/>
  <c r="S173" i="46" s="1"/>
  <c r="S174" i="46" s="1"/>
  <c r="S175" i="46" s="1"/>
  <c r="S176" i="46" s="1"/>
  <c r="S177" i="46" s="1"/>
  <c r="S178" i="46" s="1"/>
  <c r="S179" i="46" s="1"/>
  <c r="S180" i="46" s="1"/>
  <c r="S181" i="46" s="1"/>
  <c r="S182" i="46" s="1"/>
  <c r="S183" i="46" s="1"/>
  <c r="S184" i="46" s="1"/>
  <c r="Y275" i="24"/>
  <c r="H29" i="109"/>
  <c r="H33" i="109" s="1"/>
  <c r="AD228" i="20"/>
  <c r="U212" i="24"/>
  <c r="J25" i="19" s="1"/>
  <c r="Y234" i="24"/>
  <c r="Y239" i="24" s="1"/>
  <c r="Y242" i="24" s="1"/>
  <c r="G14" i="163"/>
  <c r="G30" i="163" s="1"/>
  <c r="Q126" i="55"/>
  <c r="J36" i="19"/>
  <c r="AO536" i="24"/>
  <c r="AA363" i="24"/>
  <c r="AA366" i="24" s="1"/>
  <c r="AA368" i="24" s="1"/>
  <c r="AE81" i="115"/>
  <c r="I32" i="68"/>
  <c r="Y228" i="20"/>
  <c r="E54" i="55"/>
  <c r="F54" i="55"/>
  <c r="H52" i="55"/>
  <c r="F26" i="55"/>
  <c r="H18" i="55"/>
  <c r="H99" i="15"/>
  <c r="E19" i="20"/>
  <c r="I19" i="20" s="1"/>
  <c r="E243" i="5"/>
  <c r="E245" i="5"/>
  <c r="W234" i="24"/>
  <c r="W236" i="24" s="1"/>
  <c r="U14" i="62"/>
  <c r="X14" i="62" s="1"/>
  <c r="X73" i="62"/>
  <c r="H72" i="62"/>
  <c r="K72" i="62"/>
  <c r="N41" i="62"/>
  <c r="O73" i="62"/>
  <c r="S73" i="62"/>
  <c r="Q41" i="62"/>
  <c r="R41" i="62" s="1"/>
  <c r="P40" i="62"/>
  <c r="U41" i="62"/>
  <c r="V41" i="62" s="1"/>
  <c r="T40" i="62"/>
  <c r="E236" i="5"/>
  <c r="AJ228" i="20"/>
  <c r="AI228" i="20"/>
  <c r="AH228" i="20"/>
  <c r="O57" i="20"/>
  <c r="S57" i="20" s="1"/>
  <c r="AB228" i="20"/>
  <c r="AE228" i="20"/>
  <c r="Z228" i="20"/>
  <c r="L20" i="124"/>
  <c r="AI151" i="20"/>
  <c r="AI152" i="20" s="1"/>
  <c r="L16" i="124"/>
  <c r="AE151" i="20"/>
  <c r="AE152" i="20" s="1"/>
  <c r="L18" i="124"/>
  <c r="AG151" i="20"/>
  <c r="AG152" i="20" s="1"/>
  <c r="L57" i="18"/>
  <c r="Q53" i="142"/>
  <c r="G269" i="21"/>
  <c r="J269" i="21" s="1"/>
  <c r="G104" i="21"/>
  <c r="J104" i="21" s="1"/>
  <c r="G368" i="21"/>
  <c r="J368" i="21" s="1"/>
  <c r="G96" i="21"/>
  <c r="J96" i="21" s="1"/>
  <c r="G276" i="21"/>
  <c r="J276" i="21" s="1"/>
  <c r="G271" i="21"/>
  <c r="J271" i="21" s="1"/>
  <c r="E238" i="5"/>
  <c r="G364" i="21"/>
  <c r="J364" i="21" s="1"/>
  <c r="AC99" i="20"/>
  <c r="AD99" i="20"/>
  <c r="AC102" i="20"/>
  <c r="AD102" i="20"/>
  <c r="AC100" i="20"/>
  <c r="AD100" i="20"/>
  <c r="AB98" i="20"/>
  <c r="AC98" i="20"/>
  <c r="AB102" i="20"/>
  <c r="AB100" i="20"/>
  <c r="G26" i="21"/>
  <c r="J26" i="21" s="1"/>
  <c r="AB99" i="20"/>
  <c r="I30" i="53"/>
  <c r="K30" i="53" s="1"/>
  <c r="G268" i="21"/>
  <c r="J268" i="21" s="1"/>
  <c r="E191" i="5"/>
  <c r="E194" i="5"/>
  <c r="E178" i="5"/>
  <c r="G239" i="5"/>
  <c r="E239" i="5" s="1"/>
  <c r="E182" i="5"/>
  <c r="G216" i="21"/>
  <c r="R70" i="54"/>
  <c r="R71" i="54" s="1"/>
  <c r="G235" i="5"/>
  <c r="E235" i="5" s="1"/>
  <c r="Q70" i="54"/>
  <c r="G228" i="5"/>
  <c r="E176" i="5"/>
  <c r="G234" i="5"/>
  <c r="E234" i="5" s="1"/>
  <c r="G233" i="5"/>
  <c r="E233" i="5" s="1"/>
  <c r="G41" i="21"/>
  <c r="J41" i="21" s="1"/>
  <c r="G227" i="5"/>
  <c r="G44" i="21"/>
  <c r="J44" i="21" s="1"/>
  <c r="E118" i="5"/>
  <c r="G46" i="21"/>
  <c r="J46" i="21" s="1"/>
  <c r="E119" i="5"/>
  <c r="G35" i="21"/>
  <c r="J35" i="21" s="1"/>
  <c r="E114" i="5"/>
  <c r="G106" i="46"/>
  <c r="E80" i="5"/>
  <c r="G229" i="5"/>
  <c r="E229" i="5" s="1"/>
  <c r="E101" i="5"/>
  <c r="G232" i="5"/>
  <c r="E232" i="5" s="1"/>
  <c r="G242" i="5"/>
  <c r="E242" i="5" s="1"/>
  <c r="E105" i="5"/>
  <c r="E94" i="5"/>
  <c r="H230" i="5"/>
  <c r="E92" i="5"/>
  <c r="G230" i="5"/>
  <c r="E93" i="5"/>
  <c r="G365" i="21"/>
  <c r="J365" i="21" s="1"/>
  <c r="I23" i="20"/>
  <c r="E23" i="20" s="1"/>
  <c r="E31" i="20" s="1"/>
  <c r="G38" i="21"/>
  <c r="J38" i="21" s="1"/>
  <c r="G48" i="21"/>
  <c r="J48" i="21" s="1"/>
  <c r="E70" i="5"/>
  <c r="G37" i="21"/>
  <c r="J37" i="21" s="1"/>
  <c r="E62" i="5"/>
  <c r="G125" i="46"/>
  <c r="I125" i="46" s="1"/>
  <c r="H225" i="5"/>
  <c r="E56" i="5"/>
  <c r="Y100" i="20" s="1"/>
  <c r="Z102" i="20"/>
  <c r="E59" i="5"/>
  <c r="AA102" i="20" s="1"/>
  <c r="Z98" i="20"/>
  <c r="G225" i="5"/>
  <c r="E52" i="5"/>
  <c r="AA98" i="20" s="1"/>
  <c r="E54" i="5"/>
  <c r="Y99" i="20" s="1"/>
  <c r="H249" i="5"/>
  <c r="E11" i="5"/>
  <c r="E26" i="5"/>
  <c r="G326" i="21" s="1"/>
  <c r="J326" i="21" s="1"/>
  <c r="G290" i="21"/>
  <c r="J290" i="21" s="1"/>
  <c r="E28" i="5"/>
  <c r="E18" i="5"/>
  <c r="G319" i="21" s="1"/>
  <c r="J319" i="21" s="1"/>
  <c r="G358" i="21"/>
  <c r="J358" i="21" s="1"/>
  <c r="G120" i="46" s="1"/>
  <c r="I120" i="46" s="1"/>
  <c r="E20" i="5"/>
  <c r="E22" i="5"/>
  <c r="E24" i="5"/>
  <c r="G240" i="5"/>
  <c r="E15" i="5"/>
  <c r="H240" i="5"/>
  <c r="H247" i="5" s="1"/>
  <c r="G249" i="5"/>
  <c r="E14" i="5"/>
  <c r="O248" i="5"/>
  <c r="P248" i="5"/>
  <c r="K256" i="5"/>
  <c r="M256" i="5"/>
  <c r="L248" i="5"/>
  <c r="L256" i="5"/>
  <c r="I248" i="5"/>
  <c r="I256" i="5"/>
  <c r="P256" i="5"/>
  <c r="Q256" i="5"/>
  <c r="Z152" i="20"/>
  <c r="D39" i="110"/>
  <c r="D41" i="110" s="1"/>
  <c r="D27" i="110"/>
  <c r="D31" i="110"/>
  <c r="D30" i="110"/>
  <c r="Y85" i="12"/>
  <c r="M128" i="46"/>
  <c r="M142" i="46" s="1"/>
  <c r="N248" i="5"/>
  <c r="N256" i="5"/>
  <c r="J256" i="6"/>
  <c r="F256" i="6"/>
  <c r="N256" i="6"/>
  <c r="G256" i="6"/>
  <c r="J256" i="5"/>
  <c r="H256" i="6"/>
  <c r="Q256" i="6"/>
  <c r="M256" i="6"/>
  <c r="P256" i="6"/>
  <c r="F256" i="5"/>
  <c r="I256" i="6"/>
  <c r="K256" i="6"/>
  <c r="L256" i="6"/>
  <c r="O256" i="6"/>
  <c r="X46" i="111"/>
  <c r="X51" i="111" s="1"/>
  <c r="W46" i="111"/>
  <c r="W51" i="111" s="1"/>
  <c r="H54" i="19"/>
  <c r="H43" i="19"/>
  <c r="R58" i="35" s="1"/>
  <c r="H36" i="19"/>
  <c r="D98" i="110"/>
  <c r="K30" i="76"/>
  <c r="D70" i="110"/>
  <c r="G20" i="76"/>
  <c r="I32" i="46"/>
  <c r="I34" i="46" s="1"/>
  <c r="S124" i="15"/>
  <c r="T124" i="15" s="1"/>
  <c r="S107" i="15"/>
  <c r="S83" i="15"/>
  <c r="T83" i="15" s="1"/>
  <c r="T100" i="75" s="1"/>
  <c r="S100" i="75" s="1"/>
  <c r="J66" i="15"/>
  <c r="L59" i="15"/>
  <c r="S87" i="15"/>
  <c r="T87" i="15" s="1"/>
  <c r="U134" i="12"/>
  <c r="U85" i="12"/>
  <c r="I39" i="12"/>
  <c r="Z88" i="75"/>
  <c r="Z93" i="75" s="1"/>
  <c r="Z105" i="75" s="1"/>
  <c r="O100" i="9" s="1"/>
  <c r="E28" i="75"/>
  <c r="L33" i="75"/>
  <c r="L45" i="75" s="1"/>
  <c r="O60" i="9" s="1"/>
  <c r="F21" i="75"/>
  <c r="F22" i="75" s="1"/>
  <c r="F33" i="75" s="1"/>
  <c r="E22" i="75"/>
  <c r="K39" i="12"/>
  <c r="X88" i="75"/>
  <c r="AC152" i="20"/>
  <c r="R74" i="40"/>
  <c r="H23" i="40" s="1"/>
  <c r="AE204" i="24" s="1"/>
  <c r="D14" i="163" s="1"/>
  <c r="AG228" i="20"/>
  <c r="P58" i="20"/>
  <c r="S58" i="20" s="1"/>
  <c r="AK197" i="20"/>
  <c r="O56" i="20"/>
  <c r="S56" i="20" s="1"/>
  <c r="G21" i="42" s="1"/>
  <c r="G26" i="42" s="1"/>
  <c r="W266" i="24" s="1"/>
  <c r="D16" i="163" s="1"/>
  <c r="AA228" i="20"/>
  <c r="P51" i="20"/>
  <c r="AK226" i="20"/>
  <c r="AF228" i="20"/>
  <c r="Y152" i="20"/>
  <c r="AB152" i="20"/>
  <c r="AK227" i="20"/>
  <c r="AC228" i="20"/>
  <c r="AA152" i="20"/>
  <c r="H38" i="75"/>
  <c r="AA236" i="24"/>
  <c r="F13" i="20"/>
  <c r="AK120" i="20"/>
  <c r="L17" i="124"/>
  <c r="AF151" i="20"/>
  <c r="AF152" i="20" s="1"/>
  <c r="AK151" i="20"/>
  <c r="AK150" i="20"/>
  <c r="J334" i="22"/>
  <c r="H42" i="19"/>
  <c r="J318" i="21"/>
  <c r="AK223" i="20"/>
  <c r="S31" i="53"/>
  <c r="AD152" i="20"/>
  <c r="E247" i="6"/>
  <c r="E248" i="6" s="1"/>
  <c r="H143" i="110"/>
  <c r="H114" i="110"/>
  <c r="H67" i="110"/>
  <c r="I11" i="110"/>
  <c r="H186" i="110"/>
  <c r="G334" i="22"/>
  <c r="F20" i="20"/>
  <c r="I20" i="20" s="1"/>
  <c r="S77" i="75"/>
  <c r="L21" i="124"/>
  <c r="AJ151" i="20"/>
  <c r="AJ152" i="20" s="1"/>
  <c r="E18" i="20"/>
  <c r="I18" i="20" s="1"/>
  <c r="M39" i="12"/>
  <c r="J17" i="75"/>
  <c r="L10" i="124"/>
  <c r="J23" i="124"/>
  <c r="L19" i="124"/>
  <c r="AH151" i="20"/>
  <c r="AH152" i="20" s="1"/>
  <c r="X82" i="75"/>
  <c r="T81" i="75"/>
  <c r="T82" i="75" s="1"/>
  <c r="T93" i="75" s="1"/>
  <c r="U371" i="24" l="1"/>
  <c r="I168" i="110"/>
  <c r="T64" i="159"/>
  <c r="I86" i="110"/>
  <c r="I90" i="110"/>
  <c r="I93" i="110" s="1"/>
  <c r="I150" i="110" s="1"/>
  <c r="I155" i="110" s="1"/>
  <c r="K64" i="159"/>
  <c r="H64" i="159"/>
  <c r="I152" i="110"/>
  <c r="M21" i="68"/>
  <c r="O35" i="12"/>
  <c r="O39" i="12" s="1"/>
  <c r="D90" i="110"/>
  <c r="D93" i="110" s="1"/>
  <c r="I21" i="68"/>
  <c r="I30" i="68"/>
  <c r="M32" i="68"/>
  <c r="G152" i="110"/>
  <c r="G155" i="110"/>
  <c r="H168" i="110"/>
  <c r="H86" i="110"/>
  <c r="H169" i="110"/>
  <c r="C95" i="110"/>
  <c r="C96" i="110"/>
  <c r="E86" i="110"/>
  <c r="E169" i="110"/>
  <c r="E168" i="110"/>
  <c r="H152" i="110"/>
  <c r="H155" i="110"/>
  <c r="E152" i="110"/>
  <c r="E155" i="110"/>
  <c r="G86" i="110"/>
  <c r="G168" i="110"/>
  <c r="G169" i="110"/>
  <c r="F90" i="110"/>
  <c r="F93" i="110" s="1"/>
  <c r="F150" i="110" s="1"/>
  <c r="N64" i="159"/>
  <c r="F85" i="110"/>
  <c r="V64" i="159"/>
  <c r="D86" i="110"/>
  <c r="D168" i="110"/>
  <c r="W432" i="24"/>
  <c r="W433" i="24" s="1"/>
  <c r="U432" i="24"/>
  <c r="U433" i="24" s="1"/>
  <c r="AA370" i="24"/>
  <c r="AA371" i="24" s="1"/>
  <c r="AO529" i="24"/>
  <c r="G35" i="46"/>
  <c r="G59" i="46" s="1"/>
  <c r="J29" i="19"/>
  <c r="J36" i="75"/>
  <c r="B30" i="61"/>
  <c r="N36" i="19"/>
  <c r="C33" i="110"/>
  <c r="C32" i="110"/>
  <c r="C31" i="110"/>
  <c r="C28" i="110"/>
  <c r="Y236" i="24"/>
  <c r="AO525" i="24"/>
  <c r="H17" i="163"/>
  <c r="H30" i="163" s="1"/>
  <c r="Y276" i="24"/>
  <c r="Y286" i="24" s="1"/>
  <c r="U213" i="24"/>
  <c r="U214" i="24" s="1"/>
  <c r="L28" i="58"/>
  <c r="W355" i="24"/>
  <c r="L30" i="58"/>
  <c r="J52" i="55"/>
  <c r="J54" i="55" s="1"/>
  <c r="H54" i="55"/>
  <c r="H26" i="55"/>
  <c r="J18" i="55"/>
  <c r="J26" i="55" s="1"/>
  <c r="I95" i="110"/>
  <c r="I96" i="110"/>
  <c r="I99" i="15"/>
  <c r="G128" i="46"/>
  <c r="I128" i="46" s="1"/>
  <c r="AC360" i="24"/>
  <c r="S76" i="62"/>
  <c r="U73" i="62"/>
  <c r="V73" i="62" s="1"/>
  <c r="T41" i="62"/>
  <c r="N73" i="62"/>
  <c r="O76" i="62"/>
  <c r="Q73" i="62"/>
  <c r="P41" i="62"/>
  <c r="C30" i="156"/>
  <c r="D30" i="156"/>
  <c r="H30" i="156"/>
  <c r="L30" i="156"/>
  <c r="E30" i="156"/>
  <c r="I30" i="156"/>
  <c r="M30" i="156"/>
  <c r="F30" i="156"/>
  <c r="J30" i="156"/>
  <c r="G30" i="156"/>
  <c r="K30" i="156"/>
  <c r="I106" i="46"/>
  <c r="F39" i="5"/>
  <c r="H39" i="5"/>
  <c r="L39" i="5"/>
  <c r="P39" i="5"/>
  <c r="I39" i="5"/>
  <c r="M39" i="5"/>
  <c r="O39" i="5"/>
  <c r="J39" i="5"/>
  <c r="N39" i="5"/>
  <c r="G39" i="5"/>
  <c r="K39" i="5"/>
  <c r="AA99" i="20"/>
  <c r="AK95" i="20"/>
  <c r="AA100" i="20"/>
  <c r="Z99" i="20"/>
  <c r="K31" i="53"/>
  <c r="Z100" i="20"/>
  <c r="Y102" i="20"/>
  <c r="AK102" i="20" s="1"/>
  <c r="F31" i="20" s="1"/>
  <c r="Y98" i="20"/>
  <c r="AK98" i="20" s="1"/>
  <c r="I31" i="53"/>
  <c r="E228" i="5"/>
  <c r="Q71" i="54"/>
  <c r="O71" i="54" s="1"/>
  <c r="O70" i="54"/>
  <c r="E227" i="5"/>
  <c r="G113" i="21"/>
  <c r="J113" i="21" s="1"/>
  <c r="G117" i="21"/>
  <c r="J117" i="21" s="1"/>
  <c r="H248" i="5"/>
  <c r="E230" i="5"/>
  <c r="G40" i="21"/>
  <c r="J40" i="21" s="1"/>
  <c r="H72" i="148"/>
  <c r="H73" i="148" s="1"/>
  <c r="Z147" i="20"/>
  <c r="E225" i="5"/>
  <c r="G23" i="21"/>
  <c r="J23" i="21" s="1"/>
  <c r="I21" i="63" s="1"/>
  <c r="I51" i="63" s="1"/>
  <c r="G22" i="21"/>
  <c r="J22" i="21" s="1"/>
  <c r="I20" i="63" s="1"/>
  <c r="I50" i="63" s="1"/>
  <c r="AA147" i="20"/>
  <c r="I72" i="148"/>
  <c r="I73" i="148" s="1"/>
  <c r="G123" i="46"/>
  <c r="G314" i="21"/>
  <c r="J314" i="21" s="1"/>
  <c r="G313" i="21"/>
  <c r="G324" i="21"/>
  <c r="J324" i="21" s="1"/>
  <c r="G321" i="21"/>
  <c r="J321" i="21" s="1"/>
  <c r="E249" i="5"/>
  <c r="G289" i="21"/>
  <c r="G247" i="5"/>
  <c r="E240" i="5"/>
  <c r="Q128" i="46"/>
  <c r="Q142" i="46" s="1"/>
  <c r="D33" i="110"/>
  <c r="D32" i="110"/>
  <c r="N54" i="19"/>
  <c r="G37" i="62"/>
  <c r="N43" i="19"/>
  <c r="R53" i="84"/>
  <c r="G29" i="62"/>
  <c r="I17" i="76"/>
  <c r="I18" i="76"/>
  <c r="O57" i="9"/>
  <c r="C169" i="110"/>
  <c r="D169" i="110"/>
  <c r="G107" i="46"/>
  <c r="T107" i="15"/>
  <c r="F125" i="15"/>
  <c r="K66" i="15"/>
  <c r="N59" i="15"/>
  <c r="S88" i="75"/>
  <c r="W269" i="24"/>
  <c r="H24" i="40"/>
  <c r="AK228" i="20"/>
  <c r="O53" i="20" s="1"/>
  <c r="S53" i="20" s="1"/>
  <c r="R75" i="40"/>
  <c r="AA239" i="24"/>
  <c r="AA242" i="24" s="1"/>
  <c r="AA244" i="24" s="1"/>
  <c r="AA246" i="24" s="1"/>
  <c r="B34" i="61"/>
  <c r="I34" i="61"/>
  <c r="E17" i="75"/>
  <c r="I114" i="110"/>
  <c r="I186" i="110"/>
  <c r="I67" i="110"/>
  <c r="I143" i="110"/>
  <c r="J11" i="110"/>
  <c r="W239" i="24"/>
  <c r="W242" i="24" s="1"/>
  <c r="W244" i="24" s="1"/>
  <c r="W246" i="24" s="1"/>
  <c r="M30" i="68"/>
  <c r="I34" i="68"/>
  <c r="I70" i="61"/>
  <c r="B68" i="61"/>
  <c r="R56" i="35"/>
  <c r="H44" i="19"/>
  <c r="G33" i="62" s="1"/>
  <c r="AK152" i="20"/>
  <c r="W247" i="24" l="1"/>
  <c r="Y244" i="24"/>
  <c r="Y246" i="24" s="1"/>
  <c r="Y247" i="24" s="1"/>
  <c r="AA247" i="24"/>
  <c r="M34" i="68"/>
  <c r="D96" i="110"/>
  <c r="D95" i="110"/>
  <c r="F155" i="110"/>
  <c r="F152" i="110"/>
  <c r="E95" i="110"/>
  <c r="E96" i="110"/>
  <c r="H96" i="110"/>
  <c r="H95" i="110"/>
  <c r="F86" i="110"/>
  <c r="F168" i="110"/>
  <c r="F169" i="110"/>
  <c r="G95" i="110"/>
  <c r="G96" i="110"/>
  <c r="J28" i="108"/>
  <c r="K179" i="24" s="1"/>
  <c r="E55" i="24" s="1"/>
  <c r="AM554" i="24" s="1"/>
  <c r="AK554" i="24" s="1"/>
  <c r="X96" i="75"/>
  <c r="C34" i="110"/>
  <c r="C36" i="110" s="1"/>
  <c r="C47" i="110" s="1"/>
  <c r="Y296" i="24"/>
  <c r="Y298" i="24" s="1"/>
  <c r="J26" i="19"/>
  <c r="J27" i="19" s="1"/>
  <c r="AO526" i="24"/>
  <c r="AO527" i="24" s="1"/>
  <c r="W348" i="24"/>
  <c r="W358" i="24" s="1"/>
  <c r="J31" i="58"/>
  <c r="U229" i="24"/>
  <c r="AO542" i="24" s="1"/>
  <c r="AO544" i="24" s="1"/>
  <c r="R30" i="163"/>
  <c r="W296" i="24"/>
  <c r="W298" i="24" s="1"/>
  <c r="J99" i="15"/>
  <c r="E54" i="19"/>
  <c r="J37" i="62" s="1"/>
  <c r="K37" i="62" s="1"/>
  <c r="AC368" i="24"/>
  <c r="P73" i="62"/>
  <c r="Q76" i="62"/>
  <c r="T73" i="62"/>
  <c r="U76" i="62"/>
  <c r="R73" i="62"/>
  <c r="J20" i="112"/>
  <c r="J25" i="112" s="1"/>
  <c r="AC266" i="24" s="1"/>
  <c r="D19" i="163" s="1"/>
  <c r="P70" i="20"/>
  <c r="N30" i="156"/>
  <c r="C29" i="156"/>
  <c r="F29" i="156"/>
  <c r="J29" i="156"/>
  <c r="G29" i="156"/>
  <c r="K29" i="156"/>
  <c r="D29" i="156"/>
  <c r="H29" i="156"/>
  <c r="L29" i="156"/>
  <c r="E29" i="156"/>
  <c r="I29" i="156"/>
  <c r="M29" i="156"/>
  <c r="Q39" i="5"/>
  <c r="E39" i="5" s="1"/>
  <c r="G38" i="5"/>
  <c r="K38" i="5"/>
  <c r="O38" i="5"/>
  <c r="H38" i="5"/>
  <c r="L38" i="5"/>
  <c r="P38" i="5"/>
  <c r="I38" i="5"/>
  <c r="M38" i="5"/>
  <c r="J38" i="5"/>
  <c r="N38" i="5"/>
  <c r="F38" i="5"/>
  <c r="AK99" i="20"/>
  <c r="AK100" i="20"/>
  <c r="AK147" i="20"/>
  <c r="G126" i="46"/>
  <c r="E53" i="19" s="1"/>
  <c r="J313" i="21"/>
  <c r="J315" i="21" s="1"/>
  <c r="E42" i="19" s="1"/>
  <c r="G315" i="21"/>
  <c r="H37" i="5"/>
  <c r="G37" i="5"/>
  <c r="E247" i="5"/>
  <c r="E248" i="5" s="1"/>
  <c r="G292" i="21"/>
  <c r="J289" i="21"/>
  <c r="J292" i="21" s="1"/>
  <c r="E36" i="19" s="1"/>
  <c r="P53" i="84" s="1"/>
  <c r="T53" i="84" s="1"/>
  <c r="J23" i="84" s="1"/>
  <c r="J29" i="84" s="1"/>
  <c r="G248" i="5"/>
  <c r="J54" i="19"/>
  <c r="E48" i="19"/>
  <c r="I16" i="76"/>
  <c r="M18" i="76"/>
  <c r="I31" i="76"/>
  <c r="M31" i="76" s="1"/>
  <c r="M17" i="76"/>
  <c r="I30" i="76"/>
  <c r="M30" i="76" s="1"/>
  <c r="G62" i="14"/>
  <c r="L62" i="14" s="1"/>
  <c r="N62" i="14" s="1"/>
  <c r="P62" i="14" s="1"/>
  <c r="L66" i="15"/>
  <c r="M38" i="75" s="1"/>
  <c r="M43" i="75" s="1"/>
  <c r="M45" i="75" s="1"/>
  <c r="O61" i="9" s="1"/>
  <c r="O59" i="15"/>
  <c r="G125" i="15"/>
  <c r="X72" i="75"/>
  <c r="AE206" i="24"/>
  <c r="H29" i="40"/>
  <c r="U46" i="111"/>
  <c r="Q46" i="111"/>
  <c r="E36" i="75"/>
  <c r="G29" i="9"/>
  <c r="B72" i="61"/>
  <c r="I72" i="61"/>
  <c r="I29" i="9" s="1"/>
  <c r="I23" i="9"/>
  <c r="R60" i="35"/>
  <c r="J186" i="110"/>
  <c r="J67" i="110"/>
  <c r="J143" i="110"/>
  <c r="J114" i="110"/>
  <c r="K11" i="110"/>
  <c r="F96" i="110" l="1"/>
  <c r="F95" i="110"/>
  <c r="AC370" i="24"/>
  <c r="AC371" i="24" s="1"/>
  <c r="D28" i="110"/>
  <c r="D34" i="110" s="1"/>
  <c r="D36" i="110" s="1"/>
  <c r="D47" i="110" s="1"/>
  <c r="S96" i="75"/>
  <c r="Y301" i="24"/>
  <c r="Y304" i="24" s="1"/>
  <c r="Y306" i="24" s="1"/>
  <c r="U222" i="24"/>
  <c r="AO535" i="24" s="1"/>
  <c r="O30" i="163"/>
  <c r="U231" i="24"/>
  <c r="J42" i="19"/>
  <c r="J44" i="19" s="1"/>
  <c r="W301" i="24"/>
  <c r="W304" i="24" s="1"/>
  <c r="W306" i="24" s="1"/>
  <c r="K99" i="15"/>
  <c r="F54" i="19"/>
  <c r="P54" i="19" s="1"/>
  <c r="H37" i="62"/>
  <c r="AC269" i="24"/>
  <c r="H18" i="19"/>
  <c r="Q57" i="145" s="1"/>
  <c r="R53" i="25"/>
  <c r="N29" i="156"/>
  <c r="Q38" i="5"/>
  <c r="E38" i="5" s="1"/>
  <c r="G362" i="21" s="1"/>
  <c r="J362" i="21" s="1"/>
  <c r="E37" i="5"/>
  <c r="F42" i="19"/>
  <c r="I167" i="24" s="1"/>
  <c r="E43" i="24" s="1"/>
  <c r="P56" i="35"/>
  <c r="T56" i="35" s="1"/>
  <c r="J22" i="35" s="1"/>
  <c r="F36" i="19"/>
  <c r="E161" i="24" s="1"/>
  <c r="E37" i="24" s="1"/>
  <c r="AM536" i="24" s="1"/>
  <c r="AK536" i="24" s="1"/>
  <c r="J29" i="62"/>
  <c r="J216" i="21"/>
  <c r="J36" i="62"/>
  <c r="K36" i="62" s="1"/>
  <c r="M16" i="76"/>
  <c r="M20" i="76" s="1"/>
  <c r="I29" i="76"/>
  <c r="I20" i="76"/>
  <c r="G363" i="21"/>
  <c r="G21" i="14"/>
  <c r="G24" i="14" s="1"/>
  <c r="N66" i="15"/>
  <c r="Q59" i="15"/>
  <c r="P59" i="15"/>
  <c r="H125" i="15"/>
  <c r="AB152" i="15"/>
  <c r="AD152" i="15" s="1"/>
  <c r="H42" i="75" s="1"/>
  <c r="S72" i="75"/>
  <c r="AE207" i="24"/>
  <c r="U206" i="24"/>
  <c r="E14" i="163"/>
  <c r="E30" i="163" s="1"/>
  <c r="W360" i="24"/>
  <c r="K186" i="110"/>
  <c r="K67" i="110"/>
  <c r="K143" i="110"/>
  <c r="K114" i="110"/>
  <c r="L11" i="110"/>
  <c r="Z46" i="111"/>
  <c r="U51" i="111"/>
  <c r="Z51" i="111" s="1"/>
  <c r="G351" i="21" l="1"/>
  <c r="J351" i="21" s="1"/>
  <c r="W308" i="24"/>
  <c r="W309" i="24" s="1"/>
  <c r="Y308" i="24"/>
  <c r="Y309" i="24" s="1"/>
  <c r="J12" i="75"/>
  <c r="E12" i="75" s="1"/>
  <c r="J35" i="19"/>
  <c r="N42" i="19"/>
  <c r="N44" i="19" s="1"/>
  <c r="L99" i="15"/>
  <c r="F33" i="20"/>
  <c r="P53" i="25" s="1"/>
  <c r="T53" i="25" s="1"/>
  <c r="J24" i="25" s="1"/>
  <c r="AC296" i="24"/>
  <c r="AC298" i="24" s="1"/>
  <c r="E15" i="20"/>
  <c r="I15" i="20" s="1"/>
  <c r="H29" i="62"/>
  <c r="E162" i="24"/>
  <c r="K29" i="62"/>
  <c r="P36" i="19"/>
  <c r="M29" i="76"/>
  <c r="M33" i="76" s="1"/>
  <c r="G23" i="9" s="1"/>
  <c r="I33" i="76"/>
  <c r="G366" i="21"/>
  <c r="J363" i="21"/>
  <c r="J366" i="21" s="1"/>
  <c r="G30" i="76"/>
  <c r="G29" i="76"/>
  <c r="G31" i="76"/>
  <c r="L21" i="14"/>
  <c r="L24" i="14" s="1"/>
  <c r="I125" i="15"/>
  <c r="O66" i="15"/>
  <c r="G27" i="14"/>
  <c r="L27" i="14" s="1"/>
  <c r="P27" i="14" s="1"/>
  <c r="G36" i="170" s="1"/>
  <c r="F42" i="75"/>
  <c r="H43" i="75"/>
  <c r="H45" i="75" s="1"/>
  <c r="O59" i="9" s="1"/>
  <c r="O64" i="9" s="1"/>
  <c r="J19" i="19"/>
  <c r="AO519" i="24"/>
  <c r="W363" i="24"/>
  <c r="W366" i="24" s="1"/>
  <c r="W368" i="24" s="1"/>
  <c r="W370" i="24" s="1"/>
  <c r="L143" i="110"/>
  <c r="L114" i="110"/>
  <c r="M11" i="110"/>
  <c r="L186" i="110"/>
  <c r="L67" i="110"/>
  <c r="AM542" i="24"/>
  <c r="W371" i="24" l="1"/>
  <c r="E22" i="18"/>
  <c r="M99" i="15"/>
  <c r="AC301" i="24"/>
  <c r="AC304" i="24" s="1"/>
  <c r="AC306" i="24" s="1"/>
  <c r="E18" i="19"/>
  <c r="F18" i="19" s="1"/>
  <c r="G19" i="24" s="1"/>
  <c r="E19" i="24" s="1"/>
  <c r="AM518" i="24" s="1"/>
  <c r="E172" i="24"/>
  <c r="E174" i="24" s="1"/>
  <c r="J125" i="15"/>
  <c r="N21" i="14"/>
  <c r="P66" i="15"/>
  <c r="J38" i="75"/>
  <c r="G33" i="76"/>
  <c r="AK542" i="24"/>
  <c r="M114" i="110"/>
  <c r="M186" i="110"/>
  <c r="M67" i="110"/>
  <c r="M143" i="110"/>
  <c r="N11" i="110"/>
  <c r="AC308" i="24" l="1"/>
  <c r="AC309" i="24" s="1"/>
  <c r="N99" i="15"/>
  <c r="E177" i="24"/>
  <c r="E180" i="24" s="1"/>
  <c r="E182" i="24" s="1"/>
  <c r="E184" i="24" s="1"/>
  <c r="P21" i="14"/>
  <c r="N24" i="14"/>
  <c r="K125" i="15"/>
  <c r="F128" i="15"/>
  <c r="S128" i="15" s="1"/>
  <c r="Q66" i="15"/>
  <c r="Q68" i="9"/>
  <c r="N186" i="110"/>
  <c r="N67" i="110"/>
  <c r="N143" i="110"/>
  <c r="N114" i="110"/>
  <c r="P42" i="19"/>
  <c r="E185" i="24" l="1"/>
  <c r="O99" i="15"/>
  <c r="P24" i="14"/>
  <c r="G34" i="170" s="1"/>
  <c r="F106" i="15"/>
  <c r="L125" i="15"/>
  <c r="F132" i="15"/>
  <c r="F86" i="15"/>
  <c r="P99" i="15" l="1"/>
  <c r="J42" i="75"/>
  <c r="F90" i="15"/>
  <c r="F109" i="15"/>
  <c r="G132" i="15"/>
  <c r="M125" i="15"/>
  <c r="F112" i="15"/>
  <c r="Q99" i="15" l="1"/>
  <c r="E42" i="75"/>
  <c r="J43" i="75"/>
  <c r="G90" i="15"/>
  <c r="G109" i="15"/>
  <c r="F117" i="15"/>
  <c r="H132" i="15"/>
  <c r="N125" i="15"/>
  <c r="H90" i="15" l="1"/>
  <c r="R99" i="15"/>
  <c r="S93" i="15"/>
  <c r="T93" i="15" s="1"/>
  <c r="H109" i="15"/>
  <c r="O125" i="15"/>
  <c r="I109" i="15"/>
  <c r="G135" i="15"/>
  <c r="I132" i="15"/>
  <c r="I90" i="15"/>
  <c r="J132" i="15" l="1"/>
  <c r="H135" i="15"/>
  <c r="P125" i="15"/>
  <c r="J109" i="15"/>
  <c r="J90" i="15"/>
  <c r="I135" i="15" l="1"/>
  <c r="Q125" i="15"/>
  <c r="K109" i="15"/>
  <c r="K132" i="15"/>
  <c r="K90" i="15"/>
  <c r="L132" i="15" l="1"/>
  <c r="L109" i="15"/>
  <c r="J135" i="15"/>
  <c r="R125" i="15"/>
  <c r="S123" i="15"/>
  <c r="L90" i="15"/>
  <c r="T123" i="15" l="1"/>
  <c r="T125" i="15" s="1"/>
  <c r="S125" i="15"/>
  <c r="M109" i="15"/>
  <c r="K135" i="15"/>
  <c r="M132" i="15"/>
  <c r="M90" i="15"/>
  <c r="N109" i="15" l="1"/>
  <c r="N132" i="15"/>
  <c r="L135" i="15"/>
  <c r="N90" i="15"/>
  <c r="O132" i="15" l="1"/>
  <c r="M135" i="15"/>
  <c r="O109" i="15"/>
  <c r="O90" i="15"/>
  <c r="N135" i="15" l="1"/>
  <c r="P132" i="15"/>
  <c r="P109" i="15"/>
  <c r="P90" i="15"/>
  <c r="O135" i="15" l="1"/>
  <c r="Q109" i="15"/>
  <c r="Q132" i="15"/>
  <c r="Q90" i="15"/>
  <c r="R109" i="15" l="1"/>
  <c r="P135" i="15"/>
  <c r="R132" i="15"/>
  <c r="R90" i="15"/>
  <c r="Q135" i="15" l="1"/>
  <c r="S132" i="15"/>
  <c r="T128" i="15"/>
  <c r="T132" i="15" s="1"/>
  <c r="S106" i="15"/>
  <c r="S109" i="15" s="1"/>
  <c r="S86" i="15"/>
  <c r="S90" i="15" s="1"/>
  <c r="AA98" i="75" l="1"/>
  <c r="AA103" i="75" s="1"/>
  <c r="AA105" i="75" s="1"/>
  <c r="O101" i="9" s="1"/>
  <c r="T106" i="15"/>
  <c r="R135" i="15"/>
  <c r="S112" i="15"/>
  <c r="T86" i="15"/>
  <c r="T90" i="15" s="1"/>
  <c r="T109" i="15" l="1"/>
  <c r="G25" i="68"/>
  <c r="T112" i="15"/>
  <c r="T117" i="15" s="1"/>
  <c r="S117" i="15"/>
  <c r="G61" i="14"/>
  <c r="G64" i="14" s="1"/>
  <c r="AB175" i="15"/>
  <c r="AD175" i="15" s="1"/>
  <c r="V102" i="75" s="1"/>
  <c r="T102" i="75" s="1"/>
  <c r="S102" i="75" s="1"/>
  <c r="O33" i="15"/>
  <c r="P33" i="15"/>
  <c r="K33" i="15"/>
  <c r="H33" i="15"/>
  <c r="Q33" i="15"/>
  <c r="J33" i="15"/>
  <c r="F33" i="15"/>
  <c r="G33" i="15"/>
  <c r="I33" i="15"/>
  <c r="N33" i="15"/>
  <c r="L33" i="15"/>
  <c r="F38" i="75" s="1"/>
  <c r="F95" i="15"/>
  <c r="F99" i="15" s="1"/>
  <c r="F135" i="15" s="1"/>
  <c r="L61" i="14" l="1"/>
  <c r="L64" i="14" s="1"/>
  <c r="S95" i="15"/>
  <c r="S99" i="15" s="1"/>
  <c r="G30" i="68"/>
  <c r="G32" i="68"/>
  <c r="G31" i="68"/>
  <c r="X98" i="75"/>
  <c r="G67" i="14"/>
  <c r="L67" i="14" s="1"/>
  <c r="P67" i="14" s="1"/>
  <c r="E38" i="75"/>
  <c r="E43" i="75" s="1"/>
  <c r="F43" i="75"/>
  <c r="F45" i="75" s="1"/>
  <c r="T95" i="15" l="1"/>
  <c r="T99" i="15" s="1"/>
  <c r="T135" i="15" s="1"/>
  <c r="X103" i="75"/>
  <c r="G34" i="68"/>
  <c r="N61" i="14"/>
  <c r="Q108" i="9" l="1"/>
  <c r="N64" i="14"/>
  <c r="P61" i="14"/>
  <c r="P64" i="14" l="1"/>
  <c r="I34" i="170" s="1"/>
  <c r="AD177" i="15"/>
  <c r="P115" i="75" s="1"/>
  <c r="V98" i="75" l="1"/>
  <c r="V103" i="75" l="1"/>
  <c r="V105" i="75" s="1"/>
  <c r="T98" i="75"/>
  <c r="S98" i="75" l="1"/>
  <c r="S103" i="75" s="1"/>
  <c r="T103" i="75"/>
  <c r="T105" i="75" s="1"/>
  <c r="O99" i="9"/>
  <c r="O104" i="9" s="1"/>
  <c r="AE202" i="46" l="1"/>
  <c r="AE273" i="46" s="1"/>
  <c r="AG202" i="46"/>
  <c r="AG273" i="46" s="1"/>
  <c r="G30" i="5" l="1"/>
  <c r="H30" i="5"/>
  <c r="H251" i="5" s="1"/>
  <c r="H256" i="5" s="1"/>
  <c r="G32" i="5"/>
  <c r="H32" i="5"/>
  <c r="E32" i="5" l="1"/>
  <c r="G251" i="5"/>
  <c r="E30" i="5"/>
  <c r="G350" i="21" l="1"/>
  <c r="J350" i="21" s="1"/>
  <c r="G256" i="5"/>
  <c r="E251" i="5"/>
  <c r="G328" i="21"/>
  <c r="F23" i="58"/>
  <c r="AC202" i="46" l="1"/>
  <c r="AC273" i="46" s="1"/>
  <c r="G77" i="46"/>
  <c r="G142" i="46" s="1"/>
  <c r="J328" i="21"/>
  <c r="J329" i="21" s="1"/>
  <c r="G329" i="21"/>
  <c r="G331" i="21" s="1"/>
  <c r="H23" i="58"/>
  <c r="L23" i="58" s="1"/>
  <c r="AH202" i="46" l="1"/>
  <c r="AH273" i="46" s="1"/>
  <c r="AH289" i="46" s="1"/>
  <c r="I77" i="46"/>
  <c r="J331" i="21"/>
  <c r="E43" i="19"/>
  <c r="AH279" i="46" l="1"/>
  <c r="AH283" i="46" s="1"/>
  <c r="W170" i="46" s="1"/>
  <c r="G72" i="46" s="1"/>
  <c r="F43" i="19"/>
  <c r="E44" i="19"/>
  <c r="J33" i="62" s="1"/>
  <c r="P58" i="35"/>
  <c r="AH285" i="46" l="1"/>
  <c r="AH290" i="46" s="1"/>
  <c r="AH293" i="46" s="1"/>
  <c r="AH295" i="46" s="1"/>
  <c r="AH297" i="46" s="1"/>
  <c r="T58" i="35"/>
  <c r="P60" i="35"/>
  <c r="H33" i="62"/>
  <c r="K33" i="62"/>
  <c r="F44" i="19"/>
  <c r="I168" i="24"/>
  <c r="AH287" i="46" l="1"/>
  <c r="L22" i="156" s="1"/>
  <c r="W172" i="46"/>
  <c r="W175" i="46" s="1"/>
  <c r="L24" i="156"/>
  <c r="H24" i="156"/>
  <c r="D24" i="156"/>
  <c r="K24" i="156"/>
  <c r="G24" i="156"/>
  <c r="C24" i="156"/>
  <c r="J24" i="156"/>
  <c r="F24" i="156"/>
  <c r="M24" i="156"/>
  <c r="I24" i="156"/>
  <c r="E24" i="156"/>
  <c r="I169" i="24"/>
  <c r="I172" i="24" s="1"/>
  <c r="E44" i="24"/>
  <c r="H33" i="5"/>
  <c r="L33" i="5"/>
  <c r="P33" i="5"/>
  <c r="I33" i="5"/>
  <c r="M33" i="5"/>
  <c r="J33" i="5"/>
  <c r="K33" i="5"/>
  <c r="G33" i="5"/>
  <c r="N33" i="5"/>
  <c r="F33" i="5"/>
  <c r="O33" i="5"/>
  <c r="J24" i="35"/>
  <c r="J26" i="35" s="1"/>
  <c r="J32" i="35" s="1"/>
  <c r="T60" i="35"/>
  <c r="W178" i="46" l="1"/>
  <c r="M31" i="5"/>
  <c r="M223" i="5" s="1"/>
  <c r="J216" i="156" s="1"/>
  <c r="G74" i="46"/>
  <c r="G76" i="46" s="1"/>
  <c r="H31" i="5"/>
  <c r="AA139" i="20" s="1" a="1"/>
  <c r="AA139" i="20" s="1"/>
  <c r="F22" i="156"/>
  <c r="G31" i="5"/>
  <c r="Z143" i="20" s="1" a="1"/>
  <c r="Z143" i="20" s="1"/>
  <c r="K22" i="156"/>
  <c r="K215" i="156" s="1"/>
  <c r="N31" i="5"/>
  <c r="AG139" i="20" s="1" a="1"/>
  <c r="AG139" i="20" s="1"/>
  <c r="I31" i="5"/>
  <c r="AB141" i="20" s="1" a="1"/>
  <c r="AB141" i="20" s="1"/>
  <c r="E22" i="156"/>
  <c r="E215" i="156" s="1"/>
  <c r="J22" i="156"/>
  <c r="J215" i="156" s="1"/>
  <c r="D22" i="156"/>
  <c r="D215" i="156" s="1"/>
  <c r="O31" i="5"/>
  <c r="O223" i="5" s="1"/>
  <c r="L216" i="156" s="1"/>
  <c r="F31" i="5"/>
  <c r="F223" i="5" s="1"/>
  <c r="C216" i="156" s="1"/>
  <c r="P31" i="5"/>
  <c r="AI143" i="20" s="1" a="1"/>
  <c r="AI143" i="20" s="1"/>
  <c r="I22" i="156"/>
  <c r="I215" i="156" s="1"/>
  <c r="C22" i="156"/>
  <c r="C215" i="156" s="1"/>
  <c r="H22" i="156"/>
  <c r="H215" i="156" s="1"/>
  <c r="J31" i="5"/>
  <c r="AC139" i="20" s="1" a="1"/>
  <c r="AC139" i="20" s="1"/>
  <c r="K31" i="5"/>
  <c r="K223" i="5" s="1"/>
  <c r="H216" i="156" s="1"/>
  <c r="L31" i="5"/>
  <c r="AE139" i="20" s="1" a="1"/>
  <c r="AE139" i="20" s="1"/>
  <c r="M22" i="156"/>
  <c r="M215" i="156" s="1"/>
  <c r="G22" i="156"/>
  <c r="G215" i="156" s="1"/>
  <c r="L215" i="156"/>
  <c r="F215" i="156"/>
  <c r="N24" i="156"/>
  <c r="G115" i="46"/>
  <c r="Q33" i="5"/>
  <c r="E33" i="5" s="1"/>
  <c r="E45" i="24"/>
  <c r="AM543" i="24"/>
  <c r="I174" i="24"/>
  <c r="AG143" i="20" a="1"/>
  <c r="AG143" i="20" s="1"/>
  <c r="AF139" i="20" l="1" a="1"/>
  <c r="AF139" i="20" s="1"/>
  <c r="AF136" i="20" a="1"/>
  <c r="AF136" i="20" s="1"/>
  <c r="AF142" i="20" a="1"/>
  <c r="AF142" i="20" s="1"/>
  <c r="AF138" i="20" a="1"/>
  <c r="AF138" i="20" s="1"/>
  <c r="AF143" i="20" a="1"/>
  <c r="AF143" i="20" s="1"/>
  <c r="M252" i="5"/>
  <c r="M254" i="5" s="1"/>
  <c r="AF141" i="20" a="1"/>
  <c r="AF141" i="20" s="1"/>
  <c r="AF140" i="20" a="1"/>
  <c r="AF140" i="20" s="1"/>
  <c r="AA138" i="20" a="1"/>
  <c r="AA138" i="20" s="1"/>
  <c r="AA143" i="20" a="1"/>
  <c r="AA143" i="20" s="1"/>
  <c r="AA142" i="20" a="1"/>
  <c r="AA142" i="20" s="1"/>
  <c r="AD143" i="20" a="1"/>
  <c r="AD143" i="20" s="1"/>
  <c r="AA136" i="20" a="1"/>
  <c r="AA136" i="20" s="1"/>
  <c r="AG140" i="20" a="1"/>
  <c r="AG140" i="20" s="1"/>
  <c r="AE142" i="20" a="1"/>
  <c r="AE142" i="20" s="1"/>
  <c r="Z138" i="20" a="1"/>
  <c r="Z138" i="20" s="1"/>
  <c r="L223" i="5"/>
  <c r="I216" i="156" s="1"/>
  <c r="I217" i="156" s="1"/>
  <c r="AB139" i="20" a="1"/>
  <c r="AB139" i="20" s="1"/>
  <c r="AH136" i="20" a="1"/>
  <c r="AH136" i="20" s="1"/>
  <c r="G252" i="5"/>
  <c r="G254" i="5" s="1"/>
  <c r="I223" i="5"/>
  <c r="F216" i="156" s="1"/>
  <c r="Z136" i="20" a="1"/>
  <c r="Z136" i="20" s="1"/>
  <c r="O252" i="5"/>
  <c r="O254" i="5" s="1"/>
  <c r="Z142" i="20" a="1"/>
  <c r="Z142" i="20" s="1"/>
  <c r="AA141" i="20" a="1"/>
  <c r="AA141" i="20" s="1"/>
  <c r="AA140" i="20" a="1"/>
  <c r="AA140" i="20" s="1"/>
  <c r="H252" i="5"/>
  <c r="H254" i="5" s="1"/>
  <c r="AG142" i="20" a="1"/>
  <c r="AG142" i="20" s="1"/>
  <c r="AE143" i="20" a="1"/>
  <c r="AE143" i="20" s="1"/>
  <c r="AH138" i="20" a="1"/>
  <c r="AH138" i="20" s="1"/>
  <c r="AB140" i="20" a="1"/>
  <c r="AB140" i="20" s="1"/>
  <c r="I252" i="5"/>
  <c r="I254" i="5" s="1"/>
  <c r="AH140" i="20" a="1"/>
  <c r="AH140" i="20" s="1"/>
  <c r="H223" i="5"/>
  <c r="E216" i="156" s="1"/>
  <c r="E217" i="156" s="1"/>
  <c r="AG138" i="20" a="1"/>
  <c r="AG138" i="20" s="1"/>
  <c r="N252" i="5"/>
  <c r="N254" i="5" s="1"/>
  <c r="AE136" i="20" a="1"/>
  <c r="AE136" i="20" s="1"/>
  <c r="AB142" i="20" a="1"/>
  <c r="AB142" i="20" s="1"/>
  <c r="AH139" i="20" a="1"/>
  <c r="AH139" i="20" s="1"/>
  <c r="AD142" i="20" a="1"/>
  <c r="AD142" i="20" s="1"/>
  <c r="Z140" i="20" a="1"/>
  <c r="Z140" i="20" s="1"/>
  <c r="G223" i="5"/>
  <c r="D216" i="156" s="1"/>
  <c r="D217" i="156" s="1"/>
  <c r="Z141" i="20" a="1"/>
  <c r="Z141" i="20" s="1"/>
  <c r="Z139" i="20" a="1"/>
  <c r="Z139" i="20" s="1"/>
  <c r="AD136" i="20" a="1"/>
  <c r="AD136" i="20" s="1"/>
  <c r="AE141" i="20" a="1"/>
  <c r="AE141" i="20" s="1"/>
  <c r="AE140" i="20" a="1"/>
  <c r="AE140" i="20" s="1"/>
  <c r="L252" i="5"/>
  <c r="L254" i="5" s="1"/>
  <c r="AB136" i="20" a="1"/>
  <c r="AB136" i="20" s="1"/>
  <c r="AB138" i="20" a="1"/>
  <c r="AB138" i="20" s="1"/>
  <c r="AH142" i="20" a="1"/>
  <c r="AH142" i="20" s="1"/>
  <c r="AH141" i="20" a="1"/>
  <c r="AH141" i="20" s="1"/>
  <c r="AE138" i="20" a="1"/>
  <c r="AE138" i="20" s="1"/>
  <c r="AB143" i="20" a="1"/>
  <c r="AB143" i="20" s="1"/>
  <c r="AH143" i="20" a="1"/>
  <c r="AH143" i="20" s="1"/>
  <c r="L217" i="156"/>
  <c r="K252" i="5"/>
  <c r="K254" i="5" s="1"/>
  <c r="AC138" i="20" a="1"/>
  <c r="AC138" i="20" s="1"/>
  <c r="Y143" i="20" a="1"/>
  <c r="Y143" i="20" s="1"/>
  <c r="AC140" i="20" a="1"/>
  <c r="AC140" i="20" s="1"/>
  <c r="AI139" i="20" a="1"/>
  <c r="AI139" i="20" s="1"/>
  <c r="AD141" i="20" a="1"/>
  <c r="AD141" i="20" s="1"/>
  <c r="J223" i="5"/>
  <c r="G216" i="156" s="1"/>
  <c r="G217" i="156" s="1"/>
  <c r="AI138" i="20" a="1"/>
  <c r="AI138" i="20" s="1"/>
  <c r="Y140" i="20" a="1"/>
  <c r="Y140" i="20" s="1"/>
  <c r="AI141" i="20" a="1"/>
  <c r="AI141" i="20" s="1"/>
  <c r="AC136" i="20" a="1"/>
  <c r="AC136" i="20" s="1"/>
  <c r="J252" i="5"/>
  <c r="J254" i="5" s="1"/>
  <c r="F217" i="156"/>
  <c r="AI142" i="20" a="1"/>
  <c r="AI142" i="20" s="1"/>
  <c r="AI136" i="20" a="1"/>
  <c r="AI136" i="20" s="1"/>
  <c r="P223" i="5"/>
  <c r="M216" i="156" s="1"/>
  <c r="M217" i="156" s="1"/>
  <c r="AC142" i="20" a="1"/>
  <c r="AC142" i="20" s="1"/>
  <c r="AC143" i="20" a="1"/>
  <c r="AC143" i="20" s="1"/>
  <c r="Y138" i="20" a="1"/>
  <c r="Y138" i="20" s="1"/>
  <c r="F252" i="5"/>
  <c r="F254" i="5" s="1"/>
  <c r="AI140" i="20" a="1"/>
  <c r="AI140" i="20" s="1"/>
  <c r="P252" i="5"/>
  <c r="P254" i="5" s="1"/>
  <c r="AC141" i="20" a="1"/>
  <c r="AC141" i="20" s="1"/>
  <c r="Y142" i="20" a="1"/>
  <c r="Y142" i="20" s="1"/>
  <c r="N22" i="156"/>
  <c r="N215" i="156" s="1"/>
  <c r="AG136" i="20" a="1"/>
  <c r="AG136" i="20" s="1"/>
  <c r="N223" i="5"/>
  <c r="K216" i="156" s="1"/>
  <c r="K217" i="156" s="1"/>
  <c r="Q31" i="5"/>
  <c r="AJ138" i="20" s="1" a="1"/>
  <c r="AJ138" i="20" s="1"/>
  <c r="AD139" i="20" a="1"/>
  <c r="AD139" i="20" s="1"/>
  <c r="AD138" i="20" a="1"/>
  <c r="AD138" i="20" s="1"/>
  <c r="Y141" i="20" a="1"/>
  <c r="Y141" i="20" s="1"/>
  <c r="Y139" i="20" a="1"/>
  <c r="Y139" i="20" s="1"/>
  <c r="AG141" i="20" a="1"/>
  <c r="AG141" i="20" s="1"/>
  <c r="AD140" i="20" a="1"/>
  <c r="AD140" i="20" s="1"/>
  <c r="Y136" i="20" a="1"/>
  <c r="Y136" i="20" s="1"/>
  <c r="H217" i="156"/>
  <c r="C217" i="156"/>
  <c r="J217" i="156"/>
  <c r="G355" i="21"/>
  <c r="I177" i="24"/>
  <c r="I180" i="24" s="1"/>
  <c r="I182" i="24" s="1"/>
  <c r="I184" i="24" s="1"/>
  <c r="AK543" i="24"/>
  <c r="AM544" i="24"/>
  <c r="I185" i="24" l="1"/>
  <c r="AF145" i="20"/>
  <c r="AF149" i="20" s="1"/>
  <c r="Z145" i="20"/>
  <c r="Z149" i="20" s="1"/>
  <c r="AA145" i="20"/>
  <c r="AA149" i="20" s="1"/>
  <c r="AH145" i="20"/>
  <c r="AH149" i="20" s="1"/>
  <c r="AE145" i="20"/>
  <c r="AE149" i="20" s="1"/>
  <c r="AB145" i="20"/>
  <c r="AB149" i="20" s="1"/>
  <c r="AJ142" i="20" a="1"/>
  <c r="AJ142" i="20" s="1"/>
  <c r="AK142" i="20" s="1"/>
  <c r="G29" i="20" s="1"/>
  <c r="I29" i="20" s="1"/>
  <c r="AJ136" i="20" a="1"/>
  <c r="AJ136" i="20" s="1"/>
  <c r="AK136" i="20" s="1"/>
  <c r="G24" i="20" s="1"/>
  <c r="AK138" i="20"/>
  <c r="G25" i="20" s="1"/>
  <c r="I25" i="20" s="1"/>
  <c r="Q252" i="5"/>
  <c r="Q254" i="5" s="1"/>
  <c r="AI145" i="20"/>
  <c r="AI149" i="20" s="1"/>
  <c r="AG145" i="20"/>
  <c r="AG149" i="20" s="1"/>
  <c r="AD145" i="20"/>
  <c r="AD149" i="20" s="1"/>
  <c r="AC145" i="20"/>
  <c r="AC149" i="20" s="1"/>
  <c r="Y145" i="20"/>
  <c r="Y149" i="20" s="1"/>
  <c r="AJ139" i="20" a="1"/>
  <c r="AJ139" i="20" s="1"/>
  <c r="AK139" i="20" s="1"/>
  <c r="G26" i="20" s="1"/>
  <c r="I26" i="20" s="1"/>
  <c r="AJ140" i="20" a="1"/>
  <c r="AJ140" i="20" s="1"/>
  <c r="AK140" i="20" s="1"/>
  <c r="G28" i="20" s="1"/>
  <c r="I28" i="20" s="1"/>
  <c r="AJ141" i="20" a="1"/>
  <c r="AJ141" i="20" s="1"/>
  <c r="AK141" i="20" s="1"/>
  <c r="G27" i="20" s="1"/>
  <c r="I27" i="20" s="1"/>
  <c r="Q223" i="5"/>
  <c r="N216" i="156" s="1"/>
  <c r="N217" i="156" s="1"/>
  <c r="E31" i="5"/>
  <c r="AJ143" i="20" a="1"/>
  <c r="AJ143" i="20" s="1"/>
  <c r="AK143" i="20" s="1"/>
  <c r="G30" i="20" s="1"/>
  <c r="I30" i="20" s="1"/>
  <c r="AK544" i="24"/>
  <c r="P43" i="19"/>
  <c r="P44" i="19" s="1"/>
  <c r="G174" i="21" a="1"/>
  <c r="G174" i="21" s="1"/>
  <c r="J174" i="21" s="1"/>
  <c r="J355" i="21"/>
  <c r="J359" i="21" s="1"/>
  <c r="G359" i="21"/>
  <c r="G349" i="21" l="1"/>
  <c r="G144" i="21" a="1"/>
  <c r="G144" i="21" s="1"/>
  <c r="J144" i="21" s="1"/>
  <c r="G259" i="21" a="1"/>
  <c r="G259" i="21" s="1"/>
  <c r="J259" i="21" s="1"/>
  <c r="E252" i="5"/>
  <c r="E254" i="5" s="1"/>
  <c r="G236" i="21" a="1"/>
  <c r="G236" i="21" s="1"/>
  <c r="J236" i="21" s="1"/>
  <c r="G189" i="21" a="1"/>
  <c r="G189" i="21" s="1"/>
  <c r="J189" i="21" s="1"/>
  <c r="G116" i="21" a="1"/>
  <c r="G116" i="21" s="1"/>
  <c r="J116" i="21" s="1"/>
  <c r="G153" i="21" a="1"/>
  <c r="G153" i="21" s="1"/>
  <c r="J153" i="21" s="1"/>
  <c r="G190" i="21" a="1"/>
  <c r="G190" i="21" s="1"/>
  <c r="J190" i="21" s="1"/>
  <c r="G185" i="21" a="1"/>
  <c r="G185" i="21" s="1"/>
  <c r="J185" i="21" s="1"/>
  <c r="G266" i="21" a="1"/>
  <c r="G266" i="21" s="1"/>
  <c r="J266" i="21" s="1"/>
  <c r="G140" i="21" a="1"/>
  <c r="G140" i="21" s="1"/>
  <c r="J140" i="21" s="1"/>
  <c r="I18" i="53" a="1"/>
  <c r="I18" i="53" s="1"/>
  <c r="K18" i="53" s="1"/>
  <c r="G142" i="21" a="1"/>
  <c r="G142" i="21" s="1"/>
  <c r="J142" i="21" s="1"/>
  <c r="G191" i="21" a="1"/>
  <c r="G191" i="21" s="1"/>
  <c r="J191" i="21" s="1"/>
  <c r="I19" i="53" a="1"/>
  <c r="I19" i="53" s="1"/>
  <c r="K19" i="53" s="1"/>
  <c r="G175" i="21" a="1"/>
  <c r="G175" i="21" s="1"/>
  <c r="J175" i="21" s="1"/>
  <c r="G217" i="21" a="1"/>
  <c r="G217" i="21" s="1"/>
  <c r="J217" i="21" s="1"/>
  <c r="I25" i="53" a="1"/>
  <c r="I25" i="53" s="1"/>
  <c r="K25" i="53" s="1"/>
  <c r="G237" i="21" a="1"/>
  <c r="G237" i="21" s="1"/>
  <c r="J237" i="21" s="1"/>
  <c r="G145" i="21" a="1"/>
  <c r="G145" i="21" s="1"/>
  <c r="J145" i="21" s="1"/>
  <c r="G114" i="21" a="1"/>
  <c r="G114" i="21" s="1"/>
  <c r="J114" i="21" s="1"/>
  <c r="G77" i="21" a="1"/>
  <c r="G77" i="21" s="1"/>
  <c r="J77" i="21" s="1"/>
  <c r="G214" i="21" a="1"/>
  <c r="G214" i="21" s="1"/>
  <c r="J214" i="21" s="1"/>
  <c r="G219" i="21" a="1"/>
  <c r="G219" i="21" s="1"/>
  <c r="J219" i="21" s="1"/>
  <c r="G146" i="21" a="1"/>
  <c r="G146" i="21" s="1"/>
  <c r="J146" i="21" s="1"/>
  <c r="G235" i="21" a="1"/>
  <c r="G235" i="21" s="1"/>
  <c r="J235" i="21" s="1"/>
  <c r="G115" i="21" a="1"/>
  <c r="G115" i="21" s="1"/>
  <c r="J115" i="21" s="1"/>
  <c r="G84" i="21" a="1"/>
  <c r="G84" i="21" s="1"/>
  <c r="J84" i="21" s="1"/>
  <c r="G186" i="21" a="1"/>
  <c r="G186" i="21" s="1"/>
  <c r="J186" i="21" s="1"/>
  <c r="G155" i="21" a="1"/>
  <c r="G155" i="21" s="1"/>
  <c r="J155" i="21" s="1"/>
  <c r="G156" i="21" a="1"/>
  <c r="G156" i="21" s="1"/>
  <c r="J156" i="21" s="1"/>
  <c r="E223" i="5"/>
  <c r="I24" i="53" a="1"/>
  <c r="I24" i="53" s="1"/>
  <c r="G188" i="21" a="1"/>
  <c r="G188" i="21" s="1"/>
  <c r="J188" i="21" s="1"/>
  <c r="G141" i="21" a="1"/>
  <c r="G141" i="21" s="1"/>
  <c r="J141" i="21" s="1"/>
  <c r="G260" i="21" a="1"/>
  <c r="G260" i="21" s="1"/>
  <c r="J260" i="21" s="1"/>
  <c r="G281" i="21" a="1"/>
  <c r="G281" i="21" s="1"/>
  <c r="J281" i="21" s="1"/>
  <c r="G178" i="21" a="1"/>
  <c r="G178" i="21" s="1"/>
  <c r="J178" i="21" s="1"/>
  <c r="I26" i="53" a="1"/>
  <c r="I26" i="53" s="1"/>
  <c r="K26" i="53" s="1"/>
  <c r="G88" i="21" a="1"/>
  <c r="G88" i="21" s="1"/>
  <c r="J88" i="21" s="1"/>
  <c r="G95" i="21" a="1"/>
  <c r="G95" i="21" s="1"/>
  <c r="J95" i="21" s="1"/>
  <c r="G87" i="21" a="1"/>
  <c r="G87" i="21" s="1"/>
  <c r="J87" i="21" s="1"/>
  <c r="G154" i="21" a="1"/>
  <c r="G154" i="21" s="1"/>
  <c r="J154" i="21" s="1"/>
  <c r="G213" i="21" a="1"/>
  <c r="G213" i="21" s="1"/>
  <c r="J213" i="21" s="1"/>
  <c r="AJ145" i="20"/>
  <c r="AJ149" i="20" s="1"/>
  <c r="AK149" i="20" s="1"/>
  <c r="G21" i="21" a="1"/>
  <c r="G21" i="21" s="1"/>
  <c r="J21" i="21" s="1"/>
  <c r="G24" i="21" a="1"/>
  <c r="G24" i="21" s="1"/>
  <c r="J24" i="21" s="1"/>
  <c r="I22" i="63" s="1"/>
  <c r="I52" i="63" s="1"/>
  <c r="G105" i="21" a="1"/>
  <c r="G105" i="21" s="1"/>
  <c r="J105" i="21" s="1"/>
  <c r="J106" i="21" s="1"/>
  <c r="G173" i="21" a="1"/>
  <c r="G173" i="21" s="1"/>
  <c r="J173" i="21" s="1"/>
  <c r="G25" i="21" a="1"/>
  <c r="G25" i="21" s="1"/>
  <c r="J25" i="21" s="1"/>
  <c r="I23" i="63" s="1"/>
  <c r="G151" i="21" a="1"/>
  <c r="G151" i="21" s="1"/>
  <c r="J151" i="21" s="1"/>
  <c r="G265" i="21" a="1"/>
  <c r="G265" i="21" s="1"/>
  <c r="J265" i="21" s="1"/>
  <c r="G171" i="21" a="1"/>
  <c r="G171" i="21" s="1"/>
  <c r="J171" i="21" s="1"/>
  <c r="G169" i="21" a="1"/>
  <c r="G169" i="21" s="1"/>
  <c r="J169" i="21" s="1"/>
  <c r="G218" i="21" a="1"/>
  <c r="G218" i="21" s="1"/>
  <c r="J218" i="21" s="1"/>
  <c r="G176" i="21" a="1"/>
  <c r="G176" i="21" s="1"/>
  <c r="J176" i="21" s="1"/>
  <c r="I20" i="53" a="1"/>
  <c r="I20" i="53" s="1"/>
  <c r="K20" i="53" s="1"/>
  <c r="J32" i="62" a="1"/>
  <c r="J32" i="62" s="1"/>
  <c r="K32" i="62" s="1"/>
  <c r="G177" i="21" a="1"/>
  <c r="G177" i="21" s="1"/>
  <c r="J177" i="21" s="1"/>
  <c r="G32" i="21" a="1"/>
  <c r="G32" i="21" s="1"/>
  <c r="G49" i="21" s="1"/>
  <c r="G98" i="21" a="1"/>
  <c r="G98" i="21" s="1"/>
  <c r="J98" i="21" s="1"/>
  <c r="G215" i="21" a="1"/>
  <c r="G215" i="21" s="1"/>
  <c r="J215" i="21" s="1"/>
  <c r="G75" i="21" a="1"/>
  <c r="G75" i="21" s="1"/>
  <c r="J75" i="21" s="1"/>
  <c r="G184" i="21" a="1"/>
  <c r="G184" i="21" s="1"/>
  <c r="J184" i="21" s="1"/>
  <c r="G261" i="21" a="1"/>
  <c r="G261" i="21" s="1"/>
  <c r="J261" i="21" s="1"/>
  <c r="O126" i="55" s="1"/>
  <c r="J31" i="62" a="1"/>
  <c r="J31" i="62" s="1"/>
  <c r="K31" i="62" s="1"/>
  <c r="G226" i="21" a="1"/>
  <c r="G226" i="21" s="1"/>
  <c r="J226" i="21" s="1"/>
  <c r="G183" i="21" a="1"/>
  <c r="G183" i="21" s="1"/>
  <c r="J183" i="21" s="1"/>
  <c r="G263" i="21" a="1"/>
  <c r="G263" i="21" s="1"/>
  <c r="J263" i="21" s="1"/>
  <c r="G80" i="21" a="1"/>
  <c r="G80" i="21" s="1"/>
  <c r="J80" i="21" s="1"/>
  <c r="G97" i="21" a="1"/>
  <c r="G97" i="21" s="1"/>
  <c r="J97" i="21" s="1"/>
  <c r="G227" i="21" a="1"/>
  <c r="G227" i="21" s="1"/>
  <c r="J227" i="21" s="1"/>
  <c r="G152" i="21" a="1"/>
  <c r="G152" i="21" s="1"/>
  <c r="J152" i="21" s="1"/>
  <c r="G86" i="21" a="1"/>
  <c r="G86" i="21" s="1"/>
  <c r="J86" i="21" s="1"/>
  <c r="G258" i="21" a="1"/>
  <c r="G258" i="21" s="1"/>
  <c r="J258" i="21" s="1"/>
  <c r="G163" i="21" a="1"/>
  <c r="G163" i="21" s="1"/>
  <c r="G164" i="21" s="1"/>
  <c r="G264" i="21" a="1"/>
  <c r="G264" i="21" s="1"/>
  <c r="J264" i="21" s="1"/>
  <c r="G187" i="21" a="1"/>
  <c r="G187" i="21" s="1"/>
  <c r="J187" i="21" s="1"/>
  <c r="G277" i="21" a="1"/>
  <c r="G277" i="21" s="1"/>
  <c r="J277" i="21" s="1"/>
  <c r="G85" i="21" a="1"/>
  <c r="G85" i="21" s="1"/>
  <c r="J85" i="21" s="1"/>
  <c r="G262" i="21" a="1"/>
  <c r="G262" i="21" s="1"/>
  <c r="J262" i="21" s="1"/>
  <c r="G170" i="21" a="1"/>
  <c r="G170" i="21" s="1"/>
  <c r="J170" i="21" s="1"/>
  <c r="J20" i="62" a="1"/>
  <c r="J20" i="62" s="1"/>
  <c r="G220" i="21" a="1"/>
  <c r="G220" i="21" s="1"/>
  <c r="J220" i="21" s="1"/>
  <c r="G286" i="21" a="1"/>
  <c r="G286" i="21" s="1"/>
  <c r="J286" i="21" s="1"/>
  <c r="E39" i="19" s="1"/>
  <c r="P53" i="34" s="1"/>
  <c r="F22" i="58" a="1"/>
  <c r="F22" i="58" s="1"/>
  <c r="G172" i="21" a="1"/>
  <c r="G172" i="21" s="1"/>
  <c r="J172" i="21" s="1"/>
  <c r="G228" i="21" a="1"/>
  <c r="G228" i="21" s="1"/>
  <c r="J228" i="21" s="1"/>
  <c r="G29" i="21" a="1"/>
  <c r="G29" i="21" s="1"/>
  <c r="J29" i="21" s="1"/>
  <c r="G143" i="21" a="1"/>
  <c r="G143" i="21" s="1"/>
  <c r="J143" i="21" s="1"/>
  <c r="AK145" i="20"/>
  <c r="I24" i="20"/>
  <c r="I31" i="20" s="1"/>
  <c r="G31" i="20"/>
  <c r="G33" i="20" s="1"/>
  <c r="G352" i="21"/>
  <c r="G370" i="21" s="1"/>
  <c r="J349" i="21"/>
  <c r="J352" i="21" s="1"/>
  <c r="W176" i="46"/>
  <c r="I27" i="53" l="1"/>
  <c r="K24" i="53"/>
  <c r="K27" i="53" s="1"/>
  <c r="J32" i="21"/>
  <c r="J49" i="21" s="1"/>
  <c r="J278" i="21"/>
  <c r="J282" i="21" s="1"/>
  <c r="E35" i="19" s="1"/>
  <c r="P53" i="33" s="1"/>
  <c r="H22" i="58"/>
  <c r="H24" i="58" s="1"/>
  <c r="G76" i="21" a="1"/>
  <c r="G76" i="21" s="1"/>
  <c r="J76" i="21" s="1"/>
  <c r="J81" i="21" s="1"/>
  <c r="J157" i="21"/>
  <c r="J163" i="21"/>
  <c r="J164" i="21" s="1"/>
  <c r="E30" i="19" s="1"/>
  <c r="G238" i="21"/>
  <c r="G230" i="21"/>
  <c r="G157" i="21"/>
  <c r="G179" i="21"/>
  <c r="G106" i="21"/>
  <c r="I21" i="53"/>
  <c r="G118" i="21"/>
  <c r="J99" i="21"/>
  <c r="J107" i="21" s="1"/>
  <c r="G99" i="21"/>
  <c r="J192" i="21"/>
  <c r="J147" i="21"/>
  <c r="J221" i="21"/>
  <c r="E32" i="19" s="1"/>
  <c r="P53" i="30" s="1"/>
  <c r="J179" i="21"/>
  <c r="F24" i="58"/>
  <c r="K20" i="62"/>
  <c r="G278" i="21"/>
  <c r="G282" i="21" s="1"/>
  <c r="G27" i="21"/>
  <c r="G51" i="21" s="1"/>
  <c r="G192" i="21"/>
  <c r="G89" i="21"/>
  <c r="G147" i="21"/>
  <c r="G221" i="21"/>
  <c r="J89" i="21"/>
  <c r="J370" i="21"/>
  <c r="G78" i="46"/>
  <c r="J230" i="21"/>
  <c r="E33" i="19" s="1"/>
  <c r="K21" i="53"/>
  <c r="E19" i="19"/>
  <c r="P55" i="25"/>
  <c r="E256" i="5"/>
  <c r="J27" i="21"/>
  <c r="I19" i="63"/>
  <c r="E25" i="19"/>
  <c r="J118" i="21"/>
  <c r="E14" i="13" l="1"/>
  <c r="D199" i="110"/>
  <c r="D200" i="110" s="1"/>
  <c r="D202" i="110" s="1"/>
  <c r="D203" i="110" s="1"/>
  <c r="J158" i="21"/>
  <c r="E29" i="19" s="1"/>
  <c r="J22" i="62" s="1"/>
  <c r="G158" i="21"/>
  <c r="J23" i="62"/>
  <c r="P53" i="151"/>
  <c r="L22" i="58"/>
  <c r="L24" i="58" s="1"/>
  <c r="J51" i="21"/>
  <c r="I13" i="20" s="1"/>
  <c r="J238" i="21"/>
  <c r="E34" i="19" s="1"/>
  <c r="J27" i="62" s="1"/>
  <c r="G107" i="21"/>
  <c r="J28" i="62"/>
  <c r="J193" i="21"/>
  <c r="E31" i="19" s="1"/>
  <c r="P53" i="29" s="1"/>
  <c r="G193" i="21"/>
  <c r="G81" i="21"/>
  <c r="G90" i="21" s="1"/>
  <c r="G120" i="21" s="1"/>
  <c r="J25" i="62"/>
  <c r="K25" i="62" s="1"/>
  <c r="J90" i="21"/>
  <c r="J120" i="21" s="1"/>
  <c r="E26" i="19" s="1"/>
  <c r="P53" i="27" s="1"/>
  <c r="P51" i="26"/>
  <c r="E47" i="19"/>
  <c r="G102" i="46"/>
  <c r="G109" i="46" s="1"/>
  <c r="I49" i="63"/>
  <c r="I24" i="63"/>
  <c r="P53" i="31"/>
  <c r="J26" i="62"/>
  <c r="P53" i="107" l="1"/>
  <c r="K23" i="62"/>
  <c r="P53" i="32"/>
  <c r="K28" i="62"/>
  <c r="G283" i="21"/>
  <c r="G371" i="21" s="1"/>
  <c r="G372" i="21" s="1"/>
  <c r="J24" i="62"/>
  <c r="K24" i="62" s="1"/>
  <c r="J283" i="21"/>
  <c r="E27" i="19"/>
  <c r="E37" i="19" s="1"/>
  <c r="K27" i="62"/>
  <c r="K26" i="62"/>
  <c r="E13" i="20"/>
  <c r="E33" i="20" s="1"/>
  <c r="I33" i="20"/>
  <c r="E49" i="19"/>
  <c r="J35" i="62"/>
  <c r="K22" i="62"/>
  <c r="J371" i="21" l="1"/>
  <c r="J372" i="21" s="1"/>
  <c r="G19" i="46"/>
  <c r="G57" i="46" s="1"/>
  <c r="G62" i="46" s="1"/>
  <c r="W149" i="46"/>
  <c r="W151" i="46" s="1"/>
  <c r="W161" i="46" s="1"/>
  <c r="W177" i="46" s="1"/>
  <c r="J21" i="62"/>
  <c r="K35" i="62"/>
  <c r="E17" i="19"/>
  <c r="E20" i="19" s="1"/>
  <c r="D191" i="110" s="1"/>
  <c r="D192" i="110" s="1"/>
  <c r="D194" i="110" s="1"/>
  <c r="D195" i="110" s="1"/>
  <c r="P51" i="25"/>
  <c r="P57" i="25" s="1"/>
  <c r="E12" i="13"/>
  <c r="E16" i="13" s="1"/>
  <c r="E20" i="13" s="1"/>
  <c r="K21" i="62" l="1"/>
  <c r="W166" i="46"/>
  <c r="W180" i="46"/>
  <c r="W182" i="46" s="1"/>
  <c r="G137" i="46"/>
  <c r="G139" i="46" s="1"/>
  <c r="J30" i="62"/>
  <c r="K30" i="62" s="1"/>
  <c r="G68" i="46"/>
  <c r="C26" i="1" s="1"/>
  <c r="G113" i="46"/>
  <c r="G116" i="46" s="1"/>
  <c r="I17" i="12"/>
  <c r="I41" i="12" s="1"/>
  <c r="U65" i="12"/>
  <c r="U87" i="12" s="1"/>
  <c r="Y65" i="12"/>
  <c r="J16" i="62"/>
  <c r="W184" i="46" l="1"/>
  <c r="W185" i="46" s="1"/>
  <c r="G118" i="46"/>
  <c r="G121" i="46" s="1"/>
  <c r="Y87" i="12"/>
  <c r="M17" i="12"/>
  <c r="G26" i="170" s="1"/>
  <c r="K16" i="62"/>
  <c r="E52" i="19" l="1"/>
  <c r="G130" i="46"/>
  <c r="G141" i="46" s="1"/>
  <c r="G143" i="46" s="1"/>
  <c r="G145" i="46" s="1"/>
  <c r="J30" i="75"/>
  <c r="M41" i="12"/>
  <c r="G28" i="170" s="1"/>
  <c r="G40" i="170" s="1"/>
  <c r="E55" i="19" l="1"/>
  <c r="J34" i="62"/>
  <c r="E30" i="75"/>
  <c r="E33" i="75" s="1"/>
  <c r="E45" i="75" s="1"/>
  <c r="J33" i="75"/>
  <c r="J45" i="75" s="1"/>
  <c r="J40" i="62" l="1"/>
  <c r="K40" i="62" s="1"/>
  <c r="K34" i="62"/>
  <c r="E57" i="19"/>
  <c r="J49" i="75"/>
  <c r="F49" i="75"/>
  <c r="L47" i="75"/>
  <c r="M47" i="75"/>
  <c r="F47" i="75"/>
  <c r="H47" i="75"/>
  <c r="E59" i="19" l="1"/>
  <c r="O66" i="9"/>
  <c r="Q66" i="9" s="1"/>
  <c r="Q72" i="9" s="1"/>
  <c r="J47" i="75"/>
  <c r="H46" i="62" l="1"/>
  <c r="J51" i="62"/>
  <c r="G19" i="9"/>
  <c r="J41" i="62"/>
  <c r="K41" i="62" s="1"/>
  <c r="G17" i="9"/>
  <c r="G21" i="9" l="1"/>
  <c r="K51" i="62"/>
  <c r="H51" i="62"/>
  <c r="J62" i="62"/>
  <c r="G25" i="9"/>
  <c r="G27" i="9" s="1"/>
  <c r="G31" i="9" s="1"/>
  <c r="K62" i="62" l="1"/>
  <c r="J73" i="62"/>
  <c r="H62" i="62"/>
  <c r="D150" i="110" l="1"/>
  <c r="D152" i="110" s="1"/>
  <c r="J76" i="62"/>
  <c r="K73" i="62"/>
  <c r="J75" i="22" l="1"/>
  <c r="AE214" i="24"/>
  <c r="AE224" i="24" s="1"/>
  <c r="AE234" i="24" l="1"/>
  <c r="AE236" i="24" s="1"/>
  <c r="AE239" i="24" l="1"/>
  <c r="AE242" i="24" s="1"/>
  <c r="AE244" i="24" s="1"/>
  <c r="AE246" i="24" s="1"/>
  <c r="AE247" i="24" l="1"/>
  <c r="Q59" i="145"/>
  <c r="Q63" i="145" l="1"/>
  <c r="I21" i="145" l="1"/>
  <c r="Y391" i="24" s="1"/>
  <c r="S57" i="145"/>
  <c r="O59" i="145"/>
  <c r="I20" i="145" s="1"/>
  <c r="I23" i="145" l="1"/>
  <c r="I27" i="145" s="1"/>
  <c r="Y390" i="24"/>
  <c r="S59" i="145"/>
  <c r="U205" i="24"/>
  <c r="AO518" i="24" s="1"/>
  <c r="AK518" i="24" s="1"/>
  <c r="F29" i="163"/>
  <c r="F30" i="163" s="1"/>
  <c r="U204" i="24"/>
  <c r="Y393" i="24" l="1"/>
  <c r="Y420" i="24" s="1"/>
  <c r="Y422" i="24" s="1"/>
  <c r="D29" i="163"/>
  <c r="D30" i="163" s="1"/>
  <c r="J18" i="19"/>
  <c r="N18" i="19" s="1"/>
  <c r="Q47" i="142" s="1"/>
  <c r="J17" i="19"/>
  <c r="AO517" i="24"/>
  <c r="AO520" i="24" s="1"/>
  <c r="U207" i="24"/>
  <c r="P18" i="19" l="1"/>
  <c r="J20" i="19"/>
  <c r="Y425" i="24"/>
  <c r="Y428" i="24" s="1"/>
  <c r="Y430" i="24" s="1"/>
  <c r="Y432" i="24" s="1"/>
  <c r="Y433" i="24" l="1"/>
  <c r="P53" i="18" l="1"/>
  <c r="I33" i="9"/>
  <c r="P57" i="18" l="1"/>
  <c r="P60" i="18"/>
  <c r="G22" i="18" s="1"/>
  <c r="I22" i="18" s="1"/>
  <c r="P62" i="18" l="1"/>
  <c r="G20" i="18"/>
  <c r="G23" i="18" l="1"/>
  <c r="P64" i="18"/>
  <c r="P66" i="18" l="1"/>
  <c r="P68" i="18" s="1"/>
  <c r="G26" i="18" s="1"/>
  <c r="O19" i="46"/>
  <c r="O57" i="46" l="1"/>
  <c r="O62" i="46" s="1"/>
  <c r="O137" i="46"/>
  <c r="O139" i="46" s="1"/>
  <c r="G25" i="18"/>
  <c r="P70" i="18"/>
  <c r="P72" i="18" s="1"/>
  <c r="G28" i="18" l="1"/>
  <c r="G30" i="18" s="1"/>
  <c r="O113" i="46"/>
  <c r="O68" i="46"/>
  <c r="O72" i="46" s="1"/>
  <c r="O74" i="46" s="1"/>
  <c r="O82" i="46" l="1"/>
  <c r="O76" i="46"/>
  <c r="O78" i="46" s="1"/>
  <c r="O102" i="46" l="1"/>
  <c r="O109" i="46" s="1"/>
  <c r="O115" i="46"/>
  <c r="O116" i="46" s="1"/>
  <c r="O118" i="46" s="1"/>
  <c r="O121" i="46" l="1"/>
  <c r="O130" i="46" s="1"/>
  <c r="O141" i="46" s="1"/>
  <c r="O143" i="46" s="1"/>
  <c r="O145" i="46" s="1"/>
  <c r="O135" i="4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E256" i="6"/>
  <c r="S90" i="75"/>
  <c r="X90" i="75"/>
  <c r="S93" i="75"/>
  <c r="X93" i="75"/>
  <c r="S105" i="75"/>
  <c r="X105" i="75"/>
  <c r="T107" i="75"/>
  <c r="V107" i="75"/>
  <c r="X107" i="75"/>
  <c r="Z107" i="75"/>
  <c r="AA107" i="75"/>
  <c r="T109" i="75"/>
  <c r="X109" i="75"/>
  <c r="C150" i="110"/>
  <c r="C152" i="110"/>
  <c r="C191" i="110"/>
  <c r="C192" i="110"/>
  <c r="C194" i="110"/>
  <c r="C195" i="110"/>
  <c r="C199" i="110"/>
  <c r="C200" i="110"/>
  <c r="C202" i="110"/>
  <c r="C203" i="110"/>
  <c r="I17" i="9"/>
  <c r="I19" i="9"/>
  <c r="I21" i="9"/>
  <c r="I25" i="9"/>
  <c r="I27" i="9"/>
  <c r="I31" i="9"/>
  <c r="I35" i="9"/>
  <c r="I37" i="9"/>
  <c r="O106" i="9"/>
  <c r="Q106" i="9"/>
  <c r="Q112" i="9"/>
  <c r="I20" i="170"/>
  <c r="I22" i="170"/>
  <c r="I26" i="170"/>
  <c r="I28" i="170"/>
  <c r="I36" i="170"/>
  <c r="I40" i="170"/>
  <c r="K17" i="12"/>
  <c r="O17" i="12"/>
  <c r="K41" i="12"/>
  <c r="O41" i="12"/>
  <c r="U114" i="12"/>
  <c r="Y114" i="12"/>
  <c r="U136" i="12"/>
  <c r="Y136" i="12"/>
  <c r="E17" i="18"/>
  <c r="I17" i="18"/>
  <c r="E18" i="18"/>
  <c r="E20" i="18"/>
  <c r="I20" i="18"/>
  <c r="E21" i="18"/>
  <c r="I21" i="18"/>
  <c r="E23" i="18"/>
  <c r="I23" i="18"/>
  <c r="E25" i="18"/>
  <c r="I25" i="18"/>
  <c r="E26" i="18"/>
  <c r="I26" i="18"/>
  <c r="E28" i="18"/>
  <c r="I28" i="18"/>
  <c r="E30" i="18"/>
  <c r="I30" i="18"/>
  <c r="E32" i="18"/>
  <c r="I32" i="18"/>
  <c r="E33" i="18"/>
  <c r="I33" i="18"/>
  <c r="E35" i="18"/>
  <c r="I35" i="18"/>
  <c r="E36" i="18"/>
  <c r="I36" i="18"/>
  <c r="F17" i="19"/>
  <c r="H17" i="19"/>
  <c r="N17" i="19"/>
  <c r="P17" i="19"/>
  <c r="F19" i="19"/>
  <c r="H19" i="19"/>
  <c r="N19" i="19"/>
  <c r="P19" i="19"/>
  <c r="F20" i="19"/>
  <c r="H20" i="19"/>
  <c r="N20" i="19"/>
  <c r="P20" i="19"/>
  <c r="F25" i="19"/>
  <c r="H25" i="19"/>
  <c r="N25" i="19"/>
  <c r="P25" i="19"/>
  <c r="F26" i="19"/>
  <c r="H26" i="19"/>
  <c r="N26" i="19"/>
  <c r="P26" i="19"/>
  <c r="F27" i="19"/>
  <c r="H27" i="19"/>
  <c r="N27" i="19"/>
  <c r="P27" i="19"/>
  <c r="F29" i="19"/>
  <c r="H29" i="19"/>
  <c r="N29" i="19"/>
  <c r="P29" i="19"/>
  <c r="F30" i="19"/>
  <c r="H30" i="19"/>
  <c r="N30" i="19"/>
  <c r="P30" i="19"/>
  <c r="F31" i="19"/>
  <c r="H31" i="19"/>
  <c r="N31" i="19"/>
  <c r="P31" i="19"/>
  <c r="F32" i="19"/>
  <c r="H32" i="19"/>
  <c r="J32" i="19"/>
  <c r="N32" i="19"/>
  <c r="P32" i="19"/>
  <c r="F33" i="19"/>
  <c r="H33" i="19"/>
  <c r="N33" i="19"/>
  <c r="P33" i="19"/>
  <c r="F34" i="19"/>
  <c r="H34" i="19"/>
  <c r="N34" i="19"/>
  <c r="P34" i="19"/>
  <c r="F35" i="19"/>
  <c r="H35" i="19"/>
  <c r="N35" i="19"/>
  <c r="P35" i="19"/>
  <c r="F37" i="19"/>
  <c r="H37" i="19"/>
  <c r="J37" i="19"/>
  <c r="N37" i="19"/>
  <c r="P37" i="19"/>
  <c r="F39" i="19"/>
  <c r="H39" i="19"/>
  <c r="J39" i="19"/>
  <c r="N39" i="19"/>
  <c r="P39" i="19"/>
  <c r="F47" i="19"/>
  <c r="H47" i="19"/>
  <c r="J47" i="19"/>
  <c r="N47" i="19"/>
  <c r="P47" i="19"/>
  <c r="F48" i="19"/>
  <c r="H48" i="19"/>
  <c r="J48" i="19"/>
  <c r="N48" i="19"/>
  <c r="P48" i="19"/>
  <c r="F49" i="19"/>
  <c r="H49" i="19"/>
  <c r="J49" i="19"/>
  <c r="N49" i="19"/>
  <c r="P49" i="19"/>
  <c r="F52" i="19"/>
  <c r="H52" i="19"/>
  <c r="J52" i="19"/>
  <c r="N52" i="19"/>
  <c r="P52" i="19"/>
  <c r="F53" i="19"/>
  <c r="H53" i="19"/>
  <c r="J53" i="19"/>
  <c r="N53" i="19"/>
  <c r="P53" i="19"/>
  <c r="F55" i="19"/>
  <c r="H55" i="19"/>
  <c r="J55" i="19"/>
  <c r="N55" i="19"/>
  <c r="P55" i="19"/>
  <c r="F57" i="19"/>
  <c r="H57" i="19"/>
  <c r="J57" i="19"/>
  <c r="N57" i="19"/>
  <c r="P57" i="19"/>
  <c r="F59" i="19"/>
  <c r="H59" i="19"/>
  <c r="J59" i="19"/>
  <c r="N59" i="19"/>
  <c r="P59" i="19"/>
  <c r="G21" i="22" a="1"/>
  <c r="G21" i="22"/>
  <c r="J21" i="22"/>
  <c r="G24" i="22" a="1"/>
  <c r="G24" i="22"/>
  <c r="J24" i="22"/>
  <c r="G25" i="22" a="1"/>
  <c r="G25" i="22"/>
  <c r="J25" i="22"/>
  <c r="G27" i="22"/>
  <c r="J27" i="22"/>
  <c r="G29" i="22" a="1"/>
  <c r="G29" i="22"/>
  <c r="J29" i="22"/>
  <c r="G32" i="22" a="1"/>
  <c r="G32" i="22"/>
  <c r="J32" i="22"/>
  <c r="G45" i="22"/>
  <c r="J45" i="22"/>
  <c r="G47" i="22"/>
  <c r="J47" i="22"/>
  <c r="G71" i="22" a="1"/>
  <c r="G71" i="22"/>
  <c r="J71" i="22"/>
  <c r="G72" i="22" a="1"/>
  <c r="G72" i="22"/>
  <c r="J72" i="22"/>
  <c r="G74" i="22" a="1"/>
  <c r="G74" i="22"/>
  <c r="J74" i="22"/>
  <c r="G80" i="22" a="1"/>
  <c r="G80" i="22"/>
  <c r="J80" i="22"/>
  <c r="G81" i="22"/>
  <c r="J81" i="22"/>
  <c r="G84" i="22" a="1"/>
  <c r="G84" i="22"/>
  <c r="J84" i="22"/>
  <c r="G87" i="22" a="1"/>
  <c r="G87" i="22"/>
  <c r="J87" i="22"/>
  <c r="G89" i="22" a="1"/>
  <c r="G89" i="22"/>
  <c r="J89" i="22"/>
  <c r="G90" i="22" a="1"/>
  <c r="G90" i="22"/>
  <c r="J90" i="22"/>
  <c r="G92" i="22"/>
  <c r="J92" i="22"/>
  <c r="G93" i="22"/>
  <c r="J93" i="22"/>
  <c r="G98" i="22" a="1"/>
  <c r="G98" i="22"/>
  <c r="J98" i="22"/>
  <c r="G100" i="22" a="1"/>
  <c r="G100" i="22"/>
  <c r="J100" i="22"/>
  <c r="G101" i="22" a="1"/>
  <c r="G101" i="22"/>
  <c r="J101" i="22"/>
  <c r="G102" i="22"/>
  <c r="J102" i="22"/>
  <c r="G108" i="22" a="1"/>
  <c r="G108" i="22"/>
  <c r="J108" i="22"/>
  <c r="G109" i="22"/>
  <c r="J109" i="22"/>
  <c r="G110" i="22"/>
  <c r="J110" i="22"/>
  <c r="G117" i="22" a="1"/>
  <c r="G117" i="22"/>
  <c r="J117" i="22"/>
  <c r="G118" i="22" a="1"/>
  <c r="G118" i="22"/>
  <c r="J118" i="22"/>
  <c r="G119" i="22" a="1"/>
  <c r="G119" i="22"/>
  <c r="J119" i="22"/>
  <c r="G121" i="22"/>
  <c r="J121" i="22"/>
  <c r="G123" i="22"/>
  <c r="J123" i="22"/>
  <c r="G143" i="22" a="1"/>
  <c r="G143" i="22"/>
  <c r="J143" i="22"/>
  <c r="G144" i="22" a="1"/>
  <c r="G144" i="22"/>
  <c r="J144" i="22"/>
  <c r="G147" i="22" a="1"/>
  <c r="G147" i="22"/>
  <c r="J147" i="22"/>
  <c r="G148" i="22" a="1"/>
  <c r="G148" i="22"/>
  <c r="J148" i="22"/>
  <c r="G149" i="22" a="1"/>
  <c r="G149" i="22"/>
  <c r="J149" i="22"/>
  <c r="G151" i="22" a="1"/>
  <c r="G151" i="22"/>
  <c r="J151" i="22"/>
  <c r="G152" i="22" a="1"/>
  <c r="G152" i="22"/>
  <c r="J152" i="22"/>
  <c r="G153" i="22"/>
  <c r="J153" i="22"/>
  <c r="G157" i="22" a="1"/>
  <c r="G157" i="22"/>
  <c r="J157" i="22"/>
  <c r="G158" i="22" a="1"/>
  <c r="G158" i="22"/>
  <c r="J158" i="22"/>
  <c r="G159" i="22" a="1"/>
  <c r="G159" i="22"/>
  <c r="J159" i="22"/>
  <c r="G160" i="22" a="1"/>
  <c r="G160" i="22"/>
  <c r="J160" i="22"/>
  <c r="G161" i="22" a="1"/>
  <c r="G161" i="22"/>
  <c r="J161" i="22"/>
  <c r="G162" i="22" a="1"/>
  <c r="G162" i="22"/>
  <c r="J162" i="22"/>
  <c r="G163" i="22"/>
  <c r="J163" i="22"/>
  <c r="G164" i="22"/>
  <c r="J164" i="22"/>
  <c r="G169" i="22" a="1"/>
  <c r="G169" i="22"/>
  <c r="J169" i="22"/>
  <c r="G170" i="22"/>
  <c r="J170" i="22"/>
  <c r="G175" i="22" a="1"/>
  <c r="G175" i="22"/>
  <c r="J175" i="22"/>
  <c r="G176" i="22" a="1"/>
  <c r="G176" i="22"/>
  <c r="J176" i="22"/>
  <c r="G177" i="22" a="1"/>
  <c r="G177" i="22"/>
  <c r="J177" i="22"/>
  <c r="G178" i="22" a="1"/>
  <c r="G178" i="22"/>
  <c r="J178" i="22"/>
  <c r="G179" i="22" a="1"/>
  <c r="G179" i="22"/>
  <c r="J179" i="22"/>
  <c r="G180" i="22" a="1"/>
  <c r="G180" i="22"/>
  <c r="J180" i="22"/>
  <c r="G181" i="22" a="1"/>
  <c r="G181" i="22"/>
  <c r="J181" i="22"/>
  <c r="G182" i="22" a="1"/>
  <c r="G182" i="22"/>
  <c r="J182" i="22"/>
  <c r="G183" i="22" a="1"/>
  <c r="G183" i="22"/>
  <c r="J183" i="22"/>
  <c r="G184" i="22" a="1"/>
  <c r="G184" i="22"/>
  <c r="J184" i="22"/>
  <c r="G185" i="22"/>
  <c r="J185" i="22"/>
  <c r="G189" i="22" a="1"/>
  <c r="G189" i="22"/>
  <c r="J189" i="22"/>
  <c r="G190" i="22" a="1"/>
  <c r="G190" i="22"/>
  <c r="J190" i="22"/>
  <c r="G191" i="22" a="1"/>
  <c r="G191" i="22"/>
  <c r="J191" i="22"/>
  <c r="G192" i="22" a="1"/>
  <c r="G192" i="22"/>
  <c r="J192" i="22"/>
  <c r="G193" i="22" a="1"/>
  <c r="G193" i="22"/>
  <c r="J193" i="22"/>
  <c r="G194" i="22" a="1"/>
  <c r="G194" i="22"/>
  <c r="J194" i="22"/>
  <c r="G195" i="22" a="1"/>
  <c r="G195" i="22"/>
  <c r="J195" i="22"/>
  <c r="G196" i="22" a="1"/>
  <c r="G196" i="22"/>
  <c r="J196" i="22"/>
  <c r="G197" i="22" a="1"/>
  <c r="G197" i="22"/>
  <c r="J197" i="22"/>
  <c r="G198" i="22"/>
  <c r="J198" i="22"/>
  <c r="G199" i="22"/>
  <c r="J199" i="22"/>
  <c r="G219" i="22" a="1"/>
  <c r="G219" i="22"/>
  <c r="J219" i="22"/>
  <c r="G220" i="22" a="1"/>
  <c r="G220" i="22"/>
  <c r="J220" i="22"/>
  <c r="G221" i="22" a="1"/>
  <c r="G221" i="22"/>
  <c r="J221" i="22"/>
  <c r="G223" i="22" a="1"/>
  <c r="G223" i="22"/>
  <c r="J223" i="22"/>
  <c r="G224" i="22" a="1"/>
  <c r="G224" i="22"/>
  <c r="J224" i="22"/>
  <c r="G225" i="22" a="1"/>
  <c r="G225" i="22"/>
  <c r="J225" i="22"/>
  <c r="G226" i="22" a="1"/>
  <c r="G226" i="22"/>
  <c r="J226" i="22"/>
  <c r="G227" i="22"/>
  <c r="J227" i="22"/>
  <c r="G232" i="22" a="1"/>
  <c r="G232" i="22"/>
  <c r="J232" i="22"/>
  <c r="G233" i="22" a="1"/>
  <c r="G233" i="22"/>
  <c r="J233" i="22"/>
  <c r="G234" i="22" a="1"/>
  <c r="G234" i="22"/>
  <c r="J234" i="22"/>
  <c r="G236" i="22"/>
  <c r="J236" i="22"/>
  <c r="G241" i="22" a="1"/>
  <c r="G241" i="22"/>
  <c r="J241" i="22"/>
  <c r="G242" i="22" a="1"/>
  <c r="G242" i="22"/>
  <c r="J242" i="22"/>
  <c r="G243" i="22" a="1"/>
  <c r="G243" i="22"/>
  <c r="J243" i="22"/>
  <c r="G244" i="22"/>
  <c r="J244" i="22"/>
  <c r="G264" i="22" a="1"/>
  <c r="G264" i="22"/>
  <c r="J264" i="22"/>
  <c r="G265" i="22" a="1"/>
  <c r="G265" i="22"/>
  <c r="J265" i="22"/>
  <c r="G266" i="22" a="1"/>
  <c r="G266" i="22"/>
  <c r="J266" i="22"/>
  <c r="G267" i="22" a="1"/>
  <c r="G267" i="22"/>
  <c r="J267" i="22"/>
  <c r="G268" i="22" a="1"/>
  <c r="G268" i="22"/>
  <c r="J268" i="22"/>
  <c r="G269" i="22" a="1"/>
  <c r="G269" i="22"/>
  <c r="J269" i="22"/>
  <c r="G270" i="22" a="1"/>
  <c r="G270" i="22"/>
  <c r="J270" i="22"/>
  <c r="G271" i="22" a="1"/>
  <c r="G271" i="22"/>
  <c r="J271" i="22"/>
  <c r="G272" i="22" a="1"/>
  <c r="G272" i="22"/>
  <c r="J272" i="22"/>
  <c r="G282" i="22" a="1"/>
  <c r="G282" i="22"/>
  <c r="J282" i="22"/>
  <c r="G283" i="22"/>
  <c r="J283" i="22"/>
  <c r="G286" i="22" a="1"/>
  <c r="G286" i="22"/>
  <c r="J286" i="22"/>
  <c r="G287" i="22"/>
  <c r="J287" i="22"/>
  <c r="G288" i="22"/>
  <c r="J288" i="22"/>
  <c r="G291" i="22" a="1"/>
  <c r="G291" i="22"/>
  <c r="J291" i="22"/>
  <c r="G352" i="22"/>
  <c r="J352" i="22"/>
  <c r="G355" i="22"/>
  <c r="J355" i="22"/>
  <c r="G358" i="22"/>
  <c r="J358" i="22"/>
  <c r="G362" i="22"/>
  <c r="J362" i="22"/>
  <c r="G365" i="22"/>
  <c r="J365" i="22"/>
  <c r="G366" i="22"/>
  <c r="J366" i="22"/>
  <c r="G369" i="22"/>
  <c r="J369" i="22"/>
  <c r="G373" i="22"/>
  <c r="J373" i="22"/>
  <c r="G374" i="22"/>
  <c r="J374" i="22"/>
  <c r="G375" i="22"/>
  <c r="J375" i="22"/>
  <c r="E18" i="24"/>
  <c r="G18" i="24"/>
  <c r="E20" i="24"/>
  <c r="G20" i="24"/>
  <c r="E21" i="24"/>
  <c r="G21" i="24"/>
  <c r="E26" i="24"/>
  <c r="I26" i="24"/>
  <c r="E27" i="24"/>
  <c r="K27" i="24"/>
  <c r="E28" i="24"/>
  <c r="I28" i="24"/>
  <c r="K28" i="24"/>
  <c r="E30" i="24"/>
  <c r="O30" i="24"/>
  <c r="E31" i="24"/>
  <c r="E32" i="24"/>
  <c r="E33" i="24"/>
  <c r="E34" i="24"/>
  <c r="E35" i="24"/>
  <c r="E36" i="24"/>
  <c r="E38" i="24"/>
  <c r="I38" i="24"/>
  <c r="K38" i="24"/>
  <c r="O38" i="24"/>
  <c r="E40" i="24"/>
  <c r="E48" i="24"/>
  <c r="G48" i="24"/>
  <c r="I48" i="24"/>
  <c r="K48" i="24"/>
  <c r="O48" i="24"/>
  <c r="E49" i="24"/>
  <c r="E50" i="24"/>
  <c r="G50" i="24"/>
  <c r="I50" i="24"/>
  <c r="K50" i="24"/>
  <c r="O50" i="24"/>
  <c r="E53" i="24"/>
  <c r="G53" i="24"/>
  <c r="I53" i="24"/>
  <c r="K53" i="24"/>
  <c r="O53" i="24"/>
  <c r="E54" i="24"/>
  <c r="E56" i="24"/>
  <c r="G56" i="24"/>
  <c r="I56" i="24"/>
  <c r="K56" i="24"/>
  <c r="O56" i="24"/>
  <c r="E58" i="24"/>
  <c r="G58" i="24"/>
  <c r="I58" i="24"/>
  <c r="K58" i="24"/>
  <c r="O58" i="24"/>
  <c r="E60" i="24"/>
  <c r="G60" i="24"/>
  <c r="I60" i="24"/>
  <c r="K60" i="24"/>
  <c r="O60" i="24"/>
  <c r="E61" i="24"/>
  <c r="G61" i="24"/>
  <c r="I61" i="24"/>
  <c r="K61" i="24"/>
  <c r="O61" i="24"/>
  <c r="E93" i="24"/>
  <c r="G94" i="24"/>
  <c r="I95" i="24"/>
  <c r="K96" i="24"/>
  <c r="M97" i="24"/>
  <c r="O98" i="24"/>
  <c r="E100" i="24"/>
  <c r="G100" i="24"/>
  <c r="I100" i="24"/>
  <c r="K100" i="24"/>
  <c r="M100" i="24"/>
  <c r="O100" i="24"/>
  <c r="E110" i="24"/>
  <c r="G110" i="24"/>
  <c r="I110" i="24"/>
  <c r="K110" i="24"/>
  <c r="M110" i="24"/>
  <c r="O110" i="24"/>
  <c r="E112" i="24"/>
  <c r="G112" i="24"/>
  <c r="I112" i="24"/>
  <c r="K112" i="24"/>
  <c r="M112" i="24"/>
  <c r="O112" i="24"/>
  <c r="E115" i="24"/>
  <c r="G115" i="24"/>
  <c r="I115" i="24"/>
  <c r="K115" i="24"/>
  <c r="M115" i="24"/>
  <c r="O115" i="24"/>
  <c r="E118" i="24"/>
  <c r="G118" i="24"/>
  <c r="I118" i="24"/>
  <c r="K118" i="24"/>
  <c r="M118" i="24"/>
  <c r="O118" i="24"/>
  <c r="E120" i="24"/>
  <c r="G120" i="24"/>
  <c r="I120" i="24"/>
  <c r="K120" i="24"/>
  <c r="M120" i="24"/>
  <c r="O120" i="24"/>
  <c r="E122" i="24"/>
  <c r="G122" i="24"/>
  <c r="I122" i="24"/>
  <c r="K122" i="24"/>
  <c r="M122" i="24"/>
  <c r="O122" i="24"/>
  <c r="E123" i="24"/>
  <c r="G123" i="24"/>
  <c r="I123" i="24"/>
  <c r="K123" i="24"/>
  <c r="M123" i="24"/>
  <c r="O123" i="24"/>
  <c r="G164" i="24"/>
  <c r="G172" i="24"/>
  <c r="K172" i="24"/>
  <c r="K173" i="24"/>
  <c r="G174" i="24"/>
  <c r="K174" i="24"/>
  <c r="G177" i="24"/>
  <c r="K177" i="24"/>
  <c r="K178" i="24"/>
  <c r="G180" i="24"/>
  <c r="K180" i="24"/>
  <c r="G182" i="24"/>
  <c r="K182" i="24"/>
  <c r="G184" i="24"/>
  <c r="K184" i="24"/>
  <c r="G185" i="24"/>
  <c r="K185" i="24"/>
  <c r="U219" i="24"/>
  <c r="U224" i="24"/>
  <c r="U226" i="24"/>
  <c r="U234" i="24"/>
  <c r="AC234" i="24"/>
  <c r="U235" i="24"/>
  <c r="U236" i="24"/>
  <c r="AC236" i="24"/>
  <c r="U239" i="24"/>
  <c r="AC239" i="24"/>
  <c r="U240" i="24"/>
  <c r="U242" i="24"/>
  <c r="AC242" i="24"/>
  <c r="U244" i="24"/>
  <c r="AC244" i="24"/>
  <c r="U246" i="24"/>
  <c r="AC246" i="24"/>
  <c r="U247" i="24"/>
  <c r="AC247" i="24"/>
  <c r="AA288" i="24"/>
  <c r="AA297" i="24"/>
  <c r="AA298" i="24"/>
  <c r="AA302" i="24"/>
  <c r="AA304" i="24"/>
  <c r="AA306" i="24"/>
  <c r="AA308" i="24"/>
  <c r="AA309" i="24"/>
  <c r="AE343" i="24"/>
  <c r="AE348" i="24"/>
  <c r="AE358" i="24"/>
  <c r="AE360" i="24"/>
  <c r="AE363" i="24"/>
  <c r="AE366" i="24"/>
  <c r="AE368" i="24"/>
  <c r="AE370" i="24"/>
  <c r="AE371" i="24"/>
  <c r="AK495" i="24"/>
  <c r="AK517" i="24"/>
  <c r="AM517" i="24"/>
  <c r="AK519" i="24"/>
  <c r="AM519" i="24"/>
  <c r="AK520" i="24"/>
  <c r="AM520" i="24"/>
  <c r="AK525" i="24"/>
  <c r="AM525" i="24"/>
  <c r="AK526" i="24"/>
  <c r="AM526" i="24"/>
  <c r="AK527" i="24"/>
  <c r="AM527" i="24"/>
  <c r="AK529" i="24"/>
  <c r="AM529" i="24"/>
  <c r="AK530" i="24"/>
  <c r="AM530" i="24"/>
  <c r="AK531" i="24"/>
  <c r="AM531" i="24"/>
  <c r="AK532" i="24"/>
  <c r="AM532" i="24"/>
  <c r="AO532" i="24"/>
  <c r="AK533" i="24"/>
  <c r="AM533" i="24"/>
  <c r="AK534" i="24"/>
  <c r="AM534" i="24"/>
  <c r="AK535" i="24"/>
  <c r="AM535" i="24"/>
  <c r="AK537" i="24"/>
  <c r="AM537" i="24"/>
  <c r="AO537" i="24"/>
  <c r="AK539" i="24"/>
  <c r="AM539" i="24"/>
  <c r="AO539" i="24"/>
  <c r="AQ546" i="24"/>
  <c r="AR546" i="24"/>
  <c r="AS546" i="24"/>
  <c r="AK547" i="24"/>
  <c r="AM547" i="24"/>
  <c r="AO547" i="24"/>
  <c r="AQ547" i="24"/>
  <c r="AR547" i="24"/>
  <c r="AS547" i="24"/>
  <c r="AK548" i="24"/>
  <c r="AM548" i="24"/>
  <c r="AO548" i="24"/>
  <c r="AQ548" i="24"/>
  <c r="AR548" i="24"/>
  <c r="AS548" i="24"/>
  <c r="AK549" i="24"/>
  <c r="AM549" i="24"/>
  <c r="AO549" i="24"/>
  <c r="AK552" i="24"/>
  <c r="AM552" i="24"/>
  <c r="AO552" i="24"/>
  <c r="AQ552" i="24"/>
  <c r="AR552" i="24"/>
  <c r="AS552" i="24"/>
  <c r="AK553" i="24"/>
  <c r="AM553" i="24"/>
  <c r="AO553" i="24"/>
  <c r="AQ553" i="24"/>
  <c r="AR553" i="24"/>
  <c r="AS553" i="24"/>
  <c r="AQ554" i="24"/>
  <c r="AR554" i="24"/>
  <c r="AS554" i="24"/>
  <c r="AK555" i="24"/>
  <c r="AM555" i="24"/>
  <c r="AO555" i="24"/>
  <c r="AK557" i="24"/>
  <c r="AM557" i="24"/>
  <c r="AO557" i="24"/>
  <c r="AQ558" i="24"/>
  <c r="AK559" i="24"/>
  <c r="AM559" i="24"/>
  <c r="AO559" i="24"/>
  <c r="J22" i="25"/>
  <c r="J26" i="25"/>
  <c r="J28" i="25"/>
  <c r="J32" i="25"/>
  <c r="R51" i="25"/>
  <c r="T51" i="25"/>
  <c r="R55" i="25"/>
  <c r="T55" i="25"/>
  <c r="R57" i="25"/>
  <c r="T57" i="25"/>
  <c r="J23" i="32"/>
  <c r="J29" i="32"/>
  <c r="R53" i="32"/>
  <c r="T53" i="32"/>
  <c r="J23" i="33"/>
  <c r="J29" i="33"/>
  <c r="R53" i="33"/>
  <c r="T53" i="33"/>
  <c r="J23" i="34"/>
  <c r="J29" i="34"/>
  <c r="R53" i="34"/>
  <c r="T53" i="34"/>
  <c r="J22" i="108"/>
  <c r="J23" i="108"/>
  <c r="J26" i="108"/>
  <c r="J27" i="108"/>
  <c r="J30" i="108"/>
  <c r="J36" i="108"/>
  <c r="P62" i="108"/>
  <c r="R62" i="108"/>
  <c r="T62" i="108"/>
  <c r="P63" i="108"/>
  <c r="R63" i="108"/>
  <c r="T63" i="108"/>
  <c r="P66" i="108"/>
  <c r="R66" i="108"/>
  <c r="T66" i="108"/>
  <c r="P67" i="108"/>
  <c r="R67" i="108"/>
  <c r="T67" i="108"/>
  <c r="P70" i="108"/>
  <c r="R70" i="108"/>
  <c r="T70" i="108"/>
  <c r="P71" i="108"/>
  <c r="R71" i="108"/>
  <c r="T71" i="108"/>
  <c r="J22" i="115"/>
  <c r="J28" i="115"/>
  <c r="T55" i="115"/>
  <c r="T61" i="115"/>
  <c r="Y83" i="115"/>
  <c r="AC83" i="115"/>
  <c r="AE83" i="115"/>
  <c r="AC88" i="115"/>
  <c r="AE88" i="115"/>
  <c r="AE90" i="115"/>
  <c r="Y94" i="115"/>
  <c r="AE94" i="115"/>
  <c r="AE96" i="115"/>
  <c r="AE98" i="115"/>
  <c r="J22" i="26"/>
  <c r="J27" i="26"/>
  <c r="R51" i="26"/>
  <c r="T51" i="26"/>
  <c r="J21" i="111"/>
  <c r="J27" i="111"/>
  <c r="Q48" i="111"/>
  <c r="Q51" i="111"/>
  <c r="J23" i="27"/>
  <c r="J29" i="27"/>
  <c r="R53" i="27"/>
  <c r="T53" i="27"/>
  <c r="I20" i="142"/>
  <c r="I24" i="142"/>
  <c r="Q45" i="142"/>
  <c r="Q51" i="142"/>
  <c r="Q55" i="142"/>
  <c r="S55" i="142"/>
  <c r="T55" i="142"/>
  <c r="U55" i="142"/>
  <c r="Q57" i="142" a="1"/>
  <c r="Q57" i="142"/>
  <c r="S57" i="142"/>
  <c r="T57" i="142"/>
  <c r="U57" i="142"/>
  <c r="V57" i="142"/>
  <c r="Q59" i="142" a="1"/>
  <c r="Q59" i="142"/>
  <c r="S59" i="142"/>
  <c r="T59" i="142"/>
  <c r="U59" i="142"/>
  <c r="V59" i="142"/>
  <c r="Q61" i="142"/>
  <c r="S61" i="142"/>
  <c r="T61" i="142"/>
  <c r="U61" i="142"/>
  <c r="V61" i="142"/>
  <c r="J23" i="107"/>
  <c r="J29" i="107"/>
  <c r="R53" i="107"/>
  <c r="T53" i="107"/>
  <c r="J23" i="151"/>
  <c r="J29" i="151"/>
  <c r="R53" i="151"/>
  <c r="T53" i="151"/>
  <c r="J23" i="29"/>
  <c r="J29" i="29"/>
  <c r="R53" i="29"/>
  <c r="T53" i="29"/>
  <c r="J23" i="30"/>
  <c r="J29" i="30"/>
  <c r="R53" i="30"/>
  <c r="T53" i="30"/>
  <c r="J23" i="31"/>
  <c r="J29" i="31"/>
  <c r="R53" i="31"/>
  <c r="T53" i="31"/>
  <c r="I19" i="46"/>
  <c r="K19" i="46"/>
  <c r="L19" i="46"/>
  <c r="M19" i="46"/>
  <c r="Q19" i="46"/>
  <c r="L22" i="46"/>
  <c r="M22" i="46"/>
  <c r="Q22" i="46"/>
  <c r="L23" i="46"/>
  <c r="M23" i="46"/>
  <c r="Q23" i="46"/>
  <c r="I28" i="46"/>
  <c r="K28" i="46"/>
  <c r="L28" i="46"/>
  <c r="M28" i="46"/>
  <c r="Q28" i="46"/>
  <c r="I29" i="46"/>
  <c r="K29" i="46"/>
  <c r="L29" i="46"/>
  <c r="M29" i="46"/>
  <c r="Q29" i="46"/>
  <c r="I35" i="46"/>
  <c r="K35" i="46"/>
  <c r="L35" i="46"/>
  <c r="M35" i="46"/>
  <c r="Q35" i="46"/>
  <c r="I57" i="46"/>
  <c r="K57" i="46"/>
  <c r="L57" i="46"/>
  <c r="M57" i="46"/>
  <c r="Q57" i="46"/>
  <c r="I59" i="46"/>
  <c r="K59" i="46"/>
  <c r="L59" i="46"/>
  <c r="M59" i="46"/>
  <c r="Q59" i="46"/>
  <c r="I62" i="46"/>
  <c r="K62" i="46"/>
  <c r="L62" i="46"/>
  <c r="M62" i="46"/>
  <c r="Q62" i="46"/>
  <c r="I68" i="46"/>
  <c r="K68" i="46"/>
  <c r="L68" i="46"/>
  <c r="M68" i="46"/>
  <c r="Q68" i="46"/>
  <c r="I72" i="46"/>
  <c r="K72" i="46"/>
  <c r="L72" i="46"/>
  <c r="M72" i="46"/>
  <c r="Q72" i="46"/>
  <c r="I74" i="46"/>
  <c r="K74" i="46"/>
  <c r="L74" i="46"/>
  <c r="M74" i="46"/>
  <c r="Q74" i="46"/>
  <c r="I76" i="46"/>
  <c r="K76" i="46"/>
  <c r="L76" i="46"/>
  <c r="M76" i="46"/>
  <c r="Q76" i="46"/>
  <c r="I78" i="46"/>
  <c r="K78" i="46"/>
  <c r="L78" i="46"/>
  <c r="M78" i="46"/>
  <c r="Q78" i="46"/>
  <c r="K82" i="46"/>
  <c r="L82" i="46"/>
  <c r="M82" i="46"/>
  <c r="Q82" i="46"/>
  <c r="I102" i="46"/>
  <c r="K102" i="46"/>
  <c r="L102" i="46"/>
  <c r="M102" i="46"/>
  <c r="Q102" i="46"/>
  <c r="I104" i="46"/>
  <c r="K104" i="46"/>
  <c r="L104" i="46"/>
  <c r="M104" i="46"/>
  <c r="Q104" i="46"/>
  <c r="I107" i="46"/>
  <c r="K107" i="46"/>
  <c r="L107" i="46"/>
  <c r="M107" i="46"/>
  <c r="Q107" i="46"/>
  <c r="I109" i="46"/>
  <c r="K109" i="46"/>
  <c r="L109" i="46"/>
  <c r="M109" i="46"/>
  <c r="Q109" i="46"/>
  <c r="I113" i="46"/>
  <c r="K113" i="46"/>
  <c r="L113" i="46"/>
  <c r="M113" i="46"/>
  <c r="Q113" i="46"/>
  <c r="I115" i="46"/>
  <c r="K115" i="46"/>
  <c r="L115" i="46"/>
  <c r="M115" i="46"/>
  <c r="Q115" i="46"/>
  <c r="I116" i="46"/>
  <c r="K116" i="46"/>
  <c r="L116" i="46"/>
  <c r="M116" i="46"/>
  <c r="Q116" i="46"/>
  <c r="I118" i="46"/>
  <c r="K118" i="46"/>
  <c r="L118" i="46"/>
  <c r="M118" i="46"/>
  <c r="Q118" i="46"/>
  <c r="I121" i="46"/>
  <c r="K121" i="46"/>
  <c r="L121" i="46"/>
  <c r="M121" i="46"/>
  <c r="Q121" i="46"/>
  <c r="I123" i="46"/>
  <c r="K123" i="46"/>
  <c r="L123" i="46"/>
  <c r="M123" i="46"/>
  <c r="Q123" i="46"/>
  <c r="I126" i="46"/>
  <c r="K126" i="46"/>
  <c r="L126" i="46"/>
  <c r="M126" i="46"/>
  <c r="Q126" i="46"/>
  <c r="I130" i="46"/>
  <c r="K130" i="46"/>
  <c r="L130" i="46"/>
  <c r="M130" i="46"/>
  <c r="Q130" i="46"/>
  <c r="K135" i="46"/>
  <c r="L135" i="46"/>
  <c r="M135" i="46"/>
  <c r="Q135" i="46"/>
  <c r="K137" i="46"/>
  <c r="L137" i="46"/>
  <c r="M137" i="46"/>
  <c r="Q137" i="46"/>
  <c r="K139" i="46"/>
  <c r="L139" i="46"/>
  <c r="M139" i="46"/>
  <c r="Q139" i="46"/>
  <c r="K141" i="46"/>
  <c r="L141" i="46"/>
  <c r="M141" i="46"/>
  <c r="Q141" i="46"/>
  <c r="K143" i="46"/>
  <c r="L143" i="46"/>
  <c r="M143" i="46"/>
  <c r="Q143" i="46"/>
  <c r="K145" i="46"/>
  <c r="L145" i="46"/>
  <c r="M145" i="46"/>
  <c r="Q145" i="46"/>
  <c r="X149" i="46"/>
  <c r="X151" i="46"/>
  <c r="X156" i="46"/>
  <c r="X159" i="46"/>
  <c r="X161" i="46"/>
  <c r="X166" i="46"/>
  <c r="X170" i="46"/>
  <c r="X172" i="46"/>
  <c r="X175" i="46"/>
  <c r="X176" i="46"/>
  <c r="X177" i="46"/>
  <c r="X178" i="46"/>
  <c r="X180" i="46"/>
  <c r="X182" i="46"/>
  <c r="X184" i="46"/>
  <c r="O18" i="53"/>
  <c r="Q18" i="53" a="1"/>
  <c r="Q18" i="53"/>
  <c r="S18" i="53"/>
  <c r="O19" i="53"/>
  <c r="Q19" i="53" a="1"/>
  <c r="Q19" i="53"/>
  <c r="S19" i="53"/>
  <c r="O20" i="53"/>
  <c r="Q20" i="53" a="1"/>
  <c r="Q20" i="53"/>
  <c r="S20" i="53"/>
  <c r="O21" i="53"/>
  <c r="Q21" i="53"/>
  <c r="S21" i="53"/>
  <c r="O24" i="53"/>
  <c r="Q24" i="53" a="1"/>
  <c r="Q24" i="53"/>
  <c r="S24" i="53"/>
  <c r="O25" i="53"/>
  <c r="Q25" i="53" a="1"/>
  <c r="Q25" i="53"/>
  <c r="S25" i="53"/>
  <c r="Q26" i="53" a="1"/>
  <c r="Q26" i="53"/>
  <c r="S26" i="53"/>
  <c r="Q27" i="53"/>
  <c r="S27" i="53"/>
  <c r="O176" i="55"/>
  <c r="F29" i="58" a="1"/>
  <c r="F29" i="58"/>
  <c r="H29" i="58"/>
  <c r="L29" i="58"/>
  <c r="F31" i="58"/>
  <c r="H31" i="58"/>
  <c r="L31" i="58"/>
  <c r="G16" i="62"/>
  <c r="H16" i="62"/>
  <c r="G20" i="62" a="1"/>
  <c r="G20" i="62"/>
  <c r="H20" i="62"/>
  <c r="G21" i="62"/>
  <c r="H21" i="62"/>
  <c r="G22" i="62"/>
  <c r="H22" i="62"/>
  <c r="G23" i="62"/>
  <c r="H23" i="62"/>
  <c r="G24" i="62"/>
  <c r="H24" i="62"/>
  <c r="G25" i="62"/>
  <c r="H25" i="62"/>
  <c r="G26" i="62"/>
  <c r="H26" i="62"/>
  <c r="G27" i="62"/>
  <c r="H27" i="62"/>
  <c r="G28" i="62"/>
  <c r="H28" i="62"/>
  <c r="G30" i="62"/>
  <c r="H30" i="62"/>
  <c r="G31" i="62" a="1"/>
  <c r="G31" i="62"/>
  <c r="H31" i="62"/>
  <c r="G32" i="62" a="1"/>
  <c r="G32" i="62"/>
  <c r="H32" i="62"/>
  <c r="G34" i="62"/>
  <c r="H34" i="62"/>
  <c r="G35" i="62"/>
  <c r="H35" i="62"/>
  <c r="G36" i="62"/>
  <c r="H36" i="62"/>
  <c r="G40" i="62"/>
  <c r="H40" i="62"/>
  <c r="G41" i="62"/>
  <c r="H41" i="62"/>
  <c r="G73" i="62"/>
  <c r="H73" i="62"/>
  <c r="G76" i="62"/>
  <c r="K19" i="63"/>
  <c r="K22" i="63"/>
  <c r="K23" i="63"/>
  <c r="K24" i="63"/>
  <c r="K49" i="63"/>
  <c r="K52" i="63"/>
  <c r="G12" i="13"/>
  <c r="G14" i="13"/>
  <c r="G16" i="13"/>
  <c r="G20" i="13"/>
  <c r="O51" i="20"/>
  <c r="S51" i="20"/>
  <c r="Q62" i="20"/>
  <c r="S62" i="20"/>
  <c r="Q63" i="20"/>
  <c r="S63" i="20"/>
  <c r="Q64" i="20"/>
  <c r="S64" i="20"/>
  <c r="Q65" i="20"/>
  <c r="S65" i="20"/>
  <c r="Q66" i="20"/>
  <c r="S66" i="20"/>
  <c r="Q67" i="20"/>
  <c r="S67" i="20"/>
  <c r="Q68" i="20"/>
  <c r="S68" i="20"/>
  <c r="O70" i="20"/>
  <c r="Q70" i="20"/>
  <c r="S70" i="20"/>
  <c r="Y213" i="20" a="1"/>
  <c r="Y213" i="20"/>
  <c r="Z213" i="20" a="1"/>
  <c r="Z213" i="20"/>
  <c r="AA213" i="20" a="1"/>
  <c r="AA213" i="20"/>
  <c r="AB213" i="20" a="1"/>
  <c r="AB213" i="20"/>
  <c r="AC213" i="20" a="1"/>
  <c r="AC213" i="20"/>
  <c r="AD213" i="20" a="1"/>
  <c r="AD213" i="20"/>
  <c r="AE213" i="20" a="1"/>
  <c r="AE213" i="20"/>
  <c r="AF213" i="20" a="1"/>
  <c r="AF213" i="20"/>
  <c r="AG213" i="20" a="1"/>
  <c r="AG213" i="20"/>
  <c r="AH213" i="20" a="1"/>
  <c r="AH213" i="20"/>
  <c r="AI213" i="20" a="1"/>
  <c r="AI213" i="20"/>
  <c r="AJ213" i="20" a="1"/>
  <c r="AJ213" i="20"/>
  <c r="AK213" i="20"/>
  <c r="Y215" i="20" a="1"/>
  <c r="Y215" i="20"/>
  <c r="Z215" i="20" a="1"/>
  <c r="Z215" i="20"/>
  <c r="AA215" i="20" a="1"/>
  <c r="AA215" i="20"/>
  <c r="AB215" i="20" a="1"/>
  <c r="AB215" i="20"/>
  <c r="AC215" i="20" a="1"/>
  <c r="AC215" i="20"/>
  <c r="AD215" i="20" a="1"/>
  <c r="AD215" i="20"/>
  <c r="AE215" i="20" a="1"/>
  <c r="AE215" i="20"/>
  <c r="AF215" i="20" a="1"/>
  <c r="AF215" i="20"/>
  <c r="AG215" i="20" a="1"/>
  <c r="AG215" i="20"/>
  <c r="AH215" i="20" a="1"/>
  <c r="AH215" i="20"/>
  <c r="AI215" i="20" a="1"/>
  <c r="AI215" i="20"/>
  <c r="AJ215" i="20" a="1"/>
  <c r="AJ215" i="20"/>
  <c r="AK215" i="20"/>
  <c r="Y216" i="20" a="1"/>
  <c r="Y216" i="20"/>
  <c r="Z216" i="20" a="1"/>
  <c r="Z216" i="20"/>
  <c r="AA216" i="20" a="1"/>
  <c r="AA216" i="20"/>
  <c r="AB216" i="20" a="1"/>
  <c r="AB216" i="20"/>
  <c r="AC216" i="20" a="1"/>
  <c r="AC216" i="20"/>
  <c r="AD216" i="20" a="1"/>
  <c r="AD216" i="20"/>
  <c r="AE216" i="20" a="1"/>
  <c r="AE216" i="20"/>
  <c r="AF216" i="20" a="1"/>
  <c r="AF216" i="20"/>
  <c r="AG216" i="20" a="1"/>
  <c r="AG216" i="20"/>
  <c r="AH216" i="20" a="1"/>
  <c r="AH216" i="20"/>
  <c r="AI216" i="20" a="1"/>
  <c r="AI216" i="20"/>
  <c r="AJ216" i="20" a="1"/>
  <c r="AJ216" i="20"/>
  <c r="AK216" i="20"/>
  <c r="Y217" i="20" a="1"/>
  <c r="Y217" i="20"/>
  <c r="Z217" i="20" a="1"/>
  <c r="Z217" i="20"/>
  <c r="AA217" i="20" a="1"/>
  <c r="AA217" i="20"/>
  <c r="AB217" i="20" a="1"/>
  <c r="AB217" i="20"/>
  <c r="AC217" i="20" a="1"/>
  <c r="AC217" i="20"/>
  <c r="AD217" i="20" a="1"/>
  <c r="AD217" i="20"/>
  <c r="AE217" i="20" a="1"/>
  <c r="AE217" i="20"/>
  <c r="AF217" i="20" a="1"/>
  <c r="AF217" i="20"/>
  <c r="AG217" i="20" a="1"/>
  <c r="AG217" i="20"/>
  <c r="AH217" i="20" a="1"/>
  <c r="AH217" i="20"/>
  <c r="AI217" i="20" a="1"/>
  <c r="AI217" i="20"/>
  <c r="AJ217" i="20" a="1"/>
  <c r="AJ217" i="20"/>
  <c r="AK217" i="20"/>
  <c r="Y218" i="20" a="1"/>
  <c r="Y218" i="20"/>
  <c r="Z218" i="20" a="1"/>
  <c r="Z218" i="20"/>
  <c r="AA218" i="20" a="1"/>
  <c r="AA218" i="20"/>
  <c r="AB218" i="20" a="1"/>
  <c r="AB218" i="20"/>
  <c r="AC218" i="20" a="1"/>
  <c r="AC218" i="20"/>
  <c r="AD218" i="20" a="1"/>
  <c r="AD218" i="20"/>
  <c r="AE218" i="20" a="1"/>
  <c r="AE218" i="20"/>
  <c r="AF218" i="20" a="1"/>
  <c r="AF218" i="20"/>
  <c r="AG218" i="20" a="1"/>
  <c r="AG218" i="20"/>
  <c r="AH218" i="20" a="1"/>
  <c r="AH218" i="20"/>
  <c r="AI218" i="20" a="1"/>
  <c r="AI218" i="20"/>
  <c r="AJ218" i="20" a="1"/>
  <c r="AJ218" i="20"/>
  <c r="AK218" i="20"/>
  <c r="Y219" i="20" a="1"/>
  <c r="Y219" i="20"/>
  <c r="Z219" i="20" a="1"/>
  <c r="Z219" i="20"/>
  <c r="AA219" i="20" a="1"/>
  <c r="AA219" i="20"/>
  <c r="AB219" i="20" a="1"/>
  <c r="AB219" i="20"/>
  <c r="AC219" i="20" a="1"/>
  <c r="AC219" i="20"/>
  <c r="AD219" i="20" a="1"/>
  <c r="AD219" i="20"/>
  <c r="AE219" i="20" a="1"/>
  <c r="AE219" i="20"/>
  <c r="AF219" i="20" a="1"/>
  <c r="AF219" i="20"/>
  <c r="AG219" i="20" a="1"/>
  <c r="AG219" i="20"/>
  <c r="AH219" i="20" a="1"/>
  <c r="AH219" i="20"/>
  <c r="AI219" i="20" a="1"/>
  <c r="AI219" i="20"/>
  <c r="AJ219" i="20" a="1"/>
  <c r="AJ219" i="20"/>
  <c r="AK219" i="20"/>
  <c r="Y221" i="20"/>
  <c r="Z221" i="20"/>
  <c r="AA221" i="20"/>
  <c r="AB221" i="20"/>
  <c r="AC221" i="20"/>
  <c r="AD221" i="20"/>
  <c r="AE221" i="20"/>
  <c r="AF221" i="20"/>
  <c r="AG221" i="20"/>
  <c r="AH221" i="20"/>
  <c r="AI221" i="20"/>
  <c r="AJ221" i="20"/>
  <c r="AK221" i="20"/>
  <c r="Y225" i="20"/>
  <c r="Z225" i="20"/>
  <c r="AA225" i="20"/>
  <c r="AB225" i="20"/>
  <c r="AC225" i="20"/>
  <c r="AD225" i="20"/>
  <c r="AE225" i="20"/>
  <c r="AF225" i="20"/>
  <c r="AG225" i="20"/>
  <c r="AH225" i="20"/>
  <c r="AI225" i="20"/>
  <c r="AJ225" i="20"/>
  <c r="AK225" i="20"/>
  <c r="Q18" i="163"/>
  <c r="L26" i="163"/>
  <c r="L30" i="163"/>
  <c r="Q30" i="163"/>
</calcChain>
</file>

<file path=xl/comments1.xml><?xml version="1.0" encoding="utf-8"?>
<comments xmlns="http://schemas.openxmlformats.org/spreadsheetml/2006/main">
  <authors>
    <author>Czupik, Ted Jr</author>
  </authors>
  <commentList>
    <comment ref="J60" authorId="0">
      <text>
        <r>
          <rPr>
            <sz val="8"/>
            <color indexed="81"/>
            <rFont val="Tahoma"/>
            <family val="2"/>
          </rPr>
          <t xml:space="preserve">FERC 494 remand
</t>
        </r>
      </text>
    </comment>
  </commentList>
</comments>
</file>

<file path=xl/comments2.xml><?xml version="1.0" encoding="utf-8"?>
<comments xmlns="http://schemas.openxmlformats.org/spreadsheetml/2006/main">
  <authors>
    <author>Ted Czupik</author>
  </authors>
  <commentList>
    <comment ref="W96" authorId="0">
      <text>
        <r>
          <rPr>
            <sz val="8"/>
            <color indexed="81"/>
            <rFont val="Tahoma"/>
            <family val="2"/>
          </rPr>
          <t xml:space="preserve">Not allowed by Commission due to longstanding precedent
</t>
        </r>
      </text>
    </comment>
    <comment ref="W97" authorId="0">
      <text>
        <r>
          <rPr>
            <sz val="8"/>
            <color indexed="81"/>
            <rFont val="Tahoma"/>
            <family val="2"/>
          </rPr>
          <t xml:space="preserve">Not allowed by Commission due to longstanding precedent
</t>
        </r>
      </text>
    </comment>
    <comment ref="W103" authorId="0">
      <text>
        <r>
          <rPr>
            <sz val="8"/>
            <color indexed="81"/>
            <rFont val="Tahoma"/>
            <family val="2"/>
          </rPr>
          <t xml:space="preserve">Not allowed by Commission due to longstanding precedent
</t>
        </r>
      </text>
    </comment>
    <comment ref="W104" authorId="0">
      <text>
        <r>
          <rPr>
            <sz val="8"/>
            <color indexed="81"/>
            <rFont val="Tahoma"/>
            <family val="2"/>
          </rPr>
          <t xml:space="preserve">Not allowed by Commission due to longstanding precedent
</t>
        </r>
      </text>
    </comment>
  </commentList>
</comments>
</file>

<file path=xl/comments3.xml><?xml version="1.0" encoding="utf-8"?>
<comments xmlns="http://schemas.openxmlformats.org/spreadsheetml/2006/main">
  <authors>
    <author>A satisfied Microsoft Office user</author>
  </authors>
  <commentList>
    <comment ref="AQ111" authorId="0">
      <text>
        <r>
          <rPr>
            <sz val="10"/>
            <color indexed="81"/>
            <rFont val="Tahoma"/>
            <family val="2"/>
          </rPr>
          <t>$45 adj due to labor recorde as m&amp;e</t>
        </r>
      </text>
    </comment>
  </commentList>
</comments>
</file>

<file path=xl/comments4.xml><?xml version="1.0" encoding="utf-8"?>
<comments xmlns="http://schemas.openxmlformats.org/spreadsheetml/2006/main">
  <authors>
    <author>Czupik, Ted Jr</author>
  </authors>
  <commentList>
    <comment ref="G73" authorId="0">
      <text>
        <r>
          <rPr>
            <sz val="8"/>
            <color indexed="81"/>
            <rFont val="Tahoma"/>
            <family val="2"/>
          </rPr>
          <t xml:space="preserve">Source "Ky Rate Case - OM Detail.xlsx", ENT function = Coal Combustion Products
</t>
        </r>
      </text>
    </comment>
    <comment ref="G76" authorId="0">
      <text>
        <r>
          <rPr>
            <sz val="8"/>
            <color indexed="81"/>
            <rFont val="Tahoma"/>
            <family val="2"/>
          </rPr>
          <t xml:space="preserve">Source "Ky Rate Case - OM Detail.xlsx", ENT function = Coal Combustion Products
</t>
        </r>
      </text>
    </comment>
    <comment ref="G79" authorId="0">
      <text>
        <r>
          <rPr>
            <sz val="8"/>
            <color indexed="81"/>
            <rFont val="Tahoma"/>
            <family val="2"/>
          </rPr>
          <t xml:space="preserve">Source "Ky Rate Case - OM Detail.xlsx", ENT function = Coal Combustion Products
</t>
        </r>
      </text>
    </comment>
    <comment ref="G86" authorId="0">
      <text>
        <r>
          <rPr>
            <sz val="8"/>
            <color indexed="81"/>
            <rFont val="Tahoma"/>
            <family val="2"/>
          </rPr>
          <t xml:space="preserve">Source "OM B2 - Kentcuky Rate Case Model.xlsx", O&amp;M function = Coal Combustion Products
</t>
        </r>
      </text>
    </comment>
    <comment ref="G88" authorId="0">
      <text>
        <r>
          <rPr>
            <sz val="8"/>
            <color indexed="81"/>
            <rFont val="Tahoma"/>
            <family val="2"/>
          </rPr>
          <t xml:space="preserve">Source: File provided by Julie Coholich
</t>
        </r>
      </text>
    </comment>
    <comment ref="G91" authorId="0">
      <text>
        <r>
          <rPr>
            <sz val="8"/>
            <color indexed="81"/>
            <rFont val="Tahoma"/>
            <family val="2"/>
          </rPr>
          <t xml:space="preserve">Source: File provided by Julie Coholich
</t>
        </r>
      </text>
    </comment>
    <comment ref="G150" authorId="0">
      <text>
        <r>
          <rPr>
            <sz val="8"/>
            <color indexed="81"/>
            <rFont val="Tahoma"/>
            <family val="2"/>
          </rPr>
          <t xml:space="preserve">Identified as "PJM Reactive Power - non-recoverable" in O&amp;M file
</t>
        </r>
      </text>
    </comment>
  </commentList>
</comments>
</file>

<file path=xl/comments5.xml><?xml version="1.0" encoding="utf-8"?>
<comments xmlns="http://schemas.openxmlformats.org/spreadsheetml/2006/main">
  <authors>
    <author>Czupik, Ted Jr</author>
    <author>Ted Czupik</author>
  </authors>
  <commentList>
    <comment ref="C190" authorId="0">
      <text>
        <r>
          <rPr>
            <sz val="8"/>
            <color indexed="81"/>
            <rFont val="Tahoma"/>
            <family val="2"/>
          </rPr>
          <t xml:space="preserve">Source: (1) gas income statement 12x0v3 KY rate case - Aug08 2017
</t>
        </r>
      </text>
    </comment>
    <comment ref="D190" authorId="0">
      <text>
        <r>
          <rPr>
            <sz val="8"/>
            <color indexed="81"/>
            <rFont val="Tahoma"/>
            <family val="2"/>
          </rPr>
          <t xml:space="preserve">Source: (1) gas income statement 12x0v3 KY rate case - Aug08 2017
(2) conslisa detail - Dec 2016
(3) conslisa detail - YTD May 2017
</t>
        </r>
      </text>
    </comment>
    <comment ref="C191" authorId="1">
      <text>
        <r>
          <rPr>
            <sz val="8"/>
            <color indexed="81"/>
            <rFont val="Tahoma"/>
            <family val="2"/>
          </rPr>
          <t xml:space="preserve">Schedule C- 2, Fuel + Purchased Power, unadjusted
</t>
        </r>
      </text>
    </comment>
    <comment ref="D191" authorId="1">
      <text>
        <r>
          <rPr>
            <sz val="8"/>
            <color indexed="81"/>
            <rFont val="Tahoma"/>
            <family val="2"/>
          </rPr>
          <t xml:space="preserve">Schedule C- 2, Fuel + Purchased Power, unadjusted
</t>
        </r>
      </text>
    </comment>
    <comment ref="C198" authorId="0">
      <text>
        <r>
          <rPr>
            <sz val="8"/>
            <color indexed="81"/>
            <rFont val="Tahoma"/>
            <family val="2"/>
          </rPr>
          <t xml:space="preserve">Source: (1) gas income statement 12x0v3 KY rate case - Aug08 2017
</t>
        </r>
      </text>
    </comment>
    <comment ref="D198" authorId="0">
      <text>
        <r>
          <rPr>
            <sz val="8"/>
            <color indexed="81"/>
            <rFont val="Tahoma"/>
            <family val="2"/>
          </rPr>
          <t xml:space="preserve">Source: (1) gas income statement 12x0v3 KY rate case - Aug08 2017
(2) conslisa detail - Dec 2016
(3) conslisa detail - YTD May 2017
</t>
        </r>
      </text>
    </comment>
    <comment ref="C199" authorId="1">
      <text>
        <r>
          <rPr>
            <sz val="8"/>
            <color indexed="81"/>
            <rFont val="Tahoma"/>
            <family val="2"/>
          </rPr>
          <t xml:space="preserve">Schedule C- 2, Fuel + Purchased Power, unadjusted
</t>
        </r>
      </text>
    </comment>
    <comment ref="D199" authorId="1">
      <text>
        <r>
          <rPr>
            <sz val="8"/>
            <color indexed="81"/>
            <rFont val="Tahoma"/>
            <family val="2"/>
          </rPr>
          <t xml:space="preserve">Schedule C- 2, Fuel + Purchased Power, unadjusted
</t>
        </r>
      </text>
    </comment>
  </commentList>
</comments>
</file>

<file path=xl/sharedStrings.xml><?xml version="1.0" encoding="utf-8"?>
<sst xmlns="http://schemas.openxmlformats.org/spreadsheetml/2006/main" count="11623" uniqueCount="3350">
  <si>
    <t>Depr/Amort</t>
  </si>
  <si>
    <t>% Net</t>
  </si>
  <si>
    <t>Service</t>
  </si>
  <si>
    <t>Curve</t>
  </si>
  <si>
    <t>Property Grouping</t>
  </si>
  <si>
    <t>Salvage</t>
  </si>
  <si>
    <t>Life</t>
  </si>
  <si>
    <t>Form</t>
  </si>
  <si>
    <t>(B-1)</t>
  </si>
  <si>
    <t>(B-2)</t>
  </si>
  <si>
    <t>(G=DxF)</t>
  </si>
  <si>
    <t>(H)</t>
  </si>
  <si>
    <t>(J)</t>
  </si>
  <si>
    <t>Perpetual Life</t>
  </si>
  <si>
    <t>SQ</t>
  </si>
  <si>
    <t>R3</t>
  </si>
  <si>
    <t>SUMMARY OF UTILITY JURISDICTIONAL ADJUSTMENTS TO</t>
  </si>
  <si>
    <t>Taxes</t>
  </si>
  <si>
    <t>Interest Charges</t>
  </si>
  <si>
    <t>BALANCE</t>
  </si>
  <si>
    <t>SCHEDULE D-2.10</t>
  </si>
  <si>
    <t>LEASED PROPERTY</t>
  </si>
  <si>
    <t>SCHEDULE B-2.5</t>
  </si>
  <si>
    <t>Dollar</t>
  </si>
  <si>
    <t xml:space="preserve">Identification </t>
  </si>
  <si>
    <t>Value of</t>
  </si>
  <si>
    <t>ELEMENT of OPERATING INCOME</t>
  </si>
  <si>
    <t>D-1</t>
  </si>
  <si>
    <t>PROD. EXP.</t>
  </si>
  <si>
    <t>Common (Allocated to Electric)</t>
  </si>
  <si>
    <t>Common Plant Allocated to Electric</t>
  </si>
  <si>
    <t>information expense to the level of expenses in the forecasted period.</t>
  </si>
  <si>
    <t>ADJUST BASE PERIOD SALES EXPENSES TO FORECASTED PERIOD</t>
  </si>
  <si>
    <t>and Use of Property</t>
  </si>
  <si>
    <t>Lessee</t>
  </si>
  <si>
    <t>of Payment</t>
  </si>
  <si>
    <t>Lease Payment</t>
  </si>
  <si>
    <t>Oper Income Before Federal &amp; State Income Taxes</t>
  </si>
  <si>
    <t>SCHEDULE D-2.14</t>
  </si>
  <si>
    <t>WORK PAPER REFERENCE NO(S).:  WPD-2.14a</t>
  </si>
  <si>
    <t>PURPOSE AND DESCRIPTION: To adjust base period other operating</t>
  </si>
  <si>
    <t>PRO FORMA ADJUSTMENTS</t>
  </si>
  <si>
    <t>D-2.30</t>
  </si>
  <si>
    <t>D-2.31</t>
  </si>
  <si>
    <t>SCH D-1, PG. 2</t>
  </si>
  <si>
    <t>SCH D-1, PG. 5</t>
  </si>
  <si>
    <t>Debentures</t>
  </si>
  <si>
    <t>DEPRECIATION AND AMORTIZATION ACCRUAL RATES AND</t>
  </si>
  <si>
    <t>JURISDICTIONAL ACCUMULATED BALANCES BY ACCOUNTS,</t>
  </si>
  <si>
    <t>FUNCTIONAL CLASS OR MAJOR PROPERTY GROUP</t>
  </si>
  <si>
    <t xml:space="preserve">    S&amp;P's Unsecured Debt</t>
  </si>
  <si>
    <t>PLANT DATA ($000 omitted): (a)</t>
  </si>
  <si>
    <t xml:space="preserve"> Gas Plant</t>
  </si>
  <si>
    <t xml:space="preserve">   Intangible</t>
  </si>
  <si>
    <t xml:space="preserve">   Production-Mfg. Gas</t>
  </si>
  <si>
    <t xml:space="preserve">   Storage-Local</t>
  </si>
  <si>
    <t xml:space="preserve">    Total Electric Plant</t>
  </si>
  <si>
    <t>Total Electric Plant Including Allocated Common</t>
  </si>
  <si>
    <t xml:space="preserve">     Total Electric Plant</t>
  </si>
  <si>
    <t>Total Electric Plant</t>
  </si>
  <si>
    <t>ELECTRIC SALES STATISTICS-JURISDICTIONAL</t>
  </si>
  <si>
    <t>ELECTRIC REVENUE STATISTICS-JURISDICTIONAL</t>
  </si>
  <si>
    <t>DSM Revenue</t>
  </si>
  <si>
    <t xml:space="preserve">   State Income Tax Payable Year to Date</t>
  </si>
  <si>
    <t>(G = F / E)</t>
  </si>
  <si>
    <t xml:space="preserve">      Investment Tax Credits </t>
  </si>
  <si>
    <t xml:space="preserve">      Deferred Income Taxes</t>
  </si>
  <si>
    <t xml:space="preserve">      Other Rate Base Adjustments</t>
  </si>
  <si>
    <t>Jurisdictional Rate Base (Line 3 through Line 11)</t>
  </si>
  <si>
    <t>ALLOWANCE FOR WORKING CAPITAL</t>
  </si>
  <si>
    <t>D-2.38</t>
  </si>
  <si>
    <t>D-2.39</t>
  </si>
  <si>
    <t>D-2.40</t>
  </si>
  <si>
    <t>D-2.41</t>
  </si>
  <si>
    <t>D-2.42</t>
  </si>
  <si>
    <t>D-2.43</t>
  </si>
  <si>
    <t>Jurisdictional Rate Base Ratio</t>
  </si>
  <si>
    <t>FEDERAL &amp; STATE INCOME TAX ON INTEREST DEDUCTION</t>
  </si>
  <si>
    <t>Long-Term</t>
  </si>
  <si>
    <t>Short-Term</t>
  </si>
  <si>
    <t>No</t>
  </si>
  <si>
    <t>Debt</t>
  </si>
  <si>
    <t>Capital Structure</t>
  </si>
  <si>
    <t xml:space="preserve">    1/8 Oper. and Maint. Expense</t>
  </si>
  <si>
    <t>Computed</t>
  </si>
  <si>
    <t xml:space="preserve">      Total</t>
  </si>
  <si>
    <t>PAGE  2  OF  2</t>
  </si>
  <si>
    <t>CASH WORKING CAPITAL</t>
  </si>
  <si>
    <t>WORK</t>
  </si>
  <si>
    <t>PAPER</t>
  </si>
  <si>
    <t>NO.</t>
  </si>
  <si>
    <t>(1) Schedule J-1, page 1.</t>
  </si>
  <si>
    <t>Total Base Period Capitalization</t>
  </si>
  <si>
    <t>J-1, page 2</t>
  </si>
  <si>
    <t>C-2</t>
  </si>
  <si>
    <t>WPB-5.1f</t>
  </si>
  <si>
    <t xml:space="preserve">DEVELOPMENT OF FACTORS TO ALLOCATE </t>
  </si>
  <si>
    <t>PREPAYMENTS AND MATERIALS AND SUPPLIES</t>
  </si>
  <si>
    <t>DESCRIPTION /</t>
  </si>
  <si>
    <t>COMMON ALLOCATION</t>
  </si>
  <si>
    <t>CUSTOMERS</t>
  </si>
  <si>
    <t>ALLOC</t>
  </si>
  <si>
    <t xml:space="preserve">  Gas</t>
  </si>
  <si>
    <t xml:space="preserve">  Electric</t>
  </si>
  <si>
    <t xml:space="preserve">   Total</t>
  </si>
  <si>
    <t>MISCELLANEOUS</t>
  </si>
  <si>
    <t>ELIMINATE MISCELLANEOUS EXPENSES</t>
  </si>
  <si>
    <t>PURPOSE AND DESCRIPTION: To eliminate miscellaneous expenses from the</t>
  </si>
  <si>
    <t>Jurisdictional Rate Base Ratio - Excluding Non-Jurisdictional</t>
  </si>
  <si>
    <t>WORK PAPER REFERENCE NO(S).: WPB-5.1a through WPB-5.1j</t>
  </si>
  <si>
    <t>(B) Source: Schedule C-2.1 and WPC-2d.</t>
  </si>
  <si>
    <t>ADJUST BASE PERIOD PURCHASED POWER COST</t>
  </si>
  <si>
    <t>Non-Native Fuel Expense</t>
  </si>
  <si>
    <t>Total Non-Native EA and Other Variable Expense</t>
  </si>
  <si>
    <t>(2) WPA-1d.</t>
  </si>
  <si>
    <t>(2) WPA-1b.</t>
  </si>
  <si>
    <t>(B) No Initiation Fees/Country Club Expenses are  included in the forecasted period operating expenses.</t>
  </si>
  <si>
    <t>Actual Billed KWH Sales</t>
  </si>
  <si>
    <t>Lighting</t>
  </si>
  <si>
    <t>Source: Company Financial Records</t>
  </si>
  <si>
    <t>Other Accts.</t>
  </si>
  <si>
    <t>Ending</t>
  </si>
  <si>
    <t>Title</t>
  </si>
  <si>
    <t>Balance</t>
  </si>
  <si>
    <t>Additions</t>
  </si>
  <si>
    <t>Retirements</t>
  </si>
  <si>
    <t>of Transfer</t>
  </si>
  <si>
    <t>Involved</t>
  </si>
  <si>
    <t xml:space="preserve">  Net Operation &amp; Maintenance Expense</t>
  </si>
  <si>
    <t>Cash Working Capital</t>
  </si>
  <si>
    <t>1/8 of Net Operation &amp; Maintenance Expense</t>
  </si>
  <si>
    <t>To Sch B-5.1 &lt;---</t>
  </si>
  <si>
    <t>ADJUST UNCOLLECTIBLE EXPENSE</t>
  </si>
  <si>
    <t>(2)  This account is fully depreciated.</t>
  </si>
  <si>
    <t>(2)  Composite of four buildings in Structures &amp; Improvements account.</t>
  </si>
  <si>
    <t>WPC-2e</t>
  </si>
  <si>
    <t>Rate Case Expense</t>
  </si>
  <si>
    <t>DSM Elimination</t>
  </si>
  <si>
    <t>Eliminate Misc. Expenses</t>
  </si>
  <si>
    <t>Eliminate Unbilled Revenue</t>
  </si>
  <si>
    <t>RESERVED</t>
  </si>
  <si>
    <t>Amortization of ITC</t>
  </si>
  <si>
    <t>RESIDENTIAL</t>
  </si>
  <si>
    <t>COMMERCIAL</t>
  </si>
  <si>
    <t>INDUSTRIAL</t>
  </si>
  <si>
    <t>LIGHTING</t>
  </si>
  <si>
    <t xml:space="preserve">    LIGHTING</t>
  </si>
  <si>
    <t xml:space="preserve">        TOTAL</t>
  </si>
  <si>
    <t xml:space="preserve">              TOTAL</t>
  </si>
  <si>
    <t>SCHEDULE G-2</t>
  </si>
  <si>
    <t>WORK PAPER REFERENCE NO(S).:  SCHEDULE C-2.1, SCHEDULE D-1, WPC-2a through WPC-2e</t>
  </si>
  <si>
    <t xml:space="preserve"> Fuel</t>
  </si>
  <si>
    <t xml:space="preserve"> Maintenance of Misc Steam Plant</t>
  </si>
  <si>
    <t>Other Power Supply Expense</t>
  </si>
  <si>
    <t>Steam Power Generation</t>
  </si>
  <si>
    <t xml:space="preserve">    Total Steam Power Generation</t>
  </si>
  <si>
    <t xml:space="preserve">Charge off's </t>
  </si>
  <si>
    <t>Collection Costs</t>
  </si>
  <si>
    <t>Late Charges</t>
  </si>
  <si>
    <t>UNCOLLECTIBLE</t>
  </si>
  <si>
    <t>SCHEDULE D-2.31</t>
  </si>
  <si>
    <t>Sch. C-2</t>
  </si>
  <si>
    <t>Time Value</t>
  </si>
  <si>
    <t>Total Discount</t>
  </si>
  <si>
    <t>Less: Time Value</t>
  </si>
  <si>
    <t>Uncollectible Factor</t>
  </si>
  <si>
    <t>Trans</t>
  </si>
  <si>
    <t>Distr</t>
  </si>
  <si>
    <t>Com</t>
  </si>
  <si>
    <t>Gen</t>
  </si>
  <si>
    <t>Other - Non Specific</t>
  </si>
  <si>
    <t>D-2.4</t>
  </si>
  <si>
    <t>Distribution Expense</t>
  </si>
  <si>
    <t>Customer Accounts Expense</t>
  </si>
  <si>
    <t>Customer Service &amp; Information Expense</t>
  </si>
  <si>
    <t>D-2.7</t>
  </si>
  <si>
    <t>Sales Expense</t>
  </si>
  <si>
    <t>Administrative &amp; General Expense</t>
  </si>
  <si>
    <t xml:space="preserve">   Total Operation and Maintenance Expense</t>
  </si>
  <si>
    <t>Depreciation Expense</t>
  </si>
  <si>
    <t>D-2.10</t>
  </si>
  <si>
    <t>ADJUST BASE PERIOD OTHER PRODUCTION EXPENSES TO FORECASTED PERIOD</t>
  </si>
  <si>
    <t>to the level of expenses in the forecasted period.</t>
  </si>
  <si>
    <t>ADJUST BASE PERIOD TRANSMISSION EXPENSES TO FORECASTED PERIOD</t>
  </si>
  <si>
    <t>ADJUST BASE PERIOD DISTRIBUTION EXPENSES TO FORECASTED PERIOD</t>
  </si>
  <si>
    <t>ADJUST BASE PERIOD CUSTOMER ACCOUNTS EXPENSES TO FORECASTED PERIOD</t>
  </si>
  <si>
    <t>ADJUST BASE PERIOD CUSTOMER SERVICE &amp; INFORMATION EXPENSES TO FORECASTED PERIOD</t>
  </si>
  <si>
    <t xml:space="preserve">   Transmission</t>
  </si>
  <si>
    <t xml:space="preserve">   Distribution</t>
  </si>
  <si>
    <t xml:space="preserve">   General</t>
  </si>
  <si>
    <t xml:space="preserve">      Total Gas Plant-Gross</t>
  </si>
  <si>
    <t xml:space="preserve">   Less: Accum. Provision for Depr. and Amort.</t>
  </si>
  <si>
    <t xml:space="preserve">      Gas Plant in Service-Net</t>
  </si>
  <si>
    <t xml:space="preserve"> Electric Plant</t>
  </si>
  <si>
    <t xml:space="preserve">PURPOSE AND DESCRIPTION: To adjust base period transmission expenses </t>
  </si>
  <si>
    <t>ADJUST BASE PERIOD TRANSMISSION EXPENSE</t>
  </si>
  <si>
    <t>TRANSMISSION</t>
  </si>
  <si>
    <t xml:space="preserve">  Transmission Expense</t>
  </si>
  <si>
    <t xml:space="preserve"> Transmission Expense</t>
  </si>
  <si>
    <t xml:space="preserve">CONDENSED INCOME STATEMENT DATA: </t>
  </si>
  <si>
    <t xml:space="preserve">    Operating revenues ($000,000)</t>
  </si>
  <si>
    <t>Less: Purchased Gas Cost</t>
  </si>
  <si>
    <t>Materials and Supplies</t>
  </si>
  <si>
    <t>DESCRIPTION OF METHODOLOGY</t>
  </si>
  <si>
    <t>USED TO DETERMINE</t>
  </si>
  <si>
    <t>Less: Fuel and Purchased Power Expense</t>
  </si>
  <si>
    <t>FOR THE BASE PERIOD AND THE FORECASTED PERIOD</t>
  </si>
  <si>
    <t>Forecasted Period</t>
  </si>
  <si>
    <t>Jurisdictional Electric Capitalization</t>
  </si>
  <si>
    <t>RATE AREA</t>
  </si>
  <si>
    <t>(B)</t>
  </si>
  <si>
    <t>(E = C+D)</t>
  </si>
  <si>
    <t>DataF:</t>
  </si>
  <si>
    <t>DataBoth:</t>
  </si>
  <si>
    <t>DATA: "X" BASE PERIOD  "X" FORECASTED PERIOD</t>
  </si>
  <si>
    <t>Type:</t>
  </si>
  <si>
    <t xml:space="preserve">Other </t>
  </si>
  <si>
    <t>WPD-2.12a</t>
  </si>
  <si>
    <t>(A) Calculation may be different due to rounding.</t>
  </si>
  <si>
    <t>State Income Tax - Current from Page 2</t>
  </si>
  <si>
    <t xml:space="preserve">      Total State Income Tax Expense</t>
  </si>
  <si>
    <t xml:space="preserve">   before State Income Tax from Page 2</t>
  </si>
  <si>
    <t xml:space="preserve">      Federal Taxable Income</t>
  </si>
  <si>
    <t xml:space="preserve">      Federal Income Tax - Current</t>
  </si>
  <si>
    <t>WPD-2.17a</t>
  </si>
  <si>
    <t>Undetermined</t>
  </si>
  <si>
    <t>OCTOBER</t>
  </si>
  <si>
    <t>NOVEMBER</t>
  </si>
  <si>
    <t>DECEMBER</t>
  </si>
  <si>
    <t>FEBRUARY</t>
  </si>
  <si>
    <t>MARCH</t>
  </si>
  <si>
    <t>13 MONTH</t>
  </si>
  <si>
    <t>AVERAGE</t>
  </si>
  <si>
    <t>APRIL</t>
  </si>
  <si>
    <t xml:space="preserve">   Tax Depreciation</t>
  </si>
  <si>
    <t xml:space="preserve">          PAGE  1  OF  1</t>
  </si>
  <si>
    <t>WORK PAPER REFERENCE NO(S).:  WPD-2.1a</t>
  </si>
  <si>
    <t>CONSTRUCTION WORK IN PROGRESS</t>
  </si>
  <si>
    <t>UNADJUSTED</t>
  </si>
  <si>
    <t>METHOD /</t>
  </si>
  <si>
    <t>ACCOUNT TITLE</t>
  </si>
  <si>
    <t>JURISDICTION</t>
  </si>
  <si>
    <t>Retail Revenue</t>
  </si>
  <si>
    <t>Public Utility</t>
  </si>
  <si>
    <t>Coal</t>
  </si>
  <si>
    <t>Total Forecasted Period Capitalization</t>
  </si>
  <si>
    <t>TO DETERMINE THE FORECASTED PERIOD RATIO OF KENTUCKY JURISDICTIONAL ELECTRIC OPERATIONS</t>
  </si>
  <si>
    <t>SALES</t>
  </si>
  <si>
    <t>A&amp;G</t>
  </si>
  <si>
    <t>DEPRECIATION</t>
  </si>
  <si>
    <t>ACCOUNTS EXP.</t>
  </si>
  <si>
    <t>&amp; INFO. EXP.</t>
  </si>
  <si>
    <t>TAX EXP.</t>
  </si>
  <si>
    <t>D-2.6</t>
  </si>
  <si>
    <t>D-2.8</t>
  </si>
  <si>
    <t>D-2.9</t>
  </si>
  <si>
    <t xml:space="preserve"> Total Revenue</t>
  </si>
  <si>
    <t xml:space="preserve"> Production Expenses</t>
  </si>
  <si>
    <t xml:space="preserve"> Distribution Expense</t>
  </si>
  <si>
    <t xml:space="preserve"> Customer Accounts Expense</t>
  </si>
  <si>
    <t xml:space="preserve"> Customer Serv &amp; Info Expense</t>
  </si>
  <si>
    <t xml:space="preserve"> Sales Expense</t>
  </si>
  <si>
    <t xml:space="preserve"> Admin &amp; General Expense</t>
  </si>
  <si>
    <t xml:space="preserve">PURPOSE AND DESCRIPTION: To adjust base period revenue to </t>
  </si>
  <si>
    <t>To Sch D-1 Summary &lt;--</t>
  </si>
  <si>
    <t xml:space="preserve">Total Revenue Adjustment </t>
  </si>
  <si>
    <t>Jurisdictional allocation percentage (A)</t>
  </si>
  <si>
    <t>PURPOSE AND DESCRIPTION: To adjust base period other tax</t>
  </si>
  <si>
    <t>Total Taxes Other than Income Taxes</t>
  </si>
  <si>
    <t>WPD-2.11a</t>
  </si>
  <si>
    <t>ADJUST BASE PERIOD OTHER TAX EXPENSE</t>
  </si>
  <si>
    <t xml:space="preserve">        PAGE  1  OF  1</t>
  </si>
  <si>
    <t xml:space="preserve">        WITNESS RESPONSIBLE:</t>
  </si>
  <si>
    <t>Actual</t>
  </si>
  <si>
    <t>Budget</t>
  </si>
  <si>
    <t>Depr charged to reg asset account</t>
  </si>
  <si>
    <t>D-2.32</t>
  </si>
  <si>
    <t>D-2.33</t>
  </si>
  <si>
    <t>D-2.34</t>
  </si>
  <si>
    <t>D-2.35</t>
  </si>
  <si>
    <t>D-2.36</t>
  </si>
  <si>
    <t>D-2.37</t>
  </si>
  <si>
    <t>Newspaper</t>
  </si>
  <si>
    <t>Magazines and Other</t>
  </si>
  <si>
    <t>Television</t>
  </si>
  <si>
    <t>Radio</t>
  </si>
  <si>
    <t>Direct Mail</t>
  </si>
  <si>
    <t>Sales Aids</t>
  </si>
  <si>
    <t xml:space="preserve">Amount Assigned to </t>
  </si>
  <si>
    <t xml:space="preserve"> KY Retail</t>
  </si>
  <si>
    <t>PROFESSIONAL SERVICES EXPENSES</t>
  </si>
  <si>
    <t>SCHEDULE F-5</t>
  </si>
  <si>
    <t>Consultants</t>
  </si>
  <si>
    <t>Rate of Return Studies</t>
  </si>
  <si>
    <t>Cost of Service Studies</t>
  </si>
  <si>
    <t xml:space="preserve">Total Miscellaneous Expense Adjustment </t>
  </si>
  <si>
    <t>(A)</t>
  </si>
  <si>
    <t xml:space="preserve">  3% Credit</t>
  </si>
  <si>
    <t>(F)</t>
  </si>
  <si>
    <t xml:space="preserve">  4% Credit</t>
  </si>
  <si>
    <t>(G)</t>
  </si>
  <si>
    <t>10% Credit</t>
  </si>
  <si>
    <t>Total Investment Tax Credits</t>
  </si>
  <si>
    <t>(C)</t>
  </si>
  <si>
    <t>Deferred Income Taxes:</t>
  </si>
  <si>
    <t>WORK PAPER REFERENCE NO(S).: WPD-2.32a</t>
  </si>
  <si>
    <t>SCHEDULE D-2.32</t>
  </si>
  <si>
    <t>WPD-2.32a</t>
  </si>
  <si>
    <t>REV &amp; EXP</t>
  </si>
  <si>
    <t>Fuel Revenue</t>
  </si>
  <si>
    <t>SCHEDULE D-2.33</t>
  </si>
  <si>
    <t>PURPOSE AND DESCRIPTION: To eliminate unbilled base revenue.</t>
  </si>
  <si>
    <t>Unbilled Base Revenue</t>
  </si>
  <si>
    <t>WORK PAPER REFERENCE NO(S).:  WPC-2b</t>
  </si>
  <si>
    <t xml:space="preserve">         Gas revenues</t>
  </si>
  <si>
    <t xml:space="preserve">         Electric revenues</t>
  </si>
  <si>
    <t xml:space="preserve">            Total</t>
  </si>
  <si>
    <t>Electric Meters</t>
  </si>
  <si>
    <t>(2)</t>
  </si>
  <si>
    <t>(3)</t>
  </si>
  <si>
    <t>(4)</t>
  </si>
  <si>
    <t>(5)</t>
  </si>
  <si>
    <t>(6)</t>
  </si>
  <si>
    <t>Cash Working Capital:</t>
  </si>
  <si>
    <t>TWO PROJECTED</t>
  </si>
  <si>
    <t xml:space="preserve">        MOST RECENT FIVE CALENDAR YEARS        </t>
  </si>
  <si>
    <t>CALENDAR YEARS</t>
  </si>
  <si>
    <t>and Location</t>
  </si>
  <si>
    <t>Accumulated</t>
  </si>
  <si>
    <t>Depreciation</t>
  </si>
  <si>
    <t>Income Before Income Tax and Interest</t>
  </si>
  <si>
    <t>SCHEDULE D-2.30</t>
  </si>
  <si>
    <t>Edward Gary Leasing</t>
  </si>
  <si>
    <t>STEAM PRODUCTION PLANT</t>
  </si>
  <si>
    <t>Boiler Plant Equipment</t>
  </si>
  <si>
    <t>Boiler Plant Equip - SCR Catalyst</t>
  </si>
  <si>
    <t>Turbogenerator Equipment</t>
  </si>
  <si>
    <t>Accessory Electric Equipment</t>
  </si>
  <si>
    <t>Miscellaneous Powerplant Equipment</t>
  </si>
  <si>
    <t>AROs</t>
  </si>
  <si>
    <t>OTHER PRODUCTION PLANT</t>
  </si>
  <si>
    <t>Fuel Holders, Producers, Accessories</t>
  </si>
  <si>
    <t>SCHEDULE D-2.35</t>
  </si>
  <si>
    <t>WPD-2.35a</t>
  </si>
  <si>
    <t>Test Year</t>
  </si>
  <si>
    <t>State Reg Comm Proceeding</t>
  </si>
  <si>
    <t>EA</t>
  </si>
  <si>
    <t>FUEL</t>
  </si>
  <si>
    <t xml:space="preserve">  Fuel and Purchased Power Expense</t>
  </si>
  <si>
    <t>FUEL &amp; PURCH.</t>
  </si>
  <si>
    <t xml:space="preserve">    Indenture provision coverage</t>
  </si>
  <si>
    <t>Treatment</t>
  </si>
  <si>
    <t>or Reference</t>
  </si>
  <si>
    <t>Description of Type</t>
  </si>
  <si>
    <t>Name of</t>
  </si>
  <si>
    <t>Frequency</t>
  </si>
  <si>
    <t>Amount of</t>
  </si>
  <si>
    <t>Property</t>
  </si>
  <si>
    <t>Explain Method of</t>
  </si>
  <si>
    <t>Number</t>
  </si>
  <si>
    <t>JURISDIC-</t>
  </si>
  <si>
    <t xml:space="preserve">     DESCRIPTION</t>
  </si>
  <si>
    <t>TIONAL</t>
  </si>
  <si>
    <t>%</t>
  </si>
  <si>
    <t>AMOUNT</t>
  </si>
  <si>
    <t>(1)</t>
  </si>
  <si>
    <t>DETAIL OF MATERIALS AND SUPPLIES</t>
  </si>
  <si>
    <t>ALLOCATED TO JURISDICTION</t>
  </si>
  <si>
    <t>ACCOUNT NO. and DESCRIPTION</t>
  </si>
  <si>
    <t>INVENTORY (A)</t>
  </si>
  <si>
    <t>ALLOC CODE</t>
  </si>
  <si>
    <t>Thirteen Month Average Balance</t>
  </si>
  <si>
    <t>Base Revenue</t>
  </si>
  <si>
    <t>Total Materials &amp; Supplies</t>
  </si>
  <si>
    <t>Gas Stored Underground (Account 164) (A)</t>
  </si>
  <si>
    <t>Prepayments (Account 165) (A)</t>
  </si>
  <si>
    <t>Leased Meters</t>
  </si>
  <si>
    <t xml:space="preserve">   Gross State Business Taxable Income</t>
  </si>
  <si>
    <t>Kentucky Business Taxable Income</t>
  </si>
  <si>
    <t xml:space="preserve"> Federal Income Taxes</t>
  </si>
  <si>
    <t xml:space="preserve">  Fuel Tax Credit</t>
  </si>
  <si>
    <t>Total Social and Service Club Dues</t>
  </si>
  <si>
    <t>CHARITABLE</t>
  </si>
  <si>
    <t>ORGANIZATION</t>
  </si>
  <si>
    <t>(A) Alloc Code</t>
  </si>
  <si>
    <t>INITIATION FEES/COUNTRY CLUB EXP.</t>
  </si>
  <si>
    <t>SCHEDULE F-2.2</t>
  </si>
  <si>
    <t>PAYEE</t>
  </si>
  <si>
    <t>EMPLOYEE PARTY, OUTING, &amp; GIFT EXPENSE</t>
  </si>
  <si>
    <t>SCHEDULE F-2.3</t>
  </si>
  <si>
    <t>EMPLOYEE</t>
  </si>
  <si>
    <t>EXPENDITURES</t>
  </si>
  <si>
    <t>Capitalization Allocated to Electric Operations</t>
  </si>
  <si>
    <t>Electric Jurisdictional Rate Base Allocation %</t>
  </si>
  <si>
    <t>Plus: Jurisdictional Electric ITC</t>
  </si>
  <si>
    <t>ELEC DEPT.</t>
  </si>
  <si>
    <t>TOTAL ELECTRIC INCLUDING COMMON ALLOCATED</t>
  </si>
  <si>
    <t>TO DETERMINE THE BASE PERIOD RATIO OF KENTUCKY JURISDICTIONAL ELECTRIC OPERATIONS</t>
  </si>
  <si>
    <t>ALLOCATED TO ELEC DEPT</t>
  </si>
  <si>
    <t xml:space="preserve">   Fuel Tax Credit</t>
  </si>
  <si>
    <t>Federal Income Tax Payable</t>
  </si>
  <si>
    <t>BEFORE ADJUSTMENTS</t>
  </si>
  <si>
    <t>SCHEDULE E-2</t>
  </si>
  <si>
    <t>UTILITY</t>
  </si>
  <si>
    <t>CODE/EXPLANATION</t>
  </si>
  <si>
    <t>Original Cost</t>
  </si>
  <si>
    <t>ELIMINATION OF DEFERRED TAX BALANCES RELATED TO</t>
  </si>
  <si>
    <t xml:space="preserve">  </t>
  </si>
  <si>
    <t>To Be</t>
  </si>
  <si>
    <t>Allocation %</t>
  </si>
  <si>
    <t>Eliminated</t>
  </si>
  <si>
    <t>(Col. 1 * Col. 2)</t>
  </si>
  <si>
    <t xml:space="preserve">  (2)</t>
  </si>
  <si>
    <t xml:space="preserve">    (3)</t>
  </si>
  <si>
    <t>WPB-6d</t>
  </si>
  <si>
    <t>COMPUTATION OF RATIO OF PLANT DEVOTED TO OTHER THAN</t>
  </si>
  <si>
    <t>Purchased Power Expense</t>
  </si>
  <si>
    <t>PURPOSE AND DESCRIPTION: To adjust base period purchased power</t>
  </si>
  <si>
    <t>PURPOSE AND DESCRIPTION:  Reserved for future use.</t>
  </si>
  <si>
    <t>Reserved Adjustment</t>
  </si>
  <si>
    <t>POWER COST</t>
  </si>
  <si>
    <t>Cust</t>
  </si>
  <si>
    <t>Prod</t>
  </si>
  <si>
    <t>Tran</t>
  </si>
  <si>
    <t>Production Expense</t>
  </si>
  <si>
    <t xml:space="preserve">  Other Production Expense</t>
  </si>
  <si>
    <t>Source</t>
  </si>
  <si>
    <t>WORK PAPER REFERENCE NO(S).: SCHEDULE B-2.2, SCHEDULE B-2.3</t>
  </si>
  <si>
    <t xml:space="preserve">     Embedded cost of long-term debt (%)</t>
  </si>
  <si>
    <t xml:space="preserve">     Embedded cost of preferred stock (%)</t>
  </si>
  <si>
    <t xml:space="preserve">    Pre-tax interest coverage</t>
  </si>
  <si>
    <t xml:space="preserve">    Pre-tax interest coverage (excluding AFUDC)</t>
  </si>
  <si>
    <t xml:space="preserve">    After tax interest coverage</t>
  </si>
  <si>
    <t xml:space="preserve">     Book value per share (year-end) ($)</t>
  </si>
  <si>
    <t>RATE OF RETURN MEASURES:</t>
  </si>
  <si>
    <t xml:space="preserve">        Return on common equity (average) (%)</t>
  </si>
  <si>
    <t xml:space="preserve">        Return on total capital (average) (%)</t>
  </si>
  <si>
    <t xml:space="preserve">        Return on net plant in service (average) - Total Company %</t>
  </si>
  <si>
    <t xml:space="preserve"> *    Not required until eight month filing as provided by Section 1.5.</t>
  </si>
  <si>
    <t>OTHER FINANCIAL AND OPERATING DATA:</t>
  </si>
  <si>
    <t xml:space="preserve">    Mix of Sales ($000):</t>
  </si>
  <si>
    <t xml:space="preserve">Base Period </t>
  </si>
  <si>
    <t>TO JURISDICTIONAL TOTAL COMPANY OPERATIONS</t>
  </si>
  <si>
    <t>Accumulated Deferred Income Taxes:</t>
  </si>
  <si>
    <t>MAY</t>
  </si>
  <si>
    <t>JUNE</t>
  </si>
  <si>
    <t>JULY</t>
  </si>
  <si>
    <t>AUGUST</t>
  </si>
  <si>
    <t>SEPTEMBER</t>
  </si>
  <si>
    <t>NON-UTILITY</t>
  </si>
  <si>
    <t>Allocation</t>
  </si>
  <si>
    <t>%  (A)</t>
  </si>
  <si>
    <t>Jurisdictional Rate Base</t>
  </si>
  <si>
    <t>JURISDICTIONAL RATE BASE SUMMARY</t>
  </si>
  <si>
    <t>SCHEDULE B-1</t>
  </si>
  <si>
    <t>13 MONTH AVG.</t>
  </si>
  <si>
    <t>RATE BASE COMPONENT</t>
  </si>
  <si>
    <t>Adjusted Jurisdictional Plant in Service</t>
  </si>
  <si>
    <t>B-2</t>
  </si>
  <si>
    <t>Accumulated Depreciation and Amortization</t>
  </si>
  <si>
    <t>Net Plant in Service (Line 1 + Line 2)</t>
  </si>
  <si>
    <t>Construction Work in Progress</t>
  </si>
  <si>
    <t>Cash Working Capital Allowance</t>
  </si>
  <si>
    <t>B-5</t>
  </si>
  <si>
    <t>Other Working Capital Allowances</t>
  </si>
  <si>
    <t>Other Items:</t>
  </si>
  <si>
    <t xml:space="preserve">Based on 1/8 Oper. &amp; Maint. Expense </t>
  </si>
  <si>
    <t xml:space="preserve">less purchased gas costs or fuel and </t>
  </si>
  <si>
    <t>purchased power expenses.</t>
  </si>
  <si>
    <t>Gas Enricher Liquids</t>
  </si>
  <si>
    <t>Gas Stored Underground</t>
  </si>
  <si>
    <t>To Sch D-1 Summary</t>
  </si>
  <si>
    <t xml:space="preserve">     PAGE  1  OF  1</t>
  </si>
  <si>
    <t>SOCIAL</t>
  </si>
  <si>
    <t>ORGANIZATION/</t>
  </si>
  <si>
    <t>PERCENT</t>
  </si>
  <si>
    <t>SERVICE CLUB</t>
  </si>
  <si>
    <t>ADJUST BASE PERIOD SALES EXPENSE</t>
  </si>
  <si>
    <t>Expense</t>
  </si>
  <si>
    <t>SUMMARY OF JURISDICTIONAL FACTORS</t>
  </si>
  <si>
    <t>OPERATING INCOME</t>
  </si>
  <si>
    <t xml:space="preserve">                       SCHEDULE D-3</t>
  </si>
  <si>
    <t xml:space="preserve">                       PAGE  1  OF  1</t>
  </si>
  <si>
    <t xml:space="preserve">                       WITNESS RESPONSIBLE:</t>
  </si>
  <si>
    <t>FACTOR %</t>
  </si>
  <si>
    <t>UNCOLLECTIBLE ACCOUNTS EXPENSE</t>
  </si>
  <si>
    <t>AVERAGE DISCOUNT RATE</t>
  </si>
  <si>
    <t>REVENUE STATISTICS-TOTAL COMPANY</t>
  </si>
  <si>
    <t>SCHEDULE I-2.1</t>
  </si>
  <si>
    <t xml:space="preserve"> Annual Cost Rate</t>
  </si>
  <si>
    <t xml:space="preserve"> for each Debt Component</t>
  </si>
  <si>
    <t>Capitalization</t>
  </si>
  <si>
    <t>Jurisdictional Capitalization</t>
  </si>
  <si>
    <t>Total Allocated Capitalization</t>
  </si>
  <si>
    <t>State Income Tax - Deductible to Page 3</t>
  </si>
  <si>
    <t xml:space="preserve">     State Income Tax - Current to Page 3</t>
  </si>
  <si>
    <t>DEVELOPMENT OF JURISDICTIONAL FEDERAL AND STATE INCOME TAXES</t>
  </si>
  <si>
    <t>SCHEDULE D-2.9</t>
  </si>
  <si>
    <t>PURPOSE AND DESCRIPTION: To adjust base period A&amp;G</t>
  </si>
  <si>
    <t>A&amp;G Expenses</t>
  </si>
  <si>
    <t>WPD-2.9a</t>
  </si>
  <si>
    <t>ADJUST BASE PERIOD A&amp;G EXPENSE</t>
  </si>
  <si>
    <t>A&amp;G Expense</t>
  </si>
  <si>
    <t>PURPOSE AND DESCRIPTION: To adjust base period depreciation</t>
  </si>
  <si>
    <t>WPD-2.10a</t>
  </si>
  <si>
    <t>ADJUST BASE PERIOD DEPRECIATION EXPENSE</t>
  </si>
  <si>
    <t>SCHEDULE D-2.11</t>
  </si>
  <si>
    <t>(7)</t>
  </si>
  <si>
    <t>Pro Forma</t>
  </si>
  <si>
    <t>Adj to BP</t>
  </si>
  <si>
    <t>Adjustments to</t>
  </si>
  <si>
    <t>(FOR REASONS OTHER THAN JURISDICTIONAL ALLOCATION)</t>
  </si>
  <si>
    <t>SCHEDULE B-2.7</t>
  </si>
  <si>
    <t>Revenue and Expense</t>
  </si>
  <si>
    <t>and</t>
  </si>
  <si>
    <t>Reasons</t>
  </si>
  <si>
    <t>Amort.</t>
  </si>
  <si>
    <t>SCHEDULE D-2.16</t>
  </si>
  <si>
    <t xml:space="preserve">    Mix of Sales (%):</t>
  </si>
  <si>
    <t xml:space="preserve">         Gas</t>
  </si>
  <si>
    <t xml:space="preserve">         Electric</t>
  </si>
  <si>
    <t xml:space="preserve">    Mix of Fuel  ($000):</t>
  </si>
  <si>
    <t xml:space="preserve">    Mix of Fuel  (%):</t>
  </si>
  <si>
    <t>WORK PAPER REFERENCE NO(S).: See Below</t>
  </si>
  <si>
    <t>% OF</t>
  </si>
  <si>
    <t>WEIGHTED</t>
  </si>
  <si>
    <t>Rate of Return</t>
  </si>
  <si>
    <t>J-1</t>
  </si>
  <si>
    <t>Required Operating Income (Line 1 x Line 4)</t>
  </si>
  <si>
    <t xml:space="preserve"> </t>
  </si>
  <si>
    <t>Operating Income Deficiency (Line 5 - Line 2)</t>
  </si>
  <si>
    <t>Gross Revenue Conversion Factor</t>
  </si>
  <si>
    <t xml:space="preserve">   Underground Storage</t>
  </si>
  <si>
    <t xml:space="preserve">  CURRENT PORTION OF LONG TERM DEBT</t>
  </si>
  <si>
    <t xml:space="preserve">  LESS: CURRENT PORTION OF LONG TERM DEBT</t>
  </si>
  <si>
    <t xml:space="preserve">  ACCUMULATED PROVISION FOR PENSIONS &amp; BENEFITS</t>
  </si>
  <si>
    <t xml:space="preserve">     |</t>
  </si>
  <si>
    <t xml:space="preserve">     V</t>
  </si>
  <si>
    <t>To WPB-5.1c</t>
  </si>
  <si>
    <t>CERTAIN DEFERRED CREDITS AND ACCUMULATED DEFERRED INCOME TAXES</t>
  </si>
  <si>
    <t>SCHEDULE B-6</t>
  </si>
  <si>
    <t>ADJUSTED</t>
  </si>
  <si>
    <t>ADJUSTMENT</t>
  </si>
  <si>
    <t>Customers' Advances for Construction</t>
  </si>
  <si>
    <t>forecasted test period based on past Commission precedent.</t>
  </si>
  <si>
    <t>Total Miscellaneous Expenses</t>
  </si>
  <si>
    <t>Total Charitable Contributions</t>
  </si>
  <si>
    <t>Various Budgeted Items</t>
  </si>
  <si>
    <t xml:space="preserve">    AFUDC - Debt and Equity ($000,000)</t>
  </si>
  <si>
    <t xml:space="preserve">     Other income - net ($000,000) (a)</t>
  </si>
  <si>
    <t xml:space="preserve">     Extraordinary item ($000,000)</t>
  </si>
  <si>
    <t xml:space="preserve">     Net income ($000,000)</t>
  </si>
  <si>
    <t xml:space="preserve">     Net income applicable to Common Stock ($000,000)</t>
  </si>
  <si>
    <t>INCOME AVAILABLE FOR FIXED CHARGES:</t>
  </si>
  <si>
    <t xml:space="preserve">     Interest charges ($000)</t>
  </si>
  <si>
    <t xml:space="preserve">     Net income before preferred dividend requirements</t>
  </si>
  <si>
    <t xml:space="preserve">          of subsidiaries ($000)</t>
  </si>
  <si>
    <t xml:space="preserve">              PAGE  1  OF  1</t>
  </si>
  <si>
    <t xml:space="preserve">              WITNESS RESPONSIBLE:</t>
  </si>
  <si>
    <t>MAJOR ACCOUNT</t>
  </si>
  <si>
    <t>ADJUSTMENTS</t>
  </si>
  <si>
    <t>PRO FORMA</t>
  </si>
  <si>
    <t>OR GROUP</t>
  </si>
  <si>
    <t>SCHEDULE</t>
  </si>
  <si>
    <t>BASE</t>
  </si>
  <si>
    <t>FORECAST</t>
  </si>
  <si>
    <t>DESCRIPTION</t>
  </si>
  <si>
    <t>REFERENCE</t>
  </si>
  <si>
    <t>PERIOD</t>
  </si>
  <si>
    <t>Operating Income</t>
  </si>
  <si>
    <t>C-1</t>
  </si>
  <si>
    <t>Earned Rate of Return (Line 2 / Line 1)</t>
  </si>
  <si>
    <t xml:space="preserve">% </t>
  </si>
  <si>
    <t>Adjustments</t>
  </si>
  <si>
    <t>Adjusted</t>
  </si>
  <si>
    <t>Code</t>
  </si>
  <si>
    <t>Legal</t>
  </si>
  <si>
    <t>Total Legal Services</t>
  </si>
  <si>
    <t>Engineering</t>
  </si>
  <si>
    <t>Total Engineering Services</t>
  </si>
  <si>
    <t>Accounting</t>
  </si>
  <si>
    <t>Total Accounting Services</t>
  </si>
  <si>
    <t>Total Other Services</t>
  </si>
  <si>
    <t>D-1, E-1</t>
  </si>
  <si>
    <t>ADJ. TO</t>
  </si>
  <si>
    <t xml:space="preserve">ADJUSTMENTS </t>
  </si>
  <si>
    <t>Forecast</t>
  </si>
  <si>
    <t>C319</t>
  </si>
  <si>
    <t>Customer Accounts Expenses</t>
  </si>
  <si>
    <t>D149</t>
  </si>
  <si>
    <t>Distribution gross plant factor</t>
  </si>
  <si>
    <t>D249</t>
  </si>
  <si>
    <t>Distribution net plant factor</t>
  </si>
  <si>
    <t>DALL</t>
  </si>
  <si>
    <t>Direct Assign</t>
  </si>
  <si>
    <t>DE49</t>
  </si>
  <si>
    <t>Depreciation expense factor</t>
  </si>
  <si>
    <t>DNON</t>
  </si>
  <si>
    <t>K201</t>
  </si>
  <si>
    <t>Average of 12 months demand factor</t>
  </si>
  <si>
    <t>K209</t>
  </si>
  <si>
    <t>Sch B-2</t>
  </si>
  <si>
    <t>Additions:</t>
  </si>
  <si>
    <t xml:space="preserve"> Construction Work in Progress (Account 107)</t>
  </si>
  <si>
    <t xml:space="preserve"> Materials &amp; Supplies - </t>
  </si>
  <si>
    <t xml:space="preserve">   Propane Inventory (Account 151) (A)</t>
  </si>
  <si>
    <t>Sch B-5</t>
  </si>
  <si>
    <t xml:space="preserve">   Other Material and Supplies (Accts. 154 &amp; 163) (A)</t>
  </si>
  <si>
    <t>Sch B-3</t>
  </si>
  <si>
    <t xml:space="preserve">    The company has not merged or acquired property from other than affiliated companies.</t>
  </si>
  <si>
    <t>DEA</t>
  </si>
  <si>
    <t>Emission Allowance - Native</t>
  </si>
  <si>
    <t>Total kWh energy factor less lighting</t>
  </si>
  <si>
    <t>K411</t>
  </si>
  <si>
    <t>Administrative &amp; General</t>
  </si>
  <si>
    <t>NP29</t>
  </si>
  <si>
    <t>Total net plant factor</t>
  </si>
  <si>
    <t>UNBL</t>
  </si>
  <si>
    <t>Unbilled revenue factor - directly assigned</t>
  </si>
  <si>
    <t>SCHEDULE A</t>
  </si>
  <si>
    <t>PAGE  1  OF  1</t>
  </si>
  <si>
    <t>WORK PAPER REFERENCE NO(S).: SEE BELOW</t>
  </si>
  <si>
    <t>WITNESS RESPONSIBLE:</t>
  </si>
  <si>
    <t>Less:</t>
  </si>
  <si>
    <t>FORECASTED PERIOD</t>
  </si>
  <si>
    <t>Base Period KWH Sales</t>
  </si>
  <si>
    <t>Forecasted</t>
  </si>
  <si>
    <t xml:space="preserve">  Operating Revenues</t>
  </si>
  <si>
    <t xml:space="preserve"> Accretion Expense</t>
  </si>
  <si>
    <t xml:space="preserve">      Total Utility Operating Expenses</t>
  </si>
  <si>
    <t xml:space="preserve">      Net Utility Operating Income</t>
  </si>
  <si>
    <t xml:space="preserve">    Miscellaneous Nonoperating Income</t>
  </si>
  <si>
    <t xml:space="preserve">      Total Other Income</t>
  </si>
  <si>
    <t xml:space="preserve">    Miscellaneous Income Deductions</t>
  </si>
  <si>
    <t xml:space="preserve">      Total Other Income Deductions</t>
  </si>
  <si>
    <t xml:space="preserve">    Other Interest Expense</t>
  </si>
  <si>
    <t xml:space="preserve">    Interest and Dividend Income</t>
  </si>
  <si>
    <t xml:space="preserve">    Allowance for Funds Used During Const</t>
  </si>
  <si>
    <t>Underground Conductors &amp; Devices</t>
  </si>
  <si>
    <t>Line Transformers</t>
  </si>
  <si>
    <t>Customers Transformer Installation</t>
  </si>
  <si>
    <t>Services - Underground</t>
  </si>
  <si>
    <t>Services - Overhead</t>
  </si>
  <si>
    <t>Leased Property on Customers</t>
  </si>
  <si>
    <t xml:space="preserve">                      PAGE  1  OF  1</t>
  </si>
  <si>
    <t xml:space="preserve">               OPERATION AND MAINTENANCE  EXPENSES               </t>
  </si>
  <si>
    <t>Amount</t>
  </si>
  <si>
    <t>LABOR</t>
  </si>
  <si>
    <t>Power Production Expense</t>
  </si>
  <si>
    <t xml:space="preserve">  Electric Purchased Inter Co.</t>
  </si>
  <si>
    <t xml:space="preserve">    Demand Related</t>
  </si>
  <si>
    <t xml:space="preserve">    Energy Related</t>
  </si>
  <si>
    <t xml:space="preserve">  Electric Systems Operations Dept</t>
  </si>
  <si>
    <t xml:space="preserve">  Electric Other Power Supply</t>
  </si>
  <si>
    <t xml:space="preserve">  Load Dispatching</t>
  </si>
  <si>
    <t xml:space="preserve">  Station Expense</t>
  </si>
  <si>
    <t xml:space="preserve">  Overhead Lines</t>
  </si>
  <si>
    <t xml:space="preserve">  Miscellaneous Transmission</t>
  </si>
  <si>
    <t xml:space="preserve">  Rents - Interco CG&amp;E</t>
  </si>
  <si>
    <t xml:space="preserve">  Structures</t>
  </si>
  <si>
    <t xml:space="preserve">  Station Equipment</t>
  </si>
  <si>
    <t xml:space="preserve">  Miscellaneous</t>
  </si>
  <si>
    <t xml:space="preserve">    Total Transmission Expense</t>
  </si>
  <si>
    <t xml:space="preserve">  Station Expenses</t>
  </si>
  <si>
    <t xml:space="preserve">  Street Lighting &amp; Signal Systems</t>
  </si>
  <si>
    <t xml:space="preserve">  Meter Expense</t>
  </si>
  <si>
    <t xml:space="preserve">  Customer Installations</t>
  </si>
  <si>
    <t xml:space="preserve">  Miscellaneous Distribution</t>
  </si>
  <si>
    <t xml:space="preserve">  Rents - Interco - CG&amp;E</t>
  </si>
  <si>
    <t xml:space="preserve">  Underground Lines-Conduit</t>
  </si>
  <si>
    <t xml:space="preserve">  Line Transformers</t>
  </si>
  <si>
    <t xml:space="preserve">  Meters</t>
  </si>
  <si>
    <t xml:space="preserve">  Miscellaneous Distr. Plant</t>
  </si>
  <si>
    <t xml:space="preserve">  Loss on Sale of A/R</t>
  </si>
  <si>
    <t xml:space="preserve">  Miscellaneous Customers Accounts</t>
  </si>
  <si>
    <t xml:space="preserve">  Customer Assistance Activities</t>
  </si>
  <si>
    <t xml:space="preserve">  Informational &amp; Instructional Adver.</t>
  </si>
  <si>
    <t xml:space="preserve">  Misc. Cust. Serv. &amp; Info.</t>
  </si>
  <si>
    <t xml:space="preserve">  Advertising</t>
  </si>
  <si>
    <t xml:space="preserve">  Administrative Expenses Transfer Cr.</t>
  </si>
  <si>
    <t xml:space="preserve">    Total State and Other</t>
  </si>
  <si>
    <t xml:space="preserve">  Normal &amp; Surtax</t>
  </si>
  <si>
    <t>Provision For Deferred Income Taxes</t>
  </si>
  <si>
    <t>Deferrals - Federal</t>
  </si>
  <si>
    <t>Deferrals - State</t>
  </si>
  <si>
    <t>Writebacks - Federal</t>
  </si>
  <si>
    <t>Writebacks - State</t>
  </si>
  <si>
    <t xml:space="preserve">   Total Provision for Deferred Income Taxes</t>
  </si>
  <si>
    <t xml:space="preserve">    Total Income Taxes</t>
  </si>
  <si>
    <t>KWH SALES BY</t>
  </si>
  <si>
    <t xml:space="preserve"> CLASS</t>
  </si>
  <si>
    <t xml:space="preserve"> CLASS-KWH_(A)___</t>
  </si>
  <si>
    <t xml:space="preserve"> CUSTOMER-KWH</t>
  </si>
  <si>
    <t xml:space="preserve"> RETAIL</t>
  </si>
  <si>
    <t xml:space="preserve">  Other Electric Revenues</t>
  </si>
  <si>
    <t>ELECTRIC DEPARTMENT</t>
  </si>
  <si>
    <t>Fuel Cost Revenue</t>
  </si>
  <si>
    <t xml:space="preserve">  Other Production Expenses</t>
  </si>
  <si>
    <t>PURPOSE AND DESCRIPTION: To reflect state income taxes at</t>
  </si>
  <si>
    <t>(a)  Includes Interest Charges and income tax on Other Income &amp; Deductions.</t>
  </si>
  <si>
    <t xml:space="preserve"> Electric Expenses</t>
  </si>
  <si>
    <t>WORK PAPER REFERENCE NO(S).:  WPD-2.11a</t>
  </si>
  <si>
    <t>WORK PAPER REFERENCE NO(S).:  WPD-2.10a</t>
  </si>
  <si>
    <t>OPERATING INCOME BY MAJOR ACCOUNTS</t>
  </si>
  <si>
    <t xml:space="preserve">          SCHEDULE D-1</t>
  </si>
  <si>
    <t xml:space="preserve">          WITNESS RESPONSIBLE:</t>
  </si>
  <si>
    <t>ADJUST</t>
  </si>
  <si>
    <t>DISTRIBUTION</t>
  </si>
  <si>
    <t xml:space="preserve">     WITNESS RESPONSIBLE:</t>
  </si>
  <si>
    <t xml:space="preserve">   To Sch D-1 Summary &lt;----</t>
  </si>
  <si>
    <t xml:space="preserve">     From Sch F-6 &lt;---</t>
  </si>
  <si>
    <t>AG</t>
  </si>
  <si>
    <t>Dist</t>
  </si>
  <si>
    <t>CSI</t>
  </si>
  <si>
    <t>Sales</t>
  </si>
  <si>
    <t>Unbilled</t>
  </si>
  <si>
    <t>Base Fuel</t>
  </si>
  <si>
    <t>Fuel Clause</t>
  </si>
  <si>
    <t>Street Lighting</t>
  </si>
  <si>
    <t>Total Fuel</t>
  </si>
  <si>
    <t>Annualized Electric Interest Expense</t>
  </si>
  <si>
    <t>Total Annualized Electric Interest Expense</t>
  </si>
  <si>
    <t>Total Net Gas Plant before Adjustment</t>
  </si>
  <si>
    <t xml:space="preserve">   of Facilities Devoted to Other</t>
  </si>
  <si>
    <t>Accum Depr.</t>
  </si>
  <si>
    <t>Net Plant</t>
  </si>
  <si>
    <t>Total Net Gas Plant Devoted to</t>
  </si>
  <si>
    <t xml:space="preserve">Ratio of Plant Devoted to Other Than </t>
  </si>
  <si>
    <t>Amount (1)</t>
  </si>
  <si>
    <t>(1) Company Records.</t>
  </si>
  <si>
    <t>WPB-6e</t>
  </si>
  <si>
    <t xml:space="preserve"> Supervision and Engineering</t>
  </si>
  <si>
    <t>Miscellaneous Service Revenues</t>
  </si>
  <si>
    <t>Other Electric Revenues</t>
  </si>
  <si>
    <t xml:space="preserve">     SCHEDULE F-1</t>
  </si>
  <si>
    <t>CUST. SERV.</t>
  </si>
  <si>
    <t xml:space="preserve"> Maintenance of Electric Plant</t>
  </si>
  <si>
    <t xml:space="preserve">    State income taxes (current) ($000,000)</t>
  </si>
  <si>
    <t xml:space="preserve">    Total income taxes (current) ($000,000)</t>
  </si>
  <si>
    <t xml:space="preserve">    Investment tax credits - net ($000,000)</t>
  </si>
  <si>
    <t>Sale of Accounts Receivable</t>
  </si>
  <si>
    <t>Amount Sold for Cash/Classified as Receivable</t>
  </si>
  <si>
    <t>Totals</t>
  </si>
  <si>
    <t>Cost of Short-Term Debt</t>
  </si>
  <si>
    <t>EMBEDDED COST OF LONG-TERM DEBT</t>
  </si>
  <si>
    <t>SCHEDULE J-3</t>
  </si>
  <si>
    <t>DEBT ISSUE</t>
  </si>
  <si>
    <t>MATURITY</t>
  </si>
  <si>
    <t>FACE</t>
  </si>
  <si>
    <t>UNAMORT.</t>
  </si>
  <si>
    <t>UNAMORT. LOSS</t>
  </si>
  <si>
    <t>ANNUAL</t>
  </si>
  <si>
    <t>TYPE, COUPON</t>
  </si>
  <si>
    <t>ISSUED</t>
  </si>
  <si>
    <t>PRINCIPAL</t>
  </si>
  <si>
    <t>(DISCOUNT)</t>
  </si>
  <si>
    <t>ON REACQUIRED</t>
  </si>
  <si>
    <t>CARRYING</t>
  </si>
  <si>
    <t>(DAY/MO/YR)</t>
  </si>
  <si>
    <t>OR PREMIUM</t>
  </si>
  <si>
    <t>VALUE</t>
  </si>
  <si>
    <t>COST(*)</t>
  </si>
  <si>
    <t>(H=D+E-F-G)</t>
  </si>
  <si>
    <t>10.25% due 6/1/2020</t>
  </si>
  <si>
    <t>9.7% due 7/1/2019</t>
  </si>
  <si>
    <t>Electric Cash Working Capital</t>
  </si>
  <si>
    <t>Gas Cash Working Capital</t>
  </si>
  <si>
    <t>To WPA-1b</t>
  </si>
  <si>
    <t>Temp</t>
  </si>
  <si>
    <t>Perm</t>
  </si>
  <si>
    <t>Other Temporary Differences</t>
  </si>
  <si>
    <t xml:space="preserve">Street Lighting - Overhead  </t>
  </si>
  <si>
    <t>Street Lighting - Boulevard</t>
  </si>
  <si>
    <t>Street Lighting - Cust,Private Outdoor Lighting</t>
  </si>
  <si>
    <t>Tools,Shop &amp; Garage Equipment</t>
  </si>
  <si>
    <t>Miscellaneous Intanbile Plant</t>
  </si>
  <si>
    <t>Office Furniture &amp; Equipment - EDP Equipment</t>
  </si>
  <si>
    <t xml:space="preserve">     Total Steam Production Plant </t>
  </si>
  <si>
    <t xml:space="preserve">     Total Other Production Plant </t>
  </si>
  <si>
    <t>Steam Production</t>
  </si>
  <si>
    <t>Other Production</t>
  </si>
  <si>
    <t xml:space="preserve">Total Steam Production Plant </t>
  </si>
  <si>
    <t xml:space="preserve">Total Other Production Plant </t>
  </si>
  <si>
    <t>PAGE  7  OF  12</t>
  </si>
  <si>
    <t xml:space="preserve">  Sales Expense</t>
  </si>
  <si>
    <t>(A) Source: WPC-2c.</t>
  </si>
  <si>
    <t>Total Unbilled Revenue (A)</t>
  </si>
  <si>
    <t>(A) Source: WPC-2d.</t>
  </si>
  <si>
    <t xml:space="preserve">   AND INFORMATION EXPENSE</t>
  </si>
  <si>
    <t>ADJUST BASE PERIOD CUSTOMER SERVICE</t>
  </si>
  <si>
    <t xml:space="preserve">  &amp; Sch E-1, Pg. 1</t>
  </si>
  <si>
    <t>WPE-1b</t>
  </si>
  <si>
    <t>State Income Tax Deductible from Page 2</t>
  </si>
  <si>
    <t>Distribution Expenses</t>
  </si>
  <si>
    <t>WPB-5.1i</t>
  </si>
  <si>
    <t>AMORT.</t>
  </si>
  <si>
    <t xml:space="preserve"> CLASS (AVERAGE)</t>
  </si>
  <si>
    <t xml:space="preserve">AVERAGE SALES PER </t>
  </si>
  <si>
    <t>SCHEDULE I-5</t>
  </si>
  <si>
    <t>COST OF CAPITAL SUMMARY</t>
  </si>
  <si>
    <t>SCHEDULE J-1</t>
  </si>
  <si>
    <t>Annual</t>
  </si>
  <si>
    <t>Jurisdictional</t>
  </si>
  <si>
    <t>Case</t>
  </si>
  <si>
    <t>Audit</t>
  </si>
  <si>
    <t xml:space="preserve"> Depreciation Expense</t>
  </si>
  <si>
    <t>RATE</t>
  </si>
  <si>
    <t>ELIMINATE</t>
  </si>
  <si>
    <t>INTEREST</t>
  </si>
  <si>
    <t>CASE</t>
  </si>
  <si>
    <t>D-2.12</t>
  </si>
  <si>
    <t>D-2.13</t>
  </si>
  <si>
    <t>D-2.14</t>
  </si>
  <si>
    <t>D-2.15</t>
  </si>
  <si>
    <t>D-2.16</t>
  </si>
  <si>
    <t>D-2.18</t>
  </si>
  <si>
    <t>D-2.19</t>
  </si>
  <si>
    <t>D-2.20</t>
  </si>
  <si>
    <t>D-2.21</t>
  </si>
  <si>
    <t>D-2.22</t>
  </si>
  <si>
    <t>D-2.23</t>
  </si>
  <si>
    <t>D-2.26</t>
  </si>
  <si>
    <t>D-2.27</t>
  </si>
  <si>
    <t>D-2.28</t>
  </si>
  <si>
    <t>D-2.29</t>
  </si>
  <si>
    <t xml:space="preserve">          SCHEDULE D-2.1</t>
  </si>
  <si>
    <t xml:space="preserve">Total </t>
  </si>
  <si>
    <t>None</t>
  </si>
  <si>
    <t>WPF-5a</t>
  </si>
  <si>
    <t>WPF-5b</t>
  </si>
  <si>
    <t>Project / Description</t>
  </si>
  <si>
    <t>WPF-4a</t>
  </si>
  <si>
    <t>WPF-4b</t>
  </si>
  <si>
    <t>JURISDICTIONAL STATISTICS</t>
  </si>
  <si>
    <t xml:space="preserve">    SCHEDULE D-4</t>
  </si>
  <si>
    <t xml:space="preserve">    PAGE  1  OF  1</t>
  </si>
  <si>
    <t xml:space="preserve">    WITNESS RESPONSIBLE:</t>
  </si>
  <si>
    <t>FACTOR</t>
  </si>
  <si>
    <t xml:space="preserve">    SCHEDULE D-5</t>
  </si>
  <si>
    <t>IN PRIOR CASE</t>
  </si>
  <si>
    <t>PROCEDURE APPROVED</t>
  </si>
  <si>
    <t>ADJUSTED JURISDICTIONAL FEDERAL AND STATE INCOME TAXES</t>
  </si>
  <si>
    <t>SCHEDULE E-1</t>
  </si>
  <si>
    <t>WIT9:</t>
  </si>
  <si>
    <t>SALES BY CUSTOMER</t>
  </si>
  <si>
    <t>6 Months Ended</t>
  </si>
  <si>
    <t xml:space="preserve">   Gross State Taxable Income</t>
  </si>
  <si>
    <t xml:space="preserve">   State Business Taxable Income (after apportionment) </t>
  </si>
  <si>
    <t>SCHEDULE D-2.28</t>
  </si>
  <si>
    <t>Land and Land Rights</t>
  </si>
  <si>
    <t>10</t>
  </si>
  <si>
    <t>11</t>
  </si>
  <si>
    <t>12</t>
  </si>
  <si>
    <t>13</t>
  </si>
  <si>
    <t>14</t>
  </si>
  <si>
    <t>15</t>
  </si>
  <si>
    <t xml:space="preserve">PURPOSE AND DESCRIPTION: To reflect the adjustment to </t>
  </si>
  <si>
    <t>LIABILITIES AND NET WORTH</t>
  </si>
  <si>
    <t>PROPRIETARY CAPITAL</t>
  </si>
  <si>
    <t xml:space="preserve">  COMMON STOCK ISSUED</t>
  </si>
  <si>
    <t xml:space="preserve">  PREMIUM ON CAPITAL STOCK</t>
  </si>
  <si>
    <t xml:space="preserve">  OTHER PAID-IN CAPITAL</t>
  </si>
  <si>
    <t xml:space="preserve">  RETAINED EARNINGS</t>
  </si>
  <si>
    <t xml:space="preserve">    TOTAL PROPRIETARY CAPITAL</t>
  </si>
  <si>
    <t xml:space="preserve">     Preferred dividend requirements of subsidiaries ($000)</t>
  </si>
  <si>
    <t xml:space="preserve">     Cost of reacquisition of Preferred Stock ($000)</t>
  </si>
  <si>
    <t xml:space="preserve">     Earnings available for common equity ($000)</t>
  </si>
  <si>
    <t xml:space="preserve">     AFUDC - % of net income before preferred dividend</t>
  </si>
  <si>
    <t xml:space="preserve">          requirements of subsidiaries</t>
  </si>
  <si>
    <t xml:space="preserve">     AFUDC - % of earnings available for common equity</t>
  </si>
  <si>
    <t xml:space="preserve">COST OF CAPITAL: </t>
  </si>
  <si>
    <t xml:space="preserve"> CUSTOMER          </t>
  </si>
  <si>
    <t>(A) Contains Billed and Unbilled Sales.</t>
  </si>
  <si>
    <t>Average</t>
  </si>
  <si>
    <t>SCHEDULE I-3</t>
  </si>
  <si>
    <t xml:space="preserve">                  MOST RECENT FIVE CALENDAR YEARS                  </t>
  </si>
  <si>
    <t xml:space="preserve">RETAIL - </t>
  </si>
  <si>
    <t>SCHEDULE D-2.34</t>
  </si>
  <si>
    <t xml:space="preserve">    Total Operating Expenses</t>
  </si>
  <si>
    <t>JURISDICTIONAL ADJUSTED OPERATING INCOME STATEMENT</t>
  </si>
  <si>
    <t>(A) Allocation Code</t>
  </si>
  <si>
    <t>CHARITABLE CONTRIBUTIONS</t>
  </si>
  <si>
    <t>Other Rate Base Items</t>
  </si>
  <si>
    <t>Sch B-6</t>
  </si>
  <si>
    <t>Total Additions</t>
  </si>
  <si>
    <t>Deductions:</t>
  </si>
  <si>
    <t>WORK PAPER REFERENCE NO(S).:  WPD-2.2a</t>
  </si>
  <si>
    <t>WORK PAPER REFERENCE NO(S).:  WPD-2.3a</t>
  </si>
  <si>
    <t>WORK PAPER REFERENCE NO(S).:  WPD-2.7a</t>
  </si>
  <si>
    <t xml:space="preserve">  MISCELLANEOUS CURRENT AND ACCRUED LIABILITIES</t>
  </si>
  <si>
    <t xml:space="preserve">    TOTAL CURRENT AND ACCRUED LIABILITIES</t>
  </si>
  <si>
    <t>DEFERRED CREDITS</t>
  </si>
  <si>
    <t xml:space="preserve">  CUSTOMER ADVANCES FOR CONSTRUCTION</t>
  </si>
  <si>
    <t xml:space="preserve">  ACCUMULATED DEFERRED INVESTMENT TAX CREDITS</t>
  </si>
  <si>
    <t xml:space="preserve">  OTHER DEFERRED CREDITS</t>
  </si>
  <si>
    <t>WPB-5.1h</t>
  </si>
  <si>
    <t>(1) WPB-5.1h.</t>
  </si>
  <si>
    <t>Transmission Expense</t>
  </si>
  <si>
    <t>Sch C-2</t>
  </si>
  <si>
    <r>
      <t xml:space="preserve">click  </t>
    </r>
    <r>
      <rPr>
        <sz val="12"/>
        <color indexed="10"/>
        <rFont val="Arial"/>
        <family val="2"/>
      </rPr>
      <t xml:space="preserve">"Model Navigation" </t>
    </r>
    <r>
      <rPr>
        <sz val="12"/>
        <rFont val="Arial"/>
        <family val="2"/>
      </rPr>
      <t xml:space="preserve">on the </t>
    </r>
  </si>
  <si>
    <t xml:space="preserve"> OVERTIME HOURS</t>
  </si>
  <si>
    <t xml:space="preserve"> TOTAL MANHOURS</t>
  </si>
  <si>
    <t>RATIO OF OVERTIME HOURS TO</t>
  </si>
  <si>
    <t xml:space="preserve">       STRAIGHT TIME HOURS</t>
  </si>
  <si>
    <t xml:space="preserve">  Taxes Applicable to Other Income and Deductions</t>
  </si>
  <si>
    <t xml:space="preserve">      Total Taxes on Other Income and Deductions</t>
  </si>
  <si>
    <t xml:space="preserve">      Net Other Income and Deductions</t>
  </si>
  <si>
    <t xml:space="preserve">    Interest on Long Term Debt</t>
  </si>
  <si>
    <t>Per Regulatory and</t>
  </si>
  <si>
    <t xml:space="preserve">    GAAP Guidelines</t>
  </si>
  <si>
    <t xml:space="preserve">  Normal and Surtax</t>
  </si>
  <si>
    <t>Adjusted Jurisdiction</t>
  </si>
  <si>
    <t>Current</t>
  </si>
  <si>
    <t>Calculated</t>
  </si>
  <si>
    <t>or Major</t>
  </si>
  <si>
    <t>Accrual</t>
  </si>
  <si>
    <t xml:space="preserve">  UTILITY PLANT IN SERVICE</t>
  </si>
  <si>
    <t xml:space="preserve">  CONSTRUCTION WORK IN PROGRESS</t>
  </si>
  <si>
    <t xml:space="preserve">    TOTAL UTILITY PLANT</t>
  </si>
  <si>
    <t xml:space="preserve">  LESS: ACCUMULATED PROVISION FOR DEPRECIATION</t>
  </si>
  <si>
    <t xml:space="preserve">  NET UTILITY PLANT</t>
  </si>
  <si>
    <t>OTHER PROPERTY AND INVESTMENTS</t>
  </si>
  <si>
    <t xml:space="preserve">  NONUTILITY PROPERTY - NET</t>
  </si>
  <si>
    <t xml:space="preserve">  OTHER INVESTMENTS</t>
  </si>
  <si>
    <t xml:space="preserve">  SPECIAL FUNDS</t>
  </si>
  <si>
    <t xml:space="preserve">    TOTAL OTHER PROPERTY AND INVESTMENTS</t>
  </si>
  <si>
    <t>CURRENT AND ACCRUED ASSETS</t>
  </si>
  <si>
    <t xml:space="preserve">  CASH</t>
  </si>
  <si>
    <t xml:space="preserve">  SPECIAL DEPOSITS</t>
  </si>
  <si>
    <t xml:space="preserve">  WORKING FUNDS</t>
  </si>
  <si>
    <t xml:space="preserve">  TEMPORARY CASH INVESTMENTS</t>
  </si>
  <si>
    <t xml:space="preserve">  RECEIVABLES FROM ASSOCIATED COMPANIES</t>
  </si>
  <si>
    <t xml:space="preserve">  MATERIALS, SUPPLIES AND FUEL</t>
  </si>
  <si>
    <t xml:space="preserve">  GAS STORED - CURRENT</t>
  </si>
  <si>
    <t xml:space="preserve">  PREPAYMENTS</t>
  </si>
  <si>
    <t xml:space="preserve">  MISCELLANEOUS CURRENT AND ACCRUED ASSETS</t>
  </si>
  <si>
    <t xml:space="preserve">  RENTS RECEIVABLE</t>
  </si>
  <si>
    <t>Amortization of Investment Tax Credit</t>
  </si>
  <si>
    <t>Inter-Dept</t>
  </si>
  <si>
    <t>WPC-2c</t>
  </si>
  <si>
    <t>REVENUE DETAIL</t>
  </si>
  <si>
    <t xml:space="preserve">       Gas (%)</t>
  </si>
  <si>
    <t>Operating Income - Before Income Taxes</t>
  </si>
  <si>
    <t>FERC</t>
  </si>
  <si>
    <t>(D)</t>
  </si>
  <si>
    <t>(I)</t>
  </si>
  <si>
    <t xml:space="preserve">   State Income Tax Deductible</t>
  </si>
  <si>
    <t>Residential</t>
  </si>
  <si>
    <t>Commercial</t>
  </si>
  <si>
    <t>Industrial</t>
  </si>
  <si>
    <t>OPA</t>
  </si>
  <si>
    <t>Taxes Other Than Income Taxes</t>
  </si>
  <si>
    <t>SCH. H</t>
  </si>
  <si>
    <t>Operating Expenses Before Income Taxes</t>
  </si>
  <si>
    <t>Operating Income Before Income Taxes (Line 1 - Line 10)</t>
  </si>
  <si>
    <t>Base Period - Ending Balance</t>
  </si>
  <si>
    <t>PREPAYMENTS</t>
  </si>
  <si>
    <t>SCHEDULE REFERENCE</t>
  </si>
  <si>
    <t xml:space="preserve">   PAGE  1  OF  2</t>
  </si>
  <si>
    <t xml:space="preserve">   PAGE  2  OF  2</t>
  </si>
  <si>
    <t>PAGE 1 OF 5</t>
  </si>
  <si>
    <t>PAGE 2 OF 5</t>
  </si>
  <si>
    <t>PAGE 3 OF 5</t>
  </si>
  <si>
    <t>PAGE 4 OF 5</t>
  </si>
  <si>
    <t>PAGE 5 OF 5</t>
  </si>
  <si>
    <t>SCHEDULE D-2.6</t>
  </si>
  <si>
    <t>COMPARISON OF PROJECTED EXPENSES ASSOCIATED WITH THE CURRENT CASE TO PRIOR RATE CASES</t>
  </si>
  <si>
    <t>CASE NO.</t>
  </si>
  <si>
    <t>ITEM OF EXPENSE</t>
  </si>
  <si>
    <t>ESTIMATE</t>
  </si>
  <si>
    <t>ACTUAL</t>
  </si>
  <si>
    <t>CHANGE</t>
  </si>
  <si>
    <t>NON-NATIVE</t>
  </si>
  <si>
    <t>ELIMINATE NON-NATIVE REVENUE AND EXPENSE</t>
  </si>
  <si>
    <t>and related fuel, emission allowance and other variable expenses.</t>
  </si>
  <si>
    <t>Other Variable Costs</t>
  </si>
  <si>
    <t>Off-System Sales Revenue</t>
  </si>
  <si>
    <t>5</t>
  </si>
  <si>
    <t>7</t>
  </si>
  <si>
    <t>8</t>
  </si>
  <si>
    <t>9</t>
  </si>
  <si>
    <t xml:space="preserve">  UNAMORTIZED DISCOUNT ON LONG TERM DEBT - DEBIT</t>
  </si>
  <si>
    <t xml:space="preserve">    TOTAL LONG TERM DEBT</t>
  </si>
  <si>
    <t>OTHER NONCURRENT LIABILITIES</t>
  </si>
  <si>
    <t>To WPB-5.1e</t>
  </si>
  <si>
    <t>Prepaid</t>
  </si>
  <si>
    <t>Insurance</t>
  </si>
  <si>
    <t>LITIGATI - Litigation</t>
  </si>
  <si>
    <t>REALEST - Real Estate</t>
  </si>
  <si>
    <t>WPB-5.1j</t>
  </si>
  <si>
    <t>151700 (A)</t>
  </si>
  <si>
    <t>Propane</t>
  </si>
  <si>
    <t>Oil</t>
  </si>
  <si>
    <t>Woodsdale</t>
  </si>
  <si>
    <t>East Bend</t>
  </si>
  <si>
    <t>Propane - Woodsdale</t>
  </si>
  <si>
    <t>To SCH B-5.1</t>
  </si>
  <si>
    <t>SO2 EA</t>
  </si>
  <si>
    <t>NOx</t>
  </si>
  <si>
    <t>Capital Lease - Erlanger Facility</t>
  </si>
  <si>
    <t>7.65% due 7/15/2025</t>
  </si>
  <si>
    <t>Notes Payable - Money Pool</t>
  </si>
  <si>
    <t>WORK PAPER REFERENCE NO(S).: WPB-2.2a</t>
  </si>
  <si>
    <t>R0.5</t>
  </si>
  <si>
    <t>NA</t>
  </si>
  <si>
    <t>R2</t>
  </si>
  <si>
    <t>S0</t>
  </si>
  <si>
    <t>L2</t>
  </si>
  <si>
    <t xml:space="preserve">  Transmission of Electricity by Others</t>
  </si>
  <si>
    <t xml:space="preserve">   Production Plant-Steam</t>
  </si>
  <si>
    <t xml:space="preserve">   Production Plant-Hydro</t>
  </si>
  <si>
    <t xml:space="preserve">   Production Plant-Other</t>
  </si>
  <si>
    <t xml:space="preserve">      Total Electric Plant-Gross</t>
  </si>
  <si>
    <t xml:space="preserve">      Electric Plant in Service-Net</t>
  </si>
  <si>
    <t>SCHEDULE B-5</t>
  </si>
  <si>
    <t>ALLOCATED</t>
  </si>
  <si>
    <t>MONTH</t>
  </si>
  <si>
    <t>ALLOC. (B)</t>
  </si>
  <si>
    <t>Base Period</t>
  </si>
  <si>
    <t>October</t>
  </si>
  <si>
    <t xml:space="preserve">  Provision for Deferred Income Taxes - Net</t>
  </si>
  <si>
    <t xml:space="preserve">  Amortization of Investment Tax Credit</t>
  </si>
  <si>
    <t>EA Inventory</t>
  </si>
  <si>
    <t>END OF BASE PERIOD BALANCE</t>
  </si>
  <si>
    <t>Forecasted Period - 13 Month Average Balance</t>
  </si>
  <si>
    <t>13 Month Average - Forecasted Period</t>
  </si>
  <si>
    <t>Total Fuel Inventory</t>
  </si>
  <si>
    <t>(2) Not allowed due to Commission precedent.</t>
  </si>
  <si>
    <t>Other</t>
  </si>
  <si>
    <t>INTEREST EXPENSE DEDUCTIBLE</t>
  </si>
  <si>
    <t xml:space="preserve"> Steam Expenses</t>
  </si>
  <si>
    <t xml:space="preserve"> Maintenance of Boiler Plant</t>
  </si>
  <si>
    <t>Test Period Electric Interest Deduction</t>
  </si>
  <si>
    <t>Fuel Cost</t>
  </si>
  <si>
    <t>WORK PAPER</t>
  </si>
  <si>
    <t>TOTAL</t>
  </si>
  <si>
    <t>WORKING CAPITAL COMPONENT</t>
  </si>
  <si>
    <t xml:space="preserve">  LESS: ACCUM. PROVISION FOR DEPR. &amp; AMORT.</t>
  </si>
  <si>
    <t xml:space="preserve">  NOTES RECEIVABLE FROM ASSOCIATED COMPANIES</t>
  </si>
  <si>
    <t xml:space="preserve">  ACCUMULATED OTHER COMPREHENSIVE INCOME</t>
  </si>
  <si>
    <t>CALCULATION OF JURISDICTIONAL CAPITALIZATION</t>
  </si>
  <si>
    <t>November</t>
  </si>
  <si>
    <t>December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</si>
  <si>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</si>
  <si>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</si>
  <si>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</si>
  <si>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</si>
  <si>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</si>
  <si>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</si>
  <si>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</si>
  <si>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</si>
  <si>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 xml:space="preserve">  Total</t>
  </si>
  <si>
    <t>WPD-2.8a</t>
  </si>
  <si>
    <t>(A) Source: Company Records</t>
  </si>
  <si>
    <t>(B) Percent Applicable to Kentucky Customers.</t>
  </si>
  <si>
    <t>ALLOC. TO</t>
  </si>
  <si>
    <t>JURIS.</t>
  </si>
  <si>
    <t>ALLOCATION</t>
  </si>
  <si>
    <t xml:space="preserve"> JURISDIC.</t>
  </si>
  <si>
    <t>COMPANY (1)</t>
  </si>
  <si>
    <t xml:space="preserve">     %     </t>
  </si>
  <si>
    <t>CODE</t>
  </si>
  <si>
    <t xml:space="preserve">  AMOUNT</t>
  </si>
  <si>
    <t xml:space="preserve">    Total</t>
  </si>
  <si>
    <t xml:space="preserve">  ACCOUNTS PAYABLE</t>
  </si>
  <si>
    <t xml:space="preserve">  NOTES PAYABLE TO ASSOCIATED COMPANIES</t>
  </si>
  <si>
    <t xml:space="preserve">  ACCOUNTS PAYABLE TO ASSOCIATED COMPANIES</t>
  </si>
  <si>
    <t xml:space="preserve">  CUSTOMER DEPOSITS</t>
  </si>
  <si>
    <t xml:space="preserve">  TAXES ACCRUED</t>
  </si>
  <si>
    <t>Tax Depreciation</t>
  </si>
  <si>
    <t xml:space="preserve">  before State Income Tax to Page 3</t>
  </si>
  <si>
    <t>Deferred State Income Taxes - Net</t>
  </si>
  <si>
    <t xml:space="preserve">PURPOSE AND DESCRIPTION: To adjust base period customer accounts expenses </t>
  </si>
  <si>
    <t>WPD-2.6a</t>
  </si>
  <si>
    <t>ADJUST BASE PERIOD CUSTOMER ACCOUNTS EXPENSE</t>
  </si>
  <si>
    <t>SCHEDULE D-2.7</t>
  </si>
  <si>
    <t xml:space="preserve">  MONTH  </t>
  </si>
  <si>
    <t>AMOUNT (A)</t>
  </si>
  <si>
    <t>(A) Company Records</t>
  </si>
  <si>
    <t>WPB-5.1d</t>
  </si>
  <si>
    <t>ACCOUNT</t>
  </si>
  <si>
    <t>SCHEDULE D-2.21</t>
  </si>
  <si>
    <t>WPD-2.13a</t>
  </si>
  <si>
    <t>SCHEDULE D-2.13</t>
  </si>
  <si>
    <t>WORK PAPER REFERENCE NO(S).:  WPD-2.13a</t>
  </si>
  <si>
    <t>Revenue Deficiency (Line 6 x Line 7)</t>
  </si>
  <si>
    <t>WORK PAPER REFERENCE NO(S).: WPH-a</t>
  </si>
  <si>
    <t xml:space="preserve">   Income before Income Tax (Line 1 - Line 6)</t>
  </si>
  <si>
    <t xml:space="preserve">   Income before Federal Income Tax (Line 8 - Line 11)</t>
  </si>
  <si>
    <t xml:space="preserve">   Operating Income Percentage (Line 13 - Line 15) </t>
  </si>
  <si>
    <t>Transfers/Reclassifications</t>
  </si>
  <si>
    <t>Beginning</t>
  </si>
  <si>
    <t>Explanation</t>
  </si>
  <si>
    <t>No property is excluded from rate base for reasons other than jurisdictional allocation.</t>
  </si>
  <si>
    <t xml:space="preserve">    To Sch D-1 Summary &lt;---</t>
  </si>
  <si>
    <t>AMORTIZATION OF RATE CASE EXPENSE</t>
  </si>
  <si>
    <t>Estimated Expense</t>
  </si>
  <si>
    <t xml:space="preserve">    Total Operating Expenses &amp; Taxes</t>
  </si>
  <si>
    <t xml:space="preserve">    Net Operating Income</t>
  </si>
  <si>
    <t>(A) Represents rate case expense included on Schedule C-2, as adjusted.</t>
  </si>
  <si>
    <t xml:space="preserve">      Total Revenue</t>
  </si>
  <si>
    <t>Operation</t>
  </si>
  <si>
    <t xml:space="preserve">    Total Operation</t>
  </si>
  <si>
    <t>Maintenance</t>
  </si>
  <si>
    <t xml:space="preserve">    Total Maintenance</t>
  </si>
  <si>
    <t>F.T.I. Before S.I.T. &amp; Federal Tax Loss Carryforward</t>
  </si>
  <si>
    <t>Ky Tax Inc Adj - Misc:</t>
  </si>
  <si>
    <t>WIT1:</t>
  </si>
  <si>
    <t xml:space="preserve">TYPE OF FILING:  "X" ORIGINAL   UPDATED    REVISED  </t>
  </si>
  <si>
    <t>SFR MODEL - NAVIGATION TOOL</t>
  </si>
  <si>
    <t>worksheet menubar.</t>
  </si>
  <si>
    <t>UNCOLLECTIBLE ACCOUNTS</t>
  </si>
  <si>
    <t>KPSC MAINTENANCE</t>
  </si>
  <si>
    <t>STATE OF KENTUCKY INC TAX</t>
  </si>
  <si>
    <t>FEDERAL INCOME</t>
  </si>
  <si>
    <t>EFFECTIVE STATE</t>
  </si>
  <si>
    <t>EFF CONSOLIDATED STATE</t>
  </si>
  <si>
    <t>Base</t>
  </si>
  <si>
    <t>Account</t>
  </si>
  <si>
    <t>Description</t>
  </si>
  <si>
    <t>Period</t>
  </si>
  <si>
    <t>AUTOMATED RATE CASE FILING SYSTEM</t>
  </si>
  <si>
    <t>Company:</t>
  </si>
  <si>
    <t>Witnesses:</t>
  </si>
  <si>
    <t>Case:</t>
  </si>
  <si>
    <t xml:space="preserve">    -</t>
  </si>
  <si>
    <t>3 YEAR</t>
  </si>
  <si>
    <t>State Fuel Hearings and Other</t>
  </si>
  <si>
    <t>CIVIC, POLITICAL AND RELATED ACTIVITIES</t>
  </si>
  <si>
    <t xml:space="preserve">     SCHEDULE F-7</t>
  </si>
  <si>
    <t>No Political Expenses are included in test year operating expenses.</t>
  </si>
  <si>
    <t>WORK PAPER REFERENCE NO(S).: WPF-4a, WPF-4b</t>
  </si>
  <si>
    <t>WORK PAPER REFERENCE NO(S).: WPF-5a, WPF-5b</t>
  </si>
  <si>
    <t>Period:</t>
  </si>
  <si>
    <t>WIT2:</t>
  </si>
  <si>
    <t>PeriodF:</t>
  </si>
  <si>
    <t>WIT3:</t>
  </si>
  <si>
    <t>Department:</t>
  </si>
  <si>
    <t>WIT4:</t>
  </si>
  <si>
    <t>S1</t>
  </si>
  <si>
    <t>S2.5</t>
  </si>
  <si>
    <t>S0.5</t>
  </si>
  <si>
    <t>(3) Schedule B-6, page 1.</t>
  </si>
  <si>
    <t>FORECASTED</t>
  </si>
  <si>
    <t>RETURN AT</t>
  </si>
  <si>
    <t>CURRENT</t>
  </si>
  <si>
    <t>PROPOSED</t>
  </si>
  <si>
    <t xml:space="preserve">            DESCRIPTION</t>
  </si>
  <si>
    <t>RATES</t>
  </si>
  <si>
    <t>INCREASE</t>
  </si>
  <si>
    <t>($)</t>
  </si>
  <si>
    <t>Operating Revenues</t>
  </si>
  <si>
    <t>Operating Expenses</t>
  </si>
  <si>
    <t xml:space="preserve">  Operation &amp; Maintenance</t>
  </si>
  <si>
    <t xml:space="preserve">  Depreciation</t>
  </si>
  <si>
    <t xml:space="preserve">  Taxes - Other</t>
  </si>
  <si>
    <t>Operating Expenses before Income Taxes</t>
  </si>
  <si>
    <t xml:space="preserve">  State Income Taxes</t>
  </si>
  <si>
    <t xml:space="preserve">  OTHER REGULATORY LIABILITIES</t>
  </si>
  <si>
    <t xml:space="preserve">    TOTAL DEFERRED CREDITS</t>
  </si>
  <si>
    <t>TOTAL LIABILITIES</t>
  </si>
  <si>
    <t>JURISDICTIONAL OPERATING INCOME SUMMARY</t>
  </si>
  <si>
    <t>PLANT IN SERVICE BY ACCOUNTS AND SUBACCOUNTS</t>
  </si>
  <si>
    <t>SCHEDULE B-2.1</t>
  </si>
  <si>
    <t>Acct.</t>
  </si>
  <si>
    <t>Account Title</t>
  </si>
  <si>
    <t>1</t>
  </si>
  <si>
    <t>2</t>
  </si>
  <si>
    <t>Rights of Way</t>
  </si>
  <si>
    <t>3</t>
  </si>
  <si>
    <t>Structures &amp; Improvements</t>
  </si>
  <si>
    <t>4</t>
  </si>
  <si>
    <t>DISTRIBUTION PLANT</t>
  </si>
  <si>
    <t>Purchased Power</t>
  </si>
  <si>
    <t>PO</t>
  </si>
  <si>
    <t>TO</t>
  </si>
  <si>
    <t>Transmission</t>
  </si>
  <si>
    <t>DO</t>
  </si>
  <si>
    <t>Distribution</t>
  </si>
  <si>
    <t>AGO</t>
  </si>
  <si>
    <t>OTH</t>
  </si>
  <si>
    <t>PM</t>
  </si>
  <si>
    <t>TM</t>
  </si>
  <si>
    <t>DM</t>
  </si>
  <si>
    <t>AGM</t>
  </si>
  <si>
    <t>Operation &amp; Maintenance Expense</t>
  </si>
  <si>
    <t>DEPR</t>
  </si>
  <si>
    <t>Amortization of Deferred Expenses</t>
  </si>
  <si>
    <t>OTHTX</t>
  </si>
  <si>
    <t>FIT</t>
  </si>
  <si>
    <t>Income Taxes</t>
  </si>
  <si>
    <t>Federal Taxable Income</t>
  </si>
  <si>
    <t xml:space="preserve">   Prior Year Adjustments</t>
  </si>
  <si>
    <t>Customer</t>
  </si>
  <si>
    <t>Production</t>
  </si>
  <si>
    <t>EXPENSE</t>
  </si>
  <si>
    <t>D-2.1</t>
  </si>
  <si>
    <t>D-2.2</t>
  </si>
  <si>
    <t>D-2.5</t>
  </si>
  <si>
    <t>Operating Revenue</t>
  </si>
  <si>
    <t xml:space="preserve"> Base</t>
  </si>
  <si>
    <t xml:space="preserve"> Other Revenue</t>
  </si>
  <si>
    <t xml:space="preserve">  Total Revenue</t>
  </si>
  <si>
    <t xml:space="preserve"> Operation and Maint. Expenses</t>
  </si>
  <si>
    <t xml:space="preserve"> Total Production Expense</t>
  </si>
  <si>
    <t xml:space="preserve">  Distribution Expense</t>
  </si>
  <si>
    <t xml:space="preserve">  Customer Accounts Expense</t>
  </si>
  <si>
    <t xml:space="preserve">  Customer Serv &amp; Info Expense </t>
  </si>
  <si>
    <t>SCHEDULE D-2.29</t>
  </si>
  <si>
    <t>Various</t>
  </si>
  <si>
    <t xml:space="preserve">  Other Federal Taxes</t>
  </si>
  <si>
    <t>D-2.11</t>
  </si>
  <si>
    <t xml:space="preserve">  State and Other Taxes</t>
  </si>
  <si>
    <t>To Sch D-1 Summary &lt;---</t>
  </si>
  <si>
    <t>WPD-2.2a</t>
  </si>
  <si>
    <t>SCHEDULE D-2.3</t>
  </si>
  <si>
    <t xml:space="preserve">PURPOSE AND DESCRIPTION: To adjust base period other production expenses </t>
  </si>
  <si>
    <t>Other Production Expenses</t>
  </si>
  <si>
    <t>WPD-2.3a</t>
  </si>
  <si>
    <t>OTHER PRODUCTION EXPENSES</t>
  </si>
  <si>
    <t>SCHEDULE D-2.4</t>
  </si>
  <si>
    <t>SCHEDULE D-2.5</t>
  </si>
  <si>
    <t xml:space="preserve">PURPOSE AND DESCRIPTION: To adjust base period distribution expenses </t>
  </si>
  <si>
    <t>WPD-2.5a</t>
  </si>
  <si>
    <t>ADJUST BASE PERIOD DISTRIBUTION EXPENSE</t>
  </si>
  <si>
    <t>To WPA-1d</t>
  </si>
  <si>
    <t>--&gt; To Sch. WPA-1d</t>
  </si>
  <si>
    <t>--&gt; To Sch. WPA-1b</t>
  </si>
  <si>
    <t>Fuel Inventory</t>
  </si>
  <si>
    <t xml:space="preserve">  SCHEDULE F-2.1</t>
  </si>
  <si>
    <t xml:space="preserve">  PAGE  1  OF  1</t>
  </si>
  <si>
    <t xml:space="preserve">  WITNESS RESPONSIBLE:</t>
  </si>
  <si>
    <t>Current Case</t>
  </si>
  <si>
    <t>Total Rate Case Expense Amortization</t>
  </si>
  <si>
    <t>SCHEDULE D-2.26</t>
  </si>
  <si>
    <t>Other Revenues</t>
  </si>
  <si>
    <t>Jurisdictional amount</t>
  </si>
  <si>
    <t>(A) Allocation Code   -</t>
  </si>
  <si>
    <t>WPD-2.1a</t>
  </si>
  <si>
    <t xml:space="preserve">WITNESS RESPONSIBLE: </t>
  </si>
  <si>
    <t>Line</t>
  </si>
  <si>
    <t>No.</t>
  </si>
  <si>
    <t>Adjustment</t>
  </si>
  <si>
    <t>Total Revenue</t>
  </si>
  <si>
    <t>To Schedule D-1</t>
  </si>
  <si>
    <t>SCHEDULE D-2.2</t>
  </si>
  <si>
    <t>PURPOSE AND DESCRIPTION</t>
  </si>
  <si>
    <t xml:space="preserve">     Earnings per share - weighted</t>
  </si>
  <si>
    <t xml:space="preserve">          average - assuming dilution ($)</t>
  </si>
  <si>
    <t xml:space="preserve">     Dividends paid per share ($)</t>
  </si>
  <si>
    <t xml:space="preserve">     Dividends declared per share ($)</t>
  </si>
  <si>
    <t xml:space="preserve">     Dividend pay out ratio (declared basis) (%)</t>
  </si>
  <si>
    <t xml:space="preserve">     Market price - High-Low ($)</t>
  </si>
  <si>
    <t>Base Period:</t>
  </si>
  <si>
    <t>WIT5:</t>
  </si>
  <si>
    <t>Forecast Period:</t>
  </si>
  <si>
    <t>WIT6:</t>
  </si>
  <si>
    <t>Data:</t>
  </si>
  <si>
    <t>WIT7:</t>
  </si>
  <si>
    <t xml:space="preserve">    TOTAL CURRENT AND ACCRUED ASSETS</t>
  </si>
  <si>
    <t>DEFERRED DEBITS</t>
  </si>
  <si>
    <t xml:space="preserve">  UNAMORTIZED DEBT EXPENSE</t>
  </si>
  <si>
    <t xml:space="preserve">  OTHER REGULATORY ASSETS</t>
  </si>
  <si>
    <t xml:space="preserve">  CLEARING ACCOUNTS</t>
  </si>
  <si>
    <t xml:space="preserve">  MISCELLANEOUS DEFERRED DEBITS</t>
  </si>
  <si>
    <t xml:space="preserve">  UNAMORTIZED LOSS ON REACQUIRED DEBT</t>
  </si>
  <si>
    <t xml:space="preserve">  ACCUMULATED DEFERRED INCOME TAXES</t>
  </si>
  <si>
    <t xml:space="preserve">  UNRECOVERED PURCHASED GAS COSTS</t>
  </si>
  <si>
    <t xml:space="preserve">    TOTAL DEFERRED DEBITS</t>
  </si>
  <si>
    <t>TOTAL ASSETS</t>
  </si>
  <si>
    <t>(B) Included on Schedule B-1 as Investment Tax Credits, Line 9.</t>
  </si>
  <si>
    <t xml:space="preserve">     Total Distribution Plant</t>
  </si>
  <si>
    <t>GENERAL PLANT</t>
  </si>
  <si>
    <t>Miscellaneous Intangible Plant</t>
  </si>
  <si>
    <t>Office Furniture &amp; Equipment</t>
  </si>
  <si>
    <t>Trailers</t>
  </si>
  <si>
    <t>Tools, Shop &amp; Garage Equipment</t>
  </si>
  <si>
    <t>Power Operated Equipment</t>
  </si>
  <si>
    <t>Miscellaneous Equipment</t>
  </si>
  <si>
    <t xml:space="preserve">     Total General Plant</t>
  </si>
  <si>
    <t>COMMON PLANT</t>
  </si>
  <si>
    <t>ANNUALIZE</t>
  </si>
  <si>
    <t>PROPERTY HELD FOR FUTURE USE INCLUDED IN RATE BASE</t>
  </si>
  <si>
    <t>SCHEDULE B-2.6</t>
  </si>
  <si>
    <t>Revenue Realized</t>
  </si>
  <si>
    <t>DETAIL OF INCOME TAX RECONCILING ITEMS</t>
  </si>
  <si>
    <t>12 Months Ended</t>
  </si>
  <si>
    <t>Accounting Depreciation</t>
  </si>
  <si>
    <t xml:space="preserve"> Common Plant</t>
  </si>
  <si>
    <t xml:space="preserve">   Common Plant</t>
  </si>
  <si>
    <t xml:space="preserve">      Common Plant in Service-Net</t>
  </si>
  <si>
    <t xml:space="preserve">   Plant Held for Future Use</t>
  </si>
  <si>
    <t xml:space="preserve">   Construction Work in Progress</t>
  </si>
  <si>
    <t xml:space="preserve">   Net Utility Plant</t>
  </si>
  <si>
    <t xml:space="preserve">   Percentage of Construction Expenditures</t>
  </si>
  <si>
    <t xml:space="preserve">        Financed Internally</t>
  </si>
  <si>
    <t>Total Income Taxes</t>
  </si>
  <si>
    <t>ADJUST INCOME TAX EXPENSE</t>
  </si>
  <si>
    <t>Schedule D-1</t>
  </si>
  <si>
    <t>Schedule E-1</t>
  </si>
  <si>
    <t>Federal Income Taxes - Current</t>
  </si>
  <si>
    <t>SCHEDULE D-2.25</t>
  </si>
  <si>
    <t>WIT8:</t>
  </si>
  <si>
    <t>D-2.25</t>
  </si>
  <si>
    <t xml:space="preserve">   Total State Income Tax Expense</t>
  </si>
  <si>
    <t>Federal Income Taxes</t>
  </si>
  <si>
    <t xml:space="preserve">  Federal Income Tax - Current</t>
  </si>
  <si>
    <t xml:space="preserve">   Total Federal Income Tax Expense</t>
  </si>
  <si>
    <t>Total Operating Expenses and Taxes</t>
  </si>
  <si>
    <t>D-2.17</t>
  </si>
  <si>
    <t>Expense Breakdown</t>
  </si>
  <si>
    <t>Juris.</t>
  </si>
  <si>
    <t>Rate</t>
  </si>
  <si>
    <t>SCHEDULE D-2.24</t>
  </si>
  <si>
    <t>ELIMINATE UNBILLED REVENUE</t>
  </si>
  <si>
    <t>D-2.24</t>
  </si>
  <si>
    <t>UNBILLED</t>
  </si>
  <si>
    <t>Total Billed Revenue (A)</t>
  </si>
  <si>
    <t>Other Revenue: (B)</t>
  </si>
  <si>
    <t>(a)  Completed Construction Not Classified is included with Plant in Service by function.</t>
  </si>
  <si>
    <t>CAPITAL STRUCTURE:</t>
  </si>
  <si>
    <t xml:space="preserve">    Long-term debt ($000)</t>
  </si>
  <si>
    <t xml:space="preserve">    Preferred stock ($000)</t>
  </si>
  <si>
    <t xml:space="preserve">    Common equity ($000)</t>
  </si>
  <si>
    <t>SCHEDULE B-3.2</t>
  </si>
  <si>
    <t>WORK PAPER REFERENCE NOS.: SCHEDULE B-2.1, SCHEDULE B-3</t>
  </si>
  <si>
    <t>ACCUMULATED DEPRECIATION AND AMORTIZATION</t>
  </si>
  <si>
    <t>SCHEDULE B-3</t>
  </si>
  <si>
    <t>Plant</t>
  </si>
  <si>
    <t>Retirement Work in Progress</t>
  </si>
  <si>
    <t>Communication Equipment</t>
  </si>
  <si>
    <t>PAGE  2  OF  3</t>
  </si>
  <si>
    <t>REVENUE BY CUSTOMER</t>
  </si>
  <si>
    <t xml:space="preserve"> CLASS-$    (A)       </t>
  </si>
  <si>
    <t>RETAIL -</t>
  </si>
  <si>
    <t xml:space="preserve">    RESIDENTIAL</t>
  </si>
  <si>
    <t xml:space="preserve">    COMMERCIAL</t>
  </si>
  <si>
    <t xml:space="preserve">    INDUSTRIAL</t>
  </si>
  <si>
    <t xml:space="preserve">    OTHER</t>
  </si>
  <si>
    <t xml:space="preserve">        TOTAL RETAIL</t>
  </si>
  <si>
    <t>DATE OF CAPITAL STRUCTURE: END OF BASE PERIOD</t>
  </si>
  <si>
    <t>WORK PAPER REFERENCE NOS.: WPB-3.1a, WPB-3.1b</t>
  </si>
  <si>
    <t>AT CURRENT RATES</t>
  </si>
  <si>
    <t>AT PROPOSED RATES</t>
  </si>
  <si>
    <t>Operating Income before Federal</t>
  </si>
  <si>
    <t xml:space="preserve">      and State Income Taxes</t>
  </si>
  <si>
    <t>Reconciling Items:</t>
  </si>
  <si>
    <t xml:space="preserve">   Interest Charges</t>
  </si>
  <si>
    <t xml:space="preserve">      Net Interest Charges</t>
  </si>
  <si>
    <t xml:space="preserve">   Book Depreciation</t>
  </si>
  <si>
    <t xml:space="preserve">      Excess of Tax over Book Depreciation</t>
  </si>
  <si>
    <t>Other Reconciling Items:</t>
  </si>
  <si>
    <t xml:space="preserve">   Total Other Reconciling Items</t>
  </si>
  <si>
    <t xml:space="preserve">      Total Reconciling Items</t>
  </si>
  <si>
    <t xml:space="preserve">  and State Income Tax from Page 1</t>
  </si>
  <si>
    <t>Total Reconciling Items from Page 1</t>
  </si>
  <si>
    <t>WPD-2.14a</t>
  </si>
  <si>
    <t>Other Federal Taxes</t>
  </si>
  <si>
    <t xml:space="preserve">  Insurance Contribution</t>
  </si>
  <si>
    <t xml:space="preserve">  Unemployment Compensation</t>
  </si>
  <si>
    <t xml:space="preserve">    Total Other Federal</t>
  </si>
  <si>
    <t>State and Other Taxes</t>
  </si>
  <si>
    <t>Station Expenses</t>
  </si>
  <si>
    <t>Cust Acctg-Loss On Sale-A/R</t>
  </si>
  <si>
    <t>Total Deductions</t>
  </si>
  <si>
    <t>Net Original Cost Rate Base</t>
  </si>
  <si>
    <t xml:space="preserve">    Total Other Revenues</t>
  </si>
  <si>
    <t xml:space="preserve"> Maintenance of Structures</t>
  </si>
  <si>
    <t>tional %</t>
  </si>
  <si>
    <t>Gross</t>
  </si>
  <si>
    <t>Total Common</t>
  </si>
  <si>
    <t>F.T.I. Bef S.I.T. &amp; Fdrl Tax Loss Carryforward</t>
  </si>
  <si>
    <t>WORK PAPER REFERENCE NO(S).:  SCHEDULE C-2.1</t>
  </si>
  <si>
    <t>SCHEDULE F-4</t>
  </si>
  <si>
    <t>OF SIGNIFICANT</t>
  </si>
  <si>
    <t>JUSTIFICATION</t>
  </si>
  <si>
    <t>Investment (1)</t>
  </si>
  <si>
    <t>Company (1)</t>
  </si>
  <si>
    <t>Amortized over 60 months</t>
  </si>
  <si>
    <t>of presenting this case as reflected on Schedule F-6, amortized</t>
  </si>
  <si>
    <t xml:space="preserve">13 Month </t>
  </si>
  <si>
    <t>13 Month Average</t>
  </si>
  <si>
    <t>RATE CASE EXPENSE</t>
  </si>
  <si>
    <t xml:space="preserve">  ASSET RETIREMENT OBLIGATIONS</t>
  </si>
  <si>
    <t>Total Fuel Recovery</t>
  </si>
  <si>
    <t>FAC Revenue</t>
  </si>
  <si>
    <t>Base Fuel Rev</t>
  </si>
  <si>
    <t>DUKE ENERGY KENTUCKY</t>
  </si>
  <si>
    <t>Sales for Resale</t>
  </si>
  <si>
    <t xml:space="preserve"> Emission Allowance Expenses</t>
  </si>
  <si>
    <t>PURPOSE AND DESCRIPTION: To adjust base period customer service &amp;</t>
  </si>
  <si>
    <t>Customer Service &amp; Information Expenses</t>
  </si>
  <si>
    <t>WPD-2.7a</t>
  </si>
  <si>
    <t>NO. OF CUSTOMERS BY</t>
  </si>
  <si>
    <t xml:space="preserve"> CLASS (YEAR END)</t>
  </si>
  <si>
    <t xml:space="preserve">NO. OF CUSTOMERS BY </t>
  </si>
  <si>
    <t xml:space="preserve"> CLASS (AVERAGE)   </t>
  </si>
  <si>
    <t xml:space="preserve">AVERAGE REVENUE PER </t>
  </si>
  <si>
    <t>Investment Tax Credits:</t>
  </si>
  <si>
    <t>--&gt; To WPA-1b</t>
  </si>
  <si>
    <t>--&gt; To WPA-1d</t>
  </si>
  <si>
    <t>TO FORECASTED PERIOD</t>
  </si>
  <si>
    <t>Eliminate Non-Native Sales</t>
  </si>
  <si>
    <t>Annualize Uncollectible Expense</t>
  </si>
  <si>
    <t>Income Taxes -</t>
  </si>
  <si>
    <t>PRO FORMA ADJUSTMENTS TO THE FORECASTED PERIOD</t>
  </si>
  <si>
    <t>ADJUST BASE PERIOD REVENUE TO FORECASTED PERIOD</t>
  </si>
  <si>
    <t>the level of revenue in the forecasted period.</t>
  </si>
  <si>
    <t>ADJUST BASE PERIOD PURCHASED POWER COST TO FORECASTED PERIOD</t>
  </si>
  <si>
    <t>expense to the level of costs in the forecasted period.</t>
  </si>
  <si>
    <t>Publish Legal Notice</t>
  </si>
  <si>
    <t>Transportation, Lodging, Meals</t>
  </si>
  <si>
    <t>REV</t>
  </si>
  <si>
    <t>Cincinnati Income Tax Payable</t>
  </si>
  <si>
    <t>Cincinnati Income Tax</t>
  </si>
  <si>
    <t xml:space="preserve">   Cincinnati Income Tax</t>
  </si>
  <si>
    <t>Revenue</t>
  </si>
  <si>
    <t xml:space="preserve"> Customer Advances for Construction (Account 252)</t>
  </si>
  <si>
    <t>SCHEDULE D-2.17</t>
  </si>
  <si>
    <t>(3) Schedule B-6, page 2.</t>
  </si>
  <si>
    <t>(1) Schedule J-1, page 2.</t>
  </si>
  <si>
    <t>ADJUSTMENTS TO BASE PERIOD</t>
  </si>
  <si>
    <r>
      <t xml:space="preserve">model, click  </t>
    </r>
    <r>
      <rPr>
        <sz val="12"/>
        <color indexed="10"/>
        <rFont val="Arial"/>
        <family val="2"/>
      </rPr>
      <t xml:space="preserve">"Model Navigation" </t>
    </r>
    <r>
      <rPr>
        <sz val="12"/>
        <rFont val="Arial"/>
        <family val="2"/>
      </rPr>
      <t xml:space="preserve">on the </t>
    </r>
  </si>
  <si>
    <t>ADJUSTMENTS TO THE BASE PERIOD</t>
  </si>
  <si>
    <t>13-Month Average</t>
  </si>
  <si>
    <t xml:space="preserve">      Total Kentucky Income Tax Adjustments</t>
  </si>
  <si>
    <t xml:space="preserve">  OBLIGATIONS UNDER CAPITAL LEASES - NONCURRENT</t>
  </si>
  <si>
    <t xml:space="preserve">  ACCUMULATED PROVISION FOR INJURIES AND DAMAGES</t>
  </si>
  <si>
    <t xml:space="preserve">    TOTAL OTHER NONCURRENT LIABILITIES</t>
  </si>
  <si>
    <t>CURRENT AND ACCRUED LIABILITIES</t>
  </si>
  <si>
    <t xml:space="preserve">  NOTES PAYABLE</t>
  </si>
  <si>
    <t xml:space="preserve"> PREMIUM OR</t>
  </si>
  <si>
    <t>NET</t>
  </si>
  <si>
    <t>COST RATE</t>
  </si>
  <si>
    <t>ANNUALIZED</t>
  </si>
  <si>
    <t xml:space="preserve"> TYPE, PAR VALUE</t>
  </si>
  <si>
    <t>DISCOUNT</t>
  </si>
  <si>
    <t>STOCK</t>
  </si>
  <si>
    <t>PROCEEDS</t>
  </si>
  <si>
    <t>AT ISSUE</t>
  </si>
  <si>
    <t>DIVIDENDS</t>
  </si>
  <si>
    <t>(F=B+C-D+E)</t>
  </si>
  <si>
    <t>(H=G*B)</t>
  </si>
  <si>
    <t xml:space="preserve">     Total</t>
  </si>
  <si>
    <t xml:space="preserve">    Federal income taxes (current) ($000,000)</t>
  </si>
  <si>
    <t xml:space="preserve">     Total Production Plant </t>
  </si>
  <si>
    <t xml:space="preserve">     Total Transmission Plant</t>
  </si>
  <si>
    <t>TRANSMISSION PLANT</t>
  </si>
  <si>
    <t>Total Transmission Plant</t>
  </si>
  <si>
    <t>Jurisdiction</t>
  </si>
  <si>
    <t>General</t>
  </si>
  <si>
    <t>Completed Construction</t>
  </si>
  <si>
    <t xml:space="preserve">  Not Classified (1)</t>
  </si>
  <si>
    <t>Other (specify)</t>
  </si>
  <si>
    <t xml:space="preserve">   TOTAL</t>
  </si>
  <si>
    <t>ORDER</t>
  </si>
  <si>
    <t>WORKING CAPITAL COMPONENTS</t>
  </si>
  <si>
    <t>SCHEDULE B-5.1</t>
  </si>
  <si>
    <t>PAGE  1  OF  2</t>
  </si>
  <si>
    <t>13 MONTH AVERAGE FOR PERIOD</t>
  </si>
  <si>
    <t>Adjusted Operating Revenues</t>
  </si>
  <si>
    <t>JURISDICTIONAL</t>
  </si>
  <si>
    <t>REVENUE</t>
  </si>
  <si>
    <t xml:space="preserve">      </t>
  </si>
  <si>
    <t>END OF MONTH BALANCES</t>
  </si>
  <si>
    <t>COMPUTATION OF GROSS REVENUE CONVERSION FACTOR</t>
  </si>
  <si>
    <t>SCHEDULE H</t>
  </si>
  <si>
    <t>PERCENT OF</t>
  </si>
  <si>
    <t>INCREMENTAL</t>
  </si>
  <si>
    <t>GROSS</t>
  </si>
  <si>
    <t xml:space="preserve">   Operating Revenues</t>
  </si>
  <si>
    <t xml:space="preserve">   Less: Uncollectible Accounts Expenses</t>
  </si>
  <si>
    <t xml:space="preserve">              KPSC Maintenance Tax</t>
  </si>
  <si>
    <t>Subtotal</t>
  </si>
  <si>
    <t xml:space="preserve">   Income Taxes - State of Kentucky</t>
  </si>
  <si>
    <t>WPH-a</t>
  </si>
  <si>
    <t xml:space="preserve">     Total Common Plant</t>
  </si>
  <si>
    <t>ADJUSTMENTS TO PLANT IN SERVICE</t>
  </si>
  <si>
    <t>SCHEDULE B-2.2</t>
  </si>
  <si>
    <t>Description and</t>
  </si>
  <si>
    <t>Workpaper</t>
  </si>
  <si>
    <t>Purpose of</t>
  </si>
  <si>
    <t>Reference No.</t>
  </si>
  <si>
    <t>Completed Construction Not Classified</t>
  </si>
  <si>
    <t>Total Distribution Plant</t>
  </si>
  <si>
    <t>Total General Plant</t>
  </si>
  <si>
    <t>GROSS ADDITIONS, RETIREMENTS, AND TRANSFERS</t>
  </si>
  <si>
    <t>SCHEDULE B-2.3</t>
  </si>
  <si>
    <t>WPA-1a, 1c</t>
  </si>
  <si>
    <t>SCHEDULE K</t>
  </si>
  <si>
    <t>WORK PAPER REFERENCE NO(S).: SCHEDULE C-2, WPC-1a</t>
  </si>
  <si>
    <t>WORK PAPER REFERENCE NO(S).:  WPE-1a, WPE-1b</t>
  </si>
  <si>
    <t>Net Operating Income</t>
  </si>
  <si>
    <t xml:space="preserve">      WPC-2a</t>
  </si>
  <si>
    <t xml:space="preserve">      WITNESS RESPONSIBLE:</t>
  </si>
  <si>
    <t xml:space="preserve">   OPERATING REVENUES</t>
  </si>
  <si>
    <t>OPERATING</t>
  </si>
  <si>
    <t>TITLE of ACCOUNT</t>
  </si>
  <si>
    <t>OTHER</t>
  </si>
  <si>
    <t>REVENUES</t>
  </si>
  <si>
    <t xml:space="preserve">   Total Other Revenue</t>
  </si>
  <si>
    <t xml:space="preserve">    Total Revenues</t>
  </si>
  <si>
    <t>Notes:</t>
  </si>
  <si>
    <t xml:space="preserve">      WPC-2b</t>
  </si>
  <si>
    <t xml:space="preserve">    Operating expenses (excluding FIT</t>
  </si>
  <si>
    <t xml:space="preserve">       and SIT) ($000,000)</t>
  </si>
  <si>
    <t>January</t>
  </si>
  <si>
    <t>Periods:</t>
  </si>
  <si>
    <t>BUDGET</t>
  </si>
  <si>
    <t xml:space="preserve"> Other</t>
  </si>
  <si>
    <t>Service &amp;</t>
  </si>
  <si>
    <t>Informational</t>
  </si>
  <si>
    <t>Annualize Depreciation</t>
  </si>
  <si>
    <t>Base Revenue Adjustment</t>
  </si>
  <si>
    <t>(1) Included in each function on Schedule B-2.1</t>
  </si>
  <si>
    <t>\F</t>
  </si>
  <si>
    <t>\B</t>
  </si>
  <si>
    <t>\A</t>
  </si>
  <si>
    <t>\C</t>
  </si>
  <si>
    <t>\D</t>
  </si>
  <si>
    <t>\E</t>
  </si>
  <si>
    <t>OTHER OPER.</t>
  </si>
  <si>
    <t>WORK PAPER REFERENCE NO(S).:  WPD-2.12a</t>
  </si>
  <si>
    <t>SCHEDULE D-2.12</t>
  </si>
  <si>
    <t xml:space="preserve">  Federal Income Taxes</t>
  </si>
  <si>
    <t>PAGE  3  OF  3</t>
  </si>
  <si>
    <t>ANNUALIZATION OF DEPRECIATION EXPENSE FOR THE</t>
  </si>
  <si>
    <t>Depreciation Expense - Annualized</t>
  </si>
  <si>
    <t xml:space="preserve"> Sch B-3.2</t>
  </si>
  <si>
    <t>Depreciation Expense - Test Period</t>
  </si>
  <si>
    <t xml:space="preserve"> Sch C-2.1</t>
  </si>
  <si>
    <t xml:space="preserve">Annualized Depreciation Adjustment </t>
  </si>
  <si>
    <t>WPD-2.23a</t>
  </si>
  <si>
    <t xml:space="preserve">       Electric (%)</t>
  </si>
  <si>
    <t xml:space="preserve">       Common (%)</t>
  </si>
  <si>
    <t>STATISTIC FOR</t>
  </si>
  <si>
    <t>ALLOCATION FACTOR</t>
  </si>
  <si>
    <t>GROUPINGS OR ACCOUNT</t>
  </si>
  <si>
    <t xml:space="preserve">  EMISSION ALLOWANCES</t>
  </si>
  <si>
    <t xml:space="preserve">  Underground Lines</t>
  </si>
  <si>
    <t xml:space="preserve">    Total Distribution Expense</t>
  </si>
  <si>
    <t xml:space="preserve">    Total Taxes Other Than Income Taxes</t>
  </si>
  <si>
    <t xml:space="preserve">  ACCUMULATED PROVISION FOR OPERATING PROVISIONS</t>
  </si>
  <si>
    <t xml:space="preserve">  ACCUMULATED PROVISION FOR RATE REFUNDS</t>
  </si>
  <si>
    <t>WORK PAPER REFERENCE NO(S).:  WPD-2.9a</t>
  </si>
  <si>
    <t>WORK PAPER REFERENCE NO(S).:  WPD-2.8a</t>
  </si>
  <si>
    <t>WORK PAPER REFERENCE NO(S).:  WPD-2.6a</t>
  </si>
  <si>
    <t>WORK PAPER REFERENCE NO(S).:  WPD-2.5a</t>
  </si>
  <si>
    <t>Month</t>
  </si>
  <si>
    <t>PURPOSE AND DESCRIPTION:  To reflect the elimination of off-system sales revenue</t>
  </si>
  <si>
    <t>The company has no plant held for future use included in rate base.</t>
  </si>
  <si>
    <t>PROPERTY EXCLUDED FROM RATE BASE</t>
  </si>
  <si>
    <t>SCHEDULE D-2.20</t>
  </si>
  <si>
    <t>Retail</t>
  </si>
  <si>
    <t>DSM</t>
  </si>
  <si>
    <t>ELIMINATE DSM REVENUE &amp; EXPENSE</t>
  </si>
  <si>
    <t>ELIMINATION</t>
  </si>
  <si>
    <t>PURPOSE AND DESCRIPTION:  To reflect the elimination of revenues</t>
  </si>
  <si>
    <t>and expenses recoverd through the DSM rider mechanism.</t>
  </si>
  <si>
    <t>Initiation Fees/Country Club Expenses are  included  on Schedule F-1.</t>
  </si>
  <si>
    <t xml:space="preserve">      Customers' Advances for Construction</t>
  </si>
  <si>
    <t>B-6</t>
  </si>
  <si>
    <t xml:space="preserve">      Total Federal Income Tax Expense</t>
  </si>
  <si>
    <t xml:space="preserve">   Federal Taxable Income - Ordinary</t>
  </si>
  <si>
    <t>SOCIAL AND SERVICE CLUB DUES</t>
  </si>
  <si>
    <t>SCHEDULE D-2.27</t>
  </si>
  <si>
    <t>Period (1)</t>
  </si>
  <si>
    <t xml:space="preserve">                      WITNESS RESPONSIBLE:</t>
  </si>
  <si>
    <t>Covington Business Council</t>
  </si>
  <si>
    <t>10.25% due 11/15/2020</t>
  </si>
  <si>
    <t>Series</t>
  </si>
  <si>
    <t xml:space="preserve">     Totals</t>
  </si>
  <si>
    <t>Embedded Cost of Long-Term Debt (I / H)</t>
  </si>
  <si>
    <t>(*) Annualized interest cost plus (or minus) amortization of discount or premium plus amortization</t>
  </si>
  <si>
    <t xml:space="preserve">     of issue costs minus (or plus) amortization of gain (or loss) on reacquired debt.</t>
  </si>
  <si>
    <t>EMBEDDED COST OF PREFERRED STOCK</t>
  </si>
  <si>
    <t>SCHEDULE J-4</t>
  </si>
  <si>
    <t>OMIT SCHEDULE J-4 PER KyPSC STANDARD FILING REQUIREMENTS</t>
  </si>
  <si>
    <t>(Still need Consolidated schedule 4A)</t>
  </si>
  <si>
    <t>GAIN OR LOSS</t>
  </si>
  <si>
    <t xml:space="preserve"> DIVIDEND RATE,</t>
  </si>
  <si>
    <t>(C) Included on Schedule B-1 as Deferred Income Taxes, Line 10.</t>
  </si>
  <si>
    <t>Investment Tax Credits: (A)</t>
  </si>
  <si>
    <t>COMMON STOCK RELATED DATA:</t>
  </si>
  <si>
    <t xml:space="preserve">    Operating income ($000,000)</t>
  </si>
  <si>
    <t>Net</t>
  </si>
  <si>
    <t>Description of</t>
  </si>
  <si>
    <t>In-Service</t>
  </si>
  <si>
    <t>Original</t>
  </si>
  <si>
    <t>Accum.</t>
  </si>
  <si>
    <t>Excluded Property</t>
  </si>
  <si>
    <t>Date</t>
  </si>
  <si>
    <t>Cost</t>
  </si>
  <si>
    <t>Depre.</t>
  </si>
  <si>
    <t>for Exclusion</t>
  </si>
  <si>
    <t>Land</t>
  </si>
  <si>
    <t>6</t>
  </si>
  <si>
    <t>CLASS OF CAPITAL</t>
  </si>
  <si>
    <t>COST</t>
  </si>
  <si>
    <t>COST %</t>
  </si>
  <si>
    <t>Common Equity</t>
  </si>
  <si>
    <t>Long-Term Debt</t>
  </si>
  <si>
    <t>J-3</t>
  </si>
  <si>
    <t>Short-Term Debt</t>
  </si>
  <si>
    <t>J-2</t>
  </si>
  <si>
    <t xml:space="preserve">   Total Capital</t>
  </si>
  <si>
    <t>Accumulated Deferred Investment Tax Credit</t>
  </si>
  <si>
    <t xml:space="preserve">   Account 255</t>
  </si>
  <si>
    <t>Investment Tax Credit Included in Total Capital</t>
  </si>
  <si>
    <t xml:space="preserve">   Total Capital Including Investment Tax Credit</t>
  </si>
  <si>
    <t>THIRTEEN MONTH AVERAGE BALANCE</t>
  </si>
  <si>
    <t>(CORPORATE)</t>
  </si>
  <si>
    <t>SCHEDULE OF RATE CASE EXPENSE AMORTIZATION</t>
  </si>
  <si>
    <t>OPINION /</t>
  </si>
  <si>
    <t>TO BE</t>
  </si>
  <si>
    <t>AMORTIZATION</t>
  </si>
  <si>
    <t>AMORTIZED</t>
  </si>
  <si>
    <t>DURING</t>
  </si>
  <si>
    <t>RATE CASE</t>
  </si>
  <si>
    <t>TO DATE</t>
  </si>
  <si>
    <t>MONTHLY REVENUES AND EXPENSES BY ACCOUNT</t>
  </si>
  <si>
    <t>Revenues</t>
  </si>
  <si>
    <t>OperatingExpenses</t>
  </si>
  <si>
    <t>Fuel</t>
  </si>
  <si>
    <t>Fuel Expense</t>
  </si>
  <si>
    <t>PP</t>
  </si>
  <si>
    <t>Expenses Incurred</t>
  </si>
  <si>
    <t xml:space="preserve">           1st quarter - High</t>
  </si>
  <si>
    <t xml:space="preserve">                            - Low</t>
  </si>
  <si>
    <t xml:space="preserve">           2nd quarter - High</t>
  </si>
  <si>
    <t xml:space="preserve">           3rd quarter - High</t>
  </si>
  <si>
    <t xml:space="preserve">           4th quarter - High</t>
  </si>
  <si>
    <t>JANUARY</t>
  </si>
  <si>
    <t>Account 282 - Other</t>
  </si>
  <si>
    <t>Account 283 - Other</t>
  </si>
  <si>
    <t>WORK PAPER REFERENCE NO(S).: WPB-6b, WPB-6d</t>
  </si>
  <si>
    <t>WORK PAPER REFERENCE NO(S).: WPB-6a, WPB-6c</t>
  </si>
  <si>
    <t>SCHEDULE D-2.8</t>
  </si>
  <si>
    <t>PURPOSE AND DESCRIPTION: To adjust base period sales</t>
  </si>
  <si>
    <t>Sales Expenses</t>
  </si>
  <si>
    <t>Non-</t>
  </si>
  <si>
    <t xml:space="preserve"> Fuel Inventory</t>
  </si>
  <si>
    <t>Miscellaneous</t>
  </si>
  <si>
    <t>ADVERTISING</t>
  </si>
  <si>
    <t xml:space="preserve">   WITNESS RESPONSIBLE:</t>
  </si>
  <si>
    <t>SALES OR</t>
  </si>
  <si>
    <t>PROMOTIONAL</t>
  </si>
  <si>
    <t>INSTITUTIONAL</t>
  </si>
  <si>
    <t>CONSERVATION</t>
  </si>
  <si>
    <t>ITEM</t>
  </si>
  <si>
    <t>COMPARATIVE INCOME STATEMENTS</t>
  </si>
  <si>
    <t>SCHEDULE I-1</t>
  </si>
  <si>
    <t xml:space="preserve">        SCHEDULE F-6</t>
  </si>
  <si>
    <t xml:space="preserve">WORK PAPER REFERENCE NO(S).: </t>
  </si>
  <si>
    <t>Employee Benefits</t>
  </si>
  <si>
    <t>Payroll Taxes</t>
  </si>
  <si>
    <t>Total Payroll Costs</t>
  </si>
  <si>
    <t>(A) Allocation Code:</t>
  </si>
  <si>
    <t>Average of 12 months demand factor less lighting</t>
  </si>
  <si>
    <t>K301</t>
  </si>
  <si>
    <t>Total kWh energy factor</t>
  </si>
  <si>
    <t>K305</t>
  </si>
  <si>
    <t>(1)  Plant Investment includes Completed Construction Not Classified (Account 106).</t>
  </si>
  <si>
    <t>Total Common Plant</t>
  </si>
  <si>
    <t>Reserve</t>
  </si>
  <si>
    <t>Annual Provision</t>
  </si>
  <si>
    <t>SCHEDULE B-4</t>
  </si>
  <si>
    <t>Jurisdic-</t>
  </si>
  <si>
    <t>(1) Plant Investment Includes Completed Construction Not Classified (Account 106)</t>
  </si>
  <si>
    <t xml:space="preserve">Allocated </t>
  </si>
  <si>
    <t>Reserve for Depreciation</t>
  </si>
  <si>
    <t>ADJUSTMENTS TO ACCUMULATED DEPRECIATION AND AMORTIZATION</t>
  </si>
  <si>
    <t>SCHEDULE B-3.1</t>
  </si>
  <si>
    <t>Embedded Cost of Preferred Stock (G / F)</t>
  </si>
  <si>
    <t>COMPARATIVE FINANCIAL DATA</t>
  </si>
  <si>
    <t>MOST RECENT CALENDAR YEARS</t>
  </si>
  <si>
    <t>FIXED CHARGE COVERAGE:</t>
  </si>
  <si>
    <t>STOCK AND BOND RATINGS:</t>
  </si>
  <si>
    <t xml:space="preserve">    Moody's Unsecured Debt</t>
  </si>
  <si>
    <t xml:space="preserve">       BBB+</t>
  </si>
  <si>
    <t>Monthly</t>
  </si>
  <si>
    <t>Operating Expenses:</t>
  </si>
  <si>
    <t>To Sch C-1</t>
  </si>
  <si>
    <t xml:space="preserve">      Total Operating Expenses</t>
  </si>
  <si>
    <t>Income Available for Fixed Charges</t>
  </si>
  <si>
    <t xml:space="preserve">     Shares outstanding - year end (000)</t>
  </si>
  <si>
    <t xml:space="preserve">     Shares outstanding - weighted average</t>
  </si>
  <si>
    <t xml:space="preserve">           (monthly) (000)</t>
  </si>
  <si>
    <t xml:space="preserve">     Earnings per share - weighted average ($)</t>
  </si>
  <si>
    <t>SCHEDULE D-1</t>
  </si>
  <si>
    <t>CLASSIFICATION</t>
  </si>
  <si>
    <t>OPERATING REVENUE</t>
  </si>
  <si>
    <t>Other Revenue</t>
  </si>
  <si>
    <t xml:space="preserve">   Total Revenue</t>
  </si>
  <si>
    <t>OPERATING EXPENSES</t>
  </si>
  <si>
    <t xml:space="preserve"> Operation and Maintenance Expenses</t>
  </si>
  <si>
    <t>Production Expenses</t>
  </si>
  <si>
    <t xml:space="preserve">          Purchased Power Cost</t>
  </si>
  <si>
    <t xml:space="preserve">  Other</t>
  </si>
  <si>
    <t>D-2.3</t>
  </si>
  <si>
    <t xml:space="preserve">     DESCRIPTION     </t>
  </si>
  <si>
    <t>Total Jurisdictional O &amp; M Expense</t>
  </si>
  <si>
    <t>JURISDICTIONAL REQUIREMENT</t>
  </si>
  <si>
    <t>NUMBER</t>
  </si>
  <si>
    <t>COMPANY</t>
  </si>
  <si>
    <t>$</t>
  </si>
  <si>
    <t>Cash Element of</t>
  </si>
  <si>
    <t>WPB-5.1a</t>
  </si>
  <si>
    <t xml:space="preserve">   Working Capital</t>
  </si>
  <si>
    <t>WPB-5.1b</t>
  </si>
  <si>
    <t>WPB-5.1c</t>
  </si>
  <si>
    <t>WPB-5.1g</t>
  </si>
  <si>
    <t>Prepayments</t>
  </si>
  <si>
    <t>WPB-5.1e</t>
  </si>
  <si>
    <t>Total Other Working Capital</t>
  </si>
  <si>
    <t>Total Working Capital</t>
  </si>
  <si>
    <t xml:space="preserve">  N.C - Not calculated</t>
  </si>
  <si>
    <t>Generators</t>
  </si>
  <si>
    <t>Miscellaneous Plant Equipment</t>
  </si>
  <si>
    <t xml:space="preserve">     Total Other Production Plant</t>
  </si>
  <si>
    <t xml:space="preserve">     Total Steam Production Plant</t>
  </si>
  <si>
    <t>Station Equipment</t>
  </si>
  <si>
    <t>Poles &amp; Fixtures</t>
  </si>
  <si>
    <t>Overhead Conductors &amp; Devices</t>
  </si>
  <si>
    <t>Poles,Towers &amp; Fixtures</t>
  </si>
  <si>
    <t>Underground Conduit</t>
  </si>
  <si>
    <t xml:space="preserve">    Amortization of Debt Discount and Expense</t>
  </si>
  <si>
    <t xml:space="preserve">    Amortization of Loss on Reacquired Debt </t>
  </si>
  <si>
    <t xml:space="preserve">    Amortization of Premium on Debt - Credit</t>
  </si>
  <si>
    <t xml:space="preserve">    Interest on Debt to Assoc. Companies</t>
  </si>
  <si>
    <t>EXECUTIVE COMPENSATION</t>
  </si>
  <si>
    <t>WORK PAPER REFERENCE NO(S).</t>
  </si>
  <si>
    <t>PROPERTY MERGED OR ACQUIRED</t>
  </si>
  <si>
    <t>SCHEDULE B-2.4</t>
  </si>
  <si>
    <t>Commission</t>
  </si>
  <si>
    <t>Acquisition</t>
  </si>
  <si>
    <t>Approval Date</t>
  </si>
  <si>
    <t>Date of</t>
  </si>
  <si>
    <t>of</t>
  </si>
  <si>
    <t>of Property</t>
  </si>
  <si>
    <t>Basis</t>
  </si>
  <si>
    <t>(Docket No.)</t>
  </si>
  <si>
    <t>Customer Service And Informational Expenses</t>
  </si>
  <si>
    <t>DEBT</t>
  </si>
  <si>
    <t>Gas Excl. of</t>
  </si>
  <si>
    <t>Schedule</t>
  </si>
  <si>
    <t>Other Than</t>
  </si>
  <si>
    <t>Gas</t>
  </si>
  <si>
    <t>Electric</t>
  </si>
  <si>
    <t>Reference</t>
  </si>
  <si>
    <t>Company</t>
  </si>
  <si>
    <t>Non-Juris.</t>
  </si>
  <si>
    <t>H</t>
  </si>
  <si>
    <t xml:space="preserve">      Total Customer Service and Informational Expenses</t>
  </si>
  <si>
    <t xml:space="preserve">      Total Sales Expense</t>
  </si>
  <si>
    <t xml:space="preserve">      Total General Advertising Expense</t>
  </si>
  <si>
    <t xml:space="preserve">   Kentucky Income Tax</t>
  </si>
  <si>
    <t xml:space="preserve">      Total Kentucky Taxable Income</t>
  </si>
  <si>
    <t>Kentucky Income Tax Adjustments:</t>
  </si>
  <si>
    <t>expense to the level of expenses in the forecasted period.</t>
  </si>
  <si>
    <t>ADJUST BASE PERIOD A&amp;G EXPENSES TO FORECASTED PERIOD</t>
  </si>
  <si>
    <t>expense to the level in the forecasted period.</t>
  </si>
  <si>
    <t>ADJUST OTHER OPERATING EXPENSE TO FORECASTED PERIOD</t>
  </si>
  <si>
    <t>ADJUST BASE PERIOD DEPRECIATION EXPENSE TO FORECASTED PERIOD</t>
  </si>
  <si>
    <t>ADJUST BASE PERIOD OTHER TAX EXPENSE TO FORECASTED PERIOD</t>
  </si>
  <si>
    <t>expense to the level of the forecasted period.</t>
  </si>
  <si>
    <t>ADJUST INCOME TAX EXPENSE TO FORECASTED PERIOD</t>
  </si>
  <si>
    <t>annualized depreciation expense as calculated on Schedule B-3.2</t>
  </si>
  <si>
    <t>PURPOSE AND DESCRIPTION: To reflect the reclassification of the "time value of money" portion</t>
  </si>
  <si>
    <t xml:space="preserve">    Total Customer Services &amp;</t>
  </si>
  <si>
    <t xml:space="preserve">      Information Expense</t>
  </si>
  <si>
    <t xml:space="preserve">  Supervision</t>
  </si>
  <si>
    <t xml:space="preserve">    Total Sales Expense</t>
  </si>
  <si>
    <t xml:space="preserve">  Administrative &amp; General Salaries</t>
  </si>
  <si>
    <t xml:space="preserve">  Office Supplies &amp; Expenses</t>
  </si>
  <si>
    <t xml:space="preserve">  Outside Services Employed</t>
  </si>
  <si>
    <t xml:space="preserve">  Property Insurance</t>
  </si>
  <si>
    <t xml:space="preserve">  Injuries &amp; Damages</t>
  </si>
  <si>
    <t xml:space="preserve">  Employee Pension &amp; Benefits</t>
  </si>
  <si>
    <t xml:space="preserve">  State Reg. Commission Expense</t>
  </si>
  <si>
    <t xml:space="preserve">  Duplicate Charges-Credit</t>
  </si>
  <si>
    <t xml:space="preserve">  Rents</t>
  </si>
  <si>
    <t xml:space="preserve">  Maintenence of General Plant</t>
  </si>
  <si>
    <t xml:space="preserve">    Total Administrative &amp; General</t>
  </si>
  <si>
    <t xml:space="preserve">    Total Operating Expense</t>
  </si>
  <si>
    <t xml:space="preserve">      Total Depreciation Expense</t>
  </si>
  <si>
    <t>TAXES OTHER THAN INCOME TAXES</t>
  </si>
  <si>
    <t xml:space="preserve">  Sales for Resale</t>
  </si>
  <si>
    <t xml:space="preserve">          PAGE  1  OF  2</t>
  </si>
  <si>
    <t>PURPOSE AND DESCRIPTION: To reflect federal income taxes at</t>
  </si>
  <si>
    <t xml:space="preserve">          PAGE  2  OF  2</t>
  </si>
  <si>
    <t>ELECTRIC AND COMMON</t>
  </si>
  <si>
    <t>WORK PAPER REFERENCE NOS.:</t>
  </si>
  <si>
    <t>Total Employee Party &amp; Gift Expense</t>
  </si>
  <si>
    <t>SCHEDULE F-3</t>
  </si>
  <si>
    <t>NON</t>
  </si>
  <si>
    <t xml:space="preserve">  NO.</t>
  </si>
  <si>
    <t xml:space="preserve">     DESCRIPTION OF EXPENSES</t>
  </si>
  <si>
    <t>Base Period Accumulated Balances</t>
  </si>
  <si>
    <t/>
  </si>
  <si>
    <t xml:space="preserve">  Deferred Inc Tax - Net</t>
  </si>
  <si>
    <t xml:space="preserve">   Total Deferred Income Taxes</t>
  </si>
  <si>
    <t>SCHEDULE C-1</t>
  </si>
  <si>
    <t>Misc. Service Revenue</t>
  </si>
  <si>
    <t>WPC-2d</t>
  </si>
  <si>
    <t xml:space="preserve">  INTEREST ACCRUED</t>
  </si>
  <si>
    <t xml:space="preserve">  TAX COLLECTIONS PAYABLE</t>
  </si>
  <si>
    <t>Rate of Return on Capitalization</t>
  </si>
  <si>
    <t>Rate of Return on Rate Base</t>
  </si>
  <si>
    <t>WPC-1a</t>
  </si>
  <si>
    <t>TO REFLECT AMOUNT OF REQUESTED INCREASE</t>
  </si>
  <si>
    <t>SCHEDULE/</t>
  </si>
  <si>
    <t xml:space="preserve">   DESCRIPTION   </t>
  </si>
  <si>
    <t>SCH. M</t>
  </si>
  <si>
    <t>ANNUALIZE DEPRECIATION EXPENSE</t>
  </si>
  <si>
    <t>PAGE  1  OF  3</t>
  </si>
  <si>
    <t xml:space="preserve">  Supervision &amp; Engineering</t>
  </si>
  <si>
    <t xml:space="preserve">  Meter Reading Expense</t>
  </si>
  <si>
    <t xml:space="preserve">  Customer Records &amp; Collections</t>
  </si>
  <si>
    <t xml:space="preserve">  Uncollectible Accounts</t>
  </si>
  <si>
    <t xml:space="preserve">    Total Customer Accounts Expense</t>
  </si>
  <si>
    <t>Customer Services &amp; Information Expense</t>
  </si>
  <si>
    <t>RESERVED FOR FUTURE USE</t>
  </si>
  <si>
    <t xml:space="preserve"> Fuel Cost Revenue</t>
  </si>
  <si>
    <t>Kentucky Taxable Income - Electric</t>
  </si>
  <si>
    <t xml:space="preserve"> Miscellaneous</t>
  </si>
  <si>
    <t>Total Power Production Expense</t>
  </si>
  <si>
    <t>Emission Allowances</t>
  </si>
  <si>
    <t>Other Working Capital:</t>
  </si>
  <si>
    <t>EMBEDDED COST OF SHORT-TERM DEBT</t>
  </si>
  <si>
    <t xml:space="preserve">   SCHEDULE J-2</t>
  </si>
  <si>
    <t>ISSUE</t>
  </si>
  <si>
    <t>OUTSTANDING</t>
  </si>
  <si>
    <t>REQUIREMENT</t>
  </si>
  <si>
    <t>(%)</t>
  </si>
  <si>
    <t>WORK PAPER REFERENCE NO(S).: SCHEDULE B-2.1, SCHEDULE B-3.1</t>
  </si>
  <si>
    <t>13 Month Average Forecast Period Accumulated Balances</t>
  </si>
  <si>
    <t xml:space="preserve">  Admin. &amp; General Expense</t>
  </si>
  <si>
    <t xml:space="preserve"> Total Oper and Maint Expenses</t>
  </si>
  <si>
    <t xml:space="preserve">  Depreciation Expense</t>
  </si>
  <si>
    <t xml:space="preserve">   Other Federal Taxes</t>
  </si>
  <si>
    <t xml:space="preserve">   State and Other Taxes</t>
  </si>
  <si>
    <t xml:space="preserve"> Total Taxes Other Than Income Tax</t>
  </si>
  <si>
    <t xml:space="preserve"> State Income Taxes</t>
  </si>
  <si>
    <t>State Check</t>
  </si>
  <si>
    <t>Adjustment Total</t>
  </si>
  <si>
    <t>Tax Schedule</t>
  </si>
  <si>
    <t>Difference</t>
  </si>
  <si>
    <t xml:space="preserve"> Total State Income Tax Expense</t>
  </si>
  <si>
    <t>Fed Check</t>
  </si>
  <si>
    <t xml:space="preserve"> Total Federal Income Tax Expense</t>
  </si>
  <si>
    <t>Total Oper. Expenses and Tax</t>
  </si>
  <si>
    <t>Print Check</t>
  </si>
  <si>
    <t>CUSTOMER</t>
  </si>
  <si>
    <t xml:space="preserve"> NO.</t>
  </si>
  <si>
    <t>OVERALL FINANCIAL SUMMARY</t>
  </si>
  <si>
    <t>SUPPORTING</t>
  </si>
  <si>
    <t>JURISDICTIONAL REVENUE REQUIREMENTS</t>
  </si>
  <si>
    <t>INCOME</t>
  </si>
  <si>
    <t>TAXES</t>
  </si>
  <si>
    <t>EXPENSES</t>
  </si>
  <si>
    <t>State</t>
  </si>
  <si>
    <t>Federal</t>
  </si>
  <si>
    <t>To Sch. A</t>
  </si>
  <si>
    <t>WPA-1c</t>
  </si>
  <si>
    <t>WPA-1a</t>
  </si>
  <si>
    <t>WPA-1b</t>
  </si>
  <si>
    <t>WPA-1d</t>
  </si>
  <si>
    <t xml:space="preserve">    Fixed charge coverage</t>
  </si>
  <si>
    <t>WPB-6a</t>
  </si>
  <si>
    <t>GAS</t>
  </si>
  <si>
    <t>TOTAL COMPANY</t>
  </si>
  <si>
    <t>ELECTRIC</t>
  </si>
  <si>
    <t>PER</t>
  </si>
  <si>
    <t xml:space="preserve">  DESCRIPTION</t>
  </si>
  <si>
    <t>WPB-6b</t>
  </si>
  <si>
    <t>JURISDICTIONAL PERCENTAGE</t>
  </si>
  <si>
    <t xml:space="preserve">                SCHEDULE B-7</t>
  </si>
  <si>
    <t xml:space="preserve">                PAGE  1  OF  1</t>
  </si>
  <si>
    <t>WORK PAPER REFERENCE NO(S).:</t>
  </si>
  <si>
    <t xml:space="preserve">                WITNESS RESPONSIBLE:</t>
  </si>
  <si>
    <t>DESCRIPTION OF FACTORS</t>
  </si>
  <si>
    <t>AND/OR METHOD OF</t>
  </si>
  <si>
    <t>TITLE</t>
  </si>
  <si>
    <t>Not Applicable - 100% Jurisdictional</t>
  </si>
  <si>
    <t>JURISDICTIONAL STATISTICS - RATE BASE</t>
  </si>
  <si>
    <t>SCHEDULE B-7.1</t>
  </si>
  <si>
    <t>STATISTIC</t>
  </si>
  <si>
    <t>TO TOTAL</t>
  </si>
  <si>
    <t>DESCRIPTION BY MAJOR</t>
  </si>
  <si>
    <t>FOR TOTAL</t>
  </si>
  <si>
    <t>Injuries &amp; Damages</t>
  </si>
  <si>
    <t>Total Account 190</t>
  </si>
  <si>
    <t>Liberalized Depreciation</t>
  </si>
  <si>
    <t>Total Account 282</t>
  </si>
  <si>
    <t>Unrecovered Purchased Gas Cost</t>
  </si>
  <si>
    <t>Total Account 283</t>
  </si>
  <si>
    <t>Total Deferred Income Taxes</t>
  </si>
  <si>
    <t>PURPOSE AND DESCRIPTION: To reflect the estimated cost</t>
  </si>
  <si>
    <t>Outside Services Employed</t>
  </si>
  <si>
    <t>Property Insurance</t>
  </si>
  <si>
    <t>PAGE  8  OF  12</t>
  </si>
  <si>
    <t>PAGE  9  OF  12</t>
  </si>
  <si>
    <t>PAGE  10  OF  12</t>
  </si>
  <si>
    <t>PAGE  11  OF  12</t>
  </si>
  <si>
    <t>PAGE  12  OF  12</t>
  </si>
  <si>
    <t>PAGE  6  OF  12</t>
  </si>
  <si>
    <t>PAGE  5  OF  12</t>
  </si>
  <si>
    <t>PAGE  4  OF  12</t>
  </si>
  <si>
    <t>PAGE  3  OF  12</t>
  </si>
  <si>
    <t>PAGE  2  OF  12</t>
  </si>
  <si>
    <t>PAGE  1  OF  12</t>
  </si>
  <si>
    <t>PAGE  1  OF  6</t>
  </si>
  <si>
    <t>PAGE  2  OF  6</t>
  </si>
  <si>
    <t>PAGE  3  OF  6</t>
  </si>
  <si>
    <t>PAGE  4  OF  6</t>
  </si>
  <si>
    <t>PAGE  5  OF  6</t>
  </si>
  <si>
    <t>PAGE  6  OF  6</t>
  </si>
  <si>
    <t>Company Records</t>
  </si>
  <si>
    <t>FERC - FERC Issues</t>
  </si>
  <si>
    <t xml:space="preserve">  Highway Use</t>
  </si>
  <si>
    <t>(A)  Source: Schedule H</t>
  </si>
  <si>
    <t>(1) Plant Investment includes Completed Construction Not Classified (Account 106).</t>
  </si>
  <si>
    <t>R4</t>
  </si>
  <si>
    <t>R2.5</t>
  </si>
  <si>
    <t>R1</t>
  </si>
  <si>
    <t>R1.5</t>
  </si>
  <si>
    <t>SAME AS SCHEDULE I-2.1 - 100% OF TOTAL COMPANY OPERATIONS ARE JURISDICTIONAL</t>
  </si>
  <si>
    <t>SCHEDULE I-4</t>
  </si>
  <si>
    <t>Total</t>
  </si>
  <si>
    <t>To get to the "GO TO" menu while in the</t>
  </si>
  <si>
    <t>To get to the "GO TO" menu while in the model,</t>
  </si>
  <si>
    <t xml:space="preserve">  Taxes Other Than Income Taxes</t>
  </si>
  <si>
    <t xml:space="preserve">     Total Retail Revenue</t>
  </si>
  <si>
    <t>PURPOSE AND DESCRIPTION: To adjust base period income tax</t>
  </si>
  <si>
    <t>(E)</t>
  </si>
  <si>
    <t>Sources:</t>
  </si>
  <si>
    <t>Change</t>
  </si>
  <si>
    <t>MANHOURS</t>
  </si>
  <si>
    <t xml:space="preserve"> STRAIGHT TIME HOURS</t>
  </si>
  <si>
    <t>N/A</t>
  </si>
  <si>
    <t xml:space="preserve">              SCHEDULE C-2</t>
  </si>
  <si>
    <t>LONG TERM DEBT</t>
  </si>
  <si>
    <t xml:space="preserve">  OTHER LONG TERM DEBT</t>
  </si>
  <si>
    <t xml:space="preserve">  UNAMORTIZED PREMIUM ON LONG TERM DEBT</t>
  </si>
  <si>
    <t xml:space="preserve"> CLASS-KWH (A)</t>
  </si>
  <si>
    <t>SAME AS SCHEDULE I-4 - 100% OF TOTAL COMPANY OPERATIONS ARE JURISDICTIONAL</t>
  </si>
  <si>
    <t>ELECTRIC REVENUE STATISTICS-TOTAL COMPANY</t>
  </si>
  <si>
    <t>ELECTRIC SALES STATISTICS-TOTAL COMPANY</t>
  </si>
  <si>
    <t>OPERATING REVENUES AND EXPENSES BY ACCOUNTS</t>
  </si>
  <si>
    <t>SCHEDULE D-2.15</t>
  </si>
  <si>
    <t>WPD-2.15a</t>
  </si>
  <si>
    <t>Other Power Generation</t>
  </si>
  <si>
    <t xml:space="preserve"> Generating Expense</t>
  </si>
  <si>
    <t xml:space="preserve"> Misc. Other Power Generation</t>
  </si>
  <si>
    <t xml:space="preserve"> Structures</t>
  </si>
  <si>
    <t xml:space="preserve"> Generating &amp; Electrical Equipment</t>
  </si>
  <si>
    <t xml:space="preserve"> Miscellaneous Other Power Gen</t>
  </si>
  <si>
    <t xml:space="preserve">    Total Other Power Generation</t>
  </si>
  <si>
    <t xml:space="preserve">    Total Other Power Supply Expense</t>
  </si>
  <si>
    <t>General Advertising Expense</t>
  </si>
  <si>
    <t>LINE</t>
  </si>
  <si>
    <t>DATE</t>
  </si>
  <si>
    <t>Unadjusted</t>
  </si>
  <si>
    <t>PLANT IN SERVICE BY MAJOR PROPERTY GROUPING</t>
  </si>
  <si>
    <t>SCHEDULE B-2</t>
  </si>
  <si>
    <t>WORK PAPER REFERENCE NO(S).: SCHEDULE B-2.1</t>
  </si>
  <si>
    <t>13 Month</t>
  </si>
  <si>
    <t>Major Property Groupings</t>
  </si>
  <si>
    <t>PAYROLL COSTS</t>
  </si>
  <si>
    <t xml:space="preserve">                      SCHEDULE G-1</t>
  </si>
  <si>
    <t xml:space="preserve">   Total Taxes Other Than Income Taxes</t>
  </si>
  <si>
    <t>State Income Taxes</t>
  </si>
  <si>
    <t xml:space="preserve">  State Income Tax - Current</t>
  </si>
  <si>
    <t>EXPLANATION OF CHANGES IN JURISDICTIONAL PROCEDURES</t>
  </si>
  <si>
    <t>RATE BASE</t>
  </si>
  <si>
    <t>SCHEDULE B-7.2</t>
  </si>
  <si>
    <t>PROCEDURES APPROVED IN PRIOR CASE</t>
  </si>
  <si>
    <t>RATIONALE FOR CHANGE</t>
  </si>
  <si>
    <t>COMPARATIVE BALANCE SHEETS</t>
  </si>
  <si>
    <t>SCHEDULE B-8</t>
  </si>
  <si>
    <t>BASE PERIOD</t>
  </si>
  <si>
    <t>MOST RECENT FIVE CALENDAR YEARS</t>
  </si>
  <si>
    <t xml:space="preserve">ASSETS </t>
  </si>
  <si>
    <t>UTILITY PLANT</t>
  </si>
  <si>
    <t>(A)  Adjusted for non-jurisdictional gas plant.</t>
  </si>
  <si>
    <t>Emission Allowances (Account 158)</t>
  </si>
  <si>
    <t>(A)  Does not include depreciation annualization adjustment per Commission precedent.</t>
  </si>
  <si>
    <t>(B)  Adjusted for non-jurisdictional gas plant.</t>
  </si>
  <si>
    <t>Depr-Expense</t>
  </si>
  <si>
    <t>Depreciation Expense - ARO Ash</t>
  </si>
  <si>
    <t>Amort Of Elec Plt - Software</t>
  </si>
  <si>
    <t>DSM Deferral - Electric</t>
  </si>
  <si>
    <t>Carrying Charges</t>
  </si>
  <si>
    <t>Municipal License-Electric</t>
  </si>
  <si>
    <t>Franchise Tax - Non Electric</t>
  </si>
  <si>
    <t>Taxes Property-Operating</t>
  </si>
  <si>
    <t>State Unemployment Tax</t>
  </si>
  <si>
    <t>Federal Unemployment Tax</t>
  </si>
  <si>
    <t>Employer FICA Tax</t>
  </si>
  <si>
    <t>Highway Use Tax</t>
  </si>
  <si>
    <t>Fed Social Security Tax-Elec</t>
  </si>
  <si>
    <t>Federal Highway Use Tax-Elec</t>
  </si>
  <si>
    <t>Sales &amp; Use Tax Exp</t>
  </si>
  <si>
    <t>Allocated Payroll Taxes</t>
  </si>
  <si>
    <t>Sit Exp-Utility</t>
  </si>
  <si>
    <t>Current State Income Tax - PY</t>
  </si>
  <si>
    <t>Federal Income Tax-Electric-CY</t>
  </si>
  <si>
    <t>Fed Income Tax-Electric-PY</t>
  </si>
  <si>
    <t>Current FIT Elec - PY Audit</t>
  </si>
  <si>
    <t>UTP Tax Expense: Fed Util-PY</t>
  </si>
  <si>
    <t>DFIT: Utility: Current Year</t>
  </si>
  <si>
    <t>DSIT: Utility: Current Year</t>
  </si>
  <si>
    <t>DFIT: Utility: Prior Year</t>
  </si>
  <si>
    <t>DSIT: Utility: Prior Year</t>
  </si>
  <si>
    <t>Accretion Expense-ARO Ash Pond</t>
  </si>
  <si>
    <t>DFIT: Utility: Curr Year CR</t>
  </si>
  <si>
    <t>DSIT: Utility: Curr Year CR</t>
  </si>
  <si>
    <t>DFIT: Utility: Prior Year CR</t>
  </si>
  <si>
    <t>DSIT: Utility: Prior Year CR</t>
  </si>
  <si>
    <t>Invest Tax Credit Adj-Electric</t>
  </si>
  <si>
    <t>Residential Unbilled Rev</t>
  </si>
  <si>
    <t>General Service</t>
  </si>
  <si>
    <t>General Service Unbilled Rev</t>
  </si>
  <si>
    <t>Industrial Service</t>
  </si>
  <si>
    <t>Industrial Svc Unbilled Rev</t>
  </si>
  <si>
    <t>Public St &amp; Highway Lighting</t>
  </si>
  <si>
    <t>Other Sales to Public Auth</t>
  </si>
  <si>
    <t>OPA Unbilled</t>
  </si>
  <si>
    <t>Sales For Resale - Outside</t>
  </si>
  <si>
    <t>I/C Sales for Resale</t>
  </si>
  <si>
    <t>Interdepartmental Sales-Elec</t>
  </si>
  <si>
    <t>Provisions For Rate Refunds</t>
  </si>
  <si>
    <t>Misc Service Revenue</t>
  </si>
  <si>
    <t>Pole &amp; Line Attachments</t>
  </si>
  <si>
    <t>Tower Lease Revenues</t>
  </si>
  <si>
    <t>Other Electric Rents</t>
  </si>
  <si>
    <t>RSG Rev - MISO Make Whole</t>
  </si>
  <si>
    <t>Sales Use Tax Coll Fee</t>
  </si>
  <si>
    <t>Transmission Charge PTP</t>
  </si>
  <si>
    <t>Other Transmission Revenues</t>
  </si>
  <si>
    <t>Wheel Transmission Rev - ED</t>
  </si>
  <si>
    <t>Suprvsn and Engrg - Steam Oper</t>
  </si>
  <si>
    <t>Coal Consumed-Fossil Steam</t>
  </si>
  <si>
    <t>Coal &amp; Other Fuel Handling</t>
  </si>
  <si>
    <t>Coal Sampling &amp; Testing</t>
  </si>
  <si>
    <t>Sale Of Fly Ash-Expenses</t>
  </si>
  <si>
    <t>Oil Consumed-Fossil Steam</t>
  </si>
  <si>
    <t>Oil Handling Expense</t>
  </si>
  <si>
    <t>COST OF LIME</t>
  </si>
  <si>
    <t>Fossil Steam Exp-Other</t>
  </si>
  <si>
    <t>Electric Expenses-Steam Oper</t>
  </si>
  <si>
    <t>Misc Fossil Power Expenses</t>
  </si>
  <si>
    <t>SO2 Emission Expense</t>
  </si>
  <si>
    <t>Seasonal NOx Emission Expense</t>
  </si>
  <si>
    <t>Annual NOx Emission Expense</t>
  </si>
  <si>
    <t>Suprvsn and Engrng-Steam Maint</t>
  </si>
  <si>
    <t>Suprvsn &amp; Engrng-Steam Maint R</t>
  </si>
  <si>
    <t>Maint Of Structures-Steam</t>
  </si>
  <si>
    <t>Maint Of Boiler Plant-Other</t>
  </si>
  <si>
    <t>Maint Of Electric Plant-Other</t>
  </si>
  <si>
    <t>Maintenance - Misc Steam Plant</t>
  </si>
  <si>
    <t>Suprvsn and Enginring-CT Oper</t>
  </si>
  <si>
    <t>Natural Gas</t>
  </si>
  <si>
    <t>Natural Gas Handling-CT</t>
  </si>
  <si>
    <t>Propane Gas</t>
  </si>
  <si>
    <t>Generation Expenses-Other CT</t>
  </si>
  <si>
    <t>Prime Movers - Generators- CT</t>
  </si>
  <si>
    <t>Misc-Power Generation Expenses</t>
  </si>
  <si>
    <t>Suprvsn and Enginring-CT Maint</t>
  </si>
  <si>
    <t>Maintenance Of Structures-CT</t>
  </si>
  <si>
    <t>Maint-Gentg and Elect Equip-CT</t>
  </si>
  <si>
    <t>Misc Power Generation Plant-CT</t>
  </si>
  <si>
    <t>Purch Pwr - Non-native - net</t>
  </si>
  <si>
    <t>Capacity Purchase Expense</t>
  </si>
  <si>
    <t>Purch Power-Fuel Clause</t>
  </si>
  <si>
    <t>System Cnts &amp; Load Dispatching</t>
  </si>
  <si>
    <t>Other Expenses-Oper</t>
  </si>
  <si>
    <t>Commissions/Brokerage Expense</t>
  </si>
  <si>
    <t>Retail Deferred Fuel Expenses</t>
  </si>
  <si>
    <t>Supervsn and Engrng-Trans Oper</t>
  </si>
  <si>
    <t>Load Dispatch-Reliability</t>
  </si>
  <si>
    <t>Load Dispatch-Mnitor&amp;OprTrnSys</t>
  </si>
  <si>
    <t>Load Dispatch - TransSvc&amp;Sch</t>
  </si>
  <si>
    <t>ReliabilityPlanning&amp;StdsDev</t>
  </si>
  <si>
    <t>Overhead Line Expenses-Trans</t>
  </si>
  <si>
    <t>Transm Of Elec By Others</t>
  </si>
  <si>
    <t>Misc Trans Exp-Other</t>
  </si>
  <si>
    <t>Misc Trans-Trans Lines Related</t>
  </si>
  <si>
    <t>Rents-Trans Oper</t>
  </si>
  <si>
    <t>Maint Of Structures-Trans</t>
  </si>
  <si>
    <t>Maint of Computer Hardware</t>
  </si>
  <si>
    <t>Maint Of Computer Software</t>
  </si>
  <si>
    <t>Maint  Stat Equip-Other- Trans</t>
  </si>
  <si>
    <t>Main-Cir BrkrsTrnsf Mtrs-Trans</t>
  </si>
  <si>
    <t>Maint Of Overhead Lines-Trans</t>
  </si>
  <si>
    <t>Market Faciliation-Mntr&amp;Comp</t>
  </si>
  <si>
    <t>Supervsn and Engring-Dist Oper</t>
  </si>
  <si>
    <t>Load Dispatch-Dist of Elec</t>
  </si>
  <si>
    <t>Station Expenses-Other-Dist</t>
  </si>
  <si>
    <t>Overhead Line Exps-Other-Dist</t>
  </si>
  <si>
    <t>Transf Set Rem Reset Test-Dist</t>
  </si>
  <si>
    <t>Underground Line Expenses-Dist</t>
  </si>
  <si>
    <t>Meter Expenses-Dist</t>
  </si>
  <si>
    <t>Cust Install Exp-Other Dist</t>
  </si>
  <si>
    <t>Misc Distribution Exp-Other</t>
  </si>
  <si>
    <t>Rents-Dist Oper</t>
  </si>
  <si>
    <t>Maintenance Of Structures-Dist</t>
  </si>
  <si>
    <t>Maint Station Equip-Other-Dist</t>
  </si>
  <si>
    <t>Maint Overhd Lines-Other-Dist</t>
  </si>
  <si>
    <t>Right-Of-Way Maintenance-Dist</t>
  </si>
  <si>
    <t>Maint-Underground Lines-Dist</t>
  </si>
  <si>
    <t>Maint Line Transfrs-Other-Dist</t>
  </si>
  <si>
    <t>Maint-StreetLightng/Signl-Dist</t>
  </si>
  <si>
    <t>Maintenance Of Meters-Dist</t>
  </si>
  <si>
    <t>Supervision-Cust Accts</t>
  </si>
  <si>
    <t>Meter Reading Expense</t>
  </si>
  <si>
    <t>Cust Records &amp; Collection Exp</t>
  </si>
  <si>
    <t>Cust Contracts &amp; Orders-Local</t>
  </si>
  <si>
    <t>Cust Billing &amp; Acct</t>
  </si>
  <si>
    <t>Cust Collecting-Local</t>
  </si>
  <si>
    <t>Cust Receiv &amp; Collect Exp-Edp</t>
  </si>
  <si>
    <t>BAD DEBT EXPENSE</t>
  </si>
  <si>
    <t>IC Loss on Sale of AR VIE</t>
  </si>
  <si>
    <t>Misc Customer Accts Expenses</t>
  </si>
  <si>
    <t>Cust Asst Exp-Conservation Pro</t>
  </si>
  <si>
    <t>Misc Advertising Expenses</t>
  </si>
  <si>
    <t>Misc Cust Serv/Inform Exp</t>
  </si>
  <si>
    <t>Exp-Rs Reg Prod/Svces-CstAccts</t>
  </si>
  <si>
    <t>Demonstrating &amp; Selling Exp</t>
  </si>
  <si>
    <t>Advertising Expense</t>
  </si>
  <si>
    <t>A &amp; G Salaries</t>
  </si>
  <si>
    <t>Employee Expenses</t>
  </si>
  <si>
    <t>Employee Exp - NC</t>
  </si>
  <si>
    <t>Relocation Expenses</t>
  </si>
  <si>
    <t>Office Expenses</t>
  </si>
  <si>
    <t>Telephone And Telegraph Exp</t>
  </si>
  <si>
    <t>Computer Services Expenses</t>
  </si>
  <si>
    <t>Computer Rent (Go Only)</t>
  </si>
  <si>
    <t>Office Supplies &amp; Expenses</t>
  </si>
  <si>
    <t>Outside Services Employee &amp;</t>
  </si>
  <si>
    <t>Inter-Co Prop Ins Exp</t>
  </si>
  <si>
    <t>Property Insurance For Corp.</t>
  </si>
  <si>
    <t>INTER-CO GEN LIAB EXP</t>
  </si>
  <si>
    <t>Injuries And Damages-Other</t>
  </si>
  <si>
    <t>Injuries And Damages For Corp.</t>
  </si>
  <si>
    <t>EMPL PENSIONS AND BENEFITS</t>
  </si>
  <si>
    <t>Employees'Recreation Expense</t>
  </si>
  <si>
    <t>Employee Benefits-Transferred</t>
  </si>
  <si>
    <t>Duplicate Chrgs-Enrgy To Exp</t>
  </si>
  <si>
    <t>Admin Exp Transf</t>
  </si>
  <si>
    <t>Miscellaneous Advertising Exp</t>
  </si>
  <si>
    <t>Misc General Expenses</t>
  </si>
  <si>
    <t>Industry Association Dues</t>
  </si>
  <si>
    <t>Exp Of Servicing Securities</t>
  </si>
  <si>
    <t>Dues To Various Organizations</t>
  </si>
  <si>
    <t>Director'S Expenses</t>
  </si>
  <si>
    <t>Buy\Sell Transf Employee Homes</t>
  </si>
  <si>
    <t>Research &amp; Development</t>
  </si>
  <si>
    <t>General Expenses</t>
  </si>
  <si>
    <t>Rents-A&amp;G</t>
  </si>
  <si>
    <t>A&amp;G Rents-IC</t>
  </si>
  <si>
    <t>Maint General Plant-Elec</t>
  </si>
  <si>
    <t>Cust Infor &amp; Computer Control</t>
  </si>
  <si>
    <t>Customer Accounts</t>
  </si>
  <si>
    <t>CO</t>
  </si>
  <si>
    <t>Customer Service &amp; Information</t>
  </si>
  <si>
    <t>SE</t>
  </si>
  <si>
    <t>Provision for Rate Refunds</t>
  </si>
  <si>
    <t>Late Payment Fees</t>
  </si>
  <si>
    <t xml:space="preserve">  Provision for Rate Refunds</t>
  </si>
  <si>
    <t>OPS</t>
  </si>
  <si>
    <t>Other Power Supply</t>
  </si>
  <si>
    <t>RMO</t>
  </si>
  <si>
    <t>Regional Marketing</t>
  </si>
  <si>
    <t>RMM</t>
  </si>
  <si>
    <t xml:space="preserve"> Fuel Consumed</t>
  </si>
  <si>
    <t xml:space="preserve"> Fuel - Miscellaneous</t>
  </si>
  <si>
    <t>Total Operating Expense</t>
  </si>
  <si>
    <t>Regional Marketing Expense</t>
  </si>
  <si>
    <t xml:space="preserve">    Total Regional Marketing Expense</t>
  </si>
  <si>
    <t>Other Employee Benefits</t>
  </si>
  <si>
    <t xml:space="preserve">  Demonstrating &amp; Selling Exp</t>
  </si>
  <si>
    <t xml:space="preserve">  Allocated Payroll Taxes</t>
  </si>
  <si>
    <t xml:space="preserve">  Municipal License-Electric</t>
  </si>
  <si>
    <t xml:space="preserve">  Franchise Tax - Non Electric</t>
  </si>
  <si>
    <t xml:space="preserve">  Taxes Property-Operating</t>
  </si>
  <si>
    <t xml:space="preserve">  State Unemployment Tax</t>
  </si>
  <si>
    <t xml:space="preserve">  Employer FICA Tax</t>
  </si>
  <si>
    <t xml:space="preserve">  Sales &amp; Use Tax</t>
  </si>
  <si>
    <t xml:space="preserve">  State Income Tax </t>
  </si>
  <si>
    <t xml:space="preserve">  FIT - Prior Year</t>
  </si>
  <si>
    <t xml:space="preserve">  Current FIT - Prior Year Audit</t>
  </si>
  <si>
    <t xml:space="preserve">  UTP Tax Expense - Prior Year</t>
  </si>
  <si>
    <t xml:space="preserve">    Federal Income Tax</t>
  </si>
  <si>
    <t>Other Expense</t>
  </si>
  <si>
    <t xml:space="preserve">      Total Other Expense</t>
  </si>
  <si>
    <t>Accretion Expense - ARO Ash Pond</t>
  </si>
  <si>
    <t xml:space="preserve">  SIT - Prior Year</t>
  </si>
  <si>
    <t>J. E. ZIOLKOWSKI</t>
  </si>
  <si>
    <t xml:space="preserve">  Miscellaneous Advertising Exp</t>
  </si>
  <si>
    <t xml:space="preserve">  Misc General Expenses</t>
  </si>
  <si>
    <t xml:space="preserve">  Industry Association Dues</t>
  </si>
  <si>
    <t xml:space="preserve">  Exp Of Servicing Securities</t>
  </si>
  <si>
    <t xml:space="preserve">  Dues To Various Organizations</t>
  </si>
  <si>
    <t xml:space="preserve">  Buy\Sell Transf Employee Homes</t>
  </si>
  <si>
    <t xml:space="preserve">  Research &amp; Development</t>
  </si>
  <si>
    <t xml:space="preserve">  General Expenses</t>
  </si>
  <si>
    <t>BASE PERIOD REVENUES BY PRODUCT</t>
  </si>
  <si>
    <t>Product</t>
  </si>
  <si>
    <t>Product Desc.</t>
  </si>
  <si>
    <t>BBEREV</t>
  </si>
  <si>
    <t>Bundled Base Revenue Elect</t>
  </si>
  <si>
    <t>BEFREV</t>
  </si>
  <si>
    <t>Base Elec Fuel Rev</t>
  </si>
  <si>
    <t>REDSM</t>
  </si>
  <si>
    <t>Demand Side Mgmt Elec</t>
  </si>
  <si>
    <t>REFC</t>
  </si>
  <si>
    <t>Fuel Cost Adjustment</t>
  </si>
  <si>
    <t>RKEPSM</t>
  </si>
  <si>
    <t>Off-SystemSales Profit Sharing</t>
  </si>
  <si>
    <t>UNBILL</t>
  </si>
  <si>
    <t>Unbill Total (inc base&amp; rider)</t>
  </si>
  <si>
    <t>CAPCTY</t>
  </si>
  <si>
    <t>FACASM</t>
  </si>
  <si>
    <t>FAC-Ancillary Services</t>
  </si>
  <si>
    <t>FER668</t>
  </si>
  <si>
    <t>FERC 668 Netting</t>
  </si>
  <si>
    <t>SLSRSL</t>
  </si>
  <si>
    <t>NO VALUE</t>
  </si>
  <si>
    <t>GP0000</t>
  </si>
  <si>
    <t>Green Power</t>
  </si>
  <si>
    <t>MRJC</t>
  </si>
  <si>
    <t>Rev-Jobbing And Contract Work</t>
  </si>
  <si>
    <t>MROTH</t>
  </si>
  <si>
    <t>NonUtil Misc Serv Rev - Oth</t>
  </si>
  <si>
    <t>PDREV</t>
  </si>
  <si>
    <t>PD Revenue</t>
  </si>
  <si>
    <t>FACFTR</t>
  </si>
  <si>
    <t>Fuel Adj Clause - FTR</t>
  </si>
  <si>
    <t>Excl. Inter-Dept</t>
  </si>
  <si>
    <t>Rent From Electric Property</t>
  </si>
  <si>
    <t xml:space="preserve">  Misc. Service Revenue</t>
  </si>
  <si>
    <t xml:space="preserve">  Rent From Electric Property</t>
  </si>
  <si>
    <t xml:space="preserve">  PSM Rider</t>
  </si>
  <si>
    <t xml:space="preserve">  FAC Rider</t>
  </si>
  <si>
    <t xml:space="preserve">  DSM Rider</t>
  </si>
  <si>
    <t>PSM</t>
  </si>
  <si>
    <t>2006-00172</t>
  </si>
  <si>
    <t>Regional Market Expense</t>
  </si>
  <si>
    <t>REGIONAL MARKET</t>
  </si>
  <si>
    <t>D-2.1 thru D-2.15</t>
  </si>
  <si>
    <t xml:space="preserve">  Regional Market Expense</t>
  </si>
  <si>
    <t xml:space="preserve"> Regional Market Expense</t>
  </si>
  <si>
    <t>WPD-2.33a</t>
  </si>
  <si>
    <t>WORK PAPER REFERENCE NO(S).: WPD-2.24a</t>
  </si>
  <si>
    <t>WPD-2.24a</t>
  </si>
  <si>
    <t xml:space="preserve"> --&gt; To Sch D-2.24</t>
  </si>
  <si>
    <t xml:space="preserve">          SCHEDULE D-2.23</t>
  </si>
  <si>
    <t>WORK PAPER REFERENCE NO(S).:  WPD-2.23a</t>
  </si>
  <si>
    <t>SCHEDULE D-2.22</t>
  </si>
  <si>
    <t xml:space="preserve">          SCHEDULE D-2.19</t>
  </si>
  <si>
    <t xml:space="preserve">              WPD-2.19a</t>
  </si>
  <si>
    <t>To Sch D-2.19, Pg. 2 &lt;--</t>
  </si>
  <si>
    <t>To Sch D-2.19, Pg. 1 &lt;--</t>
  </si>
  <si>
    <t>WORK PAPER REFERENCE NO(S).:  SCHEDULE F-6, WPD-2.17a.</t>
  </si>
  <si>
    <t xml:space="preserve">     To Sch D-2.17 &lt;---</t>
  </si>
  <si>
    <t>WORK PAPER REFERENCE NO(S).:  WPD-2.15a</t>
  </si>
  <si>
    <t xml:space="preserve">PURPOSE AND DESCRIPTION: To adjust base period regional market expenses </t>
  </si>
  <si>
    <t>ADJUST BASE PERIOD REGIONAL MARKET EXPENSE</t>
  </si>
  <si>
    <t>Expense Factor Excluding Tax</t>
  </si>
  <si>
    <t>D-2.44</t>
  </si>
  <si>
    <t>CPI</t>
  </si>
  <si>
    <t>Year</t>
  </si>
  <si>
    <t>100 (A)</t>
  </si>
  <si>
    <t>CALCULATION OF CONSUMER PRICE INDEX</t>
  </si>
  <si>
    <t>FOR URBAN CONSUMERS</t>
  </si>
  <si>
    <t>Consumer</t>
  </si>
  <si>
    <t>Price</t>
  </si>
  <si>
    <t>Index (A)</t>
  </si>
  <si>
    <t>2009-00202 (GAS)</t>
  </si>
  <si>
    <t>2006-00172 (ELEC)</t>
  </si>
  <si>
    <t>Depreciation Study</t>
  </si>
  <si>
    <t>Demolition Study</t>
  </si>
  <si>
    <t xml:space="preserve"> To WPD-2.17a &lt;------------</t>
  </si>
  <si>
    <t>12/21/2006</t>
  </si>
  <si>
    <t>DUKE ENERGY KENTUCKY, INC.</t>
  </si>
  <si>
    <t>Overhead Conductors - Clear RV</t>
  </si>
  <si>
    <t>Light Choice OLE</t>
  </si>
  <si>
    <t>Electronic Data Proc Equip</t>
  </si>
  <si>
    <t>Leased AMI Meters</t>
  </si>
  <si>
    <t>3110 - ENV</t>
  </si>
  <si>
    <t>3120 - ENV</t>
  </si>
  <si>
    <t>3123 - ENV</t>
  </si>
  <si>
    <t>3140 - ENV</t>
  </si>
  <si>
    <t>3150 - ENV</t>
  </si>
  <si>
    <t>3160 - ENV</t>
  </si>
  <si>
    <t>3711, 3712</t>
  </si>
  <si>
    <t>Area Lighting, Co Owned Outdoor Light</t>
  </si>
  <si>
    <t>Gas Meters</t>
  </si>
  <si>
    <t>Bank of America</t>
  </si>
  <si>
    <t>Gas Regulators</t>
  </si>
  <si>
    <t>Erlanger Cox Rd. Facility</t>
  </si>
  <si>
    <t>Total Capital Leases</t>
  </si>
  <si>
    <t>L0.5</t>
  </si>
  <si>
    <t>O1</t>
  </si>
  <si>
    <t xml:space="preserve">   Percent of Business Taxable in State</t>
  </si>
  <si>
    <t>F.T.I. Before S.I.T. &amp; Federal Tax Loss Cryfowd</t>
  </si>
  <si>
    <t xml:space="preserve">  NONCURRENT PORTION OF ALLOWANCES</t>
  </si>
  <si>
    <t xml:space="preserve">  CUSTOMER ACCOUNTS RECEIVABLE</t>
  </si>
  <si>
    <t xml:space="preserve">  OTHER ACCOUNTS RECEIVABLE</t>
  </si>
  <si>
    <t xml:space="preserve">  (LESS) ACCUM. PROVISION FOR UNCOLLECTIBLE ACCOUNTS - CREDIT</t>
  </si>
  <si>
    <t xml:space="preserve">  INTEREST AND DIVIDENDS RECEIVABLE</t>
  </si>
  <si>
    <t xml:space="preserve">  DERIVATIVE INSTRUMENT ASSETS</t>
  </si>
  <si>
    <t xml:space="preserve">  (LESS) LONG-TERM PORTION OF DERIVATIVE INSTRUMENT ASSETS</t>
  </si>
  <si>
    <t xml:space="preserve">  DERIVATIVE INSTRUMENT ASSETS - HEDGES</t>
  </si>
  <si>
    <t xml:space="preserve">  (LESS) LONG-TERM PORTION OF DERIVATIVE INSTRUMENT ASSETS - HEDGES</t>
  </si>
  <si>
    <t xml:space="preserve">  PRELIM. SURVEY AND INVESTIGATION CHARGES (ELECTRIC)</t>
  </si>
  <si>
    <t xml:space="preserve">  TEMPORARY FACILITIES</t>
  </si>
  <si>
    <t xml:space="preserve">  OBLIGATIONS UNDER CAPITAL LEASES - CURRENT</t>
  </si>
  <si>
    <t xml:space="preserve">  DERIVATIVE INSTRUMENT LIABILITIES</t>
  </si>
  <si>
    <t xml:space="preserve">  (LESS) LONG-TERM PORTION OF DERIVATIVE INSTRUMENT LIABILITIES</t>
  </si>
  <si>
    <t>Non-jurisdictional Rate Base</t>
  </si>
  <si>
    <t>Electric Non-jurisdictional Rate Base</t>
  </si>
  <si>
    <t>Gas Non-jurisdictional Rate Base</t>
  </si>
  <si>
    <t>A-</t>
  </si>
  <si>
    <t xml:space="preserve">     Dividends Paid ($000,000)</t>
  </si>
  <si>
    <t>Forecasted Period:</t>
  </si>
  <si>
    <t xml:space="preserve">   Than DE-Kentucky Customers</t>
  </si>
  <si>
    <t xml:space="preserve">   Other Than DE-Kentucky Customers</t>
  </si>
  <si>
    <t>DE-Kentucky Customers to Total Plant   (Line 8 / Line 4)</t>
  </si>
  <si>
    <t>DE-Kentucky Custs.</t>
  </si>
  <si>
    <r>
      <t xml:space="preserve">TOTAL </t>
    </r>
    <r>
      <rPr>
        <vertAlign val="superscript"/>
        <sz val="10"/>
        <rFont val="Arial"/>
        <family val="2"/>
      </rPr>
      <t>(1)</t>
    </r>
  </si>
  <si>
    <t>The procedures used are the same as those used in the Company's prior proceeding, Case No. 2006-00172.</t>
  </si>
  <si>
    <t>Range Name</t>
  </si>
  <si>
    <r>
      <t xml:space="preserve">DATA: </t>
    </r>
    <r>
      <rPr>
        <b/>
        <sz val="10"/>
        <color rgb="FF0000FF"/>
        <rFont val="Arial"/>
        <family val="2"/>
      </rPr>
      <t>"X" BASE PERIOD</t>
    </r>
    <r>
      <rPr>
        <sz val="10"/>
        <color rgb="FF0000FF"/>
        <rFont val="Arial"/>
        <family val="2"/>
      </rPr>
      <t xml:space="preserve">   FORECASTED PERIOD</t>
    </r>
  </si>
  <si>
    <r>
      <t xml:space="preserve">DATA:  BASE PERIOD  </t>
    </r>
    <r>
      <rPr>
        <b/>
        <sz val="10"/>
        <color rgb="FF0000FF"/>
        <rFont val="Arial"/>
        <family val="2"/>
      </rPr>
      <t>"X" FORECASTED PERIOD</t>
    </r>
  </si>
  <si>
    <t>Less: Interdepartmental Revenues</t>
  </si>
  <si>
    <t>Charge-offs</t>
  </si>
  <si>
    <t>Collection</t>
  </si>
  <si>
    <t>Costs</t>
  </si>
  <si>
    <t>Late Payment</t>
  </si>
  <si>
    <t>Charges</t>
  </si>
  <si>
    <t>Sch. C-2.1</t>
  </si>
  <si>
    <t>Revenue Subject to Uncollectible Ratio (1) + (2) - (3)</t>
  </si>
  <si>
    <t>Uncollectible Expense Factor</t>
  </si>
  <si>
    <t>Annualized Uncollectible Expense (4) * (5)</t>
  </si>
  <si>
    <t>January 2017</t>
  </si>
  <si>
    <t>Note: Source is Company general ledger.</t>
  </si>
  <si>
    <t>154100 - Gas</t>
  </si>
  <si>
    <t>154100 - Elec</t>
  </si>
  <si>
    <t>154200 - Elec</t>
  </si>
  <si>
    <t>154990 - Elec</t>
  </si>
  <si>
    <t>163110 - Gas</t>
  </si>
  <si>
    <t>163110 - Elec</t>
  </si>
  <si>
    <t>PAGE 1 OF 1</t>
  </si>
  <si>
    <t>M&amp;S Inventory - Gas</t>
  </si>
  <si>
    <t>M&amp;S Inventory - Electric</t>
  </si>
  <si>
    <t>Limestone Inventory - Electric</t>
  </si>
  <si>
    <t>Sch. M Inventory Surplus - Cr</t>
  </si>
  <si>
    <t xml:space="preserve"> Stores Expense - Electric</t>
  </si>
  <si>
    <t xml:space="preserve"> Stores Expense - Gas</t>
  </si>
  <si>
    <t>165400 (A)</t>
  </si>
  <si>
    <t>Fees - Gas</t>
  </si>
  <si>
    <t>Fees - Elec</t>
  </si>
  <si>
    <t>Collateral Asset</t>
  </si>
  <si>
    <t>Elec</t>
  </si>
  <si>
    <t>165520 (A)</t>
  </si>
  <si>
    <t>KPSC Maintenance Tax - Gas</t>
  </si>
  <si>
    <t>KPSC Maintenance Tax - Elec</t>
  </si>
  <si>
    <t>Coal Stocks</t>
  </si>
  <si>
    <t>151130 (A)</t>
  </si>
  <si>
    <t>151131 (A)</t>
  </si>
  <si>
    <t>Diesel Fuel</t>
  </si>
  <si>
    <t>151140 (A)</t>
  </si>
  <si>
    <t>ACCT 151126</t>
  </si>
  <si>
    <t>151660 (A)</t>
  </si>
  <si>
    <t>165075 (A)</t>
  </si>
  <si>
    <t>Inter-Co Prepaid Insurance</t>
  </si>
  <si>
    <t>158170 (A)</t>
  </si>
  <si>
    <t>158150 (A)</t>
  </si>
  <si>
    <t>AS OF DECEMBER 31, 2012-2016 AND BASE AND FORECASTED PERIODS</t>
  </si>
  <si>
    <t>(A) Prepared by Bureau of Labor Statistics - Consumer Price Index - All Urban Consumers - Table 24</t>
  </si>
  <si>
    <t>Amortization Period</t>
  </si>
  <si>
    <t>WPD-2.20a</t>
  </si>
  <si>
    <t>WORK PAPER REFERENCE NO(S).: WPD-2.20a</t>
  </si>
  <si>
    <t>Profit Sharing Mechanism</t>
  </si>
  <si>
    <t>Data Processing Service</t>
  </si>
  <si>
    <t>DFIT:Utility:Prior year</t>
  </si>
  <si>
    <t>Common - Operating-Cust Accts</t>
  </si>
  <si>
    <t>5 YEAR</t>
  </si>
  <si>
    <t xml:space="preserve">   Kentucky Tax Inc. Adjustment - Misc</t>
  </si>
  <si>
    <t>WORK PAPER REFERENCE NO(S).: WPC-2.1a_FP</t>
  </si>
  <si>
    <t>WORK PAPER REFERENCE NO(S).: WPC-2.1a_BP</t>
  </si>
  <si>
    <t>COMPOSITE TAX RATE</t>
  </si>
  <si>
    <t>Operating Income Deductions</t>
  </si>
  <si>
    <t>ELECTRIC NET INCOME</t>
  </si>
  <si>
    <t>Power Production Expenses</t>
  </si>
  <si>
    <t>Purchased Power Expenses</t>
  </si>
  <si>
    <t>Transmission Expenses</t>
  </si>
  <si>
    <t>Regional Market Expenses</t>
  </si>
  <si>
    <t>Income Taxes - Federal</t>
  </si>
  <si>
    <t>Income Taxes - Other</t>
  </si>
  <si>
    <t>Investment Tax Credit Adj - Net</t>
  </si>
  <si>
    <t xml:space="preserve">  Operating and Maintenance Expenses:</t>
  </si>
  <si>
    <t>Customer Service and Informational Expenses</t>
  </si>
  <si>
    <t>Administerative and General Expenses</t>
  </si>
  <si>
    <t>Total (Line 5 through Line 14)</t>
  </si>
  <si>
    <t>Amort. &amp; Depl. of Utility Plant</t>
  </si>
  <si>
    <t>Provision for Deferred Income Taxes - Net</t>
  </si>
  <si>
    <t>Gains From Disp of Allow - Credit</t>
  </si>
  <si>
    <t>Other Income And Deductions</t>
  </si>
  <si>
    <t xml:space="preserve">  Other Income:</t>
  </si>
  <si>
    <t>Nonutility Operating Income</t>
  </si>
  <si>
    <t xml:space="preserve">  Other Income Deductions:</t>
  </si>
  <si>
    <t xml:space="preserve">    Allow For Brwd Funds Used Dur Const - Credit</t>
  </si>
  <si>
    <t>Equity in Earnings of Subsidiary Companies</t>
  </si>
  <si>
    <t xml:space="preserve">    Gain on Disposition of Property</t>
  </si>
  <si>
    <t xml:space="preserve">    Loss on Disposition of Property</t>
  </si>
  <si>
    <t xml:space="preserve">    Income Taxes and Investment Tax Credits</t>
  </si>
  <si>
    <t>Net Income</t>
  </si>
  <si>
    <t>Net Income per KWH Sold</t>
  </si>
  <si>
    <t>Gypsum - Qualifying</t>
  </si>
  <si>
    <t>Cir BrkrsTrnsf Mters Rely-Dist</t>
  </si>
  <si>
    <t>Distribution Revenue Elect</t>
  </si>
  <si>
    <t>Generation Revenue</t>
  </si>
  <si>
    <t>Transmission Revenue Elect</t>
  </si>
  <si>
    <t>#N/A</t>
  </si>
  <si>
    <t>BDPCHG</t>
  </si>
  <si>
    <t>Admin Expense Transfer</t>
  </si>
  <si>
    <t>Cust Billing - Common</t>
  </si>
  <si>
    <t>Planned Outage O&amp;M</t>
  </si>
  <si>
    <t>NORMALIZATION OF PLANNED OUTAGE O&amp;M</t>
  </si>
  <si>
    <t>Total Normalized Planned Outage O&amp;M</t>
  </si>
  <si>
    <t>Less Test Year Planned Outage O&amp;M</t>
  </si>
  <si>
    <t>Adjusted Planned Outage O&amp;M</t>
  </si>
  <si>
    <t>PURPOSE AND DESCRIPTION: Normalization of Planned Outage O&amp;M.</t>
  </si>
  <si>
    <t>NORMALIZATION</t>
  </si>
  <si>
    <t>OF PLANNED</t>
  </si>
  <si>
    <t>OUTAGE O&amp;M</t>
  </si>
  <si>
    <t>Account ID CB</t>
  </si>
  <si>
    <t>Account Long Descr CB</t>
  </si>
  <si>
    <t>Accretion Expense ARO</t>
  </si>
  <si>
    <t>Late Pmt and Forf Disc</t>
  </si>
  <si>
    <t>Customer Billing-Common</t>
  </si>
  <si>
    <t>Admin  Exp Transfer</t>
  </si>
  <si>
    <t>0Ther Employee Benefits</t>
  </si>
  <si>
    <t>Regulatory Expenses (Go)</t>
  </si>
  <si>
    <t>Regulatory Expenses</t>
  </si>
  <si>
    <t>Public Street &amp; Hwy. Lighting</t>
  </si>
  <si>
    <t>Other Public Authority</t>
  </si>
  <si>
    <t>Interdepartmental</t>
  </si>
  <si>
    <t>Late Payment Charges</t>
  </si>
  <si>
    <t>Product ID CB</t>
  </si>
  <si>
    <t>Product Long Descr CB</t>
  </si>
  <si>
    <t>MISO - Other Charges</t>
  </si>
  <si>
    <t>Duke Energy Kentucky</t>
  </si>
  <si>
    <t>(Actual)</t>
  </si>
  <si>
    <t>(Budget)</t>
  </si>
  <si>
    <t>ASHLEGL - Ash Legal</t>
  </si>
  <si>
    <t>BCOAL - Coal Purchasing Svcs</t>
  </si>
  <si>
    <t>BPO - Business Process Outsourcing</t>
  </si>
  <si>
    <t>CONSULT - Consulting</t>
  </si>
  <si>
    <t>DOJ2015 - DanRvr DOJ Settlmnt Agrmnt</t>
  </si>
  <si>
    <t>EHSALOC - EHS Service Company Allocation</t>
  </si>
  <si>
    <t>EHSOFST - EHS Allocation Offset</t>
  </si>
  <si>
    <t>ENVSAFE - ENVIRONMENTAL &amp; SAFETY</t>
  </si>
  <si>
    <t>EPRIDUE - Commitment to EPRI research</t>
  </si>
  <si>
    <t>FNCTOFF - Offset to Functional UA Alloc</t>
  </si>
  <si>
    <t>IMCHRG - IM Chargebacks</t>
  </si>
  <si>
    <t>IMS - Information Mgt</t>
  </si>
  <si>
    <t>ITSUPP - IT Support</t>
  </si>
  <si>
    <t>LEG&amp;REG - LEGISLATIVE &amp; REGULATORY</t>
  </si>
  <si>
    <t>MOVEBOX - Box Moves</t>
  </si>
  <si>
    <t>NCCPOM - O&amp;M Programmatic Support toCCP</t>
  </si>
  <si>
    <t>OTHADM - OTHADM</t>
  </si>
  <si>
    <t>PDWCOM - PD Wk Ctrs O&amp;M</t>
  </si>
  <si>
    <t>PRINT - Printing Svcs</t>
  </si>
  <si>
    <t>SSD - SSD Strategy Work</t>
  </si>
  <si>
    <t>STAFF - General &amp; Administrative supt</t>
  </si>
  <si>
    <t>STAFFPS - Staff Costs for P&amp;S</t>
  </si>
  <si>
    <t>STRAT10 - Grid Solutions Other</t>
  </si>
  <si>
    <t>TESUPPO - supp for BPM, lbr and exp</t>
  </si>
  <si>
    <t>MOVEBOX - Office Relocations</t>
  </si>
  <si>
    <t>STAFF - Staffing</t>
  </si>
  <si>
    <t>Conservation</t>
  </si>
  <si>
    <t>Safety</t>
  </si>
  <si>
    <t>SAFETY</t>
  </si>
  <si>
    <t>COMCONT - Commercial Contracts</t>
  </si>
  <si>
    <t>Franchise Tax</t>
  </si>
  <si>
    <t>SC Direct PT Offset</t>
  </si>
  <si>
    <t>Professional Fees Consultant</t>
  </si>
  <si>
    <t>Employees Recreation Expense</t>
  </si>
  <si>
    <t>UTILITY OPERATING INCOME</t>
  </si>
  <si>
    <t xml:space="preserve">  OPERATING REVENUES</t>
  </si>
  <si>
    <t xml:space="preserve">  OPERATING EXPENSES</t>
  </si>
  <si>
    <t xml:space="preserve">    OPERATION EXPENSES</t>
  </si>
  <si>
    <t xml:space="preserve">    MAINTENANCE EXPENSES</t>
  </si>
  <si>
    <t xml:space="preserve">    DEPRECIATION EXPENSE</t>
  </si>
  <si>
    <t xml:space="preserve">    AMORT. &amp; DEPL. OF UTILITY PLANT</t>
  </si>
  <si>
    <t xml:space="preserve">    REGULATORY DEBITS</t>
  </si>
  <si>
    <t xml:space="preserve">    TAXES OTHER THAN INCOME TAXES</t>
  </si>
  <si>
    <t xml:space="preserve">    INCOME TAXES - FEDERAL</t>
  </si>
  <si>
    <t xml:space="preserve">    INCOME TAXES - OTHER</t>
  </si>
  <si>
    <t xml:space="preserve">    PROVISION FOR DEFERRED INCOME TAXES</t>
  </si>
  <si>
    <t xml:space="preserve">    PROVISION FOR DEFERRED INCOME TAXES - CREDIT</t>
  </si>
  <si>
    <t xml:space="preserve">    INVESTMENT TAX CREDIT ADJ - NET</t>
  </si>
  <si>
    <t xml:space="preserve"> GAINS FROM DISP OF ALLOW - CREDIT</t>
  </si>
  <si>
    <t xml:space="preserve"> ACCRETION EXPENSE</t>
  </si>
  <si>
    <t xml:space="preserve">      TOTAL UTILITY OPERATING EXPENSES</t>
  </si>
  <si>
    <t xml:space="preserve">      NET UTILITY OPERATING INCOME</t>
  </si>
  <si>
    <t>OTHER INCOME AND DEDUCTIONS</t>
  </si>
  <si>
    <t xml:space="preserve">  OTHER INCOME</t>
  </si>
  <si>
    <t xml:space="preserve">    NONUTILITY OPERATING INCOME</t>
  </si>
  <si>
    <t xml:space="preserve">    INTEREST AND DIVIDEND INCOME</t>
  </si>
  <si>
    <t xml:space="preserve">    ALLOWANCE FOR FUNDS USED DURING CONST</t>
  </si>
  <si>
    <t xml:space="preserve">    MISCELLANEOUS NONOPERATING INCOME</t>
  </si>
  <si>
    <t xml:space="preserve">    GAIN ON DISPOSITION OF PROPERTY</t>
  </si>
  <si>
    <t xml:space="preserve">      TOTAL OTHER INCOME</t>
  </si>
  <si>
    <t xml:space="preserve">  OTHER INCOME DEDUCTIONS</t>
  </si>
  <si>
    <t xml:space="preserve">    LOSS ON DISPOSITION OF PROPERTY</t>
  </si>
  <si>
    <t xml:space="preserve">    MISCELLANEOUS INCOME DEDUCTIONS</t>
  </si>
  <si>
    <t xml:space="preserve">      TOTAL OTHER INCOME DEDUCTIONS</t>
  </si>
  <si>
    <t xml:space="preserve">  TAXES APPLICABLE TO OTHER INCOME AND DEDUCTIONS</t>
  </si>
  <si>
    <t xml:space="preserve">                                   - OTHER</t>
  </si>
  <si>
    <t xml:space="preserve">      TOTAL TAXES ON OTHER INCOME AND DEDUCTIONS</t>
  </si>
  <si>
    <t xml:space="preserve">      NET OTHER INCOME AND DEDUCTIONS</t>
  </si>
  <si>
    <t xml:space="preserve">  INTEREST CHARGES</t>
  </si>
  <si>
    <t xml:space="preserve">    INTEREST ON LONG TERM DEBT</t>
  </si>
  <si>
    <t xml:space="preserve">    AMORTIZATION OF LOSS ON REACQUIRED DEBT </t>
  </si>
  <si>
    <t xml:space="preserve">    AMORTIZATION OF PREMIUM ON DEBT - CREDIT</t>
  </si>
  <si>
    <t xml:space="preserve">    INTEREST ON DEBT TO ASSOC. COMPANIES</t>
  </si>
  <si>
    <t xml:space="preserve">    ALLOW FOR BRWD FUNDS USED DUR CONST - CREDIT</t>
  </si>
  <si>
    <t xml:space="preserve">      NET INTEREST CHARGES</t>
  </si>
  <si>
    <t xml:space="preserve">      NET INCOME</t>
  </si>
  <si>
    <t xml:space="preserve">    REGULATORY CREDITS</t>
  </si>
  <si>
    <t>2016</t>
  </si>
  <si>
    <t>2015</t>
  </si>
  <si>
    <t>2014</t>
  </si>
  <si>
    <t>Meters</t>
  </si>
  <si>
    <t>(A) Represents billed sales.</t>
  </si>
  <si>
    <t>(A) Contains Billed Sales.</t>
  </si>
  <si>
    <t>Regional Transmission Service Revenues</t>
  </si>
  <si>
    <t>Current State Inc Tax-Util</t>
  </si>
  <si>
    <t>Intercompany Sales of Water</t>
  </si>
  <si>
    <t>PJM Reactive Rev</t>
  </si>
  <si>
    <t>Scheduling-Sys Cntrl&amp;Disp Svs</t>
  </si>
  <si>
    <t>IC Collection Agent Revenue</t>
  </si>
  <si>
    <t>EESTAFF-EE Staff Costs</t>
  </si>
  <si>
    <t>EPMISC - P&amp;CM - Environmental Projects - Misc</t>
  </si>
  <si>
    <t>PARK - Parking Expenses</t>
  </si>
  <si>
    <t>American Red Cross</t>
  </si>
  <si>
    <t>Avondale Comprehensive Development Corp</t>
  </si>
  <si>
    <t>Bad Girl Ventures</t>
  </si>
  <si>
    <t>Boone County Education Foundation</t>
  </si>
  <si>
    <t>Brighton Center Inc</t>
  </si>
  <si>
    <t>Catalytic Development Funding Corp</t>
  </si>
  <si>
    <t>Guidant Group Inc</t>
  </si>
  <si>
    <t>Magnified Giving</t>
  </si>
  <si>
    <t>Newport Independent Schools</t>
  </si>
  <si>
    <t>Northern Kentucky Community Action</t>
  </si>
  <si>
    <t>Northern Kentucky University</t>
  </si>
  <si>
    <t>People Working Cooperatively Inc</t>
  </si>
  <si>
    <t>Professional Artistic Research Projects</t>
  </si>
  <si>
    <t>Redi Cincinnati Llc</t>
  </si>
  <si>
    <t>Renewport Inc</t>
  </si>
  <si>
    <t>Boys &amp; Girls Club of Greater Cincinnati</t>
  </si>
  <si>
    <t>Ensemble Theatre of Cincinnati</t>
  </si>
  <si>
    <t>Kenton County Board of Education</t>
  </si>
  <si>
    <t>United Way of Greater Cincinnati</t>
  </si>
  <si>
    <t>National Association for The Advancement</t>
  </si>
  <si>
    <t>The League for Animal Welfare</t>
  </si>
  <si>
    <t>YMCA of Greater Cincinnati</t>
  </si>
  <si>
    <t>Center for Great Neighborhoods</t>
  </si>
  <si>
    <t>Cincinnati Business Committee</t>
  </si>
  <si>
    <t>Cincinnati Regional Business Committee</t>
  </si>
  <si>
    <t>Cincinnati Usa Regional Chamber</t>
  </si>
  <si>
    <t>Northern Kentucky Chamber Of Commerce</t>
  </si>
  <si>
    <t>Total Civic, Political &amp; Related Activities</t>
  </si>
  <si>
    <t>Other Items</t>
  </si>
  <si>
    <t>(1) Includes adjustment for annualized depreciation, Schedule D-2.24.</t>
  </si>
  <si>
    <t>Revenue Increase Requested</t>
  </si>
  <si>
    <t>Revenue Requirements (Line 9 + Line 10)</t>
  </si>
  <si>
    <t>Forecasted KWH Sales</t>
  </si>
  <si>
    <t>NATURAL GAS STORAGE BALANCE (ACCT NOS. 164100 &amp; 174273)</t>
  </si>
  <si>
    <t>158153 (A)</t>
  </si>
  <si>
    <t>Regional</t>
  </si>
  <si>
    <t>Market</t>
  </si>
  <si>
    <t>Normalization of Planned Outage O&amp;M</t>
  </si>
  <si>
    <t>Rider PSM</t>
  </si>
  <si>
    <t xml:space="preserve">  Intercompany Sale of Water</t>
  </si>
  <si>
    <t>Intercompany Sale of Water</t>
  </si>
  <si>
    <t>Total Purchased Power Expense</t>
  </si>
  <si>
    <t>Emission Allowance</t>
  </si>
  <si>
    <t>Total Emission Allowance Expense</t>
  </si>
  <si>
    <t>Regional Transmission Service</t>
  </si>
  <si>
    <t>DATE OF CAPITAL STRUCTURE: END OF FORECASTED PERIOD</t>
  </si>
  <si>
    <t>(1) The Base Period is the ending period balance.  The Forecasted Period is a 13 month average balance.</t>
  </si>
  <si>
    <t>13 Month Average Forecasted Period Accumulated Balances</t>
  </si>
  <si>
    <t>FORECASTED PERIOD REVENUES BY PRODUCT</t>
  </si>
  <si>
    <t xml:space="preserve">  Retail Deferred Fuel Expenses</t>
  </si>
  <si>
    <t>Fuel Revenue Adjustment</t>
  </si>
  <si>
    <t xml:space="preserve">  LONG TERM PORTION OF DERIVATIVE INSTRUMENT ASSETS</t>
  </si>
  <si>
    <t>M. W. ARNOLD</t>
  </si>
  <si>
    <t>J. L. SULLIVAN</t>
  </si>
  <si>
    <t>Other Miscellaneous</t>
  </si>
  <si>
    <t>Taxes Property-Allocated</t>
  </si>
  <si>
    <t>SIT Exp-Utility</t>
  </si>
  <si>
    <t>1,000 KWH Sold</t>
  </si>
  <si>
    <t>Intercompany Non-Prop Ins Exp</t>
  </si>
  <si>
    <t>Gypsum</t>
  </si>
  <si>
    <t>L. M. BELLUCCI</t>
  </si>
  <si>
    <t>December 2016</t>
  </si>
  <si>
    <t>IC Sale of AR Fees VIE</t>
  </si>
  <si>
    <t>Sch. M</t>
  </si>
  <si>
    <t>ID</t>
  </si>
  <si>
    <t>AMORT</t>
  </si>
  <si>
    <t>Advertising and Mktg</t>
  </si>
  <si>
    <t>Consumer Affairs - Midwest</t>
  </si>
  <si>
    <t>Foundation Programs &amp; Systems</t>
  </si>
  <si>
    <t>Foundation Staff</t>
  </si>
  <si>
    <t>Governmental Affairs - Federal</t>
  </si>
  <si>
    <t>Govt &amp; Comm Affairs Kentucky</t>
  </si>
  <si>
    <t>Govt &amp; Community Affairs Ohio</t>
  </si>
  <si>
    <t>OthProd</t>
  </si>
  <si>
    <t>Responsibility Center</t>
  </si>
  <si>
    <t>2016=100</t>
  </si>
  <si>
    <t>WPD-2.22a</t>
  </si>
  <si>
    <t>EEADV</t>
  </si>
  <si>
    <t>EEMAV</t>
  </si>
  <si>
    <t>EE Measure &amp; Verification cost</t>
  </si>
  <si>
    <t>EEMKRH</t>
  </si>
  <si>
    <t>EE Market research costs</t>
  </si>
  <si>
    <t>EEPDEV</t>
  </si>
  <si>
    <t>EE Product development costs</t>
  </si>
  <si>
    <t>EEPMGT</t>
  </si>
  <si>
    <t>EE Product Management</t>
  </si>
  <si>
    <t>EESTAFF</t>
  </si>
  <si>
    <t>EE Staff costs</t>
  </si>
  <si>
    <t>Process Code</t>
  </si>
  <si>
    <t>Process Description</t>
  </si>
  <si>
    <t>Energy efficiency P&amp;S Advertise</t>
  </si>
  <si>
    <t>WORK PAPER REFERENCE NO(S).: WPC-2b, WPD-2.22a</t>
  </si>
  <si>
    <t xml:space="preserve">  ADVANCES FROM ASSOCIATED COMPANIES</t>
  </si>
  <si>
    <t xml:space="preserve">  LONG-TERM PORTION OF DERIVATIVE INSTRUMENT LIABILITIES</t>
  </si>
  <si>
    <t>WPD-2.18a</t>
  </si>
  <si>
    <t>Environmental Reagent Expense</t>
  </si>
  <si>
    <t>AMORTIZATION OF DEFERRED EXPENSES</t>
  </si>
  <si>
    <t xml:space="preserve">Line </t>
  </si>
  <si>
    <t>Amount (A)</t>
  </si>
  <si>
    <t>Amortization (B)</t>
  </si>
  <si>
    <t>Hurricane Ike</t>
  </si>
  <si>
    <t>Carbon Management Research Group</t>
  </si>
  <si>
    <t>East Bend - Plant O&amp;M Expense</t>
  </si>
  <si>
    <t xml:space="preserve">           Total</t>
  </si>
  <si>
    <t>(A) Source: Company Records.</t>
  </si>
  <si>
    <t>(C) Deferral authority granted per Case No. 2008-00476.</t>
  </si>
  <si>
    <t>(D) Deferral authority granted per Case No. 2008-00308.</t>
  </si>
  <si>
    <t>(E) Deferral authority granted per Case No. 2014-00201.</t>
  </si>
  <si>
    <t>PURPOSE AND DESCRIPTION: To include in operating expense</t>
  </si>
  <si>
    <t>the amortization of deferred expenses.</t>
  </si>
  <si>
    <t>WORK PAPER REFERENCE NO(S).: WPD-2.31a</t>
  </si>
  <si>
    <t>WPD-2.31a</t>
  </si>
  <si>
    <t>(B) Total amortization to Schedule D-2.31.</t>
  </si>
  <si>
    <t>SCHEDULE D-2.18</t>
  </si>
  <si>
    <t>Employer Local Tax</t>
  </si>
  <si>
    <t>Leased Circuit Charges - Other</t>
  </si>
  <si>
    <t>Scheduling &amp; Dispatch Revenues</t>
  </si>
  <si>
    <t>FACMT - Fac Maint</t>
  </si>
  <si>
    <t>SKY1701 - Storm #1 - 2017-DEK</t>
  </si>
  <si>
    <t>TEOPER - Trading Floor Operating Costs</t>
  </si>
  <si>
    <t>MGTED - Management Allocations</t>
  </si>
  <si>
    <t>EMPLBBT - Employment, Labor &amp; Benefits</t>
  </si>
  <si>
    <t>ADMIN - Administrative</t>
  </si>
  <si>
    <t xml:space="preserve">  Interdepartmental</t>
  </si>
  <si>
    <t>BASED ON THE PERIOD ENDED DECEMBER 31, 2016 = 100%</t>
  </si>
  <si>
    <t>2016=</t>
  </si>
  <si>
    <t>To WPD-2.33a</t>
  </si>
  <si>
    <t>WPD-2.33b</t>
  </si>
  <si>
    <t>WORK PAPER REFERENCE NO(S).: WPD-2.33a, WPD-2.33b</t>
  </si>
  <si>
    <t>JOB TITLE</t>
  </si>
  <si>
    <t>SALARY</t>
  </si>
  <si>
    <t>SCHEDULE G-3</t>
  </si>
  <si>
    <t>Capital Lease - Meters (2009 Acquisitions)</t>
  </si>
  <si>
    <t>Capital Lease - Meters (2010 Acquisitions)</t>
  </si>
  <si>
    <t>5.5% due 1/1/2024</t>
  </si>
  <si>
    <t>6.5% due 1/15/2022</t>
  </si>
  <si>
    <t>Variable rate PCB, due 8/1/2027</t>
  </si>
  <si>
    <t>Variable</t>
  </si>
  <si>
    <t>LT Commercial Paper</t>
  </si>
  <si>
    <t>Future Debentures</t>
  </si>
  <si>
    <t>MCF Fees</t>
  </si>
  <si>
    <t>LOC Fees</t>
  </si>
  <si>
    <t xml:space="preserve">Current Maturities </t>
  </si>
  <si>
    <t>MF / EB Capacity Purchases</t>
  </si>
  <si>
    <t>MF / EB Capacity Sales</t>
  </si>
  <si>
    <t>MF / EB Capacity Sharing Credit</t>
  </si>
  <si>
    <t>OF DEFERRED</t>
  </si>
  <si>
    <t>EIMINATE</t>
  </si>
  <si>
    <t>MERGER CTA</t>
  </si>
  <si>
    <t>ELIMINATE MERGER CTA EXPENSE</t>
  </si>
  <si>
    <t>WORK PAPER REFERENCE NO(S).: WPD-2.27a</t>
  </si>
  <si>
    <t>WPD-2.27a</t>
  </si>
  <si>
    <t>PURPOSE AND DESCRIPTION: To eliminate merger CTA expense.</t>
  </si>
  <si>
    <t>Eliminate Merger CTA expense</t>
  </si>
  <si>
    <t>Merger CTA expense</t>
  </si>
  <si>
    <t>Eliminate Merger CTA</t>
  </si>
  <si>
    <t>3440 - Solar</t>
  </si>
  <si>
    <t>WIT10:</t>
  </si>
  <si>
    <t>R. H. PRATT</t>
  </si>
  <si>
    <t>R. H. PRATT / D. L. DOSS</t>
  </si>
  <si>
    <t>Ancillary Service Market</t>
  </si>
  <si>
    <t>Reactive Power</t>
  </si>
  <si>
    <t>Ancillary Services - Reactive</t>
  </si>
  <si>
    <t>PAYROLL ANALYSIS</t>
  </si>
  <si>
    <t>PAGE  1 OF 1</t>
  </si>
  <si>
    <t>over a five year period.</t>
  </si>
  <si>
    <t>DE-KENTUCKY CUSTOMERS TO TOTAL PLANT FOR ELIMINATION PURPOSES</t>
  </si>
  <si>
    <t>Investment Tax Credit - 3%</t>
  </si>
  <si>
    <t>(A) Ratio of Gas Plant Devoted to Other Than Duke Energy Kentucky Customers to Total Plant.</t>
  </si>
  <si>
    <t>SVP, Tax and Treasurer</t>
  </si>
  <si>
    <t xml:space="preserve">EVP Energy Slns &amp; Pres MW FL </t>
  </si>
  <si>
    <t xml:space="preserve">Chairman, President &amp; CEO </t>
  </si>
  <si>
    <t xml:space="preserve">State President-OH/KY </t>
  </si>
  <si>
    <t xml:space="preserve">EVP &amp; Chief Operating Officer </t>
  </si>
  <si>
    <t xml:space="preserve">EVP &amp; Chief Legal Officer </t>
  </si>
  <si>
    <t xml:space="preserve">EVP &amp; CFO </t>
  </si>
  <si>
    <t>COMPENSATION (1)</t>
  </si>
  <si>
    <t xml:space="preserve">stock based long term incentives at target.  </t>
  </si>
  <si>
    <t xml:space="preserve">Other compensation includes cash based short-term incentives and </t>
  </si>
  <si>
    <t>The Company's forecast assumes an annual salary adjustment of 3.5%.</t>
  </si>
  <si>
    <t>COMPENSATION (2)</t>
  </si>
  <si>
    <t>SALARY (1)</t>
  </si>
  <si>
    <t>FIXED</t>
  </si>
  <si>
    <t>BILL</t>
  </si>
  <si>
    <t>PREMIUM</t>
  </si>
  <si>
    <t>FIXED BILL PREMIUM</t>
  </si>
  <si>
    <t>Fixed Bill Premium</t>
  </si>
  <si>
    <t>Other Production Expense</t>
  </si>
  <si>
    <t>Customer Records &amp; Collection Expense</t>
  </si>
  <si>
    <t>Admin &amp; General Expense</t>
  </si>
  <si>
    <t>Energy efficiency P&amp;S Advertis</t>
  </si>
  <si>
    <t>Total Taxes Other Than Income Taxes</t>
  </si>
  <si>
    <t>Total Other Production Expense</t>
  </si>
  <si>
    <t>Total Admin &amp; General Expense</t>
  </si>
  <si>
    <t>Total DSM Expense</t>
  </si>
  <si>
    <t xml:space="preserve">Total DSM Expense </t>
  </si>
  <si>
    <t>ARO - Steam Production</t>
  </si>
  <si>
    <t>AMI Meters</t>
  </si>
  <si>
    <t>Instrumentation Transformers</t>
  </si>
  <si>
    <t>Transportation Equipment</t>
  </si>
  <si>
    <t>Overhead Conductors - Clear R/W</t>
  </si>
  <si>
    <t>Overhead Conductors - Clear RW</t>
  </si>
  <si>
    <t>3171, 3172</t>
  </si>
  <si>
    <t>To remove ARO balances</t>
  </si>
  <si>
    <t xml:space="preserve">  PJM NITS</t>
  </si>
  <si>
    <t>Market Facilitation-Mntr&amp;Comp</t>
  </si>
  <si>
    <t>Note:  Excludes regular time labor hours</t>
  </si>
  <si>
    <t>30% Credit</t>
  </si>
  <si>
    <t>P11A07</t>
  </si>
  <si>
    <t xml:space="preserve"> Fuel Tax Credit</t>
  </si>
  <si>
    <t>P11A22</t>
  </si>
  <si>
    <t xml:space="preserve"> Meals &amp; Entertainment</t>
  </si>
  <si>
    <t>P11A77</t>
  </si>
  <si>
    <t>AFUDC Equity</t>
  </si>
  <si>
    <t>P11A95</t>
  </si>
  <si>
    <t xml:space="preserve"> After Tax ADC,M&amp;E,ITC Permanent</t>
  </si>
  <si>
    <t>P11B02</t>
  </si>
  <si>
    <t>Auto Inclusion/Skybox Expenses</t>
  </si>
  <si>
    <t>T11A02</t>
  </si>
  <si>
    <t xml:space="preserve"> Bad Debts - Tax over Book</t>
  </si>
  <si>
    <t>T11B06</t>
  </si>
  <si>
    <t xml:space="preserve"> Surplus Materials Write-off Liab</t>
  </si>
  <si>
    <t>T11B08</t>
  </si>
  <si>
    <t xml:space="preserve"> Surplus Materials Write-Off Asset</t>
  </si>
  <si>
    <t>T13A04</t>
  </si>
  <si>
    <t>AFUDC Interest</t>
  </si>
  <si>
    <t>T13A08</t>
  </si>
  <si>
    <t xml:space="preserve"> Book Depreciation/Amortization</t>
  </si>
  <si>
    <t>T13A09</t>
  </si>
  <si>
    <t xml:space="preserve"> Book Capital Lease Meters</t>
  </si>
  <si>
    <t>T13A12</t>
  </si>
  <si>
    <t xml:space="preserve"> Book Gain/Loss on Property</t>
  </si>
  <si>
    <t>T13A14</t>
  </si>
  <si>
    <t xml:space="preserve"> Contributions in Aid (CIAC's)</t>
  </si>
  <si>
    <t>T13A18</t>
  </si>
  <si>
    <t xml:space="preserve"> Capitalized Hardware/Software</t>
  </si>
  <si>
    <t>T13A19</t>
  </si>
  <si>
    <t xml:space="preserve"> After Tax ADC,M&amp;E, ITC Temporary</t>
  </si>
  <si>
    <t>T13A26</t>
  </si>
  <si>
    <t xml:space="preserve"> Tax Interest Capitalized</t>
  </si>
  <si>
    <t>T13A28</t>
  </si>
  <si>
    <t xml:space="preserve"> Tax Depreciation/Amortization</t>
  </si>
  <si>
    <t>T13A30</t>
  </si>
  <si>
    <t xml:space="preserve"> Tax Gains/Losses</t>
  </si>
  <si>
    <t>T13B08</t>
  </si>
  <si>
    <t xml:space="preserve"> ASSET RETIREMENT OBLIGATION</t>
  </si>
  <si>
    <t>T13B09</t>
  </si>
  <si>
    <t xml:space="preserve"> Book Depreciation Charged to Other Accounts</t>
  </si>
  <si>
    <t>T13B19</t>
  </si>
  <si>
    <t xml:space="preserve"> Leased Meters - Elec &amp; Gas</t>
  </si>
  <si>
    <t>T13B23</t>
  </si>
  <si>
    <t xml:space="preserve"> Non-Cash Overhead Basis Adj</t>
  </si>
  <si>
    <t>T13B26</t>
  </si>
  <si>
    <t xml:space="preserve"> Equipment Repairs - Annual Adj</t>
  </si>
  <si>
    <t>T13B32</t>
  </si>
  <si>
    <t xml:space="preserve"> T &amp; D Repairs 481(a) (pursuant to 3115)</t>
  </si>
  <si>
    <t>T13B33</t>
  </si>
  <si>
    <t xml:space="preserve"> T &amp; D Repairs - Annual Adj.</t>
  </si>
  <si>
    <t>T13B43</t>
  </si>
  <si>
    <t xml:space="preserve"> Section 481(a) Casualty Losses</t>
  </si>
  <si>
    <t>T13B45</t>
  </si>
  <si>
    <t xml:space="preserve"> Asset Retirement Obligation - Coal Ash</t>
  </si>
  <si>
    <t>T15A22</t>
  </si>
  <si>
    <t xml:space="preserve"> Mark to Market - LT</t>
  </si>
  <si>
    <t>T15A24</t>
  </si>
  <si>
    <t xml:space="preserve"> Loss on Reacquired Debt-Amort</t>
  </si>
  <si>
    <t>T15A95</t>
  </si>
  <si>
    <t xml:space="preserve"> Unamortized Debt Premium</t>
  </si>
  <si>
    <t>T15B02</t>
  </si>
  <si>
    <t xml:space="preserve"> Reg Asset/Liab Def Revenue</t>
  </si>
  <si>
    <t>T15B04</t>
  </si>
  <si>
    <t xml:space="preserve"> Reg Asset - Accr Pension FAS158 - FAS87Qual</t>
  </si>
  <si>
    <t>T15B07</t>
  </si>
  <si>
    <t xml:space="preserve"> Cash Flow Hedge - Reg Asset/Liab</t>
  </si>
  <si>
    <t>T15B28</t>
  </si>
  <si>
    <t xml:space="preserve"> Reg Asset - Rate Case Expense</t>
  </si>
  <si>
    <t>T15B29</t>
  </si>
  <si>
    <t xml:space="preserve"> Reg Asset-Pension Post Retirement PAA-FAS87Qual and Oth</t>
  </si>
  <si>
    <t>T15B35</t>
  </si>
  <si>
    <t xml:space="preserve"> Regulatory Asset - Carbon Management</t>
  </si>
  <si>
    <t>T15B40</t>
  </si>
  <si>
    <t xml:space="preserve"> Reg Asset - Accr Pension FAS158 - FAS87NQ</t>
  </si>
  <si>
    <t>T15B41</t>
  </si>
  <si>
    <t xml:space="preserve"> Reg Asset - Accr Pension FAS158 - FAS 106/112</t>
  </si>
  <si>
    <t>T15B43</t>
  </si>
  <si>
    <t xml:space="preserve"> Reg Asset - Transition from MISO to PJM</t>
  </si>
  <si>
    <t>T17A01</t>
  </si>
  <si>
    <t xml:space="preserve"> Vacation Carryover - Reg Asset</t>
  </si>
  <si>
    <t>T17A02</t>
  </si>
  <si>
    <t xml:space="preserve"> Accrued Vacation</t>
  </si>
  <si>
    <t>T18A02</t>
  </si>
  <si>
    <t xml:space="preserve"> Deferred Revenue</t>
  </si>
  <si>
    <t>T19A91</t>
  </si>
  <si>
    <t xml:space="preserve"> Rate Case - Deferred Costs</t>
  </si>
  <si>
    <t>T20A30</t>
  </si>
  <si>
    <t xml:space="preserve"> REPS Incremental Costs</t>
  </si>
  <si>
    <t>T20A38</t>
  </si>
  <si>
    <t xml:space="preserve"> Regulatory Asset - Deferred Plant Costs</t>
  </si>
  <si>
    <t>T20C02</t>
  </si>
  <si>
    <t xml:space="preserve"> Demand Side Management (DSM) Defer</t>
  </si>
  <si>
    <t>T22A01</t>
  </si>
  <si>
    <t xml:space="preserve"> Emission Allowance Expense</t>
  </si>
  <si>
    <t>T22A23</t>
  </si>
  <si>
    <t xml:space="preserve"> Retirement Plan Expense - Overfunded</t>
  </si>
  <si>
    <t>T22A28</t>
  </si>
  <si>
    <t xml:space="preserve"> Retirement Plan Expense - Underfunded</t>
  </si>
  <si>
    <t>T22A29</t>
  </si>
  <si>
    <t xml:space="preserve"> Non-qualified Pension - Accrual</t>
  </si>
  <si>
    <t>T22A30</t>
  </si>
  <si>
    <t xml:space="preserve"> Retirement Plan Funding - Underfunded</t>
  </si>
  <si>
    <t>T22A56</t>
  </si>
  <si>
    <t xml:space="preserve"> Environmental Reserve</t>
  </si>
  <si>
    <t>T22B13</t>
  </si>
  <si>
    <t xml:space="preserve"> ANNUAL INCENTIVE PLAN COMP</t>
  </si>
  <si>
    <t>T22B15</t>
  </si>
  <si>
    <t xml:space="preserve"> PAYABLE 401 (K) MATCH</t>
  </si>
  <si>
    <t>T22E02</t>
  </si>
  <si>
    <t xml:space="preserve"> OPEB Expense Accrual</t>
  </si>
  <si>
    <t>T22E06</t>
  </si>
  <si>
    <t xml:space="preserve"> FAS 112 Medical Expenses Accrual</t>
  </si>
  <si>
    <t>T22H11</t>
  </si>
  <si>
    <t xml:space="preserve"> Asset Retirement Costs - ARO</t>
  </si>
  <si>
    <t>T22H12</t>
  </si>
  <si>
    <t xml:space="preserve"> ARO Regulatory Asset</t>
  </si>
  <si>
    <t>T22H45</t>
  </si>
  <si>
    <t xml:space="preserve"> Asset Retirement Costs - Coal Ash</t>
  </si>
  <si>
    <t>T22H46</t>
  </si>
  <si>
    <t xml:space="preserve"> ARO Regulatory Asset - Coal Ash</t>
  </si>
  <si>
    <t xml:space="preserve">  Employer Local Tax</t>
  </si>
  <si>
    <t xml:space="preserve">  Franchise Tax</t>
  </si>
  <si>
    <t xml:space="preserve">  Leased Circuit Charges - Other</t>
  </si>
  <si>
    <t xml:space="preserve">Interest Charges  </t>
  </si>
  <si>
    <t>Book Taxable Income</t>
  </si>
  <si>
    <t>Permanent Differences</t>
  </si>
  <si>
    <t>Interest  Charges</t>
  </si>
  <si>
    <t>Temporary Differences:</t>
  </si>
  <si>
    <t xml:space="preserve">  Total Temporary Differences:</t>
  </si>
  <si>
    <t>COMPUTED</t>
  </si>
  <si>
    <t>Deferred State Income Taxes - ARAM</t>
  </si>
  <si>
    <t>Deferred State Income Taxes - Prior Year</t>
  </si>
  <si>
    <t>Deferred Taxes - Net</t>
  </si>
  <si>
    <t>Deferred Federal Income Taxes - Current</t>
  </si>
  <si>
    <t xml:space="preserve">  Current State Inc Tax - Util</t>
  </si>
  <si>
    <t>Deferred Federal Income Taxes - ARAM</t>
  </si>
  <si>
    <t>Deferred Federal Income Taxes - Prior Year</t>
  </si>
  <si>
    <t>Home Builders Assoc of Northern Kentucky</t>
  </si>
  <si>
    <t>Life Learning Center</t>
  </si>
  <si>
    <t>MCR  Publishing Inc.</t>
  </si>
  <si>
    <t>Northern Kentucky Educational Council</t>
  </si>
  <si>
    <t>Northern Kentucky Tribune</t>
  </si>
  <si>
    <t>Pendleton County Industrial Authority</t>
  </si>
  <si>
    <t>Utility Economic Development Assoc.</t>
  </si>
  <si>
    <t>NAIOP Georgia Corp.</t>
  </si>
  <si>
    <t>16</t>
  </si>
  <si>
    <t>17</t>
  </si>
  <si>
    <t>Capital Leases - Current</t>
  </si>
  <si>
    <t>Notes Payable to Associated Companies</t>
  </si>
  <si>
    <t>Unamortized Loss on Reacquired Debt</t>
  </si>
  <si>
    <t>Other Long Term Debt</t>
  </si>
  <si>
    <t>Total Account 281</t>
  </si>
  <si>
    <t>L0</t>
  </si>
  <si>
    <t>S3</t>
  </si>
  <si>
    <t xml:space="preserve">FORECASTED </t>
  </si>
  <si>
    <t>Twelve Months</t>
  </si>
  <si>
    <t>WPE-1a</t>
  </si>
  <si>
    <t xml:space="preserve">  Sale of A/R</t>
  </si>
  <si>
    <t xml:space="preserve">  Cust Billing - Common</t>
  </si>
  <si>
    <t xml:space="preserve">  Uncollectible Accounts     (A)</t>
  </si>
  <si>
    <t xml:space="preserve">  Sale of A/R                        (A)</t>
  </si>
  <si>
    <t>(A) Forecasted Period Uncollectible Expense is split using the following ratio developed from WPH-a:</t>
  </si>
  <si>
    <t>Ratio</t>
  </si>
  <si>
    <t xml:space="preserve">Charge-off's </t>
  </si>
  <si>
    <t>(B) The time value of money is eliminated because the sale of accounts receivable is included in short-term debt on Schedule J-2.</t>
  </si>
  <si>
    <t>Adjustment to Uncollectible Expense (6) - (7) - (8) - (9)</t>
  </si>
  <si>
    <t>E-1</t>
  </si>
  <si>
    <t>Station Equipment - Step Up</t>
  </si>
  <si>
    <t>Station Equipment - Major</t>
  </si>
  <si>
    <t>Station Equipment - Step Up Equipment</t>
  </si>
  <si>
    <t>of Money (B)</t>
  </si>
  <si>
    <t>Amazon Marketplace</t>
  </si>
  <si>
    <t>OC Tanner Recognition Company</t>
  </si>
  <si>
    <t>Greater Cincinnati African American</t>
  </si>
  <si>
    <t>190, 282, 283</t>
  </si>
  <si>
    <t>282, 283</t>
  </si>
  <si>
    <t>190, 281,</t>
  </si>
  <si>
    <t>Amort of Elec Plt - Software</t>
  </si>
  <si>
    <t>Sale of Fly Ash-Expenses</t>
  </si>
  <si>
    <t>Maint of Structures-Steam</t>
  </si>
  <si>
    <t>Maint of Boiler Plant-Other</t>
  </si>
  <si>
    <t>Maint of Electric Plant-Other</t>
  </si>
  <si>
    <t>Maintenance of Structures-CT</t>
  </si>
  <si>
    <t>Transm of Elec By Others</t>
  </si>
  <si>
    <t>Maint of Structures-Trans</t>
  </si>
  <si>
    <t>Maint of Computer Software</t>
  </si>
  <si>
    <t>Maint of Overhead Lines-Trans</t>
  </si>
  <si>
    <t>Maintenance of Structures-Dist</t>
  </si>
  <si>
    <t>Right-of-Way Maintenance-Dist</t>
  </si>
  <si>
    <t>Maintenance of Meters-Dist</t>
  </si>
  <si>
    <t>Exp of Servicing Securities</t>
  </si>
  <si>
    <t>book income</t>
  </si>
  <si>
    <t>permanent</t>
  </si>
  <si>
    <t>adjusted book income</t>
  </si>
  <si>
    <t>Adjusted Total Income taxes</t>
  </si>
  <si>
    <t xml:space="preserve">   Kentucky Tax Inc. Adjustment - Tax Gains/Losses</t>
  </si>
  <si>
    <t xml:space="preserve">   Kentucky Tax Inc. Adjustment - Bonus Depr</t>
  </si>
  <si>
    <t>Baa1</t>
  </si>
  <si>
    <t>ALLOCTABLE</t>
  </si>
  <si>
    <t>MARCH 31, 2019</t>
  </si>
  <si>
    <t>March 2018</t>
  </si>
  <si>
    <t>January 2019</t>
  </si>
  <si>
    <t>Apr-Dec 2018</t>
  </si>
  <si>
    <t>Composite Depreciation Rates:</t>
  </si>
  <si>
    <t>6 Year Average</t>
  </si>
  <si>
    <t>AMI Opt-Out</t>
  </si>
  <si>
    <t>November 2017</t>
  </si>
  <si>
    <t>5 Months Ended</t>
  </si>
  <si>
    <t>May 2017</t>
  </si>
  <si>
    <t>11 Months Ended</t>
  </si>
  <si>
    <t>November 2016</t>
  </si>
  <si>
    <t>FACILITIES DEVOTED TO OTHER THAN DE-KENTUCKY CUSTOMERS</t>
  </si>
  <si>
    <t>WPB-6c</t>
  </si>
  <si>
    <t>Mcbrayer McGinnis Leslie &amp;</t>
  </si>
  <si>
    <t>IREVPRO - Inaccurate Meter Usage</t>
  </si>
  <si>
    <t>MKTRESH  - Market Research Analysis</t>
  </si>
  <si>
    <t>30OMPRJ - 30 O&amp;M Projects</t>
  </si>
  <si>
    <t>SGPM - Smart Grid Project MGT</t>
  </si>
  <si>
    <t>CUSTSVC - Customer Services Function</t>
  </si>
  <si>
    <t>Kentucky Association of Manufacturers</t>
  </si>
  <si>
    <t>Alpine Valley Water</t>
  </si>
  <si>
    <t>Boy Scouts of America</t>
  </si>
  <si>
    <t>Chef Barone Inc</t>
  </si>
  <si>
    <t>Cincinnati Bengals</t>
  </si>
  <si>
    <t>The Roman Catholic Diocese of Covington</t>
  </si>
  <si>
    <t>Northern Kentucky Children's Law Center</t>
  </si>
  <si>
    <t>Kings Daughter's Medical Center</t>
  </si>
  <si>
    <t>Kentucky Magistrates and Commissioners</t>
  </si>
  <si>
    <t>Gateway Foundation Inc.</t>
  </si>
  <si>
    <t>Forward Quest Inc.</t>
  </si>
  <si>
    <t>Covington Education Foundation</t>
  </si>
  <si>
    <t>The Yearlings Inc.</t>
  </si>
  <si>
    <t>Kroger</t>
  </si>
  <si>
    <t>Michael's</t>
  </si>
  <si>
    <t>Trophy Awards Mfg Co.</t>
  </si>
  <si>
    <t>Tyndale Company Inc.</t>
  </si>
  <si>
    <t>Proposed</t>
  </si>
  <si>
    <t>Current Maturities</t>
  </si>
  <si>
    <t>4.65% due 10/1/19</t>
  </si>
  <si>
    <t>LOC Fees maturing 2/12/19</t>
  </si>
  <si>
    <t>(F = B+D-E)</t>
  </si>
  <si>
    <t>Other fees ($26.720M - remarketing, insurance, Bilateral LC)</t>
  </si>
  <si>
    <t xml:space="preserve">Non Current Capital Leases </t>
  </si>
  <si>
    <t>Non-Current Capital Leases</t>
  </si>
  <si>
    <t>S. E. LAWLER</t>
  </si>
  <si>
    <t xml:space="preserve"> Miscellaneous - Environmental</t>
  </si>
  <si>
    <t xml:space="preserve"> Fuel - Sale of Fly Ash Expenses - Environ. (non-labor)</t>
  </si>
  <si>
    <t xml:space="preserve"> Maintenance of Structures - Environ. (non-labor)</t>
  </si>
  <si>
    <t xml:space="preserve"> Maintenance of Boiler Plant - Environ. (non-labor)</t>
  </si>
  <si>
    <t>Labor</t>
  </si>
  <si>
    <t>Incentives</t>
  </si>
  <si>
    <t>RTEP</t>
  </si>
  <si>
    <t>ADJUST RTEP EXPENSE</t>
  </si>
  <si>
    <t>WORK PAPER REFERENCE NO(S).: WPD-2.34a</t>
  </si>
  <si>
    <t>PURPOSE AND DESCRIPTION: To pro-forma RTEP Expense that was</t>
  </si>
  <si>
    <t>inadvertently not included in the 2018 forecasted data.</t>
  </si>
  <si>
    <t>WPD-2.34a</t>
  </si>
  <si>
    <t>Duke Energy Kentucky Share</t>
  </si>
  <si>
    <t>Duke Energy Kentucky RTEP - Annualized</t>
  </si>
  <si>
    <t>RTEP Included in the Forecasted Period</t>
  </si>
  <si>
    <t xml:space="preserve">Pro-Forma Adjustment </t>
  </si>
  <si>
    <t>T15B27</t>
  </si>
  <si>
    <t>T15B37</t>
  </si>
  <si>
    <t>T15B38</t>
  </si>
  <si>
    <t>T17A54</t>
  </si>
  <si>
    <t xml:space="preserve"> Reg Asset-Pension Post Retirement PAA-FAS87NQ and Oth</t>
  </si>
  <si>
    <t xml:space="preserve"> Reg Asset-Pension Post Retirement PAA-FAS 106 and Oth</t>
  </si>
  <si>
    <t xml:space="preserve"> MGP Sites</t>
  </si>
  <si>
    <t xml:space="preserve"> Reg Asset Rate Case Expense - SC</t>
  </si>
  <si>
    <t>L1</t>
  </si>
  <si>
    <t>L3</t>
  </si>
  <si>
    <t>Transp Expense</t>
  </si>
  <si>
    <t>(D) Excluded from Rate Base.</t>
  </si>
  <si>
    <t>Jan-Apr 2018</t>
  </si>
  <si>
    <t>Incr. by 1%</t>
  </si>
  <si>
    <t>Jan-Apr 2019</t>
  </si>
  <si>
    <t>FP</t>
  </si>
  <si>
    <t>(1)+(3)</t>
  </si>
  <si>
    <t xml:space="preserve">PURPOSE AND DESCRIPTION: To amortize the balance of the regulatory asset </t>
  </si>
  <si>
    <t>for the undepreciated value of the old electric meters and related retirement over 15 years.</t>
  </si>
  <si>
    <t>AMORTIZATION OF DEFERRED ASSET</t>
  </si>
  <si>
    <t>(B) Total amortization to Schedule D-2.16.</t>
  </si>
  <si>
    <t>WPD-2.16a</t>
  </si>
  <si>
    <t>WORK PAPER REFERENCE NO(S).: WPD-2.16a</t>
  </si>
  <si>
    <t>ASSET</t>
  </si>
  <si>
    <t>WPD-2.26a</t>
  </si>
  <si>
    <t>WORK PAPER REFERENCE NO(S).: WPD-2.26a</t>
  </si>
  <si>
    <t>Expense Reduction</t>
  </si>
  <si>
    <t>Reduced meter reading costs</t>
  </si>
  <si>
    <t>Reduced meter operations costs - consumer order workers for meter orders</t>
  </si>
  <si>
    <t>Reduced meter operations costs - field metering labor</t>
  </si>
  <si>
    <t>Avoided Costs - O&amp;M</t>
  </si>
  <si>
    <t>Avoided restoration costs - OK on arrival</t>
  </si>
  <si>
    <t>Avoided restoration costs - major storms</t>
  </si>
  <si>
    <t>Associated with Maintenance of TWACS</t>
  </si>
  <si>
    <t>Associated with Operating TWACS</t>
  </si>
  <si>
    <t>Miscellaneous O&amp;M savings</t>
  </si>
  <si>
    <t>Revenue Increase</t>
  </si>
  <si>
    <t>Non-technical loss reduction - power theft,  equipment failures and installation errors</t>
  </si>
  <si>
    <t>Note: Per Case No. 2016-00152.</t>
  </si>
  <si>
    <t xml:space="preserve"> Total Expense Adjustment</t>
  </si>
  <si>
    <t xml:space="preserve"> Maintenance of Misc Steam Plant - Environ. (non-labor)</t>
  </si>
  <si>
    <t>Year 1</t>
  </si>
  <si>
    <t>Year 2</t>
  </si>
  <si>
    <t>Year 3</t>
  </si>
  <si>
    <t>Year 4</t>
  </si>
  <si>
    <t>Year 5</t>
  </si>
  <si>
    <t>Year 6</t>
  </si>
  <si>
    <t>Year 7</t>
  </si>
  <si>
    <t>Discount Rate</t>
  </si>
  <si>
    <t>PV of Annual Benefit (2018 Dollars)</t>
  </si>
  <si>
    <t>Levelized Benefit</t>
  </si>
  <si>
    <t>PV of Levelized Benefit</t>
  </si>
  <si>
    <t>Source: WPA-1b</t>
  </si>
  <si>
    <t>Electric &amp; Gas Alloc.</t>
  </si>
  <si>
    <t>Electric %</t>
  </si>
  <si>
    <t>Gas %</t>
  </si>
  <si>
    <t>WPD-2.29a</t>
  </si>
  <si>
    <t>Penetration</t>
  </si>
  <si>
    <t>Expected</t>
  </si>
  <si>
    <t>Months In</t>
  </si>
  <si>
    <t>Total Revenue Adjustment</t>
  </si>
  <si>
    <t>WORK PAPER REFERENCE NO(S).: WPD-2.29a</t>
  </si>
  <si>
    <t>WORK PAPER REFERENCE NO(S).: WPD-2.18a</t>
  </si>
  <si>
    <t>Ammonia</t>
  </si>
  <si>
    <t>Limestone</t>
  </si>
  <si>
    <t>Trona</t>
  </si>
  <si>
    <t>Total Environmental Reagents</t>
  </si>
  <si>
    <t>ESM EXPENSE</t>
  </si>
  <si>
    <t>FROM BASE RATES</t>
  </si>
  <si>
    <t>ELIMINATE ENVIRONMENTAL EXPENSE FROM BASE RATES</t>
  </si>
  <si>
    <t>Emission Allowance Expense</t>
  </si>
  <si>
    <t>Total Environmental Expense Eliminated from Base Rates</t>
  </si>
  <si>
    <t>Reagent Expense</t>
  </si>
  <si>
    <t>SO2 Costs</t>
  </si>
  <si>
    <t>Total EA Expense</t>
  </si>
  <si>
    <t>Amortization of Deferred Asset</t>
  </si>
  <si>
    <t>Eliminate ESM Expense from Rate Base</t>
  </si>
  <si>
    <t>Annualize RTEP Expense</t>
  </si>
  <si>
    <t xml:space="preserve">  Taxes Property-Allocated</t>
  </si>
  <si>
    <t xml:space="preserve"> Steam Expenses - Reagents</t>
  </si>
  <si>
    <t xml:space="preserve"> Steam Expenses - Fly Ash Transp. - Environ (non-labor)</t>
  </si>
  <si>
    <t xml:space="preserve">  RTEP</t>
  </si>
  <si>
    <t xml:space="preserve">  Reactive</t>
  </si>
  <si>
    <t>ENV</t>
  </si>
  <si>
    <t>WPD-2.21a</t>
  </si>
  <si>
    <t>To exclude street lighting balances</t>
  </si>
  <si>
    <t>Total Adjustments</t>
  </si>
  <si>
    <t>(3) At the end of the Meter Conversion in 2019, the remaining rate base will be amortized for 15 years consistent with the Order in Case No. 2016-00152.</t>
  </si>
  <si>
    <t>Savings Already Reflected in the Forecasted Test Period</t>
  </si>
  <si>
    <t xml:space="preserve">on Jurisdictional Capitalization as shown on WPA-1c and the </t>
  </si>
  <si>
    <t>weighted cost of debt as shown on J-1.</t>
  </si>
  <si>
    <t>PJM</t>
  </si>
  <si>
    <t>CHARGES/CREDITS</t>
  </si>
  <si>
    <t>Regulation and Frequency Response Service</t>
  </si>
  <si>
    <t>Synchronized Reserve</t>
  </si>
  <si>
    <t>Synchronous Condensing</t>
  </si>
  <si>
    <t>Reactive Services</t>
  </si>
  <si>
    <t>Load Reconciliation for Regulation and Frequency Response Service</t>
  </si>
  <si>
    <t>Load Reconciliation for Synchronized Reserve</t>
  </si>
  <si>
    <t>Load Reconciliation for Synchronous Condensing</t>
  </si>
  <si>
    <t>Load Reconciliation for Reactive Services</t>
  </si>
  <si>
    <t>2012</t>
  </si>
  <si>
    <t>2013</t>
  </si>
  <si>
    <t>WPD-2.28a</t>
  </si>
  <si>
    <t>To WPD-2.28a</t>
  </si>
  <si>
    <t>WPD-2.28b</t>
  </si>
  <si>
    <t xml:space="preserve">CPI 2016 = 100   </t>
  </si>
  <si>
    <t>ANNUALIZATION OF PJM CHARGES AND CREDITS</t>
  </si>
  <si>
    <t xml:space="preserve">PJM </t>
  </si>
  <si>
    <t xml:space="preserve">Billing </t>
  </si>
  <si>
    <t>Line Item</t>
  </si>
  <si>
    <t>of the total discount expense from uncollectible expense to interest expense.</t>
  </si>
  <si>
    <t>(2) The Company is not requesting to include recovery of CWIP in base rates.</t>
  </si>
  <si>
    <t>WORK PAPER REFERENCE NO(S).: WPD-2.28a, WPD-2.28b</t>
  </si>
  <si>
    <t xml:space="preserve">    Original cost</t>
  </si>
  <si>
    <t xml:space="preserve">    Depreciation rate</t>
  </si>
  <si>
    <t>Months until purchase price fully depreciated</t>
  </si>
  <si>
    <t xml:space="preserve">    Net Purchase Price</t>
  </si>
  <si>
    <t>Deferred Depreciation Balance</t>
  </si>
  <si>
    <t>Annual Amortization</t>
  </si>
  <si>
    <t>To record amortization of East Bend deferred depreciation  in account 182493</t>
  </si>
  <si>
    <t xml:space="preserve"> Per order in Case 2015-120</t>
  </si>
  <si>
    <t>AMORTIZATION OF EAST BEND DEFERRED DEPRECIATION</t>
  </si>
  <si>
    <t>the amortization of deferred East Bend depreciation expenses.</t>
  </si>
  <si>
    <t>3910-URR</t>
  </si>
  <si>
    <t>3911-URR</t>
  </si>
  <si>
    <t>3940-URR</t>
  </si>
  <si>
    <t>397-URR</t>
  </si>
  <si>
    <t>(3)  5 year life for Unrecovered Reserve for Amortization</t>
  </si>
  <si>
    <t>1910-URR</t>
  </si>
  <si>
    <t>1911-URR</t>
  </si>
  <si>
    <t>1940-URR</t>
  </si>
  <si>
    <t>1970-URR</t>
  </si>
  <si>
    <t>1980-URR</t>
  </si>
  <si>
    <t>FD (4)</t>
  </si>
  <si>
    <t>DE-KENTUCKY</t>
  </si>
  <si>
    <t>Total PV 2018-2022</t>
  </si>
  <si>
    <t>Annualization of PJM Charges / Credits</t>
  </si>
  <si>
    <t>Amortization of East Bend Def. Depreciation</t>
  </si>
  <si>
    <t>AMI BENEFIT LEVELIZATION</t>
  </si>
  <si>
    <t>AMI</t>
  </si>
  <si>
    <t>BENEFIT</t>
  </si>
  <si>
    <t>LEVELIZATION</t>
  </si>
  <si>
    <t>D-2.16 thru D-2.35</t>
  </si>
  <si>
    <t xml:space="preserve">PURPOSE AND DESCRIPTION: Eliminate expenses included in the Environmental </t>
  </si>
  <si>
    <t>Surcharge Mechanism from base rates.</t>
  </si>
  <si>
    <t>(B) Source: Schedule C-2.1, WPC-2c.</t>
  </si>
  <si>
    <t>Rider Revenue (A):</t>
  </si>
  <si>
    <t>Depreciation Expense on Net Plant Purchase Price</t>
  </si>
  <si>
    <t>Annual Depreciation Expense Determined Under FERC Regulations</t>
  </si>
  <si>
    <t>Remaining Life of East Bend Station</t>
  </si>
  <si>
    <t xml:space="preserve">Monthly Depreciation Expense </t>
  </si>
  <si>
    <t xml:space="preserve">Depreciation Expense </t>
  </si>
  <si>
    <t>Annual Depreciation Expense</t>
  </si>
  <si>
    <t>Monthly Depreciation Expense</t>
  </si>
  <si>
    <t xml:space="preserve">          PAGE  2  OF  8</t>
  </si>
  <si>
    <t xml:space="preserve">          PAGE  3 OF  8</t>
  </si>
  <si>
    <t xml:space="preserve">          PAGE  4  OF  8</t>
  </si>
  <si>
    <t xml:space="preserve">          PAGE  5  OF  8</t>
  </si>
  <si>
    <t xml:space="preserve">          PAGE  6  OF  8</t>
  </si>
  <si>
    <t xml:space="preserve">          PAGE  7  OF  8</t>
  </si>
  <si>
    <t xml:space="preserve">          PAGE  8  OF  8</t>
  </si>
  <si>
    <t xml:space="preserve">          PAGE  9  OF  8</t>
  </si>
  <si>
    <t>PAGE 1  OF  8</t>
  </si>
  <si>
    <t>Deferrals - Schedule E-1</t>
  </si>
  <si>
    <t>Amort of ITC - Schedule E-1</t>
  </si>
  <si>
    <t>NOx Costs</t>
  </si>
  <si>
    <t xml:space="preserve">          Description      </t>
  </si>
  <si>
    <t>Schedule/</t>
  </si>
  <si>
    <t>Work Paper</t>
  </si>
  <si>
    <t xml:space="preserve">  Ln. 10</t>
  </si>
  <si>
    <t xml:space="preserve">PURPOSE AND DESCRIPTION: To reflect the levelization of benefits related to the </t>
  </si>
  <si>
    <t>implementation of an advanced metering initiative.</t>
  </si>
  <si>
    <t>PURPOSE AND DESCRIPTION: To adjust revenue to reflect additional</t>
  </si>
  <si>
    <t>revenues expected as part of the Company's Fixed Bill proposal.</t>
  </si>
  <si>
    <t xml:space="preserve">  Customer Billing - Common     (A)</t>
  </si>
  <si>
    <t>Other Revenue Adjustment</t>
  </si>
  <si>
    <t>EVP, Administration &amp; Chief HR Officer</t>
  </si>
  <si>
    <t>SVP Chief Accting Off &amp; Controller</t>
  </si>
  <si>
    <t xml:space="preserve">SVP &amp; Pres DE Rnwbls &amp; Dist Engy </t>
  </si>
  <si>
    <t xml:space="preserve">EVP Cust &amp; Delivery Ops &amp;Pres Car </t>
  </si>
  <si>
    <t>WPB-6</t>
  </si>
  <si>
    <t>B-3 / B-3.2</t>
  </si>
  <si>
    <t>Creative Services</t>
  </si>
  <si>
    <t>Digital External</t>
  </si>
  <si>
    <t xml:space="preserve">  PJM Reactive</t>
  </si>
  <si>
    <t>Depreciation expense booked for first 32.14 months</t>
  </si>
  <si>
    <t>Piedmont CTA</t>
  </si>
  <si>
    <t xml:space="preserve">PURPOSE AND DESCRIPTION: Annualize certain PJM Charges and Credits </t>
  </si>
  <si>
    <t>Annual Premium</t>
  </si>
  <si>
    <t>Premium</t>
  </si>
  <si>
    <t>RTEP Costs Billed to DEOK (1)</t>
  </si>
  <si>
    <t>(1) DEOK is the Duke Energy Ohio &amp; Kentucky Load Zone.</t>
  </si>
  <si>
    <t xml:space="preserve">Total Fuel Related PJM Charges and Credits </t>
  </si>
  <si>
    <t>Fuel Related Expense</t>
  </si>
  <si>
    <t>Safety Awards</t>
  </si>
  <si>
    <t>Fuel Portion of Increased Revenue  23.18%</t>
  </si>
  <si>
    <t>WIT111:</t>
  </si>
  <si>
    <t>D. L. DOSS</t>
  </si>
  <si>
    <t xml:space="preserve">              "              "                      "                       - Gas %</t>
  </si>
  <si>
    <t xml:space="preserve">              "              "                      "                       - Electric %</t>
  </si>
  <si>
    <t>R. H. PRATT / S. E. LAWLER</t>
  </si>
  <si>
    <t>To remove meters that are being replaced by AMI meters</t>
  </si>
  <si>
    <t>Plant in Service</t>
  </si>
  <si>
    <t>Accumulated Depreciation</t>
  </si>
  <si>
    <t>Amortization Period - Years</t>
  </si>
  <si>
    <t>CWIP</t>
  </si>
  <si>
    <t>PJM Reactive</t>
  </si>
  <si>
    <t>Special Contract</t>
  </si>
  <si>
    <t>Schedule M Retail</t>
  </si>
  <si>
    <t xml:space="preserve">PURPOSE AND DESCRIPTION: To reconcile retail revenue calculated on Schedule M with </t>
  </si>
  <si>
    <t xml:space="preserve">revenue calculated in the budget.  </t>
  </si>
  <si>
    <t>ADJUST REVENUE</t>
  </si>
  <si>
    <t>Sch M vs Budget Adjustment</t>
  </si>
  <si>
    <t xml:space="preserve">Fuel </t>
  </si>
  <si>
    <t>Retail Sch. M (without riders)</t>
  </si>
  <si>
    <t>Total Fuel Adjustment</t>
  </si>
  <si>
    <t>(2) Source: Schedule C-2, Forecasted Period.</t>
  </si>
  <si>
    <t>(5) The Company will recover this plant in service through the Environmental Surcharge Mechanism</t>
  </si>
  <si>
    <t>Other Operating Expenses</t>
  </si>
  <si>
    <t>Meters-May 31,2017</t>
  </si>
  <si>
    <t>3700\3701</t>
  </si>
  <si>
    <t>Meters (C )</t>
  </si>
  <si>
    <t>T. SILINSKI</t>
  </si>
  <si>
    <t>Plant in Service included in ESM</t>
  </si>
  <si>
    <t>Less:  CWIP</t>
  </si>
  <si>
    <t xml:space="preserve">  Director's Expenses</t>
  </si>
  <si>
    <t>CUSTOMER SERVICE AND INFORMATIONAL EXPENSE, SALES EXPENSE AND GENERAL ADVERTISING EXPENSE</t>
  </si>
  <si>
    <t>EAST BEND</t>
  </si>
  <si>
    <t>MAINTENANCE</t>
  </si>
  <si>
    <t>(G) Deferral authority granted per Case No. 2016-00152.</t>
  </si>
  <si>
    <t>excluding labor, to a level that is more reflective of a historical average.</t>
  </si>
  <si>
    <t>WPD-2.30a</t>
  </si>
  <si>
    <t>WPD-2.30b</t>
  </si>
  <si>
    <t>To WPD-2.30a</t>
  </si>
  <si>
    <t>East Bend Maintenance Costs</t>
  </si>
  <si>
    <t>5 Year Average</t>
  </si>
  <si>
    <t>Total  Annualized East Bend Maintenance</t>
  </si>
  <si>
    <t>ANNUALIZE EAST BEND MAINTENANCE EXPENSE</t>
  </si>
  <si>
    <t>East Bend Maintenance Expense</t>
  </si>
  <si>
    <t>Less: Test Period East Bend Maintenance</t>
  </si>
  <si>
    <t>Adjusted East Bend Maintenance</t>
  </si>
  <si>
    <t>PURPOSE AND DESCRIPTION: To annualize East Bend maintenance expense included in the test period,</t>
  </si>
  <si>
    <t>WORK PAPER REFERENCE NO(S).: WPD-2.30a, WPD-2.30b</t>
  </si>
  <si>
    <r>
      <t xml:space="preserve">(1) </t>
    </r>
    <r>
      <rPr>
        <sz val="10"/>
        <rFont val="Arial"/>
        <family val="2"/>
      </rPr>
      <t>Eliminated on Schedule D-2.23.</t>
    </r>
  </si>
  <si>
    <t>Note: The Company does not forecast the balance sheet to the same level of detail as actuals are recorded.</t>
  </si>
  <si>
    <t>Fossil Hydro Operations</t>
  </si>
  <si>
    <t>(E), (F)</t>
  </si>
  <si>
    <t>(F) Assumes carrying costs on the unrecovered balance at the long term debt rate of 4.243% per Schedule J-1.</t>
  </si>
  <si>
    <t>WPD-2.35b</t>
  </si>
  <si>
    <t>Pole Attachment Rate</t>
  </si>
  <si>
    <t>2-User Pole</t>
  </si>
  <si>
    <t>3-User Pole</t>
  </si>
  <si>
    <t>% Increase</t>
  </si>
  <si>
    <t>Current Pole Attachment Revenue</t>
  </si>
  <si>
    <t>Proposed Pole Attachment Revenue</t>
  </si>
  <si>
    <t>WORK PAPER REFERENCE NO(S).: WPD-2.35a, WPD-2.35b</t>
  </si>
  <si>
    <t>WPD_2.35b</t>
  </si>
  <si>
    <t>Case 2015-120 Acq.of DPL share of East Bend</t>
  </si>
  <si>
    <t>To add DP&amp;L share of East bend to rate base.</t>
  </si>
  <si>
    <t>Amortization after first 32.14 months through March 31, 2018</t>
  </si>
  <si>
    <t>Regulatory Asset Balance at March 31, 2018</t>
  </si>
  <si>
    <t>WPD-2.21b</t>
  </si>
  <si>
    <t>Monthly Depr</t>
  </si>
  <si>
    <t>Depr of</t>
  </si>
  <si>
    <t>Per Books</t>
  </si>
  <si>
    <t>Purchase Price</t>
  </si>
  <si>
    <t>Monthly Debit</t>
  </si>
  <si>
    <t>Balance of</t>
  </si>
  <si>
    <t>$214.4 mm * 2.16%</t>
  </si>
  <si>
    <t>$12.4 mm * 2.16%</t>
  </si>
  <si>
    <t>To Reg Asset</t>
  </si>
  <si>
    <t>Reg Asset</t>
  </si>
  <si>
    <t>(a)</t>
  </si>
  <si>
    <t>(b)</t>
  </si>
  <si>
    <t>(c)</t>
  </si>
  <si>
    <t>(d)=(a)-(c)</t>
  </si>
  <si>
    <t>(e)</t>
  </si>
  <si>
    <t>Thirteen Month Average (Included in adjustments to Schedule B-2.2, pg 2)</t>
  </si>
  <si>
    <t>WORK PAPER REFERENCE NO(S).: WPD-2.21a, WPD-2.21b</t>
  </si>
  <si>
    <t>CASE NO. 2017-00321</t>
  </si>
  <si>
    <t>(A) The Company is proposing to recover emission allowance inventory in its Environmental Surcharge Mechanism.</t>
  </si>
  <si>
    <t>East Bend Maintenance</t>
  </si>
  <si>
    <t>Interest Expense</t>
  </si>
  <si>
    <t>Advanced Metering Benefit Levelization</t>
  </si>
  <si>
    <t>Adjust Revenue</t>
  </si>
  <si>
    <t>Note: The Company did not forecast fuel oil inventory for the Woodsdale dual fuel project.</t>
  </si>
  <si>
    <t>Schedule D-2.35 base revenue adjustment.</t>
  </si>
  <si>
    <t xml:space="preserve">(1) Source: Schedule C-2, Proforma Forecasted Period base revenue, excluding </t>
  </si>
  <si>
    <t>(D)  The Company is not requesting to include recovery of CWIP in base rates.</t>
  </si>
  <si>
    <t>Facilities Devoted to</t>
  </si>
  <si>
    <t>Total Utility Plant in Service (Accts 101 &amp; 106) (A)</t>
  </si>
  <si>
    <t>Total Utility Plant in Service (Accts 101 &amp; 106) (B)</t>
  </si>
  <si>
    <t xml:space="preserve">   Propane Inventory (Account 151) (B)</t>
  </si>
  <si>
    <t xml:space="preserve">   Other Material and Supplies (Accts. 154 &amp; 163) (B)</t>
  </si>
  <si>
    <t>Gas Stored Underground (Account 164) (B)</t>
  </si>
  <si>
    <t>Prepayments (Account 165) (B)</t>
  </si>
  <si>
    <t>(E)  Company records.</t>
  </si>
  <si>
    <t xml:space="preserve"> Reserve for Accumulated Depreciation (Acct 108) (A)</t>
  </si>
  <si>
    <t xml:space="preserve"> Accum. Deferred Income Taxes (Accts 190, 282, &amp; 283) (A)</t>
  </si>
  <si>
    <t xml:space="preserve"> Reserve for Accumulated Depreciation (Acct 108) (B)</t>
  </si>
  <si>
    <t xml:space="preserve"> Accum. Deferred Income Taxes (Accts 190, 282, &amp; 283) (B)</t>
  </si>
  <si>
    <t>Note: The Company is not requesting to include recovery of CWIP in base rates.</t>
  </si>
  <si>
    <t>(4) Schedule B-4. The Company is not requesting to include recovery of CWIP in base rates.</t>
  </si>
  <si>
    <t>(4) Schedule B-4.  The Company is not requesting to include recovery of CWIP in base rates.</t>
  </si>
  <si>
    <t>SUMMARY OF FORECASTED PERIOD PRO FORMA ADJUSTMENTS</t>
  </si>
  <si>
    <t>Deferral approved in Case 2016-0152.</t>
  </si>
  <si>
    <t xml:space="preserve">      for a year, therefore all meters will depreciate for another 4 months</t>
  </si>
  <si>
    <t>(C) Meter replacement program will not start until Q4 2017 and will be in effect</t>
  </si>
  <si>
    <t xml:space="preserve">      (June-September 2017) and then on average another 6 months as an estimate.</t>
  </si>
  <si>
    <t>Sch B-6, WPB-6a</t>
  </si>
  <si>
    <t xml:space="preserve"> Investment Tax Credits</t>
  </si>
  <si>
    <t>(C)  The Company is not requesting to include recovery of CWIP in base rates.</t>
  </si>
  <si>
    <t>(D)  Company records.</t>
  </si>
  <si>
    <t>Sch B-3.2</t>
  </si>
  <si>
    <t>Note: The regular and straight time hours shown are 2016 labor hours.  The Company does not budget</t>
  </si>
  <si>
    <t xml:space="preserve">          or forecast labor hours but does not expect to deviate materially from 2016</t>
  </si>
  <si>
    <t>Structures &amp; Improvements - Pollution</t>
  </si>
  <si>
    <t>Generators - Pollution</t>
  </si>
  <si>
    <t>Accessory Electric Equipment - Pollution</t>
  </si>
  <si>
    <t>Miscellaneous Plant Equipment - Pollution</t>
  </si>
  <si>
    <t>WORK PAPER REFERENCE NO(S).: WPD-2.19a</t>
  </si>
  <si>
    <t xml:space="preserve">    AMORTIZATION OF DEBT DISCOUNT AND EXPENSE</t>
  </si>
  <si>
    <t xml:space="preserve">    OTHER INTEREST EXPENSE</t>
  </si>
  <si>
    <t>R. H. PRATT / C. S. LEE</t>
  </si>
  <si>
    <t>GAS ENRICHER LIQUIDS</t>
  </si>
  <si>
    <t>MATERIAL &amp; SUPPLIES</t>
  </si>
  <si>
    <t>EMISSION ALLOWANCES</t>
  </si>
  <si>
    <t>ADJUST BASE PERIOD REGIONAL MARKET EXPENSES TO FORECASTED PERIOD</t>
  </si>
  <si>
    <t>(A) The company elected the ratable flow through option in 1971 as provided under Section 46(f)(2).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</si>
</sst>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3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_)"/>
    <numFmt numFmtId="165" formatCode="0.000_)"/>
    <numFmt numFmtId="166" formatCode="0.000%"/>
    <numFmt numFmtId="167" formatCode="mm/dd/yy_)"/>
    <numFmt numFmtId="168" formatCode=";;;"/>
    <numFmt numFmtId="169" formatCode="0_)"/>
    <numFmt numFmtId="170" formatCode="#,##0;[Red]\(#,##0\)"/>
    <numFmt numFmtId="171" formatCode="&quot;$&quot;\ \ #,##0_);&quot;$&quot;\ \ \(#,##0\)"/>
    <numFmt numFmtId="172" formatCode="#,##0.0_);\(#,##0.0\)"/>
    <numFmt numFmtId="173" formatCode="0.0%"/>
    <numFmt numFmtId="174" formatCode="0.0000000_)"/>
    <numFmt numFmtId="175" formatCode="dd\-mmm\-yy_)"/>
    <numFmt numFmtId="176" formatCode="#,##0.000_);\(#,##0.000\)"/>
    <numFmt numFmtId="177" formatCode="&quot;$&quot;#,##0.0000_);\(&quot;$&quot;#,##0.0000\)"/>
    <numFmt numFmtId="178" formatCode="0.00_)"/>
    <numFmt numFmtId="179" formatCode="0.0_)"/>
    <numFmt numFmtId="180" formatCode="0.0000%"/>
    <numFmt numFmtId="181" formatCode="General_)"/>
    <numFmt numFmtId="182" formatCode="_(* #,##0.0_);_(* \(#,##0.0\);_(* &quot;-&quot;??_);_(@_)"/>
    <numFmt numFmtId="183" formatCode="_(* #,##0_);_(* \(#,##0\);_(* &quot;-&quot;??_);_(@_)"/>
    <numFmt numFmtId="184" formatCode="0.000"/>
    <numFmt numFmtId="185" formatCode="0.0"/>
    <numFmt numFmtId="186" formatCode="0.00%;\(0.00\)%"/>
    <numFmt numFmtId="187" formatCode="#,##0_);\(#,##0\);"/>
    <numFmt numFmtId="188" formatCode="00000"/>
    <numFmt numFmtId="189" formatCode="0.00_);\(0.00\)"/>
    <numFmt numFmtId="190" formatCode="0.00%;\(0.00\)%;&quot;-      &quot;"/>
    <numFmt numFmtId="191" formatCode="0.00%;\(0.00\)%;&quot;-&quot;"/>
    <numFmt numFmtId="192" formatCode="_(&quot;$&quot;\ \ \ #,##0_);_(&quot;$&quot;\ \ \ \(#,##0\);_(&quot;$&quot;\ \ \ &quot;-&quot;_);_(@_)"/>
    <numFmt numFmtId="193" formatCode="_(* #,##0_);_(* \(#,##0\)"/>
    <numFmt numFmtId="194" formatCode="_(&quot;$&quot;* #,##0_);_(&quot;$&quot;* \(#,##0\);_(&quot;$&quot;* &quot;0&quot;_);_(@_)"/>
    <numFmt numFmtId="195" formatCode="[$-409]mmm\-yy;@"/>
    <numFmt numFmtId="196" formatCode="[$-409]mmmm\ d\,\ yyyy;@"/>
    <numFmt numFmtId="197" formatCode="_(&quot;$&quot;* #,##0_);_(&quot;$&quot;* \(#,##0\);_(&quot;$&quot;* 0_);_(@_)"/>
    <numFmt numFmtId="198" formatCode="mmm\-yy_)"/>
    <numFmt numFmtId="199" formatCode="0.00000_)"/>
    <numFmt numFmtId="200" formatCode="#,##0.000000_);\(#,##0.000000\)"/>
    <numFmt numFmtId="201" formatCode="m/d/yyyy;@"/>
    <numFmt numFmtId="202" formatCode="0.000000%"/>
    <numFmt numFmtId="203" formatCode="0.000000"/>
    <numFmt numFmtId="204" formatCode="mm/dd/yy"/>
    <numFmt numFmtId="205" formatCode="mmmm\ yyyy"/>
    <numFmt numFmtId="206" formatCode="_(&quot;$&quot;* #,##0_);_(&quot;$&quot;* \(#,##0\);_(&quot;$&quot;* &quot;-&quot;??_);_(@_)"/>
    <numFmt numFmtId="207" formatCode="_(* #,##0.00000_);_(* \(#,##0.00000\);_(* &quot;-&quot;??_);_(@_)"/>
    <numFmt numFmtId="208" formatCode="#,##0.00\ ;[Red]\(#,##0.00\)"/>
    <numFmt numFmtId="209" formatCode="&quot;$&quot;#,##0\ ;\(&quot;$&quot;#,##0\)"/>
    <numFmt numFmtId="210" formatCode="0.000000000%"/>
    <numFmt numFmtId="211" formatCode="_(* #,##0.000000_);_(* \(#,##0.000000\);_(* &quot;-&quot;??_);_(@_)"/>
    <numFmt numFmtId="212" formatCode="#,##0.00&quot; $&quot;;\-#,##0.00&quot; $&quot;"/>
    <numFmt numFmtId="213" formatCode="0.000000_)"/>
    <numFmt numFmtId="214" formatCode="#,##0_ ;[Red]\(#,##0\)\ "/>
    <numFmt numFmtId="215" formatCode="0.00000000%"/>
    <numFmt numFmtId="216" formatCode="_-* #,##0_-;\-* #,##0_-;_-* &quot;-&quot;_-;_-@_-"/>
    <numFmt numFmtId="217" formatCode="_-* #,##0.00_-;\-* #,##0.00_-;_-* &quot;-&quot;??_-;_-@_-"/>
    <numFmt numFmtId="218" formatCode="_ * #,##0_ ;_ * \-#,##0_ ;_ * &quot;-&quot;_ ;_ @_ "/>
    <numFmt numFmtId="219" formatCode="#,##0.0\ \ \ _);\(#,##0.0\)"/>
    <numFmt numFmtId="220" formatCode="0.0_);\(0.0\)"/>
    <numFmt numFmtId="221" formatCode="#."/>
    <numFmt numFmtId="222" formatCode="_ [$€-2]\ * #,##0.00_ ;_ [$€-2]\ * \-#,##0.00_ ;_ [$€-2]\ * &quot;-&quot;??_ "/>
    <numFmt numFmtId="223" formatCode="_([$€-2]* #,##0.00_);_([$€-2]* \(#,##0.00\);_([$€-2]* &quot;-&quot;??_)"/>
    <numFmt numFmtId="224" formatCode="_-* #,##0.0_-;\-* #,##0.0_-;_-* &quot;-&quot;??_-;_-@_-"/>
    <numFmt numFmtId="225" formatCode="_-&quot;$&quot;* #,##0.00_-;\-&quot;$&quot;* #,##0.00_-;_-&quot;$&quot;* &quot;-&quot;??_-;_-@_-"/>
    <numFmt numFmtId="226" formatCode="_-#,##0&quot; years&quot;"/>
    <numFmt numFmtId="227" formatCode="_(&quot;$&quot;* #,##0.000000_);_(&quot;$&quot;* \(#,##0.000000\);_(&quot;$&quot;* &quot;-&quot;??_);_(@_)"/>
    <numFmt numFmtId="228" formatCode="#,##0.0"/>
    <numFmt numFmtId="229" formatCode="0.000%;\(0.000\)%"/>
  </numFmts>
  <fonts count="212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2"/>
      <name val="Courier"/>
      <family val="3"/>
    </font>
    <font>
      <sz val="10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sz val="11"/>
      <color indexed="10"/>
      <name val="Arial"/>
      <family val="2"/>
    </font>
    <font>
      <sz val="11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b/>
      <u/>
      <sz val="12"/>
      <name val="Arial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u/>
      <sz val="10"/>
      <color indexed="10"/>
      <name val="Arial"/>
      <family val="2"/>
    </font>
    <font>
      <u/>
      <sz val="12"/>
      <name val="Arial"/>
      <family val="2"/>
    </font>
    <font>
      <sz val="12"/>
      <color indexed="12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0"/>
      <color indexed="81"/>
      <name val="Tahoma"/>
      <family val="2"/>
    </font>
    <font>
      <sz val="8"/>
      <color indexed="81"/>
      <name val="Tahoma"/>
      <family val="2"/>
    </font>
    <font>
      <u/>
      <sz val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sz val="12"/>
      <color indexed="21"/>
      <name val="Arial"/>
      <family val="2"/>
    </font>
    <font>
      <sz val="10"/>
      <color indexed="8"/>
      <name val="Arial"/>
      <family val="2"/>
    </font>
    <font>
      <b/>
      <sz val="10"/>
      <name val="MS Sans Serif"/>
      <family val="2"/>
    </font>
    <font>
      <u/>
      <sz val="10"/>
      <color indexed="12"/>
      <name val="Arial"/>
      <family val="2"/>
    </font>
    <font>
      <u/>
      <sz val="10"/>
      <color indexed="8"/>
      <name val="Arial"/>
      <family val="2"/>
    </font>
    <font>
      <b/>
      <sz val="11"/>
      <color rgb="FF0000FF"/>
      <name val="Arial"/>
      <family val="2"/>
    </font>
    <font>
      <b/>
      <sz val="10"/>
      <color rgb="FFFF0000"/>
      <name val="Courier"/>
      <family val="3"/>
    </font>
    <font>
      <b/>
      <sz val="10"/>
      <color rgb="FF0000FF"/>
      <name val="Courier"/>
      <family val="3"/>
    </font>
    <font>
      <b/>
      <sz val="10"/>
      <color rgb="FF000080"/>
      <name val="Courier"/>
      <family val="3"/>
    </font>
    <font>
      <b/>
      <sz val="10"/>
      <color rgb="FF008080"/>
      <name val="Courier"/>
      <family val="3"/>
    </font>
    <font>
      <b/>
      <sz val="10"/>
      <color rgb="FF800000"/>
      <name val="Courier"/>
      <family val="3"/>
    </font>
    <font>
      <b/>
      <sz val="10"/>
      <color rgb="FF000000"/>
      <name val="Times New Roman"/>
      <family val="1"/>
    </font>
    <font>
      <b/>
      <sz val="10"/>
      <color rgb="FFFFFF00"/>
      <name val="Courier"/>
      <family val="3"/>
    </font>
    <font>
      <b/>
      <sz val="10"/>
      <color rgb="FF660066"/>
      <name val="Courier"/>
      <family val="3"/>
    </font>
    <font>
      <b/>
      <sz val="10"/>
      <color rgb="FF000000"/>
      <name val="Courier"/>
      <family val="3"/>
    </font>
    <font>
      <b/>
      <sz val="10"/>
      <color rgb="FFFF6600"/>
      <name val="Courier"/>
      <family val="3"/>
    </font>
    <font>
      <b/>
      <sz val="10"/>
      <color rgb="FF00FF00"/>
      <name val="Courier"/>
      <family val="3"/>
    </font>
    <font>
      <b/>
      <sz val="10"/>
      <color rgb="FFFFFF00"/>
      <name val="Times New Roman"/>
      <family val="1"/>
    </font>
    <font>
      <b/>
      <sz val="10"/>
      <color rgb="FF0000FF"/>
      <name val="Times New Roman"/>
      <family val="1"/>
    </font>
    <font>
      <b/>
      <sz val="10"/>
      <color rgb="FF000080"/>
      <name val="Times New Roman"/>
      <family val="1"/>
    </font>
    <font>
      <b/>
      <sz val="10"/>
      <color rgb="FF008080"/>
      <name val="Times New Roman"/>
      <family val="1"/>
    </font>
    <font>
      <b/>
      <sz val="10"/>
      <color rgb="FFFF00FF"/>
      <name val="Times New Roman"/>
      <family val="1"/>
    </font>
    <font>
      <b/>
      <sz val="10"/>
      <color rgb="FF80000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FF00FF"/>
      <name val="Courier"/>
      <family val="3"/>
    </font>
    <font>
      <sz val="10"/>
      <color rgb="FF3333FF"/>
      <name val="Arial"/>
      <family val="2"/>
    </font>
    <font>
      <sz val="10"/>
      <color rgb="FF0000FF"/>
      <name val="Arial"/>
      <family val="2"/>
    </font>
    <font>
      <b/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sz val="10"/>
      <color indexed="1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0"/>
      <name val="Times New Roman"/>
      <family val="1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0000FF"/>
      <name val="Courier"/>
      <family val="3"/>
    </font>
    <font>
      <sz val="10"/>
      <color rgb="FFFF0000"/>
      <name val="Arial"/>
      <family val="2"/>
    </font>
    <font>
      <vertAlign val="superscript"/>
      <sz val="10"/>
      <name val="Arial"/>
      <family val="2"/>
    </font>
    <font>
      <u val="double"/>
      <sz val="10"/>
      <name val="Arial"/>
      <family val="2"/>
    </font>
    <font>
      <sz val="10"/>
      <color indexed="10"/>
      <name val="Arial"/>
      <family val="2"/>
    </font>
    <font>
      <u val="double"/>
      <sz val="10"/>
      <color indexed="8"/>
      <name val="Arial"/>
      <family val="2"/>
    </font>
    <font>
      <sz val="10"/>
      <name val="Abadi MT Condensed Light"/>
      <family val="2"/>
    </font>
    <font>
      <u val="doubleAccounting"/>
      <sz val="10"/>
      <name val="Arial"/>
      <family val="2"/>
    </font>
    <font>
      <b/>
      <sz val="10"/>
      <color indexed="12"/>
      <name val="Arial"/>
      <family val="2"/>
    </font>
    <font>
      <sz val="10"/>
      <color indexed="18"/>
      <name val="Arial"/>
      <family val="2"/>
    </font>
    <font>
      <i/>
      <sz val="10"/>
      <color indexed="10"/>
      <name val="Arial"/>
      <family val="2"/>
    </font>
    <font>
      <u val="double"/>
      <sz val="10"/>
      <color indexed="12"/>
      <name val="Arial"/>
      <family val="2"/>
    </font>
    <font>
      <u/>
      <sz val="10"/>
      <color indexed="10"/>
      <name val="Arial"/>
      <family val="2"/>
    </font>
    <font>
      <u/>
      <sz val="10"/>
      <color indexed="18"/>
      <name val="Arial"/>
      <family val="2"/>
    </font>
    <font>
      <u/>
      <sz val="10"/>
      <color rgb="FF0000FF"/>
      <name val="Arial"/>
      <family val="2"/>
    </font>
    <font>
      <u val="singleAccounting"/>
      <sz val="10"/>
      <color indexed="12"/>
      <name val="Arial"/>
      <family val="2"/>
    </font>
    <font>
      <b/>
      <sz val="14"/>
      <color rgb="FF0000FF"/>
      <name val="Arial"/>
      <family val="2"/>
    </font>
    <font>
      <b/>
      <sz val="10"/>
      <color indexed="8"/>
      <name val="Arial"/>
      <family val="2"/>
    </font>
    <font>
      <b/>
      <sz val="10"/>
      <color rgb="FF0000FF"/>
      <name val="Arial"/>
      <family val="2"/>
    </font>
    <font>
      <b/>
      <sz val="10"/>
      <color indexed="9"/>
      <name val="Arial"/>
      <family val="2"/>
    </font>
    <font>
      <b/>
      <u/>
      <sz val="12"/>
      <color indexed="21"/>
      <name val="Arial"/>
      <family val="2"/>
    </font>
    <font>
      <b/>
      <sz val="10"/>
      <color rgb="FF008080"/>
      <name val="Arial"/>
      <family val="2"/>
    </font>
    <font>
      <sz val="10"/>
      <color theme="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u val="singleAccounting"/>
      <sz val="10"/>
      <name val="Arial"/>
      <family val="2"/>
    </font>
    <font>
      <sz val="20"/>
      <color rgb="FFFF0000"/>
      <name val="Arial"/>
      <family val="2"/>
    </font>
    <font>
      <sz val="10"/>
      <color theme="1"/>
      <name val="Calibri"/>
      <family val="2"/>
      <scheme val="minor"/>
    </font>
    <font>
      <u/>
      <sz val="10"/>
      <color theme="1"/>
      <name val="Arial"/>
      <family val="2"/>
    </font>
    <font>
      <sz val="11"/>
      <color theme="1"/>
      <name val="Cambria"/>
      <family val="2"/>
    </font>
    <font>
      <sz val="10"/>
      <color indexed="8"/>
      <name val="Book Antiqua"/>
      <family val="1"/>
    </font>
    <font>
      <sz val="11"/>
      <color indexed="8"/>
      <name val="Arial"/>
      <family val="2"/>
    </font>
    <font>
      <b/>
      <sz val="12"/>
      <color indexed="9"/>
      <name val="Times New Roman"/>
      <family val="1"/>
    </font>
    <font>
      <sz val="11"/>
      <name val="Tms Rmn"/>
      <family val="1"/>
    </font>
    <font>
      <sz val="11"/>
      <color theme="1"/>
      <name val="Arial"/>
      <family val="2"/>
    </font>
    <font>
      <sz val="10"/>
      <color indexed="24"/>
      <name val="Times New Roman"/>
      <family val="1"/>
    </font>
    <font>
      <sz val="12"/>
      <color indexed="12"/>
      <name val="SWISS"/>
      <family val="2"/>
    </font>
    <font>
      <b/>
      <u/>
      <sz val="11"/>
      <color indexed="37"/>
      <name val="Arial"/>
      <family val="2"/>
    </font>
    <font>
      <b/>
      <i/>
      <sz val="12"/>
      <color indexed="57"/>
      <name val="Swiss"/>
      <family val="2"/>
    </font>
    <font>
      <sz val="11"/>
      <color rgb="FF3F3F76"/>
      <name val="Cambria"/>
      <family val="2"/>
    </font>
    <font>
      <sz val="11"/>
      <color indexed="32"/>
      <name val="Arial"/>
      <family val="2"/>
    </font>
    <font>
      <b/>
      <sz val="12"/>
      <name val="Swiss"/>
      <family val="2"/>
    </font>
    <font>
      <b/>
      <sz val="11"/>
      <color indexed="18"/>
      <name val="Arial"/>
      <family val="2"/>
    </font>
    <font>
      <sz val="10"/>
      <color indexed="56"/>
      <name val="Courier"/>
      <family val="3"/>
    </font>
    <font>
      <sz val="11"/>
      <color indexed="16"/>
      <name val="Arial"/>
      <family val="2"/>
    </font>
    <font>
      <i/>
      <sz val="12"/>
      <color indexed="38"/>
      <name val="Swiss"/>
      <family val="2"/>
    </font>
    <font>
      <sz val="7"/>
      <name val="Small Fonts"/>
      <family val="2"/>
    </font>
    <font>
      <b/>
      <i/>
      <sz val="16"/>
      <name val="Helv"/>
    </font>
    <font>
      <b/>
      <sz val="11"/>
      <color indexed="16"/>
      <name val="Times New Roman"/>
      <family val="1"/>
    </font>
    <font>
      <b/>
      <sz val="10"/>
      <name val="Book Antiqua"/>
      <family val="1"/>
    </font>
    <font>
      <sz val="10"/>
      <color indexed="18"/>
      <name val="Times New Roman"/>
      <family val="1"/>
    </font>
    <font>
      <b/>
      <i/>
      <sz val="10"/>
      <color indexed="38"/>
      <name val="Arial"/>
      <family val="2"/>
    </font>
    <font>
      <b/>
      <sz val="12"/>
      <color indexed="38"/>
      <name val="Swiss"/>
      <family val="2"/>
    </font>
    <font>
      <i/>
      <sz val="10"/>
      <name val="MS Sans Serif"/>
      <family val="2"/>
    </font>
    <font>
      <b/>
      <sz val="14"/>
      <color indexed="8"/>
      <name val="Helv"/>
    </font>
    <font>
      <b/>
      <sz val="12"/>
      <color indexed="18"/>
      <name val="Arial"/>
      <family val="2"/>
    </font>
    <font>
      <sz val="11"/>
      <name val="Book Antiqua"/>
      <family val="1"/>
    </font>
    <font>
      <i/>
      <sz val="12"/>
      <color indexed="50"/>
      <name val="Arial"/>
      <family val="2"/>
    </font>
    <font>
      <sz val="12"/>
      <color indexed="8"/>
      <name val="Arial MT"/>
    </font>
    <font>
      <sz val="8"/>
      <color indexed="12"/>
      <name val="Arial"/>
      <family val="2"/>
    </font>
    <font>
      <u/>
      <sz val="8.4"/>
      <color indexed="12"/>
      <name val="Arial"/>
      <family val="2"/>
    </font>
    <font>
      <sz val="10"/>
      <color rgb="FF0000FF"/>
      <name val="Calibri"/>
      <family val="2"/>
      <scheme val="minor"/>
    </font>
    <font>
      <b/>
      <sz val="18"/>
      <name val="Arial"/>
      <family val="2"/>
    </font>
    <font>
      <sz val="10"/>
      <name val="LJ Helvetica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color indexed="12"/>
      <name val="Arial"/>
      <family val="2"/>
    </font>
    <font>
      <sz val="1"/>
      <color indexed="16"/>
      <name val="Courier"/>
      <family val="3"/>
    </font>
    <font>
      <sz val="11"/>
      <name val="??"/>
      <family val="3"/>
      <charset val="129"/>
    </font>
    <font>
      <b/>
      <sz val="12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4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u/>
      <sz val="14"/>
      <name val="Arial Narrow"/>
      <family val="2"/>
    </font>
    <font>
      <sz val="11"/>
      <color indexed="62"/>
      <name val="Calibri"/>
      <family val="2"/>
    </font>
    <font>
      <sz val="12"/>
      <color indexed="37"/>
      <name val="swiss"/>
    </font>
    <font>
      <sz val="12"/>
      <color indexed="37"/>
      <name val="Swiss"/>
      <family val="2"/>
    </font>
    <font>
      <b/>
      <sz val="10"/>
      <color indexed="37"/>
      <name val="Arial MT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Times New Roman"/>
      <family val="2"/>
    </font>
    <font>
      <sz val="11"/>
      <color rgb="FF000000"/>
      <name val="Calibri"/>
      <family val="2"/>
      <scheme val="minor"/>
    </font>
    <font>
      <sz val="10"/>
      <name val="Calibri"/>
      <family val="1"/>
      <scheme val="minor"/>
    </font>
    <font>
      <sz val="11"/>
      <color theme="1"/>
      <name val="Times New Roman"/>
      <family val="2"/>
    </font>
    <font>
      <b/>
      <sz val="11"/>
      <color indexed="63"/>
      <name val="Calibri"/>
      <family val="2"/>
    </font>
    <font>
      <sz val="10"/>
      <color indexed="55"/>
      <name val="Arial"/>
      <family val="2"/>
    </font>
    <font>
      <sz val="11"/>
      <name val="Times New Roman"/>
      <family val="1"/>
    </font>
    <font>
      <sz val="14"/>
      <name val="Haettenschweiler"/>
      <family val="2"/>
    </font>
    <font>
      <b/>
      <sz val="9"/>
      <name val="Arial"/>
      <family val="2"/>
    </font>
    <font>
      <sz val="8"/>
      <name val="Arial Narrow"/>
      <family val="2"/>
    </font>
    <font>
      <b/>
      <u/>
      <sz val="12"/>
      <name val="Arial Narrow"/>
      <family val="2"/>
    </font>
    <font>
      <b/>
      <u/>
      <sz val="10"/>
      <name val="Arial Narrow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7"/>
      <color indexed="12"/>
      <name val="Arial"/>
      <family val="2"/>
    </font>
    <font>
      <i/>
      <sz val="12"/>
      <color indexed="8"/>
      <name val="Arial MT"/>
    </font>
    <font>
      <sz val="11"/>
      <color indexed="10"/>
      <name val="Calibri"/>
      <family val="2"/>
    </font>
    <font>
      <sz val="10"/>
      <name val="Arial"/>
      <family val="2"/>
    </font>
    <font>
      <sz val="12"/>
      <color rgb="FF000000"/>
      <name val="Arial"/>
      <family val="2"/>
    </font>
    <font>
      <b/>
      <sz val="12"/>
      <color theme="1"/>
      <name val="Calibri"/>
      <family val="2"/>
      <scheme val="minor"/>
    </font>
  </fonts>
  <fills count="7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55"/>
      </patternFill>
    </fill>
    <fill>
      <patternFill patternType="solid">
        <fgColor indexed="56"/>
        <bgColor indexed="64"/>
      </patternFill>
    </fill>
    <fill>
      <patternFill patternType="solid">
        <fgColor indexed="22"/>
      </patternFill>
    </fill>
    <fill>
      <patternFill patternType="solid">
        <fgColor indexed="13"/>
        <bgColor indexed="13"/>
      </patternFill>
    </fill>
    <fill>
      <patternFill patternType="solid">
        <fgColor indexed="14"/>
        <bgColor indexed="14"/>
      </patternFill>
    </fill>
    <fill>
      <patternFill patternType="solid">
        <fgColor indexed="10"/>
        <bgColor indexed="1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indexed="15"/>
      </patternFill>
    </fill>
    <fill>
      <patternFill patternType="solid">
        <fgColor indexed="15"/>
        <bgColor indexed="1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  <bgColor indexed="8"/>
      </patternFill>
    </fill>
    <fill>
      <patternFill patternType="gray0625">
        <fgColor indexed="26"/>
        <bgColor indexed="4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gray0625"/>
    </fill>
    <fill>
      <patternFill patternType="solid">
        <fgColor indexed="42"/>
        <bgColor indexed="64"/>
      </patternFill>
    </fill>
  </fills>
  <borders count="17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10"/>
      </left>
      <right/>
      <top style="medium">
        <color indexed="10"/>
      </top>
      <bottom/>
      <diagonal/>
    </border>
    <border>
      <left/>
      <right/>
      <top style="medium">
        <color indexed="10"/>
      </top>
      <bottom/>
      <diagonal/>
    </border>
    <border>
      <left/>
      <right style="medium">
        <color indexed="10"/>
      </right>
      <top style="medium">
        <color indexed="10"/>
      </top>
      <bottom/>
      <diagonal/>
    </border>
    <border>
      <left style="medium">
        <color indexed="10"/>
      </left>
      <right/>
      <top/>
      <bottom/>
      <diagonal/>
    </border>
    <border>
      <left/>
      <right style="medium">
        <color indexed="10"/>
      </right>
      <top/>
      <bottom/>
      <diagonal/>
    </border>
    <border>
      <left style="medium">
        <color indexed="10"/>
      </left>
      <right/>
      <top/>
      <bottom style="medium">
        <color indexed="10"/>
      </bottom>
      <diagonal/>
    </border>
    <border>
      <left/>
      <right/>
      <top/>
      <bottom style="medium">
        <color indexed="10"/>
      </bottom>
      <diagonal/>
    </border>
    <border>
      <left/>
      <right style="medium">
        <color indexed="10"/>
      </right>
      <top/>
      <bottom style="medium">
        <color indexed="1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indexed="18"/>
      </left>
      <right style="thick">
        <color indexed="18"/>
      </right>
      <top style="thick">
        <color indexed="18"/>
      </top>
      <bottom style="thick">
        <color indexed="1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tted">
        <color indexed="23"/>
      </left>
      <right style="dotted">
        <color indexed="23"/>
      </right>
      <top style="dotted">
        <color indexed="23"/>
      </top>
      <bottom style="dotted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dotted">
        <color indexed="50"/>
      </left>
      <right/>
      <top style="dotted">
        <color indexed="50"/>
      </top>
      <bottom/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dotted">
        <color indexed="16"/>
      </left>
      <right style="dotted">
        <color indexed="16"/>
      </right>
      <top style="dotted">
        <color indexed="16"/>
      </top>
      <bottom style="dotted">
        <color indexed="16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980">
    <xf numFmtId="0" fontId="0" fillId="0" borderId="0"/>
    <xf numFmtId="43" fontId="18" fillId="0" borderId="0" applyFont="0" applyFill="0" applyBorder="0" applyAlignment="0" applyProtection="0"/>
    <xf numFmtId="0" fontId="20" fillId="0" borderId="0"/>
    <xf numFmtId="0" fontId="21" fillId="0" borderId="0" applyProtection="0"/>
    <xf numFmtId="0" fontId="23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3" fillId="0" borderId="0"/>
    <xf numFmtId="181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18" fillId="0" borderId="0" applyFont="0" applyFill="0" applyBorder="0" applyAlignment="0" applyProtection="0"/>
    <xf numFmtId="0" fontId="25" fillId="0" borderId="0" applyNumberFormat="0" applyFont="0" applyFill="0" applyBorder="0" applyAlignment="0" applyProtection="0">
      <alignment horizontal="left"/>
    </xf>
    <xf numFmtId="4" fontId="25" fillId="0" borderId="0" applyFont="0" applyFill="0" applyBorder="0" applyAlignment="0" applyProtection="0"/>
    <xf numFmtId="0" fontId="48" fillId="0" borderId="1">
      <alignment horizontal="center"/>
    </xf>
    <xf numFmtId="0" fontId="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76" fillId="14" borderId="0" applyNumberFormat="0" applyBorder="0" applyAlignment="0" applyProtection="0"/>
    <xf numFmtId="0" fontId="76" fillId="18" borderId="0" applyNumberFormat="0" applyBorder="0" applyAlignment="0" applyProtection="0"/>
    <xf numFmtId="0" fontId="76" fillId="22" borderId="0" applyNumberFormat="0" applyBorder="0" applyAlignment="0" applyProtection="0"/>
    <xf numFmtId="0" fontId="76" fillId="26" borderId="0" applyNumberFormat="0" applyBorder="0" applyAlignment="0" applyProtection="0"/>
    <xf numFmtId="0" fontId="76" fillId="30" borderId="0" applyNumberFormat="0" applyBorder="0" applyAlignment="0" applyProtection="0"/>
    <xf numFmtId="0" fontId="76" fillId="34" borderId="0" applyNumberFormat="0" applyBorder="0" applyAlignment="0" applyProtection="0"/>
    <xf numFmtId="0" fontId="76" fillId="15" borderId="0" applyNumberFormat="0" applyBorder="0" applyAlignment="0" applyProtection="0"/>
    <xf numFmtId="0" fontId="76" fillId="19" borderId="0" applyNumberFormat="0" applyBorder="0" applyAlignment="0" applyProtection="0"/>
    <xf numFmtId="0" fontId="76" fillId="23" borderId="0" applyNumberFormat="0" applyBorder="0" applyAlignment="0" applyProtection="0"/>
    <xf numFmtId="0" fontId="76" fillId="27" borderId="0" applyNumberFormat="0" applyBorder="0" applyAlignment="0" applyProtection="0"/>
    <xf numFmtId="0" fontId="76" fillId="31" borderId="0" applyNumberFormat="0" applyBorder="0" applyAlignment="0" applyProtection="0"/>
    <xf numFmtId="0" fontId="76" fillId="35" borderId="0" applyNumberFormat="0" applyBorder="0" applyAlignment="0" applyProtection="0"/>
    <xf numFmtId="0" fontId="77" fillId="16" borderId="0" applyNumberFormat="0" applyBorder="0" applyAlignment="0" applyProtection="0"/>
    <xf numFmtId="0" fontId="77" fillId="20" borderId="0" applyNumberFormat="0" applyBorder="0" applyAlignment="0" applyProtection="0"/>
    <xf numFmtId="0" fontId="77" fillId="24" borderId="0" applyNumberFormat="0" applyBorder="0" applyAlignment="0" applyProtection="0"/>
    <xf numFmtId="0" fontId="77" fillId="28" borderId="0" applyNumberFormat="0" applyBorder="0" applyAlignment="0" applyProtection="0"/>
    <xf numFmtId="0" fontId="77" fillId="32" borderId="0" applyNumberFormat="0" applyBorder="0" applyAlignment="0" applyProtection="0"/>
    <xf numFmtId="0" fontId="77" fillId="36" borderId="0" applyNumberFormat="0" applyBorder="0" applyAlignment="0" applyProtection="0"/>
    <xf numFmtId="0" fontId="77" fillId="13" borderId="0" applyNumberFormat="0" applyBorder="0" applyAlignment="0" applyProtection="0"/>
    <xf numFmtId="0" fontId="77" fillId="17" borderId="0" applyNumberFormat="0" applyBorder="0" applyAlignment="0" applyProtection="0"/>
    <xf numFmtId="0" fontId="77" fillId="21" borderId="0" applyNumberFormat="0" applyBorder="0" applyAlignment="0" applyProtection="0"/>
    <xf numFmtId="0" fontId="77" fillId="25" borderId="0" applyNumberFormat="0" applyBorder="0" applyAlignment="0" applyProtection="0"/>
    <xf numFmtId="0" fontId="77" fillId="29" borderId="0" applyNumberFormat="0" applyBorder="0" applyAlignment="0" applyProtection="0"/>
    <xf numFmtId="0" fontId="77" fillId="33" borderId="0" applyNumberFormat="0" applyBorder="0" applyAlignment="0" applyProtection="0"/>
    <xf numFmtId="0" fontId="78" fillId="7" borderId="0" applyNumberFormat="0" applyBorder="0" applyAlignment="0" applyProtection="0"/>
    <xf numFmtId="0" fontId="79" fillId="10" borderId="55" applyNumberFormat="0" applyAlignment="0" applyProtection="0"/>
    <xf numFmtId="0" fontId="80" fillId="11" borderId="5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6" borderId="0" applyNumberFormat="0" applyBorder="0" applyAlignment="0" applyProtection="0"/>
    <xf numFmtId="0" fontId="83" fillId="0" borderId="52" applyNumberFormat="0" applyFill="0" applyAlignment="0" applyProtection="0"/>
    <xf numFmtId="0" fontId="84" fillId="0" borderId="53" applyNumberFormat="0" applyFill="0" applyAlignment="0" applyProtection="0"/>
    <xf numFmtId="0" fontId="85" fillId="0" borderId="54" applyNumberFormat="0" applyFill="0" applyAlignment="0" applyProtection="0"/>
    <xf numFmtId="0" fontId="85" fillId="0" borderId="0" applyNumberFormat="0" applyFill="0" applyBorder="0" applyAlignment="0" applyProtection="0"/>
    <xf numFmtId="0" fontId="86" fillId="38" borderId="0"/>
    <xf numFmtId="0" fontId="87" fillId="9" borderId="55" applyNumberFormat="0" applyAlignment="0" applyProtection="0"/>
    <xf numFmtId="0" fontId="88" fillId="0" borderId="57" applyNumberFormat="0" applyFill="0" applyAlignment="0" applyProtection="0"/>
    <xf numFmtId="0" fontId="89" fillId="8" borderId="0" applyNumberFormat="0" applyBorder="0" applyAlignment="0" applyProtection="0"/>
    <xf numFmtId="0" fontId="22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9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2" fillId="0" borderId="0"/>
    <xf numFmtId="0" fontId="18" fillId="0" borderId="0"/>
    <xf numFmtId="0" fontId="90" fillId="0" borderId="0"/>
    <xf numFmtId="0" fontId="18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12" borderId="59" applyNumberFormat="0" applyFont="0" applyAlignment="0" applyProtection="0"/>
    <xf numFmtId="0" fontId="91" fillId="10" borderId="56" applyNumberFormat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92" fillId="0" borderId="60" applyNumberFormat="0" applyFill="0" applyAlignment="0" applyProtection="0"/>
    <xf numFmtId="0" fontId="93" fillId="0" borderId="0" applyNumberForma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17" fillId="0" borderId="52" applyNumberFormat="0" applyFill="0" applyAlignment="0" applyProtection="0"/>
    <xf numFmtId="0" fontId="118" fillId="0" borderId="53" applyNumberFormat="0" applyFill="0" applyAlignment="0" applyProtection="0"/>
    <xf numFmtId="0" fontId="119" fillId="0" borderId="54" applyNumberFormat="0" applyFill="0" applyAlignment="0" applyProtection="0"/>
    <xf numFmtId="0" fontId="119" fillId="0" borderId="0" applyNumberFormat="0" applyFill="0" applyBorder="0" applyAlignment="0" applyProtection="0"/>
    <xf numFmtId="0" fontId="120" fillId="6" borderId="0" applyNumberFormat="0" applyBorder="0" applyAlignment="0" applyProtection="0"/>
    <xf numFmtId="0" fontId="121" fillId="7" borderId="0" applyNumberFormat="0" applyBorder="0" applyAlignment="0" applyProtection="0"/>
    <xf numFmtId="0" fontId="122" fillId="8" borderId="0" applyNumberFormat="0" applyBorder="0" applyAlignment="0" applyProtection="0"/>
    <xf numFmtId="0" fontId="123" fillId="9" borderId="55" applyNumberFormat="0" applyAlignment="0" applyProtection="0"/>
    <xf numFmtId="0" fontId="124" fillId="10" borderId="56" applyNumberFormat="0" applyAlignment="0" applyProtection="0"/>
    <xf numFmtId="0" fontId="125" fillId="10" borderId="55" applyNumberFormat="0" applyAlignment="0" applyProtection="0"/>
    <xf numFmtId="0" fontId="126" fillId="0" borderId="57" applyNumberFormat="0" applyFill="0" applyAlignment="0" applyProtection="0"/>
    <xf numFmtId="0" fontId="127" fillId="11" borderId="58" applyNumberFormat="0" applyAlignment="0" applyProtection="0"/>
    <xf numFmtId="0" fontId="95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60" applyNumberFormat="0" applyFill="0" applyAlignment="0" applyProtection="0"/>
    <xf numFmtId="0" fontId="116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6" fillId="16" borderId="0" applyNumberFormat="0" applyBorder="0" applyAlignment="0" applyProtection="0"/>
    <xf numFmtId="0" fontId="116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6" fillId="20" borderId="0" applyNumberFormat="0" applyBorder="0" applyAlignment="0" applyProtection="0"/>
    <xf numFmtId="0" fontId="116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6" fillId="24" borderId="0" applyNumberFormat="0" applyBorder="0" applyAlignment="0" applyProtection="0"/>
    <xf numFmtId="0" fontId="116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6" fillId="28" borderId="0" applyNumberFormat="0" applyBorder="0" applyAlignment="0" applyProtection="0"/>
    <xf numFmtId="0" fontId="116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6" fillId="32" borderId="0" applyNumberFormat="0" applyBorder="0" applyAlignment="0" applyProtection="0"/>
    <xf numFmtId="0" fontId="116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16" fillId="36" borderId="0" applyNumberFormat="0" applyBorder="0" applyAlignment="0" applyProtection="0"/>
    <xf numFmtId="0" fontId="11" fillId="0" borderId="0"/>
    <xf numFmtId="0" fontId="11" fillId="12" borderId="59" applyNumberFormat="0" applyFont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12" borderId="59" applyNumberFormat="0" applyFont="0" applyAlignment="0" applyProtection="0"/>
    <xf numFmtId="37" fontId="1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0" fontId="8" fillId="12" borderId="59" applyNumberFormat="0" applyFont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12" borderId="59" applyNumberFormat="0" applyFont="0" applyAlignment="0" applyProtection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7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59" applyNumberFormat="0" applyFont="0" applyAlignment="0" applyProtection="0"/>
    <xf numFmtId="0" fontId="7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134" fillId="14" borderId="0" applyNumberFormat="0" applyBorder="0" applyAlignment="0" applyProtection="0"/>
    <xf numFmtId="0" fontId="76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134" fillId="14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134" fillId="18" borderId="0" applyNumberFormat="0" applyBorder="0" applyAlignment="0" applyProtection="0"/>
    <xf numFmtId="0" fontId="76" fillId="18" borderId="0" applyNumberFormat="0" applyBorder="0" applyAlignment="0" applyProtection="0"/>
    <xf numFmtId="0" fontId="134" fillId="18" borderId="0" applyNumberFormat="0" applyBorder="0" applyAlignment="0" applyProtection="0"/>
    <xf numFmtId="0" fontId="134" fillId="18" borderId="0" applyNumberFormat="0" applyBorder="0" applyAlignment="0" applyProtection="0"/>
    <xf numFmtId="0" fontId="134" fillId="18" borderId="0" applyNumberFormat="0" applyBorder="0" applyAlignment="0" applyProtection="0"/>
    <xf numFmtId="0" fontId="134" fillId="18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134" fillId="22" borderId="0" applyNumberFormat="0" applyBorder="0" applyAlignment="0" applyProtection="0"/>
    <xf numFmtId="0" fontId="76" fillId="22" borderId="0" applyNumberFormat="0" applyBorder="0" applyAlignment="0" applyProtection="0"/>
    <xf numFmtId="0" fontId="134" fillId="22" borderId="0" applyNumberFormat="0" applyBorder="0" applyAlignment="0" applyProtection="0"/>
    <xf numFmtId="0" fontId="134" fillId="22" borderId="0" applyNumberFormat="0" applyBorder="0" applyAlignment="0" applyProtection="0"/>
    <xf numFmtId="0" fontId="134" fillId="22" borderId="0" applyNumberFormat="0" applyBorder="0" applyAlignment="0" applyProtection="0"/>
    <xf numFmtId="0" fontId="134" fillId="22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134" fillId="26" borderId="0" applyNumberFormat="0" applyBorder="0" applyAlignment="0" applyProtection="0"/>
    <xf numFmtId="0" fontId="76" fillId="26" borderId="0" applyNumberFormat="0" applyBorder="0" applyAlignment="0" applyProtection="0"/>
    <xf numFmtId="0" fontId="134" fillId="26" borderId="0" applyNumberFormat="0" applyBorder="0" applyAlignment="0" applyProtection="0"/>
    <xf numFmtId="0" fontId="134" fillId="26" borderId="0" applyNumberFormat="0" applyBorder="0" applyAlignment="0" applyProtection="0"/>
    <xf numFmtId="0" fontId="134" fillId="26" borderId="0" applyNumberFormat="0" applyBorder="0" applyAlignment="0" applyProtection="0"/>
    <xf numFmtId="0" fontId="134" fillId="26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134" fillId="30" borderId="0" applyNumberFormat="0" applyBorder="0" applyAlignment="0" applyProtection="0"/>
    <xf numFmtId="0" fontId="76" fillId="30" borderId="0" applyNumberFormat="0" applyBorder="0" applyAlignment="0" applyProtection="0"/>
    <xf numFmtId="0" fontId="134" fillId="30" borderId="0" applyNumberFormat="0" applyBorder="0" applyAlignment="0" applyProtection="0"/>
    <xf numFmtId="0" fontId="134" fillId="30" borderId="0" applyNumberFormat="0" applyBorder="0" applyAlignment="0" applyProtection="0"/>
    <xf numFmtId="0" fontId="134" fillId="30" borderId="0" applyNumberFormat="0" applyBorder="0" applyAlignment="0" applyProtection="0"/>
    <xf numFmtId="0" fontId="134" fillId="30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134" fillId="34" borderId="0" applyNumberFormat="0" applyBorder="0" applyAlignment="0" applyProtection="0"/>
    <xf numFmtId="0" fontId="76" fillId="34" borderId="0" applyNumberFormat="0" applyBorder="0" applyAlignment="0" applyProtection="0"/>
    <xf numFmtId="0" fontId="134" fillId="34" borderId="0" applyNumberFormat="0" applyBorder="0" applyAlignment="0" applyProtection="0"/>
    <xf numFmtId="0" fontId="134" fillId="34" borderId="0" applyNumberFormat="0" applyBorder="0" applyAlignment="0" applyProtection="0"/>
    <xf numFmtId="0" fontId="134" fillId="34" borderId="0" applyNumberFormat="0" applyBorder="0" applyAlignment="0" applyProtection="0"/>
    <xf numFmtId="0" fontId="134" fillId="34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134" fillId="15" borderId="0" applyNumberFormat="0" applyBorder="0" applyAlignment="0" applyProtection="0"/>
    <xf numFmtId="0" fontId="76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134" fillId="19" borderId="0" applyNumberFormat="0" applyBorder="0" applyAlignment="0" applyProtection="0"/>
    <xf numFmtId="0" fontId="76" fillId="19" borderId="0" applyNumberFormat="0" applyBorder="0" applyAlignment="0" applyProtection="0"/>
    <xf numFmtId="0" fontId="134" fillId="19" borderId="0" applyNumberFormat="0" applyBorder="0" applyAlignment="0" applyProtection="0"/>
    <xf numFmtId="0" fontId="134" fillId="19" borderId="0" applyNumberFormat="0" applyBorder="0" applyAlignment="0" applyProtection="0"/>
    <xf numFmtId="0" fontId="134" fillId="19" borderId="0" applyNumberFormat="0" applyBorder="0" applyAlignment="0" applyProtection="0"/>
    <xf numFmtId="0" fontId="134" fillId="19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134" fillId="23" borderId="0" applyNumberFormat="0" applyBorder="0" applyAlignment="0" applyProtection="0"/>
    <xf numFmtId="0" fontId="76" fillId="23" borderId="0" applyNumberFormat="0" applyBorder="0" applyAlignment="0" applyProtection="0"/>
    <xf numFmtId="0" fontId="134" fillId="23" borderId="0" applyNumberFormat="0" applyBorder="0" applyAlignment="0" applyProtection="0"/>
    <xf numFmtId="0" fontId="134" fillId="23" borderId="0" applyNumberFormat="0" applyBorder="0" applyAlignment="0" applyProtection="0"/>
    <xf numFmtId="0" fontId="134" fillId="23" borderId="0" applyNumberFormat="0" applyBorder="0" applyAlignment="0" applyProtection="0"/>
    <xf numFmtId="0" fontId="134" fillId="23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134" fillId="27" borderId="0" applyNumberFormat="0" applyBorder="0" applyAlignment="0" applyProtection="0"/>
    <xf numFmtId="0" fontId="76" fillId="27" borderId="0" applyNumberFormat="0" applyBorder="0" applyAlignment="0" applyProtection="0"/>
    <xf numFmtId="0" fontId="134" fillId="27" borderId="0" applyNumberFormat="0" applyBorder="0" applyAlignment="0" applyProtection="0"/>
    <xf numFmtId="0" fontId="134" fillId="27" borderId="0" applyNumberFormat="0" applyBorder="0" applyAlignment="0" applyProtection="0"/>
    <xf numFmtId="0" fontId="134" fillId="27" borderId="0" applyNumberFormat="0" applyBorder="0" applyAlignment="0" applyProtection="0"/>
    <xf numFmtId="0" fontId="134" fillId="27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134" fillId="31" borderId="0" applyNumberFormat="0" applyBorder="0" applyAlignment="0" applyProtection="0"/>
    <xf numFmtId="0" fontId="76" fillId="31" borderId="0" applyNumberFormat="0" applyBorder="0" applyAlignment="0" applyProtection="0"/>
    <xf numFmtId="0" fontId="134" fillId="31" borderId="0" applyNumberFormat="0" applyBorder="0" applyAlignment="0" applyProtection="0"/>
    <xf numFmtId="0" fontId="134" fillId="31" borderId="0" applyNumberFormat="0" applyBorder="0" applyAlignment="0" applyProtection="0"/>
    <xf numFmtId="0" fontId="134" fillId="31" borderId="0" applyNumberFormat="0" applyBorder="0" applyAlignment="0" applyProtection="0"/>
    <xf numFmtId="0" fontId="134" fillId="31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134" fillId="35" borderId="0" applyNumberFormat="0" applyBorder="0" applyAlignment="0" applyProtection="0"/>
    <xf numFmtId="0" fontId="76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0" fontId="134" fillId="35" borderId="0" applyNumberFormat="0" applyBorder="0" applyAlignment="0" applyProtection="0"/>
    <xf numFmtId="2" fontId="18" fillId="0" borderId="81" applyNumberFormat="0" applyFont="0" applyFill="0" applyAlignment="0"/>
    <xf numFmtId="0" fontId="135" fillId="0" borderId="81"/>
    <xf numFmtId="208" fontId="18" fillId="5" borderId="82">
      <alignment horizontal="center" vertical="center"/>
    </xf>
    <xf numFmtId="166" fontId="136" fillId="39" borderId="83" applyNumberFormat="0"/>
    <xf numFmtId="37" fontId="136" fillId="0" borderId="84">
      <protection locked="0"/>
    </xf>
    <xf numFmtId="0" fontId="137" fillId="40" borderId="85" applyNumberFormat="0" applyFont="0" applyFill="0" applyAlignment="0"/>
    <xf numFmtId="0" fontId="24" fillId="0" borderId="86"/>
    <xf numFmtId="0" fontId="48" fillId="0" borderId="0" applyNumberFormat="0" applyFill="0" applyBorder="0" applyAlignment="0" applyProtection="0"/>
    <xf numFmtId="0" fontId="43" fillId="0" borderId="0" applyBorder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40" fillId="0" borderId="0" applyFont="0" applyFill="0" applyBorder="0" applyAlignment="0" applyProtection="0"/>
    <xf numFmtId="37" fontId="136" fillId="41" borderId="64"/>
    <xf numFmtId="209" fontId="140" fillId="0" borderId="0" applyFont="0" applyFill="0" applyBorder="0" applyAlignment="0" applyProtection="0"/>
    <xf numFmtId="43" fontId="18" fillId="0" borderId="0" applyBorder="0"/>
    <xf numFmtId="0" fontId="140" fillId="0" borderId="0" applyFont="0" applyFill="0" applyBorder="0" applyAlignment="0" applyProtection="0"/>
    <xf numFmtId="210" fontId="18" fillId="0" borderId="0" applyFont="0" applyFill="0" applyBorder="0" applyAlignment="0" applyProtection="0"/>
    <xf numFmtId="211" fontId="18" fillId="0" borderId="0" applyFont="0" applyFill="0" applyBorder="0" applyAlignment="0" applyProtection="0"/>
    <xf numFmtId="0" fontId="33" fillId="38" borderId="0">
      <alignment horizontal="left"/>
    </xf>
    <xf numFmtId="37" fontId="136" fillId="0" borderId="0"/>
    <xf numFmtId="206" fontId="18" fillId="0" borderId="0"/>
    <xf numFmtId="206" fontId="18" fillId="0" borderId="0"/>
    <xf numFmtId="3" fontId="24" fillId="38" borderId="87">
      <protection locked="0"/>
    </xf>
    <xf numFmtId="2" fontId="140" fillId="0" borderId="0" applyFont="0" applyFill="0" applyBorder="0" applyAlignment="0" applyProtection="0"/>
    <xf numFmtId="0" fontId="141" fillId="42" borderId="86"/>
    <xf numFmtId="38" fontId="43" fillId="38" borderId="0" applyNumberFormat="0" applyBorder="0" applyAlignment="0" applyProtection="0"/>
    <xf numFmtId="0" fontId="142" fillId="0" borderId="0" applyNumberFormat="0" applyFill="0" applyBorder="0" applyAlignment="0" applyProtection="0"/>
    <xf numFmtId="0" fontId="39" fillId="0" borderId="32" applyNumberFormat="0" applyAlignment="0" applyProtection="0">
      <alignment horizontal="left" vertical="center"/>
    </xf>
    <xf numFmtId="0" fontId="39" fillId="0" borderId="81">
      <alignment horizontal="left" vertical="center"/>
    </xf>
    <xf numFmtId="212" fontId="18" fillId="0" borderId="0">
      <protection locked="0"/>
    </xf>
    <xf numFmtId="212" fontId="18" fillId="0" borderId="0">
      <protection locked="0"/>
    </xf>
    <xf numFmtId="0" fontId="24" fillId="43" borderId="84"/>
    <xf numFmtId="0" fontId="24" fillId="44" borderId="86"/>
    <xf numFmtId="0" fontId="24" fillId="42" borderId="86"/>
    <xf numFmtId="0" fontId="38" fillId="2" borderId="0"/>
    <xf numFmtId="213" fontId="143" fillId="45" borderId="88" applyAlignment="0"/>
    <xf numFmtId="10" fontId="43" fillId="46" borderId="68" applyNumberFormat="0" applyBorder="0" applyAlignment="0" applyProtection="0"/>
    <xf numFmtId="0" fontId="144" fillId="9" borderId="55" applyNumberFormat="0" applyAlignment="0" applyProtection="0"/>
    <xf numFmtId="0" fontId="144" fillId="9" borderId="55" applyNumberFormat="0" applyAlignment="0" applyProtection="0"/>
    <xf numFmtId="0" fontId="144" fillId="9" borderId="55" applyNumberFormat="0" applyAlignment="0" applyProtection="0"/>
    <xf numFmtId="0" fontId="144" fillId="9" borderId="55" applyNumberFormat="0" applyAlignment="0" applyProtection="0"/>
    <xf numFmtId="10" fontId="145" fillId="0" borderId="89" applyFont="0" applyAlignment="0">
      <protection locked="0"/>
    </xf>
    <xf numFmtId="38" fontId="146" fillId="45" borderId="90" applyNumberFormat="0" applyFont="0" applyBorder="0" applyAlignment="0" applyProtection="0"/>
    <xf numFmtId="0" fontId="43" fillId="38" borderId="0"/>
    <xf numFmtId="167" fontId="147" fillId="38" borderId="84" applyNumberFormat="0"/>
    <xf numFmtId="0" fontId="148" fillId="5" borderId="91"/>
    <xf numFmtId="0" fontId="146" fillId="0" borderId="86"/>
    <xf numFmtId="0" fontId="24" fillId="45" borderId="88"/>
    <xf numFmtId="37" fontId="149" fillId="0" borderId="92"/>
    <xf numFmtId="38" fontId="150" fillId="0" borderId="0"/>
    <xf numFmtId="37" fontId="151" fillId="0" borderId="0"/>
    <xf numFmtId="178" fontId="15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76" fillId="0" borderId="0"/>
    <xf numFmtId="0" fontId="76" fillId="0" borderId="0"/>
    <xf numFmtId="0" fontId="18" fillId="0" borderId="0"/>
    <xf numFmtId="0" fontId="7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76" fillId="0" borderId="0"/>
    <xf numFmtId="0" fontId="18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76" fillId="0" borderId="0"/>
    <xf numFmtId="0" fontId="76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76" fillId="0" borderId="0"/>
    <xf numFmtId="0" fontId="76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76" fillId="0" borderId="0"/>
    <xf numFmtId="0" fontId="7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0" fillId="0" borderId="0"/>
    <xf numFmtId="0" fontId="140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40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96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134" fillId="0" borderId="0"/>
    <xf numFmtId="0" fontId="18" fillId="0" borderId="0"/>
    <xf numFmtId="0" fontId="134" fillId="0" borderId="0"/>
    <xf numFmtId="0" fontId="18" fillId="0" borderId="0"/>
    <xf numFmtId="0" fontId="134" fillId="0" borderId="0"/>
    <xf numFmtId="0" fontId="18" fillId="0" borderId="0"/>
    <xf numFmtId="0" fontId="134" fillId="0" borderId="0"/>
    <xf numFmtId="0" fontId="76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76" fillId="0" borderId="0"/>
    <xf numFmtId="0" fontId="18" fillId="0" borderId="0"/>
    <xf numFmtId="0" fontId="76" fillId="0" borderId="0"/>
    <xf numFmtId="0" fontId="18" fillId="0" borderId="0"/>
    <xf numFmtId="0" fontId="18" fillId="0" borderId="0"/>
    <xf numFmtId="0" fontId="18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76" fillId="0" borderId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134" fillId="12" borderId="59" applyNumberFormat="0" applyFont="0" applyAlignment="0" applyProtection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134" fillId="12" borderId="59" applyNumberFormat="0" applyFont="0" applyAlignment="0" applyProtection="0"/>
    <xf numFmtId="0" fontId="76" fillId="12" borderId="59" applyNumberFormat="0" applyFont="0" applyAlignment="0" applyProtection="0"/>
    <xf numFmtId="0" fontId="134" fillId="12" borderId="59" applyNumberFormat="0" applyFont="0" applyAlignment="0" applyProtection="0"/>
    <xf numFmtId="0" fontId="134" fillId="12" borderId="59" applyNumberFormat="0" applyFont="0" applyAlignment="0" applyProtection="0"/>
    <xf numFmtId="0" fontId="134" fillId="12" borderId="59" applyNumberFormat="0" applyFont="0" applyAlignment="0" applyProtection="0"/>
    <xf numFmtId="0" fontId="153" fillId="0" borderId="0" applyBorder="0">
      <alignment horizontal="centerContinuous"/>
    </xf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54" fillId="46" borderId="0" applyNumberFormat="0" applyBorder="0" applyAlignment="0" applyProtection="0"/>
    <xf numFmtId="15" fontId="25" fillId="0" borderId="0" applyFont="0" applyFill="0" applyBorder="0" applyAlignment="0" applyProtection="0"/>
    <xf numFmtId="214" fontId="155" fillId="0" borderId="40"/>
    <xf numFmtId="3" fontId="25" fillId="0" borderId="0" applyFont="0" applyFill="0" applyBorder="0" applyAlignment="0" applyProtection="0"/>
    <xf numFmtId="0" fontId="25" fillId="47" borderId="0" applyNumberFormat="0" applyFont="0" applyBorder="0" applyAlignment="0" applyProtection="0"/>
    <xf numFmtId="3" fontId="156" fillId="0" borderId="0" applyNumberFormat="0"/>
    <xf numFmtId="3" fontId="157" fillId="0" borderId="0" applyNumberFormat="0" applyFill="0" applyBorder="0" applyAlignment="0"/>
    <xf numFmtId="0" fontId="141" fillId="0" borderId="0"/>
    <xf numFmtId="0" fontId="158" fillId="0" borderId="0" applyNumberFormat="0" applyFill="0" applyBorder="0" applyAlignment="0" applyProtection="0"/>
    <xf numFmtId="37" fontId="159" fillId="0" borderId="0"/>
    <xf numFmtId="37" fontId="159" fillId="48" borderId="84"/>
    <xf numFmtId="0" fontId="160" fillId="38" borderId="84">
      <alignment horizontal="center"/>
    </xf>
    <xf numFmtId="0" fontId="161" fillId="0" borderId="0"/>
    <xf numFmtId="9" fontId="18" fillId="0" borderId="0" applyFont="0" applyFill="0" applyBorder="0" applyAlignment="0" applyProtection="0"/>
    <xf numFmtId="0" fontId="141" fillId="0" borderId="0"/>
    <xf numFmtId="37" fontId="162" fillId="0" borderId="0" applyNumberFormat="0"/>
    <xf numFmtId="181" fontId="163" fillId="0" borderId="0"/>
    <xf numFmtId="37" fontId="43" fillId="37" borderId="0" applyNumberFormat="0" applyBorder="0" applyAlignment="0" applyProtection="0"/>
    <xf numFmtId="37" fontId="43" fillId="0" borderId="0"/>
    <xf numFmtId="3" fontId="164" fillId="0" borderId="93" applyProtection="0"/>
    <xf numFmtId="0" fontId="24" fillId="49" borderId="86"/>
    <xf numFmtId="215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216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0" fontId="165" fillId="0" borderId="0" applyNumberFormat="0" applyFill="0" applyBorder="0" applyAlignment="0" applyProtection="0">
      <alignment vertical="top"/>
      <protection locked="0"/>
    </xf>
    <xf numFmtId="0" fontId="76" fillId="0" borderId="0"/>
    <xf numFmtId="0" fontId="76" fillId="0" borderId="0"/>
    <xf numFmtId="0" fontId="18" fillId="0" borderId="0"/>
    <xf numFmtId="2" fontId="18" fillId="0" borderId="139" applyNumberFormat="0" applyFont="0" applyFill="0" applyAlignment="0"/>
    <xf numFmtId="0" fontId="148" fillId="5" borderId="142"/>
    <xf numFmtId="10" fontId="43" fillId="46" borderId="126" applyNumberFormat="0" applyBorder="0" applyAlignment="0" applyProtection="0"/>
    <xf numFmtId="10" fontId="43" fillId="46" borderId="132" applyNumberFormat="0" applyBorder="0" applyAlignment="0" applyProtection="0"/>
    <xf numFmtId="0" fontId="148" fillId="5" borderId="148"/>
    <xf numFmtId="37" fontId="136" fillId="41" borderId="125"/>
    <xf numFmtId="0" fontId="24" fillId="0" borderId="140"/>
    <xf numFmtId="0" fontId="146" fillId="0" borderId="152"/>
    <xf numFmtId="37" fontId="136" fillId="41" borderId="131"/>
    <xf numFmtId="10" fontId="145" fillId="0" borderId="129" applyFont="0" applyAlignment="0">
      <protection locked="0"/>
    </xf>
    <xf numFmtId="0" fontId="24" fillId="42" borderId="140"/>
    <xf numFmtId="0" fontId="39" fillId="0" borderId="139">
      <alignment horizontal="left" vertical="center"/>
    </xf>
    <xf numFmtId="37" fontId="136" fillId="41" borderId="143"/>
    <xf numFmtId="10" fontId="145" fillId="0" borderId="141" applyFont="0" applyAlignment="0">
      <protection locked="0"/>
    </xf>
    <xf numFmtId="0" fontId="39" fillId="0" borderId="151">
      <alignment horizontal="left" vertical="center"/>
    </xf>
    <xf numFmtId="10" fontId="43" fillId="46" borderId="15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0" fontId="145" fillId="0" borderId="147" applyFont="0" applyAlignment="0">
      <protection locked="0"/>
    </xf>
    <xf numFmtId="0" fontId="148" fillId="5" borderId="154"/>
    <xf numFmtId="0" fontId="39" fillId="0" borderId="145">
      <alignment horizontal="left" vertical="center"/>
    </xf>
    <xf numFmtId="0" fontId="24" fillId="42" borderId="146"/>
    <xf numFmtId="0" fontId="24" fillId="44" borderId="146"/>
    <xf numFmtId="0" fontId="39" fillId="0" borderId="133">
      <alignment horizontal="left" vertical="center"/>
    </xf>
    <xf numFmtId="0" fontId="146" fillId="0" borderId="140"/>
    <xf numFmtId="0" fontId="24" fillId="42" borderId="134"/>
    <xf numFmtId="0" fontId="141" fillId="42" borderId="134"/>
    <xf numFmtId="0" fontId="148" fillId="5" borderId="136"/>
    <xf numFmtId="0" fontId="24" fillId="0" borderId="152"/>
    <xf numFmtId="0" fontId="135" fillId="0" borderId="145"/>
    <xf numFmtId="2" fontId="18" fillId="0" borderId="151" applyNumberFormat="0" applyFont="0" applyFill="0" applyAlignment="0"/>
    <xf numFmtId="2" fontId="18" fillId="0" borderId="121" applyNumberFormat="0" applyFont="0" applyFill="0" applyAlignment="0"/>
    <xf numFmtId="0" fontId="135" fillId="0" borderId="121"/>
    <xf numFmtId="0" fontId="24" fillId="0" borderId="122"/>
    <xf numFmtId="37" fontId="136" fillId="41" borderId="119"/>
    <xf numFmtId="0" fontId="141" fillId="42" borderId="122"/>
    <xf numFmtId="0" fontId="39" fillId="0" borderId="121">
      <alignment horizontal="left" vertical="center"/>
    </xf>
    <xf numFmtId="0" fontId="24" fillId="44" borderId="122"/>
    <xf numFmtId="0" fontId="24" fillId="42" borderId="122"/>
    <xf numFmtId="10" fontId="43" fillId="46" borderId="120" applyNumberFormat="0" applyBorder="0" applyAlignment="0" applyProtection="0"/>
    <xf numFmtId="10" fontId="145" fillId="0" borderId="123" applyFont="0" applyAlignment="0">
      <protection locked="0"/>
    </xf>
    <xf numFmtId="0" fontId="148" fillId="5" borderId="124"/>
    <xf numFmtId="0" fontId="146" fillId="0" borderId="122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0" fontId="5" fillId="12" borderId="59" applyNumberFormat="0" applyFont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12" borderId="5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0" fontId="5" fillId="12" borderId="59" applyNumberFormat="0" applyFont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12" borderId="59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59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0" borderId="134"/>
    <xf numFmtId="0" fontId="24" fillId="44" borderId="128"/>
    <xf numFmtId="10" fontId="43" fillId="46" borderId="138" applyNumberFormat="0" applyBorder="0" applyAlignment="0" applyProtection="0"/>
    <xf numFmtId="2" fontId="18" fillId="0" borderId="109" applyNumberFormat="0" applyFont="0" applyFill="0" applyAlignment="0"/>
    <xf numFmtId="0" fontId="135" fillId="0" borderId="109"/>
    <xf numFmtId="0" fontId="24" fillId="0" borderId="110"/>
    <xf numFmtId="0" fontId="24" fillId="42" borderId="152"/>
    <xf numFmtId="37" fontId="136" fillId="41" borderId="105"/>
    <xf numFmtId="0" fontId="141" fillId="42" borderId="110"/>
    <xf numFmtId="0" fontId="39" fillId="0" borderId="109">
      <alignment horizontal="left" vertical="center"/>
    </xf>
    <xf numFmtId="0" fontId="24" fillId="44" borderId="110"/>
    <xf numFmtId="0" fontId="24" fillId="42" borderId="110"/>
    <xf numFmtId="10" fontId="43" fillId="46" borderId="108" applyNumberFormat="0" applyBorder="0" applyAlignment="0" applyProtection="0"/>
    <xf numFmtId="10" fontId="145" fillId="0" borderId="111" applyFont="0" applyAlignment="0">
      <protection locked="0"/>
    </xf>
    <xf numFmtId="0" fontId="148" fillId="5" borderId="112"/>
    <xf numFmtId="0" fontId="146" fillId="0" borderId="110"/>
    <xf numFmtId="0" fontId="141" fillId="42" borderId="152"/>
    <xf numFmtId="10" fontId="145" fillId="0" borderId="135" applyFont="0" applyAlignment="0">
      <protection locked="0"/>
    </xf>
    <xf numFmtId="37" fontId="136" fillId="41" borderId="137"/>
    <xf numFmtId="0" fontId="135" fillId="0" borderId="133"/>
    <xf numFmtId="0" fontId="24" fillId="49" borderId="110"/>
    <xf numFmtId="0" fontId="18" fillId="0" borderId="0"/>
    <xf numFmtId="2" fontId="18" fillId="0" borderId="127" applyNumberFormat="0" applyFont="0" applyFill="0" applyAlignment="0"/>
    <xf numFmtId="0" fontId="24" fillId="44" borderId="134"/>
    <xf numFmtId="0" fontId="141" fillId="42" borderId="140"/>
    <xf numFmtId="0" fontId="141" fillId="42" borderId="146"/>
    <xf numFmtId="0" fontId="24" fillId="0" borderId="128"/>
    <xf numFmtId="10" fontId="43" fillId="46" borderId="144" applyNumberFormat="0" applyBorder="0" applyAlignment="0" applyProtection="0"/>
    <xf numFmtId="0" fontId="146" fillId="0" borderId="128"/>
    <xf numFmtId="0" fontId="24" fillId="44" borderId="140"/>
    <xf numFmtId="0" fontId="39" fillId="0" borderId="127">
      <alignment horizontal="left" vertical="center"/>
    </xf>
    <xf numFmtId="0" fontId="24" fillId="0" borderId="146"/>
    <xf numFmtId="0" fontId="146" fillId="0" borderId="134"/>
    <xf numFmtId="0" fontId="24" fillId="42" borderId="128"/>
    <xf numFmtId="37" fontId="136" fillId="41" borderId="149"/>
    <xf numFmtId="0" fontId="141" fillId="42" borderId="128"/>
    <xf numFmtId="0" fontId="148" fillId="5" borderId="130"/>
    <xf numFmtId="0" fontId="135" fillId="0" borderId="127"/>
    <xf numFmtId="0" fontId="24" fillId="44" borderId="152"/>
    <xf numFmtId="2" fontId="18" fillId="0" borderId="133" applyNumberFormat="0" applyFont="0" applyFill="0" applyAlignment="0"/>
    <xf numFmtId="0" fontId="135" fillId="0" borderId="139"/>
    <xf numFmtId="2" fontId="18" fillId="0" borderId="145" applyNumberFormat="0" applyFont="0" applyFill="0" applyAlignment="0"/>
    <xf numFmtId="10" fontId="145" fillId="0" borderId="153" applyFont="0" applyAlignment="0">
      <protection locked="0"/>
    </xf>
    <xf numFmtId="2" fontId="18" fillId="0" borderId="115" applyNumberFormat="0" applyFont="0" applyFill="0" applyAlignment="0"/>
    <xf numFmtId="0" fontId="135" fillId="0" borderId="115"/>
    <xf numFmtId="0" fontId="24" fillId="0" borderId="116"/>
    <xf numFmtId="0" fontId="135" fillId="0" borderId="151"/>
    <xf numFmtId="37" fontId="136" fillId="41" borderId="113"/>
    <xf numFmtId="0" fontId="141" fillId="42" borderId="116"/>
    <xf numFmtId="0" fontId="39" fillId="0" borderId="115">
      <alignment horizontal="left" vertical="center"/>
    </xf>
    <xf numFmtId="0" fontId="24" fillId="44" borderId="116"/>
    <xf numFmtId="0" fontId="24" fillId="42" borderId="116"/>
    <xf numFmtId="10" fontId="43" fillId="46" borderId="114" applyNumberFormat="0" applyBorder="0" applyAlignment="0" applyProtection="0"/>
    <xf numFmtId="10" fontId="145" fillId="0" borderId="117" applyFont="0" applyAlignment="0">
      <protection locked="0"/>
    </xf>
    <xf numFmtId="0" fontId="148" fillId="5" borderId="118"/>
    <xf numFmtId="0" fontId="146" fillId="0" borderId="116"/>
    <xf numFmtId="0" fontId="146" fillId="0" borderId="146"/>
    <xf numFmtId="0" fontId="24" fillId="49" borderId="116"/>
    <xf numFmtId="0" fontId="18" fillId="0" borderId="0"/>
    <xf numFmtId="0" fontId="24" fillId="49" borderId="122"/>
    <xf numFmtId="0" fontId="18" fillId="0" borderId="0"/>
    <xf numFmtId="0" fontId="24" fillId="49" borderId="128"/>
    <xf numFmtId="0" fontId="18" fillId="0" borderId="0"/>
    <xf numFmtId="0" fontId="24" fillId="49" borderId="134"/>
    <xf numFmtId="0" fontId="18" fillId="0" borderId="0"/>
    <xf numFmtId="0" fontId="24" fillId="49" borderId="140"/>
    <xf numFmtId="0" fontId="18" fillId="0" borderId="0"/>
    <xf numFmtId="0" fontId="24" fillId="49" borderId="146"/>
    <xf numFmtId="0" fontId="18" fillId="0" borderId="0"/>
    <xf numFmtId="0" fontId="24" fillId="49" borderId="152"/>
    <xf numFmtId="0" fontId="18" fillId="0" borderId="0"/>
    <xf numFmtId="0" fontId="22" fillId="0" borderId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43" fontId="4" fillId="0" borderId="0" applyFont="0" applyFill="0" applyBorder="0" applyAlignment="0" applyProtection="0"/>
    <xf numFmtId="37" fontId="136" fillId="41" borderId="77"/>
    <xf numFmtId="10" fontId="43" fillId="46" borderId="78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59" applyNumberFormat="0" applyFont="0" applyAlignment="0" applyProtection="0"/>
    <xf numFmtId="0" fontId="4" fillId="12" borderId="59" applyNumberFormat="0" applyFont="0" applyAlignment="0" applyProtection="0"/>
    <xf numFmtId="0" fontId="4" fillId="12" borderId="59" applyNumberFormat="0" applyFont="0" applyAlignment="0" applyProtection="0"/>
    <xf numFmtId="0" fontId="4" fillId="12" borderId="59" applyNumberFormat="0" applyFont="0" applyAlignment="0" applyProtection="0"/>
    <xf numFmtId="0" fontId="4" fillId="12" borderId="5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9" borderId="55" applyNumberFormat="0" applyAlignment="0" applyProtection="0"/>
    <xf numFmtId="0" fontId="132" fillId="0" borderId="0"/>
    <xf numFmtId="44" fontId="18" fillId="0" borderId="0" applyFont="0" applyFill="0" applyBorder="0" applyAlignment="0" applyProtection="0"/>
    <xf numFmtId="0" fontId="18" fillId="0" borderId="0"/>
    <xf numFmtId="0" fontId="76" fillId="0" borderId="0"/>
    <xf numFmtId="0" fontId="18" fillId="0" borderId="0"/>
    <xf numFmtId="0" fontId="132" fillId="0" borderId="0"/>
    <xf numFmtId="181" fontId="24" fillId="0" borderId="0"/>
    <xf numFmtId="44" fontId="76" fillId="0" borderId="0" applyFont="0" applyFill="0" applyBorder="0" applyAlignment="0" applyProtection="0"/>
    <xf numFmtId="0" fontId="76" fillId="0" borderId="0"/>
    <xf numFmtId="0" fontId="76" fillId="0" borderId="0"/>
    <xf numFmtId="43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76" fillId="0" borderId="0"/>
    <xf numFmtId="0" fontId="18" fillId="0" borderId="0"/>
    <xf numFmtId="0" fontId="18" fillId="0" borderId="0"/>
    <xf numFmtId="43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0" fontId="76" fillId="0" borderId="0"/>
    <xf numFmtId="0" fontId="76" fillId="0" borderId="0"/>
    <xf numFmtId="3" fontId="18" fillId="0" borderId="0" applyFont="0" applyFill="0" applyBorder="0" applyAlignment="0" applyProtection="0"/>
    <xf numFmtId="0" fontId="76" fillId="12" borderId="59" applyNumberFormat="0" applyFont="0" applyAlignment="0" applyProtection="0"/>
    <xf numFmtId="0" fontId="18" fillId="0" borderId="0" applyFont="0" applyFill="0" applyBorder="0" applyAlignment="0" applyProtection="0"/>
    <xf numFmtId="44" fontId="76" fillId="0" borderId="0" applyFont="0" applyFill="0" applyBorder="0" applyAlignment="0" applyProtection="0"/>
    <xf numFmtId="0" fontId="76" fillId="0" borderId="0"/>
    <xf numFmtId="0" fontId="18" fillId="0" borderId="0"/>
    <xf numFmtId="0" fontId="76" fillId="0" borderId="0"/>
    <xf numFmtId="9" fontId="76" fillId="0" borderId="0" applyFont="0" applyFill="0" applyBorder="0" applyAlignment="0" applyProtection="0"/>
    <xf numFmtId="43" fontId="139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47" fillId="0" borderId="0">
      <alignment vertical="top"/>
    </xf>
    <xf numFmtId="43" fontId="47" fillId="0" borderId="0" applyFont="0" applyFill="0" applyBorder="0" applyAlignment="0" applyProtection="0">
      <alignment vertical="top"/>
    </xf>
    <xf numFmtId="0" fontId="18" fillId="0" borderId="15">
      <alignment horizontal="center" wrapText="1"/>
    </xf>
    <xf numFmtId="43" fontId="44" fillId="0" borderId="0"/>
    <xf numFmtId="0" fontId="44" fillId="0" borderId="0"/>
    <xf numFmtId="43" fontId="18" fillId="0" borderId="16"/>
    <xf numFmtId="43" fontId="18" fillId="0" borderId="0"/>
    <xf numFmtId="0" fontId="18" fillId="0" borderId="0"/>
    <xf numFmtId="0" fontId="39" fillId="0" borderId="0"/>
    <xf numFmtId="0" fontId="167" fillId="0" borderId="0"/>
    <xf numFmtId="37" fontId="168" fillId="0" borderId="0"/>
    <xf numFmtId="172" fontId="168" fillId="0" borderId="0"/>
    <xf numFmtId="39" fontId="168" fillId="0" borderId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169" fillId="50" borderId="0" applyNumberFormat="0" applyBorder="0" applyAlignment="0" applyProtection="0"/>
    <xf numFmtId="0" fontId="169" fillId="50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169" fillId="51" borderId="0" applyNumberFormat="0" applyBorder="0" applyAlignment="0" applyProtection="0"/>
    <xf numFmtId="0" fontId="169" fillId="51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169" fillId="52" borderId="0" applyNumberFormat="0" applyBorder="0" applyAlignment="0" applyProtection="0"/>
    <xf numFmtId="0" fontId="169" fillId="5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169" fillId="53" borderId="0" applyNumberFormat="0" applyBorder="0" applyAlignment="0" applyProtection="0"/>
    <xf numFmtId="0" fontId="169" fillId="53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169" fillId="54" borderId="0" applyNumberFormat="0" applyBorder="0" applyAlignment="0" applyProtection="0"/>
    <xf numFmtId="0" fontId="169" fillId="54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169" fillId="55" borderId="0" applyNumberFormat="0" applyBorder="0" applyAlignment="0" applyProtection="0"/>
    <xf numFmtId="0" fontId="169" fillId="55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34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169" fillId="56" borderId="0" applyNumberFormat="0" applyBorder="0" applyAlignment="0" applyProtection="0"/>
    <xf numFmtId="0" fontId="169" fillId="56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169" fillId="57" borderId="0" applyNumberFormat="0" applyBorder="0" applyAlignment="0" applyProtection="0"/>
    <xf numFmtId="0" fontId="169" fillId="57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169" fillId="58" borderId="0" applyNumberFormat="0" applyBorder="0" applyAlignment="0" applyProtection="0"/>
    <xf numFmtId="0" fontId="169" fillId="58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169" fillId="53" borderId="0" applyNumberFormat="0" applyBorder="0" applyAlignment="0" applyProtection="0"/>
    <xf numFmtId="0" fontId="169" fillId="53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169" fillId="56" borderId="0" applyNumberFormat="0" applyBorder="0" applyAlignment="0" applyProtection="0"/>
    <xf numFmtId="0" fontId="169" fillId="56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169" fillId="59" borderId="0" applyNumberFormat="0" applyBorder="0" applyAlignment="0" applyProtection="0"/>
    <xf numFmtId="0" fontId="169" fillId="59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170" fillId="60" borderId="0" applyNumberFormat="0" applyBorder="0" applyAlignment="0" applyProtection="0"/>
    <xf numFmtId="0" fontId="170" fillId="60" borderId="0" applyNumberFormat="0" applyBorder="0" applyAlignment="0" applyProtection="0"/>
    <xf numFmtId="0" fontId="170" fillId="57" borderId="0" applyNumberFormat="0" applyBorder="0" applyAlignment="0" applyProtection="0"/>
    <xf numFmtId="0" fontId="170" fillId="57" borderId="0" applyNumberFormat="0" applyBorder="0" applyAlignment="0" applyProtection="0"/>
    <xf numFmtId="0" fontId="170" fillId="58" borderId="0" applyNumberFormat="0" applyBorder="0" applyAlignment="0" applyProtection="0"/>
    <xf numFmtId="0" fontId="170" fillId="58" borderId="0" applyNumberFormat="0" applyBorder="0" applyAlignment="0" applyProtection="0"/>
    <xf numFmtId="0" fontId="170" fillId="61" borderId="0" applyNumberFormat="0" applyBorder="0" applyAlignment="0" applyProtection="0"/>
    <xf numFmtId="0" fontId="170" fillId="61" borderId="0" applyNumberFormat="0" applyBorder="0" applyAlignment="0" applyProtection="0"/>
    <xf numFmtId="0" fontId="170" fillId="62" borderId="0" applyNumberFormat="0" applyBorder="0" applyAlignment="0" applyProtection="0"/>
    <xf numFmtId="0" fontId="170" fillId="62" borderId="0" applyNumberFormat="0" applyBorder="0" applyAlignment="0" applyProtection="0"/>
    <xf numFmtId="0" fontId="170" fillId="63" borderId="0" applyNumberFormat="0" applyBorder="0" applyAlignment="0" applyProtection="0"/>
    <xf numFmtId="0" fontId="170" fillId="63" borderId="0" applyNumberFormat="0" applyBorder="0" applyAlignment="0" applyProtection="0"/>
    <xf numFmtId="0" fontId="170" fillId="64" borderId="0" applyNumberFormat="0" applyBorder="0" applyAlignment="0" applyProtection="0"/>
    <xf numFmtId="0" fontId="170" fillId="64" borderId="0" applyNumberFormat="0" applyBorder="0" applyAlignment="0" applyProtection="0"/>
    <xf numFmtId="0" fontId="170" fillId="65" borderId="0" applyNumberFormat="0" applyBorder="0" applyAlignment="0" applyProtection="0"/>
    <xf numFmtId="0" fontId="170" fillId="65" borderId="0" applyNumberFormat="0" applyBorder="0" applyAlignment="0" applyProtection="0"/>
    <xf numFmtId="0" fontId="170" fillId="66" borderId="0" applyNumberFormat="0" applyBorder="0" applyAlignment="0" applyProtection="0"/>
    <xf numFmtId="0" fontId="170" fillId="66" borderId="0" applyNumberFormat="0" applyBorder="0" applyAlignment="0" applyProtection="0"/>
    <xf numFmtId="0" fontId="170" fillId="61" borderId="0" applyNumberFormat="0" applyBorder="0" applyAlignment="0" applyProtection="0"/>
    <xf numFmtId="0" fontId="170" fillId="61" borderId="0" applyNumberFormat="0" applyBorder="0" applyAlignment="0" applyProtection="0"/>
    <xf numFmtId="0" fontId="170" fillId="62" borderId="0" applyNumberFormat="0" applyBorder="0" applyAlignment="0" applyProtection="0"/>
    <xf numFmtId="0" fontId="170" fillId="62" borderId="0" applyNumberFormat="0" applyBorder="0" applyAlignment="0" applyProtection="0"/>
    <xf numFmtId="0" fontId="170" fillId="67" borderId="0" applyNumberFormat="0" applyBorder="0" applyAlignment="0" applyProtection="0"/>
    <xf numFmtId="0" fontId="170" fillId="67" borderId="0" applyNumberFormat="0" applyBorder="0" applyAlignment="0" applyProtection="0"/>
    <xf numFmtId="218" fontId="18" fillId="5" borderId="82">
      <alignment horizontal="center" vertical="center"/>
    </xf>
    <xf numFmtId="219" fontId="171" fillId="0" borderId="0"/>
    <xf numFmtId="0" fontId="172" fillId="51" borderId="0" applyNumberFormat="0" applyBorder="0" applyAlignment="0" applyProtection="0"/>
    <xf numFmtId="0" fontId="172" fillId="51" borderId="0" applyNumberFormat="0" applyBorder="0" applyAlignment="0" applyProtection="0"/>
    <xf numFmtId="0" fontId="173" fillId="41" borderId="157" applyNumberFormat="0" applyAlignment="0" applyProtection="0"/>
    <xf numFmtId="0" fontId="173" fillId="41" borderId="157" applyNumberFormat="0" applyAlignment="0" applyProtection="0"/>
    <xf numFmtId="0" fontId="174" fillId="68" borderId="158" applyNumberFormat="0" applyAlignment="0" applyProtection="0"/>
    <xf numFmtId="0" fontId="174" fillId="68" borderId="158" applyNumberFormat="0" applyAlignment="0" applyProtection="0"/>
    <xf numFmtId="0" fontId="43" fillId="0" borderId="0" applyBorder="0"/>
    <xf numFmtId="0" fontId="43" fillId="0" borderId="0" applyBorder="0"/>
    <xf numFmtId="0" fontId="43" fillId="0" borderId="0" applyBorder="0"/>
    <xf numFmtId="0" fontId="43" fillId="0" borderId="0" applyBorder="0"/>
    <xf numFmtId="165" fontId="138" fillId="0" borderId="0"/>
    <xf numFmtId="165" fontId="138" fillId="0" borderId="0"/>
    <xf numFmtId="165" fontId="138" fillId="0" borderId="0"/>
    <xf numFmtId="165" fontId="138" fillId="0" borderId="0"/>
    <xf numFmtId="165" fontId="138" fillId="0" borderId="0"/>
    <xf numFmtId="165" fontId="138" fillId="0" borderId="0"/>
    <xf numFmtId="165" fontId="138" fillId="0" borderId="0"/>
    <xf numFmtId="165" fontId="138" fillId="0" borderId="0"/>
    <xf numFmtId="40" fontId="18" fillId="0" borderId="0" applyBorder="0" applyProtection="0"/>
    <xf numFmtId="40" fontId="18" fillId="0" borderId="0" applyBorder="0" applyProtection="0"/>
    <xf numFmtId="40" fontId="18" fillId="0" borderId="0" applyBorder="0" applyProtection="0"/>
    <xf numFmtId="40" fontId="18" fillId="0" borderId="0" applyBorder="0" applyProtection="0"/>
    <xf numFmtId="40" fontId="18" fillId="0" borderId="0" applyBorder="0" applyProtection="0"/>
    <xf numFmtId="37" fontId="47" fillId="0" borderId="0"/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18" fillId="0" borderId="0" applyFont="0" applyFill="0" applyBorder="0" applyAlignment="0" applyProtection="0">
      <alignment wrapText="1"/>
    </xf>
    <xf numFmtId="43" fontId="18" fillId="0" borderId="0" applyFont="0" applyFill="0" applyBorder="0" applyAlignment="0" applyProtection="0">
      <alignment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>
      <alignment wrapText="1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1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>
      <alignment wrapText="1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>
      <alignment vertical="top"/>
    </xf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18" fillId="0" borderId="0" applyFont="0" applyFill="0" applyBorder="0" applyAlignment="0" applyProtection="0">
      <alignment wrapText="1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47" fillId="0" borderId="0" applyFont="0" applyFill="0" applyBorder="0" applyAlignment="0" applyProtection="0">
      <alignment vertical="top"/>
    </xf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7" fillId="0" borderId="0" applyFont="0" applyFill="0" applyBorder="0" applyAlignment="0" applyProtection="0">
      <alignment vertical="top"/>
    </xf>
    <xf numFmtId="3" fontId="140" fillId="0" borderId="0" applyFont="0" applyFill="0" applyBorder="0" applyAlignment="0" applyProtection="0"/>
    <xf numFmtId="220" fontId="18" fillId="0" borderId="0"/>
    <xf numFmtId="0" fontId="175" fillId="0" borderId="0">
      <alignment horizontal="left" vertical="center" indent="1"/>
    </xf>
    <xf numFmtId="44" fontId="18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41" fontId="18" fillId="0" borderId="0"/>
    <xf numFmtId="41" fontId="18" fillId="0" borderId="0"/>
    <xf numFmtId="41" fontId="18" fillId="0" borderId="0"/>
    <xf numFmtId="41" fontId="18" fillId="0" borderId="0"/>
    <xf numFmtId="41" fontId="18" fillId="0" borderId="0"/>
    <xf numFmtId="221" fontId="176" fillId="0" borderId="0">
      <protection locked="0"/>
    </xf>
    <xf numFmtId="6" fontId="177" fillId="0" borderId="0">
      <protection locked="0"/>
    </xf>
    <xf numFmtId="205" fontId="178" fillId="0" borderId="0">
      <alignment horizontal="left"/>
    </xf>
    <xf numFmtId="222" fontId="18" fillId="0" borderId="0" applyFont="0" applyFill="0" applyBorder="0" applyAlignment="0" applyProtection="0"/>
    <xf numFmtId="223" fontId="18" fillId="0" borderId="0" applyFon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221" fontId="176" fillId="0" borderId="0">
      <protection locked="0"/>
    </xf>
    <xf numFmtId="224" fontId="18" fillId="0" borderId="0">
      <protection locked="0"/>
    </xf>
    <xf numFmtId="0" fontId="180" fillId="52" borderId="0" applyNumberFormat="0" applyBorder="0" applyAlignment="0" applyProtection="0"/>
    <xf numFmtId="0" fontId="180" fillId="52" borderId="0" applyNumberFormat="0" applyBorder="0" applyAlignment="0" applyProtection="0"/>
    <xf numFmtId="38" fontId="43" fillId="38" borderId="0" applyNumberFormat="0" applyBorder="0" applyAlignment="0" applyProtection="0"/>
    <xf numFmtId="38" fontId="43" fillId="38" borderId="0" applyNumberFormat="0" applyBorder="0" applyAlignment="0" applyProtection="0"/>
    <xf numFmtId="38" fontId="43" fillId="38" borderId="0" applyNumberFormat="0" applyBorder="0" applyAlignment="0" applyProtection="0"/>
    <xf numFmtId="38" fontId="43" fillId="38" borderId="0" applyNumberFormat="0" applyBorder="0" applyAlignment="0" applyProtection="0"/>
    <xf numFmtId="0" fontId="181" fillId="0" borderId="0">
      <alignment horizontal="centerContinuous"/>
    </xf>
    <xf numFmtId="221" fontId="176" fillId="0" borderId="0">
      <protection locked="0"/>
    </xf>
    <xf numFmtId="0" fontId="182" fillId="0" borderId="159" applyNumberFormat="0" applyFill="0" applyAlignment="0" applyProtection="0"/>
    <xf numFmtId="221" fontId="176" fillId="0" borderId="0">
      <protection locked="0"/>
    </xf>
    <xf numFmtId="0" fontId="182" fillId="0" borderId="159" applyNumberFormat="0" applyFill="0" applyAlignment="0" applyProtection="0"/>
    <xf numFmtId="221" fontId="176" fillId="0" borderId="0">
      <protection locked="0"/>
    </xf>
    <xf numFmtId="0" fontId="183" fillId="0" borderId="160" applyNumberFormat="0" applyFill="0" applyAlignment="0" applyProtection="0"/>
    <xf numFmtId="221" fontId="176" fillId="0" borderId="0">
      <protection locked="0"/>
    </xf>
    <xf numFmtId="0" fontId="183" fillId="0" borderId="160" applyNumberFormat="0" applyFill="0" applyAlignment="0" applyProtection="0"/>
    <xf numFmtId="0" fontId="184" fillId="0" borderId="161" applyNumberFormat="0" applyFill="0" applyAlignment="0" applyProtection="0"/>
    <xf numFmtId="0" fontId="184" fillId="0" borderId="161" applyNumberFormat="0" applyFill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5" fillId="0" borderId="0"/>
    <xf numFmtId="0" fontId="44" fillId="0" borderId="93" applyNumberFormat="0" applyFill="0" applyAlignment="0" applyProtection="0"/>
    <xf numFmtId="10" fontId="43" fillId="46" borderId="120" applyNumberFormat="0" applyBorder="0" applyAlignment="0" applyProtection="0"/>
    <xf numFmtId="10" fontId="43" fillId="46" borderId="120" applyNumberFormat="0" applyBorder="0" applyAlignment="0" applyProtection="0"/>
    <xf numFmtId="10" fontId="43" fillId="46" borderId="120" applyNumberFormat="0" applyBorder="0" applyAlignment="0" applyProtection="0"/>
    <xf numFmtId="10" fontId="43" fillId="46" borderId="120" applyNumberFormat="0" applyBorder="0" applyAlignment="0" applyProtection="0"/>
    <xf numFmtId="0" fontId="87" fillId="9" borderId="55" applyNumberFormat="0" applyAlignment="0" applyProtection="0"/>
    <xf numFmtId="0" fontId="87" fillId="9" borderId="55" applyNumberFormat="0" applyAlignment="0" applyProtection="0"/>
    <xf numFmtId="0" fontId="87" fillId="9" borderId="55" applyNumberFormat="0" applyAlignment="0" applyProtection="0"/>
    <xf numFmtId="0" fontId="87" fillId="9" borderId="55" applyNumberFormat="0" applyAlignment="0" applyProtection="0"/>
    <xf numFmtId="0" fontId="87" fillId="9" borderId="55" applyNumberFormat="0" applyAlignment="0" applyProtection="0"/>
    <xf numFmtId="0" fontId="87" fillId="9" borderId="55" applyNumberFormat="0" applyAlignment="0" applyProtection="0"/>
    <xf numFmtId="0" fontId="87" fillId="9" borderId="55" applyNumberFormat="0" applyAlignment="0" applyProtection="0"/>
    <xf numFmtId="0" fontId="87" fillId="9" borderId="55" applyNumberFormat="0" applyAlignment="0" applyProtection="0"/>
    <xf numFmtId="0" fontId="87" fillId="9" borderId="55" applyNumberFormat="0" applyAlignment="0" applyProtection="0"/>
    <xf numFmtId="0" fontId="87" fillId="9" borderId="55" applyNumberFormat="0" applyAlignment="0" applyProtection="0"/>
    <xf numFmtId="0" fontId="186" fillId="55" borderId="157" applyNumberFormat="0" applyAlignment="0" applyProtection="0"/>
    <xf numFmtId="0" fontId="87" fillId="9" borderId="55" applyNumberFormat="0" applyAlignment="0" applyProtection="0"/>
    <xf numFmtId="0" fontId="87" fillId="9" borderId="55" applyNumberFormat="0" applyAlignment="0" applyProtection="0"/>
    <xf numFmtId="0" fontId="186" fillId="55" borderId="157" applyNumberFormat="0" applyAlignment="0" applyProtection="0"/>
    <xf numFmtId="0" fontId="87" fillId="9" borderId="55" applyNumberFormat="0" applyAlignment="0" applyProtection="0"/>
    <xf numFmtId="0" fontId="87" fillId="9" borderId="55" applyNumberFormat="0" applyAlignment="0" applyProtection="0"/>
    <xf numFmtId="0" fontId="87" fillId="9" borderId="55" applyNumberFormat="0" applyAlignment="0" applyProtection="0"/>
    <xf numFmtId="0" fontId="87" fillId="9" borderId="55" applyNumberFormat="0" applyAlignment="0" applyProtection="0"/>
    <xf numFmtId="0" fontId="87" fillId="9" borderId="55" applyNumberFormat="0" applyAlignment="0" applyProtection="0"/>
    <xf numFmtId="0" fontId="87" fillId="9" borderId="55" applyNumberFormat="0" applyAlignment="0" applyProtection="0"/>
    <xf numFmtId="175" fontId="187" fillId="69" borderId="162" applyNumberFormat="0" applyBorder="0" applyAlignment="0" applyProtection="0"/>
    <xf numFmtId="175" fontId="187" fillId="69" borderId="162" applyNumberFormat="0" applyBorder="0" applyAlignment="0" applyProtection="0"/>
    <xf numFmtId="175" fontId="188" fillId="69" borderId="162" applyNumberFormat="0" applyBorder="0" applyAlignment="0" applyProtection="0"/>
    <xf numFmtId="0" fontId="189" fillId="70" borderId="0" applyNumberFormat="0"/>
    <xf numFmtId="0" fontId="190" fillId="0" borderId="163" applyNumberFormat="0" applyFill="0" applyAlignment="0" applyProtection="0"/>
    <xf numFmtId="0" fontId="190" fillId="0" borderId="163" applyNumberFormat="0" applyFill="0" applyAlignment="0" applyProtection="0"/>
    <xf numFmtId="217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225" fontId="18" fillId="0" borderId="0" applyFont="0" applyFill="0" applyBorder="0" applyAlignment="0" applyProtection="0"/>
    <xf numFmtId="0" fontId="191" fillId="71" borderId="0" applyNumberFormat="0" applyBorder="0" applyAlignment="0" applyProtection="0"/>
    <xf numFmtId="0" fontId="191" fillId="71" borderId="0" applyNumberFormat="0" applyBorder="0" applyAlignment="0" applyProtection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9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47" fillId="0" borderId="0">
      <alignment vertical="top"/>
    </xf>
    <xf numFmtId="0" fontId="22" fillId="0" borderId="0"/>
    <xf numFmtId="0" fontId="22" fillId="0" borderId="0"/>
    <xf numFmtId="0" fontId="47" fillId="0" borderId="0">
      <alignment vertical="top"/>
    </xf>
    <xf numFmtId="0" fontId="18" fillId="0" borderId="0"/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18" fillId="0" borderId="0"/>
    <xf numFmtId="0" fontId="76" fillId="0" borderId="0"/>
    <xf numFmtId="0" fontId="18" fillId="0" borderId="0"/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18" fillId="0" borderId="0"/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18" fillId="0" borderId="0"/>
    <xf numFmtId="0" fontId="47" fillId="0" borderId="0">
      <alignment vertical="top"/>
    </xf>
    <xf numFmtId="0" fontId="18" fillId="0" borderId="0">
      <alignment wrapText="1"/>
    </xf>
    <xf numFmtId="0" fontId="76" fillId="0" borderId="0"/>
    <xf numFmtId="0" fontId="76" fillId="0" borderId="0"/>
    <xf numFmtId="0" fontId="18" fillId="0" borderId="0">
      <alignment wrapText="1"/>
    </xf>
    <xf numFmtId="0" fontId="76" fillId="0" borderId="0"/>
    <xf numFmtId="0" fontId="18" fillId="0" borderId="0">
      <alignment wrapText="1"/>
    </xf>
    <xf numFmtId="0" fontId="18" fillId="0" borderId="0">
      <alignment wrapText="1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193" fillId="0" borderId="0"/>
    <xf numFmtId="0" fontId="47" fillId="0" borderId="0">
      <alignment vertical="top"/>
    </xf>
    <xf numFmtId="0" fontId="193" fillId="0" borderId="0"/>
    <xf numFmtId="0" fontId="47" fillId="0" borderId="0">
      <alignment vertical="top"/>
    </xf>
    <xf numFmtId="0" fontId="193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47" fillId="0" borderId="0">
      <alignment vertical="top"/>
    </xf>
    <xf numFmtId="0" fontId="47" fillId="0" borderId="0">
      <alignment vertical="top"/>
    </xf>
    <xf numFmtId="0" fontId="194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47" fillId="0" borderId="0">
      <alignment vertical="top"/>
    </xf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95" fillId="0" borderId="0"/>
    <xf numFmtId="0" fontId="192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18" fillId="72" borderId="164" applyNumberFormat="0" applyFont="0" applyAlignment="0" applyProtection="0"/>
    <xf numFmtId="0" fontId="18" fillId="72" borderId="164" applyNumberFormat="0" applyFont="0" applyAlignment="0" applyProtection="0"/>
    <xf numFmtId="0" fontId="18" fillId="72" borderId="164" applyNumberFormat="0" applyFont="0" applyAlignment="0" applyProtection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76" fillId="12" borderId="59" applyNumberFormat="0" applyFont="0" applyAlignment="0" applyProtection="0"/>
    <xf numFmtId="0" fontId="196" fillId="41" borderId="165" applyNumberFormat="0" applyAlignment="0" applyProtection="0"/>
    <xf numFmtId="0" fontId="196" fillId="41" borderId="165" applyNumberFormat="0" applyAlignment="0" applyProtection="0"/>
    <xf numFmtId="173" fontId="197" fillId="0" borderId="0"/>
    <xf numFmtId="9" fontId="47" fillId="0" borderId="0" applyFont="0" applyFill="0" applyBorder="0" applyAlignment="0" applyProtection="0">
      <alignment vertical="top"/>
    </xf>
    <xf numFmtId="9" fontId="1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47" fillId="0" borderId="0" applyFont="0" applyFill="0" applyBorder="0" applyAlignment="0" applyProtection="0">
      <alignment vertical="top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8" fillId="0" borderId="0" applyFont="0" applyFill="0" applyBorder="0" applyAlignment="0" applyProtection="0">
      <alignment wrapText="1"/>
    </xf>
    <xf numFmtId="0" fontId="199" fillId="0" borderId="0"/>
    <xf numFmtId="43" fontId="200" fillId="0" borderId="15" applyFill="0" applyBorder="0">
      <alignment horizontal="right"/>
    </xf>
    <xf numFmtId="0" fontId="141" fillId="0" borderId="0"/>
    <xf numFmtId="0" fontId="141" fillId="0" borderId="0"/>
    <xf numFmtId="38" fontId="18" fillId="73" borderId="0" applyNumberFormat="0" applyFont="0" applyBorder="0" applyAlignment="0" applyProtection="0"/>
    <xf numFmtId="0" fontId="201" fillId="74" borderId="0" applyNumberFormat="0" applyFont="0" applyBorder="0" applyAlignment="0" applyProtection="0">
      <alignment horizontal="center"/>
    </xf>
    <xf numFmtId="0" fontId="202" fillId="0" borderId="0"/>
    <xf numFmtId="0" fontId="203" fillId="0" borderId="0"/>
    <xf numFmtId="0" fontId="178" fillId="0" borderId="0">
      <alignment horizontal="left"/>
    </xf>
    <xf numFmtId="0" fontId="141" fillId="0" borderId="0"/>
    <xf numFmtId="0" fontId="141" fillId="0" borderId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221" fontId="176" fillId="0" borderId="166">
      <protection locked="0"/>
    </xf>
    <xf numFmtId="212" fontId="18" fillId="0" borderId="16">
      <protection locked="0"/>
    </xf>
    <xf numFmtId="212" fontId="18" fillId="0" borderId="16">
      <protection locked="0"/>
    </xf>
    <xf numFmtId="212" fontId="18" fillId="0" borderId="16">
      <protection locked="0"/>
    </xf>
    <xf numFmtId="212" fontId="18" fillId="0" borderId="16">
      <protection locked="0"/>
    </xf>
    <xf numFmtId="221" fontId="176" fillId="0" borderId="166">
      <protection locked="0"/>
    </xf>
    <xf numFmtId="0" fontId="205" fillId="0" borderId="167" applyNumberFormat="0" applyFill="0" applyAlignment="0" applyProtection="0"/>
    <xf numFmtId="212" fontId="18" fillId="0" borderId="16">
      <protection locked="0"/>
    </xf>
    <xf numFmtId="0" fontId="92" fillId="0" borderId="60" applyNumberFormat="0" applyFill="0" applyAlignment="0" applyProtection="0"/>
    <xf numFmtId="181" fontId="206" fillId="0" borderId="0">
      <alignment horizontal="left"/>
      <protection locked="0"/>
    </xf>
    <xf numFmtId="0" fontId="207" fillId="0" borderId="0" applyNumberFormat="0" applyFont="0" applyFill="0"/>
    <xf numFmtId="37" fontId="43" fillId="37" borderId="0" applyNumberFormat="0" applyBorder="0" applyAlignment="0" applyProtection="0"/>
    <xf numFmtId="37" fontId="43" fillId="37" borderId="0" applyNumberFormat="0" applyBorder="0" applyAlignment="0" applyProtection="0"/>
    <xf numFmtId="37" fontId="43" fillId="37" borderId="0" applyNumberFormat="0" applyBorder="0" applyAlignment="0" applyProtection="0"/>
    <xf numFmtId="37" fontId="43" fillId="37" borderId="0" applyNumberFormat="0" applyBorder="0" applyAlignment="0" applyProtection="0"/>
    <xf numFmtId="37" fontId="43" fillId="0" borderId="0"/>
    <xf numFmtId="37" fontId="43" fillId="0" borderId="0"/>
    <xf numFmtId="37" fontId="43" fillId="0" borderId="0"/>
    <xf numFmtId="37" fontId="43" fillId="0" borderId="0"/>
    <xf numFmtId="37" fontId="43" fillId="37" borderId="0" applyNumberFormat="0" applyBorder="0" applyAlignment="0" applyProtection="0"/>
    <xf numFmtId="14" fontId="201" fillId="0" borderId="0" applyNumberFormat="0" applyFont="0" applyBorder="0" applyAlignment="0" applyProtection="0">
      <alignment horizontal="center"/>
    </xf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226" fontId="43" fillId="0" borderId="0" applyFill="0" applyProtection="0"/>
    <xf numFmtId="0" fontId="76" fillId="0" borderId="0"/>
    <xf numFmtId="43" fontId="76" fillId="0" borderId="0" applyFont="0" applyFill="0" applyBorder="0" applyAlignment="0" applyProtection="0"/>
    <xf numFmtId="44" fontId="209" fillId="0" borderId="0" applyFont="0" applyFill="0" applyBorder="0" applyAlignment="0" applyProtection="0"/>
  </cellStyleXfs>
  <cellXfs count="2810">
    <xf numFmtId="0" fontId="0" fillId="0" borderId="0" xfId="0"/>
    <xf numFmtId="0" fontId="31" fillId="2" borderId="7" xfId="4" applyFont="1" applyFill="1" applyBorder="1" applyAlignment="1">
      <alignment horizontal="left"/>
    </xf>
    <xf numFmtId="37" fontId="21" fillId="0" borderId="0" xfId="2" applyNumberFormat="1" applyFont="1" applyFill="1"/>
    <xf numFmtId="0" fontId="21" fillId="0" borderId="0" xfId="2" applyFont="1" applyFill="1"/>
    <xf numFmtId="1" fontId="21" fillId="0" borderId="0" xfId="0" applyNumberFormat="1" applyFont="1" applyFill="1" applyAlignment="1" applyProtection="1">
      <alignment horizontal="center"/>
    </xf>
    <xf numFmtId="1" fontId="21" fillId="0" borderId="0" xfId="0" applyNumberFormat="1" applyFont="1" applyFill="1" applyAlignment="1" applyProtection="1">
      <alignment horizontal="left"/>
    </xf>
    <xf numFmtId="1" fontId="42" fillId="0" borderId="0" xfId="0" applyNumberFormat="1" applyFont="1" applyFill="1" applyAlignment="1" applyProtection="1">
      <alignment horizontal="left"/>
    </xf>
    <xf numFmtId="1" fontId="21" fillId="0" borderId="0" xfId="0" applyNumberFormat="1" applyFont="1" applyFill="1" applyAlignment="1" applyProtection="1">
      <alignment horizontal="left" indent="1"/>
    </xf>
    <xf numFmtId="1" fontId="21" fillId="0" borderId="0" xfId="0" applyNumberFormat="1" applyFont="1" applyFill="1" applyAlignment="1" applyProtection="1">
      <alignment horizontal="left" indent="2"/>
    </xf>
    <xf numFmtId="37" fontId="21" fillId="0" borderId="0" xfId="2" applyNumberFormat="1" applyFont="1" applyFill="1" applyProtection="1"/>
    <xf numFmtId="37" fontId="21" fillId="0" borderId="0" xfId="8" applyNumberFormat="1" applyFont="1" applyFill="1"/>
    <xf numFmtId="0" fontId="35" fillId="0" borderId="19" xfId="2" applyNumberFormat="1" applyFont="1" applyFill="1" applyBorder="1" applyAlignment="1">
      <alignment horizontal="center"/>
    </xf>
    <xf numFmtId="0" fontId="35" fillId="0" borderId="19" xfId="2" applyFont="1" applyFill="1" applyBorder="1" applyAlignment="1">
      <alignment horizontal="center"/>
    </xf>
    <xf numFmtId="17" fontId="33" fillId="0" borderId="19" xfId="2" applyNumberFormat="1" applyFont="1" applyFill="1" applyBorder="1" applyAlignment="1">
      <alignment horizontal="center"/>
    </xf>
    <xf numFmtId="0" fontId="21" fillId="0" borderId="0" xfId="2" applyNumberFormat="1" applyFont="1" applyFill="1" applyAlignment="1">
      <alignment horizontal="left"/>
    </xf>
    <xf numFmtId="0" fontId="21" fillId="0" borderId="0" xfId="2" applyNumberFormat="1" applyFont="1" applyFill="1" applyAlignment="1">
      <alignment horizontal="center"/>
    </xf>
    <xf numFmtId="0" fontId="44" fillId="0" borderId="0" xfId="2" applyNumberFormat="1" applyFont="1" applyFill="1" applyAlignment="1">
      <alignment horizontal="left"/>
    </xf>
    <xf numFmtId="0" fontId="33" fillId="0" borderId="0" xfId="2" applyFont="1" applyFill="1" applyAlignment="1">
      <alignment horizontal="center"/>
    </xf>
    <xf numFmtId="0" fontId="0" fillId="0" borderId="0" xfId="0" applyFill="1"/>
    <xf numFmtId="0" fontId="21" fillId="0" borderId="0" xfId="2" applyNumberFormat="1" applyFont="1" applyFill="1" applyAlignment="1" applyProtection="1">
      <alignment horizontal="center"/>
    </xf>
    <xf numFmtId="164" fontId="21" fillId="0" borderId="0" xfId="2" applyNumberFormat="1" applyFont="1" applyFill="1" applyProtection="1"/>
    <xf numFmtId="0" fontId="31" fillId="2" borderId="8" xfId="4" applyFont="1" applyFill="1" applyBorder="1" applyAlignment="1">
      <alignment horizontal="left"/>
    </xf>
    <xf numFmtId="0" fontId="46" fillId="4" borderId="0" xfId="10" applyFont="1" applyFill="1"/>
    <xf numFmtId="0" fontId="46" fillId="4" borderId="0" xfId="10" applyFont="1" applyFill="1" applyAlignment="1">
      <alignment horizontal="center"/>
    </xf>
    <xf numFmtId="41" fontId="32" fillId="0" borderId="15" xfId="12" applyNumberFormat="1" applyFont="1" applyFill="1" applyBorder="1" applyProtection="1">
      <protection locked="0"/>
    </xf>
    <xf numFmtId="41" fontId="32" fillId="0" borderId="0" xfId="12" applyNumberFormat="1" applyFont="1" applyFill="1" applyProtection="1"/>
    <xf numFmtId="37" fontId="32" fillId="0" borderId="0" xfId="12" applyNumberFormat="1" applyFont="1" applyFill="1" applyBorder="1" applyProtection="1"/>
    <xf numFmtId="1" fontId="21" fillId="0" borderId="0" xfId="6" applyNumberFormat="1" applyFont="1" applyFill="1" applyAlignment="1" applyProtection="1">
      <alignment horizontal="center"/>
    </xf>
    <xf numFmtId="0" fontId="47" fillId="0" borderId="0" xfId="52" applyFont="1" applyFill="1" applyAlignment="1" applyProtection="1">
      <alignment horizontal="centerContinuous"/>
      <protection locked="0"/>
    </xf>
    <xf numFmtId="0" fontId="44" fillId="0" borderId="0" xfId="52" applyFont="1" applyFill="1" applyAlignment="1" applyProtection="1">
      <alignment horizontal="centerContinuous"/>
      <protection locked="0"/>
    </xf>
    <xf numFmtId="190" fontId="44" fillId="0" borderId="0" xfId="52" applyNumberFormat="1" applyFont="1" applyFill="1" applyAlignment="1" applyProtection="1">
      <alignment horizontal="centerContinuous"/>
      <protection locked="0"/>
    </xf>
    <xf numFmtId="172" fontId="44" fillId="0" borderId="0" xfId="52" applyNumberFormat="1" applyFont="1" applyFill="1" applyProtection="1">
      <protection locked="0"/>
    </xf>
    <xf numFmtId="0" fontId="44" fillId="0" borderId="0" xfId="52" applyFont="1" applyFill="1" applyProtection="1">
      <protection locked="0"/>
    </xf>
    <xf numFmtId="190" fontId="44" fillId="0" borderId="0" xfId="52" applyNumberFormat="1" applyFont="1" applyFill="1" applyProtection="1">
      <protection locked="0"/>
    </xf>
    <xf numFmtId="0" fontId="47" fillId="0" borderId="0" xfId="52" applyFont="1" applyFill="1" applyAlignment="1" applyProtection="1">
      <alignment horizontal="left"/>
      <protection locked="0"/>
    </xf>
    <xf numFmtId="190" fontId="42" fillId="0" borderId="0" xfId="52" applyNumberFormat="1" applyFont="1" applyFill="1" applyBorder="1" applyAlignment="1" applyProtection="1">
      <alignment horizontal="centerContinuous"/>
    </xf>
    <xf numFmtId="0" fontId="42" fillId="0" borderId="0" xfId="52" applyFont="1" applyFill="1" applyAlignment="1" applyProtection="1">
      <alignment horizontal="center"/>
    </xf>
    <xf numFmtId="0" fontId="42" fillId="0" borderId="0" xfId="52" applyFont="1" applyFill="1" applyAlignment="1" applyProtection="1">
      <alignment horizontal="left"/>
    </xf>
    <xf numFmtId="190" fontId="50" fillId="0" borderId="0" xfId="52" applyNumberFormat="1" applyFont="1" applyFill="1" applyAlignment="1" applyProtection="1">
      <alignment horizontal="center"/>
      <protection locked="0"/>
    </xf>
    <xf numFmtId="0" fontId="50" fillId="0" borderId="0" xfId="52" applyFont="1" applyFill="1" applyAlignment="1" applyProtection="1">
      <alignment horizontal="center"/>
    </xf>
    <xf numFmtId="190" fontId="42" fillId="0" borderId="0" xfId="52" applyNumberFormat="1" applyFont="1" applyFill="1" applyAlignment="1" applyProtection="1">
      <alignment horizontal="center"/>
      <protection locked="0"/>
    </xf>
    <xf numFmtId="0" fontId="34" fillId="0" borderId="0" xfId="52" applyFont="1" applyFill="1" applyAlignment="1" applyProtection="1">
      <alignment horizontal="left"/>
    </xf>
    <xf numFmtId="0" fontId="34" fillId="0" borderId="0" xfId="52" applyFont="1" applyFill="1"/>
    <xf numFmtId="17" fontId="42" fillId="0" borderId="0" xfId="52" applyNumberFormat="1" applyFont="1" applyFill="1" applyAlignment="1" applyProtection="1">
      <alignment horizontal="center"/>
      <protection locked="0"/>
    </xf>
    <xf numFmtId="181" fontId="37" fillId="0" borderId="15" xfId="12" applyFont="1" applyFill="1" applyBorder="1" applyAlignment="1" applyProtection="1">
      <alignment horizontal="center"/>
    </xf>
    <xf numFmtId="0" fontId="18" fillId="0" borderId="0" xfId="0" applyFont="1" applyFill="1"/>
    <xf numFmtId="0" fontId="18" fillId="0" borderId="0" xfId="0" applyFont="1" applyFill="1" applyBorder="1"/>
    <xf numFmtId="37" fontId="18" fillId="0" borderId="0" xfId="0" applyNumberFormat="1" applyFont="1" applyFill="1"/>
    <xf numFmtId="181" fontId="31" fillId="0" borderId="0" xfId="12" applyFont="1" applyFill="1"/>
    <xf numFmtId="181" fontId="36" fillId="0" borderId="0" xfId="12" applyFont="1" applyFill="1" applyBorder="1" applyAlignment="1" applyProtection="1">
      <alignment horizontal="centerContinuous"/>
    </xf>
    <xf numFmtId="181" fontId="39" fillId="0" borderId="0" xfId="12" applyFont="1" applyFill="1" applyAlignment="1" applyProtection="1">
      <alignment horizontal="left"/>
    </xf>
    <xf numFmtId="0" fontId="18" fillId="0" borderId="0" xfId="0" applyFont="1" applyFill="1" applyAlignment="1">
      <alignment horizontal="left"/>
    </xf>
    <xf numFmtId="0" fontId="18" fillId="0" borderId="0" xfId="0" applyFont="1" applyFill="1" applyAlignment="1">
      <alignment horizontal="center"/>
    </xf>
    <xf numFmtId="0" fontId="33" fillId="0" borderId="19" xfId="2" applyFont="1" applyFill="1" applyBorder="1" applyAlignment="1">
      <alignment horizontal="center"/>
    </xf>
    <xf numFmtId="0" fontId="33" fillId="0" borderId="19" xfId="2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left"/>
    </xf>
    <xf numFmtId="0" fontId="18" fillId="0" borderId="33" xfId="63" applyFont="1" applyFill="1" applyBorder="1" applyAlignment="1" applyProtection="1">
      <alignment horizontal="left"/>
    </xf>
    <xf numFmtId="180" fontId="44" fillId="0" borderId="34" xfId="63" applyNumberFormat="1" applyFont="1" applyFill="1" applyBorder="1" applyProtection="1"/>
    <xf numFmtId="0" fontId="18" fillId="0" borderId="35" xfId="63" applyFont="1" applyFill="1" applyBorder="1" applyAlignment="1" applyProtection="1">
      <alignment horizontal="left"/>
    </xf>
    <xf numFmtId="0" fontId="18" fillId="0" borderId="35" xfId="63" applyFont="1" applyFill="1" applyBorder="1"/>
    <xf numFmtId="166" fontId="44" fillId="0" borderId="36" xfId="63" applyNumberFormat="1" applyFont="1" applyFill="1" applyBorder="1" applyProtection="1"/>
    <xf numFmtId="166" fontId="47" fillId="0" borderId="36" xfId="63" applyNumberFormat="1" applyFont="1" applyFill="1" applyBorder="1" applyProtection="1"/>
    <xf numFmtId="0" fontId="18" fillId="0" borderId="37" xfId="63" applyFont="1" applyFill="1" applyBorder="1" applyAlignment="1" applyProtection="1">
      <alignment horizontal="left"/>
    </xf>
    <xf numFmtId="166" fontId="44" fillId="0" borderId="38" xfId="63" applyNumberFormat="1" applyFont="1" applyFill="1" applyBorder="1" applyProtection="1"/>
    <xf numFmtId="37" fontId="18" fillId="0" borderId="0" xfId="2" applyNumberFormat="1" applyFont="1" applyFill="1"/>
    <xf numFmtId="37" fontId="72" fillId="0" borderId="0" xfId="8" applyNumberFormat="1" applyFont="1" applyFill="1"/>
    <xf numFmtId="1" fontId="18" fillId="0" borderId="0" xfId="0" applyNumberFormat="1" applyFont="1" applyFill="1" applyAlignment="1" applyProtection="1">
      <alignment horizontal="left" indent="1"/>
    </xf>
    <xf numFmtId="1" fontId="18" fillId="0" borderId="0" xfId="0" applyNumberFormat="1" applyFont="1" applyFill="1" applyAlignment="1" applyProtection="1">
      <alignment horizontal="center"/>
    </xf>
    <xf numFmtId="37" fontId="21" fillId="0" borderId="0" xfId="2" applyNumberFormat="1" applyFont="1" applyFill="1" applyAlignment="1" applyProtection="1">
      <alignment horizontal="center"/>
    </xf>
    <xf numFmtId="1" fontId="21" fillId="0" borderId="0" xfId="0" applyNumberFormat="1" applyFont="1" applyFill="1" applyAlignment="1" applyProtection="1"/>
    <xf numFmtId="0" fontId="75" fillId="0" borderId="61" xfId="0" applyFont="1" applyFill="1" applyBorder="1" applyAlignment="1">
      <alignment horizontal="center"/>
    </xf>
    <xf numFmtId="0" fontId="34" fillId="0" borderId="61" xfId="0" applyFont="1" applyFill="1" applyBorder="1" applyAlignment="1">
      <alignment horizontal="center"/>
    </xf>
    <xf numFmtId="195" fontId="75" fillId="0" borderId="61" xfId="0" quotePrefix="1" applyNumberFormat="1" applyFont="1" applyFill="1" applyBorder="1" applyAlignment="1">
      <alignment horizontal="center"/>
    </xf>
    <xf numFmtId="181" fontId="22" fillId="0" borderId="0" xfId="12" quotePrefix="1" applyFont="1" applyFill="1" applyAlignment="1" applyProtection="1">
      <alignment horizontal="left"/>
    </xf>
    <xf numFmtId="41" fontId="32" fillId="0" borderId="0" xfId="12" applyNumberFormat="1" applyFont="1" applyFill="1" applyProtection="1">
      <protection locked="0"/>
    </xf>
    <xf numFmtId="181" fontId="22" fillId="0" borderId="0" xfId="12" applyFont="1" applyFill="1" applyAlignment="1" applyProtection="1">
      <alignment horizontal="left"/>
    </xf>
    <xf numFmtId="0" fontId="18" fillId="0" borderId="0" xfId="59" applyFont="1" applyFill="1" applyAlignment="1" applyProtection="1">
      <alignment horizontal="centerContinuous"/>
    </xf>
    <xf numFmtId="37" fontId="47" fillId="0" borderId="0" xfId="60" applyNumberFormat="1" applyFont="1" applyFill="1" applyBorder="1" applyAlignment="1" applyProtection="1">
      <alignment horizontal="center"/>
    </xf>
    <xf numFmtId="0" fontId="18" fillId="0" borderId="0" xfId="60" quotePrefix="1" applyFont="1" applyFill="1" applyBorder="1" applyAlignment="1">
      <alignment horizontal="center"/>
    </xf>
    <xf numFmtId="0" fontId="18" fillId="0" borderId="0" xfId="14" applyFont="1" applyFill="1" applyProtection="1"/>
    <xf numFmtId="0" fontId="18" fillId="0" borderId="0" xfId="14" applyFont="1" applyFill="1"/>
    <xf numFmtId="5" fontId="18" fillId="0" borderId="0" xfId="14" applyNumberFormat="1" applyFont="1" applyFill="1" applyProtection="1">
      <protection locked="0"/>
    </xf>
    <xf numFmtId="37" fontId="44" fillId="0" borderId="0" xfId="14" applyNumberFormat="1" applyFont="1" applyFill="1" applyProtection="1">
      <protection locked="0"/>
    </xf>
    <xf numFmtId="37" fontId="18" fillId="0" borderId="15" xfId="14" applyNumberFormat="1" applyFont="1" applyFill="1" applyBorder="1" applyProtection="1">
      <protection locked="0"/>
    </xf>
    <xf numFmtId="37" fontId="49" fillId="0" borderId="0" xfId="14" applyNumberFormat="1" applyFont="1" applyFill="1" applyProtection="1">
      <protection locked="0"/>
    </xf>
    <xf numFmtId="37" fontId="18" fillId="0" borderId="0" xfId="14" applyNumberFormat="1" applyFont="1" applyFill="1" applyProtection="1"/>
    <xf numFmtId="37" fontId="44" fillId="0" borderId="0" xfId="14" applyNumberFormat="1" applyFont="1" applyFill="1" applyProtection="1"/>
    <xf numFmtId="37" fontId="18" fillId="0" borderId="15" xfId="14" applyNumberFormat="1" applyFont="1" applyFill="1" applyBorder="1"/>
    <xf numFmtId="37" fontId="42" fillId="0" borderId="0" xfId="14" applyNumberFormat="1" applyFont="1" applyFill="1" applyProtection="1"/>
    <xf numFmtId="0" fontId="47" fillId="0" borderId="0" xfId="60" applyFont="1" applyFill="1" applyBorder="1"/>
    <xf numFmtId="0" fontId="18" fillId="0" borderId="0" xfId="60" applyFont="1" applyFill="1" applyBorder="1" applyAlignment="1" applyProtection="1">
      <alignment horizontal="center"/>
    </xf>
    <xf numFmtId="10" fontId="47" fillId="0" borderId="0" xfId="60" applyNumberFormat="1" applyFont="1" applyFill="1" applyBorder="1" applyProtection="1"/>
    <xf numFmtId="37" fontId="47" fillId="0" borderId="0" xfId="60" applyNumberFormat="1" applyFont="1" applyFill="1" applyBorder="1" applyProtection="1"/>
    <xf numFmtId="10" fontId="47" fillId="0" borderId="0" xfId="60" applyNumberFormat="1" applyFont="1" applyFill="1" applyBorder="1"/>
    <xf numFmtId="37" fontId="47" fillId="0" borderId="0" xfId="60" applyNumberFormat="1" applyFont="1" applyFill="1" applyBorder="1"/>
    <xf numFmtId="0" fontId="47" fillId="0" borderId="0" xfId="60" applyFont="1" applyFill="1" applyBorder="1" applyAlignment="1" applyProtection="1">
      <alignment horizontal="center"/>
    </xf>
    <xf numFmtId="37" fontId="18" fillId="0" borderId="0" xfId="0" applyNumberFormat="1" applyFont="1" applyFill="1" applyProtection="1"/>
    <xf numFmtId="0" fontId="18" fillId="0" borderId="0" xfId="60" applyFont="1" applyFill="1" applyBorder="1" applyAlignment="1">
      <alignment horizontal="center"/>
    </xf>
    <xf numFmtId="0" fontId="47" fillId="0" borderId="15" xfId="60" applyFont="1" applyFill="1" applyBorder="1"/>
    <xf numFmtId="0" fontId="18" fillId="0" borderId="0" xfId="59" applyFont="1" applyFill="1" applyAlignment="1" applyProtection="1">
      <alignment horizontal="left"/>
    </xf>
    <xf numFmtId="0" fontId="18" fillId="0" borderId="15" xfId="60" applyFont="1" applyFill="1" applyBorder="1" applyAlignment="1" applyProtection="1">
      <alignment horizontal="centerContinuous"/>
    </xf>
    <xf numFmtId="39" fontId="47" fillId="0" borderId="0" xfId="60" applyNumberFormat="1" applyFont="1" applyFill="1" applyBorder="1" applyProtection="1"/>
    <xf numFmtId="0" fontId="47" fillId="0" borderId="15" xfId="60" applyFont="1" applyFill="1" applyBorder="1" applyAlignment="1" applyProtection="1">
      <alignment horizontal="centerContinuous"/>
    </xf>
    <xf numFmtId="0" fontId="18" fillId="0" borderId="0" xfId="60" applyFont="1" applyFill="1" applyAlignment="1" applyProtection="1">
      <alignment horizontal="centerContinuous"/>
    </xf>
    <xf numFmtId="37" fontId="44" fillId="0" borderId="0" xfId="60" applyNumberFormat="1" applyFont="1" applyFill="1" applyBorder="1" applyProtection="1"/>
    <xf numFmtId="37" fontId="44" fillId="0" borderId="0" xfId="0" applyNumberFormat="1" applyFont="1" applyFill="1" applyProtection="1"/>
    <xf numFmtId="0" fontId="47" fillId="0" borderId="0" xfId="61" applyFont="1" applyFill="1" applyBorder="1" applyAlignment="1">
      <alignment horizontal="center"/>
    </xf>
    <xf numFmtId="0" fontId="47" fillId="0" borderId="0" xfId="61" applyFont="1" applyFill="1" applyBorder="1"/>
    <xf numFmtId="0" fontId="18" fillId="0" borderId="0" xfId="61" applyFont="1" applyFill="1" applyBorder="1" applyAlignment="1" applyProtection="1">
      <alignment horizontal="center"/>
    </xf>
    <xf numFmtId="0" fontId="18" fillId="0" borderId="0" xfId="61" applyFont="1" applyFill="1" applyBorder="1" applyAlignment="1">
      <alignment horizontal="center"/>
    </xf>
    <xf numFmtId="37" fontId="18" fillId="0" borderId="15" xfId="61" applyNumberFormat="1" applyFont="1" applyFill="1" applyBorder="1" applyAlignment="1" applyProtection="1">
      <alignment horizontal="centerContinuous"/>
    </xf>
    <xf numFmtId="37" fontId="47" fillId="0" borderId="15" xfId="61" applyNumberFormat="1" applyFont="1" applyFill="1" applyBorder="1" applyAlignment="1" applyProtection="1">
      <alignment horizontal="centerContinuous"/>
    </xf>
    <xf numFmtId="0" fontId="18" fillId="0" borderId="0" xfId="61" applyFont="1" applyFill="1" applyBorder="1"/>
    <xf numFmtId="37" fontId="18" fillId="0" borderId="15" xfId="61" applyNumberFormat="1" applyFont="1" applyFill="1" applyBorder="1" applyAlignment="1">
      <alignment horizontal="centerContinuous"/>
    </xf>
    <xf numFmtId="0" fontId="18" fillId="0" borderId="15" xfId="61" applyFont="1" applyFill="1" applyBorder="1" applyAlignment="1">
      <alignment horizontal="centerContinuous"/>
    </xf>
    <xf numFmtId="0" fontId="47" fillId="0" borderId="0" xfId="61" applyFont="1" applyFill="1" applyBorder="1" applyAlignment="1" applyProtection="1">
      <alignment horizontal="center"/>
    </xf>
    <xf numFmtId="37" fontId="47" fillId="0" borderId="15" xfId="61" applyNumberFormat="1" applyFont="1" applyFill="1" applyBorder="1" applyAlignment="1">
      <alignment horizontal="centerContinuous"/>
    </xf>
    <xf numFmtId="0" fontId="47" fillId="0" borderId="15" xfId="61" applyFont="1" applyFill="1" applyBorder="1" applyAlignment="1">
      <alignment horizontal="centerContinuous"/>
    </xf>
    <xf numFmtId="0" fontId="47" fillId="0" borderId="15" xfId="61" applyFont="1" applyFill="1" applyBorder="1"/>
    <xf numFmtId="0" fontId="18" fillId="0" borderId="15" xfId="0" applyFont="1" applyFill="1" applyBorder="1"/>
    <xf numFmtId="0" fontId="47" fillId="0" borderId="0" xfId="61" applyFont="1" applyFill="1" applyBorder="1" applyAlignment="1">
      <alignment horizontal="centerContinuous"/>
    </xf>
    <xf numFmtId="0" fontId="18" fillId="0" borderId="0" xfId="61" applyFont="1" applyFill="1" applyAlignment="1" applyProtection="1">
      <alignment horizontal="left"/>
    </xf>
    <xf numFmtId="37" fontId="18" fillId="0" borderId="0" xfId="61" applyNumberFormat="1" applyFont="1" applyFill="1"/>
    <xf numFmtId="0" fontId="18" fillId="0" borderId="0" xfId="61" applyFont="1" applyFill="1"/>
    <xf numFmtId="10" fontId="18" fillId="0" borderId="0" xfId="0" applyNumberFormat="1" applyFont="1" applyFill="1" applyAlignment="1">
      <alignment horizontal="center"/>
    </xf>
    <xf numFmtId="37" fontId="47" fillId="0" borderId="0" xfId="61" applyNumberFormat="1" applyFont="1" applyFill="1" applyBorder="1"/>
    <xf numFmtId="0" fontId="18" fillId="0" borderId="0" xfId="62" applyFont="1" applyFill="1"/>
    <xf numFmtId="0" fontId="18" fillId="0" borderId="0" xfId="15" applyFont="1" applyFill="1" applyAlignment="1" applyProtection="1">
      <alignment horizontal="left"/>
    </xf>
    <xf numFmtId="0" fontId="47" fillId="0" borderId="0" xfId="15" applyFont="1" applyFill="1" applyAlignment="1" applyProtection="1">
      <alignment horizontal="left"/>
    </xf>
    <xf numFmtId="0" fontId="18" fillId="0" borderId="0" xfId="15" applyFont="1" applyFill="1" applyAlignment="1">
      <alignment horizontal="left"/>
    </xf>
    <xf numFmtId="0" fontId="47" fillId="0" borderId="0" xfId="15" quotePrefix="1" applyFont="1" applyFill="1" applyAlignment="1" applyProtection="1">
      <alignment horizontal="center"/>
    </xf>
    <xf numFmtId="184" fontId="18" fillId="0" borderId="0" xfId="15" applyNumberFormat="1" applyFont="1" applyFill="1"/>
    <xf numFmtId="0" fontId="18" fillId="0" borderId="0" xfId="15" applyFont="1" applyFill="1" applyAlignment="1" applyProtection="1">
      <alignment horizontal="center"/>
    </xf>
    <xf numFmtId="0" fontId="18" fillId="0" borderId="0" xfId="15" applyFont="1" applyFill="1"/>
    <xf numFmtId="37" fontId="18" fillId="0" borderId="0" xfId="15" applyNumberFormat="1" applyFont="1" applyFill="1" applyAlignment="1">
      <alignment horizontal="center"/>
    </xf>
    <xf numFmtId="37" fontId="18" fillId="0" borderId="15" xfId="15" applyNumberFormat="1" applyFont="1" applyFill="1" applyBorder="1" applyAlignment="1">
      <alignment horizontal="center"/>
    </xf>
    <xf numFmtId="0" fontId="18" fillId="0" borderId="15" xfId="15" applyFont="1" applyFill="1" applyBorder="1" applyAlignment="1">
      <alignment horizontal="center"/>
    </xf>
    <xf numFmtId="0" fontId="18" fillId="0" borderId="0" xfId="15" applyFont="1" applyFill="1" applyAlignment="1">
      <alignment horizontal="center"/>
    </xf>
    <xf numFmtId="37" fontId="18" fillId="0" borderId="0" xfId="15" applyNumberFormat="1" applyFont="1" applyFill="1"/>
    <xf numFmtId="184" fontId="18" fillId="0" borderId="0" xfId="15" applyNumberFormat="1" applyFont="1" applyFill="1" applyAlignment="1">
      <alignment horizontal="center"/>
    </xf>
    <xf numFmtId="37" fontId="42" fillId="0" borderId="0" xfId="15" applyNumberFormat="1" applyFont="1" applyFill="1"/>
    <xf numFmtId="37" fontId="97" fillId="0" borderId="0" xfId="15" applyNumberFormat="1" applyFont="1" applyFill="1"/>
    <xf numFmtId="0" fontId="18" fillId="0" borderId="0" xfId="64" applyFont="1" applyFill="1" applyProtection="1"/>
    <xf numFmtId="0" fontId="18" fillId="0" borderId="0" xfId="64" applyFont="1" applyFill="1"/>
    <xf numFmtId="0" fontId="18" fillId="0" borderId="0" xfId="64" applyFont="1" applyFill="1" applyAlignment="1" applyProtection="1">
      <alignment horizontal="left"/>
    </xf>
    <xf numFmtId="39" fontId="18" fillId="0" borderId="0" xfId="64" applyNumberFormat="1" applyFont="1" applyFill="1"/>
    <xf numFmtId="0" fontId="18" fillId="0" borderId="0" xfId="64" applyFont="1" applyFill="1" applyAlignment="1">
      <alignment horizontal="centerContinuous"/>
    </xf>
    <xf numFmtId="167" fontId="18" fillId="0" borderId="0" xfId="64" applyNumberFormat="1" applyFont="1" applyFill="1" applyProtection="1"/>
    <xf numFmtId="0" fontId="18" fillId="0" borderId="0" xfId="64" applyFont="1" applyFill="1" applyAlignment="1" applyProtection="1">
      <alignment horizontal="center"/>
    </xf>
    <xf numFmtId="0" fontId="18" fillId="0" borderId="15" xfId="64" applyFont="1" applyFill="1" applyBorder="1" applyAlignment="1" applyProtection="1">
      <alignment horizontal="centerContinuous"/>
    </xf>
    <xf numFmtId="0" fontId="18" fillId="0" borderId="15" xfId="64" applyFont="1" applyFill="1" applyBorder="1" applyAlignment="1">
      <alignment horizontal="centerContinuous"/>
    </xf>
    <xf numFmtId="0" fontId="42" fillId="0" borderId="0" xfId="64" applyFont="1" applyFill="1" applyAlignment="1" applyProtection="1">
      <alignment horizontal="center"/>
    </xf>
    <xf numFmtId="0" fontId="42" fillId="0" borderId="0" xfId="64" applyFont="1" applyFill="1" applyAlignment="1" applyProtection="1">
      <alignment horizontal="left"/>
    </xf>
    <xf numFmtId="0" fontId="18" fillId="0" borderId="0" xfId="64" applyFont="1" applyFill="1" applyAlignment="1" applyProtection="1">
      <alignment horizontal="right"/>
    </xf>
    <xf numFmtId="0" fontId="18" fillId="0" borderId="0" xfId="64" applyFont="1" applyFill="1" applyAlignment="1" applyProtection="1">
      <alignment horizontal="fill"/>
    </xf>
    <xf numFmtId="0" fontId="45" fillId="0" borderId="0" xfId="64" applyFont="1" applyFill="1"/>
    <xf numFmtId="37" fontId="18" fillId="0" borderId="0" xfId="64" applyNumberFormat="1" applyFont="1" applyFill="1" applyAlignment="1" applyProtection="1">
      <alignment horizontal="center"/>
    </xf>
    <xf numFmtId="37" fontId="18" fillId="0" borderId="0" xfId="64" applyNumberFormat="1" applyFont="1" applyFill="1" applyProtection="1"/>
    <xf numFmtId="37" fontId="18" fillId="0" borderId="15" xfId="64" applyNumberFormat="1" applyFont="1" applyFill="1" applyBorder="1" applyProtection="1"/>
    <xf numFmtId="37" fontId="18" fillId="0" borderId="0" xfId="64" applyNumberFormat="1" applyFont="1" applyFill="1" applyBorder="1" applyProtection="1"/>
    <xf numFmtId="37" fontId="18" fillId="0" borderId="0" xfId="64" applyNumberFormat="1" applyFont="1" applyFill="1" applyAlignment="1" applyProtection="1">
      <alignment horizontal="fill"/>
    </xf>
    <xf numFmtId="37" fontId="18" fillId="0" borderId="17" xfId="64" applyNumberFormat="1" applyFont="1" applyFill="1" applyBorder="1" applyProtection="1"/>
    <xf numFmtId="0" fontId="18" fillId="0" borderId="0" xfId="64" quotePrefix="1" applyFont="1" applyFill="1" applyAlignment="1" applyProtection="1">
      <alignment horizontal="left"/>
    </xf>
    <xf numFmtId="0" fontId="18" fillId="0" borderId="0" xfId="64" applyFont="1" applyFill="1" applyAlignment="1">
      <alignment horizontal="center"/>
    </xf>
    <xf numFmtId="0" fontId="33" fillId="0" borderId="0" xfId="64" applyFont="1" applyFill="1" applyAlignment="1">
      <alignment horizontal="center"/>
    </xf>
    <xf numFmtId="37" fontId="44" fillId="0" borderId="0" xfId="64" applyNumberFormat="1" applyFont="1" applyFill="1" applyAlignment="1" applyProtection="1">
      <alignment horizontal="center"/>
    </xf>
    <xf numFmtId="0" fontId="44" fillId="0" borderId="0" xfId="64" applyFont="1" applyFill="1"/>
    <xf numFmtId="37" fontId="44" fillId="0" borderId="15" xfId="64" applyNumberFormat="1" applyFont="1" applyFill="1" applyBorder="1" applyProtection="1"/>
    <xf numFmtId="37" fontId="18" fillId="0" borderId="0" xfId="64" applyNumberFormat="1" applyFont="1" applyFill="1" applyBorder="1" applyAlignment="1" applyProtection="1">
      <alignment horizontal="center"/>
    </xf>
    <xf numFmtId="0" fontId="18" fillId="0" borderId="0" xfId="64" applyFont="1" applyFill="1" applyBorder="1" applyProtection="1"/>
    <xf numFmtId="0" fontId="18" fillId="0" borderId="0" xfId="64" applyFont="1" applyFill="1" applyBorder="1"/>
    <xf numFmtId="37" fontId="18" fillId="0" borderId="0" xfId="64" applyNumberFormat="1" applyFont="1" applyFill="1" applyBorder="1" applyAlignment="1" applyProtection="1">
      <alignment horizontal="fill"/>
    </xf>
    <xf numFmtId="0" fontId="18" fillId="0" borderId="0" xfId="64" applyFont="1" applyFill="1" applyBorder="1" applyAlignment="1" applyProtection="1">
      <alignment horizontal="left"/>
    </xf>
    <xf numFmtId="0" fontId="18" fillId="0" borderId="0" xfId="8" applyFont="1" applyFill="1" applyProtection="1"/>
    <xf numFmtId="0" fontId="44" fillId="0" borderId="0" xfId="8" applyFont="1" applyFill="1" applyAlignment="1" applyProtection="1">
      <alignment horizontal="left"/>
    </xf>
    <xf numFmtId="167" fontId="18" fillId="0" borderId="0" xfId="8" applyNumberFormat="1" applyFont="1" applyFill="1" applyProtection="1"/>
    <xf numFmtId="0" fontId="42" fillId="0" borderId="0" xfId="8" applyFont="1" applyFill="1" applyAlignment="1" applyProtection="1">
      <alignment horizontal="center"/>
    </xf>
    <xf numFmtId="0" fontId="50" fillId="0" borderId="0" xfId="8" applyFont="1" applyFill="1" applyAlignment="1" applyProtection="1">
      <alignment horizontal="center"/>
    </xf>
    <xf numFmtId="0" fontId="42" fillId="0" borderId="0" xfId="8" applyFont="1" applyFill="1" applyAlignment="1">
      <alignment horizontal="center"/>
    </xf>
    <xf numFmtId="0" fontId="42" fillId="0" borderId="0" xfId="64" applyFont="1" applyFill="1" applyAlignment="1">
      <alignment horizontal="center"/>
    </xf>
    <xf numFmtId="0" fontId="18" fillId="0" borderId="0" xfId="8" applyFont="1" applyFill="1" applyAlignment="1" applyProtection="1">
      <alignment horizontal="fill"/>
    </xf>
    <xf numFmtId="37" fontId="18" fillId="0" borderId="0" xfId="8" applyNumberFormat="1" applyFont="1" applyFill="1" applyAlignment="1" applyProtection="1">
      <alignment horizontal="center"/>
      <protection locked="0"/>
    </xf>
    <xf numFmtId="37" fontId="44" fillId="0" borderId="0" xfId="8" applyNumberFormat="1" applyFont="1" applyFill="1" applyProtection="1">
      <protection locked="0"/>
    </xf>
    <xf numFmtId="0" fontId="45" fillId="0" borderId="0" xfId="8" applyFont="1" applyFill="1"/>
    <xf numFmtId="10" fontId="44" fillId="0" borderId="0" xfId="8" applyNumberFormat="1" applyFont="1" applyFill="1" applyAlignment="1" applyProtection="1">
      <alignment horizontal="center"/>
      <protection locked="0"/>
    </xf>
    <xf numFmtId="37" fontId="18" fillId="0" borderId="0" xfId="64" applyNumberFormat="1" applyFont="1" applyFill="1"/>
    <xf numFmtId="10" fontId="18" fillId="0" borderId="0" xfId="8" applyNumberFormat="1" applyFont="1" applyFill="1" applyAlignment="1" applyProtection="1">
      <alignment horizontal="center"/>
      <protection locked="0"/>
    </xf>
    <xf numFmtId="0" fontId="44" fillId="0" borderId="0" xfId="8" applyFont="1" applyFill="1" applyAlignment="1" applyProtection="1">
      <alignment horizontal="left"/>
      <protection locked="0"/>
    </xf>
    <xf numFmtId="37" fontId="18" fillId="0" borderId="0" xfId="8" quotePrefix="1" applyNumberFormat="1" applyFont="1" applyFill="1" applyAlignment="1" applyProtection="1">
      <alignment horizontal="left"/>
    </xf>
    <xf numFmtId="37" fontId="18" fillId="0" borderId="0" xfId="8" applyNumberFormat="1" applyFont="1" applyFill="1" applyAlignment="1" applyProtection="1">
      <alignment horizontal="right"/>
    </xf>
    <xf numFmtId="7" fontId="44" fillId="0" borderId="0" xfId="8" applyNumberFormat="1" applyFont="1" applyFill="1" applyProtection="1">
      <protection locked="0"/>
    </xf>
    <xf numFmtId="37" fontId="18" fillId="0" borderId="16" xfId="8" applyNumberFormat="1" applyFont="1" applyFill="1" applyBorder="1" applyProtection="1"/>
    <xf numFmtId="37" fontId="18" fillId="0" borderId="0" xfId="8" applyNumberFormat="1" applyFont="1" applyFill="1" applyBorder="1" applyAlignment="1" applyProtection="1">
      <alignment horizontal="center"/>
    </xf>
    <xf numFmtId="0" fontId="18" fillId="0" borderId="0" xfId="64" applyFont="1" applyFill="1" applyProtection="1">
      <protection locked="0"/>
    </xf>
    <xf numFmtId="167" fontId="18" fillId="0" borderId="0" xfId="64" applyNumberFormat="1" applyFont="1" applyFill="1" applyBorder="1" applyProtection="1"/>
    <xf numFmtId="0" fontId="18" fillId="0" borderId="0" xfId="64" applyFont="1" applyFill="1" applyBorder="1" applyAlignment="1" applyProtection="1">
      <alignment horizontal="center"/>
    </xf>
    <xf numFmtId="0" fontId="42" fillId="0" borderId="0" xfId="64" applyFont="1" applyFill="1" applyAlignment="1">
      <alignment horizontal="centerContinuous"/>
    </xf>
    <xf numFmtId="0" fontId="42" fillId="0" borderId="0" xfId="64" applyFont="1" applyFill="1" applyBorder="1" applyAlignment="1" applyProtection="1">
      <alignment horizontal="center"/>
    </xf>
    <xf numFmtId="0" fontId="18" fillId="0" borderId="0" xfId="64" quotePrefix="1" applyFont="1" applyFill="1" applyBorder="1" applyAlignment="1" applyProtection="1">
      <alignment horizontal="center"/>
    </xf>
    <xf numFmtId="0" fontId="42" fillId="0" borderId="0" xfId="64" applyFont="1" applyFill="1"/>
    <xf numFmtId="3" fontId="18" fillId="0" borderId="0" xfId="64" applyNumberFormat="1" applyFont="1" applyFill="1"/>
    <xf numFmtId="3" fontId="18" fillId="0" borderId="0" xfId="64" applyNumberFormat="1" applyFont="1" applyFill="1" applyProtection="1">
      <protection locked="0"/>
    </xf>
    <xf numFmtId="10" fontId="18" fillId="0" borderId="0" xfId="64" applyNumberFormat="1" applyFont="1" applyFill="1"/>
    <xf numFmtId="0" fontId="18" fillId="0" borderId="0" xfId="64" quotePrefix="1" applyFont="1" applyFill="1"/>
    <xf numFmtId="184" fontId="18" fillId="0" borderId="0" xfId="64" applyNumberFormat="1" applyFont="1" applyFill="1"/>
    <xf numFmtId="3" fontId="42" fillId="0" borderId="0" xfId="64" applyNumberFormat="1" applyFont="1" applyFill="1" applyProtection="1">
      <protection locked="0"/>
    </xf>
    <xf numFmtId="3" fontId="42" fillId="0" borderId="0" xfId="64" applyNumberFormat="1" applyFont="1" applyFill="1"/>
    <xf numFmtId="3" fontId="99" fillId="0" borderId="0" xfId="64" applyNumberFormat="1" applyFont="1" applyFill="1"/>
    <xf numFmtId="3" fontId="44" fillId="0" borderId="0" xfId="64" applyNumberFormat="1" applyFont="1" applyFill="1" applyProtection="1">
      <protection locked="0"/>
    </xf>
    <xf numFmtId="10" fontId="18" fillId="0" borderId="0" xfId="64" applyNumberFormat="1" applyFont="1" applyFill="1" applyProtection="1">
      <protection locked="0"/>
    </xf>
    <xf numFmtId="37" fontId="44" fillId="0" borderId="0" xfId="64" applyNumberFormat="1" applyFont="1" applyFill="1" applyBorder="1" applyProtection="1">
      <protection locked="0"/>
    </xf>
    <xf numFmtId="0" fontId="44" fillId="0" borderId="0" xfId="64" applyFont="1" applyFill="1" applyAlignment="1" applyProtection="1">
      <alignment horizontal="left"/>
    </xf>
    <xf numFmtId="39" fontId="18" fillId="0" borderId="0" xfId="64" applyNumberFormat="1" applyFont="1" applyFill="1" applyAlignment="1" applyProtection="1">
      <alignment horizontal="right"/>
    </xf>
    <xf numFmtId="0" fontId="18" fillId="0" borderId="0" xfId="64" applyNumberFormat="1" applyFont="1" applyFill="1" applyBorder="1" applyProtection="1"/>
    <xf numFmtId="37" fontId="44" fillId="0" borderId="0" xfId="64" applyNumberFormat="1" applyFont="1" applyFill="1" applyProtection="1">
      <protection locked="0"/>
    </xf>
    <xf numFmtId="10" fontId="18" fillId="0" borderId="0" xfId="64" applyNumberFormat="1" applyFont="1" applyFill="1" applyProtection="1"/>
    <xf numFmtId="37" fontId="49" fillId="0" borderId="0" xfId="64" applyNumberFormat="1" applyFont="1" applyFill="1" applyProtection="1">
      <protection locked="0"/>
    </xf>
    <xf numFmtId="10" fontId="42" fillId="0" borderId="0" xfId="64" applyNumberFormat="1" applyFont="1" applyFill="1" applyProtection="1"/>
    <xf numFmtId="37" fontId="97" fillId="0" borderId="0" xfId="64" applyNumberFormat="1" applyFont="1" applyFill="1" applyProtection="1"/>
    <xf numFmtId="10" fontId="97" fillId="0" borderId="0" xfId="64" applyNumberFormat="1" applyFont="1" applyFill="1" applyProtection="1"/>
    <xf numFmtId="0" fontId="18" fillId="0" borderId="0" xfId="64" applyNumberFormat="1" applyFont="1" applyFill="1" applyBorder="1"/>
    <xf numFmtId="0" fontId="42" fillId="0" borderId="0" xfId="64" applyFont="1" applyFill="1" applyAlignment="1" applyProtection="1">
      <alignment horizontal="centerContinuous"/>
    </xf>
    <xf numFmtId="0" fontId="44" fillId="0" borderId="0" xfId="64" applyFont="1" applyFill="1" applyProtection="1">
      <protection locked="0"/>
    </xf>
    <xf numFmtId="37" fontId="18" fillId="0" borderId="0" xfId="64" applyNumberFormat="1" applyFont="1" applyFill="1" applyProtection="1">
      <protection locked="0"/>
    </xf>
    <xf numFmtId="10" fontId="44" fillId="0" borderId="0" xfId="64" applyNumberFormat="1" applyFont="1" applyFill="1" applyProtection="1">
      <protection locked="0"/>
    </xf>
    <xf numFmtId="165" fontId="18" fillId="0" borderId="0" xfId="64" applyNumberFormat="1" applyFont="1" applyFill="1" applyProtection="1"/>
    <xf numFmtId="37" fontId="42" fillId="0" borderId="0" xfId="64" applyNumberFormat="1" applyFont="1" applyFill="1" applyProtection="1">
      <protection locked="0"/>
    </xf>
    <xf numFmtId="37" fontId="42" fillId="0" borderId="0" xfId="64" applyNumberFormat="1" applyFont="1" applyFill="1" applyProtection="1"/>
    <xf numFmtId="0" fontId="44" fillId="0" borderId="0" xfId="8" applyFont="1" applyFill="1" applyProtection="1">
      <protection locked="0"/>
    </xf>
    <xf numFmtId="0" fontId="18" fillId="0" borderId="0" xfId="8" applyFont="1" applyFill="1" applyAlignment="1" applyProtection="1">
      <alignment horizontal="centerContinuous"/>
    </xf>
    <xf numFmtId="37" fontId="44" fillId="0" borderId="0" xfId="8" applyNumberFormat="1" applyFont="1" applyFill="1" applyAlignment="1" applyProtection="1">
      <alignment horizontal="centerContinuous"/>
      <protection locked="0"/>
    </xf>
    <xf numFmtId="0" fontId="42" fillId="0" borderId="0" xfId="8" applyFont="1" applyFill="1" applyBorder="1" applyAlignment="1" applyProtection="1">
      <alignment horizontal="center"/>
    </xf>
    <xf numFmtId="0" fontId="18" fillId="0" borderId="0" xfId="8" applyFont="1" applyFill="1" applyBorder="1" applyAlignment="1" applyProtection="1">
      <alignment horizontal="center"/>
    </xf>
    <xf numFmtId="0" fontId="42" fillId="0" borderId="0" xfId="8" applyFont="1" applyFill="1"/>
    <xf numFmtId="0" fontId="18" fillId="0" borderId="0" xfId="8" applyFont="1" applyFill="1" applyBorder="1"/>
    <xf numFmtId="17" fontId="18" fillId="0" borderId="0" xfId="8" quotePrefix="1" applyNumberFormat="1" applyFont="1" applyFill="1"/>
    <xf numFmtId="37" fontId="44" fillId="0" borderId="0" xfId="8" applyNumberFormat="1" applyFont="1" applyFill="1" applyBorder="1" applyProtection="1">
      <protection locked="0"/>
    </xf>
    <xf numFmtId="17" fontId="18" fillId="0" borderId="0" xfId="8" quotePrefix="1" applyNumberFormat="1" applyFont="1" applyFill="1" applyAlignment="1" applyProtection="1">
      <alignment horizontal="left"/>
      <protection locked="0"/>
    </xf>
    <xf numFmtId="0" fontId="18" fillId="0" borderId="0" xfId="8" applyFont="1" applyFill="1" applyBorder="1" applyAlignment="1" applyProtection="1">
      <alignment horizontal="right"/>
    </xf>
    <xf numFmtId="0" fontId="18" fillId="0" borderId="0" xfId="8" applyFont="1" applyFill="1" applyAlignment="1" applyProtection="1">
      <alignment horizontal="right"/>
    </xf>
    <xf numFmtId="37" fontId="18" fillId="0" borderId="0" xfId="8" applyNumberFormat="1" applyFont="1" applyFill="1" applyAlignment="1" applyProtection="1">
      <alignment horizontal="center"/>
    </xf>
    <xf numFmtId="177" fontId="44" fillId="0" borderId="0" xfId="8" applyNumberFormat="1" applyFont="1" applyFill="1" applyProtection="1">
      <protection locked="0"/>
    </xf>
    <xf numFmtId="178" fontId="44" fillId="0" borderId="0" xfId="8" applyNumberFormat="1" applyFont="1" applyFill="1" applyProtection="1">
      <protection locked="0"/>
    </xf>
    <xf numFmtId="179" fontId="44" fillId="0" borderId="0" xfId="8" applyNumberFormat="1" applyFont="1" applyFill="1" applyProtection="1">
      <protection locked="0"/>
    </xf>
    <xf numFmtId="37" fontId="44" fillId="0" borderId="0" xfId="8" applyNumberFormat="1" applyFont="1" applyFill="1" applyAlignment="1" applyProtection="1">
      <alignment horizontal="center"/>
      <protection locked="0"/>
    </xf>
    <xf numFmtId="0" fontId="34" fillId="0" borderId="0" xfId="8" applyFont="1" applyFill="1"/>
    <xf numFmtId="0" fontId="33" fillId="0" borderId="0" xfId="8" applyFont="1" applyFill="1" applyAlignment="1">
      <alignment horizontal="center"/>
    </xf>
    <xf numFmtId="0" fontId="18" fillId="0" borderId="15" xfId="8" applyFont="1" applyFill="1" applyBorder="1" applyAlignment="1">
      <alignment horizontal="centerContinuous"/>
    </xf>
    <xf numFmtId="0" fontId="18" fillId="0" borderId="0" xfId="8" applyFont="1" applyFill="1" applyBorder="1" applyAlignment="1">
      <alignment horizontal="centerContinuous"/>
    </xf>
    <xf numFmtId="0" fontId="18" fillId="0" borderId="0" xfId="8" applyFont="1" applyFill="1" applyBorder="1" applyAlignment="1">
      <alignment horizontal="center"/>
    </xf>
    <xf numFmtId="37" fontId="18" fillId="0" borderId="0" xfId="8" applyNumberFormat="1" applyFont="1" applyFill="1" applyBorder="1" applyAlignment="1" applyProtection="1">
      <alignment horizontal="center"/>
      <protection locked="0"/>
    </xf>
    <xf numFmtId="0" fontId="33" fillId="0" borderId="0" xfId="8" applyFont="1" applyFill="1" applyBorder="1" applyAlignment="1">
      <alignment horizontal="center"/>
    </xf>
    <xf numFmtId="0" fontId="33" fillId="0" borderId="0" xfId="64" applyFont="1" applyFill="1" applyBorder="1" applyAlignment="1">
      <alignment horizontal="center"/>
    </xf>
    <xf numFmtId="185" fontId="18" fillId="0" borderId="0" xfId="64" applyNumberFormat="1" applyFont="1" applyFill="1" applyBorder="1" applyProtection="1">
      <protection locked="0"/>
    </xf>
    <xf numFmtId="3" fontId="18" fillId="0" borderId="0" xfId="64" applyNumberFormat="1" applyFont="1" applyFill="1" applyBorder="1" applyProtection="1">
      <protection locked="0"/>
    </xf>
    <xf numFmtId="3" fontId="18" fillId="0" borderId="0" xfId="64" applyNumberFormat="1" applyFont="1" applyFill="1" applyBorder="1"/>
    <xf numFmtId="2" fontId="18" fillId="0" borderId="0" xfId="64" applyNumberFormat="1" applyFont="1" applyFill="1" applyBorder="1" applyProtection="1">
      <protection locked="0"/>
    </xf>
    <xf numFmtId="185" fontId="18" fillId="0" borderId="0" xfId="64" applyNumberFormat="1" applyFont="1" applyFill="1" applyBorder="1"/>
    <xf numFmtId="2" fontId="18" fillId="0" borderId="0" xfId="64" applyNumberFormat="1" applyFont="1" applyFill="1" applyBorder="1"/>
    <xf numFmtId="14" fontId="18" fillId="0" borderId="0" xfId="64" applyNumberFormat="1" applyFont="1" applyFill="1" applyBorder="1"/>
    <xf numFmtId="0" fontId="42" fillId="0" borderId="0" xfId="64" applyFont="1" applyFill="1" applyBorder="1" applyAlignment="1">
      <alignment horizontal="centerContinuous"/>
    </xf>
    <xf numFmtId="3" fontId="42" fillId="0" borderId="0" xfId="64" applyNumberFormat="1" applyFont="1" applyFill="1" applyBorder="1" applyAlignment="1">
      <alignment horizontal="centerContinuous"/>
    </xf>
    <xf numFmtId="2" fontId="42" fillId="0" borderId="0" xfId="64" applyNumberFormat="1" applyFont="1" applyFill="1" applyBorder="1" applyAlignment="1">
      <alignment horizontal="centerContinuous"/>
    </xf>
    <xf numFmtId="0" fontId="18" fillId="0" borderId="0" xfId="64" applyFont="1" applyFill="1" applyBorder="1" applyAlignment="1">
      <alignment horizontal="center"/>
    </xf>
    <xf numFmtId="2" fontId="18" fillId="0" borderId="0" xfId="64" applyNumberFormat="1" applyFont="1" applyFill="1" applyBorder="1" applyAlignment="1">
      <alignment horizontal="center"/>
    </xf>
    <xf numFmtId="3" fontId="18" fillId="0" borderId="0" xfId="64" applyNumberFormat="1" applyFont="1" applyFill="1" applyBorder="1" applyAlignment="1">
      <alignment horizontal="center"/>
    </xf>
    <xf numFmtId="0" fontId="42" fillId="0" borderId="0" xfId="64" applyFont="1" applyFill="1" applyBorder="1" applyAlignment="1">
      <alignment horizontal="center"/>
    </xf>
    <xf numFmtId="0" fontId="42" fillId="0" borderId="0" xfId="64" applyFont="1" applyFill="1" applyBorder="1"/>
    <xf numFmtId="185" fontId="42" fillId="0" borderId="0" xfId="64" applyNumberFormat="1" applyFont="1" applyFill="1" applyBorder="1"/>
    <xf numFmtId="39" fontId="18" fillId="0" borderId="0" xfId="64" applyNumberFormat="1" applyFont="1" applyFill="1" applyBorder="1"/>
    <xf numFmtId="3" fontId="42" fillId="0" borderId="0" xfId="64" applyNumberFormat="1" applyFont="1" applyFill="1" applyBorder="1"/>
    <xf numFmtId="3" fontId="97" fillId="0" borderId="0" xfId="64" applyNumberFormat="1" applyFont="1" applyFill="1" applyBorder="1"/>
    <xf numFmtId="0" fontId="18" fillId="0" borderId="0" xfId="64" applyFont="1" applyFill="1" applyBorder="1" applyAlignment="1">
      <alignment horizontal="centerContinuous"/>
    </xf>
    <xf numFmtId="0" fontId="18" fillId="0" borderId="0" xfId="64" applyFont="1" applyFill="1" applyBorder="1" applyProtection="1">
      <protection locked="0"/>
    </xf>
    <xf numFmtId="179" fontId="44" fillId="0" borderId="0" xfId="8" applyNumberFormat="1" applyFont="1" applyFill="1" applyBorder="1" applyProtection="1">
      <protection locked="0"/>
    </xf>
    <xf numFmtId="37" fontId="18" fillId="0" borderId="17" xfId="16" applyNumberFormat="1" applyFont="1" applyFill="1" applyBorder="1"/>
    <xf numFmtId="37" fontId="18" fillId="0" borderId="0" xfId="16" applyNumberFormat="1" applyFont="1" applyFill="1" applyProtection="1">
      <protection locked="0"/>
    </xf>
    <xf numFmtId="0" fontId="18" fillId="0" borderId="0" xfId="16" applyFont="1" applyFill="1" applyAlignment="1" applyProtection="1"/>
    <xf numFmtId="0" fontId="18" fillId="0" borderId="0" xfId="16" applyFont="1" applyFill="1" applyAlignment="1">
      <alignment horizontal="centerContinuous"/>
    </xf>
    <xf numFmtId="0" fontId="18" fillId="0" borderId="0" xfId="16" applyFont="1" applyFill="1"/>
    <xf numFmtId="0" fontId="18" fillId="0" borderId="0" xfId="16" applyFont="1" applyFill="1" applyAlignment="1">
      <alignment horizontal="left"/>
    </xf>
    <xf numFmtId="0" fontId="18" fillId="0" borderId="0" xfId="16" applyFont="1" applyFill="1" applyBorder="1" applyAlignment="1">
      <alignment horizontal="centerContinuous"/>
    </xf>
    <xf numFmtId="0" fontId="18" fillId="0" borderId="0" xfId="16" applyFont="1" applyFill="1" applyAlignment="1">
      <alignment horizontal="right"/>
    </xf>
    <xf numFmtId="0" fontId="18" fillId="0" borderId="0" xfId="16" applyFont="1" applyFill="1" applyAlignment="1" applyProtection="1">
      <alignment horizontal="centerContinuous"/>
    </xf>
    <xf numFmtId="0" fontId="18" fillId="0" borderId="0" xfId="16" applyFont="1" applyFill="1" applyBorder="1"/>
    <xf numFmtId="0" fontId="18" fillId="0" borderId="0" xfId="16" applyFont="1" applyFill="1" applyBorder="1" applyAlignment="1">
      <alignment horizontal="center"/>
    </xf>
    <xf numFmtId="0" fontId="18" fillId="0" borderId="15" xfId="16" applyFont="1" applyFill="1" applyBorder="1" applyAlignment="1" applyProtection="1">
      <alignment horizontal="fill"/>
    </xf>
    <xf numFmtId="0" fontId="18" fillId="0" borderId="0" xfId="16" applyFont="1" applyFill="1" applyBorder="1" applyAlignment="1" applyProtection="1">
      <alignment horizontal="fill"/>
    </xf>
    <xf numFmtId="0" fontId="18" fillId="0" borderId="0" xfId="16" applyFont="1" applyFill="1" applyAlignment="1" applyProtection="1">
      <alignment horizontal="center"/>
    </xf>
    <xf numFmtId="17" fontId="44" fillId="0" borderId="0" xfId="8" applyNumberFormat="1" applyFont="1" applyFill="1" applyBorder="1" applyAlignment="1">
      <alignment horizontal="center"/>
    </xf>
    <xf numFmtId="0" fontId="18" fillId="0" borderId="15" xfId="16" applyFont="1" applyFill="1" applyBorder="1"/>
    <xf numFmtId="0" fontId="18" fillId="0" borderId="0" xfId="16" quotePrefix="1" applyFont="1" applyFill="1" applyBorder="1" applyAlignment="1">
      <alignment horizontal="center"/>
    </xf>
    <xf numFmtId="0" fontId="18" fillId="0" borderId="0" xfId="16" quotePrefix="1" applyFont="1" applyFill="1" applyBorder="1" applyAlignment="1">
      <alignment horizontal="centerContinuous"/>
    </xf>
    <xf numFmtId="0" fontId="34" fillId="0" borderId="0" xfId="16" applyFont="1" applyFill="1"/>
    <xf numFmtId="37" fontId="18" fillId="0" borderId="0" xfId="16" applyNumberFormat="1" applyFont="1" applyFill="1" applyBorder="1"/>
    <xf numFmtId="37" fontId="18" fillId="0" borderId="0" xfId="16" applyNumberFormat="1" applyFont="1" applyFill="1"/>
    <xf numFmtId="37" fontId="18" fillId="0" borderId="0" xfId="16" applyNumberFormat="1" applyFont="1" applyFill="1" applyAlignment="1">
      <alignment horizontal="center"/>
    </xf>
    <xf numFmtId="37" fontId="44" fillId="0" borderId="17" xfId="16" applyNumberFormat="1" applyFont="1" applyFill="1" applyBorder="1"/>
    <xf numFmtId="37" fontId="42" fillId="0" borderId="0" xfId="16" applyNumberFormat="1" applyFont="1" applyFill="1"/>
    <xf numFmtId="0" fontId="18" fillId="0" borderId="0" xfId="16" applyFont="1" applyFill="1" applyAlignment="1">
      <alignment horizontal="left" indent="1"/>
    </xf>
    <xf numFmtId="37" fontId="44" fillId="0" borderId="0" xfId="16" applyNumberFormat="1" applyFont="1" applyFill="1" applyBorder="1"/>
    <xf numFmtId="37" fontId="18" fillId="0" borderId="0" xfId="16" applyNumberFormat="1" applyFont="1" applyFill="1" applyBorder="1" applyProtection="1">
      <protection locked="0"/>
    </xf>
    <xf numFmtId="0" fontId="18" fillId="0" borderId="0" xfId="16" applyFont="1" applyFill="1" applyAlignment="1">
      <alignment horizontal="left" indent="2"/>
    </xf>
    <xf numFmtId="37" fontId="44" fillId="0" borderId="0" xfId="16" applyNumberFormat="1" applyFont="1" applyFill="1" applyBorder="1" applyProtection="1">
      <protection locked="0"/>
    </xf>
    <xf numFmtId="37" fontId="44" fillId="0" borderId="0" xfId="16" applyNumberFormat="1" applyFont="1" applyFill="1" applyProtection="1">
      <protection locked="0"/>
    </xf>
    <xf numFmtId="0" fontId="34" fillId="0" borderId="0" xfId="16" applyFont="1" applyFill="1" applyBorder="1"/>
    <xf numFmtId="37" fontId="18" fillId="0" borderId="0" xfId="8" applyNumberFormat="1" applyFont="1" applyFill="1" applyBorder="1"/>
    <xf numFmtId="37" fontId="18" fillId="0" borderId="0" xfId="16" applyNumberFormat="1" applyFont="1" applyFill="1" applyAlignment="1">
      <alignment horizontal="right"/>
    </xf>
    <xf numFmtId="0" fontId="18" fillId="0" borderId="15" xfId="16" applyFont="1" applyFill="1" applyBorder="1" applyAlignment="1" applyProtection="1">
      <alignment horizontal="center"/>
    </xf>
    <xf numFmtId="0" fontId="18" fillId="0" borderId="18" xfId="16" applyFont="1" applyFill="1" applyBorder="1"/>
    <xf numFmtId="0" fontId="18" fillId="0" borderId="18" xfId="16" applyFont="1" applyFill="1" applyBorder="1" applyAlignment="1">
      <alignment horizontal="center"/>
    </xf>
    <xf numFmtId="17" fontId="44" fillId="0" borderId="0" xfId="8" applyNumberFormat="1" applyFont="1" applyFill="1" applyAlignment="1">
      <alignment horizontal="center"/>
    </xf>
    <xf numFmtId="37" fontId="18" fillId="0" borderId="15" xfId="16" applyNumberFormat="1" applyFont="1" applyFill="1" applyBorder="1"/>
    <xf numFmtId="37" fontId="18" fillId="0" borderId="16" xfId="16" applyNumberFormat="1" applyFont="1" applyFill="1" applyBorder="1"/>
    <xf numFmtId="0" fontId="100" fillId="0" borderId="0" xfId="8" applyFont="1" applyFill="1"/>
    <xf numFmtId="0" fontId="18" fillId="0" borderId="0" xfId="0" applyFont="1" applyFill="1" applyAlignment="1" applyProtection="1">
      <alignment horizontal="left"/>
    </xf>
    <xf numFmtId="0" fontId="47" fillId="0" borderId="0" xfId="0" applyFont="1" applyFill="1" applyAlignment="1" applyProtection="1">
      <alignment horizontal="left"/>
    </xf>
    <xf numFmtId="37" fontId="18" fillId="0" borderId="15" xfId="8" applyNumberFormat="1" applyFont="1" applyFill="1" applyBorder="1"/>
    <xf numFmtId="0" fontId="44" fillId="0" borderId="0" xfId="0" applyFont="1" applyFill="1" applyAlignment="1" applyProtection="1">
      <alignment horizontal="left"/>
    </xf>
    <xf numFmtId="0" fontId="47" fillId="0" borderId="0" xfId="8" applyFont="1" applyFill="1" applyBorder="1" applyAlignment="1" applyProtection="1">
      <alignment horizontal="left"/>
    </xf>
    <xf numFmtId="0" fontId="18" fillId="0" borderId="0" xfId="8" applyFont="1" applyFill="1" applyBorder="1" applyAlignment="1" applyProtection="1">
      <alignment horizontal="left"/>
    </xf>
    <xf numFmtId="0" fontId="18" fillId="0" borderId="0" xfId="0" applyFont="1" applyFill="1" applyAlignment="1" applyProtection="1">
      <alignment horizontal="center"/>
    </xf>
    <xf numFmtId="0" fontId="18" fillId="0" borderId="0" xfId="0" applyFont="1" applyFill="1" applyAlignment="1" applyProtection="1">
      <alignment horizontal="right"/>
    </xf>
    <xf numFmtId="0" fontId="47" fillId="0" borderId="0" xfId="0" applyFont="1" applyFill="1" applyAlignment="1">
      <alignment horizontal="right"/>
    </xf>
    <xf numFmtId="0" fontId="18" fillId="0" borderId="15" xfId="0" applyFont="1" applyFill="1" applyBorder="1" applyAlignment="1" applyProtection="1">
      <alignment horizontal="center"/>
    </xf>
    <xf numFmtId="0" fontId="47" fillId="0" borderId="15" xfId="0" applyFont="1" applyFill="1" applyBorder="1" applyAlignment="1" applyProtection="1">
      <alignment horizontal="center"/>
    </xf>
    <xf numFmtId="37" fontId="18" fillId="0" borderId="0" xfId="0" applyNumberFormat="1" applyFont="1" applyFill="1" applyAlignment="1" applyProtection="1">
      <alignment horizontal="center"/>
    </xf>
    <xf numFmtId="0" fontId="18" fillId="0" borderId="0" xfId="0" applyFont="1" applyFill="1" applyProtection="1">
      <protection locked="0"/>
    </xf>
    <xf numFmtId="10" fontId="18" fillId="0" borderId="0" xfId="0" applyNumberFormat="1" applyFont="1" applyFill="1" applyProtection="1"/>
    <xf numFmtId="37" fontId="18" fillId="0" borderId="0" xfId="0" quotePrefix="1" applyNumberFormat="1" applyFont="1" applyFill="1" applyAlignment="1" applyProtection="1">
      <alignment horizontal="left"/>
    </xf>
    <xf numFmtId="37" fontId="18" fillId="0" borderId="0" xfId="8" applyNumberFormat="1" applyFont="1" applyFill="1" applyBorder="1" applyProtection="1">
      <protection locked="0"/>
    </xf>
    <xf numFmtId="0" fontId="18" fillId="0" borderId="0" xfId="8" applyFont="1" applyFill="1" applyBorder="1" applyAlignment="1" applyProtection="1">
      <alignment horizontal="left"/>
      <protection locked="0"/>
    </xf>
    <xf numFmtId="0" fontId="18" fillId="0" borderId="0" xfId="8" applyFont="1" applyFill="1" applyBorder="1" applyAlignment="1">
      <alignment horizontal="left"/>
    </xf>
    <xf numFmtId="37" fontId="97" fillId="0" borderId="0" xfId="8" applyNumberFormat="1" applyFont="1" applyFill="1" applyBorder="1" applyProtection="1"/>
    <xf numFmtId="37" fontId="18" fillId="0" borderId="0" xfId="8" applyNumberFormat="1" applyFont="1" applyFill="1" applyBorder="1" applyAlignment="1" applyProtection="1">
      <alignment horizontal="left"/>
    </xf>
    <xf numFmtId="0" fontId="18" fillId="0" borderId="0" xfId="8" applyFont="1" applyFill="1" applyBorder="1" applyAlignment="1" applyProtection="1">
      <alignment horizontal="fill"/>
    </xf>
    <xf numFmtId="0" fontId="47" fillId="0" borderId="0" xfId="8" applyFont="1" applyFill="1" applyAlignment="1" applyProtection="1">
      <alignment horizontal="left"/>
    </xf>
    <xf numFmtId="0" fontId="18" fillId="0" borderId="0" xfId="8" quotePrefix="1" applyFont="1" applyFill="1" applyAlignment="1" applyProtection="1">
      <alignment horizontal="left"/>
    </xf>
    <xf numFmtId="166" fontId="18" fillId="0" borderId="0" xfId="8" applyNumberFormat="1" applyFont="1" applyFill="1" applyProtection="1"/>
    <xf numFmtId="0" fontId="47" fillId="0" borderId="15" xfId="8" applyFont="1" applyFill="1" applyBorder="1" applyAlignment="1" applyProtection="1">
      <alignment horizontal="center"/>
    </xf>
    <xf numFmtId="0" fontId="47" fillId="0" borderId="15" xfId="8" applyFont="1" applyFill="1" applyBorder="1" applyAlignment="1">
      <alignment horizontal="center"/>
    </xf>
    <xf numFmtId="0" fontId="18" fillId="0" borderId="0" xfId="8" applyFont="1" applyFill="1" applyAlignment="1">
      <alignment horizontal="left"/>
    </xf>
    <xf numFmtId="194" fontId="97" fillId="0" borderId="0" xfId="8" applyNumberFormat="1" applyFont="1" applyFill="1" applyProtection="1">
      <protection locked="0"/>
    </xf>
    <xf numFmtId="10" fontId="97" fillId="0" borderId="0" xfId="8" applyNumberFormat="1" applyFont="1" applyFill="1" applyProtection="1"/>
    <xf numFmtId="0" fontId="18" fillId="0" borderId="0" xfId="8" quotePrefix="1" applyFont="1" applyFill="1" applyBorder="1"/>
    <xf numFmtId="0" fontId="47" fillId="0" borderId="0" xfId="17" applyFont="1" applyFill="1" applyAlignment="1" applyProtection="1">
      <alignment horizontal="center"/>
    </xf>
    <xf numFmtId="0" fontId="47" fillId="0" borderId="0" xfId="17" applyFont="1" applyFill="1" applyAlignment="1" applyProtection="1">
      <alignment horizontal="right"/>
    </xf>
    <xf numFmtId="165" fontId="47" fillId="0" borderId="0" xfId="17" applyNumberFormat="1" applyFont="1" applyFill="1" applyAlignment="1" applyProtection="1">
      <alignment horizontal="right"/>
    </xf>
    <xf numFmtId="0" fontId="47" fillId="0" borderId="0" xfId="17" applyFont="1" applyFill="1" applyAlignment="1">
      <alignment horizontal="right"/>
    </xf>
    <xf numFmtId="165" fontId="47" fillId="0" borderId="0" xfId="17" applyNumberFormat="1" applyFont="1" applyFill="1" applyAlignment="1" applyProtection="1">
      <alignment horizontal="left"/>
    </xf>
    <xf numFmtId="0" fontId="47" fillId="0" borderId="0" xfId="17" applyFont="1" applyFill="1" applyAlignment="1">
      <alignment horizontal="center"/>
    </xf>
    <xf numFmtId="0" fontId="47" fillId="0" borderId="0" xfId="17" applyFont="1" applyFill="1" applyAlignment="1" applyProtection="1">
      <alignment horizontal="center"/>
      <protection locked="0"/>
    </xf>
    <xf numFmtId="165" fontId="44" fillId="0" borderId="0" xfId="17" applyNumberFormat="1" applyFont="1" applyFill="1" applyAlignment="1" applyProtection="1">
      <alignment horizontal="right"/>
    </xf>
    <xf numFmtId="0" fontId="18" fillId="0" borderId="0" xfId="20" applyFont="1" applyFill="1" applyAlignment="1" applyProtection="1">
      <alignment horizontal="centerContinuous"/>
    </xf>
    <xf numFmtId="0" fontId="18" fillId="0" borderId="0" xfId="20" applyFont="1" applyFill="1" applyAlignment="1">
      <alignment horizontal="centerContinuous"/>
    </xf>
    <xf numFmtId="0" fontId="18" fillId="0" borderId="0" xfId="20" applyFont="1" applyFill="1"/>
    <xf numFmtId="0" fontId="18" fillId="0" borderId="0" xfId="20" applyFont="1" applyFill="1" applyBorder="1"/>
    <xf numFmtId="0" fontId="18" fillId="0" borderId="0" xfId="20" applyFont="1" applyFill="1" applyProtection="1"/>
    <xf numFmtId="0" fontId="18" fillId="0" borderId="0" xfId="20" applyFont="1" applyFill="1" applyAlignment="1" applyProtection="1">
      <alignment horizontal="left"/>
    </xf>
    <xf numFmtId="37" fontId="18" fillId="0" borderId="0" xfId="20" applyNumberFormat="1" applyFont="1" applyFill="1" applyBorder="1" applyProtection="1"/>
    <xf numFmtId="0" fontId="18" fillId="0" borderId="15" xfId="20" applyFont="1" applyFill="1" applyBorder="1"/>
    <xf numFmtId="0" fontId="18" fillId="0" borderId="0" xfId="20" applyFont="1" applyFill="1" applyBorder="1" applyAlignment="1">
      <alignment horizontal="centerContinuous"/>
    </xf>
    <xf numFmtId="0" fontId="18" fillId="0" borderId="39" xfId="20" applyFont="1" applyFill="1" applyBorder="1" applyAlignment="1">
      <alignment horizontal="center"/>
    </xf>
    <xf numFmtId="0" fontId="18" fillId="0" borderId="0" xfId="20" applyFont="1" applyFill="1" applyAlignment="1">
      <alignment horizontal="center"/>
    </xf>
    <xf numFmtId="0" fontId="18" fillId="0" borderId="0" xfId="20" applyFont="1" applyFill="1" applyBorder="1" applyAlignment="1" applyProtection="1">
      <alignment horizontal="centerContinuous"/>
    </xf>
    <xf numFmtId="0" fontId="18" fillId="0" borderId="15" xfId="20" applyFont="1" applyFill="1" applyBorder="1" applyAlignment="1">
      <alignment horizontal="centerContinuous"/>
    </xf>
    <xf numFmtId="0" fontId="18" fillId="0" borderId="15" xfId="20" applyFont="1" applyFill="1" applyBorder="1" applyAlignment="1" applyProtection="1">
      <alignment horizontal="centerContinuous"/>
    </xf>
    <xf numFmtId="0" fontId="18" fillId="0" borderId="0" xfId="20" applyFont="1" applyFill="1" applyAlignment="1" applyProtection="1">
      <alignment horizontal="center"/>
    </xf>
    <xf numFmtId="0" fontId="18" fillId="0" borderId="0" xfId="20" applyFont="1" applyFill="1" applyBorder="1" applyAlignment="1">
      <alignment horizontal="center"/>
    </xf>
    <xf numFmtId="0" fontId="18" fillId="0" borderId="40" xfId="20" applyFont="1" applyFill="1" applyBorder="1" applyAlignment="1">
      <alignment horizontal="center"/>
    </xf>
    <xf numFmtId="0" fontId="18" fillId="0" borderId="0" xfId="20" applyFont="1" applyFill="1" applyAlignment="1"/>
    <xf numFmtId="0" fontId="18" fillId="0" borderId="40" xfId="20" applyFont="1" applyFill="1" applyBorder="1" applyAlignment="1" applyProtection="1">
      <alignment horizontal="center"/>
    </xf>
    <xf numFmtId="0" fontId="18" fillId="0" borderId="0" xfId="20" applyFont="1" applyFill="1" applyBorder="1" applyProtection="1">
      <protection locked="0"/>
    </xf>
    <xf numFmtId="37" fontId="18" fillId="0" borderId="0" xfId="20" applyNumberFormat="1" applyFont="1" applyFill="1" applyBorder="1" applyProtection="1">
      <protection locked="0"/>
    </xf>
    <xf numFmtId="0" fontId="18" fillId="0" borderId="15" xfId="20" applyFont="1" applyFill="1" applyBorder="1" applyAlignment="1" applyProtection="1">
      <alignment horizontal="center"/>
    </xf>
    <xf numFmtId="0" fontId="18" fillId="0" borderId="15" xfId="20" applyFont="1" applyFill="1" applyBorder="1" applyAlignment="1">
      <alignment horizontal="center"/>
    </xf>
    <xf numFmtId="0" fontId="18" fillId="0" borderId="41" xfId="20" applyFont="1" applyFill="1" applyBorder="1" applyAlignment="1" applyProtection="1">
      <alignment horizontal="center"/>
    </xf>
    <xf numFmtId="0" fontId="18" fillId="0" borderId="40" xfId="20" applyFont="1" applyFill="1" applyBorder="1"/>
    <xf numFmtId="37" fontId="18" fillId="0" borderId="40" xfId="20" applyNumberFormat="1" applyFont="1" applyFill="1" applyBorder="1"/>
    <xf numFmtId="37" fontId="18" fillId="0" borderId="4" xfId="20" applyNumberFormat="1" applyFont="1" applyFill="1" applyBorder="1" applyProtection="1"/>
    <xf numFmtId="37" fontId="18" fillId="0" borderId="0" xfId="20" applyNumberFormat="1" applyFont="1" applyFill="1" applyAlignment="1" applyProtection="1">
      <alignment horizontal="right"/>
    </xf>
    <xf numFmtId="37" fontId="18" fillId="0" borderId="15" xfId="20" quotePrefix="1" applyNumberFormat="1" applyFont="1" applyFill="1" applyBorder="1" applyProtection="1"/>
    <xf numFmtId="37" fontId="18" fillId="0" borderId="18" xfId="20" applyNumberFormat="1" applyFont="1" applyFill="1" applyBorder="1" applyProtection="1"/>
    <xf numFmtId="37" fontId="18" fillId="0" borderId="39" xfId="20" applyNumberFormat="1" applyFont="1" applyFill="1" applyBorder="1" applyProtection="1"/>
    <xf numFmtId="37" fontId="18" fillId="0" borderId="41" xfId="20" applyNumberFormat="1" applyFont="1" applyFill="1" applyBorder="1"/>
    <xf numFmtId="37" fontId="18" fillId="0" borderId="41" xfId="20" applyNumberFormat="1" applyFont="1" applyFill="1" applyBorder="1" applyProtection="1"/>
    <xf numFmtId="37" fontId="18" fillId="0" borderId="17" xfId="20" applyNumberFormat="1" applyFont="1" applyFill="1" applyBorder="1" applyProtection="1"/>
    <xf numFmtId="37" fontId="18" fillId="0" borderId="0" xfId="20" applyNumberFormat="1" applyFont="1" applyFill="1" applyBorder="1"/>
    <xf numFmtId="0" fontId="18" fillId="0" borderId="0" xfId="20" applyFont="1" applyFill="1" applyBorder="1" applyAlignment="1" applyProtection="1">
      <alignment horizontal="left"/>
    </xf>
    <xf numFmtId="0" fontId="18" fillId="0" borderId="0" xfId="20" applyFont="1" applyFill="1" applyBorder="1" applyProtection="1"/>
    <xf numFmtId="0" fontId="18" fillId="0" borderId="0" xfId="20" applyFont="1" applyFill="1" applyBorder="1" applyAlignment="1" applyProtection="1">
      <alignment horizontal="centerContinuous"/>
      <protection locked="0"/>
    </xf>
    <xf numFmtId="0" fontId="18" fillId="0" borderId="0" xfId="4" applyFont="1" applyFill="1"/>
    <xf numFmtId="0" fontId="18" fillId="0" borderId="0" xfId="4" applyFont="1" applyFill="1" applyBorder="1"/>
    <xf numFmtId="0" fontId="18" fillId="0" borderId="0" xfId="20" applyFont="1" applyFill="1" applyBorder="1" applyAlignment="1" applyProtection="1">
      <alignment horizontal="left"/>
      <protection locked="0"/>
    </xf>
    <xf numFmtId="0" fontId="42" fillId="0" borderId="0" xfId="20" applyFont="1" applyFill="1" applyBorder="1" applyAlignment="1">
      <alignment horizontal="centerContinuous"/>
    </xf>
    <xf numFmtId="0" fontId="42" fillId="0" borderId="0" xfId="20" applyFont="1" applyFill="1" applyBorder="1" applyAlignment="1" applyProtection="1">
      <alignment horizontal="center"/>
    </xf>
    <xf numFmtId="0" fontId="18" fillId="0" borderId="0" xfId="8" applyFont="1" applyFill="1" applyAlignment="1" applyProtection="1"/>
    <xf numFmtId="0" fontId="18" fillId="0" borderId="0" xfId="8" applyFont="1" applyFill="1" applyAlignment="1">
      <alignment horizontal="centerContinuous"/>
    </xf>
    <xf numFmtId="0" fontId="18" fillId="0" borderId="15" xfId="8" applyFont="1" applyFill="1" applyBorder="1" applyAlignment="1" applyProtection="1">
      <alignment horizontal="centerContinuous"/>
    </xf>
    <xf numFmtId="0" fontId="18" fillId="0" borderId="15" xfId="8" applyFont="1" applyFill="1" applyBorder="1" applyAlignment="1" applyProtection="1">
      <alignment horizontal="left"/>
    </xf>
    <xf numFmtId="0" fontId="18" fillId="0" borderId="0" xfId="8" applyFont="1" applyFill="1" applyProtection="1">
      <protection locked="0"/>
    </xf>
    <xf numFmtId="37" fontId="18" fillId="0" borderId="0" xfId="8" applyNumberFormat="1" applyFont="1" applyFill="1" applyProtection="1">
      <protection locked="0"/>
    </xf>
    <xf numFmtId="0" fontId="44" fillId="0" borderId="0" xfId="8" applyFont="1" applyFill="1" applyBorder="1"/>
    <xf numFmtId="37" fontId="44" fillId="0" borderId="0" xfId="8" applyNumberFormat="1" applyFont="1" applyFill="1" applyBorder="1" applyAlignment="1" applyProtection="1">
      <alignment horizontal="center"/>
    </xf>
    <xf numFmtId="39" fontId="18" fillId="0" borderId="0" xfId="8" applyNumberFormat="1" applyFont="1" applyFill="1" applyBorder="1"/>
    <xf numFmtId="165" fontId="18" fillId="0" borderId="0" xfId="8" applyNumberFormat="1" applyFont="1" applyFill="1" applyProtection="1"/>
    <xf numFmtId="37" fontId="18" fillId="0" borderId="18" xfId="8" applyNumberFormat="1" applyFont="1" applyFill="1" applyBorder="1" applyProtection="1"/>
    <xf numFmtId="0" fontId="18" fillId="0" borderId="0" xfId="8" quotePrefix="1" applyFont="1" applyFill="1"/>
    <xf numFmtId="0" fontId="42" fillId="0" borderId="0" xfId="8" applyFont="1" applyFill="1" applyBorder="1"/>
    <xf numFmtId="37" fontId="42" fillId="0" borderId="0" xfId="8" applyNumberFormat="1" applyFont="1" applyFill="1" applyBorder="1"/>
    <xf numFmtId="0" fontId="42" fillId="0" borderId="0" xfId="8" applyFont="1" applyFill="1" applyBorder="1" applyAlignment="1">
      <alignment horizontal="center"/>
    </xf>
    <xf numFmtId="0" fontId="72" fillId="0" borderId="0" xfId="8" applyFont="1" applyFill="1" applyBorder="1"/>
    <xf numFmtId="0" fontId="72" fillId="0" borderId="0" xfId="8" applyFont="1" applyFill="1"/>
    <xf numFmtId="0" fontId="18" fillId="0" borderId="0" xfId="8" applyFont="1" applyFill="1" applyAlignment="1">
      <alignment horizontal="left" indent="1"/>
    </xf>
    <xf numFmtId="37" fontId="44" fillId="0" borderId="0" xfId="8" applyNumberFormat="1" applyFont="1" applyFill="1"/>
    <xf numFmtId="37" fontId="44" fillId="0" borderId="0" xfId="8" applyNumberFormat="1" applyFont="1" applyFill="1" applyBorder="1"/>
    <xf numFmtId="0" fontId="18" fillId="0" borderId="0" xfId="8" applyFont="1" applyFill="1" applyBorder="1" applyAlignment="1">
      <alignment horizontal="left" indent="1"/>
    </xf>
    <xf numFmtId="37" fontId="18" fillId="0" borderId="17" xfId="8" applyNumberFormat="1" applyFont="1" applyFill="1" applyBorder="1"/>
    <xf numFmtId="0" fontId="18" fillId="0" borderId="42" xfId="8" applyFont="1" applyFill="1" applyBorder="1"/>
    <xf numFmtId="0" fontId="18" fillId="0" borderId="43" xfId="8" applyFont="1" applyFill="1" applyBorder="1"/>
    <xf numFmtId="200" fontId="18" fillId="0" borderId="43" xfId="8" applyNumberFormat="1" applyFont="1" applyFill="1" applyBorder="1"/>
    <xf numFmtId="200" fontId="18" fillId="0" borderId="44" xfId="8" applyNumberFormat="1" applyFont="1" applyFill="1" applyBorder="1"/>
    <xf numFmtId="0" fontId="18" fillId="0" borderId="45" xfId="8" applyFont="1" applyFill="1" applyBorder="1"/>
    <xf numFmtId="200" fontId="18" fillId="0" borderId="0" xfId="8" applyNumberFormat="1" applyFont="1" applyFill="1" applyBorder="1"/>
    <xf numFmtId="0" fontId="18" fillId="0" borderId="47" xfId="8" applyFont="1" applyFill="1" applyBorder="1"/>
    <xf numFmtId="0" fontId="18" fillId="0" borderId="1" xfId="8" applyFont="1" applyFill="1" applyBorder="1"/>
    <xf numFmtId="200" fontId="18" fillId="0" borderId="1" xfId="8" applyNumberFormat="1" applyFont="1" applyFill="1" applyBorder="1"/>
    <xf numFmtId="200" fontId="18" fillId="0" borderId="48" xfId="8" applyNumberFormat="1" applyFont="1" applyFill="1" applyBorder="1"/>
    <xf numFmtId="0" fontId="18" fillId="0" borderId="0" xfId="0" applyFont="1" applyFill="1" applyAlignment="1">
      <alignment horizontal="centerContinuous"/>
    </xf>
    <xf numFmtId="0" fontId="18" fillId="0" borderId="0" xfId="0" applyFont="1" applyFill="1" applyBorder="1" applyAlignment="1">
      <alignment horizontal="centerContinuous"/>
    </xf>
    <xf numFmtId="0" fontId="42" fillId="0" borderId="0" xfId="0" applyFont="1" applyFill="1" applyAlignment="1">
      <alignment horizontal="center"/>
    </xf>
    <xf numFmtId="37" fontId="18" fillId="0" borderId="16" xfId="0" applyNumberFormat="1" applyFont="1" applyFill="1" applyBorder="1"/>
    <xf numFmtId="0" fontId="18" fillId="0" borderId="0" xfId="21" applyNumberFormat="1" applyFont="1" applyFill="1" applyProtection="1"/>
    <xf numFmtId="0" fontId="18" fillId="0" borderId="0" xfId="21" applyNumberFormat="1" applyFont="1" applyFill="1"/>
    <xf numFmtId="0" fontId="18" fillId="0" borderId="0" xfId="21" applyFont="1" applyFill="1" applyAlignment="1" applyProtection="1">
      <alignment horizontal="centerContinuous"/>
    </xf>
    <xf numFmtId="0" fontId="18" fillId="0" borderId="0" xfId="21" applyFont="1" applyFill="1" applyAlignment="1">
      <alignment horizontal="centerContinuous"/>
    </xf>
    <xf numFmtId="0" fontId="18" fillId="0" borderId="0" xfId="21" applyFont="1" applyFill="1" applyProtection="1"/>
    <xf numFmtId="0" fontId="18" fillId="0" borderId="15" xfId="21" applyFont="1" applyFill="1" applyBorder="1" applyAlignment="1" applyProtection="1">
      <alignment horizontal="left"/>
    </xf>
    <xf numFmtId="0" fontId="18" fillId="0" borderId="15" xfId="21" applyFont="1" applyFill="1" applyBorder="1" applyAlignment="1" applyProtection="1">
      <alignment horizontal="fill"/>
    </xf>
    <xf numFmtId="0" fontId="18" fillId="0" borderId="15" xfId="21" applyFont="1" applyFill="1" applyBorder="1"/>
    <xf numFmtId="0" fontId="18" fillId="0" borderId="15" xfId="21" applyFont="1" applyFill="1" applyBorder="1" applyAlignment="1" applyProtection="1">
      <alignment horizontal="center"/>
    </xf>
    <xf numFmtId="0" fontId="34" fillId="0" borderId="0" xfId="21" applyFont="1" applyFill="1" applyAlignment="1" applyProtection="1">
      <alignment horizontal="left"/>
    </xf>
    <xf numFmtId="0" fontId="18" fillId="0" borderId="0" xfId="21" quotePrefix="1" applyFont="1" applyFill="1" applyAlignment="1" applyProtection="1">
      <alignment horizontal="center"/>
    </xf>
    <xf numFmtId="0" fontId="18" fillId="0" borderId="0" xfId="21" applyFont="1" applyFill="1" applyAlignment="1" applyProtection="1">
      <alignment horizontal="fill"/>
    </xf>
    <xf numFmtId="0" fontId="34" fillId="0" borderId="0" xfId="21" applyFont="1" applyFill="1"/>
    <xf numFmtId="0" fontId="18" fillId="0" borderId="0" xfId="21" applyNumberFormat="1" applyFont="1" applyFill="1" applyAlignment="1">
      <alignment horizontal="center"/>
    </xf>
    <xf numFmtId="164" fontId="18" fillId="0" borderId="0" xfId="21" applyNumberFormat="1" applyFont="1" applyFill="1" applyAlignment="1" applyProtection="1">
      <alignment horizontal="center"/>
    </xf>
    <xf numFmtId="37" fontId="18" fillId="0" borderId="0" xfId="21" applyNumberFormat="1" applyFont="1" applyFill="1" applyAlignment="1" applyProtection="1">
      <alignment horizontal="fill"/>
    </xf>
    <xf numFmtId="37" fontId="18" fillId="0" borderId="17" xfId="21" applyNumberFormat="1" applyFont="1" applyFill="1" applyBorder="1" applyProtection="1"/>
    <xf numFmtId="0" fontId="18" fillId="0" borderId="0" xfId="21" applyNumberFormat="1" applyFont="1" applyFill="1" applyAlignment="1">
      <alignment horizontal="right"/>
    </xf>
    <xf numFmtId="0" fontId="18" fillId="0" borderId="0" xfId="21" applyFont="1" applyFill="1" applyAlignment="1" applyProtection="1">
      <alignment horizontal="right"/>
    </xf>
    <xf numFmtId="37" fontId="18" fillId="0" borderId="2" xfId="21" applyNumberFormat="1" applyFont="1" applyFill="1" applyBorder="1"/>
    <xf numFmtId="165" fontId="18" fillId="0" borderId="0" xfId="21" applyNumberFormat="1" applyFont="1" applyFill="1" applyAlignment="1" applyProtection="1">
      <alignment horizontal="center"/>
    </xf>
    <xf numFmtId="43" fontId="18" fillId="0" borderId="0" xfId="1" applyFont="1" applyFill="1" applyAlignment="1" applyProtection="1">
      <alignment horizontal="center"/>
    </xf>
    <xf numFmtId="164" fontId="18" fillId="0" borderId="0" xfId="21" applyNumberFormat="1" applyFont="1" applyFill="1" applyProtection="1"/>
    <xf numFmtId="37" fontId="18" fillId="0" borderId="0" xfId="21" applyNumberFormat="1" applyFont="1" applyFill="1" applyBorder="1" applyProtection="1"/>
    <xf numFmtId="0" fontId="44" fillId="0" borderId="0" xfId="21" applyNumberFormat="1" applyFont="1" applyFill="1" applyProtection="1">
      <protection locked="0"/>
    </xf>
    <xf numFmtId="37" fontId="18" fillId="0" borderId="0" xfId="21" quotePrefix="1" applyNumberFormat="1" applyFont="1" applyFill="1" applyProtection="1"/>
    <xf numFmtId="0" fontId="18" fillId="0" borderId="0" xfId="21" quotePrefix="1" applyNumberFormat="1" applyFont="1" applyFill="1" applyAlignment="1" applyProtection="1">
      <alignment horizontal="right"/>
    </xf>
    <xf numFmtId="0" fontId="18" fillId="0" borderId="0" xfId="21" quotePrefix="1" applyNumberFormat="1" applyFont="1" applyFill="1" applyAlignment="1" applyProtection="1">
      <alignment horizontal="center"/>
    </xf>
    <xf numFmtId="3" fontId="18" fillId="0" borderId="0" xfId="21" quotePrefix="1" applyNumberFormat="1" applyFont="1" applyFill="1" applyAlignment="1" applyProtection="1">
      <alignment horizontal="center"/>
    </xf>
    <xf numFmtId="0" fontId="18" fillId="0" borderId="0" xfId="5" applyFont="1" applyFill="1" applyAlignment="1" applyProtection="1">
      <alignment horizontal="left"/>
    </xf>
    <xf numFmtId="37" fontId="18" fillId="0" borderId="15" xfId="21" applyNumberFormat="1" applyFont="1" applyFill="1" applyBorder="1" applyProtection="1"/>
    <xf numFmtId="0" fontId="18" fillId="0" borderId="0" xfId="21" applyFont="1" applyFill="1" applyBorder="1"/>
    <xf numFmtId="168" fontId="18" fillId="0" borderId="0" xfId="21" applyNumberFormat="1" applyFont="1" applyFill="1" applyProtection="1"/>
    <xf numFmtId="10" fontId="44" fillId="0" borderId="0" xfId="21" applyNumberFormat="1" applyFont="1" applyFill="1"/>
    <xf numFmtId="0" fontId="18" fillId="0" borderId="0" xfId="21" applyFont="1" applyFill="1" applyBorder="1" applyAlignment="1" applyProtection="1">
      <alignment horizontal="center"/>
    </xf>
    <xf numFmtId="0" fontId="42" fillId="0" borderId="0" xfId="21" applyNumberFormat="1" applyFont="1" applyFill="1" applyAlignment="1">
      <alignment horizontal="center"/>
    </xf>
    <xf numFmtId="37" fontId="18" fillId="0" borderId="0" xfId="21" applyNumberFormat="1" applyFont="1" applyFill="1" applyBorder="1"/>
    <xf numFmtId="37" fontId="72" fillId="0" borderId="0" xfId="21" applyNumberFormat="1" applyFont="1" applyFill="1" applyBorder="1"/>
    <xf numFmtId="37" fontId="72" fillId="0" borderId="0" xfId="8" applyNumberFormat="1" applyFont="1" applyFill="1" applyBorder="1"/>
    <xf numFmtId="37" fontId="18" fillId="0" borderId="0" xfId="21" applyNumberFormat="1" applyFont="1" applyFill="1" applyBorder="1" applyAlignment="1" applyProtection="1">
      <alignment horizontal="fill"/>
    </xf>
    <xf numFmtId="37" fontId="42" fillId="0" borderId="0" xfId="21" applyNumberFormat="1" applyFont="1" applyFill="1" applyBorder="1" applyAlignment="1">
      <alignment horizontal="center"/>
    </xf>
    <xf numFmtId="37" fontId="44" fillId="0" borderId="0" xfId="21" applyNumberFormat="1" applyFont="1" applyFill="1" applyBorder="1"/>
    <xf numFmtId="37" fontId="18" fillId="0" borderId="0" xfId="21" applyNumberFormat="1" applyFont="1" applyFill="1"/>
    <xf numFmtId="0" fontId="18" fillId="0" borderId="15" xfId="8" applyFont="1" applyFill="1" applyBorder="1" applyAlignment="1">
      <alignment horizontal="center"/>
    </xf>
    <xf numFmtId="191" fontId="18" fillId="0" borderId="0" xfId="12" quotePrefix="1" applyNumberFormat="1" applyFont="1" applyFill="1" applyBorder="1" applyAlignment="1" applyProtection="1">
      <alignment horizontal="right"/>
    </xf>
    <xf numFmtId="0" fontId="18" fillId="0" borderId="0" xfId="22" applyFont="1" applyFill="1" applyAlignment="1" applyProtection="1">
      <alignment horizontal="centerContinuous"/>
    </xf>
    <xf numFmtId="0" fontId="18" fillId="0" borderId="0" xfId="22" applyFont="1" applyFill="1" applyAlignment="1">
      <alignment horizontal="centerContinuous"/>
    </xf>
    <xf numFmtId="0" fontId="18" fillId="0" borderId="0" xfId="22" applyFont="1" applyFill="1"/>
    <xf numFmtId="37" fontId="18" fillId="0" borderId="0" xfId="22" applyNumberFormat="1" applyFont="1" applyFill="1" applyAlignment="1" applyProtection="1">
      <alignment horizontal="centerContinuous"/>
    </xf>
    <xf numFmtId="165" fontId="18" fillId="0" borderId="0" xfId="22" applyNumberFormat="1" applyFont="1" applyFill="1" applyAlignment="1" applyProtection="1">
      <alignment horizontal="centerContinuous"/>
    </xf>
    <xf numFmtId="165" fontId="34" fillId="0" borderId="0" xfId="22" applyNumberFormat="1" applyFont="1" applyFill="1" applyAlignment="1" applyProtection="1">
      <alignment horizontal="centerContinuous"/>
    </xf>
    <xf numFmtId="0" fontId="18" fillId="0" borderId="0" xfId="22" applyFont="1" applyFill="1" applyProtection="1"/>
    <xf numFmtId="0" fontId="18" fillId="0" borderId="0" xfId="22" quotePrefix="1" applyFont="1" applyFill="1" applyAlignment="1" applyProtection="1">
      <alignment horizontal="left"/>
    </xf>
    <xf numFmtId="0" fontId="18" fillId="0" borderId="0" xfId="22" applyFont="1" applyFill="1" applyAlignment="1" applyProtection="1">
      <alignment horizontal="left"/>
    </xf>
    <xf numFmtId="0" fontId="18" fillId="0" borderId="15" xfId="22" applyFont="1" applyFill="1" applyBorder="1" applyAlignment="1" applyProtection="1">
      <alignment horizontal="fill"/>
    </xf>
    <xf numFmtId="165" fontId="18" fillId="0" borderId="0" xfId="22" applyNumberFormat="1" applyFont="1" applyFill="1" applyAlignment="1" applyProtection="1">
      <alignment horizontal="center"/>
    </xf>
    <xf numFmtId="37" fontId="18" fillId="0" borderId="0" xfId="22" applyNumberFormat="1" applyFont="1" applyFill="1" applyAlignment="1" applyProtection="1">
      <alignment horizontal="center"/>
    </xf>
    <xf numFmtId="0" fontId="18" fillId="0" borderId="15" xfId="22" applyFont="1" applyFill="1" applyBorder="1" applyAlignment="1" applyProtection="1">
      <alignment horizontal="center"/>
    </xf>
    <xf numFmtId="0" fontId="18" fillId="0" borderId="15" xfId="22" applyFont="1" applyFill="1" applyBorder="1"/>
    <xf numFmtId="37" fontId="18" fillId="0" borderId="15" xfId="22" applyNumberFormat="1" applyFont="1" applyFill="1" applyBorder="1" applyAlignment="1" applyProtection="1">
      <alignment horizontal="center"/>
    </xf>
    <xf numFmtId="0" fontId="18" fillId="0" borderId="15" xfId="22" applyFont="1" applyFill="1" applyBorder="1" applyAlignment="1">
      <alignment horizontal="center"/>
    </xf>
    <xf numFmtId="0" fontId="18" fillId="0" borderId="15" xfId="22" applyFont="1" applyFill="1" applyBorder="1" applyAlignment="1" applyProtection="1">
      <alignment horizontal="right"/>
    </xf>
    <xf numFmtId="0" fontId="18" fillId="0" borderId="2" xfId="22" applyFont="1" applyFill="1" applyBorder="1"/>
    <xf numFmtId="0" fontId="34" fillId="0" borderId="0" xfId="22" applyFont="1" applyFill="1" applyAlignment="1" applyProtection="1">
      <alignment horizontal="left"/>
    </xf>
    <xf numFmtId="37" fontId="18" fillId="0" borderId="0" xfId="22" applyNumberFormat="1" applyFont="1" applyFill="1" applyProtection="1"/>
    <xf numFmtId="37" fontId="18" fillId="0" borderId="2" xfId="22" applyNumberFormat="1" applyFont="1" applyFill="1" applyBorder="1" applyProtection="1"/>
    <xf numFmtId="37" fontId="18" fillId="0" borderId="0" xfId="22" applyNumberFormat="1" applyFont="1" applyFill="1" applyAlignment="1" applyProtection="1">
      <alignment horizontal="right"/>
    </xf>
    <xf numFmtId="37" fontId="18" fillId="0" borderId="18" xfId="22" applyNumberFormat="1" applyFont="1" applyFill="1" applyBorder="1" applyProtection="1"/>
    <xf numFmtId="0" fontId="18" fillId="0" borderId="0" xfId="22" applyFont="1" applyFill="1" applyBorder="1"/>
    <xf numFmtId="37" fontId="18" fillId="0" borderId="0" xfId="22" applyNumberFormat="1" applyFont="1" applyFill="1" applyBorder="1" applyProtection="1"/>
    <xf numFmtId="37" fontId="18" fillId="0" borderId="15" xfId="22" applyNumberFormat="1" applyFont="1" applyFill="1" applyBorder="1" applyProtection="1"/>
    <xf numFmtId="0" fontId="18" fillId="0" borderId="0" xfId="22" applyFont="1" applyFill="1" applyAlignment="1">
      <alignment horizontal="center"/>
    </xf>
    <xf numFmtId="37" fontId="18" fillId="0" borderId="0" xfId="22" applyNumberFormat="1" applyFont="1" applyFill="1"/>
    <xf numFmtId="37" fontId="18" fillId="0" borderId="17" xfId="22" applyNumberFormat="1" applyFont="1" applyFill="1" applyBorder="1" applyProtection="1"/>
    <xf numFmtId="10" fontId="18" fillId="0" borderId="0" xfId="22" applyNumberFormat="1" applyFont="1" applyFill="1"/>
    <xf numFmtId="0" fontId="34" fillId="0" borderId="0" xfId="22" applyFont="1" applyFill="1"/>
    <xf numFmtId="37" fontId="98" fillId="0" borderId="0" xfId="22" applyNumberFormat="1" applyFont="1" applyFill="1" applyProtection="1"/>
    <xf numFmtId="0" fontId="18" fillId="0" borderId="18" xfId="22" applyFont="1" applyFill="1" applyBorder="1"/>
    <xf numFmtId="0" fontId="18" fillId="0" borderId="18" xfId="22" applyFont="1" applyFill="1" applyBorder="1" applyAlignment="1" applyProtection="1">
      <alignment horizontal="center"/>
    </xf>
    <xf numFmtId="0" fontId="18" fillId="0" borderId="0" xfId="22" applyFont="1" applyFill="1" applyBorder="1" applyAlignment="1" applyProtection="1">
      <alignment horizontal="center"/>
    </xf>
    <xf numFmtId="37" fontId="18" fillId="0" borderId="0" xfId="22" applyNumberFormat="1" applyFont="1" applyFill="1" applyBorder="1" applyAlignment="1" applyProtection="1">
      <alignment horizontal="right"/>
    </xf>
    <xf numFmtId="0" fontId="18" fillId="0" borderId="0" xfId="22" applyFont="1" applyFill="1" applyBorder="1" applyAlignment="1" applyProtection="1">
      <alignment horizontal="fill"/>
    </xf>
    <xf numFmtId="0" fontId="18" fillId="0" borderId="2" xfId="22" applyFont="1" applyFill="1" applyBorder="1" applyAlignment="1" applyProtection="1">
      <alignment horizontal="center"/>
    </xf>
    <xf numFmtId="37" fontId="44" fillId="0" borderId="0" xfId="22" applyNumberFormat="1" applyFont="1" applyFill="1" applyProtection="1"/>
    <xf numFmtId="0" fontId="18" fillId="0" borderId="15" xfId="22" applyFont="1" applyFill="1" applyBorder="1" applyAlignment="1" applyProtection="1">
      <alignment horizontal="centerContinuous"/>
    </xf>
    <xf numFmtId="165" fontId="18" fillId="0" borderId="0" xfId="22" applyNumberFormat="1" applyFont="1" applyFill="1" applyBorder="1" applyAlignment="1" applyProtection="1">
      <alignment horizontal="centerContinuous"/>
    </xf>
    <xf numFmtId="0" fontId="18" fillId="0" borderId="0" xfId="22" applyFont="1" applyFill="1" applyBorder="1" applyAlignment="1">
      <alignment horizontal="centerContinuous"/>
    </xf>
    <xf numFmtId="165" fontId="44" fillId="0" borderId="0" xfId="22" applyNumberFormat="1" applyFont="1" applyFill="1" applyAlignment="1" applyProtection="1">
      <alignment horizontal="centerContinuous"/>
    </xf>
    <xf numFmtId="37" fontId="18" fillId="0" borderId="0" xfId="22" applyNumberFormat="1" applyFont="1" applyFill="1" applyBorder="1"/>
    <xf numFmtId="37" fontId="72" fillId="0" borderId="0" xfId="22" applyNumberFormat="1" applyFont="1" applyFill="1" applyProtection="1"/>
    <xf numFmtId="0" fontId="34" fillId="0" borderId="0" xfId="4" applyFont="1" applyFill="1" applyAlignment="1">
      <alignment horizontal="left"/>
    </xf>
    <xf numFmtId="0" fontId="18" fillId="0" borderId="0" xfId="4" applyFont="1" applyFill="1" applyAlignment="1">
      <alignment horizontal="center"/>
    </xf>
    <xf numFmtId="0" fontId="34" fillId="0" borderId="0" xfId="4" applyFont="1" applyFill="1"/>
    <xf numFmtId="0" fontId="18" fillId="0" borderId="0" xfId="22" applyFont="1" applyFill="1" applyBorder="1" applyAlignment="1" applyProtection="1">
      <alignment horizontal="centerContinuous"/>
    </xf>
    <xf numFmtId="37" fontId="18" fillId="0" borderId="0" xfId="22" applyNumberFormat="1" applyFont="1" applyFill="1" applyBorder="1" applyAlignment="1" applyProtection="1">
      <alignment horizontal="centerContinuous"/>
    </xf>
    <xf numFmtId="0" fontId="18" fillId="0" borderId="0" xfId="22" applyFont="1" applyFill="1" applyBorder="1" applyAlignment="1">
      <alignment horizontal="right"/>
    </xf>
    <xf numFmtId="37" fontId="33" fillId="0" borderId="0" xfId="5" applyNumberFormat="1" applyFont="1" applyFill="1"/>
    <xf numFmtId="0" fontId="18" fillId="0" borderId="0" xfId="5" applyFont="1" applyFill="1"/>
    <xf numFmtId="0" fontId="18" fillId="0" borderId="0" xfId="26" applyFont="1" applyFill="1"/>
    <xf numFmtId="194" fontId="18" fillId="0" borderId="0" xfId="23" applyNumberFormat="1" applyFont="1" applyFill="1" applyProtection="1"/>
    <xf numFmtId="0" fontId="18" fillId="0" borderId="0" xfId="5" applyFont="1" applyFill="1" applyAlignment="1">
      <alignment horizontal="center"/>
    </xf>
    <xf numFmtId="0" fontId="18" fillId="0" borderId="0" xfId="5" applyFont="1" applyFill="1" applyBorder="1" applyAlignment="1" applyProtection="1">
      <alignment horizontal="center"/>
    </xf>
    <xf numFmtId="37" fontId="44" fillId="0" borderId="0" xfId="5" applyNumberFormat="1" applyFont="1" applyFill="1" applyBorder="1" applyProtection="1"/>
    <xf numFmtId="37" fontId="18" fillId="0" borderId="0" xfId="5" applyNumberFormat="1" applyFont="1" applyFill="1" applyBorder="1" applyProtection="1"/>
    <xf numFmtId="181" fontId="18" fillId="0" borderId="0" xfId="12" applyFont="1" applyFill="1" applyAlignment="1" applyProtection="1">
      <alignment horizontal="centerContinuous"/>
    </xf>
    <xf numFmtId="181" fontId="18" fillId="0" borderId="0" xfId="12" applyFont="1" applyFill="1" applyAlignment="1">
      <alignment horizontal="centerContinuous"/>
    </xf>
    <xf numFmtId="181" fontId="18" fillId="0" borderId="0" xfId="12" applyFont="1" applyFill="1"/>
    <xf numFmtId="181" fontId="18" fillId="0" borderId="0" xfId="12" applyFont="1" applyFill="1" applyBorder="1" applyAlignment="1">
      <alignment horizontal="centerContinuous"/>
    </xf>
    <xf numFmtId="181" fontId="18" fillId="0" borderId="0" xfId="12" applyFont="1" applyFill="1" applyBorder="1"/>
    <xf numFmtId="0" fontId="18" fillId="0" borderId="0" xfId="58" applyFont="1" applyFill="1"/>
    <xf numFmtId="0" fontId="18" fillId="0" borderId="0" xfId="59" applyFont="1" applyFill="1" applyProtection="1"/>
    <xf numFmtId="0" fontId="18" fillId="0" borderId="0" xfId="47" applyFont="1" applyFill="1" applyAlignment="1" applyProtection="1">
      <alignment horizontal="left"/>
    </xf>
    <xf numFmtId="181" fontId="18" fillId="0" borderId="0" xfId="12" applyFont="1" applyFill="1" applyAlignment="1">
      <alignment horizontal="center"/>
    </xf>
    <xf numFmtId="181" fontId="18" fillId="0" borderId="15" xfId="12" applyFont="1" applyFill="1" applyBorder="1" applyAlignment="1" applyProtection="1">
      <alignment horizontal="center"/>
    </xf>
    <xf numFmtId="37" fontId="18" fillId="0" borderId="0" xfId="12" applyNumberFormat="1" applyFont="1" applyFill="1" applyBorder="1" applyProtection="1">
      <protection locked="0"/>
    </xf>
    <xf numFmtId="37" fontId="18" fillId="0" borderId="0" xfId="12" applyNumberFormat="1" applyFont="1" applyFill="1" applyProtection="1"/>
    <xf numFmtId="37" fontId="18" fillId="0" borderId="15" xfId="12" applyNumberFormat="1" applyFont="1" applyFill="1" applyBorder="1" applyProtection="1"/>
    <xf numFmtId="181" fontId="18" fillId="0" borderId="0" xfId="12" quotePrefix="1" applyFont="1" applyFill="1" applyAlignment="1" applyProtection="1">
      <alignment horizontal="left"/>
    </xf>
    <xf numFmtId="37" fontId="18" fillId="0" borderId="17" xfId="12" applyNumberFormat="1" applyFont="1" applyFill="1" applyBorder="1" applyProtection="1"/>
    <xf numFmtId="37" fontId="98" fillId="0" borderId="0" xfId="12" applyNumberFormat="1" applyFont="1" applyFill="1" applyBorder="1" applyProtection="1"/>
    <xf numFmtId="181" fontId="18" fillId="0" borderId="0" xfId="12" applyFont="1" applyFill="1" applyBorder="1" applyAlignment="1" applyProtection="1">
      <alignment horizontal="left"/>
    </xf>
    <xf numFmtId="0" fontId="18" fillId="0" borderId="0" xfId="3" applyFont="1" applyFill="1" applyAlignment="1" applyProtection="1">
      <alignment horizontal="centerContinuous"/>
    </xf>
    <xf numFmtId="183" fontId="18" fillId="0" borderId="0" xfId="1" applyNumberFormat="1" applyFont="1" applyFill="1" applyAlignment="1" applyProtection="1">
      <alignment horizontal="centerContinuous"/>
    </xf>
    <xf numFmtId="0" fontId="18" fillId="0" borderId="0" xfId="3" applyFont="1" applyFill="1"/>
    <xf numFmtId="0" fontId="18" fillId="0" borderId="0" xfId="3" applyFont="1" applyFill="1" applyAlignment="1">
      <alignment horizontal="centerContinuous"/>
    </xf>
    <xf numFmtId="183" fontId="18" fillId="0" borderId="0" xfId="1" applyNumberFormat="1" applyFont="1" applyFill="1" applyAlignment="1">
      <alignment horizontal="centerContinuous"/>
    </xf>
    <xf numFmtId="0" fontId="18" fillId="0" borderId="0" xfId="3" applyFont="1" applyFill="1" applyProtection="1"/>
    <xf numFmtId="0" fontId="18" fillId="0" borderId="0" xfId="3" applyFont="1" applyFill="1" applyAlignment="1" applyProtection="1">
      <alignment horizontal="left"/>
    </xf>
    <xf numFmtId="0" fontId="18" fillId="0" borderId="0" xfId="3" applyFont="1" applyFill="1" applyBorder="1" applyProtection="1"/>
    <xf numFmtId="0" fontId="18" fillId="0" borderId="15" xfId="3" applyFont="1" applyFill="1" applyBorder="1" applyProtection="1"/>
    <xf numFmtId="183" fontId="18" fillId="0" borderId="15" xfId="1" applyNumberFormat="1" applyFont="1" applyFill="1" applyBorder="1" applyProtection="1"/>
    <xf numFmtId="0" fontId="18" fillId="0" borderId="15" xfId="3" applyFont="1" applyFill="1" applyBorder="1"/>
    <xf numFmtId="0" fontId="18" fillId="0" borderId="0" xfId="3" applyFont="1" applyFill="1" applyAlignment="1" applyProtection="1">
      <alignment horizontal="center"/>
    </xf>
    <xf numFmtId="183" fontId="18" fillId="0" borderId="0" xfId="1" applyNumberFormat="1" applyFont="1" applyFill="1" applyAlignment="1" applyProtection="1">
      <alignment horizontal="center"/>
    </xf>
    <xf numFmtId="0" fontId="44" fillId="0" borderId="2" xfId="3" applyFont="1" applyFill="1" applyBorder="1" applyAlignment="1" applyProtection="1">
      <alignment horizontal="centerContinuous"/>
    </xf>
    <xf numFmtId="0" fontId="18" fillId="0" borderId="2" xfId="3" applyFont="1" applyFill="1" applyBorder="1" applyAlignment="1" applyProtection="1">
      <alignment horizontal="centerContinuous"/>
    </xf>
    <xf numFmtId="0" fontId="18" fillId="0" borderId="15" xfId="3" applyFont="1" applyFill="1" applyBorder="1" applyAlignment="1" applyProtection="1">
      <alignment horizontal="center"/>
    </xf>
    <xf numFmtId="0" fontId="18" fillId="0" borderId="15" xfId="3" applyFont="1" applyFill="1" applyBorder="1" applyAlignment="1">
      <alignment horizontal="center"/>
    </xf>
    <xf numFmtId="183" fontId="18" fillId="0" borderId="15" xfId="1" applyNumberFormat="1" applyFont="1" applyFill="1" applyBorder="1" applyAlignment="1" applyProtection="1">
      <alignment horizontal="center"/>
    </xf>
    <xf numFmtId="0" fontId="98" fillId="0" borderId="0" xfId="3" applyFont="1" applyFill="1" applyProtection="1"/>
    <xf numFmtId="183" fontId="98" fillId="0" borderId="0" xfId="1" applyNumberFormat="1" applyFont="1" applyFill="1" applyProtection="1"/>
    <xf numFmtId="0" fontId="34" fillId="0" borderId="0" xfId="3" applyFont="1" applyFill="1" applyAlignment="1" applyProtection="1">
      <alignment horizontal="left"/>
    </xf>
    <xf numFmtId="0" fontId="34" fillId="0" borderId="0" xfId="3" applyFont="1" applyFill="1" applyProtection="1"/>
    <xf numFmtId="0" fontId="42" fillId="0" borderId="0" xfId="3" quotePrefix="1" applyFont="1" applyFill="1" applyAlignment="1" applyProtection="1">
      <alignment horizontal="left"/>
    </xf>
    <xf numFmtId="0" fontId="34" fillId="0" borderId="0" xfId="3" applyFont="1" applyFill="1"/>
    <xf numFmtId="0" fontId="18" fillId="0" borderId="0" xfId="3" applyFont="1" applyFill="1" applyBorder="1"/>
    <xf numFmtId="183" fontId="44" fillId="0" borderId="0" xfId="1" applyNumberFormat="1" applyFont="1" applyFill="1"/>
    <xf numFmtId="37" fontId="42" fillId="0" borderId="0" xfId="3" quotePrefix="1" applyNumberFormat="1" applyFont="1" applyFill="1" applyAlignment="1" applyProtection="1">
      <alignment horizontal="left"/>
    </xf>
    <xf numFmtId="37" fontId="18" fillId="0" borderId="0" xfId="3" applyNumberFormat="1" applyFont="1" applyFill="1" applyAlignment="1" applyProtection="1">
      <alignment horizontal="left"/>
    </xf>
    <xf numFmtId="0" fontId="44" fillId="0" borderId="0" xfId="3" applyFont="1" applyFill="1"/>
    <xf numFmtId="10" fontId="44" fillId="0" borderId="0" xfId="1" applyNumberFormat="1" applyFont="1" applyFill="1" applyAlignment="1">
      <alignment horizontal="right"/>
    </xf>
    <xf numFmtId="0" fontId="18" fillId="0" borderId="0" xfId="3" applyFont="1" applyFill="1" applyAlignment="1">
      <alignment horizontal="center"/>
    </xf>
    <xf numFmtId="183" fontId="98" fillId="0" borderId="0" xfId="1" applyNumberFormat="1" applyFont="1" applyFill="1"/>
    <xf numFmtId="0" fontId="98" fillId="0" borderId="0" xfId="3" applyFont="1" applyFill="1"/>
    <xf numFmtId="0" fontId="18" fillId="0" borderId="0" xfId="3" applyFont="1" applyFill="1" applyAlignment="1">
      <alignment horizontal="left"/>
    </xf>
    <xf numFmtId="186" fontId="18" fillId="0" borderId="0" xfId="12" applyNumberFormat="1" applyFont="1" applyFill="1" applyAlignment="1">
      <alignment horizontal="centerContinuous"/>
    </xf>
    <xf numFmtId="186" fontId="18" fillId="0" borderId="0" xfId="12" applyNumberFormat="1" applyFont="1" applyFill="1"/>
    <xf numFmtId="0" fontId="18" fillId="0" borderId="0" xfId="53" applyFont="1" applyFill="1" applyProtection="1"/>
    <xf numFmtId="0" fontId="18" fillId="0" borderId="0" xfId="3" applyFont="1" applyFill="1" applyAlignment="1" applyProtection="1"/>
    <xf numFmtId="182" fontId="18" fillId="0" borderId="0" xfId="1" applyNumberFormat="1" applyFont="1" applyFill="1"/>
    <xf numFmtId="0" fontId="18" fillId="0" borderId="0" xfId="3" quotePrefix="1" applyFont="1" applyFill="1" applyAlignment="1" applyProtection="1">
      <alignment horizontal="left"/>
    </xf>
    <xf numFmtId="0" fontId="18" fillId="0" borderId="0" xfId="54" applyFont="1" applyFill="1"/>
    <xf numFmtId="181" fontId="18" fillId="0" borderId="0" xfId="12" applyFont="1" applyFill="1" applyAlignment="1" applyProtection="1">
      <alignment horizontal="center"/>
    </xf>
    <xf numFmtId="181" fontId="18" fillId="0" borderId="15" xfId="12" applyNumberFormat="1" applyFont="1" applyFill="1" applyBorder="1" applyAlignment="1" applyProtection="1">
      <alignment horizontal="center"/>
      <protection locked="0"/>
    </xf>
    <xf numFmtId="172" fontId="18" fillId="0" borderId="0" xfId="1" applyNumberFormat="1" applyFont="1" applyFill="1"/>
    <xf numFmtId="172" fontId="44" fillId="0" borderId="0" xfId="1" applyNumberFormat="1" applyFont="1" applyFill="1"/>
    <xf numFmtId="0" fontId="18" fillId="0" borderId="0" xfId="3" quotePrefix="1" applyFont="1" applyFill="1" applyAlignment="1">
      <alignment horizontal="left"/>
    </xf>
    <xf numFmtId="172" fontId="18" fillId="0" borderId="15" xfId="1" applyNumberFormat="1" applyFont="1" applyFill="1" applyBorder="1"/>
    <xf numFmtId="172" fontId="44" fillId="0" borderId="15" xfId="1" applyNumberFormat="1" applyFont="1" applyFill="1" applyBorder="1"/>
    <xf numFmtId="172" fontId="18" fillId="0" borderId="2" xfId="1" applyNumberFormat="1" applyFont="1" applyFill="1" applyBorder="1"/>
    <xf numFmtId="0" fontId="102" fillId="0" borderId="0" xfId="3" applyFont="1" applyFill="1"/>
    <xf numFmtId="41" fontId="18" fillId="0" borderId="0" xfId="1" applyNumberFormat="1" applyFont="1" applyFill="1"/>
    <xf numFmtId="41" fontId="44" fillId="0" borderId="0" xfId="1" applyNumberFormat="1" applyFont="1" applyFill="1"/>
    <xf numFmtId="0" fontId="18" fillId="0" borderId="0" xfId="3" quotePrefix="1" applyFont="1" applyFill="1"/>
    <xf numFmtId="2" fontId="18" fillId="0" borderId="0" xfId="1" applyNumberFormat="1" applyFont="1" applyFill="1"/>
    <xf numFmtId="0" fontId="34" fillId="0" borderId="0" xfId="3" applyFont="1" applyFill="1" applyAlignment="1">
      <alignment horizontal="left"/>
    </xf>
    <xf numFmtId="43" fontId="18" fillId="0" borderId="0" xfId="1" applyFont="1" applyFill="1"/>
    <xf numFmtId="43" fontId="44" fillId="0" borderId="0" xfId="1" applyFont="1" applyFill="1"/>
    <xf numFmtId="0" fontId="18" fillId="0" borderId="15" xfId="3" applyFont="1" applyFill="1" applyBorder="1" applyAlignment="1" applyProtection="1"/>
    <xf numFmtId="183" fontId="18" fillId="0" borderId="0" xfId="1" applyNumberFormat="1" applyFont="1" applyFill="1" applyBorder="1" applyProtection="1"/>
    <xf numFmtId="43" fontId="103" fillId="0" borderId="0" xfId="1" applyFont="1" applyFill="1"/>
    <xf numFmtId="0" fontId="45" fillId="0" borderId="0" xfId="3" applyFont="1" applyFill="1" applyAlignment="1">
      <alignment horizontal="left"/>
    </xf>
    <xf numFmtId="43" fontId="44" fillId="0" borderId="0" xfId="1" applyFont="1" applyFill="1" applyAlignment="1">
      <alignment horizontal="left"/>
    </xf>
    <xf numFmtId="183" fontId="44" fillId="0" borderId="0" xfId="1" applyNumberFormat="1" applyFont="1" applyFill="1" applyAlignment="1">
      <alignment horizontal="left"/>
    </xf>
    <xf numFmtId="43" fontId="98" fillId="0" borderId="0" xfId="1" applyFont="1" applyFill="1"/>
    <xf numFmtId="0" fontId="18" fillId="0" borderId="15" xfId="1" applyNumberFormat="1" applyFont="1" applyFill="1" applyBorder="1" applyAlignment="1" applyProtection="1">
      <alignment horizontal="center"/>
    </xf>
    <xf numFmtId="0" fontId="44" fillId="0" borderId="0" xfId="3" quotePrefix="1" applyFont="1" applyFill="1" applyAlignment="1">
      <alignment horizontal="center"/>
    </xf>
    <xf numFmtId="3" fontId="18" fillId="0" borderId="0" xfId="3" quotePrefix="1" applyNumberFormat="1" applyFont="1" applyFill="1" applyAlignment="1">
      <alignment horizontal="center"/>
    </xf>
    <xf numFmtId="0" fontId="18" fillId="0" borderId="0" xfId="3" applyFont="1" applyFill="1" applyAlignment="1"/>
    <xf numFmtId="0" fontId="44" fillId="0" borderId="0" xfId="3" applyFont="1" applyFill="1" applyAlignment="1"/>
    <xf numFmtId="4" fontId="18" fillId="0" borderId="0" xfId="1" applyNumberFormat="1" applyFont="1" applyFill="1"/>
    <xf numFmtId="2" fontId="44" fillId="0" borderId="0" xfId="3" applyNumberFormat="1" applyFont="1" applyFill="1" applyAlignment="1">
      <alignment horizontal="center"/>
    </xf>
    <xf numFmtId="4" fontId="18" fillId="0" borderId="0" xfId="3" applyNumberFormat="1" applyFont="1" applyFill="1" applyAlignment="1"/>
    <xf numFmtId="0" fontId="44" fillId="0" borderId="0" xfId="3" applyFont="1" applyFill="1" applyAlignment="1">
      <alignment horizontal="right"/>
    </xf>
    <xf numFmtId="4" fontId="44" fillId="0" borderId="0" xfId="3" applyNumberFormat="1" applyFont="1" applyFill="1" applyAlignment="1">
      <alignment horizontal="right"/>
    </xf>
    <xf numFmtId="2" fontId="44" fillId="0" borderId="0" xfId="3" applyNumberFormat="1" applyFont="1" applyFill="1"/>
    <xf numFmtId="39" fontId="44" fillId="0" borderId="0" xfId="3" applyNumberFormat="1" applyFont="1" applyFill="1"/>
    <xf numFmtId="39" fontId="18" fillId="0" borderId="0" xfId="3" applyNumberFormat="1" applyFont="1" applyFill="1"/>
    <xf numFmtId="183" fontId="18" fillId="0" borderId="2" xfId="1" applyNumberFormat="1" applyFont="1" applyFill="1" applyBorder="1"/>
    <xf numFmtId="185" fontId="18" fillId="0" borderId="0" xfId="3" applyNumberFormat="1" applyFont="1" applyFill="1"/>
    <xf numFmtId="185" fontId="18" fillId="0" borderId="2" xfId="3" applyNumberFormat="1" applyFont="1" applyFill="1" applyBorder="1"/>
    <xf numFmtId="0" fontId="44" fillId="0" borderId="0" xfId="8" applyFont="1" applyFill="1" applyAlignment="1" applyProtection="1">
      <alignment horizontal="centerContinuous"/>
    </xf>
    <xf numFmtId="175" fontId="18" fillId="0" borderId="0" xfId="8" applyNumberFormat="1" applyFont="1" applyFill="1" applyAlignment="1" applyProtection="1">
      <alignment horizontal="centerContinuous"/>
      <protection locked="0"/>
    </xf>
    <xf numFmtId="37" fontId="18" fillId="0" borderId="0" xfId="8" applyNumberFormat="1" applyFont="1" applyFill="1" applyAlignment="1" applyProtection="1">
      <alignment horizontal="centerContinuous"/>
    </xf>
    <xf numFmtId="10" fontId="18" fillId="0" borderId="0" xfId="8" applyNumberFormat="1" applyFont="1" applyFill="1" applyAlignment="1" applyProtection="1">
      <alignment horizontal="centerContinuous"/>
    </xf>
    <xf numFmtId="0" fontId="18" fillId="0" borderId="0" xfId="8" applyFont="1" applyFill="1" applyAlignment="1"/>
    <xf numFmtId="0" fontId="18" fillId="0" borderId="18" xfId="8" applyFont="1" applyFill="1" applyBorder="1"/>
    <xf numFmtId="0" fontId="18" fillId="0" borderId="18" xfId="8" applyFont="1" applyFill="1" applyBorder="1" applyProtection="1">
      <protection locked="0"/>
    </xf>
    <xf numFmtId="175" fontId="18" fillId="0" borderId="0" xfId="8" applyNumberFormat="1" applyFont="1" applyFill="1" applyProtection="1">
      <protection locked="0"/>
    </xf>
    <xf numFmtId="10" fontId="18" fillId="0" borderId="0" xfId="8" applyNumberFormat="1" applyFont="1" applyFill="1"/>
    <xf numFmtId="166" fontId="18" fillId="0" borderId="0" xfId="65" applyNumberFormat="1" applyFont="1" applyFill="1" applyAlignment="1">
      <alignment horizontal="left"/>
    </xf>
    <xf numFmtId="183" fontId="18" fillId="0" borderId="16" xfId="1" applyNumberFormat="1" applyFont="1" applyFill="1" applyBorder="1" applyProtection="1"/>
    <xf numFmtId="0" fontId="104" fillId="0" borderId="0" xfId="8" applyFont="1" applyFill="1" applyAlignment="1">
      <alignment horizontal="right"/>
    </xf>
    <xf numFmtId="183" fontId="104" fillId="0" borderId="0" xfId="1" applyNumberFormat="1" applyFont="1" applyFill="1"/>
    <xf numFmtId="0" fontId="98" fillId="0" borderId="0" xfId="8" applyFont="1" applyFill="1"/>
    <xf numFmtId="0" fontId="103" fillId="0" borderId="0" xfId="8" applyFont="1" applyFill="1"/>
    <xf numFmtId="183" fontId="103" fillId="0" borderId="0" xfId="1" applyNumberFormat="1" applyFont="1" applyFill="1" applyBorder="1" applyProtection="1">
      <protection locked="0"/>
    </xf>
    <xf numFmtId="166" fontId="103" fillId="0" borderId="0" xfId="65" applyNumberFormat="1" applyFont="1" applyFill="1" applyProtection="1">
      <protection locked="0"/>
    </xf>
    <xf numFmtId="0" fontId="18" fillId="0" borderId="0" xfId="59" applyFont="1" applyFill="1" applyAlignment="1">
      <alignment horizontal="centerContinuous"/>
    </xf>
    <xf numFmtId="0" fontId="18" fillId="0" borderId="0" xfId="59" applyFont="1" applyFill="1" applyAlignment="1">
      <alignment horizontal="center"/>
    </xf>
    <xf numFmtId="0" fontId="18" fillId="0" borderId="0" xfId="59" applyFont="1" applyFill="1"/>
    <xf numFmtId="0" fontId="18" fillId="0" borderId="15" xfId="59" applyFont="1" applyFill="1" applyBorder="1" applyAlignment="1" applyProtection="1">
      <alignment horizontal="fill"/>
    </xf>
    <xf numFmtId="0" fontId="18" fillId="0" borderId="0" xfId="59" applyFont="1" applyFill="1" applyAlignment="1" applyProtection="1">
      <alignment horizontal="center"/>
    </xf>
    <xf numFmtId="0" fontId="18" fillId="0" borderId="0" xfId="59" applyFont="1" applyFill="1" applyBorder="1" applyAlignment="1" applyProtection="1">
      <alignment horizontal="center"/>
    </xf>
    <xf numFmtId="0" fontId="18" fillId="0" borderId="15" xfId="59" applyFont="1" applyFill="1" applyBorder="1" applyAlignment="1" applyProtection="1">
      <alignment horizontal="center"/>
    </xf>
    <xf numFmtId="0" fontId="18" fillId="0" borderId="0" xfId="59" applyFont="1" applyFill="1" applyAlignment="1" applyProtection="1"/>
    <xf numFmtId="37" fontId="44" fillId="0" borderId="0" xfId="59" applyNumberFormat="1" applyFont="1" applyFill="1" applyProtection="1">
      <protection locked="0"/>
    </xf>
    <xf numFmtId="166" fontId="18" fillId="0" borderId="0" xfId="59" applyNumberFormat="1" applyFont="1" applyFill="1" applyProtection="1"/>
    <xf numFmtId="10" fontId="18" fillId="0" borderId="0" xfId="59" applyNumberFormat="1" applyFont="1" applyFill="1" applyProtection="1"/>
    <xf numFmtId="166" fontId="18" fillId="0" borderId="0" xfId="59" applyNumberFormat="1" applyFont="1" applyFill="1" applyProtection="1">
      <protection locked="0"/>
    </xf>
    <xf numFmtId="166" fontId="44" fillId="0" borderId="0" xfId="59" applyNumberFormat="1" applyFont="1" applyFill="1" applyProtection="1">
      <protection locked="0"/>
    </xf>
    <xf numFmtId="37" fontId="18" fillId="0" borderId="0" xfId="59" applyNumberFormat="1" applyFont="1" applyFill="1" applyProtection="1">
      <protection locked="0"/>
    </xf>
    <xf numFmtId="0" fontId="18" fillId="0" borderId="0" xfId="59" applyFont="1" applyFill="1" applyAlignment="1"/>
    <xf numFmtId="37" fontId="18" fillId="0" borderId="0" xfId="59" applyNumberFormat="1" applyFont="1" applyFill="1" applyAlignment="1" applyProtection="1">
      <alignment horizontal="center"/>
    </xf>
    <xf numFmtId="37" fontId="18" fillId="0" borderId="0" xfId="59" applyNumberFormat="1" applyFont="1" applyFill="1" applyProtection="1"/>
    <xf numFmtId="166" fontId="42" fillId="0" borderId="0" xfId="59" applyNumberFormat="1" applyFont="1" applyFill="1" applyProtection="1"/>
    <xf numFmtId="178" fontId="44" fillId="0" borderId="0" xfId="59" applyNumberFormat="1" applyFont="1" applyFill="1" applyProtection="1">
      <protection locked="0"/>
    </xf>
    <xf numFmtId="166" fontId="18" fillId="0" borderId="0" xfId="59" applyNumberFormat="1" applyFont="1" applyFill="1"/>
    <xf numFmtId="37" fontId="97" fillId="0" borderId="0" xfId="59" applyNumberFormat="1" applyFont="1" applyFill="1" applyProtection="1"/>
    <xf numFmtId="166" fontId="97" fillId="0" borderId="0" xfId="59" applyNumberFormat="1" applyFont="1" applyFill="1" applyProtection="1"/>
    <xf numFmtId="37" fontId="18" fillId="0" borderId="0" xfId="59" applyNumberFormat="1" applyFont="1" applyFill="1" applyAlignment="1" applyProtection="1">
      <alignment horizontal="right"/>
    </xf>
    <xf numFmtId="166" fontId="18" fillId="0" borderId="0" xfId="59" applyNumberFormat="1" applyFont="1" applyFill="1" applyAlignment="1" applyProtection="1">
      <alignment horizontal="right"/>
    </xf>
    <xf numFmtId="178" fontId="18" fillId="0" borderId="0" xfId="59" applyNumberFormat="1" applyFont="1" applyFill="1" applyAlignment="1" applyProtection="1">
      <alignment horizontal="right"/>
    </xf>
    <xf numFmtId="178" fontId="18" fillId="0" borderId="0" xfId="59" applyNumberFormat="1" applyFont="1" applyFill="1" applyProtection="1"/>
    <xf numFmtId="37" fontId="42" fillId="0" borderId="0" xfId="59" applyNumberFormat="1" applyFont="1" applyFill="1" applyProtection="1">
      <protection locked="0"/>
    </xf>
    <xf numFmtId="179" fontId="18" fillId="0" borderId="0" xfId="59" applyNumberFormat="1" applyFont="1" applyFill="1" applyProtection="1"/>
    <xf numFmtId="0" fontId="42" fillId="0" borderId="0" xfId="59" applyFont="1" applyFill="1" applyAlignment="1" applyProtection="1"/>
    <xf numFmtId="37" fontId="105" fillId="0" borderId="0" xfId="59" applyNumberFormat="1" applyFont="1" applyFill="1" applyProtection="1">
      <protection locked="0"/>
    </xf>
    <xf numFmtId="37" fontId="42" fillId="0" borderId="0" xfId="59" applyNumberFormat="1" applyFont="1" applyFill="1" applyAlignment="1" applyProtection="1">
      <alignment horizontal="right"/>
    </xf>
    <xf numFmtId="37" fontId="97" fillId="0" borderId="0" xfId="59" applyNumberFormat="1" applyFont="1" applyFill="1" applyAlignment="1" applyProtection="1">
      <alignment horizontal="right"/>
    </xf>
    <xf numFmtId="166" fontId="97" fillId="0" borderId="0" xfId="59" applyNumberFormat="1" applyFont="1" applyFill="1" applyBorder="1"/>
    <xf numFmtId="0" fontId="18" fillId="0" borderId="0" xfId="59" applyFont="1" applyFill="1" applyBorder="1"/>
    <xf numFmtId="0" fontId="18" fillId="0" borderId="0" xfId="58" applyFont="1" applyFill="1" applyBorder="1"/>
    <xf numFmtId="0" fontId="18" fillId="0" borderId="0" xfId="59" applyFont="1" applyFill="1" applyBorder="1" applyAlignment="1" applyProtection="1">
      <alignment horizontal="fill"/>
    </xf>
    <xf numFmtId="37" fontId="18" fillId="0" borderId="0" xfId="59" applyNumberFormat="1" applyFont="1" applyFill="1" applyBorder="1" applyAlignment="1" applyProtection="1">
      <alignment horizontal="right"/>
    </xf>
    <xf numFmtId="0" fontId="18" fillId="0" borderId="0" xfId="59" applyFont="1" applyFill="1" applyAlignment="1">
      <alignment horizontal="left"/>
    </xf>
    <xf numFmtId="0" fontId="18" fillId="0" borderId="0" xfId="24" applyFont="1" applyFill="1" applyBorder="1" applyAlignment="1">
      <alignment horizontal="centerContinuous"/>
    </xf>
    <xf numFmtId="0" fontId="18" fillId="0" borderId="0" xfId="58" applyFont="1" applyFill="1" applyAlignment="1" applyProtection="1">
      <alignment horizontal="centerContinuous"/>
    </xf>
    <xf numFmtId="0" fontId="18" fillId="0" borderId="0" xfId="58" applyFont="1" applyFill="1" applyAlignment="1">
      <alignment horizontal="centerContinuous"/>
    </xf>
    <xf numFmtId="0" fontId="18" fillId="0" borderId="0" xfId="58" quotePrefix="1" applyFont="1" applyFill="1" applyAlignment="1" applyProtection="1">
      <alignment horizontal="center"/>
    </xf>
    <xf numFmtId="0" fontId="18" fillId="0" borderId="0" xfId="58" quotePrefix="1" applyFont="1" applyFill="1" applyAlignment="1" applyProtection="1">
      <alignment horizontal="right"/>
    </xf>
    <xf numFmtId="0" fontId="18" fillId="0" borderId="0" xfId="58" applyFont="1" applyFill="1" applyAlignment="1" applyProtection="1">
      <alignment horizontal="left"/>
    </xf>
    <xf numFmtId="0" fontId="18" fillId="0" borderId="0" xfId="58" applyFont="1" applyFill="1" applyAlignment="1" applyProtection="1">
      <alignment horizontal="centerContinuous"/>
      <protection locked="0"/>
    </xf>
    <xf numFmtId="181" fontId="18" fillId="0" borderId="0" xfId="12" quotePrefix="1" applyNumberFormat="1" applyFont="1" applyFill="1" applyAlignment="1" applyProtection="1">
      <alignment horizontal="centerContinuous"/>
      <protection locked="0"/>
    </xf>
    <xf numFmtId="0" fontId="44" fillId="0" borderId="0" xfId="58" applyFont="1" applyFill="1" applyAlignment="1" applyProtection="1">
      <alignment horizontal="left"/>
      <protection locked="0"/>
    </xf>
    <xf numFmtId="0" fontId="18" fillId="0" borderId="0" xfId="58" applyFont="1" applyFill="1" applyAlignment="1" applyProtection="1">
      <alignment horizontal="center"/>
    </xf>
    <xf numFmtId="0" fontId="44" fillId="0" borderId="0" xfId="58" applyFont="1" applyFill="1" applyAlignment="1" applyProtection="1">
      <alignment horizontal="centerContinuous"/>
      <protection locked="0"/>
    </xf>
    <xf numFmtId="0" fontId="47" fillId="0" borderId="0" xfId="58" applyFont="1" applyFill="1" applyAlignment="1" applyProtection="1">
      <alignment horizontal="left"/>
      <protection locked="0"/>
    </xf>
    <xf numFmtId="0" fontId="18" fillId="0" borderId="0" xfId="55" applyFont="1" applyFill="1"/>
    <xf numFmtId="0" fontId="18" fillId="0" borderId="15" xfId="58" applyFont="1" applyFill="1" applyBorder="1" applyAlignment="1" applyProtection="1">
      <alignment horizontal="left"/>
    </xf>
    <xf numFmtId="0" fontId="18" fillId="0" borderId="15" xfId="58" applyFont="1" applyFill="1" applyBorder="1"/>
    <xf numFmtId="0" fontId="44" fillId="0" borderId="15" xfId="58" applyFont="1" applyFill="1" applyBorder="1" applyAlignment="1" applyProtection="1">
      <alignment horizontal="centerContinuous"/>
      <protection locked="0"/>
    </xf>
    <xf numFmtId="0" fontId="18" fillId="0" borderId="15" xfId="58" applyFont="1" applyFill="1" applyBorder="1" applyAlignment="1">
      <alignment horizontal="centerContinuous"/>
    </xf>
    <xf numFmtId="0" fontId="18" fillId="0" borderId="0" xfId="58" applyFont="1" applyFill="1" applyBorder="1" applyAlignment="1">
      <alignment horizontal="centerContinuous"/>
    </xf>
    <xf numFmtId="0" fontId="18" fillId="0" borderId="18" xfId="58" applyFont="1" applyFill="1" applyBorder="1" applyAlignment="1">
      <alignment horizontal="centerContinuous"/>
    </xf>
    <xf numFmtId="0" fontId="18" fillId="0" borderId="0" xfId="56" applyFont="1" applyFill="1" applyAlignment="1">
      <alignment horizontal="centerContinuous"/>
    </xf>
    <xf numFmtId="0" fontId="18" fillId="0" borderId="0" xfId="56" quotePrefix="1" applyFont="1" applyFill="1" applyAlignment="1" applyProtection="1">
      <alignment horizontal="centerContinuous"/>
    </xf>
    <xf numFmtId="0" fontId="18" fillId="0" borderId="15" xfId="58" applyFont="1" applyFill="1" applyBorder="1" applyAlignment="1" applyProtection="1">
      <alignment horizontal="centerContinuous"/>
    </xf>
    <xf numFmtId="0" fontId="42" fillId="0" borderId="15" xfId="58" applyFont="1" applyFill="1" applyBorder="1" applyAlignment="1">
      <alignment horizontal="centerContinuous"/>
    </xf>
    <xf numFmtId="169" fontId="47" fillId="0" borderId="0" xfId="57" applyNumberFormat="1" applyFont="1" applyFill="1" applyBorder="1" applyAlignment="1" applyProtection="1">
      <alignment horizontal="center"/>
      <protection locked="0"/>
    </xf>
    <xf numFmtId="0" fontId="18" fillId="0" borderId="0" xfId="56" applyFont="1" applyFill="1" applyBorder="1" applyAlignment="1">
      <alignment horizontal="center"/>
    </xf>
    <xf numFmtId="0" fontId="42" fillId="0" borderId="0" xfId="56" applyFont="1" applyFill="1" applyBorder="1" applyAlignment="1">
      <alignment horizontal="centerContinuous"/>
    </xf>
    <xf numFmtId="0" fontId="18" fillId="0" borderId="0" xfId="55" applyFont="1" applyFill="1" applyAlignment="1" applyProtection="1">
      <alignment horizontal="centerContinuous"/>
    </xf>
    <xf numFmtId="0" fontId="18" fillId="0" borderId="0" xfId="58" applyFont="1" applyFill="1" applyAlignment="1" applyProtection="1">
      <alignment horizontal="fill"/>
    </xf>
    <xf numFmtId="0" fontId="18" fillId="0" borderId="15" xfId="58" applyFont="1" applyFill="1" applyBorder="1" applyAlignment="1" applyProtection="1">
      <alignment horizontal="center"/>
    </xf>
    <xf numFmtId="169" fontId="47" fillId="0" borderId="15" xfId="57" applyNumberFormat="1" applyFont="1" applyFill="1" applyBorder="1" applyAlignment="1" applyProtection="1">
      <alignment horizontal="center"/>
      <protection locked="0"/>
    </xf>
    <xf numFmtId="169" fontId="47" fillId="0" borderId="15" xfId="56" applyNumberFormat="1" applyFont="1" applyFill="1" applyBorder="1" applyAlignment="1" applyProtection="1">
      <alignment horizontal="center"/>
      <protection locked="0"/>
    </xf>
    <xf numFmtId="169" fontId="18" fillId="0" borderId="15" xfId="56" quotePrefix="1" applyNumberFormat="1" applyFont="1" applyFill="1" applyBorder="1" applyAlignment="1" applyProtection="1">
      <alignment horizontal="center"/>
    </xf>
    <xf numFmtId="0" fontId="42" fillId="0" borderId="0" xfId="58" applyFont="1" applyFill="1" applyAlignment="1" applyProtection="1">
      <alignment horizontal="left"/>
    </xf>
    <xf numFmtId="0" fontId="18" fillId="0" borderId="0" xfId="55" applyFont="1" applyFill="1" applyAlignment="1" applyProtection="1">
      <alignment horizontal="left"/>
    </xf>
    <xf numFmtId="170" fontId="47" fillId="0" borderId="0" xfId="58" applyNumberFormat="1" applyFont="1" applyFill="1" applyProtection="1">
      <protection locked="0"/>
    </xf>
    <xf numFmtId="170" fontId="49" fillId="0" borderId="0" xfId="58" applyNumberFormat="1" applyFont="1" applyFill="1" applyProtection="1">
      <protection locked="0"/>
    </xf>
    <xf numFmtId="170" fontId="50" fillId="0" borderId="0" xfId="58" applyNumberFormat="1" applyFont="1" applyFill="1" applyProtection="1">
      <protection locked="0"/>
    </xf>
    <xf numFmtId="0" fontId="18" fillId="0" borderId="0" xfId="58" applyFont="1" applyFill="1" applyAlignment="1" applyProtection="1">
      <alignment horizontal="right"/>
    </xf>
    <xf numFmtId="0" fontId="18" fillId="0" borderId="0" xfId="58" applyFont="1" applyFill="1" applyBorder="1" applyAlignment="1" applyProtection="1">
      <alignment horizontal="left"/>
    </xf>
    <xf numFmtId="0" fontId="18" fillId="0" borderId="0" xfId="58" quotePrefix="1" applyFont="1" applyFill="1" applyBorder="1" applyAlignment="1" applyProtection="1">
      <alignment horizontal="center"/>
    </xf>
    <xf numFmtId="0" fontId="18" fillId="0" borderId="0" xfId="58" quotePrefix="1" applyFont="1" applyFill="1" applyBorder="1" applyAlignment="1" applyProtection="1">
      <alignment horizontal="left"/>
    </xf>
    <xf numFmtId="0" fontId="42" fillId="0" borderId="0" xfId="58" applyFont="1" applyFill="1" applyBorder="1" applyAlignment="1" applyProtection="1">
      <alignment horizontal="center"/>
    </xf>
    <xf numFmtId="0" fontId="42" fillId="0" borderId="0" xfId="58" applyFont="1" applyFill="1" applyBorder="1" applyAlignment="1" applyProtection="1">
      <alignment horizontal="left"/>
    </xf>
    <xf numFmtId="0" fontId="18" fillId="0" borderId="0" xfId="58" applyFont="1" applyFill="1" applyBorder="1" applyAlignment="1" applyProtection="1">
      <alignment horizontal="center"/>
    </xf>
    <xf numFmtId="0" fontId="42" fillId="0" borderId="0" xfId="58" applyFont="1" applyFill="1" applyBorder="1" applyAlignment="1" applyProtection="1">
      <alignment horizontal="centerContinuous"/>
    </xf>
    <xf numFmtId="0" fontId="42" fillId="0" borderId="0" xfId="58" applyFont="1" applyFill="1" applyBorder="1" applyAlignment="1">
      <alignment horizontal="centerContinuous"/>
    </xf>
    <xf numFmtId="0" fontId="18" fillId="0" borderId="0" xfId="58" applyFont="1" applyFill="1" applyBorder="1" applyAlignment="1" applyProtection="1">
      <alignment horizontal="fill"/>
    </xf>
    <xf numFmtId="0" fontId="98" fillId="0" borderId="0" xfId="58" applyFont="1" applyFill="1" applyBorder="1" applyAlignment="1" applyProtection="1">
      <alignment horizontal="center"/>
    </xf>
    <xf numFmtId="169" fontId="50" fillId="0" borderId="0" xfId="58" applyNumberFormat="1" applyFont="1" applyFill="1" applyBorder="1" applyAlignment="1" applyProtection="1">
      <alignment horizontal="center"/>
      <protection locked="0"/>
    </xf>
    <xf numFmtId="169" fontId="106" fillId="0" borderId="0" xfId="58" applyNumberFormat="1" applyFont="1" applyFill="1" applyBorder="1" applyAlignment="1" applyProtection="1">
      <alignment horizontal="center"/>
    </xf>
    <xf numFmtId="170" fontId="47" fillId="0" borderId="0" xfId="58" applyNumberFormat="1" applyFont="1" applyFill="1" applyBorder="1" applyProtection="1">
      <protection locked="0"/>
    </xf>
    <xf numFmtId="170" fontId="49" fillId="0" borderId="0" xfId="58" applyNumberFormat="1" applyFont="1" applyFill="1" applyBorder="1" applyProtection="1">
      <protection locked="0"/>
    </xf>
    <xf numFmtId="170" fontId="99" fillId="0" borderId="0" xfId="58" applyNumberFormat="1" applyFont="1" applyFill="1" applyBorder="1" applyProtection="1">
      <protection locked="0"/>
    </xf>
    <xf numFmtId="0" fontId="18" fillId="0" borderId="0" xfId="58" applyFont="1" applyFill="1" applyBorder="1" applyAlignment="1" applyProtection="1">
      <alignment horizontal="right"/>
    </xf>
    <xf numFmtId="0" fontId="18" fillId="0" borderId="0" xfId="57" applyFont="1" applyFill="1" applyAlignment="1" applyProtection="1">
      <alignment horizontal="centerContinuous"/>
    </xf>
    <xf numFmtId="0" fontId="18" fillId="0" borderId="0" xfId="57" applyFont="1" applyFill="1" applyAlignment="1">
      <alignment horizontal="centerContinuous"/>
    </xf>
    <xf numFmtId="0" fontId="24" fillId="0" borderId="0" xfId="57" quotePrefix="1" applyFont="1" applyFill="1" applyAlignment="1" applyProtection="1">
      <alignment horizontal="center"/>
    </xf>
    <xf numFmtId="0" fontId="24" fillId="0" borderId="0" xfId="57" applyFont="1" applyFill="1"/>
    <xf numFmtId="0" fontId="24" fillId="0" borderId="0" xfId="57" quotePrefix="1" applyFont="1" applyFill="1" applyAlignment="1" applyProtection="1">
      <alignment horizontal="right"/>
    </xf>
    <xf numFmtId="0" fontId="24" fillId="0" borderId="0" xfId="57" applyFont="1" applyFill="1" applyAlignment="1" applyProtection="1">
      <alignment horizontal="left"/>
    </xf>
    <xf numFmtId="0" fontId="18" fillId="0" borderId="0" xfId="57" applyFont="1" applyFill="1" applyAlignment="1" applyProtection="1">
      <alignment horizontal="centerContinuous"/>
      <protection locked="0"/>
    </xf>
    <xf numFmtId="0" fontId="18" fillId="0" borderId="0" xfId="57" applyFont="1" applyFill="1"/>
    <xf numFmtId="0" fontId="44" fillId="0" borderId="0" xfId="57" applyFont="1" applyFill="1" applyAlignment="1" applyProtection="1">
      <alignment horizontal="left"/>
      <protection locked="0"/>
    </xf>
    <xf numFmtId="0" fontId="18" fillId="0" borderId="0" xfId="57" applyFont="1" applyFill="1" applyAlignment="1" applyProtection="1">
      <alignment horizontal="left"/>
    </xf>
    <xf numFmtId="0" fontId="24" fillId="0" borderId="0" xfId="57" applyFont="1" applyFill="1" applyAlignment="1" applyProtection="1">
      <alignment horizontal="center"/>
    </xf>
    <xf numFmtId="0" fontId="44" fillId="0" borderId="0" xfId="57" applyFont="1" applyFill="1" applyAlignment="1" applyProtection="1">
      <alignment horizontal="centerContinuous"/>
      <protection locked="0"/>
    </xf>
    <xf numFmtId="0" fontId="47" fillId="0" borderId="0" xfId="57" applyFont="1" applyFill="1" applyAlignment="1" applyProtection="1">
      <alignment horizontal="left"/>
      <protection locked="0"/>
    </xf>
    <xf numFmtId="0" fontId="18" fillId="0" borderId="15" xfId="57" applyFont="1" applyFill="1" applyBorder="1" applyAlignment="1" applyProtection="1">
      <alignment horizontal="left"/>
    </xf>
    <xf numFmtId="0" fontId="18" fillId="0" borderId="15" xfId="57" applyFont="1" applyFill="1" applyBorder="1"/>
    <xf numFmtId="0" fontId="44" fillId="0" borderId="15" xfId="57" applyFont="1" applyFill="1" applyBorder="1" applyAlignment="1" applyProtection="1">
      <alignment horizontal="centerContinuous"/>
      <protection locked="0"/>
    </xf>
    <xf numFmtId="0" fontId="18" fillId="0" borderId="15" xfId="57" applyFont="1" applyFill="1" applyBorder="1" applyAlignment="1">
      <alignment horizontal="centerContinuous"/>
    </xf>
    <xf numFmtId="0" fontId="18" fillId="0" borderId="0" xfId="57" applyFont="1" applyFill="1" applyAlignment="1" applyProtection="1">
      <alignment horizontal="center"/>
    </xf>
    <xf numFmtId="0" fontId="18" fillId="0" borderId="15" xfId="57" applyFont="1" applyFill="1" applyBorder="1" applyAlignment="1" applyProtection="1">
      <alignment horizontal="centerContinuous"/>
    </xf>
    <xf numFmtId="0" fontId="42" fillId="0" borderId="15" xfId="57" applyFont="1" applyFill="1" applyBorder="1" applyAlignment="1">
      <alignment horizontal="centerContinuous"/>
    </xf>
    <xf numFmtId="0" fontId="24" fillId="0" borderId="0" xfId="57" applyFont="1" applyFill="1" applyAlignment="1" applyProtection="1">
      <alignment horizontal="fill"/>
    </xf>
    <xf numFmtId="0" fontId="18" fillId="0" borderId="15" xfId="57" applyFont="1" applyFill="1" applyBorder="1" applyAlignment="1" applyProtection="1">
      <alignment horizontal="center"/>
    </xf>
    <xf numFmtId="0" fontId="18" fillId="0" borderId="0" xfId="57" applyFont="1" applyFill="1" applyAlignment="1" applyProtection="1">
      <alignment horizontal="fill"/>
    </xf>
    <xf numFmtId="0" fontId="42" fillId="0" borderId="0" xfId="57" applyFont="1" applyFill="1" applyAlignment="1" applyProtection="1">
      <alignment horizontal="left"/>
    </xf>
    <xf numFmtId="0" fontId="34" fillId="0" borderId="0" xfId="55" applyFont="1" applyFill="1"/>
    <xf numFmtId="170" fontId="44" fillId="0" borderId="0" xfId="57" applyNumberFormat="1" applyFont="1" applyFill="1" applyProtection="1">
      <protection locked="0"/>
    </xf>
    <xf numFmtId="170" fontId="18" fillId="0" borderId="0" xfId="57" applyNumberFormat="1" applyFont="1" applyFill="1" applyProtection="1">
      <protection locked="0"/>
    </xf>
    <xf numFmtId="170" fontId="49" fillId="0" borderId="0" xfId="57" applyNumberFormat="1" applyFont="1" applyFill="1" applyProtection="1">
      <protection locked="0"/>
    </xf>
    <xf numFmtId="170" fontId="42" fillId="0" borderId="0" xfId="57" applyNumberFormat="1" applyFont="1" applyFill="1" applyProtection="1">
      <protection locked="0"/>
    </xf>
    <xf numFmtId="170" fontId="50" fillId="0" borderId="0" xfId="57" applyNumberFormat="1" applyFont="1" applyFill="1" applyProtection="1">
      <protection locked="0"/>
    </xf>
    <xf numFmtId="0" fontId="18" fillId="0" borderId="0" xfId="57" applyFont="1" applyFill="1" applyAlignment="1" applyProtection="1">
      <alignment horizontal="right"/>
    </xf>
    <xf numFmtId="170" fontId="47" fillId="0" borderId="0" xfId="57" applyNumberFormat="1" applyFont="1" applyFill="1" applyProtection="1">
      <protection locked="0"/>
    </xf>
    <xf numFmtId="170" fontId="99" fillId="0" borderId="0" xfId="57" applyNumberFormat="1" applyFont="1" applyFill="1" applyProtection="1">
      <protection locked="0"/>
    </xf>
    <xf numFmtId="0" fontId="18" fillId="0" borderId="0" xfId="57" quotePrefix="1" applyFont="1" applyFill="1" applyBorder="1" applyAlignment="1" applyProtection="1">
      <alignment horizontal="left"/>
    </xf>
    <xf numFmtId="0" fontId="18" fillId="0" borderId="0" xfId="57" applyFont="1" applyFill="1" applyBorder="1"/>
    <xf numFmtId="0" fontId="19" fillId="0" borderId="0" xfId="57" applyFont="1" applyFill="1"/>
    <xf numFmtId="0" fontId="19" fillId="0" borderId="0" xfId="57" applyFont="1" applyFill="1" applyAlignment="1" applyProtection="1">
      <alignment horizontal="left"/>
    </xf>
    <xf numFmtId="0" fontId="19" fillId="0" borderId="0" xfId="57" applyFont="1" applyFill="1" applyBorder="1"/>
    <xf numFmtId="0" fontId="19" fillId="0" borderId="0" xfId="57" applyFont="1" applyFill="1" applyBorder="1" applyAlignment="1" applyProtection="1">
      <alignment horizontal="left"/>
    </xf>
    <xf numFmtId="0" fontId="24" fillId="0" borderId="0" xfId="57" quotePrefix="1" applyFont="1" applyFill="1" applyBorder="1" applyAlignment="1" applyProtection="1">
      <alignment horizontal="center"/>
    </xf>
    <xf numFmtId="0" fontId="24" fillId="0" borderId="0" xfId="57" applyFont="1" applyFill="1" applyBorder="1"/>
    <xf numFmtId="0" fontId="19" fillId="0" borderId="0" xfId="57" applyFont="1" applyFill="1" applyBorder="1" applyProtection="1"/>
    <xf numFmtId="0" fontId="19" fillId="0" borderId="0" xfId="57" applyFont="1" applyFill="1" applyBorder="1" applyAlignment="1">
      <alignment horizontal="centerContinuous"/>
    </xf>
    <xf numFmtId="0" fontId="19" fillId="0" borderId="0" xfId="57" applyFont="1" applyFill="1" applyBorder="1" applyAlignment="1" applyProtection="1">
      <alignment horizontal="centerContinuous"/>
    </xf>
    <xf numFmtId="0" fontId="18" fillId="0" borderId="0" xfId="55" applyFont="1" applyFill="1" applyAlignment="1">
      <alignment horizontal="centerContinuous"/>
    </xf>
    <xf numFmtId="0" fontId="33" fillId="0" borderId="0" xfId="55" applyFont="1" applyFill="1"/>
    <xf numFmtId="0" fontId="44" fillId="0" borderId="0" xfId="55" applyFont="1" applyFill="1" applyAlignment="1" applyProtection="1">
      <alignment horizontal="centerContinuous"/>
      <protection locked="0"/>
    </xf>
    <xf numFmtId="0" fontId="18" fillId="0" borderId="0" xfId="55" quotePrefix="1" applyFont="1" applyFill="1" applyAlignment="1" applyProtection="1">
      <alignment horizontal="center"/>
    </xf>
    <xf numFmtId="0" fontId="18" fillId="0" borderId="0" xfId="55" quotePrefix="1" applyFont="1" applyFill="1" applyAlignment="1" applyProtection="1">
      <alignment horizontal="right"/>
    </xf>
    <xf numFmtId="17" fontId="42" fillId="0" borderId="0" xfId="55" applyNumberFormat="1" applyFont="1" applyFill="1" applyAlignment="1">
      <alignment horizontal="center"/>
    </xf>
    <xf numFmtId="170" fontId="44" fillId="0" borderId="0" xfId="55" applyNumberFormat="1" applyFont="1" applyFill="1" applyProtection="1">
      <protection locked="0"/>
    </xf>
    <xf numFmtId="170" fontId="42" fillId="0" borderId="0" xfId="55" applyNumberFormat="1" applyFont="1" applyFill="1" applyProtection="1"/>
    <xf numFmtId="170" fontId="18" fillId="0" borderId="0" xfId="55" applyNumberFormat="1" applyFont="1" applyFill="1" applyBorder="1" applyProtection="1"/>
    <xf numFmtId="0" fontId="18" fillId="0" borderId="0" xfId="55" quotePrefix="1" applyFont="1" applyFill="1" applyBorder="1" applyAlignment="1" applyProtection="1">
      <alignment horizontal="center"/>
    </xf>
    <xf numFmtId="0" fontId="18" fillId="0" borderId="0" xfId="55" applyFont="1" applyFill="1" applyBorder="1"/>
    <xf numFmtId="0" fontId="18" fillId="0" borderId="0" xfId="55" applyFont="1" applyFill="1" applyBorder="1" applyAlignment="1">
      <alignment horizontal="centerContinuous"/>
    </xf>
    <xf numFmtId="0" fontId="42" fillId="0" borderId="0" xfId="55" applyFont="1" applyFill="1" applyBorder="1" applyAlignment="1">
      <alignment horizontal="centerContinuous"/>
    </xf>
    <xf numFmtId="0" fontId="18" fillId="0" borderId="0" xfId="55" applyFont="1" applyFill="1" applyBorder="1" applyAlignment="1" applyProtection="1">
      <alignment horizontal="fill"/>
    </xf>
    <xf numFmtId="169" fontId="50" fillId="0" borderId="0" xfId="55" applyNumberFormat="1" applyFont="1" applyFill="1" applyBorder="1" applyAlignment="1" applyProtection="1">
      <alignment horizontal="center"/>
      <protection locked="0"/>
    </xf>
    <xf numFmtId="169" fontId="106" fillId="0" borderId="0" xfId="55" applyNumberFormat="1" applyFont="1" applyFill="1" applyBorder="1" applyAlignment="1" applyProtection="1">
      <alignment horizontal="center"/>
    </xf>
    <xf numFmtId="170" fontId="44" fillId="0" borderId="0" xfId="55" applyNumberFormat="1" applyFont="1" applyFill="1" applyBorder="1" applyProtection="1">
      <protection locked="0"/>
    </xf>
    <xf numFmtId="170" fontId="49" fillId="0" borderId="0" xfId="55" applyNumberFormat="1" applyFont="1" applyFill="1" applyBorder="1" applyProtection="1">
      <protection locked="0"/>
    </xf>
    <xf numFmtId="170" fontId="99" fillId="0" borderId="0" xfId="55" applyNumberFormat="1" applyFont="1" applyFill="1" applyBorder="1" applyProtection="1">
      <protection locked="0"/>
    </xf>
    <xf numFmtId="0" fontId="18" fillId="0" borderId="0" xfId="55" applyFont="1" applyFill="1" applyBorder="1" applyAlignment="1" applyProtection="1">
      <alignment horizontal="right"/>
    </xf>
    <xf numFmtId="170" fontId="47" fillId="0" borderId="0" xfId="55" applyNumberFormat="1" applyFont="1" applyFill="1" applyBorder="1" applyProtection="1">
      <protection locked="0"/>
    </xf>
    <xf numFmtId="0" fontId="18" fillId="0" borderId="0" xfId="55" applyFont="1" applyFill="1" applyBorder="1" applyAlignment="1" applyProtection="1">
      <alignment horizontal="center"/>
    </xf>
    <xf numFmtId="0" fontId="18" fillId="0" borderId="0" xfId="55" applyFont="1" applyFill="1" applyAlignment="1" applyProtection="1">
      <alignment horizontal="centerContinuous"/>
      <protection locked="0"/>
    </xf>
    <xf numFmtId="0" fontId="44" fillId="0" borderId="0" xfId="55" applyFont="1" applyFill="1" applyAlignment="1" applyProtection="1">
      <alignment horizontal="left"/>
      <protection locked="0"/>
    </xf>
    <xf numFmtId="0" fontId="18" fillId="0" borderId="0" xfId="55" applyFont="1" applyFill="1" applyAlignment="1" applyProtection="1">
      <alignment horizontal="center"/>
    </xf>
    <xf numFmtId="0" fontId="47" fillId="0" borderId="0" xfId="55" applyFont="1" applyFill="1" applyAlignment="1" applyProtection="1">
      <alignment horizontal="left"/>
      <protection locked="0"/>
    </xf>
    <xf numFmtId="0" fontId="18" fillId="0" borderId="15" xfId="55" applyFont="1" applyFill="1" applyBorder="1" applyAlignment="1" applyProtection="1">
      <alignment horizontal="left"/>
    </xf>
    <xf numFmtId="0" fontId="18" fillId="0" borderId="15" xfId="55" applyFont="1" applyFill="1" applyBorder="1"/>
    <xf numFmtId="0" fontId="44" fillId="0" borderId="15" xfId="55" applyFont="1" applyFill="1" applyBorder="1" applyAlignment="1" applyProtection="1">
      <alignment horizontal="centerContinuous"/>
      <protection locked="0"/>
    </xf>
    <xf numFmtId="0" fontId="18" fillId="0" borderId="15" xfId="55" applyFont="1" applyFill="1" applyBorder="1" applyAlignment="1">
      <alignment horizontal="centerContinuous"/>
    </xf>
    <xf numFmtId="0" fontId="18" fillId="0" borderId="0" xfId="55" applyFont="1" applyFill="1" applyAlignment="1" applyProtection="1">
      <alignment horizontal="fill"/>
    </xf>
    <xf numFmtId="0" fontId="18" fillId="0" borderId="15" xfId="55" applyFont="1" applyFill="1" applyBorder="1" applyAlignment="1" applyProtection="1">
      <alignment horizontal="centerContinuous"/>
    </xf>
    <xf numFmtId="0" fontId="18" fillId="0" borderId="0" xfId="55" applyFont="1" applyFill="1" applyBorder="1" applyAlignment="1" applyProtection="1">
      <alignment horizontal="centerContinuous"/>
    </xf>
    <xf numFmtId="0" fontId="44" fillId="0" borderId="0" xfId="55" applyFont="1" applyFill="1" applyAlignment="1" applyProtection="1">
      <alignment horizontal="centerContinuous"/>
    </xf>
    <xf numFmtId="0" fontId="18" fillId="0" borderId="15" xfId="55" applyFont="1" applyFill="1" applyBorder="1" applyAlignment="1" applyProtection="1">
      <alignment horizontal="center"/>
    </xf>
    <xf numFmtId="0" fontId="42" fillId="0" borderId="0" xfId="55" applyFont="1" applyFill="1" applyAlignment="1" applyProtection="1">
      <alignment horizontal="left"/>
    </xf>
    <xf numFmtId="170" fontId="18" fillId="0" borderId="0" xfId="55" applyNumberFormat="1" applyFont="1" applyFill="1" applyProtection="1"/>
    <xf numFmtId="170" fontId="49" fillId="0" borderId="0" xfId="55" applyNumberFormat="1" applyFont="1" applyFill="1" applyProtection="1">
      <protection locked="0"/>
    </xf>
    <xf numFmtId="170" fontId="97" fillId="0" borderId="0" xfId="55" applyNumberFormat="1" applyFont="1" applyFill="1" applyProtection="1"/>
    <xf numFmtId="170" fontId="18" fillId="0" borderId="0" xfId="55" applyNumberFormat="1" applyFont="1" applyFill="1"/>
    <xf numFmtId="170" fontId="18" fillId="0" borderId="0" xfId="55" applyNumberFormat="1" applyFont="1" applyFill="1" applyProtection="1">
      <protection locked="0"/>
    </xf>
    <xf numFmtId="170" fontId="42" fillId="0" borderId="0" xfId="55" applyNumberFormat="1" applyFont="1" applyFill="1" applyProtection="1">
      <protection locked="0"/>
    </xf>
    <xf numFmtId="170" fontId="18" fillId="0" borderId="0" xfId="55" applyNumberFormat="1" applyFont="1" applyFill="1" applyAlignment="1" applyProtection="1">
      <alignment horizontal="right"/>
    </xf>
    <xf numFmtId="0" fontId="18" fillId="0" borderId="0" xfId="55" quotePrefix="1" applyFont="1" applyFill="1" applyBorder="1" applyAlignment="1" applyProtection="1">
      <alignment horizontal="left"/>
    </xf>
    <xf numFmtId="0" fontId="18" fillId="0" borderId="0" xfId="55" applyFont="1" applyFill="1" applyBorder="1" applyProtection="1"/>
    <xf numFmtId="0" fontId="18" fillId="0" borderId="0" xfId="55" applyFont="1" applyFill="1" applyBorder="1" applyAlignment="1" applyProtection="1">
      <alignment horizontal="left"/>
    </xf>
    <xf numFmtId="0" fontId="42" fillId="0" borderId="0" xfId="55" applyFont="1" applyFill="1" applyBorder="1" applyAlignment="1" applyProtection="1">
      <alignment horizontal="center"/>
    </xf>
    <xf numFmtId="0" fontId="42" fillId="0" borderId="0" xfId="55" applyFont="1" applyFill="1" applyBorder="1" applyAlignment="1" applyProtection="1">
      <alignment horizontal="left"/>
    </xf>
    <xf numFmtId="0" fontId="98" fillId="0" borderId="0" xfId="55" applyFont="1" applyFill="1" applyBorder="1" applyAlignment="1" applyProtection="1">
      <alignment horizontal="center"/>
    </xf>
    <xf numFmtId="181" fontId="34" fillId="0" borderId="0" xfId="12" applyFont="1" applyFill="1"/>
    <xf numFmtId="186" fontId="18" fillId="0" borderId="0" xfId="54" applyNumberFormat="1" applyFont="1" applyFill="1"/>
    <xf numFmtId="181" fontId="18" fillId="0" borderId="15" xfId="12" applyFont="1" applyFill="1" applyBorder="1" applyAlignment="1" applyProtection="1">
      <alignment horizontal="centerContinuous"/>
    </xf>
    <xf numFmtId="186" fontId="42" fillId="0" borderId="15" xfId="12" applyNumberFormat="1" applyFont="1" applyFill="1" applyBorder="1" applyAlignment="1">
      <alignment horizontal="centerContinuous"/>
    </xf>
    <xf numFmtId="181" fontId="18" fillId="0" borderId="15" xfId="12" applyFont="1" applyFill="1" applyBorder="1" applyAlignment="1">
      <alignment horizontal="centerContinuous"/>
    </xf>
    <xf numFmtId="186" fontId="18" fillId="0" borderId="15" xfId="12" applyNumberFormat="1" applyFont="1" applyFill="1" applyBorder="1" applyAlignment="1">
      <alignment horizontal="centerContinuous"/>
    </xf>
    <xf numFmtId="181" fontId="18" fillId="0" borderId="15" xfId="12" applyFont="1" applyFill="1" applyBorder="1"/>
    <xf numFmtId="181" fontId="18" fillId="0" borderId="0" xfId="12" applyFont="1" applyFill="1" applyBorder="1" applyAlignment="1">
      <alignment horizontal="center"/>
    </xf>
    <xf numFmtId="186" fontId="18" fillId="0" borderId="0" xfId="12" applyNumberFormat="1" applyFont="1" applyFill="1" applyAlignment="1" applyProtection="1">
      <alignment horizontal="center"/>
    </xf>
    <xf numFmtId="181" fontId="18" fillId="0" borderId="0" xfId="12" applyFont="1" applyFill="1" applyAlignment="1" applyProtection="1">
      <alignment horizontal="fill"/>
    </xf>
    <xf numFmtId="181" fontId="18" fillId="0" borderId="15" xfId="12" applyFont="1" applyFill="1" applyBorder="1" applyAlignment="1">
      <alignment horizontal="center"/>
    </xf>
    <xf numFmtId="186" fontId="18" fillId="0" borderId="15" xfId="12" applyNumberFormat="1" applyFont="1" applyFill="1" applyBorder="1" applyAlignment="1" applyProtection="1">
      <alignment horizontal="center"/>
    </xf>
    <xf numFmtId="186" fontId="18" fillId="0" borderId="0" xfId="12" applyNumberFormat="1" applyFont="1" applyFill="1" applyAlignment="1" applyProtection="1">
      <alignment horizontal="right"/>
    </xf>
    <xf numFmtId="186" fontId="18" fillId="0" borderId="0" xfId="12" applyNumberFormat="1" applyFont="1" applyFill="1" applyProtection="1"/>
    <xf numFmtId="186" fontId="18" fillId="0" borderId="0" xfId="12" applyNumberFormat="1" applyFont="1" applyFill="1" applyProtection="1">
      <protection locked="0"/>
    </xf>
    <xf numFmtId="37" fontId="72" fillId="0" borderId="0" xfId="12" applyNumberFormat="1" applyFont="1" applyFill="1" applyProtection="1"/>
    <xf numFmtId="37" fontId="18" fillId="0" borderId="0" xfId="12" applyNumberFormat="1" applyFont="1" applyFill="1" applyAlignment="1" applyProtection="1">
      <alignment horizontal="left"/>
    </xf>
    <xf numFmtId="181" fontId="18" fillId="0" borderId="0" xfId="12" applyFont="1" applyFill="1" applyAlignment="1" applyProtection="1">
      <alignment horizontal="left" indent="1"/>
    </xf>
    <xf numFmtId="37" fontId="72" fillId="0" borderId="0" xfId="12" applyNumberFormat="1" applyFont="1" applyFill="1" applyBorder="1" applyProtection="1"/>
    <xf numFmtId="181" fontId="18" fillId="0" borderId="0" xfId="12" quotePrefix="1" applyFont="1" applyFill="1" applyAlignment="1">
      <alignment horizontal="left"/>
    </xf>
    <xf numFmtId="181" fontId="96" fillId="0" borderId="0" xfId="12" quotePrefix="1" applyFont="1" applyFill="1"/>
    <xf numFmtId="0" fontId="18" fillId="0" borderId="0" xfId="48" applyFont="1" applyFill="1" applyAlignment="1" applyProtection="1">
      <alignment horizontal="left"/>
    </xf>
    <xf numFmtId="195" fontId="18" fillId="0" borderId="0" xfId="12" applyNumberFormat="1" applyFont="1" applyFill="1" applyBorder="1" applyAlignment="1" applyProtection="1">
      <alignment horizontal="center"/>
      <protection locked="0"/>
    </xf>
    <xf numFmtId="0" fontId="18" fillId="0" borderId="0" xfId="53" applyFont="1" applyFill="1" applyAlignment="1" applyProtection="1">
      <alignment horizontal="centerContinuous"/>
    </xf>
    <xf numFmtId="0" fontId="18" fillId="0" borderId="0" xfId="53" applyFont="1" applyFill="1" applyAlignment="1">
      <alignment horizontal="centerContinuous"/>
    </xf>
    <xf numFmtId="0" fontId="18" fillId="0" borderId="0" xfId="53" applyFont="1" applyFill="1"/>
    <xf numFmtId="0" fontId="18" fillId="0" borderId="0" xfId="53" applyFont="1" applyFill="1" applyAlignment="1" applyProtection="1">
      <alignment horizontal="left"/>
    </xf>
    <xf numFmtId="0" fontId="18" fillId="0" borderId="15" xfId="53" applyFont="1" applyFill="1" applyBorder="1" applyAlignment="1" applyProtection="1">
      <alignment horizontal="fill"/>
    </xf>
    <xf numFmtId="0" fontId="18" fillId="0" borderId="0" xfId="53" applyFont="1" applyFill="1" applyAlignment="1" applyProtection="1">
      <alignment horizontal="center"/>
    </xf>
    <xf numFmtId="0" fontId="18" fillId="0" borderId="15" xfId="53" applyFont="1" applyFill="1" applyBorder="1" applyAlignment="1" applyProtection="1">
      <alignment horizontal="center"/>
    </xf>
    <xf numFmtId="37" fontId="18" fillId="0" borderId="0" xfId="53" applyNumberFormat="1" applyFont="1" applyFill="1" applyProtection="1"/>
    <xf numFmtId="0" fontId="18" fillId="0" borderId="0" xfId="53" applyFont="1" applyFill="1" applyAlignment="1">
      <alignment horizontal="center"/>
    </xf>
    <xf numFmtId="166" fontId="18" fillId="0" borderId="0" xfId="53" applyNumberFormat="1" applyFont="1" applyFill="1" applyProtection="1"/>
    <xf numFmtId="166" fontId="42" fillId="0" borderId="0" xfId="53" applyNumberFormat="1" applyFont="1" applyFill="1" applyProtection="1"/>
    <xf numFmtId="180" fontId="42" fillId="0" borderId="0" xfId="53" applyNumberFormat="1" applyFont="1" applyFill="1" applyProtection="1"/>
    <xf numFmtId="37" fontId="18" fillId="0" borderId="0" xfId="53" applyNumberFormat="1" applyFont="1" applyFill="1" applyAlignment="1" applyProtection="1">
      <alignment horizontal="right"/>
    </xf>
    <xf numFmtId="166" fontId="18" fillId="0" borderId="0" xfId="53" applyNumberFormat="1" applyFont="1" applyFill="1" applyAlignment="1" applyProtection="1">
      <alignment horizontal="left"/>
    </xf>
    <xf numFmtId="0" fontId="18" fillId="0" borderId="0" xfId="53" applyFont="1" applyFill="1" applyAlignment="1" applyProtection="1">
      <alignment horizontal="right"/>
    </xf>
    <xf numFmtId="180" fontId="97" fillId="0" borderId="0" xfId="53" applyNumberFormat="1" applyFont="1" applyFill="1" applyProtection="1"/>
    <xf numFmtId="174" fontId="97" fillId="0" borderId="0" xfId="53" applyNumberFormat="1" applyFont="1" applyFill="1" applyProtection="1"/>
    <xf numFmtId="0" fontId="18" fillId="0" borderId="0" xfId="53" applyFont="1" applyFill="1" applyBorder="1" applyProtection="1"/>
    <xf numFmtId="0" fontId="18" fillId="0" borderId="0" xfId="53" applyFont="1" applyFill="1" applyBorder="1"/>
    <xf numFmtId="0" fontId="18" fillId="0" borderId="0" xfId="53" applyFont="1" applyFill="1" applyBorder="1" applyAlignment="1" applyProtection="1">
      <alignment horizontal="left"/>
    </xf>
    <xf numFmtId="202" fontId="97" fillId="0" borderId="0" xfId="53" applyNumberFormat="1" applyFont="1" applyFill="1" applyProtection="1"/>
    <xf numFmtId="38" fontId="18" fillId="0" borderId="0" xfId="8" applyNumberFormat="1" applyFont="1" applyFill="1"/>
    <xf numFmtId="167" fontId="47" fillId="0" borderId="0" xfId="53" applyNumberFormat="1" applyFont="1" applyFill="1" applyBorder="1" applyAlignment="1" applyProtection="1">
      <alignment horizontal="left"/>
    </xf>
    <xf numFmtId="38" fontId="103" fillId="0" borderId="0" xfId="8" applyNumberFormat="1" applyFont="1" applyFill="1" applyAlignment="1">
      <alignment horizontal="center"/>
    </xf>
    <xf numFmtId="0" fontId="18" fillId="0" borderId="0" xfId="53" applyFont="1" applyFill="1" applyBorder="1" applyAlignment="1" applyProtection="1">
      <alignment horizontal="center"/>
    </xf>
    <xf numFmtId="38" fontId="18" fillId="0" borderId="0" xfId="8" applyNumberFormat="1" applyFont="1" applyFill="1" applyBorder="1" applyAlignment="1">
      <alignment horizontal="centerContinuous"/>
    </xf>
    <xf numFmtId="0" fontId="42" fillId="0" borderId="0" xfId="53" applyFont="1" applyFill="1" applyBorder="1" applyAlignment="1" applyProtection="1">
      <alignment horizontal="center"/>
    </xf>
    <xf numFmtId="0" fontId="42" fillId="0" borderId="0" xfId="0" applyFont="1" applyFill="1" applyAlignment="1" applyProtection="1">
      <alignment horizontal="center"/>
    </xf>
    <xf numFmtId="0" fontId="42" fillId="0" borderId="0" xfId="53" applyFont="1" applyFill="1" applyBorder="1" applyAlignment="1">
      <alignment horizontal="center"/>
    </xf>
    <xf numFmtId="0" fontId="18" fillId="0" borderId="0" xfId="0" applyFont="1" applyFill="1" applyAlignment="1" applyProtection="1">
      <alignment horizontal="fill"/>
    </xf>
    <xf numFmtId="38" fontId="42" fillId="0" borderId="0" xfId="8" applyNumberFormat="1" applyFont="1" applyFill="1" applyBorder="1" applyAlignment="1">
      <alignment horizontal="center"/>
    </xf>
    <xf numFmtId="38" fontId="107" fillId="0" borderId="0" xfId="8" applyNumberFormat="1" applyFont="1" applyFill="1" applyBorder="1" applyAlignment="1">
      <alignment horizontal="center"/>
    </xf>
    <xf numFmtId="0" fontId="18" fillId="0" borderId="0" xfId="53" applyFont="1" applyFill="1" applyBorder="1" applyAlignment="1" applyProtection="1">
      <alignment horizontal="right"/>
    </xf>
    <xf numFmtId="180" fontId="18" fillId="0" borderId="0" xfId="0" applyNumberFormat="1" applyFont="1" applyFill="1" applyBorder="1"/>
    <xf numFmtId="180" fontId="42" fillId="0" borderId="0" xfId="0" applyNumberFormat="1" applyFont="1" applyFill="1" applyBorder="1"/>
    <xf numFmtId="180" fontId="18" fillId="0" borderId="0" xfId="65" applyNumberFormat="1" applyFont="1" applyFill="1" applyBorder="1" applyAlignment="1">
      <alignment horizontal="right"/>
    </xf>
    <xf numFmtId="180" fontId="18" fillId="0" borderId="0" xfId="0" applyNumberFormat="1" applyFont="1" applyFill="1" applyAlignment="1" applyProtection="1">
      <alignment horizontal="right"/>
    </xf>
    <xf numFmtId="180" fontId="18" fillId="0" borderId="0" xfId="8" applyNumberFormat="1" applyFont="1" applyFill="1" applyBorder="1"/>
    <xf numFmtId="180" fontId="18" fillId="0" borderId="0" xfId="8" applyNumberFormat="1" applyFont="1" applyFill="1"/>
    <xf numFmtId="180" fontId="18" fillId="0" borderId="0" xfId="53" applyNumberFormat="1" applyFont="1" applyFill="1" applyBorder="1"/>
    <xf numFmtId="10" fontId="18" fillId="0" borderId="0" xfId="65" applyNumberFormat="1" applyFont="1" applyFill="1" applyBorder="1" applyAlignment="1">
      <alignment horizontal="right"/>
    </xf>
    <xf numFmtId="37" fontId="18" fillId="0" borderId="0" xfId="0" applyNumberFormat="1" applyFont="1" applyFill="1" applyAlignment="1" applyProtection="1">
      <alignment horizontal="right"/>
    </xf>
    <xf numFmtId="38" fontId="18" fillId="0" borderId="0" xfId="8" applyNumberFormat="1" applyFont="1" applyFill="1" applyBorder="1"/>
    <xf numFmtId="37" fontId="18" fillId="0" borderId="0" xfId="53" applyNumberFormat="1" applyFont="1" applyFill="1" applyBorder="1" applyProtection="1"/>
    <xf numFmtId="0" fontId="18" fillId="0" borderId="0" xfId="0" quotePrefix="1" applyFont="1" applyFill="1" applyAlignment="1">
      <alignment horizontal="left"/>
    </xf>
    <xf numFmtId="198" fontId="18" fillId="0" borderId="0" xfId="0" quotePrefix="1" applyNumberFormat="1" applyFont="1" applyFill="1" applyAlignment="1" applyProtection="1">
      <alignment horizontal="left"/>
    </xf>
    <xf numFmtId="198" fontId="18" fillId="0" borderId="0" xfId="0" quotePrefix="1" applyNumberFormat="1" applyFont="1" applyFill="1" applyAlignment="1">
      <alignment horizontal="left"/>
    </xf>
    <xf numFmtId="0" fontId="18" fillId="0" borderId="0" xfId="51" applyFont="1" applyFill="1"/>
    <xf numFmtId="37" fontId="44" fillId="0" borderId="0" xfId="51" applyNumberFormat="1" applyFont="1" applyFill="1" applyProtection="1">
      <protection locked="0"/>
    </xf>
    <xf numFmtId="37" fontId="18" fillId="0" borderId="0" xfId="51" applyNumberFormat="1" applyFont="1" applyFill="1" applyAlignment="1" applyProtection="1">
      <alignment horizontal="right"/>
    </xf>
    <xf numFmtId="37" fontId="18" fillId="0" borderId="0" xfId="51" applyNumberFormat="1" applyFont="1" applyFill="1" applyProtection="1"/>
    <xf numFmtId="0" fontId="18" fillId="0" borderId="0" xfId="52" applyFont="1" applyFill="1" applyAlignment="1">
      <alignment horizontal="centerContinuous"/>
    </xf>
    <xf numFmtId="190" fontId="18" fillId="0" borderId="0" xfId="52" applyNumberFormat="1" applyFont="1" applyFill="1" applyAlignment="1">
      <alignment horizontal="centerContinuous"/>
    </xf>
    <xf numFmtId="0" fontId="18" fillId="0" borderId="0" xfId="52" applyFont="1" applyFill="1"/>
    <xf numFmtId="0" fontId="18" fillId="0" borderId="0" xfId="52" applyFont="1" applyFill="1" applyAlignment="1" applyProtection="1">
      <alignment horizontal="left"/>
    </xf>
    <xf numFmtId="37" fontId="18" fillId="0" borderId="0" xfId="52" applyNumberFormat="1" applyFont="1" applyFill="1" applyProtection="1"/>
    <xf numFmtId="0" fontId="18" fillId="0" borderId="0" xfId="52" applyFont="1" applyFill="1" applyAlignment="1" applyProtection="1">
      <alignment horizontal="center"/>
    </xf>
    <xf numFmtId="10" fontId="18" fillId="0" borderId="0" xfId="52" applyNumberFormat="1" applyFont="1" applyFill="1" applyProtection="1"/>
    <xf numFmtId="0" fontId="18" fillId="0" borderId="0" xfId="52" applyFont="1" applyFill="1" applyAlignment="1" applyProtection="1">
      <alignment horizontal="right"/>
    </xf>
    <xf numFmtId="190" fontId="18" fillId="0" borderId="0" xfId="52" applyNumberFormat="1" applyFont="1" applyFill="1" applyAlignment="1" applyProtection="1">
      <alignment horizontal="centerContinuous"/>
      <protection locked="0"/>
    </xf>
    <xf numFmtId="190" fontId="18" fillId="0" borderId="0" xfId="52" applyNumberFormat="1" applyFont="1" applyFill="1" applyProtection="1">
      <protection locked="0"/>
    </xf>
    <xf numFmtId="178" fontId="18" fillId="0" borderId="0" xfId="52" applyNumberFormat="1" applyFont="1" applyFill="1" applyProtection="1"/>
    <xf numFmtId="0" fontId="18" fillId="0" borderId="0" xfId="52" applyFont="1" applyFill="1" applyAlignment="1" applyProtection="1">
      <alignment horizontal="left"/>
      <protection locked="0"/>
    </xf>
    <xf numFmtId="190" fontId="18" fillId="0" borderId="0" xfId="52" applyNumberFormat="1" applyFont="1" applyFill="1" applyAlignment="1" applyProtection="1">
      <alignment horizontal="center"/>
    </xf>
    <xf numFmtId="168" fontId="18" fillId="0" borderId="0" xfId="52" applyNumberFormat="1" applyFont="1" applyFill="1" applyProtection="1"/>
    <xf numFmtId="190" fontId="18" fillId="0" borderId="0" xfId="52" applyNumberFormat="1" applyFont="1" applyFill="1"/>
    <xf numFmtId="190" fontId="18" fillId="0" borderId="0" xfId="52" applyNumberFormat="1" applyFont="1" applyFill="1" applyAlignment="1" applyProtection="1"/>
    <xf numFmtId="37" fontId="18" fillId="0" borderId="16" xfId="52" applyNumberFormat="1" applyFont="1" applyFill="1" applyBorder="1" applyProtection="1"/>
    <xf numFmtId="190" fontId="18" fillId="0" borderId="0" xfId="52" applyNumberFormat="1" applyFont="1" applyFill="1" applyAlignment="1" applyProtection="1">
      <alignment horizontal="right"/>
    </xf>
    <xf numFmtId="190" fontId="18" fillId="0" borderId="0" xfId="52" applyNumberFormat="1" applyFont="1" applyFill="1" applyProtection="1"/>
    <xf numFmtId="37" fontId="18" fillId="0" borderId="0" xfId="52" applyNumberFormat="1" applyFont="1" applyFill="1" applyBorder="1" applyProtection="1"/>
    <xf numFmtId="0" fontId="18" fillId="0" borderId="0" xfId="51" applyFont="1" applyFill="1" applyAlignment="1" applyProtection="1">
      <alignment horizontal="centerContinuous"/>
    </xf>
    <xf numFmtId="0" fontId="18" fillId="0" borderId="0" xfId="51" applyFont="1" applyFill="1" applyAlignment="1">
      <alignment horizontal="centerContinuous"/>
    </xf>
    <xf numFmtId="0" fontId="18" fillId="0" borderId="0" xfId="51" applyFont="1" applyFill="1" applyBorder="1" applyAlignment="1">
      <alignment horizontal="centerContinuous"/>
    </xf>
    <xf numFmtId="37" fontId="18" fillId="0" borderId="0" xfId="51" applyNumberFormat="1" applyFont="1" applyFill="1" applyAlignment="1" applyProtection="1">
      <alignment horizontal="centerContinuous"/>
    </xf>
    <xf numFmtId="0" fontId="18" fillId="0" borderId="0" xfId="51" applyFont="1" applyFill="1" applyProtection="1"/>
    <xf numFmtId="0" fontId="18" fillId="0" borderId="0" xfId="51" applyFont="1" applyFill="1" applyBorder="1"/>
    <xf numFmtId="0" fontId="18" fillId="0" borderId="0" xfId="51" quotePrefix="1" applyFont="1" applyFill="1" applyAlignment="1" applyProtection="1">
      <alignment horizontal="left"/>
    </xf>
    <xf numFmtId="0" fontId="18" fillId="0" borderId="0" xfId="51" applyFont="1" applyFill="1" applyBorder="1" applyAlignment="1" applyProtection="1">
      <alignment horizontal="left"/>
    </xf>
    <xf numFmtId="0" fontId="18" fillId="0" borderId="0" xfId="51" applyFont="1" applyFill="1" applyAlignment="1" applyProtection="1">
      <alignment horizontal="left"/>
    </xf>
    <xf numFmtId="0" fontId="18" fillId="0" borderId="0" xfId="51" applyFont="1" applyFill="1" applyAlignment="1">
      <alignment horizontal="left"/>
    </xf>
    <xf numFmtId="0" fontId="18" fillId="0" borderId="0" xfId="51" applyFont="1" applyFill="1" applyBorder="1" applyAlignment="1" applyProtection="1">
      <alignment horizontal="center"/>
    </xf>
    <xf numFmtId="0" fontId="18" fillId="0" borderId="15" xfId="51" applyFont="1" applyFill="1" applyBorder="1" applyAlignment="1" applyProtection="1">
      <alignment horizontal="fill"/>
    </xf>
    <xf numFmtId="37" fontId="18" fillId="0" borderId="15" xfId="51" applyNumberFormat="1" applyFont="1" applyFill="1" applyBorder="1" applyAlignment="1" applyProtection="1">
      <alignment horizontal="centerContinuous"/>
    </xf>
    <xf numFmtId="0" fontId="42" fillId="0" borderId="15" xfId="51" applyFont="1" applyFill="1" applyBorder="1" applyAlignment="1">
      <alignment horizontal="centerContinuous"/>
    </xf>
    <xf numFmtId="0" fontId="42" fillId="0" borderId="15" xfId="51" applyFont="1" applyFill="1" applyBorder="1" applyAlignment="1" applyProtection="1">
      <alignment horizontal="centerContinuous"/>
    </xf>
    <xf numFmtId="0" fontId="18" fillId="0" borderId="0" xfId="51" applyFont="1" applyFill="1" applyAlignment="1" applyProtection="1">
      <alignment horizontal="center"/>
    </xf>
    <xf numFmtId="0" fontId="18" fillId="0" borderId="0" xfId="51" applyFont="1" applyFill="1" applyAlignment="1">
      <alignment horizontal="center"/>
    </xf>
    <xf numFmtId="0" fontId="18" fillId="0" borderId="15" xfId="51" quotePrefix="1" applyFont="1" applyFill="1" applyBorder="1" applyAlignment="1" applyProtection="1">
      <alignment horizontal="center"/>
    </xf>
    <xf numFmtId="0" fontId="34" fillId="0" borderId="0" xfId="51" applyFont="1" applyFill="1"/>
    <xf numFmtId="165" fontId="18" fillId="0" borderId="0" xfId="51" applyNumberFormat="1" applyFont="1" applyFill="1" applyAlignment="1" applyProtection="1">
      <alignment horizontal="center"/>
    </xf>
    <xf numFmtId="37" fontId="18" fillId="0" borderId="0" xfId="51" applyNumberFormat="1" applyFont="1" applyFill="1" applyAlignment="1" applyProtection="1">
      <alignment horizontal="fill"/>
    </xf>
    <xf numFmtId="37" fontId="18" fillId="0" borderId="0" xfId="51" applyNumberFormat="1" applyFont="1" applyFill="1" applyBorder="1" applyAlignment="1" applyProtection="1">
      <alignment horizontal="fill"/>
    </xf>
    <xf numFmtId="37" fontId="18" fillId="0" borderId="0" xfId="51" applyNumberFormat="1" applyFont="1" applyFill="1" applyBorder="1" applyAlignment="1" applyProtection="1">
      <alignment horizontal="right"/>
    </xf>
    <xf numFmtId="37" fontId="18" fillId="0" borderId="0" xfId="51" applyNumberFormat="1" applyFont="1" applyFill="1" applyBorder="1" applyProtection="1"/>
    <xf numFmtId="37" fontId="44" fillId="0" borderId="0" xfId="51" applyNumberFormat="1" applyFont="1" applyFill="1" applyProtection="1"/>
    <xf numFmtId="37" fontId="18" fillId="0" borderId="16" xfId="51" applyNumberFormat="1" applyFont="1" applyFill="1" applyBorder="1" applyProtection="1"/>
    <xf numFmtId="0" fontId="44" fillId="0" borderId="0" xfId="51" applyFont="1" applyFill="1" applyAlignment="1" applyProtection="1">
      <alignment horizontal="center"/>
    </xf>
    <xf numFmtId="0" fontId="18" fillId="0" borderId="0" xfId="51" quotePrefix="1" applyFont="1" applyFill="1"/>
    <xf numFmtId="0" fontId="18" fillId="0" borderId="15" xfId="49" applyFont="1" applyFill="1" applyBorder="1" applyAlignment="1" applyProtection="1">
      <alignment horizontal="centerContinuous"/>
    </xf>
    <xf numFmtId="0" fontId="42" fillId="0" borderId="15" xfId="49" applyFont="1" applyFill="1" applyBorder="1" applyAlignment="1" applyProtection="1">
      <alignment horizontal="centerContinuous"/>
    </xf>
    <xf numFmtId="0" fontId="18" fillId="0" borderId="0" xfId="49" applyFont="1" applyFill="1"/>
    <xf numFmtId="0" fontId="44" fillId="0" borderId="0" xfId="49" applyFont="1" applyFill="1" applyAlignment="1" applyProtection="1">
      <alignment horizontal="right"/>
      <protection locked="0"/>
    </xf>
    <xf numFmtId="37" fontId="44" fillId="0" borderId="0" xfId="49" applyNumberFormat="1" applyFont="1" applyFill="1" applyAlignment="1" applyProtection="1">
      <alignment horizontal="center"/>
      <protection locked="0"/>
    </xf>
    <xf numFmtId="37" fontId="44" fillId="0" borderId="0" xfId="49" applyNumberFormat="1" applyFont="1" applyFill="1" applyProtection="1"/>
    <xf numFmtId="37" fontId="18" fillId="0" borderId="0" xfId="49" applyNumberFormat="1" applyFont="1" applyFill="1" applyProtection="1"/>
    <xf numFmtId="37" fontId="44" fillId="0" borderId="0" xfId="49" applyNumberFormat="1" applyFont="1" applyFill="1" applyProtection="1">
      <protection locked="0"/>
    </xf>
    <xf numFmtId="0" fontId="18" fillId="0" borderId="0" xfId="48" applyFont="1" applyFill="1"/>
    <xf numFmtId="37" fontId="18" fillId="0" borderId="0" xfId="48" applyNumberFormat="1" applyFont="1" applyFill="1" applyAlignment="1" applyProtection="1">
      <protection locked="0"/>
    </xf>
    <xf numFmtId="0" fontId="18" fillId="0" borderId="0" xfId="48" applyFont="1" applyFill="1" applyBorder="1"/>
    <xf numFmtId="0" fontId="18" fillId="0" borderId="0" xfId="48" applyFont="1" applyFill="1" applyAlignment="1">
      <alignment horizontal="centerContinuous"/>
    </xf>
    <xf numFmtId="0" fontId="18" fillId="0" borderId="15" xfId="48" applyFont="1" applyFill="1" applyBorder="1" applyAlignment="1" applyProtection="1">
      <alignment horizontal="fill"/>
    </xf>
    <xf numFmtId="0" fontId="18" fillId="0" borderId="0" xfId="48" applyFont="1" applyFill="1" applyBorder="1" applyAlignment="1" applyProtection="1">
      <alignment horizontal="center"/>
    </xf>
    <xf numFmtId="0" fontId="18" fillId="0" borderId="0" xfId="48" applyFont="1" applyFill="1" applyAlignment="1" applyProtection="1">
      <alignment horizontal="center"/>
    </xf>
    <xf numFmtId="0" fontId="18" fillId="0" borderId="18" xfId="48" applyFont="1" applyFill="1" applyBorder="1" applyAlignment="1" applyProtection="1">
      <alignment horizontal="center"/>
    </xf>
    <xf numFmtId="37" fontId="44" fillId="0" borderId="0" xfId="48" applyNumberFormat="1" applyFont="1" applyFill="1" applyAlignment="1" applyProtection="1">
      <protection locked="0"/>
    </xf>
    <xf numFmtId="37" fontId="18" fillId="0" borderId="2" xfId="48" applyNumberFormat="1" applyFont="1" applyFill="1" applyBorder="1" applyAlignment="1" applyProtection="1">
      <protection locked="0"/>
    </xf>
    <xf numFmtId="37" fontId="44" fillId="0" borderId="0" xfId="48" applyNumberFormat="1" applyFont="1" applyFill="1" applyAlignment="1" applyProtection="1">
      <alignment horizontal="center"/>
      <protection locked="0"/>
    </xf>
    <xf numFmtId="37" fontId="18" fillId="0" borderId="0" xfId="48" applyNumberFormat="1" applyFont="1" applyFill="1"/>
    <xf numFmtId="37" fontId="18" fillId="0" borderId="0" xfId="48" applyNumberFormat="1" applyFont="1" applyFill="1" applyAlignment="1"/>
    <xf numFmtId="37" fontId="18" fillId="0" borderId="0" xfId="48" applyNumberFormat="1" applyFont="1" applyFill="1" applyBorder="1" applyAlignment="1" applyProtection="1">
      <protection locked="0"/>
    </xf>
    <xf numFmtId="37" fontId="44" fillId="0" borderId="0" xfId="48" applyNumberFormat="1" applyFont="1" applyFill="1" applyBorder="1" applyAlignment="1" applyProtection="1">
      <alignment horizontal="center"/>
      <protection locked="0"/>
    </xf>
    <xf numFmtId="37" fontId="18" fillId="0" borderId="17" xfId="48" applyNumberFormat="1" applyFont="1" applyFill="1" applyBorder="1" applyAlignment="1"/>
    <xf numFmtId="37" fontId="18" fillId="0" borderId="0" xfId="48" applyNumberFormat="1" applyFont="1" applyFill="1" applyProtection="1"/>
    <xf numFmtId="37" fontId="44" fillId="0" borderId="2" xfId="48" applyNumberFormat="1" applyFont="1" applyFill="1" applyBorder="1" applyAlignment="1" applyProtection="1">
      <protection locked="0"/>
    </xf>
    <xf numFmtId="37" fontId="18" fillId="0" borderId="0" xfId="48" applyNumberFormat="1" applyFont="1" applyFill="1" applyBorder="1" applyProtection="1"/>
    <xf numFmtId="0" fontId="18" fillId="0" borderId="0" xfId="47" applyFont="1" applyFill="1" applyAlignment="1" applyProtection="1">
      <alignment horizontal="centerContinuous"/>
    </xf>
    <xf numFmtId="0" fontId="18" fillId="0" borderId="0" xfId="47" applyFont="1" applyFill="1" applyAlignment="1">
      <alignment horizontal="centerContinuous"/>
    </xf>
    <xf numFmtId="0" fontId="18" fillId="0" borderId="0" xfId="47" applyFont="1" applyFill="1"/>
    <xf numFmtId="0" fontId="18" fillId="0" borderId="0" xfId="48" applyFont="1" applyFill="1" applyAlignment="1">
      <alignment horizontal="left"/>
    </xf>
    <xf numFmtId="37" fontId="18" fillId="0" borderId="0" xfId="48" applyNumberFormat="1" applyFont="1" applyFill="1" applyAlignment="1">
      <alignment horizontal="center"/>
    </xf>
    <xf numFmtId="37" fontId="18" fillId="0" borderId="0" xfId="48" applyNumberFormat="1" applyFont="1" applyFill="1" applyBorder="1"/>
    <xf numFmtId="37" fontId="18" fillId="0" borderId="0" xfId="47" applyNumberFormat="1" applyFont="1" applyFill="1" applyAlignment="1" applyProtection="1">
      <alignment horizontal="centerContinuous"/>
    </xf>
    <xf numFmtId="0" fontId="18" fillId="0" borderId="0" xfId="48" quotePrefix="1" applyFont="1" applyFill="1" applyBorder="1" applyAlignment="1">
      <alignment horizontal="left"/>
    </xf>
    <xf numFmtId="0" fontId="18" fillId="0" borderId="0" xfId="47" applyFont="1" applyFill="1" applyProtection="1"/>
    <xf numFmtId="0" fontId="18" fillId="0" borderId="15" xfId="47" applyFont="1" applyFill="1" applyBorder="1" applyAlignment="1" applyProtection="1">
      <alignment horizontal="fill"/>
    </xf>
    <xf numFmtId="0" fontId="18" fillId="0" borderId="0" xfId="47" applyFont="1" applyFill="1" applyAlignment="1" applyProtection="1">
      <alignment horizontal="center"/>
    </xf>
    <xf numFmtId="0" fontId="18" fillId="0" borderId="0" xfId="47" applyFont="1" applyFill="1" applyAlignment="1">
      <alignment horizontal="center"/>
    </xf>
    <xf numFmtId="37" fontId="18" fillId="0" borderId="0" xfId="47" applyNumberFormat="1" applyFont="1" applyFill="1" applyAlignment="1" applyProtection="1">
      <alignment horizontal="center"/>
    </xf>
    <xf numFmtId="165" fontId="18" fillId="0" borderId="0" xfId="47" applyNumberFormat="1" applyFont="1" applyFill="1" applyAlignment="1" applyProtection="1">
      <alignment horizontal="centerContinuous"/>
    </xf>
    <xf numFmtId="0" fontId="18" fillId="0" borderId="0" xfId="47" applyFont="1" applyFill="1" applyAlignment="1" applyProtection="1"/>
    <xf numFmtId="165" fontId="18" fillId="0" borderId="0" xfId="47" applyNumberFormat="1" applyFont="1" applyFill="1" applyAlignment="1" applyProtection="1">
      <alignment horizontal="center"/>
    </xf>
    <xf numFmtId="0" fontId="18" fillId="0" borderId="15" xfId="47" applyFont="1" applyFill="1" applyBorder="1" applyAlignment="1" applyProtection="1">
      <alignment horizontal="center"/>
    </xf>
    <xf numFmtId="0" fontId="45" fillId="0" borderId="0" xfId="47" applyFont="1" applyFill="1"/>
    <xf numFmtId="187" fontId="18" fillId="0" borderId="0" xfId="47" applyNumberFormat="1" applyFont="1" applyFill="1"/>
    <xf numFmtId="187" fontId="18" fillId="0" borderId="0" xfId="47" applyNumberFormat="1" applyFont="1" applyFill="1" applyAlignment="1" applyProtection="1">
      <alignment horizontal="center"/>
    </xf>
    <xf numFmtId="187" fontId="18" fillId="0" borderId="0" xfId="47" quotePrefix="1" applyNumberFormat="1" applyFont="1" applyFill="1" applyAlignment="1" applyProtection="1">
      <alignment horizontal="centerContinuous"/>
    </xf>
    <xf numFmtId="187" fontId="18" fillId="0" borderId="0" xfId="47" applyNumberFormat="1" applyFont="1" applyFill="1" applyAlignment="1">
      <alignment horizontal="centerContinuous"/>
    </xf>
    <xf numFmtId="37" fontId="44" fillId="0" borderId="0" xfId="47" applyNumberFormat="1" applyFont="1" applyFill="1"/>
    <xf numFmtId="37" fontId="44" fillId="0" borderId="0" xfId="47" applyNumberFormat="1" applyFont="1" applyFill="1" applyProtection="1"/>
    <xf numFmtId="37" fontId="44" fillId="0" borderId="0" xfId="47" applyNumberFormat="1" applyFont="1" applyFill="1" applyAlignment="1"/>
    <xf numFmtId="37" fontId="18" fillId="0" borderId="0" xfId="47" applyNumberFormat="1" applyFont="1" applyFill="1" applyAlignment="1" applyProtection="1">
      <alignment horizontal="right"/>
    </xf>
    <xf numFmtId="37" fontId="18" fillId="0" borderId="0" xfId="47" applyNumberFormat="1" applyFont="1" applyFill="1"/>
    <xf numFmtId="37" fontId="18" fillId="0" borderId="0" xfId="47" applyNumberFormat="1" applyFont="1" applyFill="1" applyProtection="1"/>
    <xf numFmtId="37" fontId="18" fillId="0" borderId="0" xfId="47" applyNumberFormat="1" applyFont="1" applyFill="1" applyAlignment="1"/>
    <xf numFmtId="37" fontId="44" fillId="0" borderId="0" xfId="47" applyNumberFormat="1" applyFont="1" applyFill="1" applyProtection="1">
      <protection locked="0"/>
    </xf>
    <xf numFmtId="37" fontId="18" fillId="0" borderId="0" xfId="47" applyNumberFormat="1" applyFont="1" applyFill="1" applyAlignment="1" applyProtection="1"/>
    <xf numFmtId="37" fontId="97" fillId="0" borderId="0" xfId="47" applyNumberFormat="1" applyFont="1" applyFill="1"/>
    <xf numFmtId="37" fontId="97" fillId="0" borderId="0" xfId="47" applyNumberFormat="1" applyFont="1" applyFill="1" applyAlignment="1" applyProtection="1">
      <alignment horizontal="right"/>
    </xf>
    <xf numFmtId="0" fontId="96" fillId="0" borderId="0" xfId="47" applyFont="1" applyFill="1"/>
    <xf numFmtId="37" fontId="18" fillId="0" borderId="0" xfId="48" applyNumberFormat="1" applyFont="1" applyFill="1" applyAlignment="1" applyProtection="1">
      <alignment horizontal="centerContinuous"/>
    </xf>
    <xf numFmtId="37" fontId="18" fillId="0" borderId="0" xfId="48" applyNumberFormat="1" applyFont="1" applyFill="1" applyAlignment="1" applyProtection="1">
      <alignment horizontal="left"/>
    </xf>
    <xf numFmtId="0" fontId="18" fillId="0" borderId="0" xfId="48" applyFont="1" applyFill="1" applyProtection="1"/>
    <xf numFmtId="0" fontId="18" fillId="0" borderId="18" xfId="48" applyFont="1" applyFill="1" applyBorder="1" applyAlignment="1">
      <alignment horizontal="centerContinuous"/>
    </xf>
    <xf numFmtId="0" fontId="18" fillId="0" borderId="0" xfId="48" applyFont="1" applyFill="1" applyAlignment="1">
      <alignment horizontal="center"/>
    </xf>
    <xf numFmtId="0" fontId="42" fillId="0" borderId="0" xfId="48" applyFont="1" applyFill="1" applyAlignment="1" applyProtection="1">
      <alignment horizontal="left"/>
      <protection locked="0"/>
    </xf>
    <xf numFmtId="37" fontId="44" fillId="0" borderId="0" xfId="48" applyNumberFormat="1" applyFont="1" applyFill="1" applyBorder="1" applyAlignment="1" applyProtection="1">
      <protection locked="0"/>
    </xf>
    <xf numFmtId="37" fontId="44" fillId="0" borderId="0" xfId="48" applyNumberFormat="1" applyFont="1" applyFill="1" applyAlignment="1"/>
    <xf numFmtId="37" fontId="18" fillId="0" borderId="0" xfId="48" applyNumberFormat="1" applyFont="1" applyFill="1" applyBorder="1" applyAlignment="1" applyProtection="1">
      <alignment horizontal="center"/>
    </xf>
    <xf numFmtId="178" fontId="18" fillId="0" borderId="0" xfId="47" applyNumberFormat="1" applyFont="1" applyFill="1" applyProtection="1"/>
    <xf numFmtId="0" fontId="18" fillId="0" borderId="0" xfId="45" applyFont="1" applyFill="1"/>
    <xf numFmtId="4" fontId="18" fillId="0" borderId="0" xfId="41" applyNumberFormat="1" applyFont="1" applyFill="1" applyAlignment="1" applyProtection="1">
      <alignment horizontal="center"/>
    </xf>
    <xf numFmtId="4" fontId="18" fillId="0" borderId="0" xfId="41" applyNumberFormat="1" applyFont="1" applyFill="1" applyProtection="1"/>
    <xf numFmtId="0" fontId="102" fillId="0" borderId="0" xfId="42" applyFont="1" applyFill="1" applyBorder="1"/>
    <xf numFmtId="0" fontId="18" fillId="0" borderId="0" xfId="42" applyFont="1" applyFill="1" applyBorder="1"/>
    <xf numFmtId="0" fontId="18" fillId="0" borderId="0" xfId="44" applyFont="1" applyFill="1" applyBorder="1"/>
    <xf numFmtId="37" fontId="18" fillId="0" borderId="0" xfId="44" applyNumberFormat="1" applyFont="1" applyFill="1" applyBorder="1" applyProtection="1"/>
    <xf numFmtId="39" fontId="44" fillId="0" borderId="0" xfId="0" applyNumberFormat="1" applyFont="1" applyFill="1" applyBorder="1"/>
    <xf numFmtId="4" fontId="18" fillId="0" borderId="0" xfId="41" applyNumberFormat="1" applyFont="1" applyFill="1" applyBorder="1" applyProtection="1"/>
    <xf numFmtId="39" fontId="18" fillId="0" borderId="0" xfId="0" applyNumberFormat="1" applyFont="1" applyFill="1" applyBorder="1"/>
    <xf numFmtId="0" fontId="18" fillId="0" borderId="0" xfId="42" applyFont="1" applyFill="1" applyBorder="1" applyAlignment="1">
      <alignment horizontal="center"/>
    </xf>
    <xf numFmtId="0" fontId="42" fillId="0" borderId="0" xfId="43" applyFont="1" applyFill="1" applyBorder="1"/>
    <xf numFmtId="0" fontId="102" fillId="0" borderId="0" xfId="44" applyFont="1" applyFill="1"/>
    <xf numFmtId="0" fontId="18" fillId="0" borderId="0" xfId="42" applyFont="1" applyFill="1" applyAlignment="1">
      <alignment horizontal="center"/>
    </xf>
    <xf numFmtId="0" fontId="18" fillId="0" borderId="0" xfId="42" applyFont="1" applyFill="1"/>
    <xf numFmtId="0" fontId="18" fillId="0" borderId="0" xfId="44" applyFont="1" applyFill="1"/>
    <xf numFmtId="0" fontId="102" fillId="0" borderId="0" xfId="42" applyFont="1" applyFill="1"/>
    <xf numFmtId="0" fontId="18" fillId="0" borderId="0" xfId="43" applyFont="1" applyFill="1"/>
    <xf numFmtId="0" fontId="18" fillId="0" borderId="0" xfId="43" applyFont="1" applyFill="1" applyAlignment="1">
      <alignment horizontal="center"/>
    </xf>
    <xf numFmtId="0" fontId="18" fillId="0" borderId="0" xfId="43" applyFont="1" applyFill="1" applyAlignment="1" applyProtection="1">
      <alignment horizontal="left"/>
    </xf>
    <xf numFmtId="0" fontId="18" fillId="0" borderId="0" xfId="43" applyFont="1" applyFill="1" applyBorder="1"/>
    <xf numFmtId="39" fontId="44" fillId="0" borderId="0" xfId="43" applyNumberFormat="1" applyFont="1" applyFill="1" applyProtection="1"/>
    <xf numFmtId="0" fontId="18" fillId="0" borderId="0" xfId="41" applyFont="1" applyFill="1" applyAlignment="1" applyProtection="1">
      <alignment horizontal="centerContinuous"/>
    </xf>
    <xf numFmtId="0" fontId="18" fillId="0" borderId="0" xfId="41" applyFont="1" applyFill="1" applyAlignment="1">
      <alignment horizontal="centerContinuous"/>
    </xf>
    <xf numFmtId="0" fontId="18" fillId="0" borderId="0" xfId="41" applyFont="1" applyFill="1" applyBorder="1"/>
    <xf numFmtId="37" fontId="18" fillId="0" borderId="0" xfId="41" applyNumberFormat="1" applyFont="1" applyFill="1" applyBorder="1" applyProtection="1"/>
    <xf numFmtId="165" fontId="44" fillId="0" borderId="0" xfId="41" applyNumberFormat="1" applyFont="1" applyFill="1" applyAlignment="1" applyProtection="1">
      <alignment horizontal="centerContinuous"/>
      <protection locked="0"/>
    </xf>
    <xf numFmtId="0" fontId="18" fillId="0" borderId="0" xfId="41" applyFont="1" applyFill="1" applyBorder="1" applyAlignment="1">
      <alignment horizontal="centerContinuous"/>
    </xf>
    <xf numFmtId="0" fontId="18" fillId="0" borderId="0" xfId="41" applyFont="1" applyFill="1" applyProtection="1"/>
    <xf numFmtId="165" fontId="44" fillId="0" borderId="0" xfId="41" applyNumberFormat="1" applyFont="1" applyFill="1" applyProtection="1">
      <protection locked="0"/>
    </xf>
    <xf numFmtId="0" fontId="18" fillId="0" borderId="0" xfId="41" applyFont="1" applyFill="1" applyAlignment="1" applyProtection="1">
      <alignment horizontal="left"/>
    </xf>
    <xf numFmtId="43" fontId="18" fillId="0" borderId="0" xfId="41" applyNumberFormat="1" applyFont="1" applyFill="1" applyBorder="1"/>
    <xf numFmtId="0" fontId="18" fillId="0" borderId="15" xfId="41" applyFont="1" applyFill="1" applyBorder="1" applyAlignment="1" applyProtection="1">
      <alignment horizontal="fill"/>
    </xf>
    <xf numFmtId="0" fontId="33" fillId="0" borderId="15" xfId="41" applyFont="1" applyFill="1" applyBorder="1" applyAlignment="1" applyProtection="1">
      <alignment horizontal="fill"/>
    </xf>
    <xf numFmtId="0" fontId="18" fillId="0" borderId="0" xfId="41" applyFont="1" applyFill="1" applyAlignment="1">
      <alignment horizontal="center"/>
    </xf>
    <xf numFmtId="0" fontId="47" fillId="0" borderId="0" xfId="41" applyFont="1" applyFill="1" applyBorder="1" applyAlignment="1" applyProtection="1">
      <alignment horizontal="center"/>
    </xf>
    <xf numFmtId="0" fontId="18" fillId="0" borderId="0" xfId="41" applyFont="1" applyFill="1" applyBorder="1" applyAlignment="1" applyProtection="1">
      <alignment horizontal="center"/>
    </xf>
    <xf numFmtId="37" fontId="18" fillId="0" borderId="0" xfId="41" applyNumberFormat="1" applyFont="1" applyFill="1" applyAlignment="1" applyProtection="1">
      <alignment horizontal="center"/>
    </xf>
    <xf numFmtId="0" fontId="47" fillId="0" borderId="0" xfId="41" applyFont="1" applyFill="1" applyBorder="1"/>
    <xf numFmtId="41" fontId="18" fillId="0" borderId="0" xfId="41" applyNumberFormat="1" applyFont="1" applyFill="1"/>
    <xf numFmtId="0" fontId="18" fillId="0" borderId="0" xfId="40" applyFont="1" applyFill="1" applyAlignment="1" applyProtection="1">
      <alignment horizontal="centerContinuous"/>
    </xf>
    <xf numFmtId="0" fontId="18" fillId="0" borderId="0" xfId="40" applyFont="1" applyFill="1" applyAlignment="1">
      <alignment horizontal="centerContinuous"/>
    </xf>
    <xf numFmtId="0" fontId="18" fillId="0" borderId="0" xfId="40" applyFont="1" applyFill="1" applyAlignment="1">
      <alignment horizontal="left"/>
    </xf>
    <xf numFmtId="0" fontId="18" fillId="0" borderId="0" xfId="40" applyFont="1" applyFill="1" applyProtection="1"/>
    <xf numFmtId="0" fontId="18" fillId="0" borderId="0" xfId="40" applyFont="1" applyFill="1" applyAlignment="1" applyProtection="1">
      <alignment horizontal="left"/>
    </xf>
    <xf numFmtId="0" fontId="18" fillId="0" borderId="0" xfId="40" applyFont="1" applyFill="1" applyAlignment="1" applyProtection="1">
      <alignment horizontal="center"/>
    </xf>
    <xf numFmtId="37" fontId="18" fillId="0" borderId="0" xfId="40" applyNumberFormat="1" applyFont="1" applyFill="1" applyProtection="1"/>
    <xf numFmtId="0" fontId="18" fillId="0" borderId="18" xfId="40" applyFont="1" applyFill="1" applyBorder="1"/>
    <xf numFmtId="0" fontId="18" fillId="0" borderId="18" xfId="40" applyFont="1" applyFill="1" applyBorder="1" applyAlignment="1">
      <alignment horizontal="left"/>
    </xf>
    <xf numFmtId="0" fontId="18" fillId="0" borderId="18" xfId="40" applyFont="1" applyFill="1" applyBorder="1" applyAlignment="1" applyProtection="1">
      <alignment horizontal="centerContinuous"/>
    </xf>
    <xf numFmtId="0" fontId="18" fillId="0" borderId="18" xfId="40" applyFont="1" applyFill="1" applyBorder="1" applyAlignment="1">
      <alignment horizontal="centerContinuous"/>
    </xf>
    <xf numFmtId="0" fontId="18" fillId="0" borderId="2" xfId="40" applyFont="1" applyFill="1" applyBorder="1" applyAlignment="1">
      <alignment horizontal="centerContinuous"/>
    </xf>
    <xf numFmtId="0" fontId="18" fillId="0" borderId="0" xfId="40" applyFont="1" applyFill="1" applyBorder="1" applyAlignment="1" applyProtection="1">
      <alignment horizontal="center"/>
    </xf>
    <xf numFmtId="0" fontId="18" fillId="0" borderId="0" xfId="40" applyFont="1" applyFill="1" applyBorder="1"/>
    <xf numFmtId="0" fontId="18" fillId="0" borderId="0" xfId="40" applyFont="1" applyFill="1" applyBorder="1" applyAlignment="1">
      <alignment horizontal="left"/>
    </xf>
    <xf numFmtId="0" fontId="18" fillId="0" borderId="0" xfId="40" applyFont="1" applyFill="1" applyBorder="1" applyAlignment="1">
      <alignment horizontal="centerContinuous"/>
    </xf>
    <xf numFmtId="0" fontId="18" fillId="0" borderId="0" xfId="40" applyFont="1" applyFill="1" applyBorder="1" applyAlignment="1">
      <alignment horizontal="center"/>
    </xf>
    <xf numFmtId="0" fontId="18" fillId="0" borderId="0" xfId="40" applyFont="1" applyFill="1" applyBorder="1" applyAlignment="1" applyProtection="1"/>
    <xf numFmtId="0" fontId="18" fillId="0" borderId="15" xfId="40" applyFont="1" applyFill="1" applyBorder="1"/>
    <xf numFmtId="0" fontId="18" fillId="0" borderId="15" xfId="40" applyFont="1" applyFill="1" applyBorder="1" applyAlignment="1">
      <alignment horizontal="left"/>
    </xf>
    <xf numFmtId="0" fontId="18" fillId="0" borderId="15" xfId="40" applyFont="1" applyFill="1" applyBorder="1" applyAlignment="1" applyProtection="1">
      <alignment horizontal="center"/>
    </xf>
    <xf numFmtId="0" fontId="18" fillId="0" borderId="15" xfId="40" quotePrefix="1" applyFont="1" applyFill="1" applyBorder="1" applyAlignment="1" applyProtection="1">
      <alignment horizontal="center"/>
    </xf>
    <xf numFmtId="0" fontId="18" fillId="0" borderId="0" xfId="40" quotePrefix="1" applyFont="1" applyFill="1" applyBorder="1" applyAlignment="1" applyProtection="1">
      <alignment horizontal="center"/>
    </xf>
    <xf numFmtId="0" fontId="18" fillId="0" borderId="0" xfId="40" applyFont="1" applyFill="1" applyProtection="1">
      <protection locked="0"/>
    </xf>
    <xf numFmtId="37" fontId="18" fillId="0" borderId="0" xfId="40" quotePrefix="1" applyNumberFormat="1" applyFont="1" applyFill="1" applyBorder="1" applyProtection="1"/>
    <xf numFmtId="37" fontId="18" fillId="0" borderId="0" xfId="40" applyNumberFormat="1" applyFont="1" applyFill="1" applyBorder="1" applyProtection="1"/>
    <xf numFmtId="37" fontId="18" fillId="0" borderId="0" xfId="40" applyNumberFormat="1" applyFont="1" applyFill="1" applyBorder="1"/>
    <xf numFmtId="37" fontId="18" fillId="0" borderId="0" xfId="40" applyNumberFormat="1" applyFont="1" applyFill="1" applyBorder="1" applyAlignment="1" applyProtection="1">
      <alignment horizontal="fill"/>
    </xf>
    <xf numFmtId="37" fontId="18" fillId="0" borderId="0" xfId="40" applyNumberFormat="1" applyFont="1" applyFill="1" applyAlignment="1" applyProtection="1">
      <alignment horizontal="fill"/>
    </xf>
    <xf numFmtId="37" fontId="18" fillId="0" borderId="0" xfId="40" applyNumberFormat="1" applyFont="1" applyFill="1"/>
    <xf numFmtId="37" fontId="18" fillId="0" borderId="0" xfId="41" applyNumberFormat="1" applyFont="1" applyFill="1" applyProtection="1"/>
    <xf numFmtId="37" fontId="18" fillId="0" borderId="15" xfId="40" applyNumberFormat="1" applyFont="1" applyFill="1" applyBorder="1" applyProtection="1"/>
    <xf numFmtId="37" fontId="18" fillId="0" borderId="2" xfId="40" applyNumberFormat="1" applyFont="1" applyFill="1" applyBorder="1" applyProtection="1"/>
    <xf numFmtId="37" fontId="18" fillId="0" borderId="0" xfId="40" applyNumberFormat="1" applyFont="1" applyFill="1" applyBorder="1" applyProtection="1">
      <protection locked="0"/>
    </xf>
    <xf numFmtId="0" fontId="18" fillId="0" borderId="0" xfId="41" applyFont="1" applyFill="1" applyAlignment="1">
      <alignment horizontal="right"/>
    </xf>
    <xf numFmtId="0" fontId="18" fillId="0" borderId="0" xfId="41" applyFont="1" applyFill="1" applyAlignment="1" applyProtection="1">
      <alignment horizontal="right"/>
    </xf>
    <xf numFmtId="37" fontId="18" fillId="0" borderId="16" xfId="40" applyNumberFormat="1" applyFont="1" applyFill="1" applyBorder="1" applyProtection="1"/>
    <xf numFmtId="37" fontId="18" fillId="0" borderId="0" xfId="40" applyNumberFormat="1" applyFont="1" applyFill="1" applyBorder="1" applyAlignment="1">
      <alignment horizontal="right"/>
    </xf>
    <xf numFmtId="0" fontId="18" fillId="0" borderId="0" xfId="40" applyFont="1" applyFill="1" applyBorder="1" applyAlignment="1" applyProtection="1">
      <alignment horizontal="centerContinuous"/>
    </xf>
    <xf numFmtId="0" fontId="18" fillId="0" borderId="0" xfId="40" applyFont="1" applyFill="1" applyBorder="1" applyProtection="1"/>
    <xf numFmtId="0" fontId="18" fillId="0" borderId="0" xfId="40" applyFont="1" applyFill="1" applyBorder="1" applyAlignment="1" applyProtection="1">
      <alignment horizontal="left"/>
    </xf>
    <xf numFmtId="0" fontId="18" fillId="0" borderId="0" xfId="40" quotePrefix="1" applyFont="1" applyFill="1" applyAlignment="1" applyProtection="1">
      <alignment horizontal="center"/>
    </xf>
    <xf numFmtId="164" fontId="18" fillId="0" borderId="0" xfId="40" applyNumberFormat="1" applyFont="1" applyFill="1" applyProtection="1"/>
    <xf numFmtId="0" fontId="18" fillId="0" borderId="0" xfId="40" applyFont="1" applyFill="1" applyBorder="1" applyAlignment="1" applyProtection="1">
      <alignment horizontal="fill"/>
    </xf>
    <xf numFmtId="37" fontId="18" fillId="0" borderId="15" xfId="40" applyNumberFormat="1" applyFont="1" applyFill="1" applyBorder="1"/>
    <xf numFmtId="165" fontId="18" fillId="0" borderId="0" xfId="40" applyNumberFormat="1" applyFont="1" applyFill="1" applyBorder="1" applyProtection="1"/>
    <xf numFmtId="0" fontId="18" fillId="0" borderId="0" xfId="40" applyFont="1" applyFill="1" applyAlignment="1" applyProtection="1">
      <alignment horizontal="left" indent="1"/>
    </xf>
    <xf numFmtId="37" fontId="18" fillId="0" borderId="18" xfId="40" applyNumberFormat="1" applyFont="1" applyFill="1" applyBorder="1" applyProtection="1"/>
    <xf numFmtId="37" fontId="18" fillId="0" borderId="0" xfId="41" quotePrefix="1" applyNumberFormat="1" applyFont="1" applyFill="1" applyProtection="1"/>
    <xf numFmtId="165" fontId="18" fillId="0" borderId="0" xfId="40" applyNumberFormat="1" applyFont="1" applyFill="1" applyProtection="1"/>
    <xf numFmtId="37" fontId="18" fillId="0" borderId="16" xfId="40" applyNumberFormat="1" applyFont="1" applyFill="1" applyBorder="1"/>
    <xf numFmtId="37" fontId="18" fillId="0" borderId="2" xfId="41" applyNumberFormat="1" applyFont="1" applyFill="1" applyBorder="1" applyProtection="1"/>
    <xf numFmtId="37" fontId="18" fillId="0" borderId="2" xfId="40" applyNumberFormat="1" applyFont="1" applyFill="1" applyBorder="1"/>
    <xf numFmtId="37" fontId="44" fillId="0" borderId="0" xfId="40" applyNumberFormat="1" applyFont="1" applyFill="1" applyBorder="1"/>
    <xf numFmtId="0" fontId="18" fillId="0" borderId="0" xfId="41" quotePrefix="1" applyFont="1" applyFill="1" applyAlignment="1" applyProtection="1">
      <alignment horizontal="left"/>
    </xf>
    <xf numFmtId="0" fontId="18" fillId="0" borderId="0" xfId="41" quotePrefix="1" applyFont="1" applyFill="1"/>
    <xf numFmtId="0" fontId="34" fillId="0" borderId="0" xfId="41" applyFont="1" applyFill="1" applyAlignment="1">
      <alignment horizontal="center"/>
    </xf>
    <xf numFmtId="0" fontId="42" fillId="0" borderId="0" xfId="29" applyFont="1" applyFill="1" applyAlignment="1" applyProtection="1">
      <alignment horizontal="center"/>
    </xf>
    <xf numFmtId="0" fontId="42" fillId="0" borderId="0" xfId="41" applyFont="1" applyFill="1"/>
    <xf numFmtId="0" fontId="42" fillId="0" borderId="0" xfId="41" applyFont="1" applyFill="1" applyAlignment="1" applyProtection="1">
      <alignment horizontal="center"/>
    </xf>
    <xf numFmtId="0" fontId="18" fillId="0" borderId="0" xfId="41" applyFont="1" applyFill="1" applyAlignment="1" applyProtection="1">
      <alignment horizontal="fill"/>
    </xf>
    <xf numFmtId="37" fontId="42" fillId="0" borderId="0" xfId="40" applyNumberFormat="1" applyFont="1" applyFill="1" applyBorder="1" applyProtection="1"/>
    <xf numFmtId="37" fontId="44" fillId="0" borderId="0" xfId="41" applyNumberFormat="1" applyFont="1" applyFill="1" applyProtection="1">
      <protection locked="0"/>
    </xf>
    <xf numFmtId="37" fontId="18" fillId="0" borderId="0" xfId="41" applyNumberFormat="1" applyFont="1" applyFill="1" applyProtection="1">
      <protection locked="0"/>
    </xf>
    <xf numFmtId="37" fontId="18" fillId="0" borderId="17" xfId="41" applyNumberFormat="1" applyFont="1" applyFill="1" applyBorder="1" applyProtection="1"/>
    <xf numFmtId="37" fontId="18" fillId="0" borderId="15" xfId="41" applyNumberFormat="1" applyFont="1" applyFill="1" applyBorder="1" applyProtection="1"/>
    <xf numFmtId="37" fontId="18" fillId="0" borderId="17" xfId="41" quotePrefix="1" applyNumberFormat="1" applyFont="1" applyFill="1" applyBorder="1" applyProtection="1"/>
    <xf numFmtId="0" fontId="96" fillId="0" borderId="0" xfId="40" quotePrefix="1" applyFont="1" applyFill="1"/>
    <xf numFmtId="43" fontId="18" fillId="0" borderId="15" xfId="41" applyNumberFormat="1" applyFont="1" applyFill="1" applyBorder="1" applyAlignment="1">
      <alignment horizontal="centerContinuous"/>
    </xf>
    <xf numFmtId="43" fontId="18" fillId="0" borderId="0" xfId="41" applyNumberFormat="1" applyFont="1" applyFill="1" applyBorder="1" applyAlignment="1">
      <alignment horizontal="center"/>
    </xf>
    <xf numFmtId="43" fontId="18" fillId="0" borderId="15" xfId="41" applyNumberFormat="1" applyFont="1" applyFill="1" applyBorder="1" applyAlignment="1">
      <alignment horizontal="center"/>
    </xf>
    <xf numFmtId="43" fontId="18" fillId="0" borderId="0" xfId="41" quotePrefix="1" applyNumberFormat="1" applyFont="1" applyFill="1" applyAlignment="1">
      <alignment horizontal="center"/>
    </xf>
    <xf numFmtId="41" fontId="18" fillId="0" borderId="0" xfId="41" quotePrefix="1" applyNumberFormat="1" applyFont="1" applyFill="1" applyAlignment="1">
      <alignment horizontal="center"/>
    </xf>
    <xf numFmtId="43" fontId="42" fillId="0" borderId="0" xfId="41" quotePrefix="1" applyNumberFormat="1" applyFont="1" applyFill="1" applyAlignment="1">
      <alignment horizontal="center"/>
    </xf>
    <xf numFmtId="43" fontId="42" fillId="0" borderId="0" xfId="41" applyNumberFormat="1" applyFont="1" applyFill="1" applyAlignment="1">
      <alignment horizontal="center"/>
    </xf>
    <xf numFmtId="41" fontId="42" fillId="0" borderId="0" xfId="41" applyNumberFormat="1" applyFont="1" applyFill="1" applyAlignment="1">
      <alignment horizontal="center"/>
    </xf>
    <xf numFmtId="43" fontId="72" fillId="0" borderId="0" xfId="41" applyNumberFormat="1" applyFont="1" applyFill="1"/>
    <xf numFmtId="43" fontId="72" fillId="0" borderId="15" xfId="41" applyNumberFormat="1" applyFont="1" applyFill="1" applyBorder="1"/>
    <xf numFmtId="43" fontId="18" fillId="0" borderId="15" xfId="41" applyNumberFormat="1" applyFont="1" applyFill="1" applyBorder="1"/>
    <xf numFmtId="43" fontId="72" fillId="0" borderId="0" xfId="41" applyNumberFormat="1" applyFont="1" applyFill="1" applyBorder="1"/>
    <xf numFmtId="43" fontId="18" fillId="0" borderId="0" xfId="40" applyNumberFormat="1" applyFont="1" applyFill="1"/>
    <xf numFmtId="0" fontId="18" fillId="0" borderId="0" xfId="39" applyFont="1" applyFill="1"/>
    <xf numFmtId="0" fontId="18" fillId="0" borderId="0" xfId="39" applyFont="1" applyFill="1" applyAlignment="1" applyProtection="1">
      <alignment horizontal="left"/>
    </xf>
    <xf numFmtId="165" fontId="47" fillId="0" borderId="0" xfId="39" applyNumberFormat="1" applyFont="1" applyFill="1" applyAlignment="1" applyProtection="1">
      <alignment horizontal="left"/>
    </xf>
    <xf numFmtId="37" fontId="18" fillId="0" borderId="0" xfId="39" applyNumberFormat="1" applyFont="1" applyFill="1" applyProtection="1"/>
    <xf numFmtId="0" fontId="47" fillId="0" borderId="0" xfId="39" applyFont="1" applyFill="1" applyAlignment="1">
      <alignment horizontal="center"/>
    </xf>
    <xf numFmtId="0" fontId="47" fillId="0" borderId="0" xfId="39" applyFont="1" applyFill="1" applyAlignment="1" applyProtection="1">
      <alignment horizontal="center"/>
    </xf>
    <xf numFmtId="0" fontId="47" fillId="0" borderId="0" xfId="38" applyFont="1" applyFill="1" applyAlignment="1" applyProtection="1">
      <alignment horizontal="center"/>
    </xf>
    <xf numFmtId="0" fontId="47" fillId="0" borderId="0" xfId="38" applyFont="1" applyFill="1" applyAlignment="1" applyProtection="1">
      <alignment horizontal="right"/>
    </xf>
    <xf numFmtId="165" fontId="47" fillId="0" borderId="0" xfId="38" applyNumberFormat="1" applyFont="1" applyFill="1" applyAlignment="1" applyProtection="1">
      <alignment horizontal="right"/>
    </xf>
    <xf numFmtId="0" fontId="47" fillId="0" borderId="0" xfId="38" applyFont="1" applyFill="1" applyAlignment="1">
      <alignment horizontal="right"/>
    </xf>
    <xf numFmtId="165" fontId="47" fillId="0" borderId="0" xfId="38" applyNumberFormat="1" applyFont="1" applyFill="1" applyAlignment="1" applyProtection="1">
      <alignment horizontal="left"/>
    </xf>
    <xf numFmtId="0" fontId="47" fillId="0" borderId="0" xfId="38" applyFont="1" applyFill="1" applyAlignment="1">
      <alignment horizontal="center"/>
    </xf>
    <xf numFmtId="0" fontId="47" fillId="0" borderId="0" xfId="38" applyFont="1" applyFill="1" applyAlignment="1" applyProtection="1">
      <alignment horizontal="center"/>
      <protection locked="0"/>
    </xf>
    <xf numFmtId="0" fontId="18" fillId="0" borderId="0" xfId="30" applyFont="1" applyFill="1" applyAlignment="1">
      <alignment horizontal="left"/>
    </xf>
    <xf numFmtId="17" fontId="96" fillId="0" borderId="0" xfId="5" applyNumberFormat="1" applyFont="1" applyFill="1" applyBorder="1" applyAlignment="1" applyProtection="1">
      <alignment horizontal="left"/>
    </xf>
    <xf numFmtId="39" fontId="18" fillId="0" borderId="0" xfId="5" applyNumberFormat="1" applyFont="1" applyFill="1" applyBorder="1" applyAlignment="1" applyProtection="1">
      <alignment horizontal="right"/>
    </xf>
    <xf numFmtId="39" fontId="18" fillId="0" borderId="0" xfId="5" applyNumberFormat="1" applyFont="1" applyFill="1" applyBorder="1" applyAlignment="1">
      <alignment horizontal="right"/>
    </xf>
    <xf numFmtId="37" fontId="44" fillId="0" borderId="0" xfId="5" applyNumberFormat="1" applyFont="1" applyFill="1" applyBorder="1" applyAlignment="1" applyProtection="1">
      <alignment horizontal="right"/>
    </xf>
    <xf numFmtId="0" fontId="18" fillId="0" borderId="0" xfId="24" applyFont="1" applyFill="1" applyProtection="1"/>
    <xf numFmtId="0" fontId="18" fillId="0" borderId="0" xfId="24" applyFont="1" applyFill="1" applyAlignment="1" applyProtection="1">
      <alignment horizontal="left"/>
    </xf>
    <xf numFmtId="0" fontId="44" fillId="0" borderId="0" xfId="24" applyFont="1" applyFill="1" applyAlignment="1" applyProtection="1">
      <alignment horizontal="left"/>
    </xf>
    <xf numFmtId="0" fontId="18" fillId="0" borderId="0" xfId="24" applyFont="1" applyFill="1" applyAlignment="1">
      <alignment horizontal="centerContinuous"/>
    </xf>
    <xf numFmtId="0" fontId="18" fillId="0" borderId="0" xfId="24" applyFont="1" applyFill="1" applyAlignment="1">
      <alignment horizontal="center"/>
    </xf>
    <xf numFmtId="0" fontId="18" fillId="0" borderId="15" xfId="24" applyFont="1" applyFill="1" applyBorder="1" applyAlignment="1">
      <alignment horizontal="centerContinuous"/>
    </xf>
    <xf numFmtId="0" fontId="42" fillId="0" borderId="0" xfId="24" applyFont="1" applyFill="1" applyAlignment="1">
      <alignment horizontal="center"/>
    </xf>
    <xf numFmtId="37" fontId="18" fillId="0" borderId="0" xfId="24" applyNumberFormat="1" applyFont="1" applyFill="1"/>
    <xf numFmtId="166" fontId="18" fillId="0" borderId="0" xfId="24" applyNumberFormat="1" applyFont="1" applyFill="1"/>
    <xf numFmtId="10" fontId="18" fillId="0" borderId="0" xfId="24" applyNumberFormat="1" applyFont="1" applyFill="1"/>
    <xf numFmtId="0" fontId="18" fillId="0" borderId="0" xfId="24" quotePrefix="1" applyFont="1" applyFill="1"/>
    <xf numFmtId="0" fontId="18" fillId="0" borderId="0" xfId="23" applyFont="1" applyFill="1"/>
    <xf numFmtId="0" fontId="18" fillId="0" borderId="0" xfId="32" applyFont="1" applyFill="1" applyAlignment="1" applyProtection="1">
      <alignment horizontal="left"/>
    </xf>
    <xf numFmtId="0" fontId="18" fillId="0" borderId="0" xfId="32" applyFont="1" applyFill="1"/>
    <xf numFmtId="0" fontId="18" fillId="0" borderId="0" xfId="0" applyFont="1" applyFill="1" applyBorder="1" applyAlignment="1">
      <alignment horizontal="center"/>
    </xf>
    <xf numFmtId="0" fontId="47" fillId="0" borderId="0" xfId="25" applyFont="1" applyFill="1" applyAlignment="1" applyProtection="1">
      <alignment horizontal="center"/>
    </xf>
    <xf numFmtId="0" fontId="50" fillId="0" borderId="0" xfId="25" applyFont="1" applyFill="1" applyAlignment="1" applyProtection="1">
      <alignment horizontal="center"/>
    </xf>
    <xf numFmtId="37" fontId="42" fillId="0" borderId="0" xfId="36" applyNumberFormat="1" applyFont="1" applyFill="1" applyProtection="1">
      <protection locked="0"/>
    </xf>
    <xf numFmtId="0" fontId="18" fillId="0" borderId="0" xfId="30" applyFont="1" applyFill="1" applyAlignment="1">
      <alignment horizontal="center"/>
    </xf>
    <xf numFmtId="9" fontId="47" fillId="0" borderId="0" xfId="24" applyNumberFormat="1" applyFont="1" applyFill="1" applyAlignment="1" applyProtection="1">
      <alignment horizontal="left"/>
    </xf>
    <xf numFmtId="0" fontId="47" fillId="0" borderId="0" xfId="34" applyFont="1" applyFill="1" applyBorder="1" applyAlignment="1" applyProtection="1">
      <alignment horizontal="center"/>
    </xf>
    <xf numFmtId="0" fontId="26" fillId="0" borderId="0" xfId="9" applyFont="1" applyFill="1" applyAlignment="1">
      <alignment horizontal="centerContinuous"/>
    </xf>
    <xf numFmtId="0" fontId="27" fillId="0" borderId="0" xfId="9" applyFont="1" applyFill="1"/>
    <xf numFmtId="0" fontId="28" fillId="0" borderId="0" xfId="9" applyFont="1" applyFill="1" applyAlignment="1" applyProtection="1">
      <alignment horizontal="left"/>
      <protection locked="0"/>
    </xf>
    <xf numFmtId="0" fontId="27" fillId="0" borderId="0" xfId="9" applyFont="1" applyFill="1" applyAlignment="1">
      <alignment horizontal="centerContinuous"/>
    </xf>
    <xf numFmtId="17" fontId="27" fillId="0" borderId="0" xfId="9" applyNumberFormat="1" applyFont="1" applyFill="1"/>
    <xf numFmtId="167" fontId="29" fillId="0" borderId="0" xfId="9" applyNumberFormat="1" applyFont="1" applyFill="1" applyAlignment="1" applyProtection="1">
      <alignment horizontal="centerContinuous"/>
    </xf>
    <xf numFmtId="0" fontId="110" fillId="0" borderId="0" xfId="9" applyFont="1" applyFill="1" applyAlignment="1" applyProtection="1">
      <alignment horizontal="centerContinuous"/>
      <protection locked="0"/>
    </xf>
    <xf numFmtId="0" fontId="51" fillId="0" borderId="0" xfId="9" applyFont="1" applyFill="1" applyAlignment="1" applyProtection="1">
      <alignment horizontal="centerContinuous"/>
      <protection locked="0"/>
    </xf>
    <xf numFmtId="0" fontId="18" fillId="0" borderId="0" xfId="9" applyFont="1" applyFill="1"/>
    <xf numFmtId="0" fontId="111" fillId="0" borderId="4" xfId="9" applyFont="1" applyFill="1" applyBorder="1" applyAlignment="1" applyProtection="1">
      <alignment horizontal="left"/>
    </xf>
    <xf numFmtId="0" fontId="44" fillId="0" borderId="2" xfId="9" applyFont="1" applyFill="1" applyBorder="1" applyAlignment="1" applyProtection="1">
      <alignment horizontal="centerContinuous"/>
      <protection locked="0"/>
    </xf>
    <xf numFmtId="0" fontId="44" fillId="0" borderId="3" xfId="9" applyFont="1" applyFill="1" applyBorder="1" applyAlignment="1" applyProtection="1">
      <alignment horizontal="centerContinuous"/>
      <protection locked="0"/>
    </xf>
    <xf numFmtId="0" fontId="44" fillId="0" borderId="0" xfId="9" applyFont="1" applyFill="1" applyAlignment="1" applyProtection="1">
      <alignment horizontal="centerContinuous"/>
      <protection locked="0"/>
    </xf>
    <xf numFmtId="0" fontId="34" fillId="0" borderId="0" xfId="9" applyFont="1" applyFill="1" applyAlignment="1" applyProtection="1">
      <alignment horizontal="left"/>
    </xf>
    <xf numFmtId="0" fontId="34" fillId="0" borderId="4" xfId="9" applyFont="1" applyFill="1" applyBorder="1" applyAlignment="1" applyProtection="1">
      <alignment horizontal="left"/>
    </xf>
    <xf numFmtId="0" fontId="18" fillId="0" borderId="5" xfId="9" applyFont="1" applyFill="1" applyBorder="1"/>
    <xf numFmtId="0" fontId="18" fillId="0" borderId="3" xfId="9" applyFont="1" applyFill="1" applyBorder="1"/>
    <xf numFmtId="0" fontId="102" fillId="0" borderId="2" xfId="9" applyFont="1" applyFill="1" applyBorder="1" applyAlignment="1" applyProtection="1">
      <alignment horizontal="centerContinuous"/>
      <protection locked="0"/>
    </xf>
    <xf numFmtId="0" fontId="102" fillId="0" borderId="4" xfId="9" applyFont="1" applyFill="1" applyBorder="1" applyProtection="1">
      <protection locked="0"/>
    </xf>
    <xf numFmtId="0" fontId="18" fillId="0" borderId="0" xfId="9" applyFont="1" applyFill="1" applyBorder="1"/>
    <xf numFmtId="0" fontId="34" fillId="0" borderId="4" xfId="9" applyFont="1" applyFill="1" applyBorder="1" applyAlignment="1" applyProtection="1">
      <alignment horizontal="center"/>
    </xf>
    <xf numFmtId="0" fontId="34" fillId="0" borderId="4" xfId="9" applyFont="1" applyFill="1" applyBorder="1"/>
    <xf numFmtId="17" fontId="18" fillId="0" borderId="4" xfId="9" applyNumberFormat="1" applyFont="1" applyFill="1" applyBorder="1" applyAlignment="1">
      <alignment horizontal="left"/>
    </xf>
    <xf numFmtId="0" fontId="18" fillId="0" borderId="2" xfId="9" applyFont="1" applyFill="1" applyBorder="1"/>
    <xf numFmtId="0" fontId="44" fillId="0" borderId="3" xfId="9" applyFont="1" applyFill="1" applyBorder="1" applyProtection="1">
      <protection locked="0"/>
    </xf>
    <xf numFmtId="0" fontId="44" fillId="0" borderId="0" xfId="9" applyFont="1" applyFill="1" applyProtection="1">
      <protection locked="0"/>
    </xf>
    <xf numFmtId="0" fontId="102" fillId="0" borderId="4" xfId="9" applyFont="1" applyFill="1" applyBorder="1"/>
    <xf numFmtId="15" fontId="102" fillId="0" borderId="0" xfId="9" quotePrefix="1" applyNumberFormat="1" applyFont="1" applyFill="1" applyAlignment="1" applyProtection="1">
      <alignment horizontal="left"/>
    </xf>
    <xf numFmtId="0" fontId="18" fillId="0" borderId="0" xfId="9" applyFont="1" applyFill="1" applyAlignment="1" applyProtection="1">
      <alignment horizontal="left"/>
    </xf>
    <xf numFmtId="0" fontId="113" fillId="0" borderId="0" xfId="9" applyFont="1" applyFill="1" applyProtection="1">
      <protection locked="0"/>
    </xf>
    <xf numFmtId="17" fontId="18" fillId="0" borderId="0" xfId="9" applyNumberFormat="1" applyFont="1" applyFill="1"/>
    <xf numFmtId="0" fontId="113" fillId="0" borderId="0" xfId="9" applyFont="1" applyFill="1"/>
    <xf numFmtId="196" fontId="33" fillId="0" borderId="0" xfId="9" applyNumberFormat="1" applyFont="1" applyFill="1"/>
    <xf numFmtId="167" fontId="18" fillId="0" borderId="0" xfId="9" applyNumberFormat="1" applyFont="1" applyFill="1" applyProtection="1"/>
    <xf numFmtId="0" fontId="34" fillId="0" borderId="0" xfId="9" applyFont="1" applyFill="1" applyAlignment="1" applyProtection="1">
      <alignment horizontal="centerContinuous"/>
    </xf>
    <xf numFmtId="0" fontId="18" fillId="0" borderId="0" xfId="9" applyFont="1" applyFill="1" applyAlignment="1">
      <alignment horizontal="centerContinuous"/>
    </xf>
    <xf numFmtId="0" fontId="34" fillId="0" borderId="0" xfId="9" applyFont="1" applyFill="1"/>
    <xf numFmtId="0" fontId="22" fillId="3" borderId="0" xfId="10" applyFont="1" applyFill="1"/>
    <xf numFmtId="0" fontId="30" fillId="3" borderId="0" xfId="10" applyFont="1" applyFill="1" applyAlignment="1">
      <alignment horizontal="centerContinuous"/>
    </xf>
    <xf numFmtId="0" fontId="22" fillId="3" borderId="0" xfId="10" applyFont="1" applyFill="1" applyAlignment="1">
      <alignment horizontal="center"/>
    </xf>
    <xf numFmtId="0" fontId="30" fillId="3" borderId="0" xfId="10" applyFont="1" applyFill="1" applyAlignment="1">
      <alignment horizontal="left"/>
    </xf>
    <xf numFmtId="0" fontId="22" fillId="2" borderId="8" xfId="8" applyFont="1" applyFill="1" applyBorder="1" applyAlignment="1">
      <alignment horizontal="centerContinuous"/>
    </xf>
    <xf numFmtId="0" fontId="22" fillId="2" borderId="9" xfId="8" applyFont="1" applyFill="1" applyBorder="1" applyAlignment="1">
      <alignment horizontal="centerContinuous"/>
    </xf>
    <xf numFmtId="0" fontId="22" fillId="2" borderId="10" xfId="4" applyFont="1" applyFill="1" applyBorder="1"/>
    <xf numFmtId="0" fontId="22" fillId="2" borderId="0" xfId="4" applyFont="1" applyFill="1" applyBorder="1"/>
    <xf numFmtId="0" fontId="22" fillId="2" borderId="0" xfId="8" applyFont="1" applyFill="1" applyBorder="1"/>
    <xf numFmtId="0" fontId="22" fillId="2" borderId="11" xfId="8" applyFont="1" applyFill="1" applyBorder="1"/>
    <xf numFmtId="0" fontId="22" fillId="2" borderId="10" xfId="8" applyFont="1" applyFill="1" applyBorder="1"/>
    <xf numFmtId="0" fontId="22" fillId="2" borderId="12" xfId="8" applyFont="1" applyFill="1" applyBorder="1"/>
    <xf numFmtId="0" fontId="22" fillId="2" borderId="13" xfId="8" applyFont="1" applyFill="1" applyBorder="1"/>
    <xf numFmtId="0" fontId="22" fillId="2" borderId="14" xfId="8" applyFont="1" applyFill="1" applyBorder="1"/>
    <xf numFmtId="0" fontId="114" fillId="4" borderId="0" xfId="10" applyFont="1" applyFill="1" applyAlignment="1">
      <alignment horizontal="centerContinuous"/>
    </xf>
    <xf numFmtId="0" fontId="114" fillId="4" borderId="0" xfId="10" applyFont="1" applyFill="1" applyAlignment="1">
      <alignment horizontal="left"/>
    </xf>
    <xf numFmtId="0" fontId="18" fillId="0" borderId="0" xfId="14" applyFont="1" applyFill="1" applyAlignment="1" applyProtection="1">
      <alignment horizontal="centerContinuous"/>
    </xf>
    <xf numFmtId="0" fontId="18" fillId="0" borderId="0" xfId="13" applyFont="1" applyFill="1" applyAlignment="1">
      <alignment horizontal="centerContinuous"/>
    </xf>
    <xf numFmtId="0" fontId="18" fillId="0" borderId="0" xfId="13" applyFont="1" applyFill="1"/>
    <xf numFmtId="0" fontId="18" fillId="0" borderId="0" xfId="13" applyFont="1" applyFill="1" applyAlignment="1" applyProtection="1">
      <alignment horizontal="centerContinuous"/>
    </xf>
    <xf numFmtId="0" fontId="18" fillId="0" borderId="0" xfId="13" applyFont="1" applyFill="1" applyProtection="1"/>
    <xf numFmtId="0" fontId="18" fillId="0" borderId="0" xfId="13" applyFont="1" applyFill="1" applyAlignment="1" applyProtection="1">
      <alignment horizontal="left"/>
    </xf>
    <xf numFmtId="0" fontId="18" fillId="0" borderId="15" xfId="13" applyFont="1" applyFill="1" applyBorder="1" applyAlignment="1" applyProtection="1">
      <alignment horizontal="fill"/>
    </xf>
    <xf numFmtId="0" fontId="18" fillId="0" borderId="15" xfId="13" applyFont="1" applyFill="1" applyBorder="1"/>
    <xf numFmtId="0" fontId="18" fillId="0" borderId="0" xfId="13" applyFont="1" applyFill="1" applyAlignment="1" applyProtection="1">
      <alignment horizontal="center"/>
    </xf>
    <xf numFmtId="0" fontId="42" fillId="0" borderId="0" xfId="13" applyFont="1" applyFill="1" applyAlignment="1" applyProtection="1">
      <alignment horizontal="centerContinuous"/>
    </xf>
    <xf numFmtId="0" fontId="18" fillId="0" borderId="0" xfId="13" applyFont="1" applyFill="1" applyBorder="1" applyAlignment="1">
      <alignment horizontal="centerContinuous"/>
    </xf>
    <xf numFmtId="0" fontId="18" fillId="0" borderId="0" xfId="13" applyFont="1" applyFill="1" applyAlignment="1">
      <alignment horizontal="center"/>
    </xf>
    <xf numFmtId="0" fontId="18" fillId="0" borderId="0" xfId="13" applyFont="1" applyFill="1" applyAlignment="1" applyProtection="1"/>
    <xf numFmtId="37" fontId="18" fillId="0" borderId="0" xfId="13" applyNumberFormat="1" applyFont="1" applyFill="1" applyAlignment="1" applyProtection="1">
      <alignment horizontal="center"/>
    </xf>
    <xf numFmtId="37" fontId="18" fillId="0" borderId="0" xfId="13" applyNumberFormat="1" applyFont="1" applyFill="1" applyProtection="1"/>
    <xf numFmtId="37" fontId="18" fillId="0" borderId="0" xfId="13" applyNumberFormat="1" applyFont="1" applyFill="1"/>
    <xf numFmtId="0" fontId="18" fillId="0" borderId="0" xfId="13" applyFont="1" applyFill="1" applyAlignment="1"/>
    <xf numFmtId="166" fontId="18" fillId="0" borderId="0" xfId="13" applyNumberFormat="1" applyFont="1" applyFill="1" applyProtection="1"/>
    <xf numFmtId="174" fontId="18" fillId="0" borderId="0" xfId="13" applyNumberFormat="1" applyFont="1" applyFill="1" applyProtection="1"/>
    <xf numFmtId="0" fontId="18" fillId="0" borderId="0" xfId="13" quotePrefix="1" applyFont="1" applyFill="1" applyAlignment="1">
      <alignment horizontal="center"/>
    </xf>
    <xf numFmtId="0" fontId="18" fillId="0" borderId="0" xfId="13" applyFont="1" applyFill="1" applyBorder="1"/>
    <xf numFmtId="0" fontId="18" fillId="0" borderId="0" xfId="13" applyFont="1" applyFill="1" applyBorder="1" applyProtection="1"/>
    <xf numFmtId="0" fontId="18" fillId="0" borderId="0" xfId="13" applyFont="1" applyFill="1" applyBorder="1" applyAlignment="1" applyProtection="1">
      <alignment horizontal="left"/>
    </xf>
    <xf numFmtId="0" fontId="18" fillId="0" borderId="0" xfId="13" applyFont="1" applyFill="1" applyBorder="1" applyAlignment="1" applyProtection="1">
      <alignment horizontal="fill"/>
    </xf>
    <xf numFmtId="0" fontId="18" fillId="0" borderId="0" xfId="13" applyFont="1" applyFill="1" applyBorder="1" applyAlignment="1" applyProtection="1">
      <alignment horizontal="center"/>
    </xf>
    <xf numFmtId="0" fontId="18" fillId="0" borderId="0" xfId="24" quotePrefix="1" applyFont="1" applyFill="1" applyAlignment="1">
      <alignment horizontal="center"/>
    </xf>
    <xf numFmtId="37" fontId="42" fillId="0" borderId="0" xfId="24" applyNumberFormat="1" applyFont="1" applyFill="1"/>
    <xf numFmtId="37" fontId="97" fillId="0" borderId="0" xfId="24" applyNumberFormat="1" applyFont="1" applyFill="1"/>
    <xf numFmtId="37" fontId="44" fillId="0" borderId="0" xfId="24" applyNumberFormat="1" applyFont="1" applyFill="1"/>
    <xf numFmtId="0" fontId="44" fillId="0" borderId="0" xfId="8" applyFont="1" applyFill="1" applyAlignment="1" applyProtection="1">
      <alignment horizontal="left" indent="1"/>
    </xf>
    <xf numFmtId="0" fontId="18" fillId="0" borderId="0" xfId="24" applyFont="1" applyFill="1" applyBorder="1"/>
    <xf numFmtId="166" fontId="44" fillId="0" borderId="17" xfId="8" applyNumberFormat="1" applyFont="1" applyFill="1" applyBorder="1" applyProtection="1"/>
    <xf numFmtId="0" fontId="47" fillId="0" borderId="0" xfId="8" applyFont="1" applyFill="1" applyAlignment="1" applyProtection="1">
      <alignment horizontal="center"/>
    </xf>
    <xf numFmtId="0" fontId="33" fillId="0" borderId="0" xfId="24" applyFont="1" applyFill="1"/>
    <xf numFmtId="0" fontId="72" fillId="0" borderId="0" xfId="64" applyFont="1" applyFill="1" applyAlignment="1">
      <alignment horizontal="center"/>
    </xf>
    <xf numFmtId="37" fontId="18" fillId="0" borderId="0" xfId="5" applyNumberFormat="1" applyFont="1" applyFill="1" applyBorder="1" applyAlignment="1" applyProtection="1">
      <alignment horizontal="right"/>
    </xf>
    <xf numFmtId="0" fontId="72" fillId="0" borderId="0" xfId="64" applyFont="1" applyFill="1" applyAlignment="1" applyProtection="1"/>
    <xf numFmtId="10" fontId="72" fillId="0" borderId="0" xfId="64" applyNumberFormat="1" applyFont="1" applyFill="1" applyProtection="1">
      <protection locked="0"/>
    </xf>
    <xf numFmtId="37" fontId="72" fillId="0" borderId="0" xfId="8" applyNumberFormat="1" applyFont="1" applyFill="1" applyBorder="1" applyAlignment="1">
      <alignment horizontal="right"/>
    </xf>
    <xf numFmtId="10" fontId="72" fillId="0" borderId="0" xfId="64" applyNumberFormat="1" applyFont="1" applyFill="1"/>
    <xf numFmtId="0" fontId="72" fillId="0" borderId="0" xfId="64" applyFont="1" applyFill="1" applyAlignment="1" applyProtection="1">
      <alignment horizontal="center"/>
    </xf>
    <xf numFmtId="37" fontId="97" fillId="0" borderId="0" xfId="30" applyNumberFormat="1" applyFont="1" applyFill="1" applyAlignment="1">
      <alignment horizontal="right"/>
    </xf>
    <xf numFmtId="17" fontId="18" fillId="0" borderId="0" xfId="5" applyNumberFormat="1" applyFont="1" applyFill="1" applyBorder="1" applyAlignment="1" applyProtection="1">
      <alignment horizontal="left"/>
    </xf>
    <xf numFmtId="0" fontId="42" fillId="0" borderId="0" xfId="5" applyFont="1" applyFill="1" applyAlignment="1">
      <alignment horizontal="center"/>
    </xf>
    <xf numFmtId="0" fontId="18" fillId="0" borderId="0" xfId="8" applyFont="1" applyFill="1" applyAlignment="1">
      <alignment horizontal="center"/>
    </xf>
    <xf numFmtId="37" fontId="73" fillId="0" borderId="0" xfId="22" applyNumberFormat="1" applyFont="1" applyFill="1" applyAlignment="1" applyProtection="1">
      <alignment horizontal="right"/>
    </xf>
    <xf numFmtId="0" fontId="44" fillId="0" borderId="0" xfId="26" applyFont="1" applyFill="1" applyAlignment="1" applyProtection="1">
      <alignment horizontal="center"/>
    </xf>
    <xf numFmtId="0" fontId="18" fillId="0" borderId="0" xfId="25" applyFont="1" applyFill="1"/>
    <xf numFmtId="179" fontId="44" fillId="0" borderId="0" xfId="26" applyNumberFormat="1" applyFont="1" applyFill="1" applyProtection="1"/>
    <xf numFmtId="0" fontId="18" fillId="0" borderId="0" xfId="25" applyFont="1" applyFill="1" applyAlignment="1" applyProtection="1">
      <alignment horizontal="center"/>
    </xf>
    <xf numFmtId="169" fontId="18" fillId="0" borderId="15" xfId="57" applyNumberFormat="1" applyFont="1" applyFill="1" applyBorder="1" applyAlignment="1" applyProtection="1">
      <alignment horizontal="center"/>
      <protection locked="0"/>
    </xf>
    <xf numFmtId="169" fontId="18" fillId="0" borderId="15" xfId="56" applyNumberFormat="1" applyFont="1" applyFill="1" applyBorder="1" applyAlignment="1" applyProtection="1">
      <alignment horizontal="center"/>
    </xf>
    <xf numFmtId="0" fontId="34" fillId="0" borderId="4" xfId="9" applyFont="1" applyFill="1" applyBorder="1" applyAlignment="1">
      <alignment horizontal="center"/>
    </xf>
    <xf numFmtId="5" fontId="18" fillId="0" borderId="0" xfId="13" applyNumberFormat="1" applyFont="1" applyFill="1"/>
    <xf numFmtId="41" fontId="32" fillId="0" borderId="0" xfId="12" applyNumberFormat="1" applyFont="1" applyFill="1" applyAlignment="1" applyProtection="1">
      <alignment horizontal="center"/>
      <protection locked="0"/>
    </xf>
    <xf numFmtId="183" fontId="18" fillId="0" borderId="0" xfId="1" quotePrefix="1" applyNumberFormat="1" applyFont="1" applyFill="1" applyBorder="1"/>
    <xf numFmtId="204" fontId="72" fillId="0" borderId="0" xfId="1489" quotePrefix="1" applyNumberFormat="1" applyFont="1" applyFill="1" applyAlignment="1">
      <alignment horizontal="center"/>
    </xf>
    <xf numFmtId="0" fontId="44" fillId="0" borderId="0" xfId="8" quotePrefix="1" applyFont="1" applyFill="1"/>
    <xf numFmtId="0" fontId="44" fillId="0" borderId="0" xfId="8" quotePrefix="1" applyFont="1" applyFill="1" applyAlignment="1" applyProtection="1">
      <alignment horizontal="left"/>
      <protection locked="0"/>
    </xf>
    <xf numFmtId="0" fontId="44" fillId="0" borderId="0" xfId="8" applyFont="1" applyFill="1"/>
    <xf numFmtId="37" fontId="18" fillId="0" borderId="17" xfId="8" applyNumberFormat="1" applyFont="1" applyFill="1" applyBorder="1" applyProtection="1"/>
    <xf numFmtId="0" fontId="18" fillId="0" borderId="0" xfId="16" applyFont="1" applyFill="1" applyAlignment="1">
      <alignment horizontal="center"/>
    </xf>
    <xf numFmtId="0" fontId="18" fillId="0" borderId="0" xfId="8" applyFont="1" applyFill="1" applyAlignment="1" applyProtection="1">
      <alignment horizontal="center"/>
      <protection locked="0"/>
    </xf>
    <xf numFmtId="0" fontId="18" fillId="0" borderId="0" xfId="8" quotePrefix="1" applyFont="1" applyFill="1" applyBorder="1" applyAlignment="1" applyProtection="1">
      <alignment horizontal="center"/>
      <protection locked="0"/>
    </xf>
    <xf numFmtId="0" fontId="18" fillId="0" borderId="15" xfId="8" applyFont="1" applyFill="1" applyBorder="1"/>
    <xf numFmtId="37" fontId="18" fillId="0" borderId="17" xfId="16" applyNumberFormat="1" applyFont="1" applyFill="1" applyBorder="1" applyProtection="1">
      <protection locked="0"/>
    </xf>
    <xf numFmtId="166" fontId="18" fillId="0" borderId="0" xfId="8" applyNumberFormat="1" applyFont="1" applyFill="1" applyBorder="1" applyProtection="1"/>
    <xf numFmtId="0" fontId="18" fillId="0" borderId="15" xfId="8" applyFont="1" applyFill="1" applyBorder="1" applyAlignment="1" applyProtection="1">
      <alignment horizontal="center"/>
    </xf>
    <xf numFmtId="37" fontId="18" fillId="0" borderId="0" xfId="20" quotePrefix="1" applyNumberFormat="1" applyFont="1" applyFill="1" applyProtection="1"/>
    <xf numFmtId="37" fontId="18" fillId="0" borderId="0" xfId="20" applyNumberFormat="1" applyFont="1" applyFill="1" applyProtection="1"/>
    <xf numFmtId="37" fontId="18" fillId="0" borderId="0" xfId="20" applyNumberFormat="1" applyFont="1" applyFill="1"/>
    <xf numFmtId="37" fontId="18" fillId="0" borderId="2" xfId="20" applyNumberFormat="1" applyFont="1" applyFill="1" applyBorder="1" applyProtection="1"/>
    <xf numFmtId="37" fontId="18" fillId="0" borderId="15" xfId="20" applyNumberFormat="1" applyFont="1" applyFill="1" applyBorder="1" applyProtection="1"/>
    <xf numFmtId="37" fontId="18" fillId="0" borderId="17" xfId="20" quotePrefix="1" applyNumberFormat="1" applyFont="1" applyFill="1" applyBorder="1" applyProtection="1"/>
    <xf numFmtId="37" fontId="18" fillId="0" borderId="0" xfId="20" quotePrefix="1" applyNumberFormat="1" applyFont="1" applyFill="1" applyBorder="1" applyProtection="1"/>
    <xf numFmtId="37" fontId="44" fillId="0" borderId="0" xfId="8" applyNumberFormat="1" applyFont="1" applyFill="1" applyBorder="1" applyProtection="1"/>
    <xf numFmtId="37" fontId="18" fillId="0" borderId="62" xfId="8" applyNumberFormat="1" applyFont="1" applyFill="1" applyBorder="1" applyProtection="1"/>
    <xf numFmtId="0" fontId="18" fillId="0" borderId="0" xfId="21" applyFont="1" applyFill="1" applyAlignment="1" applyProtection="1">
      <alignment horizontal="left"/>
    </xf>
    <xf numFmtId="37" fontId="18" fillId="0" borderId="2" xfId="21" applyNumberFormat="1" applyFont="1" applyFill="1" applyBorder="1" applyProtection="1"/>
    <xf numFmtId="0" fontId="18" fillId="0" borderId="0" xfId="22" applyFont="1" applyFill="1" applyAlignment="1" applyProtection="1">
      <alignment horizontal="center"/>
    </xf>
    <xf numFmtId="37" fontId="18" fillId="0" borderId="0" xfId="22" quotePrefix="1" applyNumberFormat="1" applyFont="1" applyFill="1" applyProtection="1"/>
    <xf numFmtId="37" fontId="18" fillId="0" borderId="0" xfId="5" applyNumberFormat="1" applyFont="1" applyFill="1"/>
    <xf numFmtId="181" fontId="18" fillId="0" borderId="0" xfId="12" applyFont="1" applyFill="1" applyAlignment="1" applyProtection="1">
      <alignment horizontal="left"/>
    </xf>
    <xf numFmtId="37" fontId="18" fillId="0" borderId="0" xfId="12" applyNumberFormat="1" applyFont="1" applyFill="1" applyBorder="1" applyProtection="1"/>
    <xf numFmtId="37" fontId="18" fillId="0" borderId="0" xfId="12" applyNumberFormat="1" applyFont="1" applyFill="1" applyProtection="1">
      <protection locked="0"/>
    </xf>
    <xf numFmtId="37" fontId="18" fillId="0" borderId="2" xfId="12" applyNumberFormat="1" applyFont="1" applyFill="1" applyBorder="1" applyProtection="1"/>
    <xf numFmtId="166" fontId="18" fillId="0" borderId="17" xfId="8" applyNumberFormat="1" applyFont="1" applyFill="1" applyBorder="1" applyProtection="1"/>
    <xf numFmtId="0" fontId="18" fillId="0" borderId="0" xfId="24" applyFont="1" applyFill="1"/>
    <xf numFmtId="180" fontId="18" fillId="0" borderId="0" xfId="53" applyNumberFormat="1" applyFont="1" applyFill="1" applyProtection="1"/>
    <xf numFmtId="0" fontId="18" fillId="0" borderId="0" xfId="41" applyFont="1" applyFill="1"/>
    <xf numFmtId="0" fontId="18" fillId="0" borderId="0" xfId="41" applyFont="1" applyFill="1" applyAlignment="1" applyProtection="1">
      <alignment horizontal="center"/>
    </xf>
    <xf numFmtId="43" fontId="18" fillId="0" borderId="0" xfId="41" applyNumberFormat="1" applyFont="1" applyFill="1"/>
    <xf numFmtId="0" fontId="18" fillId="0" borderId="0" xfId="40" applyFont="1" applyFill="1"/>
    <xf numFmtId="37" fontId="18" fillId="0" borderId="0" xfId="41" applyNumberFormat="1" applyFont="1" applyFill="1"/>
    <xf numFmtId="37" fontId="44" fillId="0" borderId="0" xfId="8" applyNumberFormat="1" applyFont="1" applyFill="1" applyProtection="1"/>
    <xf numFmtId="37" fontId="18" fillId="0" borderId="2" xfId="8" applyNumberFormat="1" applyFont="1" applyFill="1" applyBorder="1" applyProtection="1"/>
    <xf numFmtId="0" fontId="27" fillId="0" borderId="0" xfId="9" applyFont="1" applyFill="1"/>
    <xf numFmtId="166" fontId="18" fillId="0" borderId="36" xfId="63" applyNumberFormat="1" applyFont="1" applyFill="1" applyBorder="1" applyProtection="1"/>
    <xf numFmtId="181" fontId="34" fillId="0" borderId="0" xfId="12" applyFont="1" applyFill="1" applyAlignment="1" applyProtection="1">
      <alignment horizontal="left"/>
    </xf>
    <xf numFmtId="181" fontId="45" fillId="0" borderId="0" xfId="12" applyFont="1" applyFill="1" applyAlignment="1" applyProtection="1">
      <alignment horizontal="left"/>
    </xf>
    <xf numFmtId="181" fontId="18" fillId="0" borderId="0" xfId="12" applyFont="1" applyFill="1" applyAlignment="1" applyProtection="1">
      <alignment horizontal="left" indent="2"/>
    </xf>
    <xf numFmtId="37" fontId="18" fillId="0" borderId="0" xfId="12" applyNumberFormat="1" applyFont="1" applyFill="1" applyAlignment="1" applyProtection="1">
      <alignment horizontal="left" indent="1"/>
    </xf>
    <xf numFmtId="44" fontId="18" fillId="0" borderId="0" xfId="12" applyNumberFormat="1" applyFont="1" applyFill="1" applyProtection="1"/>
    <xf numFmtId="5" fontId="18" fillId="0" borderId="0" xfId="24" applyNumberFormat="1" applyFont="1" applyFill="1" applyBorder="1" applyAlignment="1">
      <alignment horizontal="centerContinuous"/>
    </xf>
    <xf numFmtId="5" fontId="18" fillId="0" borderId="0" xfId="24" applyNumberFormat="1" applyFont="1" applyFill="1"/>
    <xf numFmtId="0" fontId="0" fillId="0" borderId="0" xfId="0" applyFill="1" applyAlignment="1">
      <alignment horizontal="center"/>
    </xf>
    <xf numFmtId="37" fontId="0" fillId="0" borderId="0" xfId="0" applyNumberFormat="1" applyFill="1"/>
    <xf numFmtId="41" fontId="22" fillId="0" borderId="0" xfId="12" applyNumberFormat="1" applyFont="1" applyFill="1" applyProtection="1"/>
    <xf numFmtId="0" fontId="18" fillId="0" borderId="0" xfId="21" applyFont="1" applyFill="1" applyAlignment="1" applyProtection="1">
      <alignment horizontal="left" indent="1"/>
    </xf>
    <xf numFmtId="0" fontId="72" fillId="0" borderId="5" xfId="9" applyFont="1" applyFill="1" applyBorder="1" applyAlignment="1" applyProtection="1">
      <alignment horizontal="left"/>
      <protection locked="0"/>
    </xf>
    <xf numFmtId="0" fontId="72" fillId="0" borderId="5" xfId="9" quotePrefix="1" applyFont="1" applyFill="1" applyBorder="1" applyAlignment="1" applyProtection="1">
      <alignment horizontal="left"/>
      <protection locked="0"/>
    </xf>
    <xf numFmtId="0" fontId="72" fillId="0" borderId="5" xfId="9" applyFont="1" applyFill="1" applyBorder="1" applyProtection="1">
      <protection locked="0"/>
    </xf>
    <xf numFmtId="0" fontId="72" fillId="0" borderId="5" xfId="9" applyFont="1" applyFill="1" applyBorder="1"/>
    <xf numFmtId="37" fontId="21" fillId="0" borderId="0" xfId="2" applyNumberFormat="1" applyFont="1" applyFill="1" applyBorder="1"/>
    <xf numFmtId="37" fontId="72" fillId="0" borderId="0" xfId="2" applyNumberFormat="1" applyFont="1" applyFill="1" applyBorder="1"/>
    <xf numFmtId="0" fontId="72" fillId="0" borderId="0" xfId="2" applyNumberFormat="1" applyFont="1" applyFill="1" applyAlignment="1" applyProtection="1">
      <alignment horizontal="center"/>
    </xf>
    <xf numFmtId="0" fontId="131" fillId="0" borderId="0" xfId="2" applyFont="1" applyFill="1"/>
    <xf numFmtId="0" fontId="73" fillId="0" borderId="0" xfId="3" applyFont="1" applyFill="1" applyProtection="1"/>
    <xf numFmtId="0" fontId="73" fillId="0" borderId="0" xfId="3" applyFont="1" applyFill="1" applyAlignment="1" applyProtection="1">
      <alignment horizontal="left"/>
    </xf>
    <xf numFmtId="170" fontId="44" fillId="0" borderId="0" xfId="55" applyNumberFormat="1" applyFont="1" applyFill="1" applyAlignment="1" applyProtection="1">
      <alignment horizontal="center"/>
      <protection locked="0"/>
    </xf>
    <xf numFmtId="9" fontId="18" fillId="0" borderId="0" xfId="3" applyNumberFormat="1" applyFont="1" applyFill="1" applyAlignment="1"/>
    <xf numFmtId="0" fontId="18" fillId="0" borderId="0" xfId="47" applyFont="1" applyFill="1" applyBorder="1" applyAlignment="1" applyProtection="1">
      <alignment horizontal="center"/>
    </xf>
    <xf numFmtId="0" fontId="18" fillId="0" borderId="0" xfId="47" applyFont="1" applyFill="1" applyBorder="1" applyAlignment="1" applyProtection="1">
      <alignment horizontal="fill"/>
    </xf>
    <xf numFmtId="37" fontId="18" fillId="0" borderId="0" xfId="12" applyNumberFormat="1" applyFont="1" applyFill="1" applyBorder="1" applyAlignment="1" applyProtection="1">
      <alignment horizontal="left"/>
      <protection locked="0"/>
    </xf>
    <xf numFmtId="37" fontId="18" fillId="0" borderId="0" xfId="12" applyNumberFormat="1" applyFont="1" applyFill="1" applyBorder="1" applyAlignment="1" applyProtection="1">
      <alignment horizontal="left"/>
    </xf>
    <xf numFmtId="37" fontId="72" fillId="0" borderId="0" xfId="0" applyNumberFormat="1" applyFont="1" applyFill="1"/>
    <xf numFmtId="10" fontId="47" fillId="0" borderId="0" xfId="61" applyNumberFormat="1" applyFont="1" applyFill="1" applyBorder="1"/>
    <xf numFmtId="10" fontId="47" fillId="0" borderId="0" xfId="61" applyNumberFormat="1" applyFont="1" applyFill="1" applyBorder="1" applyAlignment="1">
      <alignment horizontal="centerContinuous"/>
    </xf>
    <xf numFmtId="0" fontId="18" fillId="0" borderId="0" xfId="15" applyFont="1" applyFill="1" applyAlignment="1">
      <alignment horizontal="left" indent="2"/>
    </xf>
    <xf numFmtId="0" fontId="18" fillId="0" borderId="65" xfId="0" applyFont="1" applyFill="1" applyBorder="1"/>
    <xf numFmtId="0" fontId="18" fillId="0" borderId="65" xfId="0" applyFont="1" applyFill="1" applyBorder="1" applyAlignment="1">
      <alignment horizontal="center"/>
    </xf>
    <xf numFmtId="37" fontId="18" fillId="0" borderId="15" xfId="16" applyNumberFormat="1" applyFont="1" applyFill="1" applyBorder="1" applyProtection="1">
      <protection locked="0"/>
    </xf>
    <xf numFmtId="37" fontId="18" fillId="0" borderId="0" xfId="1489" applyNumberFormat="1" applyFont="1" applyFill="1"/>
    <xf numFmtId="41" fontId="130" fillId="0" borderId="0" xfId="21" applyNumberFormat="1" applyFont="1" applyFill="1" applyProtection="1"/>
    <xf numFmtId="42" fontId="18" fillId="0" borderId="0" xfId="23" applyNumberFormat="1" applyFont="1" applyFill="1" applyProtection="1"/>
    <xf numFmtId="0" fontId="0" fillId="0" borderId="0" xfId="0" applyFill="1" applyBorder="1"/>
    <xf numFmtId="0" fontId="18" fillId="0" borderId="0" xfId="23" applyFont="1" applyFill="1" applyBorder="1"/>
    <xf numFmtId="0" fontId="18" fillId="0" borderId="0" xfId="37" applyFont="1" applyFill="1" applyAlignment="1" applyProtection="1">
      <alignment horizontal="left"/>
    </xf>
    <xf numFmtId="0" fontId="18" fillId="0" borderId="0" xfId="34" applyFont="1" applyFill="1" applyAlignment="1" applyProtection="1">
      <alignment horizontal="right"/>
    </xf>
    <xf numFmtId="0" fontId="18" fillId="0" borderId="0" xfId="34" applyFont="1" applyFill="1"/>
    <xf numFmtId="42" fontId="101" fillId="0" borderId="0" xfId="23" applyNumberFormat="1" applyFont="1" applyFill="1" applyProtection="1"/>
    <xf numFmtId="181" fontId="18" fillId="0" borderId="0" xfId="12" quotePrefix="1" applyFont="1" applyFill="1"/>
    <xf numFmtId="0" fontId="18" fillId="0" borderId="0" xfId="1487" applyFill="1"/>
    <xf numFmtId="181" fontId="22" fillId="0" borderId="0" xfId="12" applyFont="1" applyFill="1" applyBorder="1"/>
    <xf numFmtId="37" fontId="22" fillId="0" borderId="0" xfId="12" applyNumberFormat="1" applyFont="1" applyFill="1" applyBorder="1" applyProtection="1"/>
    <xf numFmtId="37" fontId="22" fillId="0" borderId="0" xfId="12" applyNumberFormat="1" applyFont="1" applyFill="1" applyBorder="1" applyAlignment="1" applyProtection="1">
      <alignment horizontal="left"/>
    </xf>
    <xf numFmtId="181" fontId="22" fillId="0" borderId="0" xfId="12" applyFont="1" applyFill="1" applyBorder="1" applyAlignment="1" applyProtection="1">
      <alignment horizontal="left"/>
    </xf>
    <xf numFmtId="37" fontId="22" fillId="0" borderId="0" xfId="12" applyNumberFormat="1" applyFont="1" applyFill="1" applyBorder="1" applyProtection="1">
      <protection locked="0"/>
    </xf>
    <xf numFmtId="181" fontId="22" fillId="0" borderId="0" xfId="12" applyFont="1" applyFill="1" applyBorder="1" applyAlignment="1" applyProtection="1">
      <alignment horizontal="center"/>
    </xf>
    <xf numFmtId="181" fontId="22" fillId="0" borderId="0" xfId="12" applyNumberFormat="1" applyFont="1" applyFill="1" applyBorder="1" applyAlignment="1" applyProtection="1">
      <alignment horizontal="center"/>
      <protection locked="0"/>
    </xf>
    <xf numFmtId="181" fontId="22" fillId="0" borderId="0" xfId="12" applyFont="1" applyFill="1" applyBorder="1" applyAlignment="1">
      <alignment horizontal="centerContinuous"/>
    </xf>
    <xf numFmtId="181" fontId="22" fillId="0" borderId="0" xfId="12" applyFont="1" applyFill="1" applyBorder="1" applyAlignment="1">
      <alignment horizontal="center"/>
    </xf>
    <xf numFmtId="181" fontId="22" fillId="0" borderId="0" xfId="12" quotePrefix="1" applyFont="1" applyFill="1" applyBorder="1" applyAlignment="1" applyProtection="1">
      <alignment horizontal="left"/>
    </xf>
    <xf numFmtId="181" fontId="22" fillId="0" borderId="0" xfId="12" applyFont="1" applyFill="1"/>
    <xf numFmtId="39" fontId="22" fillId="0" borderId="0" xfId="12" applyNumberFormat="1" applyFont="1" applyFill="1" applyBorder="1" applyProtection="1"/>
    <xf numFmtId="181" fontId="22" fillId="0" borderId="0" xfId="12" applyFont="1" applyFill="1" applyProtection="1"/>
    <xf numFmtId="37" fontId="22" fillId="0" borderId="0" xfId="12" applyNumberFormat="1" applyFont="1" applyFill="1" applyProtection="1"/>
    <xf numFmtId="0" fontId="22" fillId="0" borderId="0" xfId="18" applyFont="1" applyFill="1"/>
    <xf numFmtId="41" fontId="22" fillId="0" borderId="0" xfId="12" applyNumberFormat="1" applyFont="1" applyFill="1"/>
    <xf numFmtId="41" fontId="22" fillId="0" borderId="17" xfId="12" applyNumberFormat="1" applyFont="1" applyFill="1" applyBorder="1" applyProtection="1"/>
    <xf numFmtId="191" fontId="22" fillId="0" borderId="0" xfId="12" quotePrefix="1" applyNumberFormat="1" applyFont="1" applyFill="1" applyBorder="1" applyAlignment="1" applyProtection="1">
      <alignment horizontal="right"/>
    </xf>
    <xf numFmtId="41" fontId="22" fillId="0" borderId="79" xfId="12" applyNumberFormat="1" applyFont="1" applyFill="1" applyBorder="1" applyProtection="1"/>
    <xf numFmtId="181" fontId="22" fillId="0" borderId="15" xfId="12" applyFont="1" applyFill="1" applyBorder="1" applyAlignment="1" applyProtection="1">
      <alignment horizontal="center"/>
    </xf>
    <xf numFmtId="41" fontId="22" fillId="0" borderId="15" xfId="12" applyNumberFormat="1" applyFont="1" applyFill="1" applyBorder="1" applyAlignment="1" applyProtection="1">
      <alignment horizontal="center"/>
      <protection locked="0"/>
    </xf>
    <xf numFmtId="181" fontId="22" fillId="0" borderId="67" xfId="12" applyFont="1" applyFill="1" applyBorder="1" applyAlignment="1">
      <alignment horizontal="center"/>
    </xf>
    <xf numFmtId="181" fontId="22" fillId="0" borderId="0" xfId="12" applyFont="1" applyFill="1" applyAlignment="1">
      <alignment horizontal="center"/>
    </xf>
    <xf numFmtId="41" fontId="22" fillId="0" borderId="0" xfId="12" applyNumberFormat="1" applyFont="1" applyFill="1" applyAlignment="1">
      <alignment horizontal="center"/>
    </xf>
    <xf numFmtId="181" fontId="22" fillId="0" borderId="15" xfId="12" applyFont="1" applyFill="1" applyBorder="1" applyAlignment="1">
      <alignment horizontal="centerContinuous"/>
    </xf>
    <xf numFmtId="181" fontId="22" fillId="0" borderId="15" xfId="12" applyFont="1" applyFill="1" applyBorder="1" applyAlignment="1" applyProtection="1">
      <alignment horizontal="centerContinuous"/>
    </xf>
    <xf numFmtId="181" fontId="22" fillId="0" borderId="0" xfId="12" quotePrefix="1" applyFont="1" applyFill="1" applyAlignment="1">
      <alignment horizontal="center"/>
    </xf>
    <xf numFmtId="41" fontId="22" fillId="0" borderId="0" xfId="12" applyNumberFormat="1" applyFont="1" applyFill="1" applyAlignment="1">
      <alignment horizontal="centerContinuous"/>
    </xf>
    <xf numFmtId="181" fontId="22" fillId="0" borderId="0" xfId="12" applyFont="1" applyFill="1" applyAlignment="1">
      <alignment horizontal="centerContinuous"/>
    </xf>
    <xf numFmtId="41" fontId="22" fillId="0" borderId="0" xfId="12" applyNumberFormat="1" applyFont="1" applyFill="1" applyAlignment="1" applyProtection="1">
      <alignment horizontal="left"/>
    </xf>
    <xf numFmtId="41" fontId="22" fillId="0" borderId="79" xfId="12" applyNumberFormat="1" applyFont="1" applyFill="1" applyBorder="1" applyAlignment="1" applyProtection="1">
      <alignment horizontal="center"/>
    </xf>
    <xf numFmtId="41" fontId="22" fillId="0" borderId="0" xfId="12" applyNumberFormat="1" applyFont="1" applyFill="1" applyAlignment="1" applyProtection="1">
      <alignment horizontal="center"/>
    </xf>
    <xf numFmtId="37" fontId="22" fillId="0" borderId="0" xfId="12" applyNumberFormat="1" applyFont="1" applyFill="1" applyAlignment="1" applyProtection="1">
      <alignment horizontal="left"/>
    </xf>
    <xf numFmtId="37" fontId="22" fillId="0" borderId="0" xfId="12" applyNumberFormat="1" applyFont="1" applyFill="1" applyProtection="1">
      <protection locked="0"/>
    </xf>
    <xf numFmtId="0" fontId="21" fillId="0" borderId="0" xfId="2" applyNumberFormat="1" applyFont="1" applyFill="1" applyBorder="1" applyAlignment="1" applyProtection="1">
      <alignment horizontal="center"/>
    </xf>
    <xf numFmtId="164" fontId="21" fillId="0" borderId="0" xfId="2" applyNumberFormat="1" applyFont="1" applyFill="1" applyBorder="1" applyProtection="1"/>
    <xf numFmtId="37" fontId="21" fillId="0" borderId="0" xfId="2" applyNumberFormat="1" applyFont="1" applyFill="1" applyBorder="1" applyProtection="1"/>
    <xf numFmtId="0" fontId="21" fillId="0" borderId="0" xfId="2" applyFont="1" applyFill="1" applyBorder="1"/>
    <xf numFmtId="0" fontId="42" fillId="0" borderId="0" xfId="41" applyFont="1" applyFill="1" applyAlignment="1">
      <alignment horizontal="center"/>
    </xf>
    <xf numFmtId="0" fontId="18" fillId="0" borderId="0" xfId="23" applyFont="1" applyFill="1" applyAlignment="1">
      <alignment horizontal="center"/>
    </xf>
    <xf numFmtId="0" fontId="42" fillId="0" borderId="0" xfId="23" applyFont="1" applyFill="1" applyAlignment="1">
      <alignment horizontal="center"/>
    </xf>
    <xf numFmtId="166" fontId="42" fillId="0" borderId="0" xfId="32" applyNumberFormat="1" applyFont="1" applyFill="1" applyProtection="1"/>
    <xf numFmtId="0" fontId="18" fillId="0" borderId="0" xfId="32" applyFont="1" applyFill="1" applyAlignment="1" applyProtection="1">
      <alignment horizontal="right"/>
    </xf>
    <xf numFmtId="194" fontId="101" fillId="0" borderId="0" xfId="23" applyNumberFormat="1" applyFont="1" applyFill="1" applyProtection="1"/>
    <xf numFmtId="0" fontId="18" fillId="0" borderId="0" xfId="8" applyFont="1" applyFill="1" applyAlignment="1">
      <alignment vertical="top"/>
    </xf>
    <xf numFmtId="0" fontId="18" fillId="0" borderId="0" xfId="5" applyFont="1" applyFill="1" applyProtection="1"/>
    <xf numFmtId="0" fontId="18" fillId="0" borderId="0" xfId="5" applyFont="1" applyFill="1" applyAlignment="1" applyProtection="1"/>
    <xf numFmtId="37" fontId="18" fillId="0" borderId="0" xfId="5" applyNumberFormat="1" applyFont="1" applyFill="1" applyProtection="1"/>
    <xf numFmtId="0" fontId="18" fillId="0" borderId="0" xfId="5" applyFont="1" applyFill="1" applyAlignment="1" applyProtection="1">
      <alignment horizontal="center"/>
    </xf>
    <xf numFmtId="166" fontId="18" fillId="0" borderId="0" xfId="5" applyNumberFormat="1" applyFont="1" applyFill="1" applyProtection="1"/>
    <xf numFmtId="0" fontId="18" fillId="0" borderId="15" xfId="5" applyFont="1" applyFill="1" applyBorder="1" applyAlignment="1" applyProtection="1">
      <alignment horizontal="center"/>
    </xf>
    <xf numFmtId="0" fontId="18" fillId="0" borderId="15" xfId="5" applyFont="1" applyFill="1" applyBorder="1"/>
    <xf numFmtId="37" fontId="18" fillId="0" borderId="15" xfId="5" applyNumberFormat="1" applyFont="1" applyFill="1" applyBorder="1" applyProtection="1"/>
    <xf numFmtId="0" fontId="18" fillId="0" borderId="15" xfId="5" applyFont="1" applyFill="1" applyBorder="1" applyAlignment="1">
      <alignment horizontal="center"/>
    </xf>
    <xf numFmtId="0" fontId="18" fillId="0" borderId="67" xfId="5" applyFont="1" applyFill="1" applyBorder="1" applyAlignment="1" applyProtection="1">
      <alignment horizontal="center"/>
    </xf>
    <xf numFmtId="37" fontId="44" fillId="0" borderId="0" xfId="5" applyNumberFormat="1" applyFont="1" applyFill="1" applyBorder="1" applyAlignment="1" applyProtection="1">
      <alignment horizontal="center"/>
    </xf>
    <xf numFmtId="37" fontId="18" fillId="0" borderId="16" xfId="5" applyNumberFormat="1" applyFont="1" applyFill="1" applyBorder="1" applyProtection="1"/>
    <xf numFmtId="0" fontId="18" fillId="0" borderId="0" xfId="5" applyFont="1" applyFill="1" applyAlignment="1">
      <alignment horizontal="left"/>
    </xf>
    <xf numFmtId="37" fontId="18" fillId="0" borderId="0" xfId="5" applyNumberFormat="1" applyFont="1" applyFill="1" applyAlignment="1" applyProtection="1">
      <alignment horizontal="fill"/>
    </xf>
    <xf numFmtId="0" fontId="18" fillId="0" borderId="0" xfId="5" applyFont="1" applyFill="1" applyAlignment="1" applyProtection="1">
      <alignment horizontal="centerContinuous"/>
    </xf>
    <xf numFmtId="0" fontId="18" fillId="0" borderId="0" xfId="5" applyFont="1" applyFill="1" applyAlignment="1">
      <alignment horizontal="centerContinuous"/>
    </xf>
    <xf numFmtId="0" fontId="18" fillId="0" borderId="0" xfId="33" applyFont="1" applyFill="1" applyAlignment="1">
      <alignment horizontal="centerContinuous"/>
    </xf>
    <xf numFmtId="0" fontId="18" fillId="0" borderId="0" xfId="33" applyFont="1" applyFill="1"/>
    <xf numFmtId="0" fontId="18" fillId="0" borderId="0" xfId="5" applyFont="1" applyFill="1" applyAlignment="1" applyProtection="1">
      <alignment horizontal="fill"/>
    </xf>
    <xf numFmtId="0" fontId="18" fillId="0" borderId="67" xfId="5" applyFont="1" applyFill="1" applyBorder="1"/>
    <xf numFmtId="0" fontId="18" fillId="0" borderId="67" xfId="5" applyFont="1" applyFill="1" applyBorder="1" applyAlignment="1">
      <alignment horizontal="center"/>
    </xf>
    <xf numFmtId="0" fontId="18" fillId="0" borderId="0" xfId="5" applyFont="1" applyFill="1" applyAlignment="1"/>
    <xf numFmtId="166" fontId="42" fillId="0" borderId="0" xfId="33" applyNumberFormat="1" applyFont="1" applyFill="1" applyBorder="1" applyProtection="1"/>
    <xf numFmtId="0" fontId="18" fillId="0" borderId="0" xfId="5" applyFont="1" applyFill="1" applyAlignment="1" applyProtection="1">
      <alignment horizontal="right"/>
    </xf>
    <xf numFmtId="0" fontId="18" fillId="0" borderId="0" xfId="33" applyFont="1" applyFill="1" applyAlignment="1" applyProtection="1"/>
    <xf numFmtId="0" fontId="44" fillId="0" borderId="0" xfId="33" applyFont="1" applyFill="1" applyAlignment="1" applyProtection="1">
      <alignment horizontal="left"/>
    </xf>
    <xf numFmtId="200" fontId="18" fillId="0" borderId="46" xfId="8" applyNumberFormat="1" applyFont="1" applyFill="1" applyBorder="1"/>
    <xf numFmtId="0" fontId="18" fillId="0" borderId="0" xfId="1487" applyFont="1" applyFill="1"/>
    <xf numFmtId="0" fontId="18" fillId="0" borderId="0" xfId="48" applyFont="1" applyFill="1" applyAlignment="1" applyProtection="1">
      <alignment horizontal="left"/>
      <protection locked="0"/>
    </xf>
    <xf numFmtId="37" fontId="18" fillId="0" borderId="0" xfId="8" applyNumberFormat="1" applyFont="1" applyFill="1"/>
    <xf numFmtId="37" fontId="18" fillId="0" borderId="0" xfId="8" applyNumberFormat="1" applyFont="1" applyFill="1" applyProtection="1"/>
    <xf numFmtId="37" fontId="18" fillId="0" borderId="0" xfId="8" applyNumberFormat="1" applyFont="1" applyFill="1" applyBorder="1" applyProtection="1"/>
    <xf numFmtId="37" fontId="18" fillId="0" borderId="15" xfId="8" applyNumberFormat="1" applyFont="1" applyFill="1" applyBorder="1" applyProtection="1"/>
    <xf numFmtId="37" fontId="18" fillId="0" borderId="0" xfId="21" applyNumberFormat="1" applyFont="1" applyFill="1" applyProtection="1"/>
    <xf numFmtId="0" fontId="18" fillId="0" borderId="0" xfId="21" applyFont="1" applyFill="1"/>
    <xf numFmtId="0" fontId="18" fillId="0" borderId="0" xfId="21" applyFont="1" applyFill="1" applyAlignment="1" applyProtection="1">
      <alignment horizontal="center"/>
    </xf>
    <xf numFmtId="0" fontId="18" fillId="0" borderId="0" xfId="21" applyFont="1" applyFill="1" applyAlignment="1">
      <alignment horizontal="center"/>
    </xf>
    <xf numFmtId="165" fontId="18" fillId="0" borderId="0" xfId="21" applyNumberFormat="1" applyFont="1" applyFill="1" applyProtection="1"/>
    <xf numFmtId="0" fontId="18" fillId="0" borderId="0" xfId="21" applyNumberFormat="1" applyFont="1" applyFill="1" applyAlignment="1" applyProtection="1">
      <alignment horizontal="center"/>
    </xf>
    <xf numFmtId="37" fontId="72" fillId="0" borderId="0" xfId="5" applyNumberFormat="1" applyFont="1" applyFill="1" applyBorder="1"/>
    <xf numFmtId="37" fontId="18" fillId="0" borderId="0" xfId="5" applyNumberFormat="1" applyFont="1" applyFill="1" applyBorder="1"/>
    <xf numFmtId="42" fontId="72" fillId="0" borderId="0" xfId="5" applyNumberFormat="1" applyFont="1" applyFill="1" applyBorder="1"/>
    <xf numFmtId="0" fontId="18" fillId="0" borderId="0" xfId="51" applyFont="1" applyFill="1" applyAlignment="1" applyProtection="1">
      <alignment horizontal="left" indent="1"/>
    </xf>
    <xf numFmtId="37" fontId="44" fillId="0" borderId="0" xfId="51" applyNumberFormat="1" applyFont="1" applyFill="1" applyBorder="1" applyProtection="1">
      <protection locked="0"/>
    </xf>
    <xf numFmtId="37" fontId="71" fillId="0" borderId="0" xfId="8" applyNumberFormat="1" applyFont="1" applyFill="1" applyProtection="1">
      <protection locked="0"/>
    </xf>
    <xf numFmtId="0" fontId="18" fillId="0" borderId="0" xfId="5" applyFont="1" applyFill="1" applyBorder="1" applyAlignment="1" applyProtection="1"/>
    <xf numFmtId="0" fontId="18" fillId="0" borderId="0" xfId="5" applyFont="1" applyFill="1" applyBorder="1"/>
    <xf numFmtId="0" fontId="18" fillId="0" borderId="0" xfId="5" applyFont="1" applyFill="1" applyBorder="1" applyAlignment="1"/>
    <xf numFmtId="0" fontId="18" fillId="0" borderId="0" xfId="35" applyFont="1" applyFill="1" applyBorder="1" applyAlignment="1" applyProtection="1">
      <alignment horizontal="left"/>
    </xf>
    <xf numFmtId="0" fontId="44" fillId="0" borderId="0" xfId="35" applyFont="1" applyFill="1" applyBorder="1" applyAlignment="1" applyProtection="1">
      <alignment horizontal="center"/>
    </xf>
    <xf numFmtId="0" fontId="18" fillId="0" borderId="0" xfId="35" applyFont="1" applyFill="1" applyBorder="1"/>
    <xf numFmtId="41" fontId="130" fillId="0" borderId="0" xfId="23" quotePrefix="1" applyNumberFormat="1" applyFont="1" applyFill="1" applyProtection="1"/>
    <xf numFmtId="42" fontId="18" fillId="0" borderId="0" xfId="23" quotePrefix="1" applyNumberFormat="1" applyFont="1" applyFill="1" applyAlignment="1" applyProtection="1">
      <alignment horizontal="centerContinuous"/>
    </xf>
    <xf numFmtId="0" fontId="42" fillId="0" borderId="0" xfId="1489" applyFont="1" applyFill="1"/>
    <xf numFmtId="42" fontId="18" fillId="0" borderId="0" xfId="23" quotePrefix="1" applyNumberFormat="1" applyFont="1" applyFill="1" applyProtection="1"/>
    <xf numFmtId="0" fontId="72" fillId="0" borderId="0" xfId="1489" applyFont="1" applyFill="1"/>
    <xf numFmtId="0" fontId="18" fillId="0" borderId="0" xfId="1489" applyFont="1" applyFill="1"/>
    <xf numFmtId="41" fontId="109" fillId="0" borderId="0" xfId="23" quotePrefix="1" applyNumberFormat="1" applyFont="1" applyFill="1" applyProtection="1"/>
    <xf numFmtId="42" fontId="44" fillId="0" borderId="0" xfId="23" quotePrefix="1" applyNumberFormat="1" applyFont="1" applyFill="1" applyProtection="1"/>
    <xf numFmtId="37" fontId="18" fillId="0" borderId="0" xfId="59" applyNumberFormat="1" applyFont="1" applyFill="1"/>
    <xf numFmtId="37" fontId="18" fillId="0" borderId="0" xfId="9819" applyFont="1" applyFill="1"/>
    <xf numFmtId="183" fontId="18" fillId="0" borderId="0" xfId="8" applyNumberFormat="1" applyFont="1" applyFill="1"/>
    <xf numFmtId="207" fontId="18" fillId="0" borderId="0" xfId="8" applyNumberFormat="1" applyFont="1" applyFill="1"/>
    <xf numFmtId="180" fontId="44" fillId="0" borderId="0" xfId="11" applyNumberFormat="1" applyFont="1" applyFill="1" applyProtection="1">
      <protection locked="0"/>
    </xf>
    <xf numFmtId="183" fontId="72" fillId="0" borderId="0" xfId="1" applyNumberFormat="1" applyFont="1" applyFill="1"/>
    <xf numFmtId="173" fontId="18" fillId="0" borderId="0" xfId="5" applyNumberFormat="1" applyFont="1" applyFill="1" applyBorder="1" applyAlignment="1">
      <alignment horizontal="center"/>
    </xf>
    <xf numFmtId="173" fontId="18" fillId="0" borderId="0" xfId="65" applyNumberFormat="1" applyFont="1" applyFill="1" applyBorder="1" applyAlignment="1">
      <alignment horizontal="center"/>
    </xf>
    <xf numFmtId="0" fontId="18" fillId="0" borderId="0" xfId="23" applyFont="1" applyFill="1" applyAlignment="1" applyProtection="1">
      <alignment horizontal="left"/>
    </xf>
    <xf numFmtId="42" fontId="18" fillId="0" borderId="0" xfId="32" applyNumberFormat="1" applyFont="1" applyFill="1"/>
    <xf numFmtId="42" fontId="101" fillId="0" borderId="0" xfId="32" applyNumberFormat="1" applyFont="1" applyFill="1"/>
    <xf numFmtId="42" fontId="72" fillId="0" borderId="0" xfId="5" applyNumberFormat="1" applyFont="1" applyFill="1" applyBorder="1" applyAlignment="1" applyProtection="1">
      <alignment horizontal="right"/>
    </xf>
    <xf numFmtId="205" fontId="18" fillId="0" borderId="0" xfId="5" applyNumberFormat="1" applyFont="1" applyFill="1" applyBorder="1" applyAlignment="1">
      <alignment horizontal="left"/>
    </xf>
    <xf numFmtId="37" fontId="72" fillId="0" borderId="0" xfId="52" applyNumberFormat="1" applyFont="1" applyFill="1" applyProtection="1"/>
    <xf numFmtId="0" fontId="42" fillId="0" borderId="0" xfId="32" applyFont="1" applyFill="1" applyAlignment="1" applyProtection="1">
      <alignment horizontal="left"/>
    </xf>
    <xf numFmtId="41" fontId="18" fillId="0" borderId="0" xfId="23" applyNumberFormat="1" applyFont="1" applyFill="1" applyProtection="1"/>
    <xf numFmtId="41" fontId="130" fillId="0" borderId="0" xfId="23" applyNumberFormat="1" applyFont="1" applyFill="1" applyProtection="1"/>
    <xf numFmtId="0" fontId="18" fillId="0" borderId="0" xfId="60" applyFont="1" applyFill="1" applyAlignment="1" applyProtection="1">
      <alignment horizontal="center"/>
    </xf>
    <xf numFmtId="0" fontId="18" fillId="0" borderId="0" xfId="60" applyFont="1" applyFill="1" applyAlignment="1" applyProtection="1">
      <alignment horizontal="left"/>
    </xf>
    <xf numFmtId="0" fontId="0" fillId="0" borderId="0" xfId="16" applyFont="1" applyFill="1" applyAlignment="1">
      <alignment horizontal="left" indent="1"/>
    </xf>
    <xf numFmtId="37" fontId="7" fillId="0" borderId="0" xfId="41" applyNumberFormat="1" applyFont="1" applyFill="1" applyProtection="1">
      <protection locked="0"/>
    </xf>
    <xf numFmtId="37" fontId="18" fillId="0" borderId="15" xfId="41" applyNumberFormat="1" applyFont="1" applyFill="1" applyBorder="1" applyProtection="1">
      <protection locked="0"/>
    </xf>
    <xf numFmtId="37" fontId="72" fillId="0" borderId="15" xfId="41" applyNumberFormat="1" applyFont="1" applyFill="1" applyBorder="1" applyProtection="1"/>
    <xf numFmtId="37" fontId="44" fillId="0" borderId="0" xfId="41" quotePrefix="1" applyNumberFormat="1" applyFont="1" applyFill="1" applyProtection="1"/>
    <xf numFmtId="37" fontId="18" fillId="0" borderId="15" xfId="0" applyNumberFormat="1" applyFont="1" applyFill="1" applyBorder="1"/>
    <xf numFmtId="37" fontId="18" fillId="0" borderId="0" xfId="43" applyNumberFormat="1" applyFont="1" applyFill="1"/>
    <xf numFmtId="37" fontId="18" fillId="0" borderId="0" xfId="61" applyNumberFormat="1" applyFont="1" applyFill="1" applyAlignment="1" applyProtection="1">
      <alignment horizontal="right"/>
    </xf>
    <xf numFmtId="37" fontId="18" fillId="0" borderId="0" xfId="40" applyNumberFormat="1" applyFont="1" applyFill="1" applyBorder="1" applyAlignment="1">
      <alignment horizontal="centerContinuous"/>
    </xf>
    <xf numFmtId="10" fontId="18" fillId="0" borderId="0" xfId="40" applyNumberFormat="1" applyFont="1" applyFill="1" applyBorder="1"/>
    <xf numFmtId="0" fontId="18" fillId="0" borderId="0" xfId="41" quotePrefix="1" applyFont="1" applyFill="1" applyAlignment="1" applyProtection="1"/>
    <xf numFmtId="1" fontId="18" fillId="0" borderId="0" xfId="21" quotePrefix="1" applyNumberFormat="1" applyFont="1" applyFill="1" applyAlignment="1" applyProtection="1">
      <alignment horizontal="center"/>
    </xf>
    <xf numFmtId="10" fontId="44" fillId="0" borderId="0" xfId="0" applyNumberFormat="1" applyFont="1" applyFill="1"/>
    <xf numFmtId="0" fontId="44" fillId="0" borderId="0" xfId="0" applyFont="1" applyFill="1" applyAlignment="1">
      <alignment horizontal="center"/>
    </xf>
    <xf numFmtId="10" fontId="72" fillId="0" borderId="0" xfId="0" applyNumberFormat="1" applyFont="1" applyFill="1"/>
    <xf numFmtId="0" fontId="72" fillId="0" borderId="0" xfId="2" applyNumberFormat="1" applyFont="1" applyFill="1" applyAlignment="1" applyProtection="1">
      <alignment horizontal="left"/>
    </xf>
    <xf numFmtId="37" fontId="18" fillId="0" borderId="0" xfId="2" quotePrefix="1" applyNumberFormat="1" applyFont="1" applyFill="1" applyProtection="1"/>
    <xf numFmtId="37" fontId="18" fillId="0" borderId="15" xfId="42" applyNumberFormat="1" applyFont="1" applyFill="1" applyBorder="1" applyProtection="1"/>
    <xf numFmtId="37" fontId="18" fillId="0" borderId="0" xfId="45" applyNumberFormat="1" applyFont="1" applyFill="1"/>
    <xf numFmtId="37" fontId="18" fillId="0" borderId="0" xfId="42" applyNumberFormat="1" applyFont="1" applyFill="1" applyBorder="1"/>
    <xf numFmtId="37" fontId="18" fillId="0" borderId="0" xfId="41" quotePrefix="1" applyNumberFormat="1" applyFont="1" applyFill="1" applyAlignment="1">
      <alignment horizontal="center"/>
    </xf>
    <xf numFmtId="37" fontId="42" fillId="0" borderId="0" xfId="41" applyNumberFormat="1" applyFont="1" applyFill="1" applyAlignment="1">
      <alignment horizontal="center"/>
    </xf>
    <xf numFmtId="37" fontId="18" fillId="0" borderId="15" xfId="41" applyNumberFormat="1" applyFont="1" applyFill="1" applyBorder="1"/>
    <xf numFmtId="37" fontId="18" fillId="0" borderId="17" xfId="41" applyNumberFormat="1" applyFont="1" applyFill="1" applyBorder="1"/>
    <xf numFmtId="37" fontId="18" fillId="0" borderId="16" xfId="41" applyNumberFormat="1" applyFont="1" applyFill="1" applyBorder="1"/>
    <xf numFmtId="37" fontId="18" fillId="0" borderId="0" xfId="41" applyNumberFormat="1" applyFont="1" applyFill="1" applyBorder="1"/>
    <xf numFmtId="41" fontId="72" fillId="0" borderId="0" xfId="41" applyNumberFormat="1" applyFont="1" applyFill="1"/>
    <xf numFmtId="183" fontId="18" fillId="0" borderId="17" xfId="41" applyNumberFormat="1" applyFont="1" applyFill="1" applyBorder="1"/>
    <xf numFmtId="41" fontId="18" fillId="0" borderId="0" xfId="41" applyNumberFormat="1" applyFont="1" applyFill="1" applyBorder="1"/>
    <xf numFmtId="10" fontId="72" fillId="0" borderId="0" xfId="41" applyNumberFormat="1" applyFont="1" applyFill="1" applyBorder="1"/>
    <xf numFmtId="39" fontId="18" fillId="0" borderId="0" xfId="40" applyNumberFormat="1" applyFont="1" applyFill="1" applyBorder="1"/>
    <xf numFmtId="10" fontId="18" fillId="0" borderId="0" xfId="60" applyNumberFormat="1" applyFont="1" applyFill="1" applyProtection="1"/>
    <xf numFmtId="37" fontId="18" fillId="0" borderId="0" xfId="60" applyNumberFormat="1" applyFont="1" applyFill="1" applyProtection="1"/>
    <xf numFmtId="39" fontId="18" fillId="0" borderId="0" xfId="60" applyNumberFormat="1" applyFont="1" applyFill="1" applyProtection="1"/>
    <xf numFmtId="0" fontId="18" fillId="0" borderId="0" xfId="60" applyFont="1" applyFill="1"/>
    <xf numFmtId="37" fontId="18" fillId="0" borderId="0" xfId="60" applyNumberFormat="1" applyFont="1" applyFill="1"/>
    <xf numFmtId="37" fontId="72" fillId="0" borderId="0" xfId="61" applyNumberFormat="1" applyFont="1" applyFill="1" applyAlignment="1" applyProtection="1">
      <alignment horizontal="right"/>
    </xf>
    <xf numFmtId="0" fontId="73" fillId="0" borderId="0" xfId="40" applyFont="1" applyFill="1" applyBorder="1" applyAlignment="1">
      <alignment horizontal="left"/>
    </xf>
    <xf numFmtId="37" fontId="73" fillId="0" borderId="0" xfId="40" applyNumberFormat="1" applyFont="1" applyFill="1" applyBorder="1" applyAlignment="1">
      <alignment horizontal="left"/>
    </xf>
    <xf numFmtId="0" fontId="18" fillId="0" borderId="5" xfId="9" quotePrefix="1" applyFont="1" applyFill="1" applyBorder="1" applyAlignment="1" applyProtection="1">
      <alignment horizontal="left"/>
      <protection locked="0"/>
    </xf>
    <xf numFmtId="17" fontId="34" fillId="0" borderId="19" xfId="2" applyNumberFormat="1" applyFont="1" applyFill="1" applyBorder="1" applyAlignment="1">
      <alignment horizontal="center"/>
    </xf>
    <xf numFmtId="17" fontId="42" fillId="0" borderId="0" xfId="0" applyNumberFormat="1" applyFont="1" applyFill="1" applyAlignment="1" applyProtection="1">
      <alignment horizontal="center"/>
    </xf>
    <xf numFmtId="170" fontId="18" fillId="0" borderId="0" xfId="55" applyNumberFormat="1" applyFont="1" applyFill="1" applyBorder="1"/>
    <xf numFmtId="37" fontId="72" fillId="0" borderId="0" xfId="2" applyNumberFormat="1" applyFont="1" applyFill="1"/>
    <xf numFmtId="180" fontId="18" fillId="0" borderId="0" xfId="41" applyNumberFormat="1" applyFont="1" applyFill="1" applyBorder="1" applyProtection="1"/>
    <xf numFmtId="180" fontId="18" fillId="0" borderId="0" xfId="40" applyNumberFormat="1" applyFont="1" applyFill="1" applyBorder="1" applyProtection="1"/>
    <xf numFmtId="37" fontId="18" fillId="0" borderId="151" xfId="41" applyNumberFormat="1" applyFont="1" applyFill="1" applyBorder="1" applyProtection="1"/>
    <xf numFmtId="37" fontId="72" fillId="0" borderId="15" xfId="40" applyNumberFormat="1" applyFont="1" applyFill="1" applyBorder="1"/>
    <xf numFmtId="37" fontId="72" fillId="0" borderId="0" xfId="41" applyNumberFormat="1" applyFont="1" applyFill="1" applyProtection="1"/>
    <xf numFmtId="37" fontId="18" fillId="0" borderId="15" xfId="24" applyNumberFormat="1" applyFont="1" applyFill="1" applyBorder="1"/>
    <xf numFmtId="0" fontId="18" fillId="0" borderId="0" xfId="8" applyFont="1" applyFill="1" applyBorder="1" applyAlignment="1" applyProtection="1">
      <alignment horizontal="center"/>
      <protection locked="0"/>
    </xf>
    <xf numFmtId="17" fontId="18" fillId="0" borderId="0" xfId="8" applyNumberFormat="1" applyFont="1" applyFill="1" applyAlignment="1" applyProtection="1">
      <alignment horizontal="center"/>
      <protection locked="0"/>
    </xf>
    <xf numFmtId="17" fontId="18" fillId="0" borderId="0" xfId="8" applyNumberFormat="1" applyFont="1" applyFill="1" applyAlignment="1">
      <alignment horizontal="center"/>
    </xf>
    <xf numFmtId="0" fontId="72" fillId="0" borderId="0" xfId="8" quotePrefix="1" applyFont="1" applyFill="1" applyBorder="1" applyAlignment="1" applyProtection="1">
      <alignment horizontal="center"/>
      <protection locked="0"/>
    </xf>
    <xf numFmtId="17" fontId="18" fillId="0" borderId="0" xfId="8" quotePrefix="1" applyNumberFormat="1" applyFont="1" applyFill="1" applyAlignment="1" applyProtection="1">
      <alignment horizontal="center"/>
      <protection locked="0"/>
    </xf>
    <xf numFmtId="0" fontId="18" fillId="0" borderId="0" xfId="8" quotePrefix="1" applyFont="1" applyFill="1" applyAlignment="1" applyProtection="1">
      <alignment horizontal="center"/>
      <protection locked="0"/>
    </xf>
    <xf numFmtId="0" fontId="18" fillId="0" borderId="0" xfId="16" applyFont="1" applyFill="1" applyAlignment="1" applyProtection="1">
      <alignment horizontal="left"/>
    </xf>
    <xf numFmtId="37" fontId="72" fillId="0" borderId="0" xfId="15052" applyNumberFormat="1" applyFont="1" applyFill="1"/>
    <xf numFmtId="180" fontId="44" fillId="0" borderId="0" xfId="11" applyNumberFormat="1" applyFont="1" applyFill="1" applyBorder="1" applyProtection="1">
      <protection locked="0"/>
    </xf>
    <xf numFmtId="0" fontId="95" fillId="0" borderId="15" xfId="22" applyFont="1" applyFill="1" applyBorder="1" applyAlignment="1" applyProtection="1">
      <alignment horizontal="fill"/>
    </xf>
    <xf numFmtId="0" fontId="95" fillId="0" borderId="0" xfId="22" applyFont="1" applyFill="1"/>
    <xf numFmtId="166" fontId="0" fillId="0" borderId="0" xfId="8" applyNumberFormat="1" applyFont="1" applyFill="1" applyAlignment="1" applyProtection="1">
      <alignment horizontal="left"/>
      <protection locked="0"/>
    </xf>
    <xf numFmtId="0" fontId="42" fillId="0" borderId="0" xfId="8" applyFont="1" applyFill="1" applyAlignment="1" applyProtection="1">
      <alignment horizontal="left" indent="1"/>
    </xf>
    <xf numFmtId="0" fontId="18" fillId="0" borderId="0" xfId="7" applyFont="1" applyFill="1"/>
    <xf numFmtId="0" fontId="18" fillId="0" borderId="0" xfId="8" applyFont="1" applyFill="1"/>
    <xf numFmtId="166" fontId="18" fillId="0" borderId="0" xfId="65" applyNumberFormat="1" applyFont="1" applyFill="1"/>
    <xf numFmtId="183" fontId="71" fillId="0" borderId="0" xfId="1" applyNumberFormat="1" applyFont="1" applyFill="1" applyProtection="1">
      <protection locked="0"/>
    </xf>
    <xf numFmtId="183" fontId="18" fillId="0" borderId="0" xfId="1" applyNumberFormat="1" applyFont="1" applyFill="1" applyProtection="1"/>
    <xf numFmtId="183" fontId="18" fillId="0" borderId="0" xfId="1" applyNumberFormat="1" applyFont="1" applyFill="1" applyProtection="1">
      <protection locked="0"/>
    </xf>
    <xf numFmtId="183" fontId="72" fillId="0" borderId="0" xfId="1" applyNumberFormat="1" applyFont="1" applyFill="1" applyProtection="1">
      <protection locked="0"/>
    </xf>
    <xf numFmtId="166" fontId="18" fillId="0" borderId="0" xfId="8" applyNumberFormat="1" applyFont="1" applyFill="1" applyAlignment="1" applyProtection="1">
      <alignment horizontal="left"/>
      <protection locked="0"/>
    </xf>
    <xf numFmtId="175" fontId="71" fillId="0" borderId="0" xfId="8" applyNumberFormat="1" applyFont="1" applyFill="1" applyProtection="1">
      <protection locked="0"/>
    </xf>
    <xf numFmtId="166" fontId="18" fillId="0" borderId="0" xfId="65" applyNumberFormat="1" applyFont="1" applyFill="1" applyAlignment="1">
      <alignment horizontal="center"/>
    </xf>
    <xf numFmtId="0" fontId="42" fillId="0" borderId="0" xfId="8" applyFont="1" applyFill="1" applyAlignment="1" applyProtection="1">
      <alignment horizontal="left" indent="1"/>
      <protection locked="0"/>
    </xf>
    <xf numFmtId="0" fontId="18" fillId="0" borderId="0" xfId="8" applyFont="1" applyFill="1" applyAlignment="1" applyProtection="1">
      <alignment horizontal="left"/>
    </xf>
    <xf numFmtId="183" fontId="18" fillId="0" borderId="0" xfId="1" applyNumberFormat="1" applyFont="1" applyFill="1"/>
    <xf numFmtId="0" fontId="71" fillId="0" borderId="0" xfId="8" applyFont="1" applyFill="1"/>
    <xf numFmtId="0" fontId="42" fillId="0" borderId="0" xfId="8" applyFont="1" applyFill="1" applyAlignment="1" applyProtection="1">
      <alignment horizontal="left"/>
    </xf>
    <xf numFmtId="37" fontId="18" fillId="0" borderId="0" xfId="23" quotePrefix="1" applyNumberFormat="1" applyFont="1" applyFill="1" applyAlignment="1" applyProtection="1">
      <alignment horizontal="right"/>
    </xf>
    <xf numFmtId="41" fontId="18" fillId="0" borderId="0" xfId="23" quotePrefix="1" applyNumberFormat="1" applyFont="1" applyFill="1" applyProtection="1"/>
    <xf numFmtId="42" fontId="101" fillId="0" borderId="0" xfId="0" applyNumberFormat="1" applyFont="1" applyFill="1"/>
    <xf numFmtId="42" fontId="18" fillId="0" borderId="0" xfId="5" applyNumberFormat="1" applyFont="1" applyFill="1" applyBorder="1" applyAlignment="1" applyProtection="1">
      <alignment horizontal="right"/>
    </xf>
    <xf numFmtId="37" fontId="18" fillId="0" borderId="0" xfId="8" applyNumberFormat="1" applyFont="1" applyFill="1" applyBorder="1" applyAlignment="1">
      <alignment horizontal="right"/>
    </xf>
    <xf numFmtId="0" fontId="34" fillId="0" borderId="0" xfId="16" applyFont="1" applyFill="1" applyAlignment="1">
      <alignment horizontal="left"/>
    </xf>
    <xf numFmtId="0" fontId="0" fillId="0" borderId="0" xfId="41" applyFont="1" applyFill="1" applyAlignment="1">
      <alignment horizontal="center"/>
    </xf>
    <xf numFmtId="0" fontId="18" fillId="0" borderId="0" xfId="61" applyFont="1" applyFill="1" applyBorder="1" applyAlignment="1" applyProtection="1">
      <alignment horizontal="left"/>
    </xf>
    <xf numFmtId="0" fontId="18" fillId="0" borderId="0" xfId="61" quotePrefix="1" applyFont="1" applyFill="1" applyBorder="1" applyAlignment="1" applyProtection="1">
      <alignment horizontal="left"/>
    </xf>
    <xf numFmtId="37" fontId="71" fillId="0" borderId="0" xfId="49" applyNumberFormat="1" applyFont="1" applyFill="1" applyProtection="1"/>
    <xf numFmtId="37" fontId="18" fillId="0" borderId="0" xfId="16" applyNumberFormat="1" applyFont="1" applyFill="1" applyAlignment="1">
      <alignment horizontal="centerContinuous"/>
    </xf>
    <xf numFmtId="0" fontId="18" fillId="0" borderId="0" xfId="16" applyFont="1" applyFill="1" applyAlignment="1"/>
    <xf numFmtId="37" fontId="18" fillId="0" borderId="0" xfId="16" applyNumberFormat="1" applyFont="1" applyFill="1" applyAlignment="1"/>
    <xf numFmtId="37" fontId="18" fillId="0" borderId="15" xfId="16" applyNumberFormat="1" applyFont="1" applyFill="1" applyBorder="1" applyAlignment="1">
      <alignment horizontal="centerContinuous"/>
    </xf>
    <xf numFmtId="194" fontId="18" fillId="0" borderId="0" xfId="8" applyNumberFormat="1" applyFont="1" applyFill="1" applyProtection="1">
      <protection locked="0"/>
    </xf>
    <xf numFmtId="37" fontId="42" fillId="0" borderId="0" xfId="8" applyNumberFormat="1" applyFont="1" applyFill="1" applyProtection="1">
      <protection locked="0"/>
    </xf>
    <xf numFmtId="0" fontId="42" fillId="0" borderId="0" xfId="23" quotePrefix="1" applyFont="1" applyFill="1" applyAlignment="1">
      <alignment horizontal="center"/>
    </xf>
    <xf numFmtId="37" fontId="18" fillId="0" borderId="0" xfId="5" applyNumberFormat="1" applyFont="1" applyFill="1" applyAlignment="1" applyProtection="1">
      <alignment horizontal="left"/>
    </xf>
    <xf numFmtId="0" fontId="42" fillId="0" borderId="0" xfId="5" applyFont="1" applyFill="1" applyAlignment="1">
      <alignment horizontal="left"/>
    </xf>
    <xf numFmtId="0" fontId="18" fillId="0" borderId="0" xfId="5" applyFont="1" applyFill="1" applyAlignment="1">
      <alignment horizontal="left" wrapText="1"/>
    </xf>
    <xf numFmtId="0" fontId="42" fillId="0" borderId="0" xfId="5" applyFont="1" applyFill="1" applyAlignment="1">
      <alignment horizontal="left" wrapText="1"/>
    </xf>
    <xf numFmtId="0" fontId="18" fillId="0" borderId="0" xfId="5" applyFont="1" applyFill="1" applyAlignment="1" applyProtection="1">
      <alignment horizontal="center" vertical="top"/>
    </xf>
    <xf numFmtId="166" fontId="72" fillId="0" borderId="0" xfId="5" applyNumberFormat="1" applyFont="1" applyFill="1"/>
    <xf numFmtId="42" fontId="0" fillId="0" borderId="0" xfId="0" applyNumberFormat="1" applyFill="1" applyProtection="1"/>
    <xf numFmtId="0" fontId="18" fillId="0" borderId="0" xfId="5" applyFont="1" applyFill="1" applyAlignment="1">
      <alignment wrapText="1"/>
    </xf>
    <xf numFmtId="42" fontId="0" fillId="0" borderId="0" xfId="0" applyNumberFormat="1" applyFill="1"/>
    <xf numFmtId="42" fontId="72" fillId="0" borderId="0" xfId="0" applyNumberFormat="1" applyFont="1" applyFill="1" applyBorder="1" applyAlignment="1" applyProtection="1">
      <alignment vertical="top"/>
      <protection locked="0"/>
    </xf>
    <xf numFmtId="9" fontId="72" fillId="0" borderId="0" xfId="39181" applyFont="1" applyFill="1" applyBorder="1" applyAlignment="1" applyProtection="1">
      <alignment horizontal="center" vertical="top" wrapText="1"/>
      <protection locked="0"/>
    </xf>
    <xf numFmtId="0" fontId="72" fillId="0" borderId="0" xfId="5" applyFont="1" applyFill="1" applyAlignment="1">
      <alignment horizontal="center"/>
    </xf>
    <xf numFmtId="0" fontId="72" fillId="0" borderId="0" xfId="5" applyFont="1" applyFill="1" applyAlignment="1" applyProtection="1">
      <alignment horizontal="left"/>
    </xf>
    <xf numFmtId="42" fontId="18" fillId="0" borderId="169" xfId="5" applyNumberFormat="1" applyFont="1" applyFill="1" applyBorder="1" applyProtection="1"/>
    <xf numFmtId="10" fontId="72" fillId="0" borderId="0" xfId="60" applyNumberFormat="1" applyFont="1" applyFill="1" applyProtection="1"/>
    <xf numFmtId="37" fontId="72" fillId="0" borderId="0" xfId="8" applyNumberFormat="1" applyFont="1" applyFill="1" applyProtection="1"/>
    <xf numFmtId="37" fontId="72" fillId="0" borderId="0" xfId="21" applyNumberFormat="1" applyFont="1" applyFill="1" applyProtection="1"/>
    <xf numFmtId="37" fontId="97" fillId="0" borderId="0" xfId="59" applyNumberFormat="1" applyFont="1" applyFill="1" applyBorder="1" applyAlignment="1" applyProtection="1">
      <alignment horizontal="right"/>
    </xf>
    <xf numFmtId="0" fontId="18" fillId="0" borderId="0" xfId="5" applyFont="1" applyFill="1" applyAlignment="1">
      <alignment horizontal="left" vertical="top" wrapText="1"/>
    </xf>
    <xf numFmtId="0" fontId="47" fillId="0" borderId="168" xfId="60" applyFont="1" applyFill="1" applyBorder="1"/>
    <xf numFmtId="37" fontId="47" fillId="0" borderId="168" xfId="60" applyNumberFormat="1" applyFont="1" applyFill="1" applyBorder="1" applyProtection="1"/>
    <xf numFmtId="10" fontId="47" fillId="0" borderId="168" xfId="60" applyNumberFormat="1" applyFont="1" applyFill="1" applyBorder="1" applyProtection="1"/>
    <xf numFmtId="0" fontId="0" fillId="0" borderId="0" xfId="61" quotePrefix="1" applyFont="1" applyFill="1"/>
    <xf numFmtId="37" fontId="18" fillId="0" borderId="15" xfId="5" applyNumberFormat="1" applyFont="1" applyFill="1" applyBorder="1" applyAlignment="1" applyProtection="1">
      <alignment horizontal="center"/>
    </xf>
    <xf numFmtId="0" fontId="18" fillId="0" borderId="0" xfId="36" applyFont="1" applyFill="1" applyAlignment="1" applyProtection="1">
      <alignment horizontal="left"/>
    </xf>
    <xf numFmtId="37" fontId="18" fillId="0" borderId="0" xfId="36" applyNumberFormat="1" applyFont="1" applyFill="1" applyProtection="1">
      <protection locked="0"/>
    </xf>
    <xf numFmtId="37" fontId="72" fillId="0" borderId="0" xfId="8" applyNumberFormat="1" applyFont="1" applyFill="1" applyBorder="1" applyProtection="1"/>
    <xf numFmtId="0" fontId="18" fillId="0" borderId="0" xfId="26" applyFont="1" applyFill="1" applyAlignment="1" applyProtection="1">
      <alignment horizontal="left"/>
    </xf>
    <xf numFmtId="0" fontId="18" fillId="0" borderId="0" xfId="1489" applyFont="1" applyFill="1" applyAlignment="1" applyProtection="1">
      <alignment horizontal="left"/>
    </xf>
    <xf numFmtId="0" fontId="24" fillId="0" borderId="0" xfId="60" applyFont="1" applyFill="1"/>
    <xf numFmtId="3" fontId="97" fillId="0" borderId="0" xfId="60" applyNumberFormat="1" applyFont="1" applyFill="1"/>
    <xf numFmtId="3" fontId="72" fillId="0" borderId="0" xfId="1489" applyNumberFormat="1" applyFont="1" applyFill="1"/>
    <xf numFmtId="37" fontId="72" fillId="0" borderId="0" xfId="1489" applyNumberFormat="1" applyFont="1" applyFill="1"/>
    <xf numFmtId="0" fontId="72" fillId="0" borderId="0" xfId="1489" applyFont="1" applyFill="1" applyAlignment="1" applyProtection="1">
      <alignment horizontal="left"/>
    </xf>
    <xf numFmtId="3" fontId="108" fillId="0" borderId="0" xfId="1489" applyNumberFormat="1" applyFont="1" applyFill="1"/>
    <xf numFmtId="37" fontId="108" fillId="0" borderId="0" xfId="1489" applyNumberFormat="1" applyFont="1" applyFill="1"/>
    <xf numFmtId="42" fontId="18" fillId="0" borderId="16" xfId="5" applyNumberFormat="1" applyFont="1" applyFill="1" applyBorder="1" applyProtection="1"/>
    <xf numFmtId="10" fontId="44" fillId="0" borderId="0" xfId="61" applyNumberFormat="1" applyFont="1" applyFill="1"/>
    <xf numFmtId="37" fontId="72" fillId="0" borderId="0" xfId="61" applyNumberFormat="1" applyFont="1" applyFill="1"/>
    <xf numFmtId="10" fontId="44" fillId="0" borderId="0" xfId="61" applyNumberFormat="1" applyFont="1" applyFill="1" applyAlignment="1">
      <alignment horizontal="center"/>
    </xf>
    <xf numFmtId="0" fontId="18" fillId="0" borderId="0" xfId="61" quotePrefix="1" applyFont="1" applyFill="1" applyAlignment="1">
      <alignment horizontal="center"/>
    </xf>
    <xf numFmtId="10" fontId="72" fillId="0" borderId="0" xfId="0" applyNumberFormat="1" applyFont="1" applyFill="1" applyAlignment="1">
      <alignment horizontal="center"/>
    </xf>
    <xf numFmtId="0" fontId="18" fillId="0" borderId="0" xfId="61" quotePrefix="1" applyFont="1" applyFill="1"/>
    <xf numFmtId="0" fontId="18" fillId="0" borderId="0" xfId="61" applyFont="1" applyFill="1" applyAlignment="1">
      <alignment horizontal="center"/>
    </xf>
    <xf numFmtId="10" fontId="44" fillId="0" borderId="0" xfId="0" applyNumberFormat="1" applyFont="1" applyFill="1" applyAlignment="1">
      <alignment horizontal="center"/>
    </xf>
    <xf numFmtId="37" fontId="18" fillId="0" borderId="0" xfId="61" applyNumberFormat="1" applyFont="1" applyFill="1" applyAlignment="1">
      <alignment horizontal="center"/>
    </xf>
    <xf numFmtId="10" fontId="44" fillId="0" borderId="0" xfId="0" applyNumberFormat="1" applyFont="1" applyFill="1" applyAlignment="1">
      <alignment horizontal="right"/>
    </xf>
    <xf numFmtId="0" fontId="44" fillId="0" borderId="0" xfId="0" applyFont="1" applyFill="1" applyAlignment="1">
      <alignment horizontal="right"/>
    </xf>
    <xf numFmtId="0" fontId="18" fillId="0" borderId="0" xfId="61" applyFont="1" applyFill="1" applyAlignment="1" applyProtection="1">
      <alignment horizontal="center"/>
    </xf>
    <xf numFmtId="10" fontId="18" fillId="0" borderId="0" xfId="0" applyNumberFormat="1" applyFont="1" applyFill="1"/>
    <xf numFmtId="0" fontId="0" fillId="0" borderId="0" xfId="0" applyFont="1" applyFill="1" applyAlignment="1">
      <alignment horizontal="center"/>
    </xf>
    <xf numFmtId="0" fontId="18" fillId="0" borderId="0" xfId="0" applyFont="1" applyFill="1" applyAlignment="1"/>
    <xf numFmtId="0" fontId="18" fillId="0" borderId="0" xfId="61" applyFont="1" applyFill="1" applyAlignment="1" applyProtection="1">
      <alignment horizontal="centerContinuous"/>
    </xf>
    <xf numFmtId="0" fontId="18" fillId="0" borderId="0" xfId="61" applyFont="1" applyFill="1" applyAlignment="1">
      <alignment horizontal="centerContinuous"/>
    </xf>
    <xf numFmtId="0" fontId="18" fillId="0" borderId="0" xfId="61" applyFont="1" applyFill="1" applyAlignment="1"/>
    <xf numFmtId="0" fontId="18" fillId="0" borderId="0" xfId="61" quotePrefix="1" applyFont="1" applyFill="1" applyAlignment="1" applyProtection="1">
      <alignment horizontal="centerContinuous"/>
    </xf>
    <xf numFmtId="37" fontId="18" fillId="0" borderId="0" xfId="61" applyNumberFormat="1" applyFont="1" applyFill="1" applyAlignment="1" applyProtection="1">
      <alignment horizontal="left"/>
    </xf>
    <xf numFmtId="0" fontId="18" fillId="0" borderId="15" xfId="61" applyFont="1" applyFill="1" applyBorder="1"/>
    <xf numFmtId="0" fontId="18" fillId="0" borderId="0" xfId="61" quotePrefix="1" applyFont="1" applyFill="1" applyAlignment="1" applyProtection="1">
      <alignment horizontal="center"/>
    </xf>
    <xf numFmtId="0" fontId="18" fillId="0" borderId="15" xfId="61" quotePrefix="1" applyFont="1" applyFill="1" applyBorder="1" applyAlignment="1" applyProtection="1">
      <alignment horizontal="center"/>
    </xf>
    <xf numFmtId="0" fontId="18" fillId="0" borderId="15" xfId="61" quotePrefix="1" applyFont="1" applyFill="1" applyBorder="1" applyAlignment="1">
      <alignment horizontal="center"/>
    </xf>
    <xf numFmtId="0" fontId="34" fillId="0" borderId="0" xfId="61" applyFont="1" applyFill="1"/>
    <xf numFmtId="10" fontId="18" fillId="0" borderId="0" xfId="69" quotePrefix="1" applyNumberFormat="1" applyFont="1" applyFill="1" applyAlignment="1">
      <alignment horizontal="center"/>
    </xf>
    <xf numFmtId="37" fontId="18" fillId="0" borderId="15" xfId="61" applyNumberFormat="1" applyFont="1" applyFill="1" applyBorder="1"/>
    <xf numFmtId="10" fontId="72" fillId="0" borderId="0" xfId="69" applyNumberFormat="1" applyFont="1" applyFill="1"/>
    <xf numFmtId="0" fontId="18" fillId="0" borderId="0" xfId="69" applyFont="1" applyFill="1" applyAlignment="1">
      <alignment horizontal="center"/>
    </xf>
    <xf numFmtId="10" fontId="72" fillId="0" borderId="0" xfId="69" applyNumberFormat="1" applyFont="1" applyFill="1" applyAlignment="1">
      <alignment horizontal="center"/>
    </xf>
    <xf numFmtId="0" fontId="72" fillId="0" borderId="0" xfId="0" applyFont="1" applyFill="1"/>
    <xf numFmtId="0" fontId="72" fillId="0" borderId="0" xfId="0" applyFont="1" applyFill="1" applyAlignment="1">
      <alignment horizontal="center"/>
    </xf>
    <xf numFmtId="37" fontId="18" fillId="0" borderId="0" xfId="61" applyNumberFormat="1" applyFont="1" applyFill="1" applyProtection="1"/>
    <xf numFmtId="0" fontId="18" fillId="0" borderId="0" xfId="61" quotePrefix="1" applyFont="1" applyFill="1" applyBorder="1" applyAlignment="1" applyProtection="1">
      <alignment horizontal="center"/>
    </xf>
    <xf numFmtId="0" fontId="18" fillId="0" borderId="0" xfId="61" quotePrefix="1" applyFont="1" applyFill="1" applyBorder="1" applyAlignment="1">
      <alignment horizontal="center"/>
    </xf>
    <xf numFmtId="37" fontId="72" fillId="0" borderId="0" xfId="69" applyNumberFormat="1" applyFont="1" applyFill="1"/>
    <xf numFmtId="49" fontId="18" fillId="0" borderId="0" xfId="61" quotePrefix="1" applyNumberFormat="1" applyFont="1" applyFill="1" applyAlignment="1">
      <alignment horizontal="center"/>
    </xf>
    <xf numFmtId="10" fontId="72" fillId="0" borderId="0" xfId="0" quotePrefix="1" applyNumberFormat="1" applyFont="1" applyFill="1" applyAlignment="1">
      <alignment horizontal="center"/>
    </xf>
    <xf numFmtId="0" fontId="18" fillId="0" borderId="0" xfId="0" quotePrefix="1" applyFont="1" applyFill="1" applyAlignment="1">
      <alignment horizontal="center"/>
    </xf>
    <xf numFmtId="9" fontId="18" fillId="0" borderId="15" xfId="61" applyNumberFormat="1" applyFont="1" applyFill="1" applyBorder="1"/>
    <xf numFmtId="10" fontId="18" fillId="0" borderId="0" xfId="61" applyNumberFormat="1" applyFont="1" applyFill="1" applyProtection="1"/>
    <xf numFmtId="3" fontId="18" fillId="0" borderId="0" xfId="61" applyNumberFormat="1" applyFont="1" applyFill="1" applyAlignment="1" applyProtection="1">
      <alignment horizontal="right"/>
    </xf>
    <xf numFmtId="0" fontId="0" fillId="0" borderId="0" xfId="61" quotePrefix="1" applyFont="1" applyFill="1" applyAlignment="1">
      <alignment horizontal="center"/>
    </xf>
    <xf numFmtId="37" fontId="44" fillId="0" borderId="0" xfId="64" applyNumberFormat="1" applyFont="1" applyFill="1" applyProtection="1"/>
    <xf numFmtId="42" fontId="72" fillId="0" borderId="0" xfId="0" applyNumberFormat="1" applyFont="1" applyFill="1" applyAlignment="1">
      <alignment vertical="top"/>
    </xf>
    <xf numFmtId="42" fontId="18" fillId="0" borderId="0" xfId="0" applyNumberFormat="1" applyFont="1" applyFill="1" applyAlignment="1">
      <alignment vertical="top"/>
    </xf>
    <xf numFmtId="180" fontId="72" fillId="0" borderId="0" xfId="0" applyNumberFormat="1" applyFont="1" applyFill="1" applyBorder="1"/>
    <xf numFmtId="180" fontId="72" fillId="0" borderId="0" xfId="15050" applyNumberFormat="1" applyFont="1" applyFill="1" applyBorder="1"/>
    <xf numFmtId="180" fontId="108" fillId="0" borderId="0" xfId="0" applyNumberFormat="1" applyFont="1" applyFill="1" applyBorder="1"/>
    <xf numFmtId="180" fontId="108" fillId="0" borderId="0" xfId="15050" applyNumberFormat="1" applyFont="1" applyFill="1" applyBorder="1"/>
    <xf numFmtId="42" fontId="18" fillId="0" borderId="0" xfId="1489" applyNumberFormat="1" applyFont="1" applyFill="1"/>
    <xf numFmtId="37" fontId="72" fillId="0" borderId="0" xfId="9820" applyNumberFormat="1" applyFont="1" applyFill="1"/>
    <xf numFmtId="9" fontId="18" fillId="0" borderId="15" xfId="8" applyNumberFormat="1" applyFont="1" applyFill="1" applyBorder="1" applyAlignment="1">
      <alignment horizontal="right"/>
    </xf>
    <xf numFmtId="42" fontId="18" fillId="0" borderId="0" xfId="0" applyNumberFormat="1" applyFont="1" applyFill="1" applyBorder="1"/>
    <xf numFmtId="0" fontId="42" fillId="0" borderId="0" xfId="5" applyFont="1" applyFill="1" applyBorder="1" applyAlignment="1" applyProtection="1">
      <alignment horizontal="left"/>
    </xf>
    <xf numFmtId="0" fontId="18" fillId="0" borderId="0" xfId="5" applyFont="1" applyFill="1" applyBorder="1" applyAlignment="1">
      <alignment horizontal="center"/>
    </xf>
    <xf numFmtId="37" fontId="18" fillId="0" borderId="0" xfId="5" applyNumberFormat="1" applyFont="1" applyFill="1" applyBorder="1" applyAlignment="1">
      <alignment horizontal="center"/>
    </xf>
    <xf numFmtId="37" fontId="42" fillId="0" borderId="0" xfId="5" applyNumberFormat="1" applyFont="1" applyFill="1" applyBorder="1" applyAlignment="1" applyProtection="1">
      <alignment horizontal="right"/>
    </xf>
    <xf numFmtId="17" fontId="18" fillId="0" borderId="0" xfId="5" quotePrefix="1" applyNumberFormat="1" applyFont="1" applyFill="1" applyBorder="1" applyAlignment="1" applyProtection="1">
      <alignment horizontal="left"/>
    </xf>
    <xf numFmtId="166" fontId="72" fillId="0" borderId="0" xfId="65" applyNumberFormat="1" applyFont="1" applyFill="1"/>
    <xf numFmtId="166" fontId="72" fillId="0" borderId="0" xfId="15055" applyNumberFormat="1" applyFont="1" applyFill="1" applyAlignment="1" applyProtection="1">
      <alignment horizontal="center"/>
      <protection locked="0"/>
    </xf>
    <xf numFmtId="175" fontId="72" fillId="0" borderId="0" xfId="15055" applyNumberFormat="1" applyFont="1" applyFill="1" applyProtection="1">
      <protection locked="0"/>
    </xf>
    <xf numFmtId="37" fontId="72" fillId="0" borderId="0" xfId="8" applyNumberFormat="1" applyFont="1" applyFill="1" applyProtection="1">
      <protection locked="0"/>
    </xf>
    <xf numFmtId="175" fontId="72" fillId="0" borderId="0" xfId="8" applyNumberFormat="1" applyFont="1" applyFill="1" applyProtection="1">
      <protection locked="0"/>
    </xf>
    <xf numFmtId="166" fontId="72" fillId="0" borderId="0" xfId="65" applyNumberFormat="1" applyFont="1" applyFill="1" applyAlignment="1">
      <alignment horizontal="center"/>
    </xf>
    <xf numFmtId="0" fontId="72" fillId="0" borderId="0" xfId="8" applyFont="1" applyFill="1" applyAlignment="1" applyProtection="1">
      <alignment horizontal="left"/>
    </xf>
    <xf numFmtId="0" fontId="72" fillId="0" borderId="0" xfId="8" applyFont="1" applyFill="1" applyAlignment="1">
      <alignment horizontal="center"/>
    </xf>
    <xf numFmtId="166" fontId="72" fillId="0" borderId="0" xfId="0" applyNumberFormat="1" applyFont="1" applyFill="1" applyAlignment="1" applyProtection="1">
      <alignment horizontal="center"/>
    </xf>
    <xf numFmtId="166" fontId="72" fillId="0" borderId="0" xfId="0" applyNumberFormat="1" applyFont="1" applyFill="1" applyAlignment="1" applyProtection="1">
      <alignment horizontal="left"/>
    </xf>
    <xf numFmtId="10" fontId="72" fillId="0" borderId="0" xfId="8" applyNumberFormat="1" applyFont="1" applyFill="1"/>
    <xf numFmtId="183" fontId="72" fillId="0" borderId="0" xfId="1" applyNumberFormat="1" applyFont="1" applyFill="1" applyBorder="1" applyAlignment="1">
      <alignment horizontal="center" vertical="center"/>
    </xf>
    <xf numFmtId="37" fontId="18" fillId="0" borderId="169" xfId="5" applyNumberFormat="1" applyFont="1" applyFill="1" applyBorder="1" applyProtection="1"/>
    <xf numFmtId="0" fontId="42" fillId="0" borderId="0" xfId="5" applyFont="1" applyFill="1"/>
    <xf numFmtId="166" fontId="18" fillId="0" borderId="0" xfId="5" applyNumberFormat="1" applyFont="1" applyFill="1" applyAlignment="1" applyProtection="1">
      <alignment horizontal="center"/>
    </xf>
    <xf numFmtId="37" fontId="72" fillId="0" borderId="0" xfId="14" applyNumberFormat="1" applyFont="1" applyFill="1" applyProtection="1">
      <protection locked="0"/>
    </xf>
    <xf numFmtId="0" fontId="72" fillId="0" borderId="0" xfId="14" applyFont="1" applyFill="1"/>
    <xf numFmtId="37" fontId="18" fillId="0" borderId="0" xfId="5" applyNumberFormat="1" applyFont="1" applyFill="1" applyBorder="1" applyAlignment="1">
      <alignment horizontal="right"/>
    </xf>
    <xf numFmtId="37" fontId="72" fillId="0" borderId="0" xfId="5" applyNumberFormat="1" applyFont="1" applyFill="1" applyBorder="1" applyAlignment="1" applyProtection="1">
      <alignment horizontal="right"/>
    </xf>
    <xf numFmtId="37" fontId="72" fillId="0" borderId="0" xfId="5" applyNumberFormat="1" applyFont="1" applyFill="1" applyBorder="1" applyAlignment="1">
      <alignment horizontal="right"/>
    </xf>
    <xf numFmtId="37" fontId="72" fillId="0" borderId="0" xfId="5" applyNumberFormat="1" applyFont="1" applyFill="1" applyBorder="1" applyProtection="1"/>
    <xf numFmtId="37" fontId="97" fillId="0" borderId="0" xfId="5" applyNumberFormat="1" applyFont="1" applyFill="1" applyBorder="1" applyAlignment="1" applyProtection="1">
      <alignment horizontal="right"/>
    </xf>
    <xf numFmtId="37" fontId="108" fillId="0" borderId="0" xfId="5" applyNumberFormat="1" applyFont="1" applyFill="1" applyBorder="1" applyAlignment="1" applyProtection="1">
      <alignment horizontal="right"/>
    </xf>
    <xf numFmtId="37" fontId="108" fillId="0" borderId="0" xfId="5" applyNumberFormat="1" applyFont="1" applyFill="1" applyBorder="1" applyAlignment="1">
      <alignment horizontal="right"/>
    </xf>
    <xf numFmtId="37" fontId="42" fillId="0" borderId="0" xfId="5" applyNumberFormat="1" applyFont="1" applyFill="1" applyBorder="1"/>
    <xf numFmtId="37" fontId="18" fillId="0" borderId="0" xfId="5" quotePrefix="1" applyNumberFormat="1" applyFont="1" applyFill="1" applyBorder="1" applyAlignment="1" applyProtection="1">
      <alignment horizontal="center"/>
    </xf>
    <xf numFmtId="37" fontId="18" fillId="0" borderId="0" xfId="5" quotePrefix="1" applyNumberFormat="1" applyFont="1" applyFill="1" applyBorder="1" applyAlignment="1">
      <alignment horizontal="center"/>
    </xf>
    <xf numFmtId="0" fontId="18" fillId="0" borderId="0" xfId="14" quotePrefix="1" applyFont="1" applyFill="1"/>
    <xf numFmtId="37" fontId="18" fillId="0" borderId="0" xfId="37" applyNumberFormat="1" applyFont="1" applyFill="1" applyAlignment="1" applyProtection="1">
      <alignment horizontal="centerContinuous"/>
    </xf>
    <xf numFmtId="0" fontId="18" fillId="0" borderId="0" xfId="1489" applyFont="1" applyFill="1" applyAlignment="1">
      <alignment horizontal="center"/>
    </xf>
    <xf numFmtId="41" fontId="130" fillId="0" borderId="0" xfId="1489" applyNumberFormat="1" applyFont="1" applyFill="1"/>
    <xf numFmtId="42" fontId="130" fillId="0" borderId="0" xfId="0" applyNumberFormat="1" applyFont="1" applyFill="1"/>
    <xf numFmtId="42" fontId="18" fillId="0" borderId="0" xfId="0" applyNumberFormat="1" applyFont="1" applyFill="1"/>
    <xf numFmtId="42" fontId="130" fillId="0" borderId="0" xfId="32" applyNumberFormat="1" applyFont="1" applyFill="1"/>
    <xf numFmtId="42" fontId="18" fillId="0" borderId="0" xfId="23" applyNumberFormat="1" applyFont="1" applyFill="1" applyBorder="1"/>
    <xf numFmtId="166" fontId="44" fillId="0" borderId="0" xfId="11" applyNumberFormat="1" applyFont="1" applyFill="1" applyProtection="1">
      <protection locked="0"/>
    </xf>
    <xf numFmtId="37" fontId="18" fillId="0" borderId="0" xfId="15" applyNumberFormat="1" applyFont="1" applyFill="1" applyAlignment="1">
      <alignment horizontal="right"/>
    </xf>
    <xf numFmtId="37" fontId="73" fillId="0" borderId="0" xfId="14" applyNumberFormat="1" applyFont="1" applyFill="1" applyProtection="1"/>
    <xf numFmtId="0" fontId="73" fillId="0" borderId="0" xfId="0" applyFont="1" applyFill="1"/>
    <xf numFmtId="37" fontId="108" fillId="0" borderId="0" xfId="24" applyNumberFormat="1" applyFont="1" applyFill="1"/>
    <xf numFmtId="42" fontId="72" fillId="0" borderId="0" xfId="23" applyNumberFormat="1" applyFont="1" applyFill="1" applyBorder="1"/>
    <xf numFmtId="37" fontId="18" fillId="0" borderId="0" xfId="48" applyNumberFormat="1" applyFont="1" applyFill="1" applyBorder="1" applyAlignment="1"/>
    <xf numFmtId="44" fontId="72" fillId="0" borderId="0" xfId="5" applyNumberFormat="1" applyFont="1" applyFill="1" applyBorder="1"/>
    <xf numFmtId="44" fontId="72" fillId="0" borderId="0" xfId="5" applyNumberFormat="1" applyFont="1" applyFill="1" applyBorder="1" applyAlignment="1" applyProtection="1">
      <alignment horizontal="right"/>
    </xf>
    <xf numFmtId="10" fontId="18" fillId="0" borderId="0" xfId="5" applyNumberFormat="1" applyFont="1" applyFill="1" applyBorder="1" applyProtection="1"/>
    <xf numFmtId="37" fontId="18" fillId="0" borderId="15" xfId="5" applyNumberFormat="1" applyFont="1" applyFill="1" applyBorder="1" applyAlignment="1">
      <alignment horizontal="right"/>
    </xf>
    <xf numFmtId="42" fontId="18" fillId="0" borderId="0" xfId="5" applyNumberFormat="1" applyFont="1" applyFill="1" applyBorder="1" applyAlignment="1">
      <alignment horizontal="right"/>
    </xf>
    <xf numFmtId="42" fontId="18" fillId="0" borderId="17" xfId="5" applyNumberFormat="1" applyFont="1" applyFill="1" applyBorder="1" applyAlignment="1">
      <alignment horizontal="right"/>
    </xf>
    <xf numFmtId="37" fontId="42" fillId="0" borderId="0" xfId="5" applyNumberFormat="1" applyFont="1" applyFill="1" applyBorder="1" applyProtection="1"/>
    <xf numFmtId="183" fontId="0" fillId="0" borderId="0" xfId="1" applyNumberFormat="1" applyFont="1" applyFill="1"/>
    <xf numFmtId="14" fontId="0" fillId="0" borderId="0" xfId="0" applyNumberFormat="1" applyFill="1" applyAlignment="1">
      <alignment horizontal="right"/>
    </xf>
    <xf numFmtId="42" fontId="0" fillId="0" borderId="0" xfId="1" applyNumberFormat="1" applyFont="1" applyFill="1"/>
    <xf numFmtId="5" fontId="0" fillId="0" borderId="0" xfId="1" applyNumberFormat="1" applyFont="1" applyFill="1"/>
    <xf numFmtId="183" fontId="0" fillId="0" borderId="168" xfId="0" applyNumberFormat="1" applyFill="1" applyBorder="1"/>
    <xf numFmtId="183" fontId="18" fillId="0" borderId="0" xfId="1" quotePrefix="1" applyNumberFormat="1" applyFont="1" applyFill="1" applyAlignment="1">
      <alignment horizontal="left"/>
    </xf>
    <xf numFmtId="183" fontId="0" fillId="0" borderId="17" xfId="0" applyNumberFormat="1" applyFill="1" applyBorder="1"/>
    <xf numFmtId="37" fontId="0" fillId="0" borderId="0" xfId="0" applyNumberFormat="1" applyFill="1" applyBorder="1"/>
    <xf numFmtId="0" fontId="42" fillId="0" borderId="0" xfId="0" applyFont="1" applyFill="1"/>
    <xf numFmtId="37" fontId="0" fillId="0" borderId="15" xfId="0" applyNumberFormat="1" applyFill="1" applyBorder="1"/>
    <xf numFmtId="183" fontId="44" fillId="0" borderId="15" xfId="1" applyNumberFormat="1" applyFont="1" applyFill="1" applyBorder="1"/>
    <xf numFmtId="183" fontId="18" fillId="0" borderId="18" xfId="1" applyNumberFormat="1" applyFont="1" applyFill="1" applyBorder="1"/>
    <xf numFmtId="183" fontId="18" fillId="0" borderId="0" xfId="1" applyNumberFormat="1" applyFont="1" applyFill="1" applyBorder="1"/>
    <xf numFmtId="183" fontId="18" fillId="0" borderId="15" xfId="1" applyNumberFormat="1" applyFont="1" applyFill="1" applyBorder="1"/>
    <xf numFmtId="183" fontId="44" fillId="0" borderId="0" xfId="1" applyNumberFormat="1" applyFont="1" applyFill="1" applyBorder="1"/>
    <xf numFmtId="183" fontId="18" fillId="0" borderId="17" xfId="1" applyNumberFormat="1" applyFont="1" applyFill="1" applyBorder="1"/>
    <xf numFmtId="227" fontId="0" fillId="0" borderId="0" xfId="43979" applyNumberFormat="1" applyFont="1" applyFill="1"/>
    <xf numFmtId="10" fontId="44" fillId="0" borderId="0" xfId="1" applyNumberFormat="1" applyFont="1" applyFill="1"/>
    <xf numFmtId="10" fontId="44" fillId="0" borderId="0" xfId="3" applyNumberFormat="1" applyFont="1" applyFill="1" applyBorder="1"/>
    <xf numFmtId="183" fontId="44" fillId="0" borderId="0" xfId="1" applyNumberFormat="1" applyFont="1" applyFill="1" applyAlignment="1">
      <alignment horizontal="center"/>
    </xf>
    <xf numFmtId="43" fontId="44" fillId="0" borderId="0" xfId="1" applyFont="1" applyFill="1" applyAlignment="1">
      <alignment horizontal="center"/>
    </xf>
    <xf numFmtId="3" fontId="44" fillId="0" borderId="0" xfId="1" applyNumberFormat="1" applyFont="1" applyFill="1"/>
    <xf numFmtId="3" fontId="44" fillId="0" borderId="0" xfId="3" applyNumberFormat="1" applyFont="1" applyFill="1" applyAlignment="1"/>
    <xf numFmtId="4" fontId="18" fillId="0" borderId="0" xfId="3" applyNumberFormat="1" applyFont="1" applyFill="1"/>
    <xf numFmtId="4" fontId="44" fillId="0" borderId="0" xfId="3" applyNumberFormat="1" applyFont="1" applyFill="1"/>
    <xf numFmtId="189" fontId="44" fillId="0" borderId="0" xfId="3" applyNumberFormat="1" applyFont="1" applyFill="1"/>
    <xf numFmtId="40" fontId="44" fillId="0" borderId="0" xfId="3" applyNumberFormat="1" applyFont="1" applyFill="1"/>
    <xf numFmtId="0" fontId="18" fillId="0" borderId="15" xfId="8" applyFont="1" applyFill="1" applyBorder="1" applyAlignment="1" applyProtection="1">
      <alignment horizontal="fill"/>
    </xf>
    <xf numFmtId="0" fontId="18" fillId="0" borderId="0" xfId="8" applyFont="1" applyFill="1" applyBorder="1" applyProtection="1">
      <protection locked="0"/>
    </xf>
    <xf numFmtId="175" fontId="18" fillId="0" borderId="0" xfId="8" applyNumberFormat="1" applyFont="1" applyFill="1" applyBorder="1" applyProtection="1">
      <protection locked="0"/>
    </xf>
    <xf numFmtId="175" fontId="18" fillId="0" borderId="0" xfId="8" applyNumberFormat="1" applyFont="1" applyFill="1" applyProtection="1"/>
    <xf numFmtId="10" fontId="18" fillId="0" borderId="0" xfId="8" applyNumberFormat="1" applyFont="1" applyFill="1" applyProtection="1"/>
    <xf numFmtId="37" fontId="18" fillId="0" borderId="0" xfId="8" applyNumberFormat="1" applyFont="1" applyFill="1" applyBorder="1" applyAlignment="1" applyProtection="1">
      <alignment horizontal="right"/>
    </xf>
    <xf numFmtId="10" fontId="72" fillId="0" borderId="0" xfId="8" applyNumberFormat="1" applyFont="1" applyFill="1" applyAlignment="1">
      <alignment horizontal="center"/>
    </xf>
    <xf numFmtId="183" fontId="71" fillId="0" borderId="0" xfId="1" applyNumberFormat="1" applyFont="1" applyFill="1"/>
    <xf numFmtId="37" fontId="71" fillId="0" borderId="0" xfId="8" applyNumberFormat="1" applyFont="1" applyFill="1"/>
    <xf numFmtId="0" fontId="18" fillId="0" borderId="94" xfId="8" applyFont="1" applyFill="1" applyBorder="1" applyAlignment="1">
      <alignment horizontal="center"/>
    </xf>
    <xf numFmtId="178" fontId="18" fillId="0" borderId="0" xfId="8" applyNumberFormat="1" applyFont="1" applyFill="1" applyAlignment="1" applyProtection="1">
      <alignment horizontal="center"/>
    </xf>
    <xf numFmtId="10" fontId="18" fillId="0" borderId="0" xfId="8" applyNumberFormat="1" applyFont="1" applyFill="1" applyAlignment="1" applyProtection="1">
      <alignment horizontal="center"/>
    </xf>
    <xf numFmtId="0" fontId="18" fillId="0" borderId="18" xfId="8" applyFont="1" applyFill="1" applyBorder="1" applyAlignment="1" applyProtection="1">
      <alignment horizontal="center"/>
    </xf>
    <xf numFmtId="0" fontId="18" fillId="0" borderId="94" xfId="8" applyFont="1" applyFill="1" applyBorder="1" applyAlignment="1" applyProtection="1">
      <alignment horizontal="center"/>
    </xf>
    <xf numFmtId="180" fontId="44" fillId="0" borderId="0" xfId="8" applyNumberFormat="1" applyFont="1" applyFill="1" applyProtection="1">
      <protection locked="0"/>
    </xf>
    <xf numFmtId="37" fontId="97" fillId="0" borderId="0" xfId="8" applyNumberFormat="1" applyFont="1" applyFill="1" applyProtection="1"/>
    <xf numFmtId="180" fontId="18" fillId="0" borderId="0" xfId="8" applyNumberFormat="1" applyFont="1" applyFill="1" applyProtection="1"/>
    <xf numFmtId="37" fontId="44" fillId="0" borderId="15" xfId="8" applyNumberFormat="1" applyFont="1" applyFill="1" applyBorder="1" applyProtection="1">
      <protection locked="0"/>
    </xf>
    <xf numFmtId="180" fontId="18" fillId="0" borderId="94" xfId="8" applyNumberFormat="1" applyFont="1" applyFill="1" applyBorder="1" applyProtection="1"/>
    <xf numFmtId="0" fontId="18" fillId="0" borderId="94" xfId="8" applyFont="1" applyFill="1" applyBorder="1"/>
    <xf numFmtId="37" fontId="44" fillId="0" borderId="15" xfId="8" applyNumberFormat="1" applyFont="1" applyFill="1" applyBorder="1" applyProtection="1"/>
    <xf numFmtId="203" fontId="72" fillId="0" borderId="0" xfId="0" applyNumberFormat="1" applyFont="1" applyFill="1"/>
    <xf numFmtId="170" fontId="18" fillId="0" borderId="0" xfId="56" applyNumberFormat="1" applyFont="1" applyFill="1"/>
    <xf numFmtId="0" fontId="18" fillId="0" borderId="0" xfId="56" applyFont="1" applyFill="1" applyAlignment="1" applyProtection="1">
      <alignment horizontal="centerContinuous"/>
    </xf>
    <xf numFmtId="0" fontId="18" fillId="0" borderId="0" xfId="56" quotePrefix="1" applyFont="1" applyFill="1" applyAlignment="1" applyProtection="1">
      <alignment horizontal="center"/>
    </xf>
    <xf numFmtId="0" fontId="18" fillId="0" borderId="0" xfId="56" applyFont="1" applyFill="1"/>
    <xf numFmtId="0" fontId="18" fillId="0" borderId="0" xfId="56" quotePrefix="1" applyFont="1" applyFill="1" applyAlignment="1" applyProtection="1">
      <alignment horizontal="right"/>
    </xf>
    <xf numFmtId="0" fontId="18" fillId="0" borderId="0" xfId="56" applyFont="1" applyFill="1" applyAlignment="1" applyProtection="1">
      <alignment horizontal="centerContinuous"/>
      <protection locked="0"/>
    </xf>
    <xf numFmtId="0" fontId="44" fillId="0" borderId="0" xfId="56" applyFont="1" applyFill="1" applyAlignment="1" applyProtection="1">
      <alignment horizontal="left"/>
      <protection locked="0"/>
    </xf>
    <xf numFmtId="0" fontId="18" fillId="0" borderId="0" xfId="56" applyFont="1" applyFill="1" applyAlignment="1" applyProtection="1">
      <alignment horizontal="left"/>
    </xf>
    <xf numFmtId="0" fontId="44" fillId="0" borderId="0" xfId="56" applyFont="1" applyFill="1" applyAlignment="1" applyProtection="1">
      <alignment horizontal="centerContinuous"/>
      <protection locked="0"/>
    </xf>
    <xf numFmtId="0" fontId="47" fillId="0" borderId="0" xfId="56" applyFont="1" applyFill="1" applyAlignment="1" applyProtection="1">
      <alignment horizontal="left"/>
      <protection locked="0"/>
    </xf>
    <xf numFmtId="0" fontId="18" fillId="0" borderId="15" xfId="56" applyFont="1" applyFill="1" applyBorder="1" applyAlignment="1" applyProtection="1">
      <alignment horizontal="left"/>
    </xf>
    <xf numFmtId="0" fontId="18" fillId="0" borderId="15" xfId="56" applyFont="1" applyFill="1" applyBorder="1"/>
    <xf numFmtId="0" fontId="44" fillId="0" borderId="15" xfId="56" applyFont="1" applyFill="1" applyBorder="1" applyAlignment="1" applyProtection="1">
      <alignment horizontal="centerContinuous"/>
      <protection locked="0"/>
    </xf>
    <xf numFmtId="0" fontId="18" fillId="0" borderId="15" xfId="56" applyFont="1" applyFill="1" applyBorder="1" applyAlignment="1">
      <alignment horizontal="centerContinuous"/>
    </xf>
    <xf numFmtId="0" fontId="18" fillId="0" borderId="0" xfId="56" applyFont="1" applyFill="1" applyAlignment="1" applyProtection="1">
      <alignment horizontal="center"/>
    </xf>
    <xf numFmtId="0" fontId="18" fillId="0" borderId="15" xfId="56" applyFont="1" applyFill="1" applyBorder="1" applyAlignment="1" applyProtection="1">
      <alignment horizontal="centerContinuous"/>
    </xf>
    <xf numFmtId="0" fontId="42" fillId="0" borderId="15" xfId="56" applyFont="1" applyFill="1" applyBorder="1" applyAlignment="1">
      <alignment horizontal="centerContinuous"/>
    </xf>
    <xf numFmtId="0" fontId="18" fillId="0" borderId="0" xfId="56" applyFont="1" applyFill="1" applyAlignment="1">
      <alignment horizontal="center"/>
    </xf>
    <xf numFmtId="0" fontId="18" fillId="0" borderId="15" xfId="56" applyFont="1" applyFill="1" applyBorder="1" applyAlignment="1" applyProtection="1">
      <alignment horizontal="center"/>
    </xf>
    <xf numFmtId="0" fontId="18" fillId="0" borderId="0" xfId="56" applyFont="1" applyFill="1" applyAlignment="1" applyProtection="1">
      <alignment horizontal="fill"/>
    </xf>
    <xf numFmtId="0" fontId="42" fillId="0" borderId="0" xfId="56" applyFont="1" applyFill="1" applyAlignment="1" applyProtection="1">
      <alignment horizontal="left"/>
    </xf>
    <xf numFmtId="170" fontId="47" fillId="0" borderId="0" xfId="56" applyNumberFormat="1" applyFont="1" applyFill="1" applyProtection="1">
      <protection locked="0"/>
    </xf>
    <xf numFmtId="170" fontId="42" fillId="0" borderId="0" xfId="56" applyNumberFormat="1" applyFont="1" applyFill="1" applyProtection="1">
      <protection locked="0"/>
    </xf>
    <xf numFmtId="170" fontId="42" fillId="0" borderId="0" xfId="56" applyNumberFormat="1" applyFont="1" applyFill="1" applyProtection="1"/>
    <xf numFmtId="170" fontId="18" fillId="0" borderId="0" xfId="56" applyNumberFormat="1" applyFont="1" applyFill="1" applyAlignment="1" applyProtection="1">
      <alignment horizontal="right"/>
    </xf>
    <xf numFmtId="170" fontId="50" fillId="0" borderId="0" xfId="56" applyNumberFormat="1" applyFont="1" applyFill="1" applyProtection="1">
      <protection locked="0"/>
    </xf>
    <xf numFmtId="170" fontId="42" fillId="0" borderId="0" xfId="55" applyNumberFormat="1" applyFont="1" applyFill="1" applyAlignment="1" applyProtection="1">
      <alignment horizontal="right"/>
    </xf>
    <xf numFmtId="170" fontId="18" fillId="0" borderId="0" xfId="56" applyNumberFormat="1" applyFont="1" applyFill="1" applyProtection="1"/>
    <xf numFmtId="0" fontId="18" fillId="0" borderId="0" xfId="56" quotePrefix="1" applyFont="1" applyFill="1" applyBorder="1" applyAlignment="1" applyProtection="1">
      <alignment horizontal="left"/>
    </xf>
    <xf numFmtId="0" fontId="18" fillId="0" borderId="0" xfId="56" applyFont="1" applyFill="1" applyBorder="1"/>
    <xf numFmtId="0" fontId="18" fillId="0" borderId="0" xfId="56" applyFont="1" applyFill="1" applyBorder="1" applyAlignment="1" applyProtection="1">
      <alignment horizontal="centerContinuous"/>
    </xf>
    <xf numFmtId="0" fontId="18" fillId="0" borderId="0" xfId="56" applyFont="1" applyFill="1" applyBorder="1" applyAlignment="1">
      <alignment horizontal="centerContinuous"/>
    </xf>
    <xf numFmtId="0" fontId="18" fillId="0" borderId="0" xfId="56" quotePrefix="1" applyFont="1" applyFill="1" applyBorder="1" applyAlignment="1" applyProtection="1">
      <alignment horizontal="center"/>
    </xf>
    <xf numFmtId="0" fontId="18" fillId="0" borderId="0" xfId="56" applyFont="1" applyFill="1" applyBorder="1" applyProtection="1"/>
    <xf numFmtId="0" fontId="18" fillId="0" borderId="0" xfId="56" applyFont="1" applyFill="1" applyBorder="1" applyAlignment="1" applyProtection="1">
      <alignment horizontal="left"/>
    </xf>
    <xf numFmtId="0" fontId="34" fillId="0" borderId="0" xfId="5" applyFont="1" applyFill="1"/>
    <xf numFmtId="0" fontId="34" fillId="0" borderId="0" xfId="5" applyFont="1" applyFill="1" applyAlignment="1">
      <alignment horizontal="center"/>
    </xf>
    <xf numFmtId="0" fontId="45" fillId="0" borderId="0" xfId="5" applyFont="1" applyFill="1" applyAlignment="1">
      <alignment horizontal="center"/>
    </xf>
    <xf numFmtId="0" fontId="33" fillId="0" borderId="0" xfId="5" applyFont="1" applyFill="1" applyAlignment="1">
      <alignment horizontal="center"/>
    </xf>
    <xf numFmtId="37" fontId="44" fillId="0" borderId="0" xfId="5" applyNumberFormat="1" applyFont="1" applyFill="1"/>
    <xf numFmtId="0" fontId="18" fillId="0" borderId="0" xfId="55" quotePrefix="1" applyFont="1" applyFill="1" applyAlignment="1" applyProtection="1">
      <alignment horizontal="centerContinuous"/>
    </xf>
    <xf numFmtId="0" fontId="18" fillId="0" borderId="0" xfId="56" quotePrefix="1" applyFont="1" applyFill="1" applyAlignment="1" applyProtection="1">
      <alignment horizontal="centerContinuous"/>
      <protection locked="0"/>
    </xf>
    <xf numFmtId="0" fontId="42" fillId="0" borderId="0" xfId="55" applyFont="1" applyFill="1" applyAlignment="1" applyProtection="1">
      <alignment horizontal="center"/>
    </xf>
    <xf numFmtId="0" fontId="18" fillId="0" borderId="0" xfId="55" applyFont="1" applyFill="1" applyProtection="1"/>
    <xf numFmtId="170" fontId="42" fillId="0" borderId="0" xfId="55" applyNumberFormat="1" applyFont="1" applyFill="1"/>
    <xf numFmtId="170" fontId="97" fillId="0" borderId="0" xfId="55" applyNumberFormat="1" applyFont="1" applyFill="1"/>
    <xf numFmtId="0" fontId="18" fillId="0" borderId="0" xfId="55" quotePrefix="1" applyFont="1" applyFill="1" applyBorder="1"/>
    <xf numFmtId="0" fontId="42" fillId="0" borderId="0" xfId="55" applyFont="1" applyFill="1" applyBorder="1" applyAlignment="1" applyProtection="1">
      <alignment horizontal="centerContinuous"/>
    </xf>
    <xf numFmtId="0" fontId="42" fillId="0" borderId="0" xfId="0" applyFont="1" applyFill="1" applyBorder="1" applyAlignment="1">
      <alignment horizontal="center"/>
    </xf>
    <xf numFmtId="37" fontId="18" fillId="0" borderId="0" xfId="0" applyNumberFormat="1" applyFont="1" applyFill="1" applyBorder="1" applyProtection="1"/>
    <xf numFmtId="37" fontId="72" fillId="0" borderId="15" xfId="12" applyNumberFormat="1" applyFont="1" applyFill="1" applyBorder="1" applyProtection="1"/>
    <xf numFmtId="181" fontId="18" fillId="0" borderId="0" xfId="54" applyNumberFormat="1" applyFont="1" applyFill="1"/>
    <xf numFmtId="181" fontId="18" fillId="0" borderId="0" xfId="12" applyFont="1" applyFill="1" applyProtection="1"/>
    <xf numFmtId="181" fontId="18" fillId="0" borderId="0" xfId="12" applyNumberFormat="1" applyFont="1" applyFill="1" applyBorder="1" applyAlignment="1" applyProtection="1">
      <alignment horizontal="center"/>
      <protection locked="0"/>
    </xf>
    <xf numFmtId="37" fontId="71" fillId="0" borderId="15" xfId="12" applyNumberFormat="1" applyFont="1" applyFill="1" applyBorder="1" applyProtection="1"/>
    <xf numFmtId="37" fontId="71" fillId="0" borderId="0" xfId="12" applyNumberFormat="1" applyFont="1" applyFill="1" applyProtection="1"/>
    <xf numFmtId="0" fontId="18" fillId="0" borderId="5" xfId="53" applyFont="1" applyFill="1" applyBorder="1"/>
    <xf numFmtId="0" fontId="18" fillId="0" borderId="2" xfId="53" applyFont="1" applyFill="1" applyBorder="1"/>
    <xf numFmtId="174" fontId="18" fillId="0" borderId="3" xfId="53" applyNumberFormat="1" applyFont="1" applyFill="1" applyBorder="1" applyProtection="1"/>
    <xf numFmtId="180" fontId="0" fillId="0" borderId="0" xfId="0" applyNumberFormat="1" applyFill="1"/>
    <xf numFmtId="180" fontId="42" fillId="0" borderId="0" xfId="0" applyNumberFormat="1" applyFont="1" applyFill="1"/>
    <xf numFmtId="37" fontId="18" fillId="0" borderId="0" xfId="51" applyNumberFormat="1" applyFont="1" applyFill="1" applyBorder="1" applyAlignment="1" applyProtection="1">
      <alignment horizontal="centerContinuous"/>
    </xf>
    <xf numFmtId="0" fontId="42" fillId="0" borderId="0" xfId="51" applyFont="1" applyFill="1" applyBorder="1" applyAlignment="1">
      <alignment horizontal="centerContinuous"/>
    </xf>
    <xf numFmtId="0" fontId="18" fillId="0" borderId="0" xfId="51" applyFont="1" applyFill="1" applyBorder="1" applyAlignment="1">
      <alignment horizontal="center"/>
    </xf>
    <xf numFmtId="42" fontId="72" fillId="0" borderId="0" xfId="51" applyNumberFormat="1" applyFont="1" applyFill="1" applyBorder="1"/>
    <xf numFmtId="42" fontId="18" fillId="0" borderId="0" xfId="51" applyNumberFormat="1" applyFont="1" applyFill="1"/>
    <xf numFmtId="42" fontId="72" fillId="0" borderId="0" xfId="51" applyNumberFormat="1" applyFont="1" applyFill="1" applyBorder="1" applyProtection="1">
      <protection locked="0"/>
    </xf>
    <xf numFmtId="42" fontId="18" fillId="0" borderId="0" xfId="51" applyNumberFormat="1" applyFont="1" applyFill="1" applyProtection="1">
      <protection locked="0"/>
    </xf>
    <xf numFmtId="42" fontId="72" fillId="0" borderId="0" xfId="51" applyNumberFormat="1" applyFont="1" applyFill="1" applyBorder="1" applyProtection="1"/>
    <xf numFmtId="42" fontId="18" fillId="0" borderId="0" xfId="51" applyNumberFormat="1" applyFont="1" applyFill="1" applyBorder="1" applyProtection="1"/>
    <xf numFmtId="42" fontId="18" fillId="0" borderId="0" xfId="51" applyNumberFormat="1" applyFont="1" applyFill="1" applyAlignment="1" applyProtection="1">
      <alignment horizontal="right"/>
    </xf>
    <xf numFmtId="37" fontId="18" fillId="0" borderId="0" xfId="51" applyNumberFormat="1" applyFont="1" applyFill="1" applyBorder="1" applyProtection="1">
      <protection locked="0"/>
    </xf>
    <xf numFmtId="37" fontId="18" fillId="0" borderId="0" xfId="51" applyNumberFormat="1" applyFont="1" applyFill="1" applyProtection="1">
      <protection locked="0"/>
    </xf>
    <xf numFmtId="0" fontId="44" fillId="0" borderId="0" xfId="51" applyFont="1" applyFill="1" applyBorder="1" applyAlignment="1" applyProtection="1">
      <alignment horizontal="center"/>
    </xf>
    <xf numFmtId="165" fontId="18" fillId="0" borderId="0" xfId="51" applyNumberFormat="1" applyFont="1" applyFill="1" applyProtection="1"/>
    <xf numFmtId="37" fontId="72" fillId="0" borderId="0" xfId="51" applyNumberFormat="1" applyFont="1" applyFill="1" applyProtection="1">
      <protection locked="0"/>
    </xf>
    <xf numFmtId="0" fontId="18" fillId="0" borderId="0" xfId="50" applyFont="1" applyFill="1" applyAlignment="1" applyProtection="1">
      <alignment horizontal="centerContinuous"/>
    </xf>
    <xf numFmtId="0" fontId="18" fillId="0" borderId="0" xfId="50" applyFont="1" applyFill="1" applyAlignment="1">
      <alignment horizontal="centerContinuous"/>
    </xf>
    <xf numFmtId="0" fontId="18" fillId="0" borderId="0" xfId="50" applyFont="1" applyFill="1"/>
    <xf numFmtId="37" fontId="18" fillId="0" borderId="0" xfId="50" applyNumberFormat="1" applyFont="1" applyFill="1" applyAlignment="1" applyProtection="1">
      <alignment horizontal="centerContinuous"/>
    </xf>
    <xf numFmtId="0" fontId="18" fillId="0" borderId="0" xfId="50" applyFont="1" applyFill="1" applyProtection="1"/>
    <xf numFmtId="0" fontId="18" fillId="0" borderId="0" xfId="50" applyFont="1" applyFill="1" applyAlignment="1" applyProtection="1">
      <alignment horizontal="left"/>
    </xf>
    <xf numFmtId="0" fontId="18" fillId="0" borderId="15" xfId="50" applyFont="1" applyFill="1" applyBorder="1" applyAlignment="1" applyProtection="1">
      <alignment horizontal="fill"/>
    </xf>
    <xf numFmtId="0" fontId="18" fillId="0" borderId="0" xfId="43" applyFont="1" applyFill="1" applyBorder="1" applyAlignment="1" applyProtection="1">
      <alignment horizontal="fill"/>
    </xf>
    <xf numFmtId="0" fontId="18" fillId="0" borderId="2" xfId="43" applyFont="1" applyFill="1" applyBorder="1" applyAlignment="1" applyProtection="1">
      <alignment horizontal="centerContinuous"/>
    </xf>
    <xf numFmtId="0" fontId="18" fillId="0" borderId="15" xfId="43" applyFont="1" applyFill="1" applyBorder="1" applyAlignment="1" applyProtection="1">
      <alignment horizontal="centerContinuous"/>
    </xf>
    <xf numFmtId="0" fontId="18" fillId="0" borderId="0" xfId="43" applyFont="1" applyFill="1" applyAlignment="1" applyProtection="1">
      <alignment horizontal="center"/>
    </xf>
    <xf numFmtId="0" fontId="18" fillId="0" borderId="0" xfId="43" applyFont="1" applyFill="1" applyAlignment="1">
      <alignment horizontal="centerContinuous"/>
    </xf>
    <xf numFmtId="37" fontId="18" fillId="0" borderId="0" xfId="43" applyNumberFormat="1" applyFont="1" applyFill="1" applyAlignment="1" applyProtection="1">
      <alignment horizontal="center"/>
    </xf>
    <xf numFmtId="165" fontId="18" fillId="0" borderId="0" xfId="43" applyNumberFormat="1" applyFont="1" applyFill="1" applyAlignment="1" applyProtection="1">
      <alignment horizontal="center"/>
    </xf>
    <xf numFmtId="165" fontId="18" fillId="0" borderId="0" xfId="43" applyNumberFormat="1" applyFont="1" applyFill="1" applyAlignment="1" applyProtection="1">
      <alignment horizontal="centerContinuous"/>
    </xf>
    <xf numFmtId="0" fontId="18" fillId="0" borderId="15" xfId="43" applyFont="1" applyFill="1" applyBorder="1" applyAlignment="1" applyProtection="1">
      <alignment horizontal="fill"/>
    </xf>
    <xf numFmtId="0" fontId="18" fillId="0" borderId="15" xfId="43" applyFont="1" applyFill="1" applyBorder="1" applyAlignment="1" applyProtection="1">
      <alignment horizontal="center"/>
    </xf>
    <xf numFmtId="0" fontId="18" fillId="0" borderId="0" xfId="43" quotePrefix="1" applyFont="1" applyFill="1" applyAlignment="1" applyProtection="1">
      <alignment horizontal="center"/>
    </xf>
    <xf numFmtId="37" fontId="18" fillId="0" borderId="0" xfId="50" applyNumberFormat="1" applyFont="1" applyFill="1" applyProtection="1"/>
    <xf numFmtId="37" fontId="44" fillId="0" borderId="0" xfId="43" applyNumberFormat="1" applyFont="1" applyFill="1" applyProtection="1"/>
    <xf numFmtId="37" fontId="18" fillId="0" borderId="0" xfId="43" applyNumberFormat="1" applyFont="1" applyFill="1" applyBorder="1" applyProtection="1"/>
    <xf numFmtId="37" fontId="18" fillId="0" borderId="0" xfId="0" applyNumberFormat="1" applyFont="1" applyFill="1" applyBorder="1"/>
    <xf numFmtId="178" fontId="18" fillId="0" borderId="0" xfId="50" applyNumberFormat="1" applyFont="1" applyFill="1" applyProtection="1"/>
    <xf numFmtId="37" fontId="44" fillId="0" borderId="15" xfId="43" applyNumberFormat="1" applyFont="1" applyFill="1" applyBorder="1" applyProtection="1"/>
    <xf numFmtId="37" fontId="18" fillId="0" borderId="17" xfId="42" applyNumberFormat="1" applyFont="1" applyFill="1" applyBorder="1"/>
    <xf numFmtId="39" fontId="18" fillId="0" borderId="0" xfId="43" applyNumberFormat="1" applyFont="1" applyFill="1" applyBorder="1"/>
    <xf numFmtId="0" fontId="44" fillId="0" borderId="0" xfId="42" applyFont="1" applyFill="1" applyBorder="1"/>
    <xf numFmtId="37" fontId="18" fillId="0" borderId="0" xfId="49" applyNumberFormat="1" applyFont="1" applyFill="1" applyAlignment="1" applyProtection="1">
      <alignment horizontal="centerContinuous"/>
    </xf>
    <xf numFmtId="0" fontId="18" fillId="0" borderId="0" xfId="49" applyFont="1" applyFill="1" applyAlignment="1">
      <alignment horizontal="centerContinuous"/>
    </xf>
    <xf numFmtId="0" fontId="18" fillId="0" borderId="0" xfId="49" applyFont="1" applyFill="1" applyAlignment="1" applyProtection="1">
      <alignment horizontal="centerContinuous"/>
    </xf>
    <xf numFmtId="0" fontId="18" fillId="0" borderId="0" xfId="49" applyFont="1" applyFill="1" applyProtection="1"/>
    <xf numFmtId="0" fontId="18" fillId="0" borderId="0" xfId="49" quotePrefix="1" applyFont="1" applyFill="1" applyAlignment="1" applyProtection="1">
      <alignment horizontal="left"/>
    </xf>
    <xf numFmtId="0" fontId="18" fillId="0" borderId="0" xfId="49" applyFont="1" applyFill="1" applyAlignment="1" applyProtection="1">
      <alignment horizontal="left"/>
    </xf>
    <xf numFmtId="0" fontId="18" fillId="0" borderId="15" xfId="49" applyFont="1" applyFill="1" applyBorder="1"/>
    <xf numFmtId="0" fontId="18" fillId="0" borderId="15" xfId="49" applyFont="1" applyFill="1" applyBorder="1" applyAlignment="1" applyProtection="1">
      <alignment horizontal="fill"/>
    </xf>
    <xf numFmtId="0" fontId="18" fillId="0" borderId="2" xfId="49" applyFont="1" applyFill="1" applyBorder="1"/>
    <xf numFmtId="0" fontId="18" fillId="0" borderId="0" xfId="49" applyFont="1" applyFill="1" applyAlignment="1" applyProtection="1">
      <alignment horizontal="center"/>
    </xf>
    <xf numFmtId="0" fontId="42" fillId="0" borderId="0" xfId="49" applyFont="1" applyFill="1" applyAlignment="1" applyProtection="1">
      <alignment horizontal="left"/>
    </xf>
    <xf numFmtId="0" fontId="47" fillId="0" borderId="0" xfId="49" applyFont="1" applyFill="1" applyAlignment="1" applyProtection="1">
      <alignment horizontal="centerContinuous"/>
    </xf>
    <xf numFmtId="0" fontId="42" fillId="0" borderId="0" xfId="49" applyFont="1" applyFill="1" applyAlignment="1" applyProtection="1">
      <alignment horizontal="centerContinuous"/>
    </xf>
    <xf numFmtId="0" fontId="18" fillId="0" borderId="0" xfId="49" applyFont="1" applyFill="1" applyAlignment="1">
      <alignment horizontal="center"/>
    </xf>
    <xf numFmtId="0" fontId="18" fillId="0" borderId="15" xfId="49" quotePrefix="1" applyFont="1" applyFill="1" applyBorder="1" applyAlignment="1" applyProtection="1">
      <alignment horizontal="center"/>
    </xf>
    <xf numFmtId="37" fontId="18" fillId="0" borderId="16" xfId="49" applyNumberFormat="1" applyFont="1" applyFill="1" applyBorder="1" applyProtection="1"/>
    <xf numFmtId="37" fontId="18" fillId="0" borderId="0" xfId="49" applyNumberFormat="1" applyFont="1" applyFill="1" applyAlignment="1" applyProtection="1">
      <alignment horizontal="right"/>
    </xf>
    <xf numFmtId="0" fontId="18" fillId="0" borderId="0" xfId="49" applyFont="1" applyFill="1" applyBorder="1" applyAlignment="1" applyProtection="1">
      <alignment horizontal="centerContinuous"/>
    </xf>
    <xf numFmtId="0" fontId="18" fillId="0" borderId="0" xfId="49" applyFont="1" applyFill="1" applyAlignment="1" applyProtection="1">
      <alignment horizontal="right"/>
    </xf>
    <xf numFmtId="0" fontId="18" fillId="0" borderId="15" xfId="49" applyFont="1" applyFill="1" applyBorder="1" applyAlignment="1" applyProtection="1">
      <alignment horizontal="center"/>
    </xf>
    <xf numFmtId="37" fontId="18" fillId="0" borderId="0" xfId="49" applyNumberFormat="1" applyFont="1" applyFill="1" applyAlignment="1" applyProtection="1">
      <alignment horizontal="center"/>
    </xf>
    <xf numFmtId="37" fontId="47" fillId="0" borderId="0" xfId="49" applyNumberFormat="1" applyFont="1" applyFill="1" applyProtection="1">
      <protection locked="0"/>
    </xf>
    <xf numFmtId="0" fontId="18" fillId="0" borderId="0" xfId="49" quotePrefix="1" applyFont="1" applyFill="1"/>
    <xf numFmtId="0" fontId="44" fillId="0" borderId="0" xfId="49" applyFont="1" applyFill="1" applyAlignment="1" applyProtection="1">
      <alignment horizontal="center"/>
      <protection locked="0"/>
    </xf>
    <xf numFmtId="0" fontId="44" fillId="0" borderId="0" xfId="49" applyFont="1" applyFill="1" applyProtection="1">
      <protection locked="0"/>
    </xf>
    <xf numFmtId="37" fontId="72" fillId="0" borderId="0" xfId="49" applyNumberFormat="1" applyFont="1" applyFill="1" applyProtection="1">
      <protection locked="0"/>
    </xf>
    <xf numFmtId="0" fontId="19" fillId="0" borderId="0" xfId="1489" applyFont="1" applyFill="1"/>
    <xf numFmtId="37" fontId="44" fillId="0" borderId="15" xfId="49" applyNumberFormat="1" applyFont="1" applyFill="1" applyBorder="1" applyProtection="1">
      <protection locked="0"/>
    </xf>
    <xf numFmtId="0" fontId="18" fillId="0" borderId="0" xfId="48" applyFont="1" applyFill="1" applyAlignment="1" applyProtection="1">
      <alignment horizontal="centerContinuous"/>
    </xf>
    <xf numFmtId="0" fontId="18" fillId="0" borderId="2" xfId="48" applyFont="1" applyFill="1" applyBorder="1" applyAlignment="1">
      <alignment horizontal="centerContinuous"/>
    </xf>
    <xf numFmtId="165" fontId="18" fillId="0" borderId="0" xfId="48" applyNumberFormat="1" applyFont="1" applyFill="1" applyBorder="1" applyAlignment="1" applyProtection="1"/>
    <xf numFmtId="0" fontId="18" fillId="0" borderId="0" xfId="48" applyFont="1" applyFill="1" applyAlignment="1" applyProtection="1">
      <alignment horizontal="center"/>
      <protection locked="0"/>
    </xf>
    <xf numFmtId="0" fontId="18" fillId="0" borderId="0" xfId="48" applyFont="1" applyFill="1" applyBorder="1" applyAlignment="1"/>
    <xf numFmtId="37" fontId="49" fillId="0" borderId="0" xfId="48" applyNumberFormat="1" applyFont="1" applyFill="1" applyAlignment="1" applyProtection="1">
      <protection locked="0"/>
    </xf>
    <xf numFmtId="37" fontId="42" fillId="0" borderId="0" xfId="48" applyNumberFormat="1" applyFont="1" applyFill="1" applyAlignment="1" applyProtection="1">
      <protection locked="0"/>
    </xf>
    <xf numFmtId="37" fontId="42" fillId="0" borderId="0" xfId="48" applyNumberFormat="1" applyFont="1" applyFill="1" applyBorder="1" applyProtection="1"/>
    <xf numFmtId="37" fontId="42" fillId="0" borderId="0" xfId="48" applyNumberFormat="1" applyFont="1" applyFill="1" applyProtection="1"/>
    <xf numFmtId="0" fontId="44" fillId="0" borderId="0" xfId="48" applyFont="1" applyFill="1" applyAlignment="1" applyProtection="1">
      <alignment horizontal="left"/>
      <protection locked="0"/>
    </xf>
    <xf numFmtId="165" fontId="18" fillId="0" borderId="0" xfId="48" applyNumberFormat="1" applyFont="1" applyFill="1" applyBorder="1" applyAlignment="1" applyProtection="1">
      <alignment horizontal="center"/>
    </xf>
    <xf numFmtId="0" fontId="18" fillId="0" borderId="0" xfId="48" applyFont="1" applyFill="1" applyAlignment="1">
      <alignment horizontal="left" indent="3"/>
    </xf>
    <xf numFmtId="37" fontId="97" fillId="0" borderId="0" xfId="48" applyNumberFormat="1" applyFont="1" applyFill="1" applyBorder="1" applyAlignment="1"/>
    <xf numFmtId="10" fontId="18" fillId="0" borderId="0" xfId="48" applyNumberFormat="1" applyFont="1" applyFill="1" applyBorder="1" applyAlignment="1" applyProtection="1">
      <alignment horizontal="center"/>
    </xf>
    <xf numFmtId="37" fontId="44" fillId="0" borderId="0" xfId="48" applyNumberFormat="1" applyFont="1" applyFill="1" applyProtection="1">
      <protection locked="0"/>
    </xf>
    <xf numFmtId="165" fontId="18" fillId="0" borderId="0" xfId="48" applyNumberFormat="1" applyFont="1" applyFill="1" applyBorder="1" applyAlignment="1" applyProtection="1">
      <alignment horizontal="right"/>
    </xf>
    <xf numFmtId="0" fontId="18" fillId="0" borderId="0" xfId="48" applyFont="1" applyFill="1" applyBorder="1" applyAlignment="1">
      <alignment horizontal="right"/>
    </xf>
    <xf numFmtId="0" fontId="18" fillId="0" borderId="18" xfId="48" applyFont="1" applyFill="1" applyBorder="1"/>
    <xf numFmtId="0" fontId="42" fillId="0" borderId="0" xfId="48" applyFont="1" applyFill="1" applyAlignment="1">
      <alignment horizontal="left"/>
    </xf>
    <xf numFmtId="37" fontId="18" fillId="0" borderId="0" xfId="48" applyNumberFormat="1" applyFont="1" applyFill="1" applyBorder="1" applyAlignment="1">
      <alignment horizontal="center"/>
    </xf>
    <xf numFmtId="0" fontId="18" fillId="0" borderId="0" xfId="48" quotePrefix="1" applyFont="1" applyFill="1" applyAlignment="1" applyProtection="1">
      <alignment horizontal="left"/>
      <protection locked="0"/>
    </xf>
    <xf numFmtId="5" fontId="166" fillId="0" borderId="0" xfId="1493" applyNumberFormat="1" applyFont="1" applyFill="1"/>
    <xf numFmtId="0" fontId="18" fillId="0" borderId="0" xfId="46" applyFont="1" applyFill="1"/>
    <xf numFmtId="0" fontId="18" fillId="0" borderId="0" xfId="46" applyNumberFormat="1" applyFont="1" applyFill="1" applyAlignment="1">
      <alignment horizontal="center"/>
    </xf>
    <xf numFmtId="0" fontId="18" fillId="0" borderId="0" xfId="46" applyFont="1" applyFill="1" applyAlignment="1" applyProtection="1">
      <alignment horizontal="centerContinuous"/>
    </xf>
    <xf numFmtId="0" fontId="18" fillId="0" borderId="0" xfId="46" applyFont="1" applyFill="1" applyAlignment="1">
      <alignment horizontal="centerContinuous"/>
    </xf>
    <xf numFmtId="0" fontId="18" fillId="0" borderId="0" xfId="46" applyFont="1" applyFill="1" applyBorder="1" applyAlignment="1">
      <alignment horizontal="centerContinuous"/>
    </xf>
    <xf numFmtId="0" fontId="18" fillId="0" borderId="0" xfId="46" applyFont="1" applyFill="1" applyBorder="1"/>
    <xf numFmtId="0" fontId="18" fillId="0" borderId="0" xfId="46" applyFont="1" applyFill="1" applyProtection="1"/>
    <xf numFmtId="0" fontId="18" fillId="0" borderId="0" xfId="46" applyFont="1" applyFill="1" applyBorder="1" applyAlignment="1" applyProtection="1">
      <alignment horizontal="left"/>
    </xf>
    <xf numFmtId="0" fontId="18" fillId="0" borderId="0" xfId="46" applyFont="1" applyFill="1" applyBorder="1" applyAlignment="1" applyProtection="1">
      <alignment horizontal="center"/>
    </xf>
    <xf numFmtId="0" fontId="18" fillId="0" borderId="15" xfId="46" applyFont="1" applyFill="1" applyBorder="1" applyAlignment="1" applyProtection="1">
      <alignment horizontal="fill"/>
    </xf>
    <xf numFmtId="0" fontId="18" fillId="0" borderId="2" xfId="44" applyFont="1" applyFill="1" applyBorder="1" applyAlignment="1" applyProtection="1">
      <alignment horizontal="centerContinuous"/>
    </xf>
    <xf numFmtId="0" fontId="18" fillId="0" borderId="0" xfId="46" applyFont="1" applyFill="1" applyAlignment="1" applyProtection="1">
      <alignment horizontal="center"/>
    </xf>
    <xf numFmtId="37" fontId="18" fillId="0" borderId="0" xfId="44" applyNumberFormat="1" applyFont="1" applyFill="1" applyAlignment="1" applyProtection="1">
      <alignment horizontal="center"/>
    </xf>
    <xf numFmtId="37" fontId="18" fillId="0" borderId="0" xfId="45" applyNumberFormat="1" applyFont="1" applyFill="1" applyAlignment="1" applyProtection="1">
      <alignment horizontal="center"/>
    </xf>
    <xf numFmtId="0" fontId="18" fillId="0" borderId="0" xfId="44" applyFont="1" applyFill="1" applyAlignment="1" applyProtection="1">
      <alignment horizontal="center"/>
    </xf>
    <xf numFmtId="165" fontId="18" fillId="0" borderId="0" xfId="44" applyNumberFormat="1" applyFont="1" applyFill="1" applyAlignment="1" applyProtection="1">
      <alignment horizontal="center"/>
    </xf>
    <xf numFmtId="0" fontId="18" fillId="0" borderId="0" xfId="44" applyFont="1" applyFill="1" applyAlignment="1">
      <alignment horizontal="center"/>
    </xf>
    <xf numFmtId="165" fontId="18" fillId="0" borderId="0" xfId="45" applyNumberFormat="1" applyFont="1" applyFill="1" applyAlignment="1" applyProtection="1">
      <alignment horizontal="center"/>
    </xf>
    <xf numFmtId="0" fontId="18" fillId="0" borderId="0" xfId="45" applyFont="1" applyFill="1" applyAlignment="1">
      <alignment horizontal="center"/>
    </xf>
    <xf numFmtId="0" fontId="18" fillId="0" borderId="15" xfId="46" quotePrefix="1" applyFont="1" applyFill="1" applyBorder="1" applyAlignment="1">
      <alignment horizontal="center"/>
    </xf>
    <xf numFmtId="0" fontId="18" fillId="0" borderId="15" xfId="46" applyFont="1" applyFill="1" applyBorder="1"/>
    <xf numFmtId="0" fontId="18" fillId="0" borderId="15" xfId="44" applyFont="1" applyFill="1" applyBorder="1" applyAlignment="1" applyProtection="1">
      <alignment horizontal="fill"/>
    </xf>
    <xf numFmtId="0" fontId="18" fillId="0" borderId="15" xfId="44" applyFont="1" applyFill="1" applyBorder="1" applyAlignment="1" applyProtection="1">
      <alignment horizontal="center"/>
    </xf>
    <xf numFmtId="0" fontId="18" fillId="0" borderId="15" xfId="45" applyFont="1" applyFill="1" applyBorder="1" applyAlignment="1" applyProtection="1">
      <alignment horizontal="fill"/>
    </xf>
    <xf numFmtId="0" fontId="18" fillId="0" borderId="15" xfId="45" applyFont="1" applyFill="1" applyBorder="1" applyAlignment="1" applyProtection="1">
      <alignment horizontal="center"/>
    </xf>
    <xf numFmtId="0" fontId="18" fillId="0" borderId="0" xfId="45" applyFont="1" applyFill="1" applyAlignment="1" applyProtection="1">
      <alignment horizontal="center"/>
    </xf>
    <xf numFmtId="0" fontId="18" fillId="0" borderId="0" xfId="46" applyFont="1" applyFill="1" applyBorder="1" applyAlignment="1" applyProtection="1">
      <alignment horizontal="fill"/>
    </xf>
    <xf numFmtId="0" fontId="34" fillId="0" borderId="0" xfId="46" applyFont="1" applyFill="1" applyAlignment="1" applyProtection="1">
      <alignment horizontal="left"/>
    </xf>
    <xf numFmtId="0" fontId="18" fillId="0" borderId="0" xfId="46" applyNumberFormat="1" applyFont="1" applyFill="1" applyAlignment="1" applyProtection="1">
      <alignment horizontal="center"/>
    </xf>
    <xf numFmtId="37" fontId="18" fillId="0" borderId="0" xfId="46" applyNumberFormat="1" applyFont="1" applyFill="1" applyProtection="1"/>
    <xf numFmtId="165" fontId="18" fillId="0" borderId="0" xfId="46" applyNumberFormat="1" applyFont="1" applyFill="1" applyAlignment="1" applyProtection="1">
      <alignment horizontal="center"/>
    </xf>
    <xf numFmtId="37" fontId="44" fillId="0" borderId="0" xfId="46" applyNumberFormat="1" applyFont="1" applyFill="1" applyProtection="1">
      <protection locked="0"/>
    </xf>
    <xf numFmtId="37" fontId="44" fillId="0" borderId="0" xfId="46" applyNumberFormat="1" applyFont="1" applyFill="1" applyBorder="1" applyProtection="1">
      <protection locked="0"/>
    </xf>
    <xf numFmtId="37" fontId="18" fillId="0" borderId="0" xfId="46" applyNumberFormat="1" applyFont="1" applyFill="1" applyBorder="1" applyProtection="1"/>
    <xf numFmtId="165" fontId="18" fillId="0" borderId="0" xfId="46" applyNumberFormat="1" applyFont="1" applyFill="1" applyProtection="1"/>
    <xf numFmtId="37" fontId="18" fillId="0" borderId="2" xfId="46" applyNumberFormat="1" applyFont="1" applyFill="1" applyBorder="1" applyProtection="1"/>
    <xf numFmtId="0" fontId="18" fillId="0" borderId="0" xfId="46" applyFont="1" applyFill="1" applyAlignment="1">
      <alignment horizontal="center"/>
    </xf>
    <xf numFmtId="0" fontId="18" fillId="0" borderId="0" xfId="46" quotePrefix="1" applyFont="1" applyFill="1" applyAlignment="1" applyProtection="1">
      <alignment horizontal="left"/>
    </xf>
    <xf numFmtId="0" fontId="44" fillId="0" borderId="0" xfId="45" applyFont="1" applyFill="1"/>
    <xf numFmtId="0" fontId="18" fillId="0" borderId="0" xfId="45" applyFont="1" applyFill="1" applyAlignment="1" applyProtection="1">
      <alignment horizontal="centerContinuous"/>
    </xf>
    <xf numFmtId="0" fontId="18" fillId="0" borderId="0" xfId="45" applyFont="1" applyFill="1" applyAlignment="1">
      <alignment horizontal="centerContinuous"/>
    </xf>
    <xf numFmtId="37" fontId="18" fillId="0" borderId="0" xfId="45" applyNumberFormat="1" applyFont="1" applyFill="1" applyAlignment="1" applyProtection="1">
      <alignment horizontal="centerContinuous"/>
    </xf>
    <xf numFmtId="0" fontId="18" fillId="0" borderId="0" xfId="45" applyFont="1" applyFill="1" applyProtection="1"/>
    <xf numFmtId="0" fontId="18" fillId="0" borderId="0" xfId="45" applyFont="1" applyFill="1" applyAlignment="1" applyProtection="1">
      <alignment horizontal="left"/>
    </xf>
    <xf numFmtId="0" fontId="18" fillId="0" borderId="0" xfId="45" applyFont="1" applyFill="1" applyBorder="1" applyAlignment="1" applyProtection="1">
      <alignment horizontal="fill"/>
    </xf>
    <xf numFmtId="0" fontId="18" fillId="0" borderId="0" xfId="44" applyFont="1" applyFill="1" applyAlignment="1">
      <alignment horizontal="centerContinuous"/>
    </xf>
    <xf numFmtId="37" fontId="18" fillId="0" borderId="0" xfId="45" applyNumberFormat="1" applyFont="1" applyFill="1" applyProtection="1"/>
    <xf numFmtId="0" fontId="18" fillId="0" borderId="0" xfId="42" applyFont="1" applyFill="1" applyAlignment="1" applyProtection="1">
      <alignment horizontal="left"/>
    </xf>
    <xf numFmtId="0" fontId="18" fillId="0" borderId="0" xfId="45" quotePrefix="1" applyFont="1" applyFill="1"/>
    <xf numFmtId="37" fontId="44" fillId="0" borderId="0" xfId="45" applyNumberFormat="1" applyFont="1" applyFill="1"/>
    <xf numFmtId="37" fontId="18" fillId="0" borderId="0" xfId="42" applyNumberFormat="1" applyFont="1" applyFill="1" applyProtection="1"/>
    <xf numFmtId="37" fontId="44" fillId="0" borderId="15" xfId="45" applyNumberFormat="1" applyFont="1" applyFill="1" applyBorder="1"/>
    <xf numFmtId="37" fontId="44" fillId="0" borderId="67" xfId="45" applyNumberFormat="1" applyFont="1" applyFill="1" applyBorder="1"/>
    <xf numFmtId="179" fontId="18" fillId="0" borderId="0" xfId="45" applyNumberFormat="1" applyFont="1" applyFill="1" applyProtection="1">
      <protection locked="0"/>
    </xf>
    <xf numFmtId="179" fontId="44" fillId="0" borderId="0" xfId="45" applyNumberFormat="1" applyFont="1" applyFill="1" applyProtection="1">
      <protection locked="0"/>
    </xf>
    <xf numFmtId="37" fontId="18" fillId="0" borderId="17" xfId="45" applyNumberFormat="1" applyFont="1" applyFill="1" applyBorder="1" applyProtection="1"/>
    <xf numFmtId="178" fontId="44" fillId="0" borderId="0" xfId="45" applyNumberFormat="1" applyFont="1" applyFill="1" applyProtection="1">
      <protection locked="0"/>
    </xf>
    <xf numFmtId="37" fontId="44" fillId="0" borderId="0" xfId="45" applyNumberFormat="1" applyFont="1" applyFill="1" applyProtection="1">
      <protection locked="0"/>
    </xf>
    <xf numFmtId="39" fontId="44" fillId="0" borderId="0" xfId="45" applyNumberFormat="1" applyFont="1" applyFill="1" applyProtection="1">
      <protection locked="0"/>
    </xf>
    <xf numFmtId="39" fontId="18" fillId="0" borderId="0" xfId="45" applyNumberFormat="1" applyFont="1" applyFill="1" applyProtection="1"/>
    <xf numFmtId="0" fontId="18" fillId="0" borderId="0" xfId="45" applyFont="1" applyFill="1" applyAlignment="1">
      <alignment horizontal="right"/>
    </xf>
    <xf numFmtId="39" fontId="18" fillId="0" borderId="0" xfId="45" applyNumberFormat="1" applyFont="1" applyFill="1"/>
    <xf numFmtId="0" fontId="18" fillId="0" borderId="0" xfId="44" applyFont="1" applyFill="1" applyAlignment="1" applyProtection="1">
      <alignment horizontal="centerContinuous"/>
    </xf>
    <xf numFmtId="37" fontId="18" fillId="0" borderId="0" xfId="44" applyNumberFormat="1" applyFont="1" applyFill="1" applyAlignment="1" applyProtection="1">
      <alignment horizontal="centerContinuous"/>
    </xf>
    <xf numFmtId="0" fontId="18" fillId="0" borderId="0" xfId="44" applyFont="1" applyFill="1" applyProtection="1"/>
    <xf numFmtId="0" fontId="18" fillId="0" borderId="0" xfId="44" applyFont="1" applyFill="1" applyAlignment="1" applyProtection="1">
      <alignment horizontal="left"/>
    </xf>
    <xf numFmtId="0" fontId="18" fillId="0" borderId="0" xfId="44" applyFont="1" applyFill="1" applyBorder="1" applyAlignment="1" applyProtection="1">
      <alignment horizontal="fill"/>
    </xf>
    <xf numFmtId="0" fontId="18" fillId="0" borderId="0" xfId="42" applyFont="1" applyFill="1" applyBorder="1" applyAlignment="1">
      <alignment horizontal="centerContinuous"/>
    </xf>
    <xf numFmtId="0" fontId="18" fillId="0" borderId="0" xfId="44" applyFont="1" applyFill="1" applyBorder="1" applyAlignment="1">
      <alignment horizontal="center"/>
    </xf>
    <xf numFmtId="39" fontId="18" fillId="0" borderId="0" xfId="42" applyNumberFormat="1" applyFont="1" applyFill="1" applyBorder="1"/>
    <xf numFmtId="37" fontId="44" fillId="0" borderId="0" xfId="44" applyNumberFormat="1" applyFont="1" applyFill="1" applyBorder="1"/>
    <xf numFmtId="39" fontId="18" fillId="0" borderId="0" xfId="44" applyNumberFormat="1" applyFont="1" applyFill="1" applyBorder="1"/>
    <xf numFmtId="37" fontId="18" fillId="0" borderId="0" xfId="44" applyNumberFormat="1" applyFont="1" applyFill="1" applyBorder="1"/>
    <xf numFmtId="0" fontId="18" fillId="0" borderId="0" xfId="50" applyFont="1" applyFill="1" applyBorder="1" applyAlignment="1" applyProtection="1">
      <alignment horizontal="left"/>
    </xf>
    <xf numFmtId="0" fontId="18" fillId="0" borderId="0" xfId="43" applyFont="1" applyFill="1" applyAlignment="1" applyProtection="1">
      <alignment horizontal="centerContinuous"/>
    </xf>
    <xf numFmtId="37" fontId="18" fillId="0" borderId="0" xfId="43" applyNumberFormat="1" applyFont="1" applyFill="1" applyAlignment="1" applyProtection="1">
      <alignment horizontal="centerContinuous"/>
    </xf>
    <xf numFmtId="0" fontId="18" fillId="0" borderId="0" xfId="43" applyFont="1" applyFill="1" applyProtection="1"/>
    <xf numFmtId="0" fontId="42" fillId="0" borderId="0" xfId="43" applyFont="1" applyFill="1"/>
    <xf numFmtId="37" fontId="18" fillId="0" borderId="0" xfId="43" applyNumberFormat="1" applyFont="1" applyFill="1" applyBorder="1"/>
    <xf numFmtId="39" fontId="18" fillId="0" borderId="0" xfId="43" applyNumberFormat="1" applyFont="1" applyFill="1"/>
    <xf numFmtId="0" fontId="18" fillId="0" borderId="0" xfId="42" applyFont="1" applyFill="1" applyAlignment="1" applyProtection="1">
      <alignment horizontal="centerContinuous"/>
    </xf>
    <xf numFmtId="0" fontId="18" fillId="0" borderId="0" xfId="42" applyFont="1" applyFill="1" applyAlignment="1">
      <alignment horizontal="centerContinuous"/>
    </xf>
    <xf numFmtId="37" fontId="18" fillId="0" borderId="0" xfId="42" applyNumberFormat="1" applyFont="1" applyFill="1" applyAlignment="1" applyProtection="1">
      <alignment horizontal="centerContinuous"/>
    </xf>
    <xf numFmtId="0" fontId="18" fillId="0" borderId="0" xfId="42" applyFont="1" applyFill="1" applyProtection="1"/>
    <xf numFmtId="0" fontId="18" fillId="0" borderId="0" xfId="42" quotePrefix="1" applyFont="1" applyFill="1" applyAlignment="1" applyProtection="1">
      <alignment horizontal="left"/>
    </xf>
    <xf numFmtId="0" fontId="18" fillId="0" borderId="15" xfId="42" applyFont="1" applyFill="1" applyBorder="1" applyAlignment="1" applyProtection="1">
      <alignment horizontal="fill"/>
    </xf>
    <xf numFmtId="0" fontId="18" fillId="0" borderId="0" xfId="42" applyFont="1" applyFill="1" applyBorder="1" applyAlignment="1" applyProtection="1">
      <alignment horizontal="fill"/>
    </xf>
    <xf numFmtId="0" fontId="18" fillId="0" borderId="2" xfId="42" applyFont="1" applyFill="1" applyBorder="1" applyAlignment="1" applyProtection="1">
      <alignment horizontal="centerContinuous"/>
    </xf>
    <xf numFmtId="0" fontId="18" fillId="0" borderId="15" xfId="42" applyFont="1" applyFill="1" applyBorder="1" applyAlignment="1" applyProtection="1">
      <alignment horizontal="centerContinuous"/>
    </xf>
    <xf numFmtId="0" fontId="18" fillId="0" borderId="0" xfId="42" applyFont="1" applyFill="1" applyAlignment="1" applyProtection="1">
      <alignment horizontal="center"/>
    </xf>
    <xf numFmtId="37" fontId="18" fillId="0" borderId="0" xfId="42" applyNumberFormat="1" applyFont="1" applyFill="1" applyAlignment="1" applyProtection="1">
      <alignment horizontal="center"/>
    </xf>
    <xf numFmtId="188" fontId="18" fillId="0" borderId="15" xfId="42" applyNumberFormat="1" applyFont="1" applyFill="1" applyBorder="1" applyAlignment="1" applyProtection="1">
      <alignment horizontal="center"/>
    </xf>
    <xf numFmtId="188" fontId="18" fillId="0" borderId="15" xfId="42" applyNumberFormat="1" applyFont="1" applyFill="1" applyBorder="1" applyAlignment="1" applyProtection="1"/>
    <xf numFmtId="0" fontId="42" fillId="0" borderId="0" xfId="42" applyFont="1" applyFill="1"/>
    <xf numFmtId="37" fontId="44" fillId="0" borderId="0" xfId="0" applyNumberFormat="1" applyFont="1" applyFill="1" applyBorder="1"/>
    <xf numFmtId="37" fontId="18" fillId="0" borderId="0" xfId="42" applyNumberFormat="1" applyFont="1" applyFill="1"/>
    <xf numFmtId="0" fontId="18" fillId="0" borderId="0" xfId="42" applyFont="1" applyFill="1" applyBorder="1" applyAlignment="1">
      <alignment horizontal="left" indent="1"/>
    </xf>
    <xf numFmtId="37" fontId="18" fillId="0" borderId="2" xfId="42" applyNumberFormat="1" applyFont="1" applyFill="1" applyBorder="1"/>
    <xf numFmtId="0" fontId="112" fillId="0" borderId="0" xfId="44" applyFont="1" applyFill="1"/>
    <xf numFmtId="0" fontId="112" fillId="0" borderId="0" xfId="42" applyFont="1" applyFill="1" applyBorder="1"/>
    <xf numFmtId="0" fontId="112" fillId="0" borderId="0" xfId="42" applyFont="1" applyFill="1"/>
    <xf numFmtId="10" fontId="116" fillId="0" borderId="0" xfId="40" applyNumberFormat="1" applyFont="1" applyFill="1" applyBorder="1" applyProtection="1"/>
    <xf numFmtId="37" fontId="72" fillId="0" borderId="0" xfId="40" applyNumberFormat="1" applyFont="1" applyFill="1" applyBorder="1"/>
    <xf numFmtId="37" fontId="72" fillId="0" borderId="0" xfId="40" applyNumberFormat="1" applyFont="1" applyFill="1"/>
    <xf numFmtId="0" fontId="18" fillId="0" borderId="0" xfId="40" applyFont="1" applyFill="1" applyAlignment="1">
      <alignment horizontal="right"/>
    </xf>
    <xf numFmtId="10" fontId="18" fillId="0" borderId="0" xfId="40" applyNumberFormat="1" applyFont="1" applyFill="1"/>
    <xf numFmtId="37" fontId="44" fillId="0" borderId="15" xfId="41" applyNumberFormat="1" applyFont="1" applyFill="1" applyBorder="1" applyProtection="1">
      <protection locked="0"/>
    </xf>
    <xf numFmtId="37" fontId="44" fillId="0" borderId="15" xfId="41" applyNumberFormat="1" applyFont="1" applyFill="1" applyBorder="1" applyProtection="1"/>
    <xf numFmtId="37" fontId="72" fillId="0" borderId="15" xfId="41" applyNumberFormat="1" applyFont="1" applyFill="1" applyBorder="1" applyProtection="1">
      <protection locked="0"/>
    </xf>
    <xf numFmtId="180" fontId="72" fillId="0" borderId="15" xfId="41" applyNumberFormat="1" applyFont="1" applyFill="1" applyBorder="1"/>
    <xf numFmtId="0" fontId="18" fillId="0" borderId="0" xfId="39" applyFont="1" applyFill="1" applyAlignment="1">
      <alignment horizontal="centerContinuous"/>
    </xf>
    <xf numFmtId="0" fontId="18" fillId="0" borderId="0" xfId="39" applyFont="1" applyFill="1" applyAlignment="1" applyProtection="1">
      <alignment horizontal="centerContinuous"/>
    </xf>
    <xf numFmtId="0" fontId="18" fillId="0" borderId="0" xfId="39" applyFont="1" applyFill="1" applyProtection="1"/>
    <xf numFmtId="0" fontId="18" fillId="0" borderId="15" xfId="39" applyFont="1" applyFill="1" applyBorder="1" applyAlignment="1" applyProtection="1">
      <alignment horizontal="fill"/>
    </xf>
    <xf numFmtId="0" fontId="18" fillId="0" borderId="0" xfId="39" applyFont="1" applyFill="1" applyAlignment="1" applyProtection="1">
      <alignment horizontal="center"/>
    </xf>
    <xf numFmtId="37" fontId="18" fillId="0" borderId="0" xfId="39" applyNumberFormat="1" applyFont="1" applyFill="1" applyAlignment="1" applyProtection="1">
      <alignment horizontal="left"/>
    </xf>
    <xf numFmtId="5" fontId="18" fillId="0" borderId="0" xfId="39" applyNumberFormat="1" applyFont="1" applyFill="1" applyProtection="1"/>
    <xf numFmtId="0" fontId="18" fillId="0" borderId="0" xfId="38" applyFont="1" applyFill="1" applyAlignment="1" applyProtection="1">
      <alignment horizontal="left"/>
    </xf>
    <xf numFmtId="0" fontId="18" fillId="0" borderId="0" xfId="39" applyFont="1" applyFill="1" applyAlignment="1">
      <alignment horizontal="center"/>
    </xf>
    <xf numFmtId="0" fontId="18" fillId="0" borderId="15" xfId="39" applyFont="1" applyFill="1" applyBorder="1" applyAlignment="1" applyProtection="1">
      <alignment horizontal="center"/>
    </xf>
    <xf numFmtId="0" fontId="18" fillId="0" borderId="15" xfId="39" applyFont="1" applyFill="1" applyBorder="1"/>
    <xf numFmtId="0" fontId="33" fillId="0" borderId="0" xfId="39" applyFont="1" applyFill="1"/>
    <xf numFmtId="37" fontId="44" fillId="0" borderId="0" xfId="39" applyNumberFormat="1" applyFont="1" applyFill="1" applyProtection="1"/>
    <xf numFmtId="166" fontId="18" fillId="0" borderId="0" xfId="39" applyNumberFormat="1" applyFont="1" applyFill="1" applyProtection="1"/>
    <xf numFmtId="5" fontId="44" fillId="0" borderId="0" xfId="39" applyNumberFormat="1" applyFont="1" applyFill="1" applyProtection="1"/>
    <xf numFmtId="165" fontId="18" fillId="0" borderId="0" xfId="39" applyNumberFormat="1" applyFont="1" applyFill="1" applyProtection="1"/>
    <xf numFmtId="37" fontId="18" fillId="0" borderId="0" xfId="39" applyNumberFormat="1" applyFont="1" applyFill="1"/>
    <xf numFmtId="165" fontId="18" fillId="0" borderId="0" xfId="39" applyNumberFormat="1" applyFont="1" applyFill="1" applyAlignment="1" applyProtection="1">
      <alignment horizontal="center"/>
    </xf>
    <xf numFmtId="0" fontId="18" fillId="0" borderId="0" xfId="38" applyFont="1" applyFill="1" applyAlignment="1" applyProtection="1">
      <alignment horizontal="centerContinuous"/>
    </xf>
    <xf numFmtId="0" fontId="18" fillId="0" borderId="0" xfId="38" applyFont="1" applyFill="1" applyAlignment="1">
      <alignment horizontal="centerContinuous"/>
    </xf>
    <xf numFmtId="0" fontId="18" fillId="0" borderId="0" xfId="38" applyFont="1" applyFill="1"/>
    <xf numFmtId="0" fontId="18" fillId="0" borderId="0" xfId="38" applyFont="1" applyFill="1" applyProtection="1"/>
    <xf numFmtId="0" fontId="18" fillId="0" borderId="15" xfId="38" applyFont="1" applyFill="1" applyBorder="1" applyAlignment="1" applyProtection="1">
      <alignment horizontal="fill"/>
    </xf>
    <xf numFmtId="0" fontId="18" fillId="0" borderId="0" xfId="38" applyFont="1" applyFill="1" applyBorder="1" applyAlignment="1" applyProtection="1">
      <alignment horizontal="fill"/>
    </xf>
    <xf numFmtId="0" fontId="18" fillId="0" borderId="0" xfId="38" applyFont="1" applyFill="1" applyAlignment="1" applyProtection="1">
      <alignment horizontal="center"/>
    </xf>
    <xf numFmtId="0" fontId="18" fillId="0" borderId="0" xfId="38" applyFont="1" applyFill="1" applyBorder="1"/>
    <xf numFmtId="0" fontId="44" fillId="0" borderId="0" xfId="38" applyFont="1" applyFill="1" applyAlignment="1" applyProtection="1">
      <alignment horizontal="center"/>
      <protection locked="0"/>
    </xf>
    <xf numFmtId="0" fontId="44" fillId="0" borderId="0" xfId="38" applyFont="1" applyFill="1" applyProtection="1">
      <protection locked="0"/>
    </xf>
    <xf numFmtId="0" fontId="18" fillId="0" borderId="0" xfId="32" applyFont="1" applyFill="1" applyAlignment="1" applyProtection="1">
      <alignment horizontal="centerContinuous"/>
    </xf>
    <xf numFmtId="0" fontId="18" fillId="0" borderId="0" xfId="5" applyFont="1" applyFill="1" applyBorder="1" applyAlignment="1" applyProtection="1">
      <alignment horizontal="left"/>
    </xf>
    <xf numFmtId="0" fontId="18" fillId="0" borderId="18" xfId="5" applyFont="1" applyFill="1" applyBorder="1"/>
    <xf numFmtId="0" fontId="18" fillId="0" borderId="18" xfId="5" applyFont="1" applyFill="1" applyBorder="1" applyAlignment="1">
      <alignment horizontal="center"/>
    </xf>
    <xf numFmtId="0" fontId="18" fillId="0" borderId="0" xfId="5" applyFont="1" applyFill="1" applyBorder="1" applyProtection="1"/>
    <xf numFmtId="0" fontId="18" fillId="0" borderId="0" xfId="35" applyFont="1" applyFill="1" applyAlignment="1" applyProtection="1">
      <alignment horizontal="left"/>
    </xf>
    <xf numFmtId="0" fontId="44" fillId="0" borderId="0" xfId="35" applyFont="1" applyFill="1" applyAlignment="1" applyProtection="1">
      <alignment horizontal="center"/>
    </xf>
    <xf numFmtId="0" fontId="18" fillId="0" borderId="0" xfId="35" applyFont="1" applyFill="1"/>
    <xf numFmtId="37" fontId="18" fillId="0" borderId="0" xfId="5" applyNumberFormat="1" applyFont="1" applyFill="1" applyAlignment="1" applyProtection="1">
      <alignment horizontal="center"/>
    </xf>
    <xf numFmtId="0" fontId="42" fillId="0" borderId="0" xfId="5" applyFont="1" applyFill="1" applyBorder="1" applyAlignment="1">
      <alignment horizontal="center"/>
    </xf>
    <xf numFmtId="37" fontId="97" fillId="0" borderId="0" xfId="5" applyNumberFormat="1" applyFont="1" applyFill="1" applyBorder="1" applyAlignment="1">
      <alignment horizontal="right"/>
    </xf>
    <xf numFmtId="37" fontId="18" fillId="0" borderId="0" xfId="5" applyNumberFormat="1" applyFont="1" applyFill="1" applyBorder="1" applyAlignment="1">
      <alignment horizontal="left"/>
    </xf>
    <xf numFmtId="0" fontId="18" fillId="0" borderId="0" xfId="5" quotePrefix="1" applyFont="1" applyFill="1" applyBorder="1"/>
    <xf numFmtId="0" fontId="42" fillId="0" borderId="0" xfId="5" applyFont="1" applyFill="1" applyBorder="1"/>
    <xf numFmtId="0" fontId="18" fillId="0" borderId="170" xfId="5" applyFont="1" applyFill="1" applyBorder="1" applyAlignment="1">
      <alignment horizontal="centerContinuous"/>
    </xf>
    <xf numFmtId="0" fontId="18" fillId="0" borderId="151" xfId="5" applyFont="1" applyFill="1" applyBorder="1" applyAlignment="1">
      <alignment horizontal="centerContinuous"/>
    </xf>
    <xf numFmtId="0" fontId="18" fillId="0" borderId="171" xfId="5" applyFont="1" applyFill="1" applyBorder="1" applyAlignment="1">
      <alignment horizontal="centerContinuous"/>
    </xf>
    <xf numFmtId="0" fontId="18" fillId="0" borderId="168" xfId="5" applyFont="1" applyFill="1" applyBorder="1"/>
    <xf numFmtId="0" fontId="18" fillId="0" borderId="168" xfId="5" applyFont="1" applyFill="1" applyBorder="1" applyAlignment="1">
      <alignment horizontal="center"/>
    </xf>
    <xf numFmtId="0" fontId="18" fillId="0" borderId="0" xfId="26" quotePrefix="1" applyFont="1" applyFill="1" applyAlignment="1" applyProtection="1">
      <alignment horizontal="left"/>
    </xf>
    <xf numFmtId="0" fontId="18" fillId="0" borderId="0" xfId="27" applyFont="1" applyFill="1"/>
    <xf numFmtId="0" fontId="95" fillId="0" borderId="0" xfId="0" applyFont="1" applyFill="1"/>
    <xf numFmtId="37" fontId="18" fillId="0" borderId="0" xfId="5" applyNumberFormat="1" applyFont="1" applyFill="1" applyBorder="1" applyAlignment="1" applyProtection="1">
      <alignment horizontal="center"/>
    </xf>
    <xf numFmtId="42" fontId="0" fillId="0" borderId="16" xfId="0" applyNumberFormat="1" applyFill="1" applyBorder="1"/>
    <xf numFmtId="0" fontId="18" fillId="0" borderId="0" xfId="0" quotePrefix="1" applyFont="1" applyFill="1"/>
    <xf numFmtId="0" fontId="18" fillId="0" borderId="0" xfId="26" applyFont="1" applyFill="1" applyAlignment="1">
      <alignment horizontal="center"/>
    </xf>
    <xf numFmtId="0" fontId="18" fillId="0" borderId="0" xfId="26" quotePrefix="1" applyFont="1" applyFill="1" applyAlignment="1">
      <alignment horizontal="center"/>
    </xf>
    <xf numFmtId="42" fontId="18" fillId="0" borderId="0" xfId="5" applyNumberFormat="1" applyFont="1" applyFill="1" applyBorder="1"/>
    <xf numFmtId="0" fontId="95" fillId="0" borderId="0" xfId="5" applyFont="1" applyFill="1" applyBorder="1"/>
    <xf numFmtId="0" fontId="18" fillId="0" borderId="0" xfId="5" applyFont="1" applyFill="1" applyBorder="1" applyAlignment="1">
      <alignment horizontal="left"/>
    </xf>
    <xf numFmtId="42" fontId="18" fillId="0" borderId="2" xfId="5" applyNumberFormat="1" applyFont="1" applyFill="1" applyBorder="1" applyAlignment="1">
      <alignment horizontal="right"/>
    </xf>
    <xf numFmtId="37" fontId="42" fillId="0" borderId="0" xfId="0" applyNumberFormat="1" applyFont="1" applyFill="1" applyBorder="1" applyAlignment="1">
      <alignment horizontal="center"/>
    </xf>
    <xf numFmtId="42" fontId="18" fillId="0" borderId="0" xfId="0" applyNumberFormat="1" applyFont="1" applyFill="1" applyBorder="1" applyAlignment="1">
      <alignment horizontal="right"/>
    </xf>
    <xf numFmtId="42" fontId="18" fillId="0" borderId="0" xfId="5" applyNumberFormat="1" applyFont="1" applyFill="1" applyBorder="1" applyAlignment="1" applyProtection="1">
      <alignment horizontal="center"/>
    </xf>
    <xf numFmtId="37" fontId="72" fillId="0" borderId="15" xfId="5" applyNumberFormat="1" applyFont="1" applyFill="1" applyBorder="1"/>
    <xf numFmtId="37" fontId="18" fillId="0" borderId="0" xfId="0" applyNumberFormat="1" applyFont="1" applyFill="1" applyBorder="1" applyAlignment="1">
      <alignment horizontal="left"/>
    </xf>
    <xf numFmtId="42" fontId="18" fillId="0" borderId="17" xfId="5" applyNumberFormat="1" applyFont="1" applyFill="1" applyBorder="1" applyAlignment="1" applyProtection="1">
      <alignment horizontal="center"/>
    </xf>
    <xf numFmtId="0" fontId="18" fillId="0" borderId="0" xfId="25" applyFont="1" applyFill="1" applyAlignment="1" applyProtection="1">
      <alignment horizontal="left"/>
    </xf>
    <xf numFmtId="0" fontId="18" fillId="0" borderId="0" xfId="32" applyFont="1" applyFill="1" applyBorder="1"/>
    <xf numFmtId="0" fontId="45" fillId="0" borderId="0" xfId="0" applyFont="1" applyFill="1" applyBorder="1"/>
    <xf numFmtId="200" fontId="18" fillId="0" borderId="0" xfId="0" applyNumberFormat="1" applyFont="1" applyFill="1" applyBorder="1"/>
    <xf numFmtId="0" fontId="42" fillId="0" borderId="0" xfId="25" applyFont="1" applyFill="1"/>
    <xf numFmtId="0" fontId="42" fillId="0" borderId="0" xfId="25" applyFont="1" applyFill="1" applyAlignment="1" applyProtection="1">
      <alignment horizontal="center"/>
    </xf>
    <xf numFmtId="0" fontId="42" fillId="0" borderId="0" xfId="26" applyFont="1" applyFill="1" applyAlignment="1" applyProtection="1">
      <alignment horizontal="center"/>
    </xf>
    <xf numFmtId="179" fontId="18" fillId="0" borderId="0" xfId="25" applyNumberFormat="1" applyFont="1" applyFill="1" applyProtection="1"/>
    <xf numFmtId="173" fontId="18" fillId="0" borderId="0" xfId="26" applyNumberFormat="1" applyFont="1" applyFill="1" applyProtection="1"/>
    <xf numFmtId="39" fontId="18" fillId="0" borderId="0" xfId="5" applyNumberFormat="1" applyFont="1" applyFill="1" applyBorder="1" applyAlignment="1">
      <alignment horizontal="center"/>
    </xf>
    <xf numFmtId="180" fontId="42" fillId="0" borderId="0" xfId="5" applyNumberFormat="1" applyFont="1" applyFill="1" applyBorder="1" applyAlignment="1" applyProtection="1">
      <alignment horizontal="right"/>
    </xf>
    <xf numFmtId="39" fontId="44" fillId="0" borderId="0" xfId="5" applyNumberFormat="1" applyFont="1" applyFill="1" applyBorder="1" applyAlignment="1" applyProtection="1">
      <alignment horizontal="right"/>
      <protection locked="0"/>
    </xf>
    <xf numFmtId="180" fontId="42" fillId="0" borderId="0" xfId="5" applyNumberFormat="1" applyFont="1" applyFill="1"/>
    <xf numFmtId="0" fontId="42" fillId="0" borderId="0" xfId="26" applyFont="1" applyFill="1" applyAlignment="1">
      <alignment horizontal="center"/>
    </xf>
    <xf numFmtId="0" fontId="18" fillId="0" borderId="0" xfId="26" applyFont="1" applyFill="1" applyAlignment="1"/>
    <xf numFmtId="180" fontId="18" fillId="0" borderId="0" xfId="26" applyNumberFormat="1" applyFont="1" applyFill="1" applyAlignment="1"/>
    <xf numFmtId="10" fontId="18" fillId="0" borderId="0" xfId="26" applyNumberFormat="1" applyFont="1" applyFill="1" applyAlignment="1"/>
    <xf numFmtId="180" fontId="18" fillId="0" borderId="15" xfId="26" applyNumberFormat="1" applyFont="1" applyFill="1" applyBorder="1" applyAlignment="1"/>
    <xf numFmtId="10" fontId="18" fillId="0" borderId="15" xfId="26" applyNumberFormat="1" applyFont="1" applyFill="1" applyBorder="1" applyAlignment="1"/>
    <xf numFmtId="180" fontId="18" fillId="0" borderId="0" xfId="26" applyNumberFormat="1" applyFont="1" applyFill="1"/>
    <xf numFmtId="10" fontId="18" fillId="0" borderId="0" xfId="26" applyNumberFormat="1" applyFont="1" applyFill="1"/>
    <xf numFmtId="166" fontId="18" fillId="0" borderId="0" xfId="33" applyNumberFormat="1" applyFont="1" applyFill="1" applyBorder="1" applyProtection="1"/>
    <xf numFmtId="194" fontId="101" fillId="0" borderId="0" xfId="23" applyNumberFormat="1" applyFont="1" applyFill="1" applyBorder="1" applyProtection="1"/>
    <xf numFmtId="0" fontId="18" fillId="0" borderId="0" xfId="5" applyFont="1" applyFill="1" applyBorder="1" applyAlignment="1" applyProtection="1">
      <alignment horizontal="right"/>
    </xf>
    <xf numFmtId="194" fontId="18" fillId="0" borderId="0" xfId="5" applyNumberFormat="1" applyFont="1" applyFill="1" applyBorder="1" applyAlignment="1" applyProtection="1">
      <alignment horizontal="right"/>
    </xf>
    <xf numFmtId="0" fontId="44" fillId="0" borderId="0" xfId="32" applyFont="1" applyFill="1" applyAlignment="1" applyProtection="1">
      <alignment horizontal="center"/>
    </xf>
    <xf numFmtId="0" fontId="18" fillId="0" borderId="0" xfId="69" applyFont="1" applyFill="1"/>
    <xf numFmtId="37" fontId="18" fillId="0" borderId="0" xfId="26" applyNumberFormat="1" applyFont="1" applyFill="1" applyAlignment="1" applyProtection="1">
      <alignment horizontal="left"/>
    </xf>
    <xf numFmtId="0" fontId="133" fillId="0" borderId="0" xfId="0" applyFont="1" applyFill="1" applyAlignment="1">
      <alignment horizontal="center"/>
    </xf>
    <xf numFmtId="173" fontId="18" fillId="0" borderId="0" xfId="69" applyNumberFormat="1" applyFont="1" applyFill="1"/>
    <xf numFmtId="0" fontId="18" fillId="0" borderId="0" xfId="69" applyFont="1" applyFill="1" applyAlignment="1"/>
    <xf numFmtId="0" fontId="18" fillId="0" borderId="0" xfId="69" applyFont="1" applyFill="1" applyAlignment="1">
      <alignment horizontal="left" indent="1"/>
    </xf>
    <xf numFmtId="42" fontId="18" fillId="0" borderId="0" xfId="69" applyNumberFormat="1" applyFont="1" applyFill="1"/>
    <xf numFmtId="37" fontId="18" fillId="0" borderId="0" xfId="69" applyNumberFormat="1" applyFont="1" applyFill="1"/>
    <xf numFmtId="37" fontId="18" fillId="0" borderId="0" xfId="69" applyNumberFormat="1" applyFont="1" applyFill="1" applyBorder="1"/>
    <xf numFmtId="0" fontId="18" fillId="0" borderId="0" xfId="69" applyFont="1" applyFill="1" applyBorder="1" applyAlignment="1">
      <alignment horizontal="left"/>
    </xf>
    <xf numFmtId="0" fontId="18" fillId="0" borderId="0" xfId="69" applyFont="1" applyFill="1" applyBorder="1" applyAlignment="1">
      <alignment horizontal="right"/>
    </xf>
    <xf numFmtId="173" fontId="18" fillId="0" borderId="0" xfId="69" applyNumberFormat="1" applyFont="1" applyFill="1" applyBorder="1"/>
    <xf numFmtId="42" fontId="18" fillId="0" borderId="0" xfId="69" applyNumberFormat="1" applyFont="1" applyFill="1" applyBorder="1"/>
    <xf numFmtId="42" fontId="72" fillId="0" borderId="15" xfId="69" applyNumberFormat="1" applyFont="1" applyFill="1" applyBorder="1"/>
    <xf numFmtId="0" fontId="4" fillId="0" borderId="0" xfId="0" applyFont="1" applyFill="1"/>
    <xf numFmtId="0" fontId="2" fillId="0" borderId="0" xfId="0" applyFont="1" applyFill="1"/>
    <xf numFmtId="0" fontId="18" fillId="0" borderId="0" xfId="23" applyFont="1" applyFill="1" applyAlignment="1" applyProtection="1">
      <alignment horizontal="centerContinuous"/>
    </xf>
    <xf numFmtId="0" fontId="18" fillId="0" borderId="0" xfId="23" applyFont="1" applyFill="1" applyAlignment="1">
      <alignment horizontal="centerContinuous"/>
    </xf>
    <xf numFmtId="0" fontId="18" fillId="0" borderId="15" xfId="23" applyFont="1" applyFill="1" applyBorder="1" applyAlignment="1" applyProtection="1">
      <alignment horizontal="fill"/>
    </xf>
    <xf numFmtId="0" fontId="18" fillId="0" borderId="0" xfId="23" applyFont="1" applyFill="1" applyAlignment="1" applyProtection="1">
      <alignment horizontal="center"/>
    </xf>
    <xf numFmtId="0" fontId="42" fillId="0" borderId="0" xfId="32" applyFont="1" applyFill="1" applyAlignment="1">
      <alignment horizontal="center"/>
    </xf>
    <xf numFmtId="43" fontId="0" fillId="0" borderId="0" xfId="1" applyNumberFormat="1" applyFont="1" applyFill="1"/>
    <xf numFmtId="17" fontId="18" fillId="0" borderId="0" xfId="0" applyNumberFormat="1" applyFont="1" applyFill="1"/>
    <xf numFmtId="0" fontId="18" fillId="0" borderId="0" xfId="36" applyFont="1" applyFill="1" applyProtection="1"/>
    <xf numFmtId="0" fontId="18" fillId="0" borderId="0" xfId="36" applyFont="1" applyFill="1"/>
    <xf numFmtId="0" fontId="18" fillId="0" borderId="0" xfId="28" applyFont="1" applyFill="1"/>
    <xf numFmtId="173" fontId="0" fillId="0" borderId="0" xfId="65" applyNumberFormat="1" applyFont="1" applyFill="1" applyAlignment="1">
      <alignment horizontal="center"/>
    </xf>
    <xf numFmtId="42" fontId="0" fillId="0" borderId="15" xfId="0" applyNumberFormat="1" applyFill="1" applyBorder="1"/>
    <xf numFmtId="42" fontId="0" fillId="0" borderId="17" xfId="0" applyNumberFormat="1" applyFill="1" applyBorder="1"/>
    <xf numFmtId="0" fontId="18" fillId="0" borderId="0" xfId="28" applyFont="1" applyFill="1" applyAlignment="1" applyProtection="1">
      <alignment horizontal="centerContinuous"/>
    </xf>
    <xf numFmtId="0" fontId="18" fillId="0" borderId="0" xfId="28" applyFont="1" applyFill="1" applyAlignment="1">
      <alignment horizontal="centerContinuous"/>
    </xf>
    <xf numFmtId="0" fontId="18" fillId="0" borderId="0" xfId="28" applyFont="1" applyFill="1" applyAlignment="1">
      <alignment horizontal="left"/>
    </xf>
    <xf numFmtId="0" fontId="18" fillId="0" borderId="0" xfId="28" applyFont="1" applyFill="1" applyAlignment="1" applyProtection="1">
      <alignment horizontal="left"/>
    </xf>
    <xf numFmtId="0" fontId="18" fillId="0" borderId="15" xfId="28" applyFont="1" applyFill="1" applyBorder="1" applyAlignment="1" applyProtection="1">
      <alignment horizontal="left"/>
    </xf>
    <xf numFmtId="0" fontId="18" fillId="0" borderId="0" xfId="28" applyFont="1" applyFill="1" applyAlignment="1" applyProtection="1">
      <alignment horizontal="center"/>
    </xf>
    <xf numFmtId="0" fontId="18" fillId="0" borderId="0" xfId="28" applyFont="1" applyFill="1" applyAlignment="1">
      <alignment horizontal="center"/>
    </xf>
    <xf numFmtId="42" fontId="18" fillId="0" borderId="0" xfId="5" applyNumberFormat="1" applyFont="1" applyFill="1"/>
    <xf numFmtId="0" fontId="3" fillId="0" borderId="0" xfId="0" applyFont="1" applyFill="1" applyAlignment="1">
      <alignment horizontal="center"/>
    </xf>
    <xf numFmtId="0" fontId="92" fillId="0" borderId="0" xfId="0" applyFont="1" applyFill="1" applyAlignment="1">
      <alignment horizontal="center"/>
    </xf>
    <xf numFmtId="42" fontId="72" fillId="0" borderId="0" xfId="69" applyNumberFormat="1" applyFont="1" applyFill="1"/>
    <xf numFmtId="37" fontId="72" fillId="0" borderId="15" xfId="0" applyNumberFormat="1" applyFont="1" applyFill="1" applyBorder="1"/>
    <xf numFmtId="37" fontId="72" fillId="0" borderId="15" xfId="69" applyNumberFormat="1" applyFont="1" applyFill="1" applyBorder="1"/>
    <xf numFmtId="0" fontId="18" fillId="0" borderId="0" xfId="69" applyFont="1" applyFill="1" applyAlignment="1">
      <alignment horizontal="right"/>
    </xf>
    <xf numFmtId="0" fontId="18" fillId="0" borderId="0" xfId="69" applyFont="1" applyFill="1" applyAlignment="1">
      <alignment horizontal="left"/>
    </xf>
    <xf numFmtId="42" fontId="18" fillId="0" borderId="169" xfId="69" applyNumberFormat="1" applyFont="1" applyFill="1" applyBorder="1"/>
    <xf numFmtId="0" fontId="18" fillId="0" borderId="0" xfId="32" applyFont="1" applyFill="1" applyAlignment="1">
      <alignment horizontal="centerContinuous"/>
    </xf>
    <xf numFmtId="0" fontId="18" fillId="0" borderId="0" xfId="32" quotePrefix="1" applyFont="1" applyFill="1" applyAlignment="1" applyProtection="1">
      <alignment horizontal="left"/>
    </xf>
    <xf numFmtId="0" fontId="18" fillId="0" borderId="15" xfId="32" applyFont="1" applyFill="1" applyBorder="1" applyAlignment="1" applyProtection="1">
      <alignment horizontal="fill"/>
    </xf>
    <xf numFmtId="0" fontId="18" fillId="0" borderId="0" xfId="32" applyFont="1" applyFill="1" applyAlignment="1" applyProtection="1">
      <alignment horizontal="center"/>
    </xf>
    <xf numFmtId="0" fontId="18" fillId="0" borderId="0" xfId="32" applyFont="1" applyFill="1" applyAlignment="1">
      <alignment horizontal="center"/>
    </xf>
    <xf numFmtId="0" fontId="44" fillId="0" borderId="0" xfId="30" applyFont="1" applyFill="1" applyAlignment="1" applyProtection="1">
      <alignment horizontal="left"/>
    </xf>
    <xf numFmtId="0" fontId="18" fillId="0" borderId="132" xfId="0" applyFont="1" applyFill="1" applyBorder="1" applyAlignment="1">
      <alignment horizontal="centerContinuous"/>
    </xf>
    <xf numFmtId="0" fontId="0" fillId="0" borderId="132" xfId="0" applyFill="1" applyBorder="1" applyAlignment="1">
      <alignment horizontal="centerContinuous"/>
    </xf>
    <xf numFmtId="0" fontId="18" fillId="0" borderId="132" xfId="0" applyFont="1" applyFill="1" applyBorder="1" applyAlignment="1">
      <alignment horizontal="center"/>
    </xf>
    <xf numFmtId="0" fontId="0" fillId="0" borderId="132" xfId="0" applyFill="1" applyBorder="1" applyAlignment="1">
      <alignment horizontal="center"/>
    </xf>
    <xf numFmtId="0" fontId="34" fillId="0" borderId="0" xfId="0" applyFont="1" applyFill="1"/>
    <xf numFmtId="0" fontId="18" fillId="0" borderId="0" xfId="32" applyFont="1" applyFill="1" applyProtection="1"/>
    <xf numFmtId="0" fontId="18" fillId="0" borderId="0" xfId="26" applyFont="1" applyFill="1" applyBorder="1" applyAlignment="1" applyProtection="1">
      <alignment horizontal="left"/>
    </xf>
    <xf numFmtId="0" fontId="18" fillId="0" borderId="0" xfId="26" applyFont="1" applyFill="1" applyBorder="1"/>
    <xf numFmtId="0" fontId="18" fillId="0" borderId="0" xfId="23" applyFont="1" applyFill="1" applyBorder="1" applyAlignment="1">
      <alignment horizontal="center"/>
    </xf>
    <xf numFmtId="0" fontId="42" fillId="0" borderId="0" xfId="23" applyFont="1" applyFill="1" applyBorder="1" applyAlignment="1">
      <alignment horizontal="center"/>
    </xf>
    <xf numFmtId="0" fontId="18" fillId="0" borderId="0" xfId="36" applyFont="1" applyFill="1" applyAlignment="1" applyProtection="1">
      <alignment horizontal="centerContinuous"/>
    </xf>
    <xf numFmtId="0" fontId="18" fillId="0" borderId="0" xfId="36" applyFont="1" applyFill="1" applyAlignment="1">
      <alignment horizontal="centerContinuous"/>
    </xf>
    <xf numFmtId="37" fontId="18" fillId="0" borderId="0" xfId="36" applyNumberFormat="1" applyFont="1" applyFill="1" applyAlignment="1" applyProtection="1">
      <alignment horizontal="centerContinuous"/>
    </xf>
    <xf numFmtId="0" fontId="18" fillId="0" borderId="15" xfId="36" applyFont="1" applyFill="1" applyBorder="1" applyAlignment="1" applyProtection="1">
      <alignment horizontal="fill"/>
    </xf>
    <xf numFmtId="0" fontId="18" fillId="0" borderId="0" xfId="36" applyFont="1" applyFill="1" applyAlignment="1" applyProtection="1">
      <alignment horizontal="center"/>
    </xf>
    <xf numFmtId="0" fontId="18" fillId="0" borderId="0" xfId="36" applyFont="1" applyFill="1" applyAlignment="1">
      <alignment horizontal="center"/>
    </xf>
    <xf numFmtId="37" fontId="18" fillId="0" borderId="0" xfId="36" applyNumberFormat="1" applyFont="1" applyFill="1" applyProtection="1"/>
    <xf numFmtId="0" fontId="18" fillId="0" borderId="0" xfId="36" applyFont="1" applyFill="1" applyAlignment="1" applyProtection="1">
      <alignment horizontal="right"/>
    </xf>
    <xf numFmtId="0" fontId="18" fillId="0" borderId="0" xfId="36" applyFont="1" applyFill="1" applyAlignment="1" applyProtection="1">
      <alignment horizontal="fill"/>
    </xf>
    <xf numFmtId="166" fontId="42" fillId="0" borderId="0" xfId="36" applyNumberFormat="1" applyFont="1" applyFill="1" applyProtection="1"/>
    <xf numFmtId="0" fontId="18" fillId="0" borderId="0" xfId="36" applyFont="1" applyFill="1" applyAlignment="1" applyProtection="1"/>
    <xf numFmtId="0" fontId="44" fillId="0" borderId="0" xfId="36" applyFont="1" applyFill="1" applyAlignment="1" applyProtection="1">
      <alignment horizontal="center"/>
    </xf>
    <xf numFmtId="167" fontId="18" fillId="0" borderId="0" xfId="36" applyNumberFormat="1" applyFont="1" applyFill="1" applyProtection="1"/>
    <xf numFmtId="0" fontId="42" fillId="0" borderId="0" xfId="36" applyFont="1" applyFill="1" applyAlignment="1" applyProtection="1">
      <alignment horizontal="center"/>
    </xf>
    <xf numFmtId="0" fontId="42" fillId="0" borderId="0" xfId="36" applyFont="1" applyFill="1" applyAlignment="1" applyProtection="1">
      <alignment horizontal="left"/>
    </xf>
    <xf numFmtId="0" fontId="42" fillId="0" borderId="28" xfId="36" applyFont="1" applyFill="1" applyBorder="1" applyAlignment="1">
      <alignment horizontal="center"/>
    </xf>
    <xf numFmtId="0" fontId="42" fillId="0" borderId="18" xfId="36" applyFont="1" applyFill="1" applyBorder="1" applyAlignment="1">
      <alignment horizontal="center"/>
    </xf>
    <xf numFmtId="0" fontId="42" fillId="0" borderId="49" xfId="36" applyFont="1" applyFill="1" applyBorder="1" applyAlignment="1">
      <alignment horizontal="center"/>
    </xf>
    <xf numFmtId="0" fontId="18" fillId="0" borderId="0" xfId="36" quotePrefix="1" applyFont="1" applyFill="1" applyAlignment="1" applyProtection="1">
      <alignment horizontal="center"/>
    </xf>
    <xf numFmtId="0" fontId="18" fillId="0" borderId="6" xfId="36" applyFont="1" applyFill="1" applyBorder="1"/>
    <xf numFmtId="0" fontId="18" fillId="0" borderId="0" xfId="36" applyFont="1" applyFill="1" applyBorder="1"/>
    <xf numFmtId="0" fontId="18" fillId="0" borderId="50" xfId="36" applyFont="1" applyFill="1" applyBorder="1"/>
    <xf numFmtId="174" fontId="18" fillId="0" borderId="0" xfId="36" applyNumberFormat="1" applyFont="1" applyFill="1" applyProtection="1"/>
    <xf numFmtId="39" fontId="18" fillId="0" borderId="0" xfId="36" applyNumberFormat="1" applyFont="1" applyFill="1" applyProtection="1"/>
    <xf numFmtId="199" fontId="18" fillId="0" borderId="0" xfId="36" applyNumberFormat="1" applyFont="1" applyFill="1" applyProtection="1"/>
    <xf numFmtId="0" fontId="18" fillId="0" borderId="0" xfId="36" applyFont="1" applyFill="1" applyAlignment="1">
      <alignment horizontal="left"/>
    </xf>
    <xf numFmtId="37" fontId="18" fillId="0" borderId="6" xfId="36" applyNumberFormat="1" applyFont="1" applyFill="1" applyBorder="1" applyProtection="1">
      <protection locked="0"/>
    </xf>
    <xf numFmtId="37" fontId="18" fillId="0" borderId="0" xfId="36" applyNumberFormat="1" applyFont="1" applyFill="1" applyBorder="1" applyProtection="1">
      <protection locked="0"/>
    </xf>
    <xf numFmtId="37" fontId="18" fillId="0" borderId="50" xfId="36" applyNumberFormat="1" applyFont="1" applyFill="1" applyBorder="1" applyProtection="1">
      <protection locked="0"/>
    </xf>
    <xf numFmtId="174" fontId="18" fillId="0" borderId="0" xfId="36" applyNumberFormat="1" applyFont="1" applyFill="1" applyAlignment="1" applyProtection="1">
      <alignment horizontal="center"/>
    </xf>
    <xf numFmtId="37" fontId="42" fillId="0" borderId="0" xfId="36" applyNumberFormat="1" applyFont="1" applyFill="1" applyProtection="1"/>
    <xf numFmtId="37" fontId="108" fillId="0" borderId="6" xfId="36" applyNumberFormat="1" applyFont="1" applyFill="1" applyBorder="1" applyProtection="1">
      <protection locked="0"/>
    </xf>
    <xf numFmtId="37" fontId="108" fillId="0" borderId="0" xfId="36" applyNumberFormat="1" applyFont="1" applyFill="1" applyBorder="1" applyProtection="1">
      <protection locked="0"/>
    </xf>
    <xf numFmtId="37" fontId="42" fillId="0" borderId="50" xfId="36" applyNumberFormat="1" applyFont="1" applyFill="1" applyBorder="1" applyProtection="1">
      <protection locked="0"/>
    </xf>
    <xf numFmtId="173" fontId="18" fillId="0" borderId="0" xfId="36" applyNumberFormat="1" applyFont="1" applyFill="1" applyProtection="1"/>
    <xf numFmtId="37" fontId="97" fillId="0" borderId="0" xfId="36" applyNumberFormat="1" applyFont="1" applyFill="1" applyProtection="1"/>
    <xf numFmtId="37" fontId="97" fillId="0" borderId="29" xfId="36" applyNumberFormat="1" applyFont="1" applyFill="1" applyBorder="1" applyProtection="1"/>
    <xf numFmtId="37" fontId="97" fillId="0" borderId="15" xfId="36" applyNumberFormat="1" applyFont="1" applyFill="1" applyBorder="1" applyProtection="1"/>
    <xf numFmtId="37" fontId="97" fillId="0" borderId="51" xfId="36" applyNumberFormat="1" applyFont="1" applyFill="1" applyBorder="1" applyProtection="1"/>
    <xf numFmtId="0" fontId="18" fillId="0" borderId="0" xfId="36" quotePrefix="1" applyFont="1" applyFill="1"/>
    <xf numFmtId="0" fontId="18" fillId="0" borderId="0" xfId="19" applyFont="1" applyFill="1" applyAlignment="1" applyProtection="1"/>
    <xf numFmtId="0" fontId="18" fillId="0" borderId="0" xfId="23" applyFont="1" applyFill="1" applyProtection="1"/>
    <xf numFmtId="0" fontId="18" fillId="0" borderId="0" xfId="23" quotePrefix="1" applyFont="1" applyFill="1" applyAlignment="1" applyProtection="1">
      <alignment horizontal="left"/>
    </xf>
    <xf numFmtId="37" fontId="42" fillId="0" borderId="0" xfId="23" applyNumberFormat="1" applyFont="1" applyFill="1" applyProtection="1"/>
    <xf numFmtId="37" fontId="18" fillId="0" borderId="0" xfId="23" applyNumberFormat="1" applyFont="1" applyFill="1" applyProtection="1"/>
    <xf numFmtId="41" fontId="42" fillId="0" borderId="0" xfId="23" applyNumberFormat="1" applyFont="1" applyFill="1" applyProtection="1"/>
    <xf numFmtId="166" fontId="42" fillId="0" borderId="0" xfId="23" applyNumberFormat="1" applyFont="1" applyFill="1" applyProtection="1"/>
    <xf numFmtId="0" fontId="18" fillId="0" borderId="0" xfId="23" applyFont="1" applyFill="1" applyAlignment="1" applyProtection="1">
      <alignment horizontal="right"/>
    </xf>
    <xf numFmtId="0" fontId="44" fillId="0" borderId="0" xfId="23" applyFont="1" applyFill="1" applyAlignment="1" applyProtection="1">
      <alignment horizontal="left"/>
    </xf>
    <xf numFmtId="42" fontId="18" fillId="0" borderId="0" xfId="23" applyNumberFormat="1" applyFont="1" applyFill="1"/>
    <xf numFmtId="192" fontId="18" fillId="0" borderId="0" xfId="23" applyNumberFormat="1" applyFont="1" applyFill="1"/>
    <xf numFmtId="37" fontId="97" fillId="0" borderId="0" xfId="23" applyNumberFormat="1" applyFont="1" applyFill="1"/>
    <xf numFmtId="0" fontId="42" fillId="0" borderId="0" xfId="0" applyFont="1" applyFill="1" applyBorder="1"/>
    <xf numFmtId="0" fontId="9" fillId="0" borderId="0" xfId="9820" applyFill="1"/>
    <xf numFmtId="0" fontId="9" fillId="0" borderId="0" xfId="9820" applyFill="1" applyAlignment="1">
      <alignment horizontal="center"/>
    </xf>
    <xf numFmtId="37" fontId="18" fillId="0" borderId="0" xfId="23" applyNumberFormat="1" applyFont="1" applyFill="1"/>
    <xf numFmtId="37" fontId="72" fillId="0" borderId="0" xfId="23" applyNumberFormat="1" applyFont="1" applyFill="1"/>
    <xf numFmtId="37" fontId="72" fillId="0" borderId="15" xfId="23" applyNumberFormat="1" applyFont="1" applyFill="1" applyBorder="1"/>
    <xf numFmtId="37" fontId="18" fillId="0" borderId="15" xfId="23" applyNumberFormat="1" applyFont="1" applyFill="1" applyBorder="1"/>
    <xf numFmtId="0" fontId="1" fillId="0" borderId="0" xfId="9820" applyFont="1" applyFill="1"/>
    <xf numFmtId="37" fontId="72" fillId="0" borderId="0" xfId="23" applyNumberFormat="1" applyFont="1" applyFill="1" applyBorder="1"/>
    <xf numFmtId="37" fontId="18" fillId="0" borderId="0" xfId="23" applyNumberFormat="1" applyFont="1" applyFill="1" applyBorder="1"/>
    <xf numFmtId="0" fontId="18" fillId="0" borderId="18" xfId="23" applyFont="1" applyFill="1" applyBorder="1"/>
    <xf numFmtId="0" fontId="18" fillId="0" borderId="0" xfId="23" applyFont="1" applyFill="1" applyAlignment="1">
      <alignment horizontal="left" indent="1"/>
    </xf>
    <xf numFmtId="42" fontId="18" fillId="0" borderId="17" xfId="23" applyNumberFormat="1" applyFont="1" applyFill="1" applyBorder="1"/>
    <xf numFmtId="0" fontId="18" fillId="0" borderId="0" xfId="30" applyFont="1" applyFill="1" applyAlignment="1" applyProtection="1">
      <alignment horizontal="centerContinuous"/>
    </xf>
    <xf numFmtId="0" fontId="18" fillId="0" borderId="0" xfId="30" applyFont="1" applyFill="1" applyAlignment="1">
      <alignment horizontal="centerContinuous"/>
    </xf>
    <xf numFmtId="0" fontId="18" fillId="0" borderId="0" xfId="30" applyFont="1" applyFill="1"/>
    <xf numFmtId="165" fontId="18" fillId="0" borderId="0" xfId="30" applyNumberFormat="1" applyFont="1" applyFill="1" applyAlignment="1" applyProtection="1">
      <alignment horizontal="centerContinuous"/>
    </xf>
    <xf numFmtId="0" fontId="18" fillId="0" borderId="0" xfId="30" applyFont="1" applyFill="1" applyProtection="1"/>
    <xf numFmtId="0" fontId="18" fillId="0" borderId="0" xfId="30" applyFont="1" applyFill="1" applyAlignment="1" applyProtection="1">
      <alignment horizontal="left"/>
    </xf>
    <xf numFmtId="0" fontId="18" fillId="0" borderId="15" xfId="30" applyFont="1" applyFill="1" applyBorder="1" applyAlignment="1" applyProtection="1">
      <alignment horizontal="fill"/>
    </xf>
    <xf numFmtId="0" fontId="18" fillId="0" borderId="0" xfId="30" applyFont="1" applyFill="1" applyAlignment="1" applyProtection="1">
      <alignment horizontal="center"/>
    </xf>
    <xf numFmtId="0" fontId="18" fillId="0" borderId="0" xfId="30" applyFont="1" applyFill="1" applyAlignment="1" applyProtection="1">
      <alignment horizontal="right"/>
    </xf>
    <xf numFmtId="171" fontId="97" fillId="0" borderId="0" xfId="25" applyNumberFormat="1" applyFont="1" applyFill="1" applyProtection="1"/>
    <xf numFmtId="0" fontId="18" fillId="0" borderId="0" xfId="31" applyFont="1" applyFill="1" applyAlignment="1">
      <alignment horizontal="right"/>
    </xf>
    <xf numFmtId="0" fontId="18" fillId="0" borderId="0" xfId="31" applyFont="1" applyFill="1"/>
    <xf numFmtId="0" fontId="18" fillId="0" borderId="0" xfId="30" applyFont="1" applyFill="1" applyAlignment="1" applyProtection="1">
      <alignment horizontal="fill"/>
    </xf>
    <xf numFmtId="0" fontId="18" fillId="0" borderId="0" xfId="30" applyFont="1" applyFill="1" applyAlignment="1"/>
    <xf numFmtId="0" fontId="18" fillId="0" borderId="0" xfId="30" applyFont="1" applyFill="1" applyAlignment="1" applyProtection="1"/>
    <xf numFmtId="42" fontId="72" fillId="0" borderId="0" xfId="0" applyNumberFormat="1" applyFont="1" applyFill="1"/>
    <xf numFmtId="10" fontId="108" fillId="0" borderId="0" xfId="0" applyNumberFormat="1" applyFont="1" applyFill="1"/>
    <xf numFmtId="4" fontId="18" fillId="0" borderId="0" xfId="0" applyNumberFormat="1" applyFont="1" applyFill="1"/>
    <xf numFmtId="3" fontId="18" fillId="0" borderId="0" xfId="0" applyNumberFormat="1" applyFont="1" applyFill="1"/>
    <xf numFmtId="10" fontId="42" fillId="0" borderId="0" xfId="0" applyNumberFormat="1" applyFont="1" applyFill="1"/>
    <xf numFmtId="3" fontId="0" fillId="0" borderId="0" xfId="0" applyNumberFormat="1" applyFill="1"/>
    <xf numFmtId="228" fontId="0" fillId="0" borderId="0" xfId="0" applyNumberFormat="1" applyFill="1"/>
    <xf numFmtId="0" fontId="211" fillId="0" borderId="0" xfId="0" applyFont="1" applyFill="1"/>
    <xf numFmtId="0" fontId="18" fillId="0" borderId="0" xfId="30" quotePrefix="1" applyFont="1" applyFill="1" applyAlignment="1">
      <alignment horizontal="center"/>
    </xf>
    <xf numFmtId="0" fontId="18" fillId="0" borderId="15" xfId="30" applyFont="1" applyFill="1" applyBorder="1" applyAlignment="1">
      <alignment horizontal="center"/>
    </xf>
    <xf numFmtId="0" fontId="18" fillId="0" borderId="168" xfId="30" quotePrefix="1" applyFont="1" applyFill="1" applyBorder="1" applyAlignment="1">
      <alignment horizontal="center"/>
    </xf>
    <xf numFmtId="0" fontId="95" fillId="0" borderId="0" xfId="8" applyFont="1" applyFill="1"/>
    <xf numFmtId="0" fontId="18" fillId="0" borderId="0" xfId="1489" applyFont="1" applyFill="1" applyBorder="1" applyAlignment="1">
      <alignment horizontal="centerContinuous"/>
    </xf>
    <xf numFmtId="0" fontId="42" fillId="0" borderId="0" xfId="1489" applyFont="1" applyFill="1" applyAlignment="1">
      <alignment horizontal="center"/>
    </xf>
    <xf numFmtId="37" fontId="42" fillId="0" borderId="0" xfId="1489" applyNumberFormat="1" applyFont="1" applyFill="1" applyAlignment="1">
      <alignment horizontal="center"/>
    </xf>
    <xf numFmtId="37" fontId="18" fillId="0" borderId="0" xfId="1489" applyNumberFormat="1" applyFont="1" applyFill="1" applyAlignment="1">
      <alignment horizontal="center"/>
    </xf>
    <xf numFmtId="41" fontId="18" fillId="0" borderId="0" xfId="1489" applyNumberFormat="1" applyFont="1" applyFill="1"/>
    <xf numFmtId="0" fontId="72" fillId="0" borderId="0" xfId="1489" applyFont="1" applyFill="1" applyAlignment="1">
      <alignment horizontal="center" vertical="top"/>
    </xf>
    <xf numFmtId="0" fontId="18" fillId="0" borderId="0" xfId="1489" applyFont="1" applyFill="1" applyAlignment="1">
      <alignment vertical="top"/>
    </xf>
    <xf numFmtId="0" fontId="18" fillId="0" borderId="0" xfId="1489" applyFont="1" applyFill="1" applyAlignment="1">
      <alignment horizontal="center" vertical="top"/>
    </xf>
    <xf numFmtId="37" fontId="18" fillId="0" borderId="0" xfId="1489" applyNumberFormat="1" applyFont="1" applyFill="1" applyAlignment="1">
      <alignment vertical="top"/>
    </xf>
    <xf numFmtId="0" fontId="18" fillId="0" borderId="0" xfId="24" applyFont="1" applyFill="1" applyAlignment="1" applyProtection="1">
      <alignment horizontal="centerContinuous"/>
    </xf>
    <xf numFmtId="37" fontId="18" fillId="0" borderId="0" xfId="24" applyNumberFormat="1" applyFont="1" applyFill="1" applyAlignment="1" applyProtection="1">
      <alignment horizontal="centerContinuous"/>
    </xf>
    <xf numFmtId="0" fontId="18" fillId="0" borderId="0" xfId="24" quotePrefix="1" applyFont="1" applyFill="1" applyAlignment="1" applyProtection="1">
      <alignment horizontal="left"/>
    </xf>
    <xf numFmtId="0" fontId="18" fillId="0" borderId="0" xfId="24" applyFont="1" applyFill="1" applyAlignment="1" applyProtection="1"/>
    <xf numFmtId="0" fontId="18" fillId="0" borderId="15" xfId="24" applyFont="1" applyFill="1" applyBorder="1" applyAlignment="1" applyProtection="1">
      <alignment horizontal="fill"/>
    </xf>
    <xf numFmtId="0" fontId="18" fillId="0" borderId="0" xfId="24" applyFont="1" applyFill="1" applyBorder="1" applyAlignment="1" applyProtection="1">
      <alignment horizontal="left"/>
    </xf>
    <xf numFmtId="0" fontId="18" fillId="0" borderId="0" xfId="24" applyFont="1" applyFill="1" applyAlignment="1" applyProtection="1">
      <alignment horizontal="center"/>
    </xf>
    <xf numFmtId="10" fontId="18" fillId="0" borderId="0" xfId="24" applyNumberFormat="1" applyFont="1" applyFill="1" applyProtection="1"/>
    <xf numFmtId="0" fontId="18" fillId="0" borderId="0" xfId="24" applyFont="1" applyFill="1" applyAlignment="1" applyProtection="1">
      <alignment horizontal="right"/>
    </xf>
    <xf numFmtId="166" fontId="42" fillId="0" borderId="0" xfId="24" applyNumberFormat="1" applyFont="1" applyFill="1" applyProtection="1"/>
    <xf numFmtId="0" fontId="44" fillId="0" borderId="0" xfId="24" applyFont="1" applyFill="1"/>
    <xf numFmtId="180" fontId="18" fillId="0" borderId="15" xfId="24" applyNumberFormat="1" applyFont="1" applyFill="1" applyBorder="1"/>
    <xf numFmtId="37" fontId="18" fillId="0" borderId="17" xfId="24" applyNumberFormat="1" applyFont="1" applyFill="1" applyBorder="1"/>
    <xf numFmtId="0" fontId="18" fillId="0" borderId="0" xfId="24" applyFont="1" applyFill="1" applyAlignment="1">
      <alignment horizontal="right"/>
    </xf>
    <xf numFmtId="37" fontId="18" fillId="0" borderId="0" xfId="24" applyNumberFormat="1" applyFont="1" applyFill="1" applyProtection="1"/>
    <xf numFmtId="0" fontId="18" fillId="0" borderId="0" xfId="24" applyFont="1" applyFill="1" applyAlignment="1"/>
    <xf numFmtId="37" fontId="18" fillId="0" borderId="0" xfId="24" applyNumberFormat="1" applyFont="1" applyFill="1" applyAlignment="1" applyProtection="1">
      <alignment horizontal="right"/>
    </xf>
    <xf numFmtId="195" fontId="42" fillId="0" borderId="0" xfId="24" applyNumberFormat="1" applyFont="1" applyFill="1" applyBorder="1" applyAlignment="1">
      <alignment horizontal="center"/>
    </xf>
    <xf numFmtId="37" fontId="18" fillId="0" borderId="0" xfId="24" applyNumberFormat="1" applyFont="1" applyFill="1" applyBorder="1"/>
    <xf numFmtId="194" fontId="18" fillId="0" borderId="168" xfId="23" applyNumberFormat="1" applyFont="1" applyFill="1" applyBorder="1" applyProtection="1"/>
    <xf numFmtId="0" fontId="18" fillId="0" borderId="0" xfId="26" applyFont="1" applyFill="1" applyAlignment="1" applyProtection="1">
      <alignment horizontal="center"/>
    </xf>
    <xf numFmtId="42" fontId="18" fillId="0" borderId="168" xfId="5" applyNumberFormat="1" applyFont="1" applyFill="1" applyBorder="1" applyAlignment="1">
      <alignment horizontal="right"/>
    </xf>
    <xf numFmtId="0" fontId="42" fillId="0" borderId="0" xfId="5" applyFont="1" applyFill="1" applyBorder="1" applyAlignment="1">
      <alignment horizontal="left"/>
    </xf>
    <xf numFmtId="0" fontId="42" fillId="0" borderId="0" xfId="23" applyFont="1" applyFill="1"/>
    <xf numFmtId="0" fontId="18" fillId="0" borderId="0" xfId="34" applyFont="1" applyFill="1" applyAlignment="1" applyProtection="1">
      <alignment horizontal="centerContinuous"/>
    </xf>
    <xf numFmtId="0" fontId="18" fillId="0" borderId="0" xfId="34" applyFont="1" applyFill="1" applyAlignment="1">
      <alignment horizontal="centerContinuous"/>
    </xf>
    <xf numFmtId="37" fontId="18" fillId="0" borderId="0" xfId="34" applyNumberFormat="1" applyFont="1" applyFill="1" applyAlignment="1" applyProtection="1">
      <alignment horizontal="centerContinuous"/>
    </xf>
    <xf numFmtId="0" fontId="18" fillId="0" borderId="0" xfId="34" applyFont="1" applyFill="1" applyProtection="1"/>
    <xf numFmtId="0" fontId="18" fillId="0" borderId="0" xfId="34" applyFont="1" applyFill="1" applyAlignment="1" applyProtection="1">
      <alignment horizontal="left"/>
    </xf>
    <xf numFmtId="0" fontId="18" fillId="0" borderId="15" xfId="34" applyFont="1" applyFill="1" applyBorder="1" applyAlignment="1" applyProtection="1">
      <alignment horizontal="fill"/>
    </xf>
    <xf numFmtId="0" fontId="18" fillId="0" borderId="0" xfId="34" applyFont="1" applyFill="1" applyAlignment="1" applyProtection="1">
      <alignment horizontal="center"/>
    </xf>
    <xf numFmtId="0" fontId="18" fillId="0" borderId="0" xfId="34" applyFont="1" applyFill="1" applyBorder="1" applyProtection="1"/>
    <xf numFmtId="0" fontId="18" fillId="0" borderId="0" xfId="34" applyFont="1" applyFill="1" applyBorder="1"/>
    <xf numFmtId="0" fontId="18" fillId="0" borderId="0" xfId="34" applyFont="1" applyFill="1" applyBorder="1" applyAlignment="1" applyProtection="1">
      <alignment horizontal="left"/>
    </xf>
    <xf numFmtId="167" fontId="18" fillId="0" borderId="0" xfId="34" applyNumberFormat="1" applyFont="1" applyFill="1" applyBorder="1" applyProtection="1"/>
    <xf numFmtId="0" fontId="18" fillId="0" borderId="0" xfId="35" applyFont="1" applyFill="1" applyProtection="1"/>
    <xf numFmtId="0" fontId="18" fillId="0" borderId="0" xfId="34" applyFont="1" applyFill="1" applyBorder="1" applyAlignment="1" applyProtection="1">
      <alignment horizontal="center"/>
    </xf>
    <xf numFmtId="0" fontId="42" fillId="0" borderId="0" xfId="34" applyFont="1" applyFill="1" applyBorder="1" applyAlignment="1" applyProtection="1">
      <alignment horizontal="center"/>
    </xf>
    <xf numFmtId="14" fontId="18" fillId="0" borderId="0" xfId="35" applyNumberFormat="1" applyFont="1" applyFill="1"/>
    <xf numFmtId="0" fontId="18" fillId="0" borderId="0" xfId="35" applyFont="1" applyFill="1" applyAlignment="1" applyProtection="1">
      <alignment horizontal="center"/>
    </xf>
    <xf numFmtId="0" fontId="42" fillId="0" borderId="0" xfId="35" applyFont="1" applyFill="1" applyAlignment="1" applyProtection="1">
      <alignment horizontal="center"/>
    </xf>
    <xf numFmtId="0" fontId="42" fillId="0" borderId="0" xfId="35" applyFont="1" applyFill="1"/>
    <xf numFmtId="0" fontId="42" fillId="0" borderId="0" xfId="35" applyFont="1" applyFill="1" applyAlignment="1" applyProtection="1">
      <alignment horizontal="left"/>
    </xf>
    <xf numFmtId="0" fontId="18" fillId="0" borderId="0" xfId="35" applyFont="1" applyFill="1" applyAlignment="1">
      <alignment horizontal="left"/>
    </xf>
    <xf numFmtId="0" fontId="18" fillId="0" borderId="0" xfId="35" applyFont="1" applyFill="1" applyAlignment="1">
      <alignment horizontal="center"/>
    </xf>
    <xf numFmtId="37" fontId="18" fillId="0" borderId="0" xfId="35" applyNumberFormat="1" applyFont="1" applyFill="1" applyProtection="1">
      <protection locked="0"/>
    </xf>
    <xf numFmtId="0" fontId="18" fillId="0" borderId="0" xfId="35" applyFont="1" applyFill="1" applyAlignment="1" applyProtection="1">
      <alignment horizontal="right"/>
    </xf>
    <xf numFmtId="37" fontId="18" fillId="0" borderId="0" xfId="35" applyNumberFormat="1" applyFont="1" applyFill="1" applyProtection="1"/>
    <xf numFmtId="37" fontId="42" fillId="0" borderId="0" xfId="35" applyNumberFormat="1" applyFont="1" applyFill="1" applyProtection="1"/>
    <xf numFmtId="0" fontId="18" fillId="0" borderId="0" xfId="32" applyFont="1" applyFill="1" applyAlignment="1" applyProtection="1">
      <alignment horizontal="left" indent="1"/>
    </xf>
    <xf numFmtId="37" fontId="18" fillId="0" borderId="0" xfId="32" applyNumberFormat="1" applyFont="1" applyFill="1"/>
    <xf numFmtId="193" fontId="18" fillId="0" borderId="0" xfId="23" applyNumberFormat="1" applyFont="1" applyFill="1" applyBorder="1" applyAlignment="1" applyProtection="1">
      <alignment horizontal="centerContinuous"/>
    </xf>
    <xf numFmtId="193" fontId="18" fillId="0" borderId="15" xfId="23" applyNumberFormat="1" applyFont="1" applyFill="1" applyBorder="1" applyProtection="1"/>
    <xf numFmtId="166" fontId="18" fillId="0" borderId="15" xfId="32" applyNumberFormat="1" applyFont="1" applyFill="1" applyBorder="1" applyProtection="1"/>
    <xf numFmtId="194" fontId="18" fillId="0" borderId="17" xfId="23" applyNumberFormat="1" applyFont="1" applyFill="1" applyBorder="1" applyProtection="1"/>
    <xf numFmtId="0" fontId="18" fillId="0" borderId="15" xfId="23" applyFont="1" applyFill="1" applyBorder="1" applyAlignment="1">
      <alignment horizontal="centerContinuous"/>
    </xf>
    <xf numFmtId="0" fontId="42" fillId="0" borderId="0" xfId="23" applyFont="1" applyFill="1" applyAlignment="1">
      <alignment horizontal="left" indent="2"/>
    </xf>
    <xf numFmtId="193" fontId="42" fillId="0" borderId="0" xfId="23" applyNumberFormat="1" applyFont="1" applyFill="1" applyProtection="1"/>
    <xf numFmtId="37" fontId="44" fillId="0" borderId="0" xfId="32" applyNumberFormat="1" applyFont="1" applyFill="1"/>
    <xf numFmtId="0" fontId="44" fillId="0" borderId="0" xfId="23" applyFont="1" applyFill="1" applyAlignment="1" applyProtection="1">
      <alignment horizontal="centerContinuous"/>
    </xf>
    <xf numFmtId="37" fontId="18" fillId="0" borderId="24" xfId="22" applyNumberFormat="1" applyFont="1" applyFill="1" applyBorder="1"/>
    <xf numFmtId="37" fontId="18" fillId="0" borderId="30" xfId="22" applyNumberFormat="1" applyFont="1" applyFill="1" applyBorder="1"/>
    <xf numFmtId="0" fontId="18" fillId="0" borderId="22" xfId="4" applyFont="1" applyFill="1" applyBorder="1"/>
    <xf numFmtId="37" fontId="18" fillId="0" borderId="20" xfId="22" quotePrefix="1" applyNumberFormat="1" applyFont="1" applyFill="1" applyBorder="1"/>
    <xf numFmtId="37" fontId="18" fillId="0" borderId="0" xfId="22" quotePrefix="1" applyNumberFormat="1" applyFont="1" applyFill="1" applyBorder="1"/>
    <xf numFmtId="0" fontId="18" fillId="0" borderId="26" xfId="4" applyFont="1" applyFill="1" applyBorder="1"/>
    <xf numFmtId="37" fontId="18" fillId="0" borderId="21" xfId="22" applyNumberFormat="1" applyFont="1" applyFill="1" applyBorder="1"/>
    <xf numFmtId="37" fontId="18" fillId="0" borderId="31" xfId="22" applyNumberFormat="1" applyFont="1" applyFill="1" applyBorder="1"/>
    <xf numFmtId="0" fontId="18" fillId="0" borderId="23" xfId="4" applyFont="1" applyFill="1" applyBorder="1"/>
    <xf numFmtId="37" fontId="18" fillId="0" borderId="20" xfId="22" applyNumberFormat="1" applyFont="1" applyFill="1" applyBorder="1"/>
    <xf numFmtId="37" fontId="18" fillId="0" borderId="25" xfId="4" applyNumberFormat="1" applyFont="1" applyFill="1" applyBorder="1"/>
    <xf numFmtId="37" fontId="18" fillId="0" borderId="32" xfId="4" applyNumberFormat="1" applyFont="1" applyFill="1" applyBorder="1"/>
    <xf numFmtId="0" fontId="18" fillId="0" borderId="27" xfId="4" applyFont="1" applyFill="1" applyBorder="1"/>
    <xf numFmtId="0" fontId="95" fillId="0" borderId="0" xfId="20" applyFont="1" applyFill="1"/>
    <xf numFmtId="37" fontId="18" fillId="0" borderId="0" xfId="4" quotePrefix="1" applyNumberFormat="1" applyFont="1" applyFill="1" applyBorder="1" applyProtection="1"/>
    <xf numFmtId="37" fontId="18" fillId="0" borderId="0" xfId="4" applyNumberFormat="1" applyFont="1" applyFill="1" applyBorder="1" applyProtection="1"/>
    <xf numFmtId="37" fontId="18" fillId="0" borderId="0" xfId="20" applyNumberFormat="1" applyFont="1" applyFill="1" applyBorder="1" applyAlignment="1" applyProtection="1">
      <alignment horizontal="left"/>
    </xf>
    <xf numFmtId="10" fontId="18" fillId="0" borderId="0" xfId="4" applyNumberFormat="1" applyFont="1" applyFill="1" applyBorder="1"/>
    <xf numFmtId="0" fontId="18" fillId="0" borderId="0" xfId="19" applyFont="1" applyFill="1" applyAlignment="1" applyProtection="1">
      <alignment horizontal="centerContinuous"/>
    </xf>
    <xf numFmtId="0" fontId="18" fillId="0" borderId="0" xfId="19" applyFont="1" applyFill="1" applyAlignment="1">
      <alignment horizontal="centerContinuous"/>
    </xf>
    <xf numFmtId="0" fontId="18" fillId="0" borderId="0" xfId="19" applyFont="1" applyFill="1"/>
    <xf numFmtId="37" fontId="18" fillId="0" borderId="0" xfId="19" applyNumberFormat="1" applyFont="1" applyFill="1" applyProtection="1"/>
    <xf numFmtId="0" fontId="18" fillId="0" borderId="0" xfId="19" applyFont="1" applyFill="1" applyProtection="1"/>
    <xf numFmtId="0" fontId="18" fillId="0" borderId="0" xfId="19" applyFont="1" applyFill="1" applyAlignment="1" applyProtection="1">
      <alignment horizontal="left"/>
    </xf>
    <xf numFmtId="0" fontId="18" fillId="0" borderId="15" xfId="19" applyFont="1" applyFill="1" applyBorder="1" applyAlignment="1" applyProtection="1">
      <alignment horizontal="fill"/>
    </xf>
    <xf numFmtId="0" fontId="18" fillId="0" borderId="0" xfId="19" applyFont="1" applyFill="1" applyBorder="1" applyAlignment="1" applyProtection="1">
      <alignment horizontal="fill"/>
    </xf>
    <xf numFmtId="0" fontId="18" fillId="0" borderId="0" xfId="19" applyFont="1" applyFill="1" applyBorder="1" applyAlignment="1" applyProtection="1">
      <alignment horizontal="center"/>
    </xf>
    <xf numFmtId="0" fontId="18" fillId="0" borderId="0" xfId="19" applyFont="1" applyFill="1" applyAlignment="1" applyProtection="1">
      <alignment horizontal="center"/>
    </xf>
    <xf numFmtId="0" fontId="18" fillId="0" borderId="0" xfId="19" quotePrefix="1" applyFont="1" applyFill="1" applyAlignment="1" applyProtection="1">
      <alignment horizontal="center"/>
    </xf>
    <xf numFmtId="37" fontId="42" fillId="0" borderId="0" xfId="19" applyNumberFormat="1" applyFont="1" applyFill="1" applyProtection="1"/>
    <xf numFmtId="37" fontId="49" fillId="0" borderId="0" xfId="19" applyNumberFormat="1" applyFont="1" applyFill="1" applyProtection="1"/>
    <xf numFmtId="37" fontId="18" fillId="0" borderId="0" xfId="19" quotePrefix="1" applyNumberFormat="1" applyFont="1" applyFill="1" applyProtection="1"/>
    <xf numFmtId="0" fontId="18" fillId="0" borderId="0" xfId="19" applyFont="1" applyFill="1" applyAlignment="1">
      <alignment horizontal="center"/>
    </xf>
    <xf numFmtId="0" fontId="44" fillId="0" borderId="0" xfId="19" applyFont="1" applyFill="1" applyProtection="1">
      <protection locked="0"/>
    </xf>
    <xf numFmtId="37" fontId="18" fillId="0" borderId="0" xfId="19" applyNumberFormat="1" applyFont="1" applyFill="1" applyAlignment="1" applyProtection="1">
      <alignment horizontal="right"/>
    </xf>
    <xf numFmtId="37" fontId="44" fillId="0" borderId="0" xfId="19" applyNumberFormat="1" applyFont="1" applyFill="1" applyProtection="1">
      <protection locked="0"/>
    </xf>
    <xf numFmtId="37" fontId="44" fillId="0" borderId="0" xfId="19" applyNumberFormat="1" applyFont="1" applyFill="1" applyProtection="1"/>
    <xf numFmtId="37" fontId="97" fillId="0" borderId="0" xfId="19" applyNumberFormat="1" applyFont="1" applyFill="1" applyProtection="1"/>
    <xf numFmtId="37" fontId="18" fillId="0" borderId="0" xfId="19" applyNumberFormat="1" applyFont="1" applyFill="1" applyBorder="1" applyProtection="1"/>
    <xf numFmtId="0" fontId="18" fillId="0" borderId="0" xfId="19" applyFont="1" applyFill="1" applyBorder="1"/>
    <xf numFmtId="0" fontId="18" fillId="0" borderId="0" xfId="19" quotePrefix="1" applyFont="1" applyFill="1" applyAlignment="1" applyProtection="1">
      <alignment horizontal="left"/>
    </xf>
    <xf numFmtId="167" fontId="18" fillId="0" borderId="0" xfId="19" applyNumberFormat="1" applyFont="1" applyFill="1" applyAlignment="1" applyProtection="1">
      <alignment horizontal="left"/>
    </xf>
    <xf numFmtId="0" fontId="42" fillId="0" borderId="0" xfId="19" applyFont="1" applyFill="1" applyAlignment="1" applyProtection="1">
      <alignment horizontal="center"/>
    </xf>
    <xf numFmtId="0" fontId="18" fillId="0" borderId="0" xfId="19" applyFont="1" applyFill="1" applyAlignment="1" applyProtection="1">
      <alignment horizontal="fill"/>
    </xf>
    <xf numFmtId="37" fontId="18" fillId="0" borderId="0" xfId="19" applyNumberFormat="1" applyFont="1" applyFill="1" applyAlignment="1" applyProtection="1">
      <alignment horizontal="center"/>
    </xf>
    <xf numFmtId="0" fontId="18" fillId="0" borderId="0" xfId="19" applyFont="1" applyFill="1" applyAlignment="1"/>
    <xf numFmtId="37" fontId="97" fillId="0" borderId="0" xfId="19" applyNumberFormat="1" applyFont="1" applyFill="1" applyAlignment="1" applyProtection="1">
      <alignment horizontal="right"/>
    </xf>
    <xf numFmtId="37" fontId="73" fillId="0" borderId="0" xfId="19" applyNumberFormat="1" applyFont="1" applyFill="1" applyProtection="1"/>
    <xf numFmtId="0" fontId="18" fillId="0" borderId="0" xfId="19" quotePrefix="1" applyFont="1" applyFill="1" applyAlignment="1"/>
    <xf numFmtId="10" fontId="18" fillId="0" borderId="0" xfId="19" applyNumberFormat="1" applyFont="1" applyFill="1" applyProtection="1"/>
    <xf numFmtId="181" fontId="22" fillId="0" borderId="0" xfId="12" applyFont="1" applyFill="1" applyAlignment="1" applyProtection="1">
      <alignment horizontal="centerContinuous"/>
    </xf>
    <xf numFmtId="181" fontId="22" fillId="0" borderId="0" xfId="12" applyNumberFormat="1" applyFont="1" applyFill="1" applyAlignment="1" applyProtection="1">
      <alignment horizontal="centerContinuous"/>
      <protection locked="0"/>
    </xf>
    <xf numFmtId="181" fontId="22" fillId="0" borderId="0" xfId="12" applyFont="1" applyFill="1" applyAlignment="1" applyProtection="1">
      <alignment horizontal="center"/>
    </xf>
    <xf numFmtId="0" fontId="210" fillId="0" borderId="0" xfId="0" applyFont="1" applyFill="1" applyAlignment="1">
      <alignment vertical="center"/>
    </xf>
    <xf numFmtId="181" fontId="22" fillId="0" borderId="0" xfId="12" applyFont="1" applyFill="1" applyAlignment="1" applyProtection="1">
      <alignment horizontal="right"/>
    </xf>
    <xf numFmtId="181" fontId="22" fillId="0" borderId="0" xfId="12" applyFont="1" applyFill="1" applyBorder="1" applyAlignment="1" applyProtection="1">
      <alignment horizontal="centerContinuous"/>
    </xf>
    <xf numFmtId="181" fontId="22" fillId="0" borderId="0" xfId="12" quotePrefix="1" applyNumberFormat="1" applyFont="1" applyFill="1" applyBorder="1" applyAlignment="1" applyProtection="1">
      <alignment horizontal="centerContinuous"/>
      <protection locked="0"/>
    </xf>
    <xf numFmtId="181" fontId="22" fillId="0" borderId="0" xfId="12" applyFont="1" applyFill="1" applyBorder="1" applyProtection="1"/>
    <xf numFmtId="181" fontId="22" fillId="0" borderId="0" xfId="12" applyFont="1" applyFill="1" applyBorder="1" applyAlignment="1" applyProtection="1">
      <alignment horizontal="fill"/>
    </xf>
    <xf numFmtId="37" fontId="22" fillId="0" borderId="0" xfId="12" applyNumberFormat="1" applyFont="1" applyFill="1" applyBorder="1" applyAlignment="1" applyProtection="1">
      <alignment horizontal="left"/>
      <protection locked="0"/>
    </xf>
    <xf numFmtId="181" fontId="22" fillId="0" borderId="0" xfId="12" quotePrefix="1" applyFont="1" applyFill="1" applyBorder="1" applyAlignment="1">
      <alignment horizontal="left"/>
    </xf>
    <xf numFmtId="0" fontId="18" fillId="0" borderId="0" xfId="17" applyFont="1" applyFill="1" applyAlignment="1" applyProtection="1">
      <alignment horizontal="centerContinuous"/>
    </xf>
    <xf numFmtId="0" fontId="18" fillId="0" borderId="0" xfId="17" applyFont="1" applyFill="1" applyAlignment="1">
      <alignment horizontal="centerContinuous"/>
    </xf>
    <xf numFmtId="0" fontId="18" fillId="0" borderId="0" xfId="17" applyFont="1" applyFill="1"/>
    <xf numFmtId="0" fontId="18" fillId="0" borderId="0" xfId="17" applyFont="1" applyFill="1" applyProtection="1"/>
    <xf numFmtId="0" fontId="18" fillId="0" borderId="0" xfId="17" applyFont="1" applyFill="1" applyAlignment="1" applyProtection="1">
      <alignment horizontal="left"/>
    </xf>
    <xf numFmtId="0" fontId="18" fillId="0" borderId="15" xfId="17" applyFont="1" applyFill="1" applyBorder="1" applyAlignment="1" applyProtection="1">
      <alignment horizontal="fill"/>
    </xf>
    <xf numFmtId="0" fontId="18" fillId="0" borderId="0" xfId="17" applyFont="1" applyFill="1" applyBorder="1" applyAlignment="1" applyProtection="1">
      <alignment horizontal="fill"/>
    </xf>
    <xf numFmtId="0" fontId="18" fillId="0" borderId="0" xfId="17" applyFont="1" applyFill="1" applyBorder="1"/>
    <xf numFmtId="0" fontId="44" fillId="0" borderId="0" xfId="17" applyFont="1" applyFill="1" applyAlignment="1" applyProtection="1">
      <alignment horizontal="center"/>
      <protection locked="0"/>
    </xf>
    <xf numFmtId="0" fontId="44" fillId="0" borderId="0" xfId="17" applyFont="1" applyFill="1" applyProtection="1">
      <protection locked="0"/>
    </xf>
    <xf numFmtId="0" fontId="18" fillId="0" borderId="0" xfId="17" applyFont="1" applyFill="1" applyAlignment="1">
      <alignment horizontal="center"/>
    </xf>
    <xf numFmtId="0" fontId="18" fillId="0" borderId="15" xfId="17" applyFont="1" applyFill="1" applyBorder="1" applyAlignment="1" applyProtection="1">
      <alignment horizontal="center"/>
    </xf>
    <xf numFmtId="0" fontId="33" fillId="0" borderId="0" xfId="17" applyFont="1" applyFill="1"/>
    <xf numFmtId="37" fontId="44" fillId="0" borderId="0" xfId="17" applyNumberFormat="1" applyFont="1" applyFill="1" applyProtection="1"/>
    <xf numFmtId="37" fontId="18" fillId="0" borderId="0" xfId="17" applyNumberFormat="1" applyFont="1" applyFill="1" applyAlignment="1" applyProtection="1">
      <alignment horizontal="left"/>
    </xf>
    <xf numFmtId="166" fontId="18" fillId="0" borderId="0" xfId="17" applyNumberFormat="1" applyFont="1" applyFill="1" applyProtection="1"/>
    <xf numFmtId="5" fontId="18" fillId="0" borderId="0" xfId="17" applyNumberFormat="1" applyFont="1" applyFill="1" applyProtection="1"/>
    <xf numFmtId="5" fontId="44" fillId="0" borderId="0" xfId="17" applyNumberFormat="1" applyFont="1" applyFill="1" applyProtection="1"/>
    <xf numFmtId="165" fontId="18" fillId="0" borderId="0" xfId="17" applyNumberFormat="1" applyFont="1" applyFill="1" applyProtection="1"/>
    <xf numFmtId="37" fontId="18" fillId="0" borderId="0" xfId="17" applyNumberFormat="1" applyFont="1" applyFill="1" applyProtection="1"/>
    <xf numFmtId="37" fontId="18" fillId="0" borderId="0" xfId="17" applyNumberFormat="1" applyFont="1" applyFill="1"/>
    <xf numFmtId="165" fontId="18" fillId="0" borderId="0" xfId="17" applyNumberFormat="1" applyFont="1" applyFill="1" applyAlignment="1" applyProtection="1">
      <alignment horizontal="center"/>
    </xf>
    <xf numFmtId="0" fontId="18" fillId="0" borderId="0" xfId="17" applyFont="1" applyFill="1" applyAlignment="1" applyProtection="1">
      <alignment horizontal="left" indent="2"/>
    </xf>
    <xf numFmtId="0" fontId="18" fillId="0" borderId="0" xfId="17" applyFont="1" applyFill="1" applyAlignment="1">
      <alignment horizontal="left" indent="2"/>
    </xf>
    <xf numFmtId="37" fontId="44" fillId="0" borderId="15" xfId="16" applyNumberFormat="1" applyFont="1" applyFill="1" applyBorder="1"/>
    <xf numFmtId="37" fontId="44" fillId="0" borderId="15" xfId="16" applyNumberFormat="1" applyFont="1" applyFill="1" applyBorder="1" applyProtection="1">
      <protection locked="0"/>
    </xf>
    <xf numFmtId="37" fontId="72" fillId="0" borderId="15" xfId="8" applyNumberFormat="1" applyFont="1" applyFill="1" applyBorder="1"/>
    <xf numFmtId="0" fontId="18" fillId="0" borderId="0" xfId="16" applyFont="1" applyFill="1" applyProtection="1"/>
    <xf numFmtId="37" fontId="47" fillId="0" borderId="15" xfId="16" applyNumberFormat="1" applyFont="1" applyFill="1" applyBorder="1" applyAlignment="1" applyProtection="1">
      <alignment horizontal="center"/>
      <protection locked="0"/>
    </xf>
    <xf numFmtId="37" fontId="44" fillId="0" borderId="0" xfId="16" applyNumberFormat="1" applyFont="1" applyFill="1" applyAlignment="1">
      <alignment horizontal="right"/>
    </xf>
    <xf numFmtId="184" fontId="18" fillId="0" borderId="0" xfId="16" applyNumberFormat="1" applyFont="1" applyFill="1"/>
    <xf numFmtId="37" fontId="18" fillId="0" borderId="0" xfId="16" applyNumberFormat="1" applyFont="1" applyFill="1" applyBorder="1" applyAlignment="1">
      <alignment horizontal="right"/>
    </xf>
    <xf numFmtId="37" fontId="18" fillId="0" borderId="15" xfId="16" applyNumberFormat="1" applyFont="1" applyFill="1" applyBorder="1" applyAlignment="1">
      <alignment horizontal="right"/>
    </xf>
    <xf numFmtId="0" fontId="18" fillId="0" borderId="0" xfId="16" quotePrefix="1" applyFont="1" applyFill="1"/>
    <xf numFmtId="3" fontId="18" fillId="0" borderId="0" xfId="16" applyNumberFormat="1" applyFont="1" applyFill="1" applyAlignment="1">
      <alignment horizontal="center"/>
    </xf>
    <xf numFmtId="37" fontId="97" fillId="0" borderId="0" xfId="16" applyNumberFormat="1" applyFont="1" applyFill="1"/>
    <xf numFmtId="0" fontId="42" fillId="0" borderId="0" xfId="16" applyFont="1" applyFill="1"/>
    <xf numFmtId="0" fontId="18" fillId="0" borderId="0" xfId="15" applyFont="1" applyFill="1" applyAlignment="1" applyProtection="1">
      <alignment horizontal="centerContinuous"/>
    </xf>
    <xf numFmtId="0" fontId="18" fillId="0" borderId="0" xfId="15" applyFont="1" applyFill="1" applyAlignment="1">
      <alignment horizontal="centerContinuous"/>
    </xf>
    <xf numFmtId="0" fontId="18" fillId="0" borderId="0" xfId="15" applyFont="1" applyFill="1" applyProtection="1"/>
    <xf numFmtId="0" fontId="18" fillId="0" borderId="15" xfId="15" applyFont="1" applyFill="1" applyBorder="1" applyAlignment="1" applyProtection="1">
      <alignment horizontal="fill"/>
    </xf>
    <xf numFmtId="0" fontId="18" fillId="0" borderId="0" xfId="15" applyFont="1" applyFill="1" applyBorder="1" applyAlignment="1" applyProtection="1">
      <alignment horizontal="fill"/>
    </xf>
    <xf numFmtId="0" fontId="42" fillId="0" borderId="0" xfId="15" applyFont="1" applyFill="1" applyAlignment="1">
      <alignment horizontal="centerContinuous"/>
    </xf>
    <xf numFmtId="0" fontId="18" fillId="0" borderId="0" xfId="15" applyFont="1" applyFill="1" applyBorder="1" applyAlignment="1">
      <alignment horizontal="center"/>
    </xf>
    <xf numFmtId="0" fontId="18" fillId="0" borderId="0" xfId="15" quotePrefix="1" applyFont="1" applyFill="1" applyAlignment="1">
      <alignment horizontal="center"/>
    </xf>
    <xf numFmtId="37" fontId="18" fillId="0" borderId="0" xfId="15" applyNumberFormat="1" applyFont="1" applyFill="1" applyProtection="1"/>
    <xf numFmtId="37" fontId="42" fillId="0" borderId="0" xfId="15" applyNumberFormat="1" applyFont="1" applyFill="1" applyAlignment="1">
      <alignment horizontal="right"/>
    </xf>
    <xf numFmtId="0" fontId="18" fillId="0" borderId="0" xfId="15" applyFont="1" applyFill="1" applyAlignment="1">
      <alignment horizontal="right"/>
    </xf>
    <xf numFmtId="37" fontId="42" fillId="0" borderId="0" xfId="15" applyNumberFormat="1" applyFont="1" applyFill="1" applyBorder="1"/>
    <xf numFmtId="0" fontId="18" fillId="0" borderId="0" xfId="15" applyFont="1" applyFill="1" applyAlignment="1">
      <alignment horizontal="left" indent="1"/>
    </xf>
    <xf numFmtId="3" fontId="18" fillId="0" borderId="0" xfId="15" applyNumberFormat="1" applyFont="1" applyFill="1"/>
    <xf numFmtId="37" fontId="44" fillId="0" borderId="0" xfId="15" applyNumberFormat="1" applyFont="1" applyFill="1"/>
    <xf numFmtId="37" fontId="97" fillId="0" borderId="0" xfId="15" applyNumberFormat="1" applyFont="1" applyFill="1" applyBorder="1"/>
    <xf numFmtId="37" fontId="18" fillId="0" borderId="0" xfId="15" applyNumberFormat="1" applyFont="1" applyFill="1" applyBorder="1" applyProtection="1"/>
    <xf numFmtId="37" fontId="18" fillId="0" borderId="0" xfId="15" applyNumberFormat="1" applyFont="1" applyFill="1" applyAlignment="1" applyProtection="1">
      <alignment horizontal="right"/>
    </xf>
    <xf numFmtId="37" fontId="18" fillId="0" borderId="0" xfId="15" applyNumberFormat="1" applyFont="1" applyFill="1" applyAlignment="1">
      <alignment horizontal="centerContinuous"/>
    </xf>
    <xf numFmtId="0" fontId="18" fillId="0" borderId="15" xfId="15" applyFont="1" applyFill="1" applyBorder="1"/>
    <xf numFmtId="37" fontId="18" fillId="0" borderId="15" xfId="15" applyNumberFormat="1" applyFont="1" applyFill="1" applyBorder="1"/>
    <xf numFmtId="37" fontId="42" fillId="0" borderId="0" xfId="15" applyNumberFormat="1" applyFont="1" applyFill="1" applyAlignment="1">
      <alignment horizontal="centerContinuous"/>
    </xf>
    <xf numFmtId="0" fontId="44" fillId="0" borderId="0" xfId="15" applyFont="1" applyFill="1"/>
    <xf numFmtId="166" fontId="18" fillId="0" borderId="0" xfId="46" applyNumberFormat="1" applyFont="1" applyFill="1" applyAlignment="1" applyProtection="1">
      <alignment horizontal="center"/>
    </xf>
    <xf numFmtId="3" fontId="18" fillId="0" borderId="0" xfId="15" applyNumberFormat="1" applyFont="1" applyFill="1" applyAlignment="1">
      <alignment horizontal="center"/>
    </xf>
    <xf numFmtId="0" fontId="18" fillId="0" borderId="0" xfId="15" applyFont="1" applyFill="1" applyBorder="1"/>
    <xf numFmtId="37" fontId="18" fillId="0" borderId="0" xfId="15" applyNumberFormat="1" applyFont="1" applyFill="1" applyBorder="1"/>
    <xf numFmtId="0" fontId="18" fillId="0" borderId="0" xfId="62" applyFont="1" applyFill="1" applyAlignment="1" applyProtection="1">
      <alignment horizontal="centerContinuous"/>
    </xf>
    <xf numFmtId="0" fontId="18" fillId="0" borderId="0" xfId="62" quotePrefix="1" applyFont="1" applyFill="1" applyAlignment="1" applyProtection="1">
      <alignment horizontal="centerContinuous"/>
    </xf>
    <xf numFmtId="0" fontId="18" fillId="0" borderId="0" xfId="62" applyFont="1" applyFill="1" applyBorder="1"/>
    <xf numFmtId="176" fontId="18" fillId="0" borderId="0" xfId="62" applyNumberFormat="1" applyFont="1" applyFill="1" applyProtection="1"/>
    <xf numFmtId="37" fontId="18" fillId="0" borderId="0" xfId="62" applyNumberFormat="1" applyFont="1" applyFill="1" applyProtection="1"/>
    <xf numFmtId="0" fontId="18" fillId="0" borderId="0" xfId="62" applyFont="1" applyFill="1" applyAlignment="1" applyProtection="1">
      <alignment horizontal="left"/>
    </xf>
    <xf numFmtId="37" fontId="18" fillId="0" borderId="0" xfId="62" applyNumberFormat="1" applyFont="1" applyFill="1" applyAlignment="1" applyProtection="1">
      <alignment horizontal="left"/>
    </xf>
    <xf numFmtId="0" fontId="18" fillId="0" borderId="0" xfId="62" applyFont="1" applyFill="1" applyProtection="1"/>
    <xf numFmtId="0" fontId="18" fillId="0" borderId="15" xfId="62" applyFont="1" applyFill="1" applyBorder="1"/>
    <xf numFmtId="37" fontId="18" fillId="0" borderId="15" xfId="62" applyNumberFormat="1" applyFont="1" applyFill="1" applyBorder="1" applyProtection="1"/>
    <xf numFmtId="176" fontId="18" fillId="0" borderId="15" xfId="62" applyNumberFormat="1" applyFont="1" applyFill="1" applyBorder="1" applyProtection="1"/>
    <xf numFmtId="0" fontId="18" fillId="0" borderId="0" xfId="62" applyFont="1" applyFill="1" applyAlignment="1" applyProtection="1">
      <alignment horizontal="center"/>
    </xf>
    <xf numFmtId="37" fontId="18" fillId="0" borderId="0" xfId="62" applyNumberFormat="1" applyFont="1" applyFill="1" applyAlignment="1" applyProtection="1">
      <alignment horizontal="center"/>
    </xf>
    <xf numFmtId="0" fontId="18" fillId="0" borderId="0" xfId="62" applyFont="1" applyFill="1" applyAlignment="1">
      <alignment horizontal="center"/>
    </xf>
    <xf numFmtId="10" fontId="18" fillId="0" borderId="0" xfId="62" applyNumberFormat="1" applyFont="1" applyFill="1"/>
    <xf numFmtId="37" fontId="18" fillId="0" borderId="0" xfId="62" applyNumberFormat="1" applyFont="1" applyFill="1"/>
    <xf numFmtId="37" fontId="18" fillId="0" borderId="0" xfId="62" applyNumberFormat="1" applyFont="1" applyFill="1" applyBorder="1"/>
    <xf numFmtId="37" fontId="18" fillId="0" borderId="15" xfId="62" applyNumberFormat="1" applyFont="1" applyFill="1" applyBorder="1"/>
    <xf numFmtId="0" fontId="18" fillId="0" borderId="0" xfId="61" applyFont="1" applyFill="1" applyProtection="1"/>
    <xf numFmtId="0" fontId="0" fillId="0" borderId="0" xfId="60" applyFont="1" applyFill="1" applyBorder="1"/>
    <xf numFmtId="0" fontId="18" fillId="0" borderId="0" xfId="60" applyFont="1" applyFill="1" applyBorder="1"/>
    <xf numFmtId="37" fontId="72" fillId="0" borderId="0" xfId="0" applyNumberFormat="1" applyFont="1" applyFill="1" applyBorder="1" applyProtection="1"/>
    <xf numFmtId="0" fontId="18" fillId="0" borderId="0" xfId="60" applyFont="1" applyFill="1" applyBorder="1" applyAlignment="1" applyProtection="1">
      <alignment horizontal="left"/>
    </xf>
    <xf numFmtId="0" fontId="0" fillId="0" borderId="0" xfId="60" applyFont="1" applyFill="1" applyAlignment="1" applyProtection="1">
      <alignment horizontal="left"/>
    </xf>
    <xf numFmtId="0" fontId="18" fillId="0" borderId="168" xfId="61" applyFont="1" applyFill="1" applyBorder="1" applyAlignment="1">
      <alignment horizontal="center"/>
    </xf>
    <xf numFmtId="0" fontId="18" fillId="0" borderId="168" xfId="61" applyFont="1" applyFill="1" applyBorder="1"/>
    <xf numFmtId="37" fontId="18" fillId="0" borderId="168" xfId="0" applyNumberFormat="1" applyFont="1" applyFill="1" applyBorder="1" applyProtection="1"/>
    <xf numFmtId="2" fontId="18" fillId="0" borderId="168" xfId="61" applyNumberFormat="1" applyFont="1" applyFill="1" applyBorder="1"/>
    <xf numFmtId="37" fontId="18" fillId="0" borderId="168" xfId="61" applyNumberFormat="1" applyFont="1" applyFill="1" applyBorder="1" applyProtection="1"/>
    <xf numFmtId="2" fontId="18" fillId="0" borderId="0" xfId="61" applyNumberFormat="1" applyFont="1" applyFill="1" applyBorder="1"/>
    <xf numFmtId="37" fontId="18" fillId="0" borderId="0" xfId="61" applyNumberFormat="1" applyFont="1" applyFill="1" applyBorder="1" applyProtection="1"/>
    <xf numFmtId="37" fontId="18" fillId="0" borderId="0" xfId="61" applyNumberFormat="1" applyFont="1" applyFill="1" applyBorder="1"/>
    <xf numFmtId="0" fontId="42" fillId="0" borderId="0" xfId="61" applyFont="1" applyFill="1" applyBorder="1"/>
    <xf numFmtId="0" fontId="24" fillId="0" borderId="0" xfId="61" applyFont="1" applyFill="1" applyAlignment="1">
      <alignment horizontal="centerContinuous"/>
    </xf>
    <xf numFmtId="0" fontId="24" fillId="0" borderId="0" xfId="61" applyFont="1" applyFill="1" applyBorder="1" applyAlignment="1">
      <alignment horizontal="centerContinuous"/>
    </xf>
    <xf numFmtId="10" fontId="18" fillId="0" borderId="0" xfId="61" applyNumberFormat="1" applyFont="1" applyFill="1" applyAlignment="1" applyProtection="1">
      <alignment horizontal="centerContinuous"/>
    </xf>
    <xf numFmtId="37" fontId="18" fillId="0" borderId="0" xfId="61" applyNumberFormat="1" applyFont="1" applyFill="1" applyAlignment="1" applyProtection="1">
      <alignment horizontal="centerContinuous"/>
    </xf>
    <xf numFmtId="0" fontId="24" fillId="0" borderId="0" xfId="61" applyFont="1" applyFill="1"/>
    <xf numFmtId="10" fontId="18" fillId="0" borderId="0" xfId="61" applyNumberFormat="1" applyFont="1" applyFill="1" applyAlignment="1">
      <alignment horizontal="centerContinuous"/>
    </xf>
    <xf numFmtId="10" fontId="18" fillId="0" borderId="0" xfId="61" applyNumberFormat="1" applyFont="1" applyFill="1"/>
    <xf numFmtId="37" fontId="18" fillId="0" borderId="0" xfId="61" applyNumberFormat="1" applyFont="1" applyFill="1" applyAlignment="1" applyProtection="1">
      <alignment horizontal="center"/>
    </xf>
    <xf numFmtId="10" fontId="18" fillId="0" borderId="0" xfId="61" applyNumberFormat="1" applyFont="1" applyFill="1" applyAlignment="1" applyProtection="1">
      <alignment horizontal="center"/>
    </xf>
    <xf numFmtId="0" fontId="18" fillId="0" borderId="15" xfId="61" applyFont="1" applyFill="1" applyBorder="1" applyAlignment="1" applyProtection="1">
      <alignment horizontal="center"/>
    </xf>
    <xf numFmtId="37" fontId="18" fillId="0" borderId="15" xfId="61" applyNumberFormat="1" applyFont="1" applyFill="1" applyBorder="1" applyAlignment="1" applyProtection="1">
      <alignment horizontal="center"/>
    </xf>
    <xf numFmtId="10" fontId="18" fillId="0" borderId="15" xfId="61" applyNumberFormat="1" applyFont="1" applyFill="1" applyBorder="1" applyAlignment="1" applyProtection="1">
      <alignment horizontal="center"/>
    </xf>
    <xf numFmtId="37" fontId="18" fillId="0" borderId="0" xfId="61" applyNumberFormat="1" applyFont="1" applyFill="1" applyBorder="1" applyAlignment="1" applyProtection="1">
      <alignment horizontal="center"/>
    </xf>
    <xf numFmtId="10" fontId="72" fillId="0" borderId="0" xfId="61" applyNumberFormat="1" applyFont="1" applyFill="1" applyProtection="1"/>
    <xf numFmtId="37" fontId="44" fillId="0" borderId="0" xfId="61" applyNumberFormat="1" applyFont="1" applyFill="1" applyProtection="1"/>
    <xf numFmtId="37" fontId="72" fillId="0" borderId="0" xfId="61" applyNumberFormat="1" applyFont="1" applyFill="1" applyProtection="1"/>
    <xf numFmtId="0" fontId="18" fillId="0" borderId="0" xfId="61" applyFont="1" applyFill="1" applyBorder="1" applyAlignment="1" applyProtection="1">
      <alignment horizontal="centerContinuous"/>
    </xf>
    <xf numFmtId="0" fontId="18" fillId="0" borderId="0" xfId="61" applyFont="1" applyFill="1" applyBorder="1" applyAlignment="1">
      <alignment horizontal="centerContinuous"/>
    </xf>
    <xf numFmtId="10" fontId="24" fillId="0" borderId="0" xfId="61" applyNumberFormat="1" applyFont="1" applyFill="1"/>
    <xf numFmtId="0" fontId="18" fillId="0" borderId="0" xfId="61" applyFont="1" applyFill="1" applyAlignment="1" applyProtection="1">
      <alignment horizontal="center" vertical="center" wrapText="1"/>
    </xf>
    <xf numFmtId="0" fontId="18" fillId="0" borderId="0" xfId="61" quotePrefix="1" applyFont="1" applyFill="1" applyBorder="1" applyAlignment="1" applyProtection="1">
      <alignment horizontal="left" vertical="center" wrapText="1"/>
    </xf>
    <xf numFmtId="10" fontId="72" fillId="0" borderId="0" xfId="61" applyNumberFormat="1" applyFont="1" applyFill="1" applyAlignment="1" applyProtection="1">
      <alignment vertical="center" wrapText="1"/>
    </xf>
    <xf numFmtId="37" fontId="44" fillId="0" borderId="0" xfId="61" applyNumberFormat="1" applyFont="1" applyFill="1" applyAlignment="1" applyProtection="1">
      <alignment horizontal="right" vertical="center" wrapText="1"/>
    </xf>
    <xf numFmtId="0" fontId="24" fillId="0" borderId="0" xfId="61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37" fontId="44" fillId="0" borderId="0" xfId="61" applyNumberFormat="1" applyFont="1" applyFill="1" applyAlignment="1" applyProtection="1">
      <alignment horizontal="right"/>
    </xf>
    <xf numFmtId="37" fontId="44" fillId="0" borderId="0" xfId="61" applyNumberFormat="1" applyFont="1" applyFill="1" applyAlignment="1" applyProtection="1">
      <alignment horizontal="left"/>
    </xf>
    <xf numFmtId="37" fontId="72" fillId="0" borderId="0" xfId="61" applyNumberFormat="1" applyFont="1" applyFill="1" applyAlignment="1" applyProtection="1">
      <alignment horizontal="left"/>
    </xf>
    <xf numFmtId="0" fontId="24" fillId="0" borderId="0" xfId="61" applyFont="1" applyFill="1" applyBorder="1"/>
    <xf numFmtId="10" fontId="72" fillId="0" borderId="0" xfId="61" applyNumberFormat="1" applyFont="1" applyFill="1"/>
    <xf numFmtId="37" fontId="18" fillId="0" borderId="15" xfId="61" applyNumberFormat="1" applyFont="1" applyFill="1" applyBorder="1" applyProtection="1"/>
    <xf numFmtId="10" fontId="18" fillId="0" borderId="15" xfId="61" applyNumberFormat="1" applyFont="1" applyFill="1" applyBorder="1" applyProtection="1"/>
    <xf numFmtId="37" fontId="24" fillId="0" borderId="0" xfId="61" applyNumberFormat="1" applyFont="1" applyFill="1"/>
    <xf numFmtId="37" fontId="44" fillId="0" borderId="0" xfId="0" applyNumberFormat="1" applyFont="1" applyFill="1" applyAlignment="1" applyProtection="1"/>
    <xf numFmtId="10" fontId="94" fillId="0" borderId="0" xfId="61" applyNumberFormat="1" applyFont="1" applyFill="1"/>
    <xf numFmtId="2" fontId="18" fillId="0" borderId="0" xfId="60" applyNumberFormat="1" applyFont="1" applyFill="1" applyAlignment="1" applyProtection="1">
      <alignment horizontal="centerContinuous"/>
    </xf>
    <xf numFmtId="2" fontId="18" fillId="0" borderId="0" xfId="60" applyNumberFormat="1" applyFont="1" applyFill="1" applyAlignment="1">
      <alignment horizontal="centerContinuous"/>
    </xf>
    <xf numFmtId="37" fontId="18" fillId="0" borderId="0" xfId="60" applyNumberFormat="1" applyFont="1" applyFill="1" applyAlignment="1">
      <alignment horizontal="centerContinuous"/>
    </xf>
    <xf numFmtId="1" fontId="18" fillId="0" borderId="0" xfId="60" applyNumberFormat="1" applyFont="1" applyFill="1" applyAlignment="1">
      <alignment horizontal="centerContinuous"/>
    </xf>
    <xf numFmtId="0" fontId="18" fillId="0" borderId="0" xfId="60" quotePrefix="1" applyFont="1" applyFill="1" applyAlignment="1" applyProtection="1">
      <alignment horizontal="centerContinuous"/>
    </xf>
    <xf numFmtId="2" fontId="18" fillId="0" borderId="0" xfId="60" applyNumberFormat="1" applyFont="1" applyFill="1"/>
    <xf numFmtId="1" fontId="18" fillId="0" borderId="0" xfId="60" applyNumberFormat="1" applyFont="1" applyFill="1"/>
    <xf numFmtId="2" fontId="18" fillId="0" borderId="0" xfId="60" applyNumberFormat="1" applyFont="1" applyFill="1" applyAlignment="1" applyProtection="1">
      <alignment horizontal="left"/>
    </xf>
    <xf numFmtId="2" fontId="18" fillId="0" borderId="0" xfId="60" applyNumberFormat="1" applyFont="1" applyFill="1" applyProtection="1"/>
    <xf numFmtId="2" fontId="18" fillId="0" borderId="15" xfId="60" applyNumberFormat="1" applyFont="1" applyFill="1" applyBorder="1"/>
    <xf numFmtId="2" fontId="18" fillId="0" borderId="0" xfId="60" applyNumberFormat="1" applyFont="1" applyFill="1" applyAlignment="1" applyProtection="1">
      <alignment horizontal="center"/>
    </xf>
    <xf numFmtId="37" fontId="18" fillId="0" borderId="15" xfId="60" applyNumberFormat="1" applyFont="1" applyFill="1" applyBorder="1" applyAlignment="1" applyProtection="1">
      <alignment horizontal="centerContinuous"/>
    </xf>
    <xf numFmtId="1" fontId="18" fillId="0" borderId="15" xfId="60" applyNumberFormat="1" applyFont="1" applyFill="1" applyBorder="1" applyAlignment="1" applyProtection="1">
      <alignment horizontal="centerContinuous"/>
    </xf>
    <xf numFmtId="2" fontId="18" fillId="0" borderId="15" xfId="60" applyNumberFormat="1" applyFont="1" applyFill="1" applyBorder="1" applyAlignment="1" applyProtection="1">
      <alignment horizontal="centerContinuous"/>
    </xf>
    <xf numFmtId="2" fontId="18" fillId="0" borderId="0" xfId="60" applyNumberFormat="1" applyFont="1" applyFill="1" applyAlignment="1">
      <alignment horizontal="center"/>
    </xf>
    <xf numFmtId="1" fontId="18" fillId="0" borderId="0" xfId="60" applyNumberFormat="1" applyFont="1" applyFill="1" applyAlignment="1" applyProtection="1">
      <alignment horizontal="center"/>
    </xf>
    <xf numFmtId="37" fontId="18" fillId="0" borderId="0" xfId="60" applyNumberFormat="1" applyFont="1" applyFill="1" applyAlignment="1" applyProtection="1">
      <alignment horizontal="center"/>
    </xf>
    <xf numFmtId="1" fontId="18" fillId="0" borderId="0" xfId="60" applyNumberFormat="1" applyFont="1" applyFill="1" applyAlignment="1">
      <alignment horizontal="center"/>
    </xf>
    <xf numFmtId="1" fontId="18" fillId="0" borderId="0" xfId="60" quotePrefix="1" applyNumberFormat="1" applyFont="1" applyFill="1"/>
    <xf numFmtId="3" fontId="18" fillId="0" borderId="0" xfId="60" applyNumberFormat="1" applyFont="1" applyFill="1"/>
    <xf numFmtId="0" fontId="18" fillId="0" borderId="0" xfId="60" applyFont="1" applyFill="1" applyAlignment="1">
      <alignment horizontal="centerContinuous"/>
    </xf>
    <xf numFmtId="0" fontId="18" fillId="0" borderId="0" xfId="60" applyFont="1" applyFill="1" applyProtection="1"/>
    <xf numFmtId="0" fontId="18" fillId="0" borderId="15" xfId="60" applyFont="1" applyFill="1" applyBorder="1"/>
    <xf numFmtId="0" fontId="18" fillId="0" borderId="15" xfId="60" applyFont="1" applyFill="1" applyBorder="1" applyAlignment="1">
      <alignment horizontal="centerContinuous"/>
    </xf>
    <xf numFmtId="0" fontId="24" fillId="0" borderId="0" xfId="60" applyFont="1" applyFill="1" applyAlignment="1">
      <alignment horizontal="centerContinuous"/>
    </xf>
    <xf numFmtId="0" fontId="19" fillId="0" borderId="0" xfId="1489" applyFont="1" applyFill="1" applyAlignment="1">
      <alignment horizontal="center"/>
    </xf>
    <xf numFmtId="0" fontId="18" fillId="0" borderId="0" xfId="1489" applyFont="1" applyFill="1" applyAlignment="1" applyProtection="1">
      <alignment horizontal="center"/>
    </xf>
    <xf numFmtId="0" fontId="37" fillId="0" borderId="0" xfId="60" applyFont="1" applyFill="1" applyAlignment="1" applyProtection="1">
      <alignment horizontal="centerContinuous"/>
    </xf>
    <xf numFmtId="0" fontId="30" fillId="0" borderId="0" xfId="60" applyFont="1" applyFill="1" applyAlignment="1" applyProtection="1">
      <alignment horizontal="left"/>
    </xf>
    <xf numFmtId="0" fontId="44" fillId="0" borderId="0" xfId="60" applyFont="1" applyFill="1" applyAlignment="1" applyProtection="1">
      <alignment horizontal="centerContinuous"/>
    </xf>
    <xf numFmtId="0" fontId="42" fillId="0" borderId="0" xfId="60" applyFont="1" applyFill="1" applyAlignment="1" applyProtection="1">
      <alignment horizontal="left"/>
    </xf>
    <xf numFmtId="37" fontId="72" fillId="0" borderId="0" xfId="0" applyNumberFormat="1" applyFont="1" applyFill="1" applyProtection="1"/>
    <xf numFmtId="39" fontId="18" fillId="0" borderId="0" xfId="0" applyNumberFormat="1" applyFont="1" applyFill="1" applyProtection="1"/>
    <xf numFmtId="3" fontId="44" fillId="0" borderId="0" xfId="0" applyNumberFormat="1" applyFont="1" applyFill="1" applyProtection="1"/>
    <xf numFmtId="37" fontId="72" fillId="0" borderId="0" xfId="60" applyNumberFormat="1" applyFont="1" applyFill="1" applyAlignment="1" applyProtection="1"/>
    <xf numFmtId="39" fontId="72" fillId="0" borderId="0" xfId="0" applyNumberFormat="1" applyFont="1" applyFill="1" applyProtection="1"/>
    <xf numFmtId="37" fontId="72" fillId="0" borderId="0" xfId="0" applyNumberFormat="1" applyFont="1" applyFill="1" applyAlignment="1" applyProtection="1"/>
    <xf numFmtId="37" fontId="18" fillId="0" borderId="0" xfId="0" applyNumberFormat="1" applyFont="1" applyFill="1" applyAlignment="1" applyProtection="1"/>
    <xf numFmtId="0" fontId="18" fillId="0" borderId="0" xfId="60" applyFont="1" applyFill="1" applyAlignment="1" applyProtection="1">
      <alignment horizontal="center" vertical="center"/>
    </xf>
    <xf numFmtId="37" fontId="72" fillId="0" borderId="0" xfId="0" applyNumberFormat="1" applyFont="1" applyFill="1" applyAlignment="1" applyProtection="1">
      <alignment vertical="center"/>
    </xf>
    <xf numFmtId="37" fontId="18" fillId="0" borderId="0" xfId="0" applyNumberFormat="1" applyFont="1" applyFill="1" applyAlignment="1" applyProtection="1">
      <alignment vertical="center"/>
    </xf>
    <xf numFmtId="39" fontId="18" fillId="0" borderId="0" xfId="60" applyNumberFormat="1" applyFont="1" applyFill="1" applyAlignment="1" applyProtection="1">
      <alignment vertical="center"/>
    </xf>
    <xf numFmtId="0" fontId="18" fillId="0" borderId="0" xfId="60" applyFont="1" applyFill="1" applyAlignment="1">
      <alignment vertical="center"/>
    </xf>
    <xf numFmtId="0" fontId="24" fillId="0" borderId="0" xfId="60" applyFont="1" applyFill="1" applyAlignment="1">
      <alignment vertical="center"/>
    </xf>
    <xf numFmtId="0" fontId="0" fillId="0" borderId="0" xfId="0" applyFill="1" applyAlignment="1">
      <alignment vertical="center"/>
    </xf>
    <xf numFmtId="176" fontId="18" fillId="0" borderId="0" xfId="60" applyNumberFormat="1" applyFont="1" applyFill="1" applyProtection="1"/>
    <xf numFmtId="37" fontId="18" fillId="0" borderId="15" xfId="60" applyNumberFormat="1" applyFont="1" applyFill="1" applyBorder="1" applyProtection="1"/>
    <xf numFmtId="176" fontId="18" fillId="0" borderId="15" xfId="60" applyNumberFormat="1" applyFont="1" applyFill="1" applyBorder="1" applyProtection="1"/>
    <xf numFmtId="37" fontId="72" fillId="0" borderId="0" xfId="60" applyNumberFormat="1" applyFont="1" applyFill="1" applyProtection="1"/>
    <xf numFmtId="37" fontId="18" fillId="0" borderId="0" xfId="60" applyNumberFormat="1" applyFont="1" applyFill="1" applyAlignment="1" applyProtection="1"/>
    <xf numFmtId="0" fontId="18" fillId="0" borderId="0" xfId="60" applyFont="1" applyFill="1" applyAlignment="1" applyProtection="1">
      <alignment horizontal="center" vertical="center" wrapText="1"/>
    </xf>
    <xf numFmtId="39" fontId="18" fillId="0" borderId="0" xfId="60" applyNumberFormat="1" applyFont="1" applyFill="1" applyAlignment="1" applyProtection="1">
      <alignment horizontal="left"/>
    </xf>
    <xf numFmtId="37" fontId="44" fillId="0" borderId="0" xfId="0" applyNumberFormat="1" applyFont="1" applyFill="1"/>
    <xf numFmtId="3" fontId="44" fillId="0" borderId="0" xfId="0" applyNumberFormat="1" applyFont="1" applyFill="1" applyAlignment="1" applyProtection="1">
      <alignment horizontal="right"/>
    </xf>
    <xf numFmtId="37" fontId="18" fillId="0" borderId="0" xfId="60" applyNumberFormat="1" applyFont="1" applyFill="1" applyAlignment="1" applyProtection="1">
      <alignment horizontal="left"/>
    </xf>
    <xf numFmtId="0" fontId="18" fillId="0" borderId="0" xfId="60" applyFont="1" applyFill="1" applyAlignment="1">
      <alignment horizontal="center"/>
    </xf>
    <xf numFmtId="0" fontId="18" fillId="0" borderId="15" xfId="60" applyFont="1" applyFill="1" applyBorder="1" applyAlignment="1" applyProtection="1">
      <alignment horizontal="center"/>
    </xf>
    <xf numFmtId="0" fontId="18" fillId="0" borderId="0" xfId="60" applyFont="1" applyFill="1" applyBorder="1" applyAlignment="1">
      <alignment horizontal="right"/>
    </xf>
    <xf numFmtId="2" fontId="18" fillId="0" borderId="0" xfId="60" applyNumberFormat="1" applyFont="1" applyFill="1" applyBorder="1"/>
    <xf numFmtId="37" fontId="18" fillId="0" borderId="0" xfId="60" applyNumberFormat="1" applyFont="1" applyFill="1" applyBorder="1" applyProtection="1"/>
    <xf numFmtId="37" fontId="18" fillId="0" borderId="0" xfId="60" applyNumberFormat="1" applyFont="1" applyFill="1" applyBorder="1"/>
    <xf numFmtId="10" fontId="18" fillId="0" borderId="0" xfId="60" applyNumberFormat="1" applyFont="1" applyFill="1" applyAlignment="1" applyProtection="1">
      <alignment horizontal="centerContinuous"/>
    </xf>
    <xf numFmtId="37" fontId="18" fillId="0" borderId="0" xfId="60" applyNumberFormat="1" applyFont="1" applyFill="1" applyAlignment="1" applyProtection="1">
      <alignment horizontal="centerContinuous"/>
    </xf>
    <xf numFmtId="10" fontId="18" fillId="0" borderId="0" xfId="60" applyNumberFormat="1" applyFont="1" applyFill="1" applyAlignment="1">
      <alignment horizontal="centerContinuous"/>
    </xf>
    <xf numFmtId="10" fontId="18" fillId="0" borderId="0" xfId="60" applyNumberFormat="1" applyFont="1" applyFill="1"/>
    <xf numFmtId="10" fontId="18" fillId="0" borderId="0" xfId="60" applyNumberFormat="1" applyFont="1" applyFill="1" applyAlignment="1" applyProtection="1">
      <alignment horizontal="center"/>
    </xf>
    <xf numFmtId="10" fontId="18" fillId="0" borderId="0" xfId="60" applyNumberFormat="1" applyFont="1" applyFill="1" applyBorder="1" applyAlignment="1" applyProtection="1">
      <alignment horizontal="center"/>
    </xf>
    <xf numFmtId="37" fontId="18" fillId="0" borderId="0" xfId="60" applyNumberFormat="1" applyFont="1" applyFill="1" applyBorder="1" applyAlignment="1" applyProtection="1">
      <alignment horizontal="center"/>
    </xf>
    <xf numFmtId="10" fontId="18" fillId="0" borderId="15" xfId="60" applyNumberFormat="1" applyFont="1" applyFill="1" applyBorder="1" applyAlignment="1" applyProtection="1">
      <alignment horizontal="center"/>
    </xf>
    <xf numFmtId="37" fontId="18" fillId="0" borderId="15" xfId="60" applyNumberFormat="1" applyFont="1" applyFill="1" applyBorder="1" applyAlignment="1" applyProtection="1">
      <alignment horizontal="center"/>
    </xf>
    <xf numFmtId="10" fontId="24" fillId="0" borderId="0" xfId="60" applyNumberFormat="1" applyFont="1" applyFill="1"/>
    <xf numFmtId="37" fontId="44" fillId="0" borderId="0" xfId="60" applyNumberFormat="1" applyFont="1" applyFill="1" applyProtection="1"/>
    <xf numFmtId="10" fontId="18" fillId="0" borderId="15" xfId="60" applyNumberFormat="1" applyFont="1" applyFill="1" applyBorder="1" applyProtection="1"/>
    <xf numFmtId="0" fontId="18" fillId="0" borderId="0" xfId="60" applyFont="1" applyFill="1" applyAlignment="1"/>
    <xf numFmtId="37" fontId="18" fillId="0" borderId="0" xfId="60" applyNumberFormat="1" applyFont="1" applyFill="1" applyAlignment="1" applyProtection="1">
      <alignment horizontal="right"/>
    </xf>
    <xf numFmtId="0" fontId="18" fillId="0" borderId="0" xfId="60" quotePrefix="1" applyFont="1" applyFill="1" applyAlignment="1" applyProtection="1">
      <alignment horizontal="left"/>
    </xf>
    <xf numFmtId="169" fontId="18" fillId="0" borderId="0" xfId="60" applyNumberFormat="1" applyFont="1" applyFill="1" applyProtection="1"/>
    <xf numFmtId="0" fontId="18" fillId="0" borderId="0" xfId="14" applyFont="1" applyFill="1" applyAlignment="1">
      <alignment horizontal="centerContinuous"/>
    </xf>
    <xf numFmtId="0" fontId="18" fillId="0" borderId="0" xfId="14" applyFont="1" applyFill="1" applyAlignment="1" applyProtection="1">
      <alignment horizontal="left"/>
    </xf>
    <xf numFmtId="0" fontId="18" fillId="0" borderId="15" xfId="14" applyFont="1" applyFill="1" applyBorder="1" applyAlignment="1" applyProtection="1">
      <alignment horizontal="fill"/>
    </xf>
    <xf numFmtId="0" fontId="18" fillId="0" borderId="0" xfId="14" applyFont="1" applyFill="1" applyBorder="1" applyAlignment="1" applyProtection="1">
      <alignment horizontal="fill"/>
    </xf>
    <xf numFmtId="0" fontId="18" fillId="0" borderId="0" xfId="14" applyFont="1" applyFill="1" applyAlignment="1" applyProtection="1">
      <alignment horizontal="center"/>
    </xf>
    <xf numFmtId="0" fontId="18" fillId="0" borderId="0" xfId="14" applyFont="1" applyFill="1" applyBorder="1"/>
    <xf numFmtId="0" fontId="42" fillId="0" borderId="0" xfId="14" applyFont="1" applyFill="1" applyAlignment="1">
      <alignment horizontal="centerContinuous"/>
    </xf>
    <xf numFmtId="0" fontId="18" fillId="0" borderId="0" xfId="14" applyFont="1" applyFill="1" applyAlignment="1">
      <alignment horizontal="center"/>
    </xf>
    <xf numFmtId="0" fontId="18" fillId="0" borderId="15" xfId="14" applyFont="1" applyFill="1" applyBorder="1" applyAlignment="1" applyProtection="1">
      <alignment horizontal="center"/>
    </xf>
    <xf numFmtId="0" fontId="18" fillId="0" borderId="0" xfId="14" applyFont="1" applyFill="1" applyAlignment="1" applyProtection="1"/>
    <xf numFmtId="37" fontId="18" fillId="0" borderId="0" xfId="14" applyNumberFormat="1" applyFont="1" applyFill="1" applyAlignment="1" applyProtection="1">
      <alignment horizontal="center"/>
    </xf>
    <xf numFmtId="0" fontId="18" fillId="0" borderId="0" xfId="14" applyFont="1" applyFill="1" applyAlignment="1"/>
    <xf numFmtId="5" fontId="18" fillId="0" borderId="17" xfId="14" applyNumberFormat="1" applyFont="1" applyFill="1" applyBorder="1" applyProtection="1"/>
    <xf numFmtId="0" fontId="18" fillId="0" borderId="0" xfId="14" applyFont="1" applyFill="1" applyAlignment="1" applyProtection="1">
      <alignment horizontal="right"/>
    </xf>
    <xf numFmtId="37" fontId="72" fillId="0" borderId="0" xfId="62" applyNumberFormat="1" applyFont="1" applyFill="1"/>
    <xf numFmtId="37" fontId="72" fillId="0" borderId="0" xfId="62" applyNumberFormat="1" applyFont="1" applyFill="1" applyBorder="1"/>
    <xf numFmtId="176" fontId="42" fillId="0" borderId="168" xfId="62" applyNumberFormat="1" applyFont="1" applyFill="1" applyBorder="1" applyAlignment="1" applyProtection="1">
      <alignment horizontal="centerContinuous"/>
    </xf>
    <xf numFmtId="0" fontId="47" fillId="0" borderId="168" xfId="62" applyFont="1" applyFill="1" applyBorder="1" applyAlignment="1">
      <alignment horizontal="center"/>
    </xf>
    <xf numFmtId="37" fontId="18" fillId="0" borderId="151" xfId="62" applyNumberFormat="1" applyFont="1" applyFill="1" applyBorder="1"/>
    <xf numFmtId="10" fontId="18" fillId="0" borderId="0" xfId="62" applyNumberFormat="1" applyFont="1" applyFill="1" applyAlignment="1">
      <alignment horizontal="center"/>
    </xf>
    <xf numFmtId="202" fontId="18" fillId="0" borderId="0" xfId="53" applyNumberFormat="1" applyFont="1" applyFill="1"/>
    <xf numFmtId="0" fontId="18" fillId="0" borderId="168" xfId="22" applyFont="1" applyFill="1" applyBorder="1" applyAlignment="1" applyProtection="1">
      <alignment horizontal="center"/>
    </xf>
    <xf numFmtId="42" fontId="18" fillId="0" borderId="151" xfId="69" applyNumberFormat="1" applyFont="1" applyFill="1" applyBorder="1"/>
    <xf numFmtId="186" fontId="18" fillId="0" borderId="0" xfId="12" applyNumberFormat="1" applyFont="1" applyFill="1" applyBorder="1" applyProtection="1"/>
    <xf numFmtId="37" fontId="42" fillId="0" borderId="0" xfId="12" applyNumberFormat="1" applyFont="1" applyFill="1" applyBorder="1" applyProtection="1"/>
    <xf numFmtId="186" fontId="18" fillId="0" borderId="0" xfId="12" applyNumberFormat="1" applyFont="1" applyFill="1" applyBorder="1"/>
    <xf numFmtId="181" fontId="42" fillId="0" borderId="0" xfId="12" applyFont="1" applyFill="1" applyBorder="1" applyAlignment="1">
      <alignment horizontal="center"/>
    </xf>
    <xf numFmtId="37" fontId="18" fillId="0" borderId="0" xfId="12" applyNumberFormat="1" applyFont="1" applyFill="1" applyBorder="1"/>
    <xf numFmtId="181" fontId="18" fillId="0" borderId="0" xfId="12" applyFont="1" applyFill="1" applyBorder="1" applyAlignment="1" applyProtection="1">
      <alignment horizontal="center"/>
    </xf>
    <xf numFmtId="166" fontId="18" fillId="0" borderId="0" xfId="19" applyNumberFormat="1" applyFont="1" applyFill="1" applyBorder="1" applyProtection="1"/>
    <xf numFmtId="229" fontId="18" fillId="0" borderId="0" xfId="13" applyNumberFormat="1" applyFont="1" applyFill="1" applyProtection="1"/>
    <xf numFmtId="229" fontId="18" fillId="0" borderId="0" xfId="13" applyNumberFormat="1" applyFont="1" applyFill="1"/>
    <xf numFmtId="0" fontId="47" fillId="0" borderId="168" xfId="60" quotePrefix="1" applyFont="1" applyFill="1" applyBorder="1" applyAlignment="1">
      <alignment horizontal="center"/>
    </xf>
    <xf numFmtId="0" fontId="18" fillId="0" borderId="168" xfId="60" quotePrefix="1" applyFont="1" applyFill="1" applyBorder="1" applyAlignment="1">
      <alignment horizontal="center"/>
    </xf>
    <xf numFmtId="37" fontId="47" fillId="0" borderId="168" xfId="60" applyNumberFormat="1" applyFont="1" applyFill="1" applyBorder="1" applyAlignment="1" applyProtection="1">
      <alignment horizontal="center"/>
    </xf>
    <xf numFmtId="10" fontId="47" fillId="0" borderId="168" xfId="60" applyNumberFormat="1" applyFont="1" applyFill="1" applyBorder="1"/>
    <xf numFmtId="0" fontId="47" fillId="0" borderId="168" xfId="60" quotePrefix="1" applyFont="1" applyFill="1" applyBorder="1" applyAlignment="1" applyProtection="1">
      <alignment horizontal="center"/>
    </xf>
    <xf numFmtId="0" fontId="47" fillId="0" borderId="168" xfId="60" applyFont="1" applyFill="1" applyBorder="1" applyAlignment="1" applyProtection="1">
      <alignment horizontal="center"/>
    </xf>
    <xf numFmtId="0" fontId="18" fillId="0" borderId="168" xfId="60" quotePrefix="1" applyFont="1" applyFill="1" applyBorder="1" applyAlignment="1" applyProtection="1">
      <alignment horizontal="center"/>
    </xf>
    <xf numFmtId="0" fontId="18" fillId="0" borderId="168" xfId="60" applyFont="1" applyFill="1" applyBorder="1" applyAlignment="1" applyProtection="1">
      <alignment horizontal="center"/>
    </xf>
    <xf numFmtId="37" fontId="18" fillId="0" borderId="150" xfId="61" applyNumberFormat="1" applyFont="1" applyFill="1" applyBorder="1" applyAlignment="1">
      <alignment horizontal="center"/>
    </xf>
    <xf numFmtId="9" fontId="18" fillId="0" borderId="0" xfId="12259" applyFont="1" applyFill="1"/>
    <xf numFmtId="183" fontId="18" fillId="0" borderId="0" xfId="11606" applyNumberFormat="1" applyFont="1" applyFill="1"/>
    <xf numFmtId="183" fontId="18" fillId="0" borderId="0" xfId="11606" applyNumberFormat="1" applyFont="1" applyFill="1" applyProtection="1"/>
    <xf numFmtId="0" fontId="18" fillId="0" borderId="168" xfId="60" applyFont="1" applyFill="1" applyBorder="1" applyAlignment="1">
      <alignment horizontal="center"/>
    </xf>
    <xf numFmtId="39" fontId="47" fillId="0" borderId="168" xfId="60" applyNumberFormat="1" applyFont="1" applyFill="1" applyBorder="1" applyProtection="1"/>
    <xf numFmtId="176" fontId="47" fillId="0" borderId="168" xfId="60" applyNumberFormat="1" applyFont="1" applyFill="1" applyBorder="1" applyProtection="1"/>
    <xf numFmtId="37" fontId="47" fillId="0" borderId="168" xfId="60" applyNumberFormat="1" applyFont="1" applyFill="1" applyBorder="1"/>
    <xf numFmtId="0" fontId="18" fillId="0" borderId="168" xfId="60" applyFont="1" applyFill="1" applyBorder="1"/>
    <xf numFmtId="0" fontId="22" fillId="0" borderId="0" xfId="60" applyFont="1" applyFill="1"/>
    <xf numFmtId="0" fontId="22" fillId="0" borderId="0" xfId="60" applyFont="1" applyFill="1" applyBorder="1"/>
    <xf numFmtId="0" fontId="22" fillId="0" borderId="0" xfId="60" applyFont="1" applyFill="1" applyBorder="1" applyAlignment="1">
      <alignment horizontal="center"/>
    </xf>
    <xf numFmtId="37" fontId="22" fillId="0" borderId="0" xfId="60" applyNumberFormat="1" applyFont="1" applyFill="1" applyBorder="1"/>
    <xf numFmtId="0" fontId="22" fillId="0" borderId="0" xfId="60" applyFont="1" applyFill="1" applyBorder="1" applyAlignment="1" applyProtection="1">
      <alignment horizontal="left"/>
    </xf>
    <xf numFmtId="0" fontId="22" fillId="0" borderId="0" xfId="60" applyFont="1" applyFill="1" applyBorder="1" applyAlignment="1" applyProtection="1">
      <alignment horizontal="center"/>
    </xf>
    <xf numFmtId="201" fontId="22" fillId="0" borderId="0" xfId="60" applyNumberFormat="1" applyFont="1" applyFill="1" applyBorder="1" applyAlignment="1">
      <alignment horizontal="center"/>
    </xf>
    <xf numFmtId="14" fontId="22" fillId="0" borderId="0" xfId="60" applyNumberFormat="1" applyFont="1" applyFill="1" applyBorder="1" applyAlignment="1">
      <alignment horizontal="center" wrapText="1"/>
    </xf>
    <xf numFmtId="0" fontId="22" fillId="0" borderId="0" xfId="60" applyFont="1" applyFill="1" applyAlignment="1" applyProtection="1">
      <alignment horizontal="left"/>
    </xf>
    <xf numFmtId="0" fontId="38" fillId="0" borderId="168" xfId="60" applyFont="1" applyFill="1" applyBorder="1"/>
    <xf numFmtId="0" fontId="22" fillId="0" borderId="15" xfId="60" applyFont="1" applyFill="1" applyBorder="1"/>
    <xf numFmtId="0" fontId="22" fillId="0" borderId="0" xfId="60" applyFont="1" applyFill="1" applyAlignment="1">
      <alignment horizontal="center"/>
    </xf>
    <xf numFmtId="0" fontId="22" fillId="0" borderId="0" xfId="60" applyFont="1" applyFill="1" applyAlignment="1" applyProtection="1">
      <alignment horizontal="center"/>
    </xf>
    <xf numFmtId="0" fontId="22" fillId="0" borderId="0" xfId="60" quotePrefix="1" applyFont="1" applyFill="1" applyAlignment="1" applyProtection="1">
      <alignment horizontal="center"/>
    </xf>
    <xf numFmtId="0" fontId="38" fillId="0" borderId="168" xfId="60" applyFont="1" applyFill="1" applyBorder="1" applyAlignment="1" applyProtection="1"/>
    <xf numFmtId="0" fontId="22" fillId="0" borderId="0" xfId="60" applyFont="1" applyFill="1" applyProtection="1"/>
    <xf numFmtId="0" fontId="22" fillId="0" borderId="0" xfId="60" applyFont="1" applyFill="1" applyAlignment="1" applyProtection="1">
      <alignment horizontal="centerContinuous"/>
    </xf>
    <xf numFmtId="39" fontId="22" fillId="0" borderId="0" xfId="60" applyNumberFormat="1" applyFont="1" applyFill="1" applyProtection="1"/>
    <xf numFmtId="37" fontId="22" fillId="0" borderId="0" xfId="60" applyNumberFormat="1" applyFont="1" applyFill="1" applyProtection="1"/>
    <xf numFmtId="37" fontId="22" fillId="0" borderId="0" xfId="60" applyNumberFormat="1" applyFont="1" applyFill="1"/>
    <xf numFmtId="0" fontId="47" fillId="0" borderId="168" xfId="60" applyFont="1" applyFill="1" applyBorder="1" applyAlignment="1" applyProtection="1"/>
    <xf numFmtId="2" fontId="47" fillId="0" borderId="168" xfId="60" applyNumberFormat="1" applyFont="1" applyFill="1" applyBorder="1"/>
    <xf numFmtId="1" fontId="47" fillId="0" borderId="168" xfId="60" applyNumberFormat="1" applyFont="1" applyFill="1" applyBorder="1"/>
    <xf numFmtId="2" fontId="47" fillId="0" borderId="168" xfId="60" applyNumberFormat="1" applyFont="1" applyFill="1" applyBorder="1" applyAlignment="1" applyProtection="1">
      <alignment horizontal="centerContinuous"/>
    </xf>
    <xf numFmtId="1" fontId="47" fillId="0" borderId="168" xfId="60" applyNumberFormat="1" applyFont="1" applyFill="1" applyBorder="1" applyAlignment="1" applyProtection="1">
      <alignment horizontal="centerContinuous"/>
    </xf>
    <xf numFmtId="37" fontId="47" fillId="0" borderId="168" xfId="60" applyNumberFormat="1" applyFont="1" applyFill="1" applyBorder="1" applyAlignment="1" applyProtection="1">
      <alignment horizontal="centerContinuous"/>
    </xf>
    <xf numFmtId="2" fontId="22" fillId="0" borderId="0" xfId="60" applyNumberFormat="1" applyFont="1" applyFill="1"/>
    <xf numFmtId="1" fontId="22" fillId="0" borderId="0" xfId="60" applyNumberFormat="1" applyFont="1" applyFill="1" applyAlignment="1">
      <alignment horizontal="center"/>
    </xf>
    <xf numFmtId="3" fontId="22" fillId="0" borderId="0" xfId="60" applyNumberFormat="1" applyFont="1" applyFill="1"/>
    <xf numFmtId="1" fontId="22" fillId="0" borderId="0" xfId="60" quotePrefix="1" applyNumberFormat="1" applyFont="1" applyFill="1"/>
    <xf numFmtId="1" fontId="22" fillId="0" borderId="0" xfId="60" applyNumberFormat="1" applyFont="1" applyFill="1"/>
    <xf numFmtId="37" fontId="47" fillId="0" borderId="168" xfId="61" applyNumberFormat="1" applyFont="1" applyFill="1" applyBorder="1" applyProtection="1"/>
    <xf numFmtId="10" fontId="47" fillId="0" borderId="168" xfId="61" applyNumberFormat="1" applyFont="1" applyFill="1" applyBorder="1" applyProtection="1"/>
    <xf numFmtId="0" fontId="47" fillId="0" borderId="168" xfId="61" applyFont="1" applyFill="1" applyBorder="1"/>
    <xf numFmtId="37" fontId="47" fillId="0" borderId="168" xfId="61" applyNumberFormat="1" applyFont="1" applyFill="1" applyBorder="1"/>
    <xf numFmtId="10" fontId="47" fillId="0" borderId="168" xfId="61" applyNumberFormat="1" applyFont="1" applyFill="1" applyBorder="1"/>
    <xf numFmtId="0" fontId="47" fillId="0" borderId="168" xfId="61" quotePrefix="1" applyFont="1" applyFill="1" applyBorder="1" applyAlignment="1" applyProtection="1">
      <alignment horizontal="center"/>
    </xf>
    <xf numFmtId="0" fontId="47" fillId="0" borderId="168" xfId="61" applyFont="1" applyFill="1" applyBorder="1" applyAlignment="1" applyProtection="1">
      <alignment horizontal="center"/>
    </xf>
    <xf numFmtId="0" fontId="18" fillId="0" borderId="168" xfId="61" quotePrefix="1" applyFont="1" applyFill="1" applyBorder="1" applyAlignment="1" applyProtection="1">
      <alignment horizontal="center"/>
    </xf>
    <xf numFmtId="0" fontId="18" fillId="0" borderId="168" xfId="61" applyFont="1" applyFill="1" applyBorder="1" applyAlignment="1" applyProtection="1">
      <alignment horizontal="center"/>
    </xf>
    <xf numFmtId="0" fontId="47" fillId="0" borderId="168" xfId="61" applyFont="1" applyFill="1" applyBorder="1" applyAlignment="1">
      <alignment horizontal="center"/>
    </xf>
    <xf numFmtId="10" fontId="18" fillId="0" borderId="168" xfId="61" applyNumberFormat="1" applyFont="1" applyFill="1" applyBorder="1"/>
    <xf numFmtId="10" fontId="18" fillId="0" borderId="151" xfId="62" applyNumberFormat="1" applyFont="1" applyFill="1" applyBorder="1"/>
    <xf numFmtId="0" fontId="18" fillId="0" borderId="151" xfId="62" applyFont="1" applyFill="1" applyBorder="1"/>
    <xf numFmtId="0" fontId="18" fillId="0" borderId="151" xfId="62" applyFont="1" applyFill="1" applyBorder="1" applyAlignment="1">
      <alignment horizontal="center"/>
    </xf>
    <xf numFmtId="37" fontId="47" fillId="0" borderId="168" xfId="62" applyNumberFormat="1" applyFont="1" applyFill="1" applyBorder="1" applyProtection="1"/>
    <xf numFmtId="0" fontId="47" fillId="0" borderId="168" xfId="62" applyFont="1" applyFill="1" applyBorder="1"/>
    <xf numFmtId="0" fontId="42" fillId="0" borderId="168" xfId="62" applyFont="1" applyFill="1" applyBorder="1" applyAlignment="1" applyProtection="1">
      <alignment horizontal="center"/>
    </xf>
    <xf numFmtId="0" fontId="18" fillId="0" borderId="0" xfId="17" applyFont="1" applyFill="1" applyAlignment="1" applyProtection="1">
      <alignment horizontal="center"/>
    </xf>
    <xf numFmtId="0" fontId="18" fillId="0" borderId="0" xfId="46" applyFont="1" applyFill="1" applyAlignment="1" applyProtection="1">
      <alignment horizontal="left"/>
    </xf>
    <xf numFmtId="0" fontId="18" fillId="0" borderId="0" xfId="8" applyFont="1" applyFill="1" applyAlignment="1" applyProtection="1">
      <alignment horizontal="center"/>
    </xf>
    <xf numFmtId="37" fontId="72" fillId="0" borderId="0" xfId="0" applyNumberFormat="1" applyFont="1" applyFill="1" applyBorder="1"/>
    <xf numFmtId="37" fontId="72" fillId="0" borderId="96" xfId="0" applyNumberFormat="1" applyFont="1" applyFill="1" applyBorder="1"/>
    <xf numFmtId="37" fontId="72" fillId="0" borderId="68" xfId="0" applyNumberFormat="1" applyFont="1" applyFill="1" applyBorder="1"/>
    <xf numFmtId="37" fontId="72" fillId="0" borderId="64" xfId="0" applyNumberFormat="1" applyFont="1" applyFill="1" applyBorder="1"/>
    <xf numFmtId="37" fontId="72" fillId="0" borderId="97" xfId="0" applyNumberFormat="1" applyFont="1" applyFill="1" applyBorder="1"/>
    <xf numFmtId="37" fontId="72" fillId="0" borderId="74" xfId="0" applyNumberFormat="1" applyFont="1" applyFill="1" applyBorder="1"/>
    <xf numFmtId="37" fontId="72" fillId="0" borderId="75" xfId="0" applyNumberFormat="1" applyFont="1" applyFill="1" applyBorder="1"/>
    <xf numFmtId="37" fontId="72" fillId="0" borderId="71" xfId="0" applyNumberFormat="1" applyFont="1" applyFill="1" applyBorder="1"/>
    <xf numFmtId="37" fontId="72" fillId="0" borderId="72" xfId="0" applyNumberFormat="1" applyFont="1" applyFill="1" applyBorder="1"/>
    <xf numFmtId="37" fontId="72" fillId="0" borderId="95" xfId="0" applyNumberFormat="1" applyFont="1" applyFill="1" applyBorder="1"/>
    <xf numFmtId="37" fontId="72" fillId="0" borderId="77" xfId="0" applyNumberFormat="1" applyFont="1" applyFill="1" applyBorder="1"/>
    <xf numFmtId="37" fontId="72" fillId="0" borderId="155" xfId="0" applyNumberFormat="1" applyFont="1" applyFill="1" applyBorder="1"/>
    <xf numFmtId="37" fontId="72" fillId="0" borderId="156" xfId="0" applyNumberFormat="1" applyFont="1" applyFill="1" applyBorder="1"/>
    <xf numFmtId="37" fontId="18" fillId="0" borderId="78" xfId="2" applyNumberFormat="1" applyFont="1" applyFill="1" applyBorder="1"/>
    <xf numFmtId="37" fontId="72" fillId="0" borderId="40" xfId="0" applyNumberFormat="1" applyFont="1" applyFill="1" applyBorder="1"/>
    <xf numFmtId="37" fontId="72" fillId="0" borderId="41" xfId="0" applyNumberFormat="1" applyFont="1" applyFill="1" applyBorder="1"/>
    <xf numFmtId="37" fontId="72" fillId="0" borderId="103" xfId="0" applyNumberFormat="1" applyFont="1" applyFill="1" applyBorder="1"/>
    <xf numFmtId="37" fontId="72" fillId="0" borderId="104" xfId="0" applyNumberFormat="1" applyFont="1" applyFill="1" applyBorder="1"/>
    <xf numFmtId="37" fontId="72" fillId="0" borderId="105" xfId="0" applyNumberFormat="1" applyFont="1" applyFill="1" applyBorder="1"/>
    <xf numFmtId="37" fontId="72" fillId="0" borderId="106" xfId="0" applyNumberFormat="1" applyFont="1" applyFill="1" applyBorder="1"/>
    <xf numFmtId="37" fontId="72" fillId="0" borderId="107" xfId="0" applyNumberFormat="1" applyFont="1" applyFill="1" applyBorder="1"/>
    <xf numFmtId="37" fontId="18" fillId="0" borderId="4" xfId="2" applyNumberFormat="1" applyFont="1" applyFill="1" applyBorder="1"/>
    <xf numFmtId="37" fontId="72" fillId="0" borderId="78" xfId="0" applyNumberFormat="1" applyFont="1" applyFill="1" applyBorder="1"/>
    <xf numFmtId="37" fontId="72" fillId="0" borderId="99" xfId="0" applyNumberFormat="1" applyFont="1" applyFill="1" applyBorder="1"/>
    <xf numFmtId="37" fontId="72" fillId="0" borderId="100" xfId="0" applyNumberFormat="1" applyFont="1" applyFill="1" applyBorder="1"/>
    <xf numFmtId="37" fontId="72" fillId="0" borderId="102" xfId="0" applyNumberFormat="1" applyFont="1" applyFill="1" applyBorder="1"/>
    <xf numFmtId="37" fontId="72" fillId="0" borderId="69" xfId="0" applyNumberFormat="1" applyFont="1" applyFill="1" applyBorder="1"/>
    <xf numFmtId="37" fontId="72" fillId="0" borderId="63" xfId="0" applyNumberFormat="1" applyFont="1" applyFill="1" applyBorder="1"/>
    <xf numFmtId="0" fontId="21" fillId="0" borderId="0" xfId="2" applyNumberFormat="1" applyFont="1" applyFill="1" applyAlignment="1" applyProtection="1">
      <alignment horizontal="left"/>
    </xf>
    <xf numFmtId="0" fontId="18" fillId="0" borderId="150" xfId="9" applyFont="1" applyFill="1" applyBorder="1"/>
    <xf numFmtId="37" fontId="72" fillId="0" borderId="49" xfId="0" applyNumberFormat="1" applyFont="1" applyFill="1" applyBorder="1"/>
    <xf numFmtId="37" fontId="72" fillId="0" borderId="51" xfId="0" applyNumberFormat="1" applyFont="1" applyFill="1" applyBorder="1"/>
    <xf numFmtId="37" fontId="72" fillId="0" borderId="80" xfId="0" applyNumberFormat="1" applyFont="1" applyFill="1" applyBorder="1"/>
    <xf numFmtId="37" fontId="72" fillId="0" borderId="4" xfId="0" applyNumberFormat="1" applyFont="1" applyFill="1" applyBorder="1"/>
    <xf numFmtId="37" fontId="72" fillId="0" borderId="101" xfId="0" applyNumberFormat="1" applyFont="1" applyFill="1" applyBorder="1"/>
    <xf numFmtId="180" fontId="44" fillId="0" borderId="36" xfId="63" applyNumberFormat="1" applyFont="1" applyFill="1" applyBorder="1" applyProtection="1"/>
    <xf numFmtId="0" fontId="34" fillId="0" borderId="1" xfId="2" applyFont="1" applyFill="1" applyBorder="1" applyAlignment="1">
      <alignment horizontal="centerContinuous"/>
    </xf>
    <xf numFmtId="0" fontId="34" fillId="0" borderId="0" xfId="2" applyFont="1" applyFill="1" applyAlignment="1">
      <alignment horizontal="centerContinuous"/>
    </xf>
    <xf numFmtId="39" fontId="21" fillId="0" borderId="0" xfId="2" applyNumberFormat="1" applyFont="1" applyFill="1" applyProtection="1"/>
    <xf numFmtId="0" fontId="45" fillId="0" borderId="0" xfId="0" applyFont="1" applyFill="1"/>
    <xf numFmtId="42" fontId="72" fillId="0" borderId="0" xfId="51" applyNumberFormat="1" applyFont="1" applyFill="1"/>
    <xf numFmtId="0" fontId="18" fillId="0" borderId="0" xfId="2" applyNumberFormat="1" applyFont="1" applyFill="1" applyAlignment="1" applyProtection="1">
      <alignment horizontal="center"/>
    </xf>
    <xf numFmtId="0" fontId="18" fillId="0" borderId="63" xfId="0" applyFont="1" applyFill="1" applyBorder="1"/>
    <xf numFmtId="0" fontId="18" fillId="0" borderId="66" xfId="0" applyFont="1" applyFill="1" applyBorder="1"/>
    <xf numFmtId="0" fontId="34" fillId="0" borderId="63" xfId="0" applyFont="1" applyFill="1" applyBorder="1"/>
    <xf numFmtId="0" fontId="18" fillId="0" borderId="63" xfId="0" applyFont="1" applyFill="1" applyBorder="1" applyAlignment="1">
      <alignment horizontal="center"/>
    </xf>
    <xf numFmtId="0" fontId="18" fillId="0" borderId="73" xfId="0" applyFont="1" applyFill="1" applyBorder="1" applyAlignment="1">
      <alignment horizontal="center"/>
    </xf>
    <xf numFmtId="0" fontId="18" fillId="0" borderId="73" xfId="0" applyFont="1" applyFill="1" applyBorder="1"/>
    <xf numFmtId="0" fontId="18" fillId="0" borderId="70" xfId="0" applyFont="1" applyFill="1" applyBorder="1" applyAlignment="1">
      <alignment horizontal="center"/>
    </xf>
    <xf numFmtId="0" fontId="18" fillId="0" borderId="70" xfId="0" applyFont="1" applyFill="1" applyBorder="1"/>
    <xf numFmtId="5" fontId="132" fillId="0" borderId="0" xfId="1493" applyNumberFormat="1" applyFont="1" applyFill="1"/>
    <xf numFmtId="0" fontId="18" fillId="0" borderId="76" xfId="0" applyFont="1" applyFill="1" applyBorder="1" applyAlignment="1">
      <alignment horizontal="center"/>
    </xf>
    <xf numFmtId="0" fontId="18" fillId="0" borderId="76" xfId="0" applyFont="1" applyFill="1" applyBorder="1"/>
    <xf numFmtId="0" fontId="18" fillId="0" borderId="98" xfId="0" applyFont="1" applyFill="1" applyBorder="1" applyAlignment="1">
      <alignment horizontal="center"/>
    </xf>
    <xf numFmtId="0" fontId="42" fillId="0" borderId="0" xfId="21" applyFont="1" applyFill="1" applyBorder="1" applyAlignment="1">
      <alignment horizontal="center"/>
    </xf>
    <xf numFmtId="37" fontId="108" fillId="0" borderId="0" xfId="21" applyNumberFormat="1" applyFont="1" applyFill="1" applyBorder="1"/>
    <xf numFmtId="197" fontId="18" fillId="0" borderId="0" xfId="4" applyNumberFormat="1" applyFont="1" applyFill="1" applyBorder="1" applyProtection="1"/>
    <xf numFmtId="0" fontId="18" fillId="0" borderId="15" xfId="61" applyFont="1" applyFill="1" applyBorder="1" applyAlignment="1">
      <alignment horizontal="center"/>
    </xf>
    <xf numFmtId="0" fontId="18" fillId="0" borderId="0" xfId="17" applyFont="1" applyFill="1" applyAlignment="1" applyProtection="1">
      <alignment horizontal="center"/>
    </xf>
    <xf numFmtId="0" fontId="18" fillId="0" borderId="0" xfId="17" applyFont="1" applyFill="1" applyBorder="1" applyAlignment="1" applyProtection="1">
      <alignment horizontal="center"/>
    </xf>
    <xf numFmtId="0" fontId="18" fillId="0" borderId="15" xfId="17" applyFont="1" applyFill="1" applyBorder="1" applyAlignment="1">
      <alignment horizontal="center"/>
    </xf>
    <xf numFmtId="37" fontId="18" fillId="0" borderId="2" xfId="43" applyNumberFormat="1" applyFont="1" applyFill="1" applyBorder="1" applyAlignment="1" applyProtection="1">
      <alignment horizontal="center"/>
    </xf>
    <xf numFmtId="37" fontId="18" fillId="0" borderId="15" xfId="43" applyNumberFormat="1" applyFont="1" applyFill="1" applyBorder="1" applyAlignment="1" applyProtection="1">
      <alignment horizontal="center"/>
    </xf>
    <xf numFmtId="37" fontId="18" fillId="0" borderId="15" xfId="44" applyNumberFormat="1" applyFont="1" applyFill="1" applyBorder="1" applyAlignment="1" applyProtection="1">
      <alignment horizontal="center"/>
    </xf>
    <xf numFmtId="37" fontId="18" fillId="0" borderId="2" xfId="45" applyNumberFormat="1" applyFont="1" applyFill="1" applyBorder="1" applyAlignment="1" applyProtection="1">
      <alignment horizontal="center"/>
    </xf>
    <xf numFmtId="0" fontId="18" fillId="0" borderId="0" xfId="46" applyFont="1" applyFill="1" applyAlignment="1" applyProtection="1">
      <alignment horizontal="left"/>
    </xf>
    <xf numFmtId="165" fontId="18" fillId="0" borderId="2" xfId="49" applyNumberFormat="1" applyFont="1" applyFill="1" applyBorder="1" applyAlignment="1" applyProtection="1">
      <alignment horizontal="center"/>
    </xf>
    <xf numFmtId="0" fontId="18" fillId="0" borderId="0" xfId="8" applyFont="1" applyFill="1" applyAlignment="1" applyProtection="1">
      <alignment horizontal="center"/>
    </xf>
  </cellXfs>
  <cellStyles count="43980">
    <cellStyle name="_ColumnHeaderUL" xfId="17700"/>
    <cellStyle name="_EditableNumber" xfId="17701"/>
    <cellStyle name="_EditableRowText" xfId="17702"/>
    <cellStyle name="_GrandTotal" xfId="17703"/>
    <cellStyle name="_Number" xfId="17704"/>
    <cellStyle name="_RowText" xfId="17705"/>
    <cellStyle name="_Subtitle" xfId="17706"/>
    <cellStyle name="_Title" xfId="17707"/>
    <cellStyle name="0 Decimals" xfId="17708"/>
    <cellStyle name="1 Decimal" xfId="17709"/>
    <cellStyle name="2 Decimals" xfId="17710"/>
    <cellStyle name="20% - Accent1" xfId="9265" builtinId="30" customBuiltin="1"/>
    <cellStyle name="20% - Accent1 10" xfId="17711"/>
    <cellStyle name="20% - Accent1 11" xfId="17712"/>
    <cellStyle name="20% - Accent1 12" xfId="17713"/>
    <cellStyle name="20% - Accent1 13" xfId="17714"/>
    <cellStyle name="20% - Accent1 2" xfId="73"/>
    <cellStyle name="20% - Accent1 2 2" xfId="11396"/>
    <cellStyle name="20% - Accent1 2 2 2" xfId="11397"/>
    <cellStyle name="20% - Accent1 2 3" xfId="11398"/>
    <cellStyle name="20% - Accent1 2 4" xfId="11399"/>
    <cellStyle name="20% - Accent1 2 5" xfId="17715"/>
    <cellStyle name="20% - Accent1 3" xfId="9290"/>
    <cellStyle name="20% - Accent1 3 2" xfId="10347"/>
    <cellStyle name="20% - Accent1 3 2 2" xfId="11402"/>
    <cellStyle name="20% - Accent1 3 2 3" xfId="11401"/>
    <cellStyle name="20% - Accent1 3 2 4" xfId="13941"/>
    <cellStyle name="20% - Accent1 3 2 5" xfId="15057"/>
    <cellStyle name="20% - Accent1 3 3" xfId="11403"/>
    <cellStyle name="20% - Accent1 3 4" xfId="11404"/>
    <cellStyle name="20% - Accent1 3 5" xfId="11400"/>
    <cellStyle name="20% - Accent1 3 6" xfId="12888"/>
    <cellStyle name="20% - Accent1 3 6 2" xfId="17716"/>
    <cellStyle name="20% - Accent1 3 7" xfId="15056"/>
    <cellStyle name="20% - Accent1 4" xfId="10333"/>
    <cellStyle name="20% - Accent1 4 2" xfId="11406"/>
    <cellStyle name="20% - Accent1 4 2 2" xfId="17718"/>
    <cellStyle name="20% - Accent1 4 3" xfId="11407"/>
    <cellStyle name="20% - Accent1 4 4" xfId="11405"/>
    <cellStyle name="20% - Accent1 4 5" xfId="13927"/>
    <cellStyle name="20% - Accent1 4 5 2" xfId="17717"/>
    <cellStyle name="20% - Accent1 4 6" xfId="15058"/>
    <cellStyle name="20% - Accent1 5" xfId="11408"/>
    <cellStyle name="20% - Accent1 5 2" xfId="17720"/>
    <cellStyle name="20% - Accent1 5 3" xfId="17719"/>
    <cellStyle name="20% - Accent1 6" xfId="11409"/>
    <cellStyle name="20% - Accent1 6 2" xfId="17721"/>
    <cellStyle name="20% - Accent1 7" xfId="11410"/>
    <cellStyle name="20% - Accent1 7 2" xfId="17722"/>
    <cellStyle name="20% - Accent1 8" xfId="11411"/>
    <cellStyle name="20% - Accent1 8 2" xfId="17723"/>
    <cellStyle name="20% - Accent1 9" xfId="12874"/>
    <cellStyle name="20% - Accent1 9 2" xfId="17724"/>
    <cellStyle name="20% - Accent2" xfId="9269" builtinId="34" customBuiltin="1"/>
    <cellStyle name="20% - Accent2 10" xfId="17725"/>
    <cellStyle name="20% - Accent2 11" xfId="17726"/>
    <cellStyle name="20% - Accent2 12" xfId="17727"/>
    <cellStyle name="20% - Accent2 13" xfId="17728"/>
    <cellStyle name="20% - Accent2 2" xfId="74"/>
    <cellStyle name="20% - Accent2 2 2" xfId="11412"/>
    <cellStyle name="20% - Accent2 2 2 2" xfId="11413"/>
    <cellStyle name="20% - Accent2 2 3" xfId="11414"/>
    <cellStyle name="20% - Accent2 2 4" xfId="11415"/>
    <cellStyle name="20% - Accent2 2 5" xfId="17729"/>
    <cellStyle name="20% - Accent2 3" xfId="9292"/>
    <cellStyle name="20% - Accent2 3 2" xfId="10349"/>
    <cellStyle name="20% - Accent2 3 2 2" xfId="11418"/>
    <cellStyle name="20% - Accent2 3 2 3" xfId="11417"/>
    <cellStyle name="20% - Accent2 3 2 4" xfId="13943"/>
    <cellStyle name="20% - Accent2 3 2 5" xfId="15060"/>
    <cellStyle name="20% - Accent2 3 3" xfId="11419"/>
    <cellStyle name="20% - Accent2 3 4" xfId="11420"/>
    <cellStyle name="20% - Accent2 3 5" xfId="11416"/>
    <cellStyle name="20% - Accent2 3 6" xfId="12890"/>
    <cellStyle name="20% - Accent2 3 6 2" xfId="17730"/>
    <cellStyle name="20% - Accent2 3 7" xfId="15059"/>
    <cellStyle name="20% - Accent2 4" xfId="10335"/>
    <cellStyle name="20% - Accent2 4 2" xfId="11422"/>
    <cellStyle name="20% - Accent2 4 2 2" xfId="17732"/>
    <cellStyle name="20% - Accent2 4 3" xfId="11423"/>
    <cellStyle name="20% - Accent2 4 4" xfId="11421"/>
    <cellStyle name="20% - Accent2 4 5" xfId="13929"/>
    <cellStyle name="20% - Accent2 4 5 2" xfId="17731"/>
    <cellStyle name="20% - Accent2 4 6" xfId="15061"/>
    <cellStyle name="20% - Accent2 5" xfId="11424"/>
    <cellStyle name="20% - Accent2 5 2" xfId="17734"/>
    <cellStyle name="20% - Accent2 5 3" xfId="17733"/>
    <cellStyle name="20% - Accent2 6" xfId="11425"/>
    <cellStyle name="20% - Accent2 6 2" xfId="17735"/>
    <cellStyle name="20% - Accent2 7" xfId="11426"/>
    <cellStyle name="20% - Accent2 7 2" xfId="17736"/>
    <cellStyle name="20% - Accent2 8" xfId="11427"/>
    <cellStyle name="20% - Accent2 8 2" xfId="17737"/>
    <cellStyle name="20% - Accent2 9" xfId="12876"/>
    <cellStyle name="20% - Accent2 9 2" xfId="17738"/>
    <cellStyle name="20% - Accent3" xfId="9273" builtinId="38" customBuiltin="1"/>
    <cellStyle name="20% - Accent3 10" xfId="17739"/>
    <cellStyle name="20% - Accent3 11" xfId="17740"/>
    <cellStyle name="20% - Accent3 12" xfId="17741"/>
    <cellStyle name="20% - Accent3 13" xfId="17742"/>
    <cellStyle name="20% - Accent3 2" xfId="75"/>
    <cellStyle name="20% - Accent3 2 2" xfId="11428"/>
    <cellStyle name="20% - Accent3 2 2 2" xfId="11429"/>
    <cellStyle name="20% - Accent3 2 3" xfId="11430"/>
    <cellStyle name="20% - Accent3 2 4" xfId="11431"/>
    <cellStyle name="20% - Accent3 2 5" xfId="17743"/>
    <cellStyle name="20% - Accent3 3" xfId="9294"/>
    <cellStyle name="20% - Accent3 3 2" xfId="10351"/>
    <cellStyle name="20% - Accent3 3 2 2" xfId="11434"/>
    <cellStyle name="20% - Accent3 3 2 3" xfId="11433"/>
    <cellStyle name="20% - Accent3 3 2 4" xfId="13945"/>
    <cellStyle name="20% - Accent3 3 2 5" xfId="15063"/>
    <cellStyle name="20% - Accent3 3 3" xfId="11435"/>
    <cellStyle name="20% - Accent3 3 4" xfId="11436"/>
    <cellStyle name="20% - Accent3 3 5" xfId="11432"/>
    <cellStyle name="20% - Accent3 3 6" xfId="12892"/>
    <cellStyle name="20% - Accent3 3 6 2" xfId="17744"/>
    <cellStyle name="20% - Accent3 3 7" xfId="15062"/>
    <cellStyle name="20% - Accent3 4" xfId="10337"/>
    <cellStyle name="20% - Accent3 4 2" xfId="11438"/>
    <cellStyle name="20% - Accent3 4 2 2" xfId="17746"/>
    <cellStyle name="20% - Accent3 4 3" xfId="11439"/>
    <cellStyle name="20% - Accent3 4 4" xfId="11437"/>
    <cellStyle name="20% - Accent3 4 5" xfId="13931"/>
    <cellStyle name="20% - Accent3 4 5 2" xfId="17745"/>
    <cellStyle name="20% - Accent3 4 6" xfId="15064"/>
    <cellStyle name="20% - Accent3 5" xfId="11440"/>
    <cellStyle name="20% - Accent3 5 2" xfId="17748"/>
    <cellStyle name="20% - Accent3 5 3" xfId="17747"/>
    <cellStyle name="20% - Accent3 6" xfId="11441"/>
    <cellStyle name="20% - Accent3 6 2" xfId="17749"/>
    <cellStyle name="20% - Accent3 7" xfId="11442"/>
    <cellStyle name="20% - Accent3 7 2" xfId="17750"/>
    <cellStyle name="20% - Accent3 8" xfId="11443"/>
    <cellStyle name="20% - Accent3 8 2" xfId="17751"/>
    <cellStyle name="20% - Accent3 9" xfId="12878"/>
    <cellStyle name="20% - Accent3 9 2" xfId="17752"/>
    <cellStyle name="20% - Accent4" xfId="9277" builtinId="42" customBuiltin="1"/>
    <cellStyle name="20% - Accent4 10" xfId="17753"/>
    <cellStyle name="20% - Accent4 11" xfId="17754"/>
    <cellStyle name="20% - Accent4 12" xfId="17755"/>
    <cellStyle name="20% - Accent4 13" xfId="17756"/>
    <cellStyle name="20% - Accent4 2" xfId="76"/>
    <cellStyle name="20% - Accent4 2 2" xfId="11444"/>
    <cellStyle name="20% - Accent4 2 2 2" xfId="11445"/>
    <cellStyle name="20% - Accent4 2 3" xfId="11446"/>
    <cellStyle name="20% - Accent4 2 4" xfId="11447"/>
    <cellStyle name="20% - Accent4 2 5" xfId="17757"/>
    <cellStyle name="20% - Accent4 3" xfId="9296"/>
    <cellStyle name="20% - Accent4 3 2" xfId="10353"/>
    <cellStyle name="20% - Accent4 3 2 2" xfId="11450"/>
    <cellStyle name="20% - Accent4 3 2 3" xfId="11449"/>
    <cellStyle name="20% - Accent4 3 2 4" xfId="13947"/>
    <cellStyle name="20% - Accent4 3 2 5" xfId="15066"/>
    <cellStyle name="20% - Accent4 3 3" xfId="11451"/>
    <cellStyle name="20% - Accent4 3 4" xfId="11452"/>
    <cellStyle name="20% - Accent4 3 5" xfId="11448"/>
    <cellStyle name="20% - Accent4 3 6" xfId="12894"/>
    <cellStyle name="20% - Accent4 3 6 2" xfId="17758"/>
    <cellStyle name="20% - Accent4 3 7" xfId="15065"/>
    <cellStyle name="20% - Accent4 4" xfId="10339"/>
    <cellStyle name="20% - Accent4 4 2" xfId="11454"/>
    <cellStyle name="20% - Accent4 4 2 2" xfId="17760"/>
    <cellStyle name="20% - Accent4 4 3" xfId="11455"/>
    <cellStyle name="20% - Accent4 4 4" xfId="11453"/>
    <cellStyle name="20% - Accent4 4 5" xfId="13933"/>
    <cellStyle name="20% - Accent4 4 5 2" xfId="17759"/>
    <cellStyle name="20% - Accent4 4 6" xfId="15067"/>
    <cellStyle name="20% - Accent4 5" xfId="11456"/>
    <cellStyle name="20% - Accent4 5 2" xfId="17762"/>
    <cellStyle name="20% - Accent4 5 3" xfId="17761"/>
    <cellStyle name="20% - Accent4 6" xfId="11457"/>
    <cellStyle name="20% - Accent4 6 2" xfId="17763"/>
    <cellStyle name="20% - Accent4 7" xfId="11458"/>
    <cellStyle name="20% - Accent4 7 2" xfId="17764"/>
    <cellStyle name="20% - Accent4 8" xfId="11459"/>
    <cellStyle name="20% - Accent4 8 2" xfId="17765"/>
    <cellStyle name="20% - Accent4 9" xfId="12880"/>
    <cellStyle name="20% - Accent4 9 2" xfId="17766"/>
    <cellStyle name="20% - Accent5" xfId="9281" builtinId="46" customBuiltin="1"/>
    <cellStyle name="20% - Accent5 10" xfId="17767"/>
    <cellStyle name="20% - Accent5 11" xfId="17768"/>
    <cellStyle name="20% - Accent5 12" xfId="17769"/>
    <cellStyle name="20% - Accent5 13" xfId="17770"/>
    <cellStyle name="20% - Accent5 2" xfId="77"/>
    <cellStyle name="20% - Accent5 2 2" xfId="11460"/>
    <cellStyle name="20% - Accent5 2 2 2" xfId="11461"/>
    <cellStyle name="20% - Accent5 2 3" xfId="11462"/>
    <cellStyle name="20% - Accent5 2 4" xfId="11463"/>
    <cellStyle name="20% - Accent5 2 5" xfId="17771"/>
    <cellStyle name="20% - Accent5 3" xfId="9298"/>
    <cellStyle name="20% - Accent5 3 2" xfId="10355"/>
    <cellStyle name="20% - Accent5 3 2 2" xfId="11466"/>
    <cellStyle name="20% - Accent5 3 2 3" xfId="11465"/>
    <cellStyle name="20% - Accent5 3 2 4" xfId="13949"/>
    <cellStyle name="20% - Accent5 3 2 5" xfId="15069"/>
    <cellStyle name="20% - Accent5 3 3" xfId="11467"/>
    <cellStyle name="20% - Accent5 3 4" xfId="11468"/>
    <cellStyle name="20% - Accent5 3 5" xfId="11464"/>
    <cellStyle name="20% - Accent5 3 6" xfId="12896"/>
    <cellStyle name="20% - Accent5 3 6 2" xfId="17772"/>
    <cellStyle name="20% - Accent5 3 7" xfId="15068"/>
    <cellStyle name="20% - Accent5 4" xfId="10341"/>
    <cellStyle name="20% - Accent5 4 2" xfId="11470"/>
    <cellStyle name="20% - Accent5 4 2 2" xfId="17774"/>
    <cellStyle name="20% - Accent5 4 3" xfId="11471"/>
    <cellStyle name="20% - Accent5 4 4" xfId="11469"/>
    <cellStyle name="20% - Accent5 4 5" xfId="13935"/>
    <cellStyle name="20% - Accent5 4 5 2" xfId="17773"/>
    <cellStyle name="20% - Accent5 4 6" xfId="15070"/>
    <cellStyle name="20% - Accent5 5" xfId="11472"/>
    <cellStyle name="20% - Accent5 5 2" xfId="17776"/>
    <cellStyle name="20% - Accent5 5 3" xfId="17775"/>
    <cellStyle name="20% - Accent5 6" xfId="11473"/>
    <cellStyle name="20% - Accent5 6 2" xfId="17777"/>
    <cellStyle name="20% - Accent5 7" xfId="11474"/>
    <cellStyle name="20% - Accent5 7 2" xfId="17778"/>
    <cellStyle name="20% - Accent5 8" xfId="11475"/>
    <cellStyle name="20% - Accent5 8 2" xfId="17779"/>
    <cellStyle name="20% - Accent5 9" xfId="12882"/>
    <cellStyle name="20% - Accent5 9 2" xfId="17780"/>
    <cellStyle name="20% - Accent6" xfId="9285" builtinId="50" customBuiltin="1"/>
    <cellStyle name="20% - Accent6 10" xfId="17781"/>
    <cellStyle name="20% - Accent6 11" xfId="17782"/>
    <cellStyle name="20% - Accent6 12" xfId="17783"/>
    <cellStyle name="20% - Accent6 13" xfId="17784"/>
    <cellStyle name="20% - Accent6 2" xfId="78"/>
    <cellStyle name="20% - Accent6 2 2" xfId="11476"/>
    <cellStyle name="20% - Accent6 2 2 2" xfId="11477"/>
    <cellStyle name="20% - Accent6 2 3" xfId="11478"/>
    <cellStyle name="20% - Accent6 2 4" xfId="11479"/>
    <cellStyle name="20% - Accent6 2 5" xfId="17785"/>
    <cellStyle name="20% - Accent6 3" xfId="9300"/>
    <cellStyle name="20% - Accent6 3 2" xfId="10357"/>
    <cellStyle name="20% - Accent6 3 2 2" xfId="11482"/>
    <cellStyle name="20% - Accent6 3 2 3" xfId="11481"/>
    <cellStyle name="20% - Accent6 3 2 4" xfId="13951"/>
    <cellStyle name="20% - Accent6 3 2 5" xfId="15072"/>
    <cellStyle name="20% - Accent6 3 3" xfId="11483"/>
    <cellStyle name="20% - Accent6 3 4" xfId="11484"/>
    <cellStyle name="20% - Accent6 3 5" xfId="11480"/>
    <cellStyle name="20% - Accent6 3 6" xfId="12898"/>
    <cellStyle name="20% - Accent6 3 6 2" xfId="17786"/>
    <cellStyle name="20% - Accent6 3 7" xfId="15071"/>
    <cellStyle name="20% - Accent6 4" xfId="10343"/>
    <cellStyle name="20% - Accent6 4 2" xfId="11486"/>
    <cellStyle name="20% - Accent6 4 2 2" xfId="17788"/>
    <cellStyle name="20% - Accent6 4 3" xfId="11487"/>
    <cellStyle name="20% - Accent6 4 4" xfId="11485"/>
    <cellStyle name="20% - Accent6 4 5" xfId="13937"/>
    <cellStyle name="20% - Accent6 4 5 2" xfId="17787"/>
    <cellStyle name="20% - Accent6 4 6" xfId="15073"/>
    <cellStyle name="20% - Accent6 5" xfId="11488"/>
    <cellStyle name="20% - Accent6 5 2" xfId="17790"/>
    <cellStyle name="20% - Accent6 5 3" xfId="17789"/>
    <cellStyle name="20% - Accent6 6" xfId="11489"/>
    <cellStyle name="20% - Accent6 6 2" xfId="17791"/>
    <cellStyle name="20% - Accent6 7" xfId="11490"/>
    <cellStyle name="20% - Accent6 7 2" xfId="17792"/>
    <cellStyle name="20% - Accent6 8" xfId="11491"/>
    <cellStyle name="20% - Accent6 8 2" xfId="17793"/>
    <cellStyle name="20% - Accent6 9" xfId="12884"/>
    <cellStyle name="20% - Accent6 9 2" xfId="17794"/>
    <cellStyle name="40% - Accent1" xfId="9266" builtinId="31" customBuiltin="1"/>
    <cellStyle name="40% - Accent1 10" xfId="17795"/>
    <cellStyle name="40% - Accent1 11" xfId="17796"/>
    <cellStyle name="40% - Accent1 12" xfId="17797"/>
    <cellStyle name="40% - Accent1 13" xfId="17798"/>
    <cellStyle name="40% - Accent1 2" xfId="79"/>
    <cellStyle name="40% - Accent1 2 2" xfId="11492"/>
    <cellStyle name="40% - Accent1 2 2 2" xfId="11493"/>
    <cellStyle name="40% - Accent1 2 3" xfId="11494"/>
    <cellStyle name="40% - Accent1 2 4" xfId="11495"/>
    <cellStyle name="40% - Accent1 2 5" xfId="17799"/>
    <cellStyle name="40% - Accent1 3" xfId="9291"/>
    <cellStyle name="40% - Accent1 3 2" xfId="10348"/>
    <cellStyle name="40% - Accent1 3 2 2" xfId="11498"/>
    <cellStyle name="40% - Accent1 3 2 3" xfId="11497"/>
    <cellStyle name="40% - Accent1 3 2 4" xfId="13942"/>
    <cellStyle name="40% - Accent1 3 2 5" xfId="15075"/>
    <cellStyle name="40% - Accent1 3 3" xfId="11499"/>
    <cellStyle name="40% - Accent1 3 4" xfId="11500"/>
    <cellStyle name="40% - Accent1 3 5" xfId="11496"/>
    <cellStyle name="40% - Accent1 3 6" xfId="12889"/>
    <cellStyle name="40% - Accent1 3 6 2" xfId="17800"/>
    <cellStyle name="40% - Accent1 3 7" xfId="15074"/>
    <cellStyle name="40% - Accent1 4" xfId="10334"/>
    <cellStyle name="40% - Accent1 4 2" xfId="11502"/>
    <cellStyle name="40% - Accent1 4 2 2" xfId="17802"/>
    <cellStyle name="40% - Accent1 4 3" xfId="11503"/>
    <cellStyle name="40% - Accent1 4 4" xfId="11501"/>
    <cellStyle name="40% - Accent1 4 5" xfId="13928"/>
    <cellStyle name="40% - Accent1 4 5 2" xfId="17801"/>
    <cellStyle name="40% - Accent1 4 6" xfId="15076"/>
    <cellStyle name="40% - Accent1 5" xfId="11504"/>
    <cellStyle name="40% - Accent1 5 2" xfId="17804"/>
    <cellStyle name="40% - Accent1 5 3" xfId="17803"/>
    <cellStyle name="40% - Accent1 6" xfId="11505"/>
    <cellStyle name="40% - Accent1 6 2" xfId="17805"/>
    <cellStyle name="40% - Accent1 7" xfId="11506"/>
    <cellStyle name="40% - Accent1 7 2" xfId="17806"/>
    <cellStyle name="40% - Accent1 8" xfId="11507"/>
    <cellStyle name="40% - Accent1 8 2" xfId="17807"/>
    <cellStyle name="40% - Accent1 9" xfId="12875"/>
    <cellStyle name="40% - Accent1 9 2" xfId="17808"/>
    <cellStyle name="40% - Accent2" xfId="9270" builtinId="35" customBuiltin="1"/>
    <cellStyle name="40% - Accent2 10" xfId="17809"/>
    <cellStyle name="40% - Accent2 11" xfId="17810"/>
    <cellStyle name="40% - Accent2 12" xfId="17811"/>
    <cellStyle name="40% - Accent2 13" xfId="17812"/>
    <cellStyle name="40% - Accent2 2" xfId="80"/>
    <cellStyle name="40% - Accent2 2 2" xfId="11508"/>
    <cellStyle name="40% - Accent2 2 2 2" xfId="11509"/>
    <cellStyle name="40% - Accent2 2 3" xfId="11510"/>
    <cellStyle name="40% - Accent2 2 4" xfId="11511"/>
    <cellStyle name="40% - Accent2 2 5" xfId="17813"/>
    <cellStyle name="40% - Accent2 3" xfId="9293"/>
    <cellStyle name="40% - Accent2 3 2" xfId="10350"/>
    <cellStyle name="40% - Accent2 3 2 2" xfId="11514"/>
    <cellStyle name="40% - Accent2 3 2 3" xfId="11513"/>
    <cellStyle name="40% - Accent2 3 2 4" xfId="13944"/>
    <cellStyle name="40% - Accent2 3 2 5" xfId="15078"/>
    <cellStyle name="40% - Accent2 3 3" xfId="11515"/>
    <cellStyle name="40% - Accent2 3 4" xfId="11516"/>
    <cellStyle name="40% - Accent2 3 5" xfId="11512"/>
    <cellStyle name="40% - Accent2 3 6" xfId="12891"/>
    <cellStyle name="40% - Accent2 3 6 2" xfId="17814"/>
    <cellStyle name="40% - Accent2 3 7" xfId="15077"/>
    <cellStyle name="40% - Accent2 4" xfId="10336"/>
    <cellStyle name="40% - Accent2 4 2" xfId="11518"/>
    <cellStyle name="40% - Accent2 4 2 2" xfId="17816"/>
    <cellStyle name="40% - Accent2 4 3" xfId="11519"/>
    <cellStyle name="40% - Accent2 4 4" xfId="11517"/>
    <cellStyle name="40% - Accent2 4 5" xfId="13930"/>
    <cellStyle name="40% - Accent2 4 5 2" xfId="17815"/>
    <cellStyle name="40% - Accent2 4 6" xfId="15079"/>
    <cellStyle name="40% - Accent2 5" xfId="11520"/>
    <cellStyle name="40% - Accent2 5 2" xfId="17818"/>
    <cellStyle name="40% - Accent2 5 3" xfId="17817"/>
    <cellStyle name="40% - Accent2 6" xfId="11521"/>
    <cellStyle name="40% - Accent2 6 2" xfId="17819"/>
    <cellStyle name="40% - Accent2 7" xfId="11522"/>
    <cellStyle name="40% - Accent2 7 2" xfId="17820"/>
    <cellStyle name="40% - Accent2 8" xfId="11523"/>
    <cellStyle name="40% - Accent2 8 2" xfId="17821"/>
    <cellStyle name="40% - Accent2 9" xfId="12877"/>
    <cellStyle name="40% - Accent2 9 2" xfId="17822"/>
    <cellStyle name="40% - Accent3" xfId="9274" builtinId="39" customBuiltin="1"/>
    <cellStyle name="40% - Accent3 10" xfId="17823"/>
    <cellStyle name="40% - Accent3 11" xfId="17824"/>
    <cellStyle name="40% - Accent3 12" xfId="17825"/>
    <cellStyle name="40% - Accent3 13" xfId="17826"/>
    <cellStyle name="40% - Accent3 2" xfId="81"/>
    <cellStyle name="40% - Accent3 2 2" xfId="11524"/>
    <cellStyle name="40% - Accent3 2 2 2" xfId="11525"/>
    <cellStyle name="40% - Accent3 2 3" xfId="11526"/>
    <cellStyle name="40% - Accent3 2 4" xfId="11527"/>
    <cellStyle name="40% - Accent3 2 5" xfId="17827"/>
    <cellStyle name="40% - Accent3 3" xfId="9295"/>
    <cellStyle name="40% - Accent3 3 2" xfId="10352"/>
    <cellStyle name="40% - Accent3 3 2 2" xfId="11530"/>
    <cellStyle name="40% - Accent3 3 2 3" xfId="11529"/>
    <cellStyle name="40% - Accent3 3 2 4" xfId="13946"/>
    <cellStyle name="40% - Accent3 3 2 5" xfId="15081"/>
    <cellStyle name="40% - Accent3 3 3" xfId="11531"/>
    <cellStyle name="40% - Accent3 3 4" xfId="11532"/>
    <cellStyle name="40% - Accent3 3 5" xfId="11528"/>
    <cellStyle name="40% - Accent3 3 6" xfId="12893"/>
    <cellStyle name="40% - Accent3 3 6 2" xfId="17828"/>
    <cellStyle name="40% - Accent3 3 7" xfId="15080"/>
    <cellStyle name="40% - Accent3 4" xfId="10338"/>
    <cellStyle name="40% - Accent3 4 2" xfId="11534"/>
    <cellStyle name="40% - Accent3 4 2 2" xfId="17830"/>
    <cellStyle name="40% - Accent3 4 3" xfId="11535"/>
    <cellStyle name="40% - Accent3 4 4" xfId="11533"/>
    <cellStyle name="40% - Accent3 4 5" xfId="13932"/>
    <cellStyle name="40% - Accent3 4 5 2" xfId="17829"/>
    <cellStyle name="40% - Accent3 4 6" xfId="15082"/>
    <cellStyle name="40% - Accent3 5" xfId="11536"/>
    <cellStyle name="40% - Accent3 5 2" xfId="17832"/>
    <cellStyle name="40% - Accent3 5 3" xfId="17831"/>
    <cellStyle name="40% - Accent3 6" xfId="11537"/>
    <cellStyle name="40% - Accent3 6 2" xfId="17833"/>
    <cellStyle name="40% - Accent3 7" xfId="11538"/>
    <cellStyle name="40% - Accent3 7 2" xfId="17834"/>
    <cellStyle name="40% - Accent3 8" xfId="11539"/>
    <cellStyle name="40% - Accent3 8 2" xfId="17835"/>
    <cellStyle name="40% - Accent3 9" xfId="12879"/>
    <cellStyle name="40% - Accent3 9 2" xfId="17836"/>
    <cellStyle name="40% - Accent4" xfId="9278" builtinId="43" customBuiltin="1"/>
    <cellStyle name="40% - Accent4 10" xfId="17837"/>
    <cellStyle name="40% - Accent4 11" xfId="17838"/>
    <cellStyle name="40% - Accent4 12" xfId="17839"/>
    <cellStyle name="40% - Accent4 13" xfId="17840"/>
    <cellStyle name="40% - Accent4 2" xfId="82"/>
    <cellStyle name="40% - Accent4 2 2" xfId="11540"/>
    <cellStyle name="40% - Accent4 2 2 2" xfId="11541"/>
    <cellStyle name="40% - Accent4 2 3" xfId="11542"/>
    <cellStyle name="40% - Accent4 2 4" xfId="11543"/>
    <cellStyle name="40% - Accent4 2 5" xfId="17841"/>
    <cellStyle name="40% - Accent4 3" xfId="9297"/>
    <cellStyle name="40% - Accent4 3 2" xfId="10354"/>
    <cellStyle name="40% - Accent4 3 2 2" xfId="11546"/>
    <cellStyle name="40% - Accent4 3 2 3" xfId="11545"/>
    <cellStyle name="40% - Accent4 3 2 4" xfId="13948"/>
    <cellStyle name="40% - Accent4 3 2 5" xfId="15084"/>
    <cellStyle name="40% - Accent4 3 3" xfId="11547"/>
    <cellStyle name="40% - Accent4 3 4" xfId="11548"/>
    <cellStyle name="40% - Accent4 3 5" xfId="11544"/>
    <cellStyle name="40% - Accent4 3 6" xfId="12895"/>
    <cellStyle name="40% - Accent4 3 6 2" xfId="17842"/>
    <cellStyle name="40% - Accent4 3 7" xfId="15083"/>
    <cellStyle name="40% - Accent4 4" xfId="10340"/>
    <cellStyle name="40% - Accent4 4 2" xfId="11550"/>
    <cellStyle name="40% - Accent4 4 2 2" xfId="17844"/>
    <cellStyle name="40% - Accent4 4 3" xfId="11551"/>
    <cellStyle name="40% - Accent4 4 4" xfId="11549"/>
    <cellStyle name="40% - Accent4 4 5" xfId="13934"/>
    <cellStyle name="40% - Accent4 4 5 2" xfId="17843"/>
    <cellStyle name="40% - Accent4 4 6" xfId="15085"/>
    <cellStyle name="40% - Accent4 5" xfId="11552"/>
    <cellStyle name="40% - Accent4 5 2" xfId="17846"/>
    <cellStyle name="40% - Accent4 5 3" xfId="17845"/>
    <cellStyle name="40% - Accent4 6" xfId="11553"/>
    <cellStyle name="40% - Accent4 6 2" xfId="17847"/>
    <cellStyle name="40% - Accent4 7" xfId="11554"/>
    <cellStyle name="40% - Accent4 7 2" xfId="17848"/>
    <cellStyle name="40% - Accent4 8" xfId="11555"/>
    <cellStyle name="40% - Accent4 8 2" xfId="17849"/>
    <cellStyle name="40% - Accent4 9" xfId="12881"/>
    <cellStyle name="40% - Accent4 9 2" xfId="17850"/>
    <cellStyle name="40% - Accent5" xfId="9282" builtinId="47" customBuiltin="1"/>
    <cellStyle name="40% - Accent5 10" xfId="17851"/>
    <cellStyle name="40% - Accent5 11" xfId="17852"/>
    <cellStyle name="40% - Accent5 12" xfId="17853"/>
    <cellStyle name="40% - Accent5 13" xfId="17854"/>
    <cellStyle name="40% - Accent5 2" xfId="83"/>
    <cellStyle name="40% - Accent5 2 2" xfId="11556"/>
    <cellStyle name="40% - Accent5 2 2 2" xfId="11557"/>
    <cellStyle name="40% - Accent5 2 3" xfId="11558"/>
    <cellStyle name="40% - Accent5 2 4" xfId="11559"/>
    <cellStyle name="40% - Accent5 2 5" xfId="17855"/>
    <cellStyle name="40% - Accent5 3" xfId="9299"/>
    <cellStyle name="40% - Accent5 3 2" xfId="10356"/>
    <cellStyle name="40% - Accent5 3 2 2" xfId="11562"/>
    <cellStyle name="40% - Accent5 3 2 3" xfId="11561"/>
    <cellStyle name="40% - Accent5 3 2 4" xfId="13950"/>
    <cellStyle name="40% - Accent5 3 2 5" xfId="15087"/>
    <cellStyle name="40% - Accent5 3 3" xfId="11563"/>
    <cellStyle name="40% - Accent5 3 4" xfId="11564"/>
    <cellStyle name="40% - Accent5 3 5" xfId="11560"/>
    <cellStyle name="40% - Accent5 3 6" xfId="12897"/>
    <cellStyle name="40% - Accent5 3 6 2" xfId="17856"/>
    <cellStyle name="40% - Accent5 3 7" xfId="15086"/>
    <cellStyle name="40% - Accent5 4" xfId="10342"/>
    <cellStyle name="40% - Accent5 4 2" xfId="11566"/>
    <cellStyle name="40% - Accent5 4 2 2" xfId="17858"/>
    <cellStyle name="40% - Accent5 4 3" xfId="11567"/>
    <cellStyle name="40% - Accent5 4 4" xfId="11565"/>
    <cellStyle name="40% - Accent5 4 5" xfId="13936"/>
    <cellStyle name="40% - Accent5 4 5 2" xfId="17857"/>
    <cellStyle name="40% - Accent5 4 6" xfId="15088"/>
    <cellStyle name="40% - Accent5 5" xfId="11568"/>
    <cellStyle name="40% - Accent5 5 2" xfId="17860"/>
    <cellStyle name="40% - Accent5 5 3" xfId="17859"/>
    <cellStyle name="40% - Accent5 6" xfId="11569"/>
    <cellStyle name="40% - Accent5 6 2" xfId="17861"/>
    <cellStyle name="40% - Accent5 7" xfId="11570"/>
    <cellStyle name="40% - Accent5 7 2" xfId="17862"/>
    <cellStyle name="40% - Accent5 8" xfId="11571"/>
    <cellStyle name="40% - Accent5 8 2" xfId="17863"/>
    <cellStyle name="40% - Accent5 9" xfId="12883"/>
    <cellStyle name="40% - Accent5 9 2" xfId="17864"/>
    <cellStyle name="40% - Accent6" xfId="9286" builtinId="51" customBuiltin="1"/>
    <cellStyle name="40% - Accent6 10" xfId="17865"/>
    <cellStyle name="40% - Accent6 11" xfId="17866"/>
    <cellStyle name="40% - Accent6 12" xfId="17867"/>
    <cellStyle name="40% - Accent6 13" xfId="17868"/>
    <cellStyle name="40% - Accent6 2" xfId="84"/>
    <cellStyle name="40% - Accent6 2 2" xfId="11572"/>
    <cellStyle name="40% - Accent6 2 2 2" xfId="11573"/>
    <cellStyle name="40% - Accent6 2 3" xfId="11574"/>
    <cellStyle name="40% - Accent6 2 4" xfId="11575"/>
    <cellStyle name="40% - Accent6 2 5" xfId="17869"/>
    <cellStyle name="40% - Accent6 3" xfId="9301"/>
    <cellStyle name="40% - Accent6 3 2" xfId="10358"/>
    <cellStyle name="40% - Accent6 3 2 2" xfId="11578"/>
    <cellStyle name="40% - Accent6 3 2 3" xfId="11577"/>
    <cellStyle name="40% - Accent6 3 2 4" xfId="13952"/>
    <cellStyle name="40% - Accent6 3 2 5" xfId="15090"/>
    <cellStyle name="40% - Accent6 3 3" xfId="11579"/>
    <cellStyle name="40% - Accent6 3 4" xfId="11580"/>
    <cellStyle name="40% - Accent6 3 5" xfId="11576"/>
    <cellStyle name="40% - Accent6 3 6" xfId="12899"/>
    <cellStyle name="40% - Accent6 3 6 2" xfId="17870"/>
    <cellStyle name="40% - Accent6 3 7" xfId="15089"/>
    <cellStyle name="40% - Accent6 4" xfId="10344"/>
    <cellStyle name="40% - Accent6 4 2" xfId="11582"/>
    <cellStyle name="40% - Accent6 4 2 2" xfId="17872"/>
    <cellStyle name="40% - Accent6 4 3" xfId="11583"/>
    <cellStyle name="40% - Accent6 4 4" xfId="11581"/>
    <cellStyle name="40% - Accent6 4 5" xfId="13938"/>
    <cellStyle name="40% - Accent6 4 5 2" xfId="17871"/>
    <cellStyle name="40% - Accent6 4 6" xfId="15091"/>
    <cellStyle name="40% - Accent6 5" xfId="11584"/>
    <cellStyle name="40% - Accent6 5 2" xfId="17874"/>
    <cellStyle name="40% - Accent6 5 3" xfId="17873"/>
    <cellStyle name="40% - Accent6 6" xfId="11585"/>
    <cellStyle name="40% - Accent6 6 2" xfId="17875"/>
    <cellStyle name="40% - Accent6 7" xfId="11586"/>
    <cellStyle name="40% - Accent6 7 2" xfId="17876"/>
    <cellStyle name="40% - Accent6 8" xfId="11587"/>
    <cellStyle name="40% - Accent6 8 2" xfId="17877"/>
    <cellStyle name="40% - Accent6 9" xfId="12885"/>
    <cellStyle name="40% - Accent6 9 2" xfId="17878"/>
    <cellStyle name="60% - Accent1" xfId="9267" builtinId="32" customBuiltin="1"/>
    <cellStyle name="60% - Accent1 2" xfId="85"/>
    <cellStyle name="60% - Accent1 2 2" xfId="17879"/>
    <cellStyle name="60% - Accent1 3" xfId="17880"/>
    <cellStyle name="60% - Accent2" xfId="9271" builtinId="36" customBuiltin="1"/>
    <cellStyle name="60% - Accent2 2" xfId="86"/>
    <cellStyle name="60% - Accent2 2 2" xfId="17881"/>
    <cellStyle name="60% - Accent2 3" xfId="17882"/>
    <cellStyle name="60% - Accent3" xfId="9275" builtinId="40" customBuiltin="1"/>
    <cellStyle name="60% - Accent3 2" xfId="87"/>
    <cellStyle name="60% - Accent3 2 2" xfId="17883"/>
    <cellStyle name="60% - Accent3 3" xfId="17884"/>
    <cellStyle name="60% - Accent4" xfId="9279" builtinId="44" customBuiltin="1"/>
    <cellStyle name="60% - Accent4 2" xfId="88"/>
    <cellStyle name="60% - Accent4 2 2" xfId="17885"/>
    <cellStyle name="60% - Accent4 3" xfId="17886"/>
    <cellStyle name="60% - Accent5" xfId="9283" builtinId="48" customBuiltin="1"/>
    <cellStyle name="60% - Accent5 2" xfId="89"/>
    <cellStyle name="60% - Accent5 2 2" xfId="17887"/>
    <cellStyle name="60% - Accent5 3" xfId="17888"/>
    <cellStyle name="60% - Accent6" xfId="9287" builtinId="52" customBuiltin="1"/>
    <cellStyle name="60% - Accent6 2" xfId="90"/>
    <cellStyle name="60% - Accent6 2 2" xfId="17889"/>
    <cellStyle name="60% - Accent6 3" xfId="17890"/>
    <cellStyle name="a125body" xfId="11588"/>
    <cellStyle name="a125body 2" xfId="14987"/>
    <cellStyle name="a125body 3" xfId="15027"/>
    <cellStyle name="a125body 4" xfId="12366"/>
    <cellStyle name="a125body 5" xfId="15006"/>
    <cellStyle name="a125body 6" xfId="15023"/>
    <cellStyle name="a125body 7" xfId="12321"/>
    <cellStyle name="a125body 8" xfId="15025"/>
    <cellStyle name="a125body 9" xfId="12365"/>
    <cellStyle name="Accent1" xfId="9264" builtinId="29" customBuiltin="1"/>
    <cellStyle name="Accent1 2" xfId="91"/>
    <cellStyle name="Accent1 2 2" xfId="17891"/>
    <cellStyle name="Accent1 3" xfId="17892"/>
    <cellStyle name="Accent2" xfId="9268" builtinId="33" customBuiltin="1"/>
    <cellStyle name="Accent2 2" xfId="92"/>
    <cellStyle name="Accent2 2 2" xfId="17893"/>
    <cellStyle name="Accent2 3" xfId="17894"/>
    <cellStyle name="Accent3" xfId="9272" builtinId="37" customBuiltin="1"/>
    <cellStyle name="Accent3 2" xfId="93"/>
    <cellStyle name="Accent3 2 2" xfId="17895"/>
    <cellStyle name="Accent3 3" xfId="17896"/>
    <cellStyle name="Accent4" xfId="9276" builtinId="41" customBuiltin="1"/>
    <cellStyle name="Accent4 2" xfId="94"/>
    <cellStyle name="Accent4 2 2" xfId="17897"/>
    <cellStyle name="Accent4 3" xfId="17898"/>
    <cellStyle name="Accent5" xfId="9280" builtinId="45" customBuiltin="1"/>
    <cellStyle name="Accent5 2" xfId="95"/>
    <cellStyle name="Accent5 2 2" xfId="17899"/>
    <cellStyle name="Accent5 3" xfId="17900"/>
    <cellStyle name="Accent6" xfId="9284" builtinId="49" customBuiltin="1"/>
    <cellStyle name="Accent6 2" xfId="96"/>
    <cellStyle name="Accent6 2 2" xfId="17901"/>
    <cellStyle name="Accent6 3" xfId="17902"/>
    <cellStyle name="Activity" xfId="11589"/>
    <cellStyle name="Activity 2" xfId="14988"/>
    <cellStyle name="Activity 3" xfId="15028"/>
    <cellStyle name="Activity 4" xfId="12367"/>
    <cellStyle name="Activity 5" xfId="15021"/>
    <cellStyle name="Activity 6" xfId="15003"/>
    <cellStyle name="Activity 7" xfId="15024"/>
    <cellStyle name="Activity 8" xfId="12364"/>
    <cellStyle name="Activity 9" xfId="15030"/>
    <cellStyle name="Actual Date" xfId="11590"/>
    <cellStyle name="Actual Date 2" xfId="17903"/>
    <cellStyle name="adjusted" xfId="17904"/>
    <cellStyle name="Assumption" xfId="11591"/>
    <cellStyle name="Bad" xfId="9254" builtinId="27" customBuiltin="1"/>
    <cellStyle name="Bad 2" xfId="97"/>
    <cellStyle name="Bad 2 2" xfId="17905"/>
    <cellStyle name="Bad 3" xfId="17906"/>
    <cellStyle name="BegBal" xfId="11592"/>
    <cellStyle name="BIM" xfId="11593"/>
    <cellStyle name="Calculation" xfId="9258" builtinId="22" customBuiltin="1"/>
    <cellStyle name="Calculation 2" xfId="98"/>
    <cellStyle name="Calculation 2 2" xfId="17907"/>
    <cellStyle name="Calculation 3" xfId="17908"/>
    <cellStyle name="Calculation in Model" xfId="11594"/>
    <cellStyle name="Calculation in Model 2" xfId="14989"/>
    <cellStyle name="Calculation in Model 3" xfId="15029"/>
    <cellStyle name="Calculation in Model 4" xfId="12368"/>
    <cellStyle name="Calculation in Model 5" xfId="15010"/>
    <cellStyle name="Calculation in Model 6" xfId="14984"/>
    <cellStyle name="Calculation in Model 7" xfId="12327"/>
    <cellStyle name="Calculation in Model 8" xfId="15015"/>
    <cellStyle name="Calculation in Model 9" xfId="12363"/>
    <cellStyle name="Check Cell" xfId="9260" builtinId="23" customBuiltin="1"/>
    <cellStyle name="Check Cell 2" xfId="99"/>
    <cellStyle name="Check Cell 2 2" xfId="17909"/>
    <cellStyle name="Check Cell 3" xfId="17910"/>
    <cellStyle name="ColLevel_" xfId="11595"/>
    <cellStyle name="column1" xfId="11596"/>
    <cellStyle name="column1 2" xfId="17911"/>
    <cellStyle name="column1 3" xfId="17912"/>
    <cellStyle name="column1 4" xfId="17913"/>
    <cellStyle name="column1 5" xfId="17914"/>
    <cellStyle name="Comma" xfId="1" builtinId="3"/>
    <cellStyle name="Comma  - Style1" xfId="11597"/>
    <cellStyle name="Comma  - Style1 2" xfId="17915"/>
    <cellStyle name="Comma  - Style2" xfId="11598"/>
    <cellStyle name="Comma  - Style2 2" xfId="17916"/>
    <cellStyle name="Comma  - Style3" xfId="11599"/>
    <cellStyle name="Comma  - Style3 2" xfId="17917"/>
    <cellStyle name="Comma  - Style4" xfId="11600"/>
    <cellStyle name="Comma  - Style4 2" xfId="17918"/>
    <cellStyle name="Comma  - Style5" xfId="11601"/>
    <cellStyle name="Comma  - Style5 2" xfId="17919"/>
    <cellStyle name="Comma  - Style6" xfId="11602"/>
    <cellStyle name="Comma  - Style6 2" xfId="17920"/>
    <cellStyle name="Comma  - Style7" xfId="11603"/>
    <cellStyle name="Comma  - Style7 2" xfId="17921"/>
    <cellStyle name="Comma  - Style8" xfId="11604"/>
    <cellStyle name="Comma  - Style8 2" xfId="17922"/>
    <cellStyle name="Comma [0] 2" xfId="11605"/>
    <cellStyle name="Comma [2]" xfId="17923"/>
    <cellStyle name="Comma [2] 2" xfId="17924"/>
    <cellStyle name="Comma [2] 3" xfId="17925"/>
    <cellStyle name="Comma [2] 4" xfId="17926"/>
    <cellStyle name="Comma [2] 5" xfId="17927"/>
    <cellStyle name="Comma 0 [0]" xfId="17928"/>
    <cellStyle name="Comma 10" xfId="11606"/>
    <cellStyle name="Comma 10 2" xfId="11607"/>
    <cellStyle name="Comma 10 2 2" xfId="17929"/>
    <cellStyle name="Comma 10 3" xfId="11608"/>
    <cellStyle name="Comma 11" xfId="11609"/>
    <cellStyle name="Comma 11 2" xfId="11610"/>
    <cellStyle name="Comma 11 3" xfId="11611"/>
    <cellStyle name="Comma 11 4" xfId="17930"/>
    <cellStyle name="Comma 12" xfId="11612"/>
    <cellStyle name="Comma 12 2" xfId="17931"/>
    <cellStyle name="Comma 13" xfId="11613"/>
    <cellStyle name="Comma 13 2" xfId="17932"/>
    <cellStyle name="Comma 14" xfId="11614"/>
    <cellStyle name="Comma 14 2" xfId="17933"/>
    <cellStyle name="Comma 15" xfId="11615"/>
    <cellStyle name="Comma 15 2" xfId="17934"/>
    <cellStyle name="Comma 16" xfId="11616"/>
    <cellStyle name="Comma 16 2" xfId="17935"/>
    <cellStyle name="Comma 17" xfId="11617"/>
    <cellStyle name="Comma 17 2" xfId="17936"/>
    <cellStyle name="Comma 18" xfId="11618"/>
    <cellStyle name="Comma 18 2" xfId="17937"/>
    <cellStyle name="Comma 19" xfId="11619"/>
    <cellStyle name="Comma 19 2" xfId="17938"/>
    <cellStyle name="Comma 2" xfId="70"/>
    <cellStyle name="Comma 2 2" xfId="11620"/>
    <cellStyle name="Comma 2 2 2" xfId="17939"/>
    <cellStyle name="Comma 2 3" xfId="11621"/>
    <cellStyle name="Comma 2 3 2" xfId="11622"/>
    <cellStyle name="Comma 2 3 2 2" xfId="11623"/>
    <cellStyle name="Comma 2 3 2 3" xfId="17940"/>
    <cellStyle name="Comma 2 3 3" xfId="11624"/>
    <cellStyle name="Comma 2 3 4" xfId="11625"/>
    <cellStyle name="Comma 2 3 5" xfId="17696"/>
    <cellStyle name="Comma 2 4" xfId="11626"/>
    <cellStyle name="Comma 2 4 2" xfId="11627"/>
    <cellStyle name="Comma 2 4 2 2" xfId="11628"/>
    <cellStyle name="Comma 2 4 2 3" xfId="17942"/>
    <cellStyle name="Comma 2 4 3" xfId="11629"/>
    <cellStyle name="Comma 2 4 4" xfId="11630"/>
    <cellStyle name="Comma 2 4 5" xfId="17941"/>
    <cellStyle name="Comma 2 5" xfId="11631"/>
    <cellStyle name="Comma 2 5 2" xfId="11632"/>
    <cellStyle name="Comma 2 5 2 2" xfId="11633"/>
    <cellStyle name="Comma 2 5 3" xfId="11634"/>
    <cellStyle name="Comma 2 5 4" xfId="11635"/>
    <cellStyle name="Comma 2 6" xfId="11636"/>
    <cellStyle name="Comma 20" xfId="11637"/>
    <cellStyle name="Comma 20 2" xfId="17943"/>
    <cellStyle name="Comma 21" xfId="11638"/>
    <cellStyle name="Comma 21 2" xfId="17944"/>
    <cellStyle name="Comma 22" xfId="11639"/>
    <cellStyle name="Comma 22 2" xfId="17945"/>
    <cellStyle name="Comma 23" xfId="11640"/>
    <cellStyle name="Comma 23 2" xfId="17946"/>
    <cellStyle name="Comma 24" xfId="11641"/>
    <cellStyle name="Comma 24 2" xfId="17947"/>
    <cellStyle name="Comma 25" xfId="11642"/>
    <cellStyle name="Comma 25 2" xfId="17948"/>
    <cellStyle name="Comma 26" xfId="11643"/>
    <cellStyle name="Comma 26 2" xfId="17950"/>
    <cellStyle name="Comma 26 3" xfId="17949"/>
    <cellStyle name="Comma 27" xfId="11644"/>
    <cellStyle name="Comma 27 2" xfId="17951"/>
    <cellStyle name="Comma 28" xfId="11645"/>
    <cellStyle name="Comma 28 2" xfId="17952"/>
    <cellStyle name="Comma 29" xfId="17953"/>
    <cellStyle name="Comma 3" xfId="100"/>
    <cellStyle name="Comma 3 10" xfId="17684"/>
    <cellStyle name="Comma 3 2" xfId="101"/>
    <cellStyle name="Comma 3 2 10" xfId="17955"/>
    <cellStyle name="Comma 3 2 10 2" xfId="17956"/>
    <cellStyle name="Comma 3 2 10 2 2" xfId="17957"/>
    <cellStyle name="Comma 3 2 10 3" xfId="17958"/>
    <cellStyle name="Comma 3 2 10 3 2" xfId="17959"/>
    <cellStyle name="Comma 3 2 10 4" xfId="17960"/>
    <cellStyle name="Comma 3 2 10 4 2" xfId="17961"/>
    <cellStyle name="Comma 3 2 10 5" xfId="17962"/>
    <cellStyle name="Comma 3 2 10 6" xfId="17963"/>
    <cellStyle name="Comma 3 2 11" xfId="17964"/>
    <cellStyle name="Comma 3 2 11 2" xfId="17965"/>
    <cellStyle name="Comma 3 2 11 2 2" xfId="17966"/>
    <cellStyle name="Comma 3 2 11 3" xfId="17967"/>
    <cellStyle name="Comma 3 2 11 3 2" xfId="17968"/>
    <cellStyle name="Comma 3 2 11 4" xfId="17969"/>
    <cellStyle name="Comma 3 2 11 5" xfId="17970"/>
    <cellStyle name="Comma 3 2 12" xfId="17971"/>
    <cellStyle name="Comma 3 2 12 2" xfId="17972"/>
    <cellStyle name="Comma 3 2 13" xfId="17973"/>
    <cellStyle name="Comma 3 2 13 2" xfId="17974"/>
    <cellStyle name="Comma 3 2 14" xfId="17975"/>
    <cellStyle name="Comma 3 2 14 2" xfId="17976"/>
    <cellStyle name="Comma 3 2 15" xfId="17977"/>
    <cellStyle name="Comma 3 2 16" xfId="17978"/>
    <cellStyle name="Comma 3 2 17" xfId="17979"/>
    <cellStyle name="Comma 3 2 18" xfId="17954"/>
    <cellStyle name="Comma 3 2 2" xfId="17980"/>
    <cellStyle name="Comma 3 2 2 10" xfId="17981"/>
    <cellStyle name="Comma 3 2 2 10 2" xfId="17982"/>
    <cellStyle name="Comma 3 2 2 11" xfId="17983"/>
    <cellStyle name="Comma 3 2 2 11 2" xfId="17984"/>
    <cellStyle name="Comma 3 2 2 12" xfId="17985"/>
    <cellStyle name="Comma 3 2 2 13" xfId="17986"/>
    <cellStyle name="Comma 3 2 2 2" xfId="17987"/>
    <cellStyle name="Comma 3 2 2 2 10" xfId="17988"/>
    <cellStyle name="Comma 3 2 2 2 11" xfId="17989"/>
    <cellStyle name="Comma 3 2 2 2 2" xfId="17990"/>
    <cellStyle name="Comma 3 2 2 2 2 2" xfId="17991"/>
    <cellStyle name="Comma 3 2 2 2 2 2 2" xfId="17992"/>
    <cellStyle name="Comma 3 2 2 2 2 3" xfId="17993"/>
    <cellStyle name="Comma 3 2 2 2 2 3 2" xfId="17994"/>
    <cellStyle name="Comma 3 2 2 2 2 4" xfId="17995"/>
    <cellStyle name="Comma 3 2 2 2 2 4 2" xfId="17996"/>
    <cellStyle name="Comma 3 2 2 2 2 5" xfId="17997"/>
    <cellStyle name="Comma 3 2 2 2 2 6" xfId="17998"/>
    <cellStyle name="Comma 3 2 2 2 3" xfId="17999"/>
    <cellStyle name="Comma 3 2 2 2 3 2" xfId="18000"/>
    <cellStyle name="Comma 3 2 2 2 3 2 2" xfId="18001"/>
    <cellStyle name="Comma 3 2 2 2 3 3" xfId="18002"/>
    <cellStyle name="Comma 3 2 2 2 3 3 2" xfId="18003"/>
    <cellStyle name="Comma 3 2 2 2 3 4" xfId="18004"/>
    <cellStyle name="Comma 3 2 2 2 3 4 2" xfId="18005"/>
    <cellStyle name="Comma 3 2 2 2 3 5" xfId="18006"/>
    <cellStyle name="Comma 3 2 2 2 3 6" xfId="18007"/>
    <cellStyle name="Comma 3 2 2 2 4" xfId="18008"/>
    <cellStyle name="Comma 3 2 2 2 4 2" xfId="18009"/>
    <cellStyle name="Comma 3 2 2 2 4 2 2" xfId="18010"/>
    <cellStyle name="Comma 3 2 2 2 4 3" xfId="18011"/>
    <cellStyle name="Comma 3 2 2 2 4 3 2" xfId="18012"/>
    <cellStyle name="Comma 3 2 2 2 4 4" xfId="18013"/>
    <cellStyle name="Comma 3 2 2 2 4 4 2" xfId="18014"/>
    <cellStyle name="Comma 3 2 2 2 4 5" xfId="18015"/>
    <cellStyle name="Comma 3 2 2 2 4 6" xfId="18016"/>
    <cellStyle name="Comma 3 2 2 2 5" xfId="18017"/>
    <cellStyle name="Comma 3 2 2 2 5 2" xfId="18018"/>
    <cellStyle name="Comma 3 2 2 2 5 2 2" xfId="18019"/>
    <cellStyle name="Comma 3 2 2 2 5 3" xfId="18020"/>
    <cellStyle name="Comma 3 2 2 2 5 3 2" xfId="18021"/>
    <cellStyle name="Comma 3 2 2 2 5 4" xfId="18022"/>
    <cellStyle name="Comma 3 2 2 2 5 4 2" xfId="18023"/>
    <cellStyle name="Comma 3 2 2 2 5 5" xfId="18024"/>
    <cellStyle name="Comma 3 2 2 2 5 6" xfId="18025"/>
    <cellStyle name="Comma 3 2 2 2 6" xfId="18026"/>
    <cellStyle name="Comma 3 2 2 2 6 2" xfId="18027"/>
    <cellStyle name="Comma 3 2 2 2 6 2 2" xfId="18028"/>
    <cellStyle name="Comma 3 2 2 2 6 3" xfId="18029"/>
    <cellStyle name="Comma 3 2 2 2 6 3 2" xfId="18030"/>
    <cellStyle name="Comma 3 2 2 2 6 4" xfId="18031"/>
    <cellStyle name="Comma 3 2 2 2 6 5" xfId="18032"/>
    <cellStyle name="Comma 3 2 2 2 7" xfId="18033"/>
    <cellStyle name="Comma 3 2 2 2 7 2" xfId="18034"/>
    <cellStyle name="Comma 3 2 2 2 8" xfId="18035"/>
    <cellStyle name="Comma 3 2 2 2 8 2" xfId="18036"/>
    <cellStyle name="Comma 3 2 2 2 9" xfId="18037"/>
    <cellStyle name="Comma 3 2 2 2 9 2" xfId="18038"/>
    <cellStyle name="Comma 3 2 2 3" xfId="18039"/>
    <cellStyle name="Comma 3 2 2 3 10" xfId="18040"/>
    <cellStyle name="Comma 3 2 2 3 2" xfId="18041"/>
    <cellStyle name="Comma 3 2 2 3 2 2" xfId="18042"/>
    <cellStyle name="Comma 3 2 2 3 2 2 2" xfId="18043"/>
    <cellStyle name="Comma 3 2 2 3 2 3" xfId="18044"/>
    <cellStyle name="Comma 3 2 2 3 2 3 2" xfId="18045"/>
    <cellStyle name="Comma 3 2 2 3 2 4" xfId="18046"/>
    <cellStyle name="Comma 3 2 2 3 2 4 2" xfId="18047"/>
    <cellStyle name="Comma 3 2 2 3 2 5" xfId="18048"/>
    <cellStyle name="Comma 3 2 2 3 2 6" xfId="18049"/>
    <cellStyle name="Comma 3 2 2 3 3" xfId="18050"/>
    <cellStyle name="Comma 3 2 2 3 3 2" xfId="18051"/>
    <cellStyle name="Comma 3 2 2 3 3 2 2" xfId="18052"/>
    <cellStyle name="Comma 3 2 2 3 3 3" xfId="18053"/>
    <cellStyle name="Comma 3 2 2 3 3 3 2" xfId="18054"/>
    <cellStyle name="Comma 3 2 2 3 3 4" xfId="18055"/>
    <cellStyle name="Comma 3 2 2 3 3 4 2" xfId="18056"/>
    <cellStyle name="Comma 3 2 2 3 3 5" xfId="18057"/>
    <cellStyle name="Comma 3 2 2 3 3 6" xfId="18058"/>
    <cellStyle name="Comma 3 2 2 3 4" xfId="18059"/>
    <cellStyle name="Comma 3 2 2 3 4 2" xfId="18060"/>
    <cellStyle name="Comma 3 2 2 3 4 2 2" xfId="18061"/>
    <cellStyle name="Comma 3 2 2 3 4 3" xfId="18062"/>
    <cellStyle name="Comma 3 2 2 3 4 3 2" xfId="18063"/>
    <cellStyle name="Comma 3 2 2 3 4 4" xfId="18064"/>
    <cellStyle name="Comma 3 2 2 3 4 4 2" xfId="18065"/>
    <cellStyle name="Comma 3 2 2 3 4 5" xfId="18066"/>
    <cellStyle name="Comma 3 2 2 3 4 6" xfId="18067"/>
    <cellStyle name="Comma 3 2 2 3 5" xfId="18068"/>
    <cellStyle name="Comma 3 2 2 3 5 2" xfId="18069"/>
    <cellStyle name="Comma 3 2 2 3 5 2 2" xfId="18070"/>
    <cellStyle name="Comma 3 2 2 3 5 3" xfId="18071"/>
    <cellStyle name="Comma 3 2 2 3 5 3 2" xfId="18072"/>
    <cellStyle name="Comma 3 2 2 3 5 4" xfId="18073"/>
    <cellStyle name="Comma 3 2 2 3 5 5" xfId="18074"/>
    <cellStyle name="Comma 3 2 2 3 6" xfId="18075"/>
    <cellStyle name="Comma 3 2 2 3 6 2" xfId="18076"/>
    <cellStyle name="Comma 3 2 2 3 7" xfId="18077"/>
    <cellStyle name="Comma 3 2 2 3 7 2" xfId="18078"/>
    <cellStyle name="Comma 3 2 2 3 8" xfId="18079"/>
    <cellStyle name="Comma 3 2 2 3 8 2" xfId="18080"/>
    <cellStyle name="Comma 3 2 2 3 9" xfId="18081"/>
    <cellStyle name="Comma 3 2 2 4" xfId="18082"/>
    <cellStyle name="Comma 3 2 2 4 10" xfId="18083"/>
    <cellStyle name="Comma 3 2 2 4 2" xfId="18084"/>
    <cellStyle name="Comma 3 2 2 4 2 2" xfId="18085"/>
    <cellStyle name="Comma 3 2 2 4 2 2 2" xfId="18086"/>
    <cellStyle name="Comma 3 2 2 4 2 3" xfId="18087"/>
    <cellStyle name="Comma 3 2 2 4 2 3 2" xfId="18088"/>
    <cellStyle name="Comma 3 2 2 4 2 4" xfId="18089"/>
    <cellStyle name="Comma 3 2 2 4 2 4 2" xfId="18090"/>
    <cellStyle name="Comma 3 2 2 4 2 5" xfId="18091"/>
    <cellStyle name="Comma 3 2 2 4 2 6" xfId="18092"/>
    <cellStyle name="Comma 3 2 2 4 3" xfId="18093"/>
    <cellStyle name="Comma 3 2 2 4 3 2" xfId="18094"/>
    <cellStyle name="Comma 3 2 2 4 3 2 2" xfId="18095"/>
    <cellStyle name="Comma 3 2 2 4 3 3" xfId="18096"/>
    <cellStyle name="Comma 3 2 2 4 3 3 2" xfId="18097"/>
    <cellStyle name="Comma 3 2 2 4 3 4" xfId="18098"/>
    <cellStyle name="Comma 3 2 2 4 3 4 2" xfId="18099"/>
    <cellStyle name="Comma 3 2 2 4 3 5" xfId="18100"/>
    <cellStyle name="Comma 3 2 2 4 3 6" xfId="18101"/>
    <cellStyle name="Comma 3 2 2 4 4" xfId="18102"/>
    <cellStyle name="Comma 3 2 2 4 4 2" xfId="18103"/>
    <cellStyle name="Comma 3 2 2 4 4 2 2" xfId="18104"/>
    <cellStyle name="Comma 3 2 2 4 4 3" xfId="18105"/>
    <cellStyle name="Comma 3 2 2 4 4 3 2" xfId="18106"/>
    <cellStyle name="Comma 3 2 2 4 4 4" xfId="18107"/>
    <cellStyle name="Comma 3 2 2 4 4 4 2" xfId="18108"/>
    <cellStyle name="Comma 3 2 2 4 4 5" xfId="18109"/>
    <cellStyle name="Comma 3 2 2 4 4 6" xfId="18110"/>
    <cellStyle name="Comma 3 2 2 4 5" xfId="18111"/>
    <cellStyle name="Comma 3 2 2 4 5 2" xfId="18112"/>
    <cellStyle name="Comma 3 2 2 4 5 2 2" xfId="18113"/>
    <cellStyle name="Comma 3 2 2 4 5 3" xfId="18114"/>
    <cellStyle name="Comma 3 2 2 4 5 3 2" xfId="18115"/>
    <cellStyle name="Comma 3 2 2 4 5 4" xfId="18116"/>
    <cellStyle name="Comma 3 2 2 4 5 5" xfId="18117"/>
    <cellStyle name="Comma 3 2 2 4 6" xfId="18118"/>
    <cellStyle name="Comma 3 2 2 4 6 2" xfId="18119"/>
    <cellStyle name="Comma 3 2 2 4 7" xfId="18120"/>
    <cellStyle name="Comma 3 2 2 4 7 2" xfId="18121"/>
    <cellStyle name="Comma 3 2 2 4 8" xfId="18122"/>
    <cellStyle name="Comma 3 2 2 4 8 2" xfId="18123"/>
    <cellStyle name="Comma 3 2 2 4 9" xfId="18124"/>
    <cellStyle name="Comma 3 2 2 5" xfId="18125"/>
    <cellStyle name="Comma 3 2 2 5 2" xfId="18126"/>
    <cellStyle name="Comma 3 2 2 5 2 2" xfId="18127"/>
    <cellStyle name="Comma 3 2 2 5 3" xfId="18128"/>
    <cellStyle name="Comma 3 2 2 5 3 2" xfId="18129"/>
    <cellStyle name="Comma 3 2 2 5 4" xfId="18130"/>
    <cellStyle name="Comma 3 2 2 5 4 2" xfId="18131"/>
    <cellStyle name="Comma 3 2 2 5 5" xfId="18132"/>
    <cellStyle name="Comma 3 2 2 5 6" xfId="18133"/>
    <cellStyle name="Comma 3 2 2 6" xfId="18134"/>
    <cellStyle name="Comma 3 2 2 6 2" xfId="18135"/>
    <cellStyle name="Comma 3 2 2 6 2 2" xfId="18136"/>
    <cellStyle name="Comma 3 2 2 6 3" xfId="18137"/>
    <cellStyle name="Comma 3 2 2 6 3 2" xfId="18138"/>
    <cellStyle name="Comma 3 2 2 6 4" xfId="18139"/>
    <cellStyle name="Comma 3 2 2 6 4 2" xfId="18140"/>
    <cellStyle name="Comma 3 2 2 6 5" xfId="18141"/>
    <cellStyle name="Comma 3 2 2 6 6" xfId="18142"/>
    <cellStyle name="Comma 3 2 2 7" xfId="18143"/>
    <cellStyle name="Comma 3 2 2 7 2" xfId="18144"/>
    <cellStyle name="Comma 3 2 2 7 2 2" xfId="18145"/>
    <cellStyle name="Comma 3 2 2 7 3" xfId="18146"/>
    <cellStyle name="Comma 3 2 2 7 3 2" xfId="18147"/>
    <cellStyle name="Comma 3 2 2 7 4" xfId="18148"/>
    <cellStyle name="Comma 3 2 2 7 4 2" xfId="18149"/>
    <cellStyle name="Comma 3 2 2 7 5" xfId="18150"/>
    <cellStyle name="Comma 3 2 2 7 6" xfId="18151"/>
    <cellStyle name="Comma 3 2 2 8" xfId="18152"/>
    <cellStyle name="Comma 3 2 2 8 2" xfId="18153"/>
    <cellStyle name="Comma 3 2 2 8 2 2" xfId="18154"/>
    <cellStyle name="Comma 3 2 2 8 3" xfId="18155"/>
    <cellStyle name="Comma 3 2 2 8 3 2" xfId="18156"/>
    <cellStyle name="Comma 3 2 2 8 4" xfId="18157"/>
    <cellStyle name="Comma 3 2 2 8 5" xfId="18158"/>
    <cellStyle name="Comma 3 2 2 9" xfId="18159"/>
    <cellStyle name="Comma 3 2 2 9 2" xfId="18160"/>
    <cellStyle name="Comma 3 2 3" xfId="18161"/>
    <cellStyle name="Comma 3 2 3 10" xfId="18162"/>
    <cellStyle name="Comma 3 2 3 10 2" xfId="18163"/>
    <cellStyle name="Comma 3 2 3 11" xfId="18164"/>
    <cellStyle name="Comma 3 2 3 11 2" xfId="18165"/>
    <cellStyle name="Comma 3 2 3 12" xfId="18166"/>
    <cellStyle name="Comma 3 2 3 13" xfId="18167"/>
    <cellStyle name="Comma 3 2 3 2" xfId="18168"/>
    <cellStyle name="Comma 3 2 3 2 10" xfId="18169"/>
    <cellStyle name="Comma 3 2 3 2 11" xfId="18170"/>
    <cellStyle name="Comma 3 2 3 2 2" xfId="18171"/>
    <cellStyle name="Comma 3 2 3 2 2 2" xfId="18172"/>
    <cellStyle name="Comma 3 2 3 2 2 2 2" xfId="18173"/>
    <cellStyle name="Comma 3 2 3 2 2 3" xfId="18174"/>
    <cellStyle name="Comma 3 2 3 2 2 3 2" xfId="18175"/>
    <cellStyle name="Comma 3 2 3 2 2 4" xfId="18176"/>
    <cellStyle name="Comma 3 2 3 2 2 4 2" xfId="18177"/>
    <cellStyle name="Comma 3 2 3 2 2 5" xfId="18178"/>
    <cellStyle name="Comma 3 2 3 2 2 6" xfId="18179"/>
    <cellStyle name="Comma 3 2 3 2 3" xfId="18180"/>
    <cellStyle name="Comma 3 2 3 2 3 2" xfId="18181"/>
    <cellStyle name="Comma 3 2 3 2 3 2 2" xfId="18182"/>
    <cellStyle name="Comma 3 2 3 2 3 3" xfId="18183"/>
    <cellStyle name="Comma 3 2 3 2 3 3 2" xfId="18184"/>
    <cellStyle name="Comma 3 2 3 2 3 4" xfId="18185"/>
    <cellStyle name="Comma 3 2 3 2 3 4 2" xfId="18186"/>
    <cellStyle name="Comma 3 2 3 2 3 5" xfId="18187"/>
    <cellStyle name="Comma 3 2 3 2 3 6" xfId="18188"/>
    <cellStyle name="Comma 3 2 3 2 4" xfId="18189"/>
    <cellStyle name="Comma 3 2 3 2 4 2" xfId="18190"/>
    <cellStyle name="Comma 3 2 3 2 4 2 2" xfId="18191"/>
    <cellStyle name="Comma 3 2 3 2 4 3" xfId="18192"/>
    <cellStyle name="Comma 3 2 3 2 4 3 2" xfId="18193"/>
    <cellStyle name="Comma 3 2 3 2 4 4" xfId="18194"/>
    <cellStyle name="Comma 3 2 3 2 4 4 2" xfId="18195"/>
    <cellStyle name="Comma 3 2 3 2 4 5" xfId="18196"/>
    <cellStyle name="Comma 3 2 3 2 4 6" xfId="18197"/>
    <cellStyle name="Comma 3 2 3 2 5" xfId="18198"/>
    <cellStyle name="Comma 3 2 3 2 5 2" xfId="18199"/>
    <cellStyle name="Comma 3 2 3 2 5 2 2" xfId="18200"/>
    <cellStyle name="Comma 3 2 3 2 5 3" xfId="18201"/>
    <cellStyle name="Comma 3 2 3 2 5 3 2" xfId="18202"/>
    <cellStyle name="Comma 3 2 3 2 5 4" xfId="18203"/>
    <cellStyle name="Comma 3 2 3 2 5 4 2" xfId="18204"/>
    <cellStyle name="Comma 3 2 3 2 5 5" xfId="18205"/>
    <cellStyle name="Comma 3 2 3 2 5 6" xfId="18206"/>
    <cellStyle name="Comma 3 2 3 2 6" xfId="18207"/>
    <cellStyle name="Comma 3 2 3 2 6 2" xfId="18208"/>
    <cellStyle name="Comma 3 2 3 2 6 2 2" xfId="18209"/>
    <cellStyle name="Comma 3 2 3 2 6 3" xfId="18210"/>
    <cellStyle name="Comma 3 2 3 2 6 3 2" xfId="18211"/>
    <cellStyle name="Comma 3 2 3 2 6 4" xfId="18212"/>
    <cellStyle name="Comma 3 2 3 2 6 5" xfId="18213"/>
    <cellStyle name="Comma 3 2 3 2 7" xfId="18214"/>
    <cellStyle name="Comma 3 2 3 2 7 2" xfId="18215"/>
    <cellStyle name="Comma 3 2 3 2 8" xfId="18216"/>
    <cellStyle name="Comma 3 2 3 2 8 2" xfId="18217"/>
    <cellStyle name="Comma 3 2 3 2 9" xfId="18218"/>
    <cellStyle name="Comma 3 2 3 2 9 2" xfId="18219"/>
    <cellStyle name="Comma 3 2 3 3" xfId="18220"/>
    <cellStyle name="Comma 3 2 3 3 10" xfId="18221"/>
    <cellStyle name="Comma 3 2 3 3 2" xfId="18222"/>
    <cellStyle name="Comma 3 2 3 3 2 2" xfId="18223"/>
    <cellStyle name="Comma 3 2 3 3 2 2 2" xfId="18224"/>
    <cellStyle name="Comma 3 2 3 3 2 3" xfId="18225"/>
    <cellStyle name="Comma 3 2 3 3 2 3 2" xfId="18226"/>
    <cellStyle name="Comma 3 2 3 3 2 4" xfId="18227"/>
    <cellStyle name="Comma 3 2 3 3 2 4 2" xfId="18228"/>
    <cellStyle name="Comma 3 2 3 3 2 5" xfId="18229"/>
    <cellStyle name="Comma 3 2 3 3 2 6" xfId="18230"/>
    <cellStyle name="Comma 3 2 3 3 3" xfId="18231"/>
    <cellStyle name="Comma 3 2 3 3 3 2" xfId="18232"/>
    <cellStyle name="Comma 3 2 3 3 3 2 2" xfId="18233"/>
    <cellStyle name="Comma 3 2 3 3 3 3" xfId="18234"/>
    <cellStyle name="Comma 3 2 3 3 3 3 2" xfId="18235"/>
    <cellStyle name="Comma 3 2 3 3 3 4" xfId="18236"/>
    <cellStyle name="Comma 3 2 3 3 3 4 2" xfId="18237"/>
    <cellStyle name="Comma 3 2 3 3 3 5" xfId="18238"/>
    <cellStyle name="Comma 3 2 3 3 3 6" xfId="18239"/>
    <cellStyle name="Comma 3 2 3 3 4" xfId="18240"/>
    <cellStyle name="Comma 3 2 3 3 4 2" xfId="18241"/>
    <cellStyle name="Comma 3 2 3 3 4 2 2" xfId="18242"/>
    <cellStyle name="Comma 3 2 3 3 4 3" xfId="18243"/>
    <cellStyle name="Comma 3 2 3 3 4 3 2" xfId="18244"/>
    <cellStyle name="Comma 3 2 3 3 4 4" xfId="18245"/>
    <cellStyle name="Comma 3 2 3 3 4 4 2" xfId="18246"/>
    <cellStyle name="Comma 3 2 3 3 4 5" xfId="18247"/>
    <cellStyle name="Comma 3 2 3 3 4 6" xfId="18248"/>
    <cellStyle name="Comma 3 2 3 3 5" xfId="18249"/>
    <cellStyle name="Comma 3 2 3 3 5 2" xfId="18250"/>
    <cellStyle name="Comma 3 2 3 3 5 2 2" xfId="18251"/>
    <cellStyle name="Comma 3 2 3 3 5 3" xfId="18252"/>
    <cellStyle name="Comma 3 2 3 3 5 3 2" xfId="18253"/>
    <cellStyle name="Comma 3 2 3 3 5 4" xfId="18254"/>
    <cellStyle name="Comma 3 2 3 3 5 5" xfId="18255"/>
    <cellStyle name="Comma 3 2 3 3 6" xfId="18256"/>
    <cellStyle name="Comma 3 2 3 3 6 2" xfId="18257"/>
    <cellStyle name="Comma 3 2 3 3 7" xfId="18258"/>
    <cellStyle name="Comma 3 2 3 3 7 2" xfId="18259"/>
    <cellStyle name="Comma 3 2 3 3 8" xfId="18260"/>
    <cellStyle name="Comma 3 2 3 3 8 2" xfId="18261"/>
    <cellStyle name="Comma 3 2 3 3 9" xfId="18262"/>
    <cellStyle name="Comma 3 2 3 4" xfId="18263"/>
    <cellStyle name="Comma 3 2 3 4 10" xfId="18264"/>
    <cellStyle name="Comma 3 2 3 4 2" xfId="18265"/>
    <cellStyle name="Comma 3 2 3 4 2 2" xfId="18266"/>
    <cellStyle name="Comma 3 2 3 4 2 2 2" xfId="18267"/>
    <cellStyle name="Comma 3 2 3 4 2 3" xfId="18268"/>
    <cellStyle name="Comma 3 2 3 4 2 3 2" xfId="18269"/>
    <cellStyle name="Comma 3 2 3 4 2 4" xfId="18270"/>
    <cellStyle name="Comma 3 2 3 4 2 4 2" xfId="18271"/>
    <cellStyle name="Comma 3 2 3 4 2 5" xfId="18272"/>
    <cellStyle name="Comma 3 2 3 4 2 6" xfId="18273"/>
    <cellStyle name="Comma 3 2 3 4 3" xfId="18274"/>
    <cellStyle name="Comma 3 2 3 4 3 2" xfId="18275"/>
    <cellStyle name="Comma 3 2 3 4 3 2 2" xfId="18276"/>
    <cellStyle name="Comma 3 2 3 4 3 3" xfId="18277"/>
    <cellStyle name="Comma 3 2 3 4 3 3 2" xfId="18278"/>
    <cellStyle name="Comma 3 2 3 4 3 4" xfId="18279"/>
    <cellStyle name="Comma 3 2 3 4 3 4 2" xfId="18280"/>
    <cellStyle name="Comma 3 2 3 4 3 5" xfId="18281"/>
    <cellStyle name="Comma 3 2 3 4 3 6" xfId="18282"/>
    <cellStyle name="Comma 3 2 3 4 4" xfId="18283"/>
    <cellStyle name="Comma 3 2 3 4 4 2" xfId="18284"/>
    <cellStyle name="Comma 3 2 3 4 4 2 2" xfId="18285"/>
    <cellStyle name="Comma 3 2 3 4 4 3" xfId="18286"/>
    <cellStyle name="Comma 3 2 3 4 4 3 2" xfId="18287"/>
    <cellStyle name="Comma 3 2 3 4 4 4" xfId="18288"/>
    <cellStyle name="Comma 3 2 3 4 4 4 2" xfId="18289"/>
    <cellStyle name="Comma 3 2 3 4 4 5" xfId="18290"/>
    <cellStyle name="Comma 3 2 3 4 4 6" xfId="18291"/>
    <cellStyle name="Comma 3 2 3 4 5" xfId="18292"/>
    <cellStyle name="Comma 3 2 3 4 5 2" xfId="18293"/>
    <cellStyle name="Comma 3 2 3 4 5 2 2" xfId="18294"/>
    <cellStyle name="Comma 3 2 3 4 5 3" xfId="18295"/>
    <cellStyle name="Comma 3 2 3 4 5 3 2" xfId="18296"/>
    <cellStyle name="Comma 3 2 3 4 5 4" xfId="18297"/>
    <cellStyle name="Comma 3 2 3 4 5 5" xfId="18298"/>
    <cellStyle name="Comma 3 2 3 4 6" xfId="18299"/>
    <cellStyle name="Comma 3 2 3 4 6 2" xfId="18300"/>
    <cellStyle name="Comma 3 2 3 4 7" xfId="18301"/>
    <cellStyle name="Comma 3 2 3 4 7 2" xfId="18302"/>
    <cellStyle name="Comma 3 2 3 4 8" xfId="18303"/>
    <cellStyle name="Comma 3 2 3 4 8 2" xfId="18304"/>
    <cellStyle name="Comma 3 2 3 4 9" xfId="18305"/>
    <cellStyle name="Comma 3 2 3 5" xfId="18306"/>
    <cellStyle name="Comma 3 2 3 5 2" xfId="18307"/>
    <cellStyle name="Comma 3 2 3 5 2 2" xfId="18308"/>
    <cellStyle name="Comma 3 2 3 5 3" xfId="18309"/>
    <cellStyle name="Comma 3 2 3 5 3 2" xfId="18310"/>
    <cellStyle name="Comma 3 2 3 5 4" xfId="18311"/>
    <cellStyle name="Comma 3 2 3 5 4 2" xfId="18312"/>
    <cellStyle name="Comma 3 2 3 5 5" xfId="18313"/>
    <cellStyle name="Comma 3 2 3 5 6" xfId="18314"/>
    <cellStyle name="Comma 3 2 3 6" xfId="18315"/>
    <cellStyle name="Comma 3 2 3 6 2" xfId="18316"/>
    <cellStyle name="Comma 3 2 3 6 2 2" xfId="18317"/>
    <cellStyle name="Comma 3 2 3 6 3" xfId="18318"/>
    <cellStyle name="Comma 3 2 3 6 3 2" xfId="18319"/>
    <cellStyle name="Comma 3 2 3 6 4" xfId="18320"/>
    <cellStyle name="Comma 3 2 3 6 4 2" xfId="18321"/>
    <cellStyle name="Comma 3 2 3 6 5" xfId="18322"/>
    <cellStyle name="Comma 3 2 3 6 6" xfId="18323"/>
    <cellStyle name="Comma 3 2 3 7" xfId="18324"/>
    <cellStyle name="Comma 3 2 3 7 2" xfId="18325"/>
    <cellStyle name="Comma 3 2 3 7 2 2" xfId="18326"/>
    <cellStyle name="Comma 3 2 3 7 3" xfId="18327"/>
    <cellStyle name="Comma 3 2 3 7 3 2" xfId="18328"/>
    <cellStyle name="Comma 3 2 3 7 4" xfId="18329"/>
    <cellStyle name="Comma 3 2 3 7 4 2" xfId="18330"/>
    <cellStyle name="Comma 3 2 3 7 5" xfId="18331"/>
    <cellStyle name="Comma 3 2 3 7 6" xfId="18332"/>
    <cellStyle name="Comma 3 2 3 8" xfId="18333"/>
    <cellStyle name="Comma 3 2 3 8 2" xfId="18334"/>
    <cellStyle name="Comma 3 2 3 8 2 2" xfId="18335"/>
    <cellStyle name="Comma 3 2 3 8 3" xfId="18336"/>
    <cellStyle name="Comma 3 2 3 8 3 2" xfId="18337"/>
    <cellStyle name="Comma 3 2 3 8 4" xfId="18338"/>
    <cellStyle name="Comma 3 2 3 8 5" xfId="18339"/>
    <cellStyle name="Comma 3 2 3 9" xfId="18340"/>
    <cellStyle name="Comma 3 2 3 9 2" xfId="18341"/>
    <cellStyle name="Comma 3 2 4" xfId="18342"/>
    <cellStyle name="Comma 3 2 4 10" xfId="18343"/>
    <cellStyle name="Comma 3 2 4 10 2" xfId="18344"/>
    <cellStyle name="Comma 3 2 4 11" xfId="18345"/>
    <cellStyle name="Comma 3 2 4 12" xfId="18346"/>
    <cellStyle name="Comma 3 2 4 2" xfId="18347"/>
    <cellStyle name="Comma 3 2 4 2 10" xfId="18348"/>
    <cellStyle name="Comma 3 2 4 2 2" xfId="18349"/>
    <cellStyle name="Comma 3 2 4 2 2 2" xfId="18350"/>
    <cellStyle name="Comma 3 2 4 2 2 2 2" xfId="18351"/>
    <cellStyle name="Comma 3 2 4 2 2 3" xfId="18352"/>
    <cellStyle name="Comma 3 2 4 2 2 3 2" xfId="18353"/>
    <cellStyle name="Comma 3 2 4 2 2 4" xfId="18354"/>
    <cellStyle name="Comma 3 2 4 2 2 4 2" xfId="18355"/>
    <cellStyle name="Comma 3 2 4 2 2 5" xfId="18356"/>
    <cellStyle name="Comma 3 2 4 2 2 6" xfId="18357"/>
    <cellStyle name="Comma 3 2 4 2 3" xfId="18358"/>
    <cellStyle name="Comma 3 2 4 2 3 2" xfId="18359"/>
    <cellStyle name="Comma 3 2 4 2 3 2 2" xfId="18360"/>
    <cellStyle name="Comma 3 2 4 2 3 3" xfId="18361"/>
    <cellStyle name="Comma 3 2 4 2 3 3 2" xfId="18362"/>
    <cellStyle name="Comma 3 2 4 2 3 4" xfId="18363"/>
    <cellStyle name="Comma 3 2 4 2 3 4 2" xfId="18364"/>
    <cellStyle name="Comma 3 2 4 2 3 5" xfId="18365"/>
    <cellStyle name="Comma 3 2 4 2 3 6" xfId="18366"/>
    <cellStyle name="Comma 3 2 4 2 4" xfId="18367"/>
    <cellStyle name="Comma 3 2 4 2 4 2" xfId="18368"/>
    <cellStyle name="Comma 3 2 4 2 4 2 2" xfId="18369"/>
    <cellStyle name="Comma 3 2 4 2 4 3" xfId="18370"/>
    <cellStyle name="Comma 3 2 4 2 4 3 2" xfId="18371"/>
    <cellStyle name="Comma 3 2 4 2 4 4" xfId="18372"/>
    <cellStyle name="Comma 3 2 4 2 4 4 2" xfId="18373"/>
    <cellStyle name="Comma 3 2 4 2 4 5" xfId="18374"/>
    <cellStyle name="Comma 3 2 4 2 4 6" xfId="18375"/>
    <cellStyle name="Comma 3 2 4 2 5" xfId="18376"/>
    <cellStyle name="Comma 3 2 4 2 5 2" xfId="18377"/>
    <cellStyle name="Comma 3 2 4 2 5 2 2" xfId="18378"/>
    <cellStyle name="Comma 3 2 4 2 5 3" xfId="18379"/>
    <cellStyle name="Comma 3 2 4 2 5 3 2" xfId="18380"/>
    <cellStyle name="Comma 3 2 4 2 5 4" xfId="18381"/>
    <cellStyle name="Comma 3 2 4 2 5 5" xfId="18382"/>
    <cellStyle name="Comma 3 2 4 2 6" xfId="18383"/>
    <cellStyle name="Comma 3 2 4 2 6 2" xfId="18384"/>
    <cellStyle name="Comma 3 2 4 2 7" xfId="18385"/>
    <cellStyle name="Comma 3 2 4 2 7 2" xfId="18386"/>
    <cellStyle name="Comma 3 2 4 2 8" xfId="18387"/>
    <cellStyle name="Comma 3 2 4 2 8 2" xfId="18388"/>
    <cellStyle name="Comma 3 2 4 2 9" xfId="18389"/>
    <cellStyle name="Comma 3 2 4 3" xfId="18390"/>
    <cellStyle name="Comma 3 2 4 3 10" xfId="18391"/>
    <cellStyle name="Comma 3 2 4 3 2" xfId="18392"/>
    <cellStyle name="Comma 3 2 4 3 2 2" xfId="18393"/>
    <cellStyle name="Comma 3 2 4 3 2 2 2" xfId="18394"/>
    <cellStyle name="Comma 3 2 4 3 2 3" xfId="18395"/>
    <cellStyle name="Comma 3 2 4 3 2 3 2" xfId="18396"/>
    <cellStyle name="Comma 3 2 4 3 2 4" xfId="18397"/>
    <cellStyle name="Comma 3 2 4 3 2 4 2" xfId="18398"/>
    <cellStyle name="Comma 3 2 4 3 2 5" xfId="18399"/>
    <cellStyle name="Comma 3 2 4 3 2 6" xfId="18400"/>
    <cellStyle name="Comma 3 2 4 3 3" xfId="18401"/>
    <cellStyle name="Comma 3 2 4 3 3 2" xfId="18402"/>
    <cellStyle name="Comma 3 2 4 3 3 2 2" xfId="18403"/>
    <cellStyle name="Comma 3 2 4 3 3 3" xfId="18404"/>
    <cellStyle name="Comma 3 2 4 3 3 3 2" xfId="18405"/>
    <cellStyle name="Comma 3 2 4 3 3 4" xfId="18406"/>
    <cellStyle name="Comma 3 2 4 3 3 4 2" xfId="18407"/>
    <cellStyle name="Comma 3 2 4 3 3 5" xfId="18408"/>
    <cellStyle name="Comma 3 2 4 3 3 6" xfId="18409"/>
    <cellStyle name="Comma 3 2 4 3 4" xfId="18410"/>
    <cellStyle name="Comma 3 2 4 3 4 2" xfId="18411"/>
    <cellStyle name="Comma 3 2 4 3 4 2 2" xfId="18412"/>
    <cellStyle name="Comma 3 2 4 3 4 3" xfId="18413"/>
    <cellStyle name="Comma 3 2 4 3 4 3 2" xfId="18414"/>
    <cellStyle name="Comma 3 2 4 3 4 4" xfId="18415"/>
    <cellStyle name="Comma 3 2 4 3 4 4 2" xfId="18416"/>
    <cellStyle name="Comma 3 2 4 3 4 5" xfId="18417"/>
    <cellStyle name="Comma 3 2 4 3 4 6" xfId="18418"/>
    <cellStyle name="Comma 3 2 4 3 5" xfId="18419"/>
    <cellStyle name="Comma 3 2 4 3 5 2" xfId="18420"/>
    <cellStyle name="Comma 3 2 4 3 5 2 2" xfId="18421"/>
    <cellStyle name="Comma 3 2 4 3 5 3" xfId="18422"/>
    <cellStyle name="Comma 3 2 4 3 5 3 2" xfId="18423"/>
    <cellStyle name="Comma 3 2 4 3 5 4" xfId="18424"/>
    <cellStyle name="Comma 3 2 4 3 5 5" xfId="18425"/>
    <cellStyle name="Comma 3 2 4 3 6" xfId="18426"/>
    <cellStyle name="Comma 3 2 4 3 6 2" xfId="18427"/>
    <cellStyle name="Comma 3 2 4 3 7" xfId="18428"/>
    <cellStyle name="Comma 3 2 4 3 7 2" xfId="18429"/>
    <cellStyle name="Comma 3 2 4 3 8" xfId="18430"/>
    <cellStyle name="Comma 3 2 4 3 8 2" xfId="18431"/>
    <cellStyle name="Comma 3 2 4 3 9" xfId="18432"/>
    <cellStyle name="Comma 3 2 4 4" xfId="18433"/>
    <cellStyle name="Comma 3 2 4 4 2" xfId="18434"/>
    <cellStyle name="Comma 3 2 4 4 2 2" xfId="18435"/>
    <cellStyle name="Comma 3 2 4 4 3" xfId="18436"/>
    <cellStyle name="Comma 3 2 4 4 3 2" xfId="18437"/>
    <cellStyle name="Comma 3 2 4 4 4" xfId="18438"/>
    <cellStyle name="Comma 3 2 4 4 4 2" xfId="18439"/>
    <cellStyle name="Comma 3 2 4 4 5" xfId="18440"/>
    <cellStyle name="Comma 3 2 4 4 6" xfId="18441"/>
    <cellStyle name="Comma 3 2 4 5" xfId="18442"/>
    <cellStyle name="Comma 3 2 4 5 2" xfId="18443"/>
    <cellStyle name="Comma 3 2 4 5 2 2" xfId="18444"/>
    <cellStyle name="Comma 3 2 4 5 3" xfId="18445"/>
    <cellStyle name="Comma 3 2 4 5 3 2" xfId="18446"/>
    <cellStyle name="Comma 3 2 4 5 4" xfId="18447"/>
    <cellStyle name="Comma 3 2 4 5 4 2" xfId="18448"/>
    <cellStyle name="Comma 3 2 4 5 5" xfId="18449"/>
    <cellStyle name="Comma 3 2 4 5 6" xfId="18450"/>
    <cellStyle name="Comma 3 2 4 6" xfId="18451"/>
    <cellStyle name="Comma 3 2 4 6 2" xfId="18452"/>
    <cellStyle name="Comma 3 2 4 6 2 2" xfId="18453"/>
    <cellStyle name="Comma 3 2 4 6 3" xfId="18454"/>
    <cellStyle name="Comma 3 2 4 6 3 2" xfId="18455"/>
    <cellStyle name="Comma 3 2 4 6 4" xfId="18456"/>
    <cellStyle name="Comma 3 2 4 6 4 2" xfId="18457"/>
    <cellStyle name="Comma 3 2 4 6 5" xfId="18458"/>
    <cellStyle name="Comma 3 2 4 6 6" xfId="18459"/>
    <cellStyle name="Comma 3 2 4 7" xfId="18460"/>
    <cellStyle name="Comma 3 2 4 7 2" xfId="18461"/>
    <cellStyle name="Comma 3 2 4 7 2 2" xfId="18462"/>
    <cellStyle name="Comma 3 2 4 7 3" xfId="18463"/>
    <cellStyle name="Comma 3 2 4 7 3 2" xfId="18464"/>
    <cellStyle name="Comma 3 2 4 7 4" xfId="18465"/>
    <cellStyle name="Comma 3 2 4 7 5" xfId="18466"/>
    <cellStyle name="Comma 3 2 4 8" xfId="18467"/>
    <cellStyle name="Comma 3 2 4 8 2" xfId="18468"/>
    <cellStyle name="Comma 3 2 4 9" xfId="18469"/>
    <cellStyle name="Comma 3 2 4 9 2" xfId="18470"/>
    <cellStyle name="Comma 3 2 5" xfId="18471"/>
    <cellStyle name="Comma 3 2 5 10" xfId="18472"/>
    <cellStyle name="Comma 3 2 5 11" xfId="18473"/>
    <cellStyle name="Comma 3 2 5 2" xfId="18474"/>
    <cellStyle name="Comma 3 2 5 2 2" xfId="18475"/>
    <cellStyle name="Comma 3 2 5 2 2 2" xfId="18476"/>
    <cellStyle name="Comma 3 2 5 2 3" xfId="18477"/>
    <cellStyle name="Comma 3 2 5 2 3 2" xfId="18478"/>
    <cellStyle name="Comma 3 2 5 2 4" xfId="18479"/>
    <cellStyle name="Comma 3 2 5 2 4 2" xfId="18480"/>
    <cellStyle name="Comma 3 2 5 2 5" xfId="18481"/>
    <cellStyle name="Comma 3 2 5 2 6" xfId="18482"/>
    <cellStyle name="Comma 3 2 5 3" xfId="18483"/>
    <cellStyle name="Comma 3 2 5 3 2" xfId="18484"/>
    <cellStyle name="Comma 3 2 5 3 2 2" xfId="18485"/>
    <cellStyle name="Comma 3 2 5 3 3" xfId="18486"/>
    <cellStyle name="Comma 3 2 5 3 3 2" xfId="18487"/>
    <cellStyle name="Comma 3 2 5 3 4" xfId="18488"/>
    <cellStyle name="Comma 3 2 5 3 4 2" xfId="18489"/>
    <cellStyle name="Comma 3 2 5 3 5" xfId="18490"/>
    <cellStyle name="Comma 3 2 5 3 6" xfId="18491"/>
    <cellStyle name="Comma 3 2 5 4" xfId="18492"/>
    <cellStyle name="Comma 3 2 5 4 2" xfId="18493"/>
    <cellStyle name="Comma 3 2 5 4 2 2" xfId="18494"/>
    <cellStyle name="Comma 3 2 5 4 3" xfId="18495"/>
    <cellStyle name="Comma 3 2 5 4 3 2" xfId="18496"/>
    <cellStyle name="Comma 3 2 5 4 4" xfId="18497"/>
    <cellStyle name="Comma 3 2 5 4 4 2" xfId="18498"/>
    <cellStyle name="Comma 3 2 5 4 5" xfId="18499"/>
    <cellStyle name="Comma 3 2 5 4 6" xfId="18500"/>
    <cellStyle name="Comma 3 2 5 5" xfId="18501"/>
    <cellStyle name="Comma 3 2 5 5 2" xfId="18502"/>
    <cellStyle name="Comma 3 2 5 5 2 2" xfId="18503"/>
    <cellStyle name="Comma 3 2 5 5 3" xfId="18504"/>
    <cellStyle name="Comma 3 2 5 5 3 2" xfId="18505"/>
    <cellStyle name="Comma 3 2 5 5 4" xfId="18506"/>
    <cellStyle name="Comma 3 2 5 5 4 2" xfId="18507"/>
    <cellStyle name="Comma 3 2 5 5 5" xfId="18508"/>
    <cellStyle name="Comma 3 2 5 5 6" xfId="18509"/>
    <cellStyle name="Comma 3 2 5 6" xfId="18510"/>
    <cellStyle name="Comma 3 2 5 6 2" xfId="18511"/>
    <cellStyle name="Comma 3 2 5 6 2 2" xfId="18512"/>
    <cellStyle name="Comma 3 2 5 6 3" xfId="18513"/>
    <cellStyle name="Comma 3 2 5 6 3 2" xfId="18514"/>
    <cellStyle name="Comma 3 2 5 6 4" xfId="18515"/>
    <cellStyle name="Comma 3 2 5 6 5" xfId="18516"/>
    <cellStyle name="Comma 3 2 5 7" xfId="18517"/>
    <cellStyle name="Comma 3 2 5 7 2" xfId="18518"/>
    <cellStyle name="Comma 3 2 5 8" xfId="18519"/>
    <cellStyle name="Comma 3 2 5 8 2" xfId="18520"/>
    <cellStyle name="Comma 3 2 5 9" xfId="18521"/>
    <cellStyle name="Comma 3 2 5 9 2" xfId="18522"/>
    <cellStyle name="Comma 3 2 6" xfId="18523"/>
    <cellStyle name="Comma 3 2 6 10" xfId="18524"/>
    <cellStyle name="Comma 3 2 6 2" xfId="18525"/>
    <cellStyle name="Comma 3 2 6 2 2" xfId="18526"/>
    <cellStyle name="Comma 3 2 6 2 2 2" xfId="18527"/>
    <cellStyle name="Comma 3 2 6 2 3" xfId="18528"/>
    <cellStyle name="Comma 3 2 6 2 3 2" xfId="18529"/>
    <cellStyle name="Comma 3 2 6 2 4" xfId="18530"/>
    <cellStyle name="Comma 3 2 6 2 4 2" xfId="18531"/>
    <cellStyle name="Comma 3 2 6 2 5" xfId="18532"/>
    <cellStyle name="Comma 3 2 6 2 6" xfId="18533"/>
    <cellStyle name="Comma 3 2 6 3" xfId="18534"/>
    <cellStyle name="Comma 3 2 6 3 2" xfId="18535"/>
    <cellStyle name="Comma 3 2 6 3 2 2" xfId="18536"/>
    <cellStyle name="Comma 3 2 6 3 3" xfId="18537"/>
    <cellStyle name="Comma 3 2 6 3 3 2" xfId="18538"/>
    <cellStyle name="Comma 3 2 6 3 4" xfId="18539"/>
    <cellStyle name="Comma 3 2 6 3 4 2" xfId="18540"/>
    <cellStyle name="Comma 3 2 6 3 5" xfId="18541"/>
    <cellStyle name="Comma 3 2 6 3 6" xfId="18542"/>
    <cellStyle name="Comma 3 2 6 4" xfId="18543"/>
    <cellStyle name="Comma 3 2 6 4 2" xfId="18544"/>
    <cellStyle name="Comma 3 2 6 4 2 2" xfId="18545"/>
    <cellStyle name="Comma 3 2 6 4 3" xfId="18546"/>
    <cellStyle name="Comma 3 2 6 4 3 2" xfId="18547"/>
    <cellStyle name="Comma 3 2 6 4 4" xfId="18548"/>
    <cellStyle name="Comma 3 2 6 4 4 2" xfId="18549"/>
    <cellStyle name="Comma 3 2 6 4 5" xfId="18550"/>
    <cellStyle name="Comma 3 2 6 4 6" xfId="18551"/>
    <cellStyle name="Comma 3 2 6 5" xfId="18552"/>
    <cellStyle name="Comma 3 2 6 5 2" xfId="18553"/>
    <cellStyle name="Comma 3 2 6 5 2 2" xfId="18554"/>
    <cellStyle name="Comma 3 2 6 5 3" xfId="18555"/>
    <cellStyle name="Comma 3 2 6 5 3 2" xfId="18556"/>
    <cellStyle name="Comma 3 2 6 5 4" xfId="18557"/>
    <cellStyle name="Comma 3 2 6 5 5" xfId="18558"/>
    <cellStyle name="Comma 3 2 6 6" xfId="18559"/>
    <cellStyle name="Comma 3 2 6 6 2" xfId="18560"/>
    <cellStyle name="Comma 3 2 6 7" xfId="18561"/>
    <cellStyle name="Comma 3 2 6 7 2" xfId="18562"/>
    <cellStyle name="Comma 3 2 6 8" xfId="18563"/>
    <cellStyle name="Comma 3 2 6 8 2" xfId="18564"/>
    <cellStyle name="Comma 3 2 6 9" xfId="18565"/>
    <cellStyle name="Comma 3 2 7" xfId="18566"/>
    <cellStyle name="Comma 3 2 7 10" xfId="18567"/>
    <cellStyle name="Comma 3 2 7 2" xfId="18568"/>
    <cellStyle name="Comma 3 2 7 2 2" xfId="18569"/>
    <cellStyle name="Comma 3 2 7 2 2 2" xfId="18570"/>
    <cellStyle name="Comma 3 2 7 2 3" xfId="18571"/>
    <cellStyle name="Comma 3 2 7 2 3 2" xfId="18572"/>
    <cellStyle name="Comma 3 2 7 2 4" xfId="18573"/>
    <cellStyle name="Comma 3 2 7 2 4 2" xfId="18574"/>
    <cellStyle name="Comma 3 2 7 2 5" xfId="18575"/>
    <cellStyle name="Comma 3 2 7 2 6" xfId="18576"/>
    <cellStyle name="Comma 3 2 7 3" xfId="18577"/>
    <cellStyle name="Comma 3 2 7 3 2" xfId="18578"/>
    <cellStyle name="Comma 3 2 7 3 2 2" xfId="18579"/>
    <cellStyle name="Comma 3 2 7 3 3" xfId="18580"/>
    <cellStyle name="Comma 3 2 7 3 3 2" xfId="18581"/>
    <cellStyle name="Comma 3 2 7 3 4" xfId="18582"/>
    <cellStyle name="Comma 3 2 7 3 4 2" xfId="18583"/>
    <cellStyle name="Comma 3 2 7 3 5" xfId="18584"/>
    <cellStyle name="Comma 3 2 7 3 6" xfId="18585"/>
    <cellStyle name="Comma 3 2 7 4" xfId="18586"/>
    <cellStyle name="Comma 3 2 7 4 2" xfId="18587"/>
    <cellStyle name="Comma 3 2 7 4 2 2" xfId="18588"/>
    <cellStyle name="Comma 3 2 7 4 3" xfId="18589"/>
    <cellStyle name="Comma 3 2 7 4 3 2" xfId="18590"/>
    <cellStyle name="Comma 3 2 7 4 4" xfId="18591"/>
    <cellStyle name="Comma 3 2 7 4 4 2" xfId="18592"/>
    <cellStyle name="Comma 3 2 7 4 5" xfId="18593"/>
    <cellStyle name="Comma 3 2 7 4 6" xfId="18594"/>
    <cellStyle name="Comma 3 2 7 5" xfId="18595"/>
    <cellStyle name="Comma 3 2 7 5 2" xfId="18596"/>
    <cellStyle name="Comma 3 2 7 5 2 2" xfId="18597"/>
    <cellStyle name="Comma 3 2 7 5 3" xfId="18598"/>
    <cellStyle name="Comma 3 2 7 5 3 2" xfId="18599"/>
    <cellStyle name="Comma 3 2 7 5 4" xfId="18600"/>
    <cellStyle name="Comma 3 2 7 5 5" xfId="18601"/>
    <cellStyle name="Comma 3 2 7 6" xfId="18602"/>
    <cellStyle name="Comma 3 2 7 6 2" xfId="18603"/>
    <cellStyle name="Comma 3 2 7 7" xfId="18604"/>
    <cellStyle name="Comma 3 2 7 7 2" xfId="18605"/>
    <cellStyle name="Comma 3 2 7 8" xfId="18606"/>
    <cellStyle name="Comma 3 2 7 8 2" xfId="18607"/>
    <cellStyle name="Comma 3 2 7 9" xfId="18608"/>
    <cellStyle name="Comma 3 2 8" xfId="18609"/>
    <cellStyle name="Comma 3 2 8 2" xfId="18610"/>
    <cellStyle name="Comma 3 2 8 2 2" xfId="18611"/>
    <cellStyle name="Comma 3 2 8 3" xfId="18612"/>
    <cellStyle name="Comma 3 2 8 3 2" xfId="18613"/>
    <cellStyle name="Comma 3 2 8 4" xfId="18614"/>
    <cellStyle name="Comma 3 2 8 4 2" xfId="18615"/>
    <cellStyle name="Comma 3 2 8 5" xfId="18616"/>
    <cellStyle name="Comma 3 2 8 6" xfId="18617"/>
    <cellStyle name="Comma 3 2 9" xfId="18618"/>
    <cellStyle name="Comma 3 2 9 2" xfId="18619"/>
    <cellStyle name="Comma 3 2 9 2 2" xfId="18620"/>
    <cellStyle name="Comma 3 2 9 3" xfId="18621"/>
    <cellStyle name="Comma 3 2 9 3 2" xfId="18622"/>
    <cellStyle name="Comma 3 2 9 4" xfId="18623"/>
    <cellStyle name="Comma 3 2 9 4 2" xfId="18624"/>
    <cellStyle name="Comma 3 2 9 5" xfId="18625"/>
    <cellStyle name="Comma 3 2 9 6" xfId="18626"/>
    <cellStyle name="Comma 3 3" xfId="102"/>
    <cellStyle name="Comma 3 3 10" xfId="103"/>
    <cellStyle name="Comma 3 3 10 2" xfId="104"/>
    <cellStyle name="Comma 3 3 10 2 2" xfId="105"/>
    <cellStyle name="Comma 3 3 10 3" xfId="106"/>
    <cellStyle name="Comma 3 3 10 3 2" xfId="107"/>
    <cellStyle name="Comma 3 3 10 4" xfId="108"/>
    <cellStyle name="Comma 3 3 11" xfId="109"/>
    <cellStyle name="Comma 3 3 11 2" xfId="110"/>
    <cellStyle name="Comma 3 3 11 3" xfId="111"/>
    <cellStyle name="Comma 3 3 12" xfId="112"/>
    <cellStyle name="Comma 3 3 12 2" xfId="113"/>
    <cellStyle name="Comma 3 3 13" xfId="114"/>
    <cellStyle name="Comma 3 3 13 2" xfId="115"/>
    <cellStyle name="Comma 3 3 14" xfId="116"/>
    <cellStyle name="Comma 3 3 15" xfId="18627"/>
    <cellStyle name="Comma 3 3 2" xfId="117"/>
    <cellStyle name="Comma 3 3 2 10" xfId="118"/>
    <cellStyle name="Comma 3 3 2 10 2" xfId="119"/>
    <cellStyle name="Comma 3 3 2 11" xfId="120"/>
    <cellStyle name="Comma 3 3 2 11 2" xfId="121"/>
    <cellStyle name="Comma 3 3 2 12" xfId="122"/>
    <cellStyle name="Comma 3 3 2 2" xfId="123"/>
    <cellStyle name="Comma 3 3 2 2 10" xfId="124"/>
    <cellStyle name="Comma 3 3 2 2 2" xfId="125"/>
    <cellStyle name="Comma 3 3 2 2 2 2" xfId="126"/>
    <cellStyle name="Comma 3 3 2 2 2 2 2" xfId="127"/>
    <cellStyle name="Comma 3 3 2 2 2 2 2 2" xfId="128"/>
    <cellStyle name="Comma 3 3 2 2 2 2 2 3" xfId="129"/>
    <cellStyle name="Comma 3 3 2 2 2 2 3" xfId="130"/>
    <cellStyle name="Comma 3 3 2 2 2 2 3 2" xfId="131"/>
    <cellStyle name="Comma 3 3 2 2 2 2 4" xfId="132"/>
    <cellStyle name="Comma 3 3 2 2 2 2 4 2" xfId="133"/>
    <cellStyle name="Comma 3 3 2 2 2 2 5" xfId="134"/>
    <cellStyle name="Comma 3 3 2 2 2 3" xfId="135"/>
    <cellStyle name="Comma 3 3 2 2 2 3 2" xfId="136"/>
    <cellStyle name="Comma 3 3 2 2 2 3 2 2" xfId="137"/>
    <cellStyle name="Comma 3 3 2 2 2 3 3" xfId="138"/>
    <cellStyle name="Comma 3 3 2 2 2 3 3 2" xfId="139"/>
    <cellStyle name="Comma 3 3 2 2 2 3 4" xfId="140"/>
    <cellStyle name="Comma 3 3 2 2 2 4" xfId="141"/>
    <cellStyle name="Comma 3 3 2 2 2 4 2" xfId="142"/>
    <cellStyle name="Comma 3 3 2 2 2 4 3" xfId="143"/>
    <cellStyle name="Comma 3 3 2 2 2 5" xfId="144"/>
    <cellStyle name="Comma 3 3 2 2 2 5 2" xfId="145"/>
    <cellStyle name="Comma 3 3 2 2 2 6" xfId="146"/>
    <cellStyle name="Comma 3 3 2 2 2 6 2" xfId="147"/>
    <cellStyle name="Comma 3 3 2 2 2 7" xfId="148"/>
    <cellStyle name="Comma 3 3 2 2 3" xfId="149"/>
    <cellStyle name="Comma 3 3 2 2 3 2" xfId="150"/>
    <cellStyle name="Comma 3 3 2 2 3 2 2" xfId="151"/>
    <cellStyle name="Comma 3 3 2 2 3 2 2 2" xfId="152"/>
    <cellStyle name="Comma 3 3 2 2 3 2 2 3" xfId="153"/>
    <cellStyle name="Comma 3 3 2 2 3 2 3" xfId="154"/>
    <cellStyle name="Comma 3 3 2 2 3 2 3 2" xfId="155"/>
    <cellStyle name="Comma 3 3 2 2 3 2 4" xfId="156"/>
    <cellStyle name="Comma 3 3 2 2 3 2 4 2" xfId="157"/>
    <cellStyle name="Comma 3 3 2 2 3 2 5" xfId="158"/>
    <cellStyle name="Comma 3 3 2 2 3 3" xfId="159"/>
    <cellStyle name="Comma 3 3 2 2 3 3 2" xfId="160"/>
    <cellStyle name="Comma 3 3 2 2 3 3 2 2" xfId="161"/>
    <cellStyle name="Comma 3 3 2 2 3 3 3" xfId="162"/>
    <cellStyle name="Comma 3 3 2 2 3 3 3 2" xfId="163"/>
    <cellStyle name="Comma 3 3 2 2 3 3 4" xfId="164"/>
    <cellStyle name="Comma 3 3 2 2 3 4" xfId="165"/>
    <cellStyle name="Comma 3 3 2 2 3 4 2" xfId="166"/>
    <cellStyle name="Comma 3 3 2 2 3 4 3" xfId="167"/>
    <cellStyle name="Comma 3 3 2 2 3 5" xfId="168"/>
    <cellStyle name="Comma 3 3 2 2 3 5 2" xfId="169"/>
    <cellStyle name="Comma 3 3 2 2 3 6" xfId="170"/>
    <cellStyle name="Comma 3 3 2 2 3 6 2" xfId="171"/>
    <cellStyle name="Comma 3 3 2 2 3 7" xfId="172"/>
    <cellStyle name="Comma 3 3 2 2 4" xfId="173"/>
    <cellStyle name="Comma 3 3 2 2 4 2" xfId="174"/>
    <cellStyle name="Comma 3 3 2 2 4 2 2" xfId="175"/>
    <cellStyle name="Comma 3 3 2 2 4 2 2 2" xfId="176"/>
    <cellStyle name="Comma 3 3 2 2 4 2 3" xfId="177"/>
    <cellStyle name="Comma 3 3 2 2 4 2 3 2" xfId="178"/>
    <cellStyle name="Comma 3 3 2 2 4 2 4" xfId="179"/>
    <cellStyle name="Comma 3 3 2 2 4 3" xfId="180"/>
    <cellStyle name="Comma 3 3 2 2 4 3 2" xfId="181"/>
    <cellStyle name="Comma 3 3 2 2 4 3 3" xfId="182"/>
    <cellStyle name="Comma 3 3 2 2 4 4" xfId="183"/>
    <cellStyle name="Comma 3 3 2 2 4 4 2" xfId="184"/>
    <cellStyle name="Comma 3 3 2 2 4 5" xfId="185"/>
    <cellStyle name="Comma 3 3 2 2 4 5 2" xfId="186"/>
    <cellStyle name="Comma 3 3 2 2 4 6" xfId="187"/>
    <cellStyle name="Comma 3 3 2 2 5" xfId="188"/>
    <cellStyle name="Comma 3 3 2 2 5 2" xfId="189"/>
    <cellStyle name="Comma 3 3 2 2 5 2 2" xfId="190"/>
    <cellStyle name="Comma 3 3 2 2 5 3" xfId="191"/>
    <cellStyle name="Comma 3 3 2 2 5 3 2" xfId="192"/>
    <cellStyle name="Comma 3 3 2 2 5 4" xfId="193"/>
    <cellStyle name="Comma 3 3 2 2 6" xfId="194"/>
    <cellStyle name="Comma 3 3 2 2 6 2" xfId="195"/>
    <cellStyle name="Comma 3 3 2 2 6 2 2" xfId="196"/>
    <cellStyle name="Comma 3 3 2 2 6 3" xfId="197"/>
    <cellStyle name="Comma 3 3 2 2 6 3 2" xfId="198"/>
    <cellStyle name="Comma 3 3 2 2 6 4" xfId="199"/>
    <cellStyle name="Comma 3 3 2 2 7" xfId="200"/>
    <cellStyle name="Comma 3 3 2 2 7 2" xfId="201"/>
    <cellStyle name="Comma 3 3 2 2 7 3" xfId="202"/>
    <cellStyle name="Comma 3 3 2 2 8" xfId="203"/>
    <cellStyle name="Comma 3 3 2 2 8 2" xfId="204"/>
    <cellStyle name="Comma 3 3 2 2 9" xfId="205"/>
    <cellStyle name="Comma 3 3 2 2 9 2" xfId="206"/>
    <cellStyle name="Comma 3 3 2 3" xfId="207"/>
    <cellStyle name="Comma 3 3 2 3 2" xfId="208"/>
    <cellStyle name="Comma 3 3 2 3 2 2" xfId="209"/>
    <cellStyle name="Comma 3 3 2 3 2 2 2" xfId="210"/>
    <cellStyle name="Comma 3 3 2 3 2 2 2 2" xfId="211"/>
    <cellStyle name="Comma 3 3 2 3 2 2 2 3" xfId="212"/>
    <cellStyle name="Comma 3 3 2 3 2 2 3" xfId="213"/>
    <cellStyle name="Comma 3 3 2 3 2 2 3 2" xfId="214"/>
    <cellStyle name="Comma 3 3 2 3 2 2 4" xfId="215"/>
    <cellStyle name="Comma 3 3 2 3 2 2 4 2" xfId="216"/>
    <cellStyle name="Comma 3 3 2 3 2 2 5" xfId="217"/>
    <cellStyle name="Comma 3 3 2 3 2 3" xfId="218"/>
    <cellStyle name="Comma 3 3 2 3 2 3 2" xfId="219"/>
    <cellStyle name="Comma 3 3 2 3 2 3 2 2" xfId="220"/>
    <cellStyle name="Comma 3 3 2 3 2 3 3" xfId="221"/>
    <cellStyle name="Comma 3 3 2 3 2 3 3 2" xfId="222"/>
    <cellStyle name="Comma 3 3 2 3 2 3 4" xfId="223"/>
    <cellStyle name="Comma 3 3 2 3 2 4" xfId="224"/>
    <cellStyle name="Comma 3 3 2 3 2 4 2" xfId="225"/>
    <cellStyle name="Comma 3 3 2 3 2 4 3" xfId="226"/>
    <cellStyle name="Comma 3 3 2 3 2 5" xfId="227"/>
    <cellStyle name="Comma 3 3 2 3 2 5 2" xfId="228"/>
    <cellStyle name="Comma 3 3 2 3 2 6" xfId="229"/>
    <cellStyle name="Comma 3 3 2 3 2 6 2" xfId="230"/>
    <cellStyle name="Comma 3 3 2 3 2 7" xfId="231"/>
    <cellStyle name="Comma 3 3 2 3 3" xfId="232"/>
    <cellStyle name="Comma 3 3 2 3 3 2" xfId="233"/>
    <cellStyle name="Comma 3 3 2 3 3 2 2" xfId="234"/>
    <cellStyle name="Comma 3 3 2 3 3 2 3" xfId="235"/>
    <cellStyle name="Comma 3 3 2 3 3 3" xfId="236"/>
    <cellStyle name="Comma 3 3 2 3 3 3 2" xfId="237"/>
    <cellStyle name="Comma 3 3 2 3 3 4" xfId="238"/>
    <cellStyle name="Comma 3 3 2 3 3 4 2" xfId="239"/>
    <cellStyle name="Comma 3 3 2 3 3 5" xfId="240"/>
    <cellStyle name="Comma 3 3 2 3 4" xfId="241"/>
    <cellStyle name="Comma 3 3 2 3 4 2" xfId="242"/>
    <cellStyle name="Comma 3 3 2 3 4 2 2" xfId="243"/>
    <cellStyle name="Comma 3 3 2 3 4 3" xfId="244"/>
    <cellStyle name="Comma 3 3 2 3 4 3 2" xfId="245"/>
    <cellStyle name="Comma 3 3 2 3 4 4" xfId="246"/>
    <cellStyle name="Comma 3 3 2 3 5" xfId="247"/>
    <cellStyle name="Comma 3 3 2 3 5 2" xfId="248"/>
    <cellStyle name="Comma 3 3 2 3 5 3" xfId="249"/>
    <cellStyle name="Comma 3 3 2 3 6" xfId="250"/>
    <cellStyle name="Comma 3 3 2 3 6 2" xfId="251"/>
    <cellStyle name="Comma 3 3 2 3 7" xfId="252"/>
    <cellStyle name="Comma 3 3 2 3 7 2" xfId="253"/>
    <cellStyle name="Comma 3 3 2 3 8" xfId="254"/>
    <cellStyle name="Comma 3 3 2 4" xfId="255"/>
    <cellStyle name="Comma 3 3 2 4 2" xfId="256"/>
    <cellStyle name="Comma 3 3 2 4 2 2" xfId="257"/>
    <cellStyle name="Comma 3 3 2 4 2 2 2" xfId="258"/>
    <cellStyle name="Comma 3 3 2 4 2 2 3" xfId="259"/>
    <cellStyle name="Comma 3 3 2 4 2 3" xfId="260"/>
    <cellStyle name="Comma 3 3 2 4 2 3 2" xfId="261"/>
    <cellStyle name="Comma 3 3 2 4 2 4" xfId="262"/>
    <cellStyle name="Comma 3 3 2 4 2 4 2" xfId="263"/>
    <cellStyle name="Comma 3 3 2 4 2 5" xfId="264"/>
    <cellStyle name="Comma 3 3 2 4 3" xfId="265"/>
    <cellStyle name="Comma 3 3 2 4 3 2" xfId="266"/>
    <cellStyle name="Comma 3 3 2 4 3 2 2" xfId="267"/>
    <cellStyle name="Comma 3 3 2 4 3 3" xfId="268"/>
    <cellStyle name="Comma 3 3 2 4 3 3 2" xfId="269"/>
    <cellStyle name="Comma 3 3 2 4 3 4" xfId="270"/>
    <cellStyle name="Comma 3 3 2 4 4" xfId="271"/>
    <cellStyle name="Comma 3 3 2 4 4 2" xfId="272"/>
    <cellStyle name="Comma 3 3 2 4 4 3" xfId="273"/>
    <cellStyle name="Comma 3 3 2 4 5" xfId="274"/>
    <cellStyle name="Comma 3 3 2 4 5 2" xfId="275"/>
    <cellStyle name="Comma 3 3 2 4 6" xfId="276"/>
    <cellStyle name="Comma 3 3 2 4 6 2" xfId="277"/>
    <cellStyle name="Comma 3 3 2 4 7" xfId="278"/>
    <cellStyle name="Comma 3 3 2 5" xfId="279"/>
    <cellStyle name="Comma 3 3 2 5 2" xfId="280"/>
    <cellStyle name="Comma 3 3 2 5 2 2" xfId="281"/>
    <cellStyle name="Comma 3 3 2 5 2 2 2" xfId="282"/>
    <cellStyle name="Comma 3 3 2 5 2 2 3" xfId="283"/>
    <cellStyle name="Comma 3 3 2 5 2 3" xfId="284"/>
    <cellStyle name="Comma 3 3 2 5 2 3 2" xfId="285"/>
    <cellStyle name="Comma 3 3 2 5 2 4" xfId="286"/>
    <cellStyle name="Comma 3 3 2 5 2 4 2" xfId="287"/>
    <cellStyle name="Comma 3 3 2 5 2 5" xfId="288"/>
    <cellStyle name="Comma 3 3 2 5 3" xfId="289"/>
    <cellStyle name="Comma 3 3 2 5 3 2" xfId="290"/>
    <cellStyle name="Comma 3 3 2 5 3 2 2" xfId="291"/>
    <cellStyle name="Comma 3 3 2 5 3 3" xfId="292"/>
    <cellStyle name="Comma 3 3 2 5 3 3 2" xfId="293"/>
    <cellStyle name="Comma 3 3 2 5 3 4" xfId="294"/>
    <cellStyle name="Comma 3 3 2 5 4" xfId="295"/>
    <cellStyle name="Comma 3 3 2 5 4 2" xfId="296"/>
    <cellStyle name="Comma 3 3 2 5 4 3" xfId="297"/>
    <cellStyle name="Comma 3 3 2 5 5" xfId="298"/>
    <cellStyle name="Comma 3 3 2 5 5 2" xfId="299"/>
    <cellStyle name="Comma 3 3 2 5 6" xfId="300"/>
    <cellStyle name="Comma 3 3 2 5 6 2" xfId="301"/>
    <cellStyle name="Comma 3 3 2 5 7" xfId="302"/>
    <cellStyle name="Comma 3 3 2 6" xfId="303"/>
    <cellStyle name="Comma 3 3 2 6 2" xfId="304"/>
    <cellStyle name="Comma 3 3 2 6 2 2" xfId="305"/>
    <cellStyle name="Comma 3 3 2 6 2 2 2" xfId="306"/>
    <cellStyle name="Comma 3 3 2 6 2 3" xfId="307"/>
    <cellStyle name="Comma 3 3 2 6 2 3 2" xfId="308"/>
    <cellStyle name="Comma 3 3 2 6 2 4" xfId="309"/>
    <cellStyle name="Comma 3 3 2 6 3" xfId="310"/>
    <cellStyle name="Comma 3 3 2 6 3 2" xfId="311"/>
    <cellStyle name="Comma 3 3 2 6 3 3" xfId="312"/>
    <cellStyle name="Comma 3 3 2 6 4" xfId="313"/>
    <cellStyle name="Comma 3 3 2 6 4 2" xfId="314"/>
    <cellStyle name="Comma 3 3 2 6 5" xfId="315"/>
    <cellStyle name="Comma 3 3 2 6 5 2" xfId="316"/>
    <cellStyle name="Comma 3 3 2 6 6" xfId="317"/>
    <cellStyle name="Comma 3 3 2 7" xfId="318"/>
    <cellStyle name="Comma 3 3 2 7 2" xfId="319"/>
    <cellStyle name="Comma 3 3 2 7 2 2" xfId="320"/>
    <cellStyle name="Comma 3 3 2 7 3" xfId="321"/>
    <cellStyle name="Comma 3 3 2 7 3 2" xfId="322"/>
    <cellStyle name="Comma 3 3 2 7 4" xfId="323"/>
    <cellStyle name="Comma 3 3 2 8" xfId="324"/>
    <cellStyle name="Comma 3 3 2 8 2" xfId="325"/>
    <cellStyle name="Comma 3 3 2 8 2 2" xfId="326"/>
    <cellStyle name="Comma 3 3 2 8 3" xfId="327"/>
    <cellStyle name="Comma 3 3 2 8 3 2" xfId="328"/>
    <cellStyle name="Comma 3 3 2 8 4" xfId="329"/>
    <cellStyle name="Comma 3 3 2 9" xfId="330"/>
    <cellStyle name="Comma 3 3 2 9 2" xfId="331"/>
    <cellStyle name="Comma 3 3 2 9 3" xfId="332"/>
    <cellStyle name="Comma 3 3 3" xfId="333"/>
    <cellStyle name="Comma 3 3 3 10" xfId="334"/>
    <cellStyle name="Comma 3 3 3 10 2" xfId="335"/>
    <cellStyle name="Comma 3 3 3 11" xfId="336"/>
    <cellStyle name="Comma 3 3 3 2" xfId="337"/>
    <cellStyle name="Comma 3 3 3 2 2" xfId="338"/>
    <cellStyle name="Comma 3 3 3 2 2 2" xfId="339"/>
    <cellStyle name="Comma 3 3 3 2 2 2 2" xfId="340"/>
    <cellStyle name="Comma 3 3 3 2 2 2 2 2" xfId="341"/>
    <cellStyle name="Comma 3 3 3 2 2 2 2 3" xfId="342"/>
    <cellStyle name="Comma 3 3 3 2 2 2 3" xfId="343"/>
    <cellStyle name="Comma 3 3 3 2 2 2 3 2" xfId="344"/>
    <cellStyle name="Comma 3 3 3 2 2 2 4" xfId="345"/>
    <cellStyle name="Comma 3 3 3 2 2 2 4 2" xfId="346"/>
    <cellStyle name="Comma 3 3 3 2 2 2 5" xfId="347"/>
    <cellStyle name="Comma 3 3 3 2 2 3" xfId="348"/>
    <cellStyle name="Comma 3 3 3 2 2 3 2" xfId="349"/>
    <cellStyle name="Comma 3 3 3 2 2 3 2 2" xfId="350"/>
    <cellStyle name="Comma 3 3 3 2 2 3 3" xfId="351"/>
    <cellStyle name="Comma 3 3 3 2 2 3 3 2" xfId="352"/>
    <cellStyle name="Comma 3 3 3 2 2 3 4" xfId="353"/>
    <cellStyle name="Comma 3 3 3 2 2 4" xfId="354"/>
    <cellStyle name="Comma 3 3 3 2 2 4 2" xfId="355"/>
    <cellStyle name="Comma 3 3 3 2 2 4 3" xfId="356"/>
    <cellStyle name="Comma 3 3 3 2 2 5" xfId="357"/>
    <cellStyle name="Comma 3 3 3 2 2 5 2" xfId="358"/>
    <cellStyle name="Comma 3 3 3 2 2 6" xfId="359"/>
    <cellStyle name="Comma 3 3 3 2 2 6 2" xfId="360"/>
    <cellStyle name="Comma 3 3 3 2 2 7" xfId="361"/>
    <cellStyle name="Comma 3 3 3 2 3" xfId="362"/>
    <cellStyle name="Comma 3 3 3 2 3 2" xfId="363"/>
    <cellStyle name="Comma 3 3 3 2 3 2 2" xfId="364"/>
    <cellStyle name="Comma 3 3 3 2 3 2 3" xfId="365"/>
    <cellStyle name="Comma 3 3 3 2 3 3" xfId="366"/>
    <cellStyle name="Comma 3 3 3 2 3 3 2" xfId="367"/>
    <cellStyle name="Comma 3 3 3 2 3 4" xfId="368"/>
    <cellStyle name="Comma 3 3 3 2 3 4 2" xfId="369"/>
    <cellStyle name="Comma 3 3 3 2 3 5" xfId="370"/>
    <cellStyle name="Comma 3 3 3 2 4" xfId="371"/>
    <cellStyle name="Comma 3 3 3 2 4 2" xfId="372"/>
    <cellStyle name="Comma 3 3 3 2 4 2 2" xfId="373"/>
    <cellStyle name="Comma 3 3 3 2 4 3" xfId="374"/>
    <cellStyle name="Comma 3 3 3 2 4 3 2" xfId="375"/>
    <cellStyle name="Comma 3 3 3 2 4 4" xfId="376"/>
    <cellStyle name="Comma 3 3 3 2 5" xfId="377"/>
    <cellStyle name="Comma 3 3 3 2 5 2" xfId="378"/>
    <cellStyle name="Comma 3 3 3 2 5 3" xfId="379"/>
    <cellStyle name="Comma 3 3 3 2 6" xfId="380"/>
    <cellStyle name="Comma 3 3 3 2 6 2" xfId="381"/>
    <cellStyle name="Comma 3 3 3 2 7" xfId="382"/>
    <cellStyle name="Comma 3 3 3 2 7 2" xfId="383"/>
    <cellStyle name="Comma 3 3 3 2 8" xfId="384"/>
    <cellStyle name="Comma 3 3 3 3" xfId="385"/>
    <cellStyle name="Comma 3 3 3 3 2" xfId="386"/>
    <cellStyle name="Comma 3 3 3 3 2 2" xfId="387"/>
    <cellStyle name="Comma 3 3 3 3 2 2 2" xfId="388"/>
    <cellStyle name="Comma 3 3 3 3 2 2 3" xfId="389"/>
    <cellStyle name="Comma 3 3 3 3 2 3" xfId="390"/>
    <cellStyle name="Comma 3 3 3 3 2 3 2" xfId="391"/>
    <cellStyle name="Comma 3 3 3 3 2 4" xfId="392"/>
    <cellStyle name="Comma 3 3 3 3 2 4 2" xfId="393"/>
    <cellStyle name="Comma 3 3 3 3 2 5" xfId="394"/>
    <cellStyle name="Comma 3 3 3 3 3" xfId="395"/>
    <cellStyle name="Comma 3 3 3 3 3 2" xfId="396"/>
    <cellStyle name="Comma 3 3 3 3 3 2 2" xfId="397"/>
    <cellStyle name="Comma 3 3 3 3 3 3" xfId="398"/>
    <cellStyle name="Comma 3 3 3 3 3 3 2" xfId="399"/>
    <cellStyle name="Comma 3 3 3 3 3 4" xfId="400"/>
    <cellStyle name="Comma 3 3 3 3 4" xfId="401"/>
    <cellStyle name="Comma 3 3 3 3 4 2" xfId="402"/>
    <cellStyle name="Comma 3 3 3 3 4 3" xfId="403"/>
    <cellStyle name="Comma 3 3 3 3 5" xfId="404"/>
    <cellStyle name="Comma 3 3 3 3 5 2" xfId="405"/>
    <cellStyle name="Comma 3 3 3 3 6" xfId="406"/>
    <cellStyle name="Comma 3 3 3 3 6 2" xfId="407"/>
    <cellStyle name="Comma 3 3 3 3 7" xfId="408"/>
    <cellStyle name="Comma 3 3 3 4" xfId="409"/>
    <cellStyle name="Comma 3 3 3 4 2" xfId="410"/>
    <cellStyle name="Comma 3 3 3 4 2 2" xfId="411"/>
    <cellStyle name="Comma 3 3 3 4 2 2 2" xfId="412"/>
    <cellStyle name="Comma 3 3 3 4 2 2 3" xfId="413"/>
    <cellStyle name="Comma 3 3 3 4 2 3" xfId="414"/>
    <cellStyle name="Comma 3 3 3 4 2 3 2" xfId="415"/>
    <cellStyle name="Comma 3 3 3 4 2 4" xfId="416"/>
    <cellStyle name="Comma 3 3 3 4 2 4 2" xfId="417"/>
    <cellStyle name="Comma 3 3 3 4 2 5" xfId="418"/>
    <cellStyle name="Comma 3 3 3 4 3" xfId="419"/>
    <cellStyle name="Comma 3 3 3 4 3 2" xfId="420"/>
    <cellStyle name="Comma 3 3 3 4 3 2 2" xfId="421"/>
    <cellStyle name="Comma 3 3 3 4 3 3" xfId="422"/>
    <cellStyle name="Comma 3 3 3 4 3 3 2" xfId="423"/>
    <cellStyle name="Comma 3 3 3 4 3 4" xfId="424"/>
    <cellStyle name="Comma 3 3 3 4 4" xfId="425"/>
    <cellStyle name="Comma 3 3 3 4 4 2" xfId="426"/>
    <cellStyle name="Comma 3 3 3 4 4 3" xfId="427"/>
    <cellStyle name="Comma 3 3 3 4 5" xfId="428"/>
    <cellStyle name="Comma 3 3 3 4 5 2" xfId="429"/>
    <cellStyle name="Comma 3 3 3 4 6" xfId="430"/>
    <cellStyle name="Comma 3 3 3 4 6 2" xfId="431"/>
    <cellStyle name="Comma 3 3 3 4 7" xfId="432"/>
    <cellStyle name="Comma 3 3 3 5" xfId="433"/>
    <cellStyle name="Comma 3 3 3 5 2" xfId="434"/>
    <cellStyle name="Comma 3 3 3 5 2 2" xfId="435"/>
    <cellStyle name="Comma 3 3 3 5 2 2 2" xfId="436"/>
    <cellStyle name="Comma 3 3 3 5 2 3" xfId="437"/>
    <cellStyle name="Comma 3 3 3 5 2 3 2" xfId="438"/>
    <cellStyle name="Comma 3 3 3 5 2 4" xfId="439"/>
    <cellStyle name="Comma 3 3 3 5 3" xfId="440"/>
    <cellStyle name="Comma 3 3 3 5 3 2" xfId="441"/>
    <cellStyle name="Comma 3 3 3 5 3 3" xfId="442"/>
    <cellStyle name="Comma 3 3 3 5 4" xfId="443"/>
    <cellStyle name="Comma 3 3 3 5 4 2" xfId="444"/>
    <cellStyle name="Comma 3 3 3 5 5" xfId="445"/>
    <cellStyle name="Comma 3 3 3 5 5 2" xfId="446"/>
    <cellStyle name="Comma 3 3 3 5 6" xfId="447"/>
    <cellStyle name="Comma 3 3 3 6" xfId="448"/>
    <cellStyle name="Comma 3 3 3 6 2" xfId="449"/>
    <cellStyle name="Comma 3 3 3 6 2 2" xfId="450"/>
    <cellStyle name="Comma 3 3 3 6 3" xfId="451"/>
    <cellStyle name="Comma 3 3 3 6 3 2" xfId="452"/>
    <cellStyle name="Comma 3 3 3 6 4" xfId="453"/>
    <cellStyle name="Comma 3 3 3 7" xfId="454"/>
    <cellStyle name="Comma 3 3 3 7 2" xfId="455"/>
    <cellStyle name="Comma 3 3 3 7 2 2" xfId="456"/>
    <cellStyle name="Comma 3 3 3 7 3" xfId="457"/>
    <cellStyle name="Comma 3 3 3 7 3 2" xfId="458"/>
    <cellStyle name="Comma 3 3 3 7 4" xfId="459"/>
    <cellStyle name="Comma 3 3 3 8" xfId="460"/>
    <cellStyle name="Comma 3 3 3 8 2" xfId="461"/>
    <cellStyle name="Comma 3 3 3 8 3" xfId="462"/>
    <cellStyle name="Comma 3 3 3 9" xfId="463"/>
    <cellStyle name="Comma 3 3 3 9 2" xfId="464"/>
    <cellStyle name="Comma 3 3 4" xfId="465"/>
    <cellStyle name="Comma 3 3 4 10" xfId="466"/>
    <cellStyle name="Comma 3 3 4 2" xfId="467"/>
    <cellStyle name="Comma 3 3 4 2 2" xfId="468"/>
    <cellStyle name="Comma 3 3 4 2 2 2" xfId="469"/>
    <cellStyle name="Comma 3 3 4 2 2 2 2" xfId="470"/>
    <cellStyle name="Comma 3 3 4 2 2 2 3" xfId="471"/>
    <cellStyle name="Comma 3 3 4 2 2 3" xfId="472"/>
    <cellStyle name="Comma 3 3 4 2 2 3 2" xfId="473"/>
    <cellStyle name="Comma 3 3 4 2 2 4" xfId="474"/>
    <cellStyle name="Comma 3 3 4 2 2 4 2" xfId="475"/>
    <cellStyle name="Comma 3 3 4 2 2 5" xfId="476"/>
    <cellStyle name="Comma 3 3 4 2 3" xfId="477"/>
    <cellStyle name="Comma 3 3 4 2 3 2" xfId="478"/>
    <cellStyle name="Comma 3 3 4 2 3 2 2" xfId="479"/>
    <cellStyle name="Comma 3 3 4 2 3 3" xfId="480"/>
    <cellStyle name="Comma 3 3 4 2 3 3 2" xfId="481"/>
    <cellStyle name="Comma 3 3 4 2 3 4" xfId="482"/>
    <cellStyle name="Comma 3 3 4 2 4" xfId="483"/>
    <cellStyle name="Comma 3 3 4 2 4 2" xfId="484"/>
    <cellStyle name="Comma 3 3 4 2 4 3" xfId="485"/>
    <cellStyle name="Comma 3 3 4 2 5" xfId="486"/>
    <cellStyle name="Comma 3 3 4 2 5 2" xfId="487"/>
    <cellStyle name="Comma 3 3 4 2 6" xfId="488"/>
    <cellStyle name="Comma 3 3 4 2 6 2" xfId="489"/>
    <cellStyle name="Comma 3 3 4 2 7" xfId="490"/>
    <cellStyle name="Comma 3 3 4 3" xfId="491"/>
    <cellStyle name="Comma 3 3 4 3 2" xfId="492"/>
    <cellStyle name="Comma 3 3 4 3 2 2" xfId="493"/>
    <cellStyle name="Comma 3 3 4 3 2 2 2" xfId="494"/>
    <cellStyle name="Comma 3 3 4 3 2 2 3" xfId="495"/>
    <cellStyle name="Comma 3 3 4 3 2 3" xfId="496"/>
    <cellStyle name="Comma 3 3 4 3 2 3 2" xfId="497"/>
    <cellStyle name="Comma 3 3 4 3 2 4" xfId="498"/>
    <cellStyle name="Comma 3 3 4 3 2 4 2" xfId="499"/>
    <cellStyle name="Comma 3 3 4 3 2 5" xfId="500"/>
    <cellStyle name="Comma 3 3 4 3 3" xfId="501"/>
    <cellStyle name="Comma 3 3 4 3 3 2" xfId="502"/>
    <cellStyle name="Comma 3 3 4 3 3 2 2" xfId="503"/>
    <cellStyle name="Comma 3 3 4 3 3 3" xfId="504"/>
    <cellStyle name="Comma 3 3 4 3 3 3 2" xfId="505"/>
    <cellStyle name="Comma 3 3 4 3 3 4" xfId="506"/>
    <cellStyle name="Comma 3 3 4 3 4" xfId="507"/>
    <cellStyle name="Comma 3 3 4 3 4 2" xfId="508"/>
    <cellStyle name="Comma 3 3 4 3 4 3" xfId="509"/>
    <cellStyle name="Comma 3 3 4 3 5" xfId="510"/>
    <cellStyle name="Comma 3 3 4 3 5 2" xfId="511"/>
    <cellStyle name="Comma 3 3 4 3 6" xfId="512"/>
    <cellStyle name="Comma 3 3 4 3 6 2" xfId="513"/>
    <cellStyle name="Comma 3 3 4 3 7" xfId="514"/>
    <cellStyle name="Comma 3 3 4 4" xfId="515"/>
    <cellStyle name="Comma 3 3 4 4 2" xfId="516"/>
    <cellStyle name="Comma 3 3 4 4 2 2" xfId="517"/>
    <cellStyle name="Comma 3 3 4 4 2 2 2" xfId="518"/>
    <cellStyle name="Comma 3 3 4 4 2 3" xfId="519"/>
    <cellStyle name="Comma 3 3 4 4 2 3 2" xfId="520"/>
    <cellStyle name="Comma 3 3 4 4 2 4" xfId="521"/>
    <cellStyle name="Comma 3 3 4 4 3" xfId="522"/>
    <cellStyle name="Comma 3 3 4 4 3 2" xfId="523"/>
    <cellStyle name="Comma 3 3 4 4 3 3" xfId="524"/>
    <cellStyle name="Comma 3 3 4 4 4" xfId="525"/>
    <cellStyle name="Comma 3 3 4 4 4 2" xfId="526"/>
    <cellStyle name="Comma 3 3 4 4 5" xfId="527"/>
    <cellStyle name="Comma 3 3 4 4 5 2" xfId="528"/>
    <cellStyle name="Comma 3 3 4 4 6" xfId="529"/>
    <cellStyle name="Comma 3 3 4 5" xfId="530"/>
    <cellStyle name="Comma 3 3 4 5 2" xfId="531"/>
    <cellStyle name="Comma 3 3 4 5 2 2" xfId="532"/>
    <cellStyle name="Comma 3 3 4 5 3" xfId="533"/>
    <cellStyle name="Comma 3 3 4 5 3 2" xfId="534"/>
    <cellStyle name="Comma 3 3 4 5 4" xfId="535"/>
    <cellStyle name="Comma 3 3 4 6" xfId="536"/>
    <cellStyle name="Comma 3 3 4 6 2" xfId="537"/>
    <cellStyle name="Comma 3 3 4 6 2 2" xfId="538"/>
    <cellStyle name="Comma 3 3 4 6 3" xfId="539"/>
    <cellStyle name="Comma 3 3 4 6 3 2" xfId="540"/>
    <cellStyle name="Comma 3 3 4 6 4" xfId="541"/>
    <cellStyle name="Comma 3 3 4 7" xfId="542"/>
    <cellStyle name="Comma 3 3 4 7 2" xfId="543"/>
    <cellStyle name="Comma 3 3 4 7 3" xfId="544"/>
    <cellStyle name="Comma 3 3 4 8" xfId="545"/>
    <cellStyle name="Comma 3 3 4 8 2" xfId="546"/>
    <cellStyle name="Comma 3 3 4 9" xfId="547"/>
    <cellStyle name="Comma 3 3 4 9 2" xfId="548"/>
    <cellStyle name="Comma 3 3 5" xfId="549"/>
    <cellStyle name="Comma 3 3 5 2" xfId="550"/>
    <cellStyle name="Comma 3 3 5 2 2" xfId="551"/>
    <cellStyle name="Comma 3 3 5 2 2 2" xfId="552"/>
    <cellStyle name="Comma 3 3 5 2 2 2 2" xfId="553"/>
    <cellStyle name="Comma 3 3 5 2 2 2 3" xfId="554"/>
    <cellStyle name="Comma 3 3 5 2 2 3" xfId="555"/>
    <cellStyle name="Comma 3 3 5 2 2 3 2" xfId="556"/>
    <cellStyle name="Comma 3 3 5 2 2 4" xfId="557"/>
    <cellStyle name="Comma 3 3 5 2 2 4 2" xfId="558"/>
    <cellStyle name="Comma 3 3 5 2 2 5" xfId="559"/>
    <cellStyle name="Comma 3 3 5 2 3" xfId="560"/>
    <cellStyle name="Comma 3 3 5 2 3 2" xfId="561"/>
    <cellStyle name="Comma 3 3 5 2 3 2 2" xfId="562"/>
    <cellStyle name="Comma 3 3 5 2 3 3" xfId="563"/>
    <cellStyle name="Comma 3 3 5 2 3 3 2" xfId="564"/>
    <cellStyle name="Comma 3 3 5 2 3 4" xfId="565"/>
    <cellStyle name="Comma 3 3 5 2 4" xfId="566"/>
    <cellStyle name="Comma 3 3 5 2 4 2" xfId="567"/>
    <cellStyle name="Comma 3 3 5 2 4 3" xfId="568"/>
    <cellStyle name="Comma 3 3 5 2 5" xfId="569"/>
    <cellStyle name="Comma 3 3 5 2 5 2" xfId="570"/>
    <cellStyle name="Comma 3 3 5 2 6" xfId="571"/>
    <cellStyle name="Comma 3 3 5 2 6 2" xfId="572"/>
    <cellStyle name="Comma 3 3 5 2 7" xfId="573"/>
    <cellStyle name="Comma 3 3 5 3" xfId="574"/>
    <cellStyle name="Comma 3 3 5 3 2" xfId="575"/>
    <cellStyle name="Comma 3 3 5 3 2 2" xfId="576"/>
    <cellStyle name="Comma 3 3 5 3 2 3" xfId="577"/>
    <cellStyle name="Comma 3 3 5 3 3" xfId="578"/>
    <cellStyle name="Comma 3 3 5 3 3 2" xfId="579"/>
    <cellStyle name="Comma 3 3 5 3 4" xfId="580"/>
    <cellStyle name="Comma 3 3 5 3 4 2" xfId="581"/>
    <cellStyle name="Comma 3 3 5 3 5" xfId="582"/>
    <cellStyle name="Comma 3 3 5 4" xfId="583"/>
    <cellStyle name="Comma 3 3 5 4 2" xfId="584"/>
    <cellStyle name="Comma 3 3 5 4 2 2" xfId="585"/>
    <cellStyle name="Comma 3 3 5 4 3" xfId="586"/>
    <cellStyle name="Comma 3 3 5 4 3 2" xfId="587"/>
    <cellStyle name="Comma 3 3 5 4 4" xfId="588"/>
    <cellStyle name="Comma 3 3 5 5" xfId="589"/>
    <cellStyle name="Comma 3 3 5 5 2" xfId="590"/>
    <cellStyle name="Comma 3 3 5 5 3" xfId="591"/>
    <cellStyle name="Comma 3 3 5 6" xfId="592"/>
    <cellStyle name="Comma 3 3 5 6 2" xfId="593"/>
    <cellStyle name="Comma 3 3 5 7" xfId="594"/>
    <cellStyle name="Comma 3 3 5 7 2" xfId="595"/>
    <cellStyle name="Comma 3 3 5 8" xfId="596"/>
    <cellStyle name="Comma 3 3 6" xfId="597"/>
    <cellStyle name="Comma 3 3 6 2" xfId="598"/>
    <cellStyle name="Comma 3 3 6 2 2" xfId="599"/>
    <cellStyle name="Comma 3 3 6 2 2 2" xfId="600"/>
    <cellStyle name="Comma 3 3 6 2 2 3" xfId="601"/>
    <cellStyle name="Comma 3 3 6 2 3" xfId="602"/>
    <cellStyle name="Comma 3 3 6 2 3 2" xfId="603"/>
    <cellStyle name="Comma 3 3 6 2 4" xfId="604"/>
    <cellStyle name="Comma 3 3 6 2 4 2" xfId="605"/>
    <cellStyle name="Comma 3 3 6 2 5" xfId="606"/>
    <cellStyle name="Comma 3 3 6 3" xfId="607"/>
    <cellStyle name="Comma 3 3 6 3 2" xfId="608"/>
    <cellStyle name="Comma 3 3 6 3 2 2" xfId="609"/>
    <cellStyle name="Comma 3 3 6 3 3" xfId="610"/>
    <cellStyle name="Comma 3 3 6 3 3 2" xfId="611"/>
    <cellStyle name="Comma 3 3 6 3 4" xfId="612"/>
    <cellStyle name="Comma 3 3 6 4" xfId="613"/>
    <cellStyle name="Comma 3 3 6 4 2" xfId="614"/>
    <cellStyle name="Comma 3 3 6 4 3" xfId="615"/>
    <cellStyle name="Comma 3 3 6 5" xfId="616"/>
    <cellStyle name="Comma 3 3 6 5 2" xfId="617"/>
    <cellStyle name="Comma 3 3 6 6" xfId="618"/>
    <cellStyle name="Comma 3 3 6 6 2" xfId="619"/>
    <cellStyle name="Comma 3 3 6 7" xfId="620"/>
    <cellStyle name="Comma 3 3 7" xfId="621"/>
    <cellStyle name="Comma 3 3 7 2" xfId="622"/>
    <cellStyle name="Comma 3 3 7 2 2" xfId="623"/>
    <cellStyle name="Comma 3 3 7 2 2 2" xfId="624"/>
    <cellStyle name="Comma 3 3 7 2 2 3" xfId="625"/>
    <cellStyle name="Comma 3 3 7 2 3" xfId="626"/>
    <cellStyle name="Comma 3 3 7 2 3 2" xfId="627"/>
    <cellStyle name="Comma 3 3 7 2 4" xfId="628"/>
    <cellStyle name="Comma 3 3 7 2 4 2" xfId="629"/>
    <cellStyle name="Comma 3 3 7 2 5" xfId="630"/>
    <cellStyle name="Comma 3 3 7 3" xfId="631"/>
    <cellStyle name="Comma 3 3 7 3 2" xfId="632"/>
    <cellStyle name="Comma 3 3 7 3 2 2" xfId="633"/>
    <cellStyle name="Comma 3 3 7 3 3" xfId="634"/>
    <cellStyle name="Comma 3 3 7 3 3 2" xfId="635"/>
    <cellStyle name="Comma 3 3 7 3 4" xfId="636"/>
    <cellStyle name="Comma 3 3 7 4" xfId="637"/>
    <cellStyle name="Comma 3 3 7 4 2" xfId="638"/>
    <cellStyle name="Comma 3 3 7 4 3" xfId="639"/>
    <cellStyle name="Comma 3 3 7 5" xfId="640"/>
    <cellStyle name="Comma 3 3 7 5 2" xfId="641"/>
    <cellStyle name="Comma 3 3 7 6" xfId="642"/>
    <cellStyle name="Comma 3 3 7 6 2" xfId="643"/>
    <cellStyle name="Comma 3 3 7 7" xfId="644"/>
    <cellStyle name="Comma 3 3 8" xfId="645"/>
    <cellStyle name="Comma 3 3 8 2" xfId="646"/>
    <cellStyle name="Comma 3 3 8 2 2" xfId="647"/>
    <cellStyle name="Comma 3 3 8 2 2 2" xfId="648"/>
    <cellStyle name="Comma 3 3 8 2 3" xfId="649"/>
    <cellStyle name="Comma 3 3 8 2 3 2" xfId="650"/>
    <cellStyle name="Comma 3 3 8 2 4" xfId="651"/>
    <cellStyle name="Comma 3 3 8 3" xfId="652"/>
    <cellStyle name="Comma 3 3 8 3 2" xfId="653"/>
    <cellStyle name="Comma 3 3 8 3 3" xfId="654"/>
    <cellStyle name="Comma 3 3 8 4" xfId="655"/>
    <cellStyle name="Comma 3 3 8 4 2" xfId="656"/>
    <cellStyle name="Comma 3 3 8 5" xfId="657"/>
    <cellStyle name="Comma 3 3 8 5 2" xfId="658"/>
    <cellStyle name="Comma 3 3 8 6" xfId="659"/>
    <cellStyle name="Comma 3 3 9" xfId="660"/>
    <cellStyle name="Comma 3 3 9 2" xfId="661"/>
    <cellStyle name="Comma 3 3 9 2 2" xfId="662"/>
    <cellStyle name="Comma 3 3 9 3" xfId="663"/>
    <cellStyle name="Comma 3 3 9 3 2" xfId="664"/>
    <cellStyle name="Comma 3 3 9 4" xfId="665"/>
    <cellStyle name="Comma 3 4" xfId="666"/>
    <cellStyle name="Comma 3 4 10" xfId="667"/>
    <cellStyle name="Comma 3 4 10 2" xfId="668"/>
    <cellStyle name="Comma 3 4 11" xfId="669"/>
    <cellStyle name="Comma 3 4 12" xfId="18628"/>
    <cellStyle name="Comma 3 4 2" xfId="670"/>
    <cellStyle name="Comma 3 4 2 2" xfId="671"/>
    <cellStyle name="Comma 3 4 2 2 2" xfId="672"/>
    <cellStyle name="Comma 3 4 2 2 2 2" xfId="673"/>
    <cellStyle name="Comma 3 4 2 2 2 2 2" xfId="674"/>
    <cellStyle name="Comma 3 4 2 2 2 2 3" xfId="675"/>
    <cellStyle name="Comma 3 4 2 2 2 3" xfId="676"/>
    <cellStyle name="Comma 3 4 2 2 2 3 2" xfId="677"/>
    <cellStyle name="Comma 3 4 2 2 2 4" xfId="678"/>
    <cellStyle name="Comma 3 4 2 2 2 4 2" xfId="679"/>
    <cellStyle name="Comma 3 4 2 2 2 5" xfId="680"/>
    <cellStyle name="Comma 3 4 2 2 3" xfId="681"/>
    <cellStyle name="Comma 3 4 2 2 3 2" xfId="682"/>
    <cellStyle name="Comma 3 4 2 2 3 2 2" xfId="683"/>
    <cellStyle name="Comma 3 4 2 2 3 3" xfId="684"/>
    <cellStyle name="Comma 3 4 2 2 3 3 2" xfId="685"/>
    <cellStyle name="Comma 3 4 2 2 3 4" xfId="686"/>
    <cellStyle name="Comma 3 4 2 2 4" xfId="687"/>
    <cellStyle name="Comma 3 4 2 2 4 2" xfId="688"/>
    <cellStyle name="Comma 3 4 2 2 4 3" xfId="689"/>
    <cellStyle name="Comma 3 4 2 2 5" xfId="690"/>
    <cellStyle name="Comma 3 4 2 2 5 2" xfId="691"/>
    <cellStyle name="Comma 3 4 2 2 6" xfId="692"/>
    <cellStyle name="Comma 3 4 2 2 6 2" xfId="693"/>
    <cellStyle name="Comma 3 4 2 2 7" xfId="694"/>
    <cellStyle name="Comma 3 4 2 3" xfId="695"/>
    <cellStyle name="Comma 3 4 2 3 2" xfId="696"/>
    <cellStyle name="Comma 3 4 2 3 2 2" xfId="697"/>
    <cellStyle name="Comma 3 4 2 3 2 3" xfId="698"/>
    <cellStyle name="Comma 3 4 2 3 3" xfId="699"/>
    <cellStyle name="Comma 3 4 2 3 3 2" xfId="700"/>
    <cellStyle name="Comma 3 4 2 3 4" xfId="701"/>
    <cellStyle name="Comma 3 4 2 3 4 2" xfId="702"/>
    <cellStyle name="Comma 3 4 2 3 5" xfId="703"/>
    <cellStyle name="Comma 3 4 2 4" xfId="704"/>
    <cellStyle name="Comma 3 4 2 4 2" xfId="705"/>
    <cellStyle name="Comma 3 4 2 4 2 2" xfId="706"/>
    <cellStyle name="Comma 3 4 2 4 3" xfId="707"/>
    <cellStyle name="Comma 3 4 2 4 3 2" xfId="708"/>
    <cellStyle name="Comma 3 4 2 4 4" xfId="709"/>
    <cellStyle name="Comma 3 4 2 5" xfId="710"/>
    <cellStyle name="Comma 3 4 2 5 2" xfId="711"/>
    <cellStyle name="Comma 3 4 2 5 3" xfId="712"/>
    <cellStyle name="Comma 3 4 2 6" xfId="713"/>
    <cellStyle name="Comma 3 4 2 6 2" xfId="714"/>
    <cellStyle name="Comma 3 4 2 7" xfId="715"/>
    <cellStyle name="Comma 3 4 2 7 2" xfId="716"/>
    <cellStyle name="Comma 3 4 2 8" xfId="717"/>
    <cellStyle name="Comma 3 4 3" xfId="718"/>
    <cellStyle name="Comma 3 4 3 2" xfId="719"/>
    <cellStyle name="Comma 3 4 3 2 2" xfId="720"/>
    <cellStyle name="Comma 3 4 3 2 2 2" xfId="721"/>
    <cellStyle name="Comma 3 4 3 2 2 3" xfId="722"/>
    <cellStyle name="Comma 3 4 3 2 3" xfId="723"/>
    <cellStyle name="Comma 3 4 3 2 3 2" xfId="724"/>
    <cellStyle name="Comma 3 4 3 2 4" xfId="725"/>
    <cellStyle name="Comma 3 4 3 2 4 2" xfId="726"/>
    <cellStyle name="Comma 3 4 3 2 5" xfId="727"/>
    <cellStyle name="Comma 3 4 3 3" xfId="728"/>
    <cellStyle name="Comma 3 4 3 3 2" xfId="729"/>
    <cellStyle name="Comma 3 4 3 3 2 2" xfId="730"/>
    <cellStyle name="Comma 3 4 3 3 3" xfId="731"/>
    <cellStyle name="Comma 3 4 3 3 3 2" xfId="732"/>
    <cellStyle name="Comma 3 4 3 3 4" xfId="733"/>
    <cellStyle name="Comma 3 4 3 4" xfId="734"/>
    <cellStyle name="Comma 3 4 3 4 2" xfId="735"/>
    <cellStyle name="Comma 3 4 3 4 3" xfId="736"/>
    <cellStyle name="Comma 3 4 3 5" xfId="737"/>
    <cellStyle name="Comma 3 4 3 5 2" xfId="738"/>
    <cellStyle name="Comma 3 4 3 6" xfId="739"/>
    <cellStyle name="Comma 3 4 3 6 2" xfId="740"/>
    <cellStyle name="Comma 3 4 3 7" xfId="741"/>
    <cellStyle name="Comma 3 4 4" xfId="742"/>
    <cellStyle name="Comma 3 4 4 2" xfId="743"/>
    <cellStyle name="Comma 3 4 4 2 2" xfId="744"/>
    <cellStyle name="Comma 3 4 4 2 2 2" xfId="745"/>
    <cellStyle name="Comma 3 4 4 2 2 3" xfId="746"/>
    <cellStyle name="Comma 3 4 4 2 3" xfId="747"/>
    <cellStyle name="Comma 3 4 4 2 3 2" xfId="748"/>
    <cellStyle name="Comma 3 4 4 2 4" xfId="749"/>
    <cellStyle name="Comma 3 4 4 2 4 2" xfId="750"/>
    <cellStyle name="Comma 3 4 4 2 5" xfId="751"/>
    <cellStyle name="Comma 3 4 4 3" xfId="752"/>
    <cellStyle name="Comma 3 4 4 3 2" xfId="753"/>
    <cellStyle name="Comma 3 4 4 3 2 2" xfId="754"/>
    <cellStyle name="Comma 3 4 4 3 3" xfId="755"/>
    <cellStyle name="Comma 3 4 4 3 3 2" xfId="756"/>
    <cellStyle name="Comma 3 4 4 3 4" xfId="757"/>
    <cellStyle name="Comma 3 4 4 4" xfId="758"/>
    <cellStyle name="Comma 3 4 4 4 2" xfId="759"/>
    <cellStyle name="Comma 3 4 4 4 3" xfId="760"/>
    <cellStyle name="Comma 3 4 4 5" xfId="761"/>
    <cellStyle name="Comma 3 4 4 5 2" xfId="762"/>
    <cellStyle name="Comma 3 4 4 6" xfId="763"/>
    <cellStyle name="Comma 3 4 4 6 2" xfId="764"/>
    <cellStyle name="Comma 3 4 4 7" xfId="765"/>
    <cellStyle name="Comma 3 4 5" xfId="766"/>
    <cellStyle name="Comma 3 4 5 2" xfId="767"/>
    <cellStyle name="Comma 3 4 5 2 2" xfId="768"/>
    <cellStyle name="Comma 3 4 5 2 2 2" xfId="769"/>
    <cellStyle name="Comma 3 4 5 2 3" xfId="770"/>
    <cellStyle name="Comma 3 4 5 2 3 2" xfId="771"/>
    <cellStyle name="Comma 3 4 5 2 4" xfId="772"/>
    <cellStyle name="Comma 3 4 5 3" xfId="773"/>
    <cellStyle name="Comma 3 4 5 3 2" xfId="774"/>
    <cellStyle name="Comma 3 4 5 3 3" xfId="775"/>
    <cellStyle name="Comma 3 4 5 4" xfId="776"/>
    <cellStyle name="Comma 3 4 5 4 2" xfId="777"/>
    <cellStyle name="Comma 3 4 5 5" xfId="778"/>
    <cellStyle name="Comma 3 4 5 5 2" xfId="779"/>
    <cellStyle name="Comma 3 4 5 6" xfId="780"/>
    <cellStyle name="Comma 3 4 6" xfId="781"/>
    <cellStyle name="Comma 3 4 6 2" xfId="782"/>
    <cellStyle name="Comma 3 4 6 2 2" xfId="783"/>
    <cellStyle name="Comma 3 4 6 3" xfId="784"/>
    <cellStyle name="Comma 3 4 6 3 2" xfId="785"/>
    <cellStyle name="Comma 3 4 6 4" xfId="786"/>
    <cellStyle name="Comma 3 4 7" xfId="787"/>
    <cellStyle name="Comma 3 4 7 2" xfId="788"/>
    <cellStyle name="Comma 3 4 7 2 2" xfId="789"/>
    <cellStyle name="Comma 3 4 7 3" xfId="790"/>
    <cellStyle name="Comma 3 4 7 3 2" xfId="791"/>
    <cellStyle name="Comma 3 4 7 4" xfId="792"/>
    <cellStyle name="Comma 3 4 8" xfId="793"/>
    <cellStyle name="Comma 3 4 8 2" xfId="794"/>
    <cellStyle name="Comma 3 4 8 3" xfId="795"/>
    <cellStyle name="Comma 3 4 9" xfId="796"/>
    <cellStyle name="Comma 3 4 9 2" xfId="797"/>
    <cellStyle name="Comma 3 5" xfId="798"/>
    <cellStyle name="Comma 3 5 10" xfId="799"/>
    <cellStyle name="Comma 3 5 2" xfId="800"/>
    <cellStyle name="Comma 3 5 2 2" xfId="801"/>
    <cellStyle name="Comma 3 5 2 2 2" xfId="802"/>
    <cellStyle name="Comma 3 5 2 2 2 2" xfId="803"/>
    <cellStyle name="Comma 3 5 2 2 2 3" xfId="804"/>
    <cellStyle name="Comma 3 5 2 2 3" xfId="805"/>
    <cellStyle name="Comma 3 5 2 2 3 2" xfId="806"/>
    <cellStyle name="Comma 3 5 2 2 4" xfId="807"/>
    <cellStyle name="Comma 3 5 2 2 4 2" xfId="808"/>
    <cellStyle name="Comma 3 5 2 2 5" xfId="809"/>
    <cellStyle name="Comma 3 5 2 3" xfId="810"/>
    <cellStyle name="Comma 3 5 2 3 2" xfId="811"/>
    <cellStyle name="Comma 3 5 2 3 2 2" xfId="812"/>
    <cellStyle name="Comma 3 5 2 3 3" xfId="813"/>
    <cellStyle name="Comma 3 5 2 3 3 2" xfId="814"/>
    <cellStyle name="Comma 3 5 2 3 4" xfId="815"/>
    <cellStyle name="Comma 3 5 2 4" xfId="816"/>
    <cellStyle name="Comma 3 5 2 4 2" xfId="817"/>
    <cellStyle name="Comma 3 5 2 4 3" xfId="818"/>
    <cellStyle name="Comma 3 5 2 5" xfId="819"/>
    <cellStyle name="Comma 3 5 2 5 2" xfId="820"/>
    <cellStyle name="Comma 3 5 2 6" xfId="821"/>
    <cellStyle name="Comma 3 5 2 6 2" xfId="822"/>
    <cellStyle name="Comma 3 5 2 7" xfId="823"/>
    <cellStyle name="Comma 3 5 3" xfId="824"/>
    <cellStyle name="Comma 3 5 3 2" xfId="825"/>
    <cellStyle name="Comma 3 5 3 2 2" xfId="826"/>
    <cellStyle name="Comma 3 5 3 2 2 2" xfId="827"/>
    <cellStyle name="Comma 3 5 3 2 2 3" xfId="828"/>
    <cellStyle name="Comma 3 5 3 2 3" xfId="829"/>
    <cellStyle name="Comma 3 5 3 2 3 2" xfId="830"/>
    <cellStyle name="Comma 3 5 3 2 4" xfId="831"/>
    <cellStyle name="Comma 3 5 3 2 4 2" xfId="832"/>
    <cellStyle name="Comma 3 5 3 2 5" xfId="833"/>
    <cellStyle name="Comma 3 5 3 3" xfId="834"/>
    <cellStyle name="Comma 3 5 3 3 2" xfId="835"/>
    <cellStyle name="Comma 3 5 3 3 2 2" xfId="836"/>
    <cellStyle name="Comma 3 5 3 3 3" xfId="837"/>
    <cellStyle name="Comma 3 5 3 3 3 2" xfId="838"/>
    <cellStyle name="Comma 3 5 3 3 4" xfId="839"/>
    <cellStyle name="Comma 3 5 3 4" xfId="840"/>
    <cellStyle name="Comma 3 5 3 4 2" xfId="841"/>
    <cellStyle name="Comma 3 5 3 4 3" xfId="842"/>
    <cellStyle name="Comma 3 5 3 5" xfId="843"/>
    <cellStyle name="Comma 3 5 3 5 2" xfId="844"/>
    <cellStyle name="Comma 3 5 3 6" xfId="845"/>
    <cellStyle name="Comma 3 5 3 6 2" xfId="846"/>
    <cellStyle name="Comma 3 5 3 7" xfId="847"/>
    <cellStyle name="Comma 3 5 4" xfId="848"/>
    <cellStyle name="Comma 3 5 4 2" xfId="849"/>
    <cellStyle name="Comma 3 5 4 2 2" xfId="850"/>
    <cellStyle name="Comma 3 5 4 2 2 2" xfId="851"/>
    <cellStyle name="Comma 3 5 4 2 3" xfId="852"/>
    <cellStyle name="Comma 3 5 4 2 3 2" xfId="853"/>
    <cellStyle name="Comma 3 5 4 2 4" xfId="854"/>
    <cellStyle name="Comma 3 5 4 3" xfId="855"/>
    <cellStyle name="Comma 3 5 4 3 2" xfId="856"/>
    <cellStyle name="Comma 3 5 4 3 3" xfId="857"/>
    <cellStyle name="Comma 3 5 4 4" xfId="858"/>
    <cellStyle name="Comma 3 5 4 4 2" xfId="859"/>
    <cellStyle name="Comma 3 5 4 5" xfId="860"/>
    <cellStyle name="Comma 3 5 4 5 2" xfId="861"/>
    <cellStyle name="Comma 3 5 4 6" xfId="862"/>
    <cellStyle name="Comma 3 5 5" xfId="863"/>
    <cellStyle name="Comma 3 5 5 2" xfId="864"/>
    <cellStyle name="Comma 3 5 5 2 2" xfId="865"/>
    <cellStyle name="Comma 3 5 5 3" xfId="866"/>
    <cellStyle name="Comma 3 5 5 3 2" xfId="867"/>
    <cellStyle name="Comma 3 5 5 4" xfId="868"/>
    <cellStyle name="Comma 3 5 6" xfId="869"/>
    <cellStyle name="Comma 3 5 6 2" xfId="870"/>
    <cellStyle name="Comma 3 5 6 2 2" xfId="871"/>
    <cellStyle name="Comma 3 5 6 3" xfId="872"/>
    <cellStyle name="Comma 3 5 6 3 2" xfId="873"/>
    <cellStyle name="Comma 3 5 6 4" xfId="874"/>
    <cellStyle name="Comma 3 5 7" xfId="875"/>
    <cellStyle name="Comma 3 5 7 2" xfId="876"/>
    <cellStyle name="Comma 3 5 7 3" xfId="877"/>
    <cellStyle name="Comma 3 5 8" xfId="878"/>
    <cellStyle name="Comma 3 5 8 2" xfId="879"/>
    <cellStyle name="Comma 3 5 9" xfId="880"/>
    <cellStyle name="Comma 3 5 9 2" xfId="881"/>
    <cellStyle name="Comma 3 6" xfId="882"/>
    <cellStyle name="Comma 3 6 2" xfId="883"/>
    <cellStyle name="Comma 3 6 2 2" xfId="884"/>
    <cellStyle name="Comma 3 6 2 2 2" xfId="885"/>
    <cellStyle name="Comma 3 6 2 3" xfId="886"/>
    <cellStyle name="Comma 3 6 2 3 2" xfId="887"/>
    <cellStyle name="Comma 3 6 2 4" xfId="888"/>
    <cellStyle name="Comma 3 6 3" xfId="889"/>
    <cellStyle name="Comma 3 6 3 2" xfId="890"/>
    <cellStyle name="Comma 3 6 3 3" xfId="891"/>
    <cellStyle name="Comma 3 6 4" xfId="892"/>
    <cellStyle name="Comma 3 6 4 2" xfId="893"/>
    <cellStyle name="Comma 3 6 5" xfId="894"/>
    <cellStyle name="Comma 3 6 5 2" xfId="895"/>
    <cellStyle name="Comma 3 6 6" xfId="896"/>
    <cellStyle name="Comma 3 7" xfId="897"/>
    <cellStyle name="Comma 3 7 2" xfId="898"/>
    <cellStyle name="Comma 3 7 2 2" xfId="899"/>
    <cellStyle name="Comma 3 7 3" xfId="900"/>
    <cellStyle name="Comma 3 7 3 2" xfId="901"/>
    <cellStyle name="Comma 3 7 4" xfId="902"/>
    <cellStyle name="Comma 3 8" xfId="903"/>
    <cellStyle name="Comma 3 8 2" xfId="904"/>
    <cellStyle name="Comma 3 9" xfId="905"/>
    <cellStyle name="Comma 30" xfId="18629"/>
    <cellStyle name="Comma 31" xfId="18630"/>
    <cellStyle name="Comma 32" xfId="18631"/>
    <cellStyle name="Comma 33" xfId="18632"/>
    <cellStyle name="Comma 34" xfId="18633"/>
    <cellStyle name="Comma 35" xfId="18634"/>
    <cellStyle name="Comma 36" xfId="18635"/>
    <cellStyle name="Comma 37" xfId="18636"/>
    <cellStyle name="Comma 38" xfId="18637"/>
    <cellStyle name="Comma 39" xfId="18638"/>
    <cellStyle name="Comma 4" xfId="906"/>
    <cellStyle name="Comma 4 10" xfId="907"/>
    <cellStyle name="Comma 4 10 2" xfId="908"/>
    <cellStyle name="Comma 4 10 2 2" xfId="909"/>
    <cellStyle name="Comma 4 10 3" xfId="910"/>
    <cellStyle name="Comma 4 10 3 2" xfId="911"/>
    <cellStyle name="Comma 4 10 4" xfId="912"/>
    <cellStyle name="Comma 4 11" xfId="913"/>
    <cellStyle name="Comma 4 11 2" xfId="914"/>
    <cellStyle name="Comma 4 11 3" xfId="915"/>
    <cellStyle name="Comma 4 12" xfId="916"/>
    <cellStyle name="Comma 4 12 2" xfId="917"/>
    <cellStyle name="Comma 4 13" xfId="918"/>
    <cellStyle name="Comma 4 13 2" xfId="919"/>
    <cellStyle name="Comma 4 14" xfId="920"/>
    <cellStyle name="Comma 4 15" xfId="17679"/>
    <cellStyle name="Comma 4 2" xfId="921"/>
    <cellStyle name="Comma 4 2 10" xfId="922"/>
    <cellStyle name="Comma 4 2 10 2" xfId="923"/>
    <cellStyle name="Comma 4 2 11" xfId="924"/>
    <cellStyle name="Comma 4 2 11 2" xfId="925"/>
    <cellStyle name="Comma 4 2 12" xfId="926"/>
    <cellStyle name="Comma 4 2 13" xfId="18639"/>
    <cellStyle name="Comma 4 2 2" xfId="927"/>
    <cellStyle name="Comma 4 2 2 10" xfId="928"/>
    <cellStyle name="Comma 4 2 2 11" xfId="18640"/>
    <cellStyle name="Comma 4 2 2 2" xfId="929"/>
    <cellStyle name="Comma 4 2 2 2 2" xfId="930"/>
    <cellStyle name="Comma 4 2 2 2 2 2" xfId="931"/>
    <cellStyle name="Comma 4 2 2 2 2 2 2" xfId="932"/>
    <cellStyle name="Comma 4 2 2 2 2 2 3" xfId="933"/>
    <cellStyle name="Comma 4 2 2 2 2 3" xfId="934"/>
    <cellStyle name="Comma 4 2 2 2 2 3 2" xfId="935"/>
    <cellStyle name="Comma 4 2 2 2 2 4" xfId="936"/>
    <cellStyle name="Comma 4 2 2 2 2 4 2" xfId="937"/>
    <cellStyle name="Comma 4 2 2 2 2 5" xfId="938"/>
    <cellStyle name="Comma 4 2 2 2 3" xfId="939"/>
    <cellStyle name="Comma 4 2 2 2 3 2" xfId="940"/>
    <cellStyle name="Comma 4 2 2 2 3 2 2" xfId="941"/>
    <cellStyle name="Comma 4 2 2 2 3 3" xfId="942"/>
    <cellStyle name="Comma 4 2 2 2 3 3 2" xfId="943"/>
    <cellStyle name="Comma 4 2 2 2 3 4" xfId="944"/>
    <cellStyle name="Comma 4 2 2 2 4" xfId="945"/>
    <cellStyle name="Comma 4 2 2 2 4 2" xfId="946"/>
    <cellStyle name="Comma 4 2 2 2 4 3" xfId="947"/>
    <cellStyle name="Comma 4 2 2 2 5" xfId="948"/>
    <cellStyle name="Comma 4 2 2 2 5 2" xfId="949"/>
    <cellStyle name="Comma 4 2 2 2 6" xfId="950"/>
    <cellStyle name="Comma 4 2 2 2 6 2" xfId="951"/>
    <cellStyle name="Comma 4 2 2 2 7" xfId="952"/>
    <cellStyle name="Comma 4 2 2 3" xfId="953"/>
    <cellStyle name="Comma 4 2 2 3 2" xfId="954"/>
    <cellStyle name="Comma 4 2 2 3 2 2" xfId="955"/>
    <cellStyle name="Comma 4 2 2 3 2 2 2" xfId="956"/>
    <cellStyle name="Comma 4 2 2 3 2 2 3" xfId="957"/>
    <cellStyle name="Comma 4 2 2 3 2 3" xfId="958"/>
    <cellStyle name="Comma 4 2 2 3 2 3 2" xfId="959"/>
    <cellStyle name="Comma 4 2 2 3 2 4" xfId="960"/>
    <cellStyle name="Comma 4 2 2 3 2 4 2" xfId="961"/>
    <cellStyle name="Comma 4 2 2 3 2 5" xfId="962"/>
    <cellStyle name="Comma 4 2 2 3 3" xfId="963"/>
    <cellStyle name="Comma 4 2 2 3 3 2" xfId="964"/>
    <cellStyle name="Comma 4 2 2 3 3 2 2" xfId="965"/>
    <cellStyle name="Comma 4 2 2 3 3 3" xfId="966"/>
    <cellStyle name="Comma 4 2 2 3 3 3 2" xfId="967"/>
    <cellStyle name="Comma 4 2 2 3 3 4" xfId="968"/>
    <cellStyle name="Comma 4 2 2 3 4" xfId="969"/>
    <cellStyle name="Comma 4 2 2 3 4 2" xfId="970"/>
    <cellStyle name="Comma 4 2 2 3 4 3" xfId="971"/>
    <cellStyle name="Comma 4 2 2 3 5" xfId="972"/>
    <cellStyle name="Comma 4 2 2 3 5 2" xfId="973"/>
    <cellStyle name="Comma 4 2 2 3 6" xfId="974"/>
    <cellStyle name="Comma 4 2 2 3 6 2" xfId="975"/>
    <cellStyle name="Comma 4 2 2 3 7" xfId="976"/>
    <cellStyle name="Comma 4 2 2 4" xfId="977"/>
    <cellStyle name="Comma 4 2 2 4 2" xfId="978"/>
    <cellStyle name="Comma 4 2 2 4 2 2" xfId="979"/>
    <cellStyle name="Comma 4 2 2 4 2 2 2" xfId="980"/>
    <cellStyle name="Comma 4 2 2 4 2 3" xfId="981"/>
    <cellStyle name="Comma 4 2 2 4 2 3 2" xfId="982"/>
    <cellStyle name="Comma 4 2 2 4 2 4" xfId="983"/>
    <cellStyle name="Comma 4 2 2 4 3" xfId="984"/>
    <cellStyle name="Comma 4 2 2 4 3 2" xfId="985"/>
    <cellStyle name="Comma 4 2 2 4 3 3" xfId="986"/>
    <cellStyle name="Comma 4 2 2 4 4" xfId="987"/>
    <cellStyle name="Comma 4 2 2 4 4 2" xfId="988"/>
    <cellStyle name="Comma 4 2 2 4 5" xfId="989"/>
    <cellStyle name="Comma 4 2 2 4 5 2" xfId="990"/>
    <cellStyle name="Comma 4 2 2 4 6" xfId="991"/>
    <cellStyle name="Comma 4 2 2 5" xfId="992"/>
    <cellStyle name="Comma 4 2 2 5 2" xfId="993"/>
    <cellStyle name="Comma 4 2 2 5 2 2" xfId="994"/>
    <cellStyle name="Comma 4 2 2 5 3" xfId="995"/>
    <cellStyle name="Comma 4 2 2 5 3 2" xfId="996"/>
    <cellStyle name="Comma 4 2 2 5 4" xfId="997"/>
    <cellStyle name="Comma 4 2 2 6" xfId="998"/>
    <cellStyle name="Comma 4 2 2 6 2" xfId="999"/>
    <cellStyle name="Comma 4 2 2 6 2 2" xfId="1000"/>
    <cellStyle name="Comma 4 2 2 6 3" xfId="1001"/>
    <cellStyle name="Comma 4 2 2 6 3 2" xfId="1002"/>
    <cellStyle name="Comma 4 2 2 6 4" xfId="1003"/>
    <cellStyle name="Comma 4 2 2 7" xfId="1004"/>
    <cellStyle name="Comma 4 2 2 7 2" xfId="1005"/>
    <cellStyle name="Comma 4 2 2 7 3" xfId="1006"/>
    <cellStyle name="Comma 4 2 2 8" xfId="1007"/>
    <cellStyle name="Comma 4 2 2 8 2" xfId="1008"/>
    <cellStyle name="Comma 4 2 2 9" xfId="1009"/>
    <cellStyle name="Comma 4 2 2 9 2" xfId="1010"/>
    <cellStyle name="Comma 4 2 3" xfId="1011"/>
    <cellStyle name="Comma 4 2 3 2" xfId="1012"/>
    <cellStyle name="Comma 4 2 3 2 2" xfId="1013"/>
    <cellStyle name="Comma 4 2 3 2 2 2" xfId="1014"/>
    <cellStyle name="Comma 4 2 3 2 2 2 2" xfId="1015"/>
    <cellStyle name="Comma 4 2 3 2 2 2 3" xfId="1016"/>
    <cellStyle name="Comma 4 2 3 2 2 3" xfId="1017"/>
    <cellStyle name="Comma 4 2 3 2 2 3 2" xfId="1018"/>
    <cellStyle name="Comma 4 2 3 2 2 4" xfId="1019"/>
    <cellStyle name="Comma 4 2 3 2 2 4 2" xfId="1020"/>
    <cellStyle name="Comma 4 2 3 2 2 5" xfId="1021"/>
    <cellStyle name="Comma 4 2 3 2 3" xfId="1022"/>
    <cellStyle name="Comma 4 2 3 2 3 2" xfId="1023"/>
    <cellStyle name="Comma 4 2 3 2 3 2 2" xfId="1024"/>
    <cellStyle name="Comma 4 2 3 2 3 3" xfId="1025"/>
    <cellStyle name="Comma 4 2 3 2 3 3 2" xfId="1026"/>
    <cellStyle name="Comma 4 2 3 2 3 4" xfId="1027"/>
    <cellStyle name="Comma 4 2 3 2 4" xfId="1028"/>
    <cellStyle name="Comma 4 2 3 2 4 2" xfId="1029"/>
    <cellStyle name="Comma 4 2 3 2 4 3" xfId="1030"/>
    <cellStyle name="Comma 4 2 3 2 5" xfId="1031"/>
    <cellStyle name="Comma 4 2 3 2 5 2" xfId="1032"/>
    <cellStyle name="Comma 4 2 3 2 6" xfId="1033"/>
    <cellStyle name="Comma 4 2 3 2 6 2" xfId="1034"/>
    <cellStyle name="Comma 4 2 3 2 7" xfId="1035"/>
    <cellStyle name="Comma 4 2 3 3" xfId="1036"/>
    <cellStyle name="Comma 4 2 3 3 2" xfId="1037"/>
    <cellStyle name="Comma 4 2 3 3 2 2" xfId="1038"/>
    <cellStyle name="Comma 4 2 3 3 2 3" xfId="1039"/>
    <cellStyle name="Comma 4 2 3 3 3" xfId="1040"/>
    <cellStyle name="Comma 4 2 3 3 3 2" xfId="1041"/>
    <cellStyle name="Comma 4 2 3 3 4" xfId="1042"/>
    <cellStyle name="Comma 4 2 3 3 4 2" xfId="1043"/>
    <cellStyle name="Comma 4 2 3 3 5" xfId="1044"/>
    <cellStyle name="Comma 4 2 3 4" xfId="1045"/>
    <cellStyle name="Comma 4 2 3 4 2" xfId="1046"/>
    <cellStyle name="Comma 4 2 3 4 2 2" xfId="1047"/>
    <cellStyle name="Comma 4 2 3 4 3" xfId="1048"/>
    <cellStyle name="Comma 4 2 3 4 3 2" xfId="1049"/>
    <cellStyle name="Comma 4 2 3 4 4" xfId="1050"/>
    <cellStyle name="Comma 4 2 3 5" xfId="1051"/>
    <cellStyle name="Comma 4 2 3 5 2" xfId="1052"/>
    <cellStyle name="Comma 4 2 3 5 3" xfId="1053"/>
    <cellStyle name="Comma 4 2 3 6" xfId="1054"/>
    <cellStyle name="Comma 4 2 3 6 2" xfId="1055"/>
    <cellStyle name="Comma 4 2 3 7" xfId="1056"/>
    <cellStyle name="Comma 4 2 3 7 2" xfId="1057"/>
    <cellStyle name="Comma 4 2 3 8" xfId="1058"/>
    <cellStyle name="Comma 4 2 4" xfId="1059"/>
    <cellStyle name="Comma 4 2 4 2" xfId="1060"/>
    <cellStyle name="Comma 4 2 4 2 2" xfId="1061"/>
    <cellStyle name="Comma 4 2 4 2 2 2" xfId="1062"/>
    <cellStyle name="Comma 4 2 4 2 2 3" xfId="1063"/>
    <cellStyle name="Comma 4 2 4 2 3" xfId="1064"/>
    <cellStyle name="Comma 4 2 4 2 3 2" xfId="1065"/>
    <cellStyle name="Comma 4 2 4 2 4" xfId="1066"/>
    <cellStyle name="Comma 4 2 4 2 4 2" xfId="1067"/>
    <cellStyle name="Comma 4 2 4 2 5" xfId="1068"/>
    <cellStyle name="Comma 4 2 4 3" xfId="1069"/>
    <cellStyle name="Comma 4 2 4 3 2" xfId="1070"/>
    <cellStyle name="Comma 4 2 4 3 2 2" xfId="1071"/>
    <cellStyle name="Comma 4 2 4 3 3" xfId="1072"/>
    <cellStyle name="Comma 4 2 4 3 3 2" xfId="1073"/>
    <cellStyle name="Comma 4 2 4 3 4" xfId="1074"/>
    <cellStyle name="Comma 4 2 4 4" xfId="1075"/>
    <cellStyle name="Comma 4 2 4 4 2" xfId="1076"/>
    <cellStyle name="Comma 4 2 4 4 3" xfId="1077"/>
    <cellStyle name="Comma 4 2 4 5" xfId="1078"/>
    <cellStyle name="Comma 4 2 4 5 2" xfId="1079"/>
    <cellStyle name="Comma 4 2 4 6" xfId="1080"/>
    <cellStyle name="Comma 4 2 4 6 2" xfId="1081"/>
    <cellStyle name="Comma 4 2 4 7" xfId="1082"/>
    <cellStyle name="Comma 4 2 5" xfId="1083"/>
    <cellStyle name="Comma 4 2 5 2" xfId="1084"/>
    <cellStyle name="Comma 4 2 5 2 2" xfId="1085"/>
    <cellStyle name="Comma 4 2 5 2 2 2" xfId="1086"/>
    <cellStyle name="Comma 4 2 5 2 2 3" xfId="1087"/>
    <cellStyle name="Comma 4 2 5 2 3" xfId="1088"/>
    <cellStyle name="Comma 4 2 5 2 3 2" xfId="1089"/>
    <cellStyle name="Comma 4 2 5 2 4" xfId="1090"/>
    <cellStyle name="Comma 4 2 5 2 4 2" xfId="1091"/>
    <cellStyle name="Comma 4 2 5 2 5" xfId="1092"/>
    <cellStyle name="Comma 4 2 5 3" xfId="1093"/>
    <cellStyle name="Comma 4 2 5 3 2" xfId="1094"/>
    <cellStyle name="Comma 4 2 5 3 2 2" xfId="1095"/>
    <cellStyle name="Comma 4 2 5 3 3" xfId="1096"/>
    <cellStyle name="Comma 4 2 5 3 3 2" xfId="1097"/>
    <cellStyle name="Comma 4 2 5 3 4" xfId="1098"/>
    <cellStyle name="Comma 4 2 5 4" xfId="1099"/>
    <cellStyle name="Comma 4 2 5 4 2" xfId="1100"/>
    <cellStyle name="Comma 4 2 5 4 3" xfId="1101"/>
    <cellStyle name="Comma 4 2 5 5" xfId="1102"/>
    <cellStyle name="Comma 4 2 5 5 2" xfId="1103"/>
    <cellStyle name="Comma 4 2 5 6" xfId="1104"/>
    <cellStyle name="Comma 4 2 5 6 2" xfId="1105"/>
    <cellStyle name="Comma 4 2 5 7" xfId="1106"/>
    <cellStyle name="Comma 4 2 6" xfId="1107"/>
    <cellStyle name="Comma 4 2 6 2" xfId="1108"/>
    <cellStyle name="Comma 4 2 6 2 2" xfId="1109"/>
    <cellStyle name="Comma 4 2 6 2 2 2" xfId="1110"/>
    <cellStyle name="Comma 4 2 6 2 3" xfId="1111"/>
    <cellStyle name="Comma 4 2 6 2 3 2" xfId="1112"/>
    <cellStyle name="Comma 4 2 6 2 4" xfId="1113"/>
    <cellStyle name="Comma 4 2 6 3" xfId="1114"/>
    <cellStyle name="Comma 4 2 6 3 2" xfId="1115"/>
    <cellStyle name="Comma 4 2 6 3 3" xfId="1116"/>
    <cellStyle name="Comma 4 2 6 4" xfId="1117"/>
    <cellStyle name="Comma 4 2 6 4 2" xfId="1118"/>
    <cellStyle name="Comma 4 2 6 5" xfId="1119"/>
    <cellStyle name="Comma 4 2 6 5 2" xfId="1120"/>
    <cellStyle name="Comma 4 2 6 6" xfId="1121"/>
    <cellStyle name="Comma 4 2 7" xfId="1122"/>
    <cellStyle name="Comma 4 2 7 2" xfId="1123"/>
    <cellStyle name="Comma 4 2 7 2 2" xfId="1124"/>
    <cellStyle name="Comma 4 2 7 3" xfId="1125"/>
    <cellStyle name="Comma 4 2 7 3 2" xfId="1126"/>
    <cellStyle name="Comma 4 2 7 4" xfId="1127"/>
    <cellStyle name="Comma 4 2 8" xfId="1128"/>
    <cellStyle name="Comma 4 2 8 2" xfId="1129"/>
    <cellStyle name="Comma 4 2 8 2 2" xfId="1130"/>
    <cellStyle name="Comma 4 2 8 3" xfId="1131"/>
    <cellStyle name="Comma 4 2 8 3 2" xfId="1132"/>
    <cellStyle name="Comma 4 2 8 4" xfId="1133"/>
    <cellStyle name="Comma 4 2 9" xfId="1134"/>
    <cellStyle name="Comma 4 2 9 2" xfId="1135"/>
    <cellStyle name="Comma 4 2 9 3" xfId="1136"/>
    <cellStyle name="Comma 4 3" xfId="1137"/>
    <cellStyle name="Comma 4 3 10" xfId="1138"/>
    <cellStyle name="Comma 4 3 10 2" xfId="1139"/>
    <cellStyle name="Comma 4 3 11" xfId="1140"/>
    <cellStyle name="Comma 4 3 12" xfId="18641"/>
    <cellStyle name="Comma 4 3 2" xfId="1141"/>
    <cellStyle name="Comma 4 3 2 2" xfId="1142"/>
    <cellStyle name="Comma 4 3 2 2 2" xfId="1143"/>
    <cellStyle name="Comma 4 3 2 2 2 2" xfId="1144"/>
    <cellStyle name="Comma 4 3 2 2 2 2 2" xfId="1145"/>
    <cellStyle name="Comma 4 3 2 2 2 2 3" xfId="1146"/>
    <cellStyle name="Comma 4 3 2 2 2 3" xfId="1147"/>
    <cellStyle name="Comma 4 3 2 2 2 3 2" xfId="1148"/>
    <cellStyle name="Comma 4 3 2 2 2 4" xfId="1149"/>
    <cellStyle name="Comma 4 3 2 2 2 4 2" xfId="1150"/>
    <cellStyle name="Comma 4 3 2 2 2 5" xfId="1151"/>
    <cellStyle name="Comma 4 3 2 2 3" xfId="1152"/>
    <cellStyle name="Comma 4 3 2 2 3 2" xfId="1153"/>
    <cellStyle name="Comma 4 3 2 2 3 2 2" xfId="1154"/>
    <cellStyle name="Comma 4 3 2 2 3 3" xfId="1155"/>
    <cellStyle name="Comma 4 3 2 2 3 3 2" xfId="1156"/>
    <cellStyle name="Comma 4 3 2 2 3 4" xfId="1157"/>
    <cellStyle name="Comma 4 3 2 2 4" xfId="1158"/>
    <cellStyle name="Comma 4 3 2 2 4 2" xfId="1159"/>
    <cellStyle name="Comma 4 3 2 2 4 3" xfId="1160"/>
    <cellStyle name="Comma 4 3 2 2 5" xfId="1161"/>
    <cellStyle name="Comma 4 3 2 2 5 2" xfId="1162"/>
    <cellStyle name="Comma 4 3 2 2 6" xfId="1163"/>
    <cellStyle name="Comma 4 3 2 2 6 2" xfId="1164"/>
    <cellStyle name="Comma 4 3 2 2 7" xfId="1165"/>
    <cellStyle name="Comma 4 3 2 3" xfId="1166"/>
    <cellStyle name="Comma 4 3 2 3 2" xfId="1167"/>
    <cellStyle name="Comma 4 3 2 3 2 2" xfId="1168"/>
    <cellStyle name="Comma 4 3 2 3 2 3" xfId="1169"/>
    <cellStyle name="Comma 4 3 2 3 3" xfId="1170"/>
    <cellStyle name="Comma 4 3 2 3 3 2" xfId="1171"/>
    <cellStyle name="Comma 4 3 2 3 4" xfId="1172"/>
    <cellStyle name="Comma 4 3 2 3 4 2" xfId="1173"/>
    <cellStyle name="Comma 4 3 2 3 5" xfId="1174"/>
    <cellStyle name="Comma 4 3 2 4" xfId="1175"/>
    <cellStyle name="Comma 4 3 2 4 2" xfId="1176"/>
    <cellStyle name="Comma 4 3 2 4 2 2" xfId="1177"/>
    <cellStyle name="Comma 4 3 2 4 3" xfId="1178"/>
    <cellStyle name="Comma 4 3 2 4 3 2" xfId="1179"/>
    <cellStyle name="Comma 4 3 2 4 4" xfId="1180"/>
    <cellStyle name="Comma 4 3 2 5" xfId="1181"/>
    <cellStyle name="Comma 4 3 2 5 2" xfId="1182"/>
    <cellStyle name="Comma 4 3 2 5 3" xfId="1183"/>
    <cellStyle name="Comma 4 3 2 6" xfId="1184"/>
    <cellStyle name="Comma 4 3 2 6 2" xfId="1185"/>
    <cellStyle name="Comma 4 3 2 7" xfId="1186"/>
    <cellStyle name="Comma 4 3 2 7 2" xfId="1187"/>
    <cellStyle name="Comma 4 3 2 8" xfId="1188"/>
    <cellStyle name="Comma 4 3 3" xfId="1189"/>
    <cellStyle name="Comma 4 3 3 2" xfId="1190"/>
    <cellStyle name="Comma 4 3 3 2 2" xfId="1191"/>
    <cellStyle name="Comma 4 3 3 2 2 2" xfId="1192"/>
    <cellStyle name="Comma 4 3 3 2 2 3" xfId="1193"/>
    <cellStyle name="Comma 4 3 3 2 3" xfId="1194"/>
    <cellStyle name="Comma 4 3 3 2 3 2" xfId="1195"/>
    <cellStyle name="Comma 4 3 3 2 4" xfId="1196"/>
    <cellStyle name="Comma 4 3 3 2 4 2" xfId="1197"/>
    <cellStyle name="Comma 4 3 3 2 5" xfId="1198"/>
    <cellStyle name="Comma 4 3 3 3" xfId="1199"/>
    <cellStyle name="Comma 4 3 3 3 2" xfId="1200"/>
    <cellStyle name="Comma 4 3 3 3 2 2" xfId="1201"/>
    <cellStyle name="Comma 4 3 3 3 3" xfId="1202"/>
    <cellStyle name="Comma 4 3 3 3 3 2" xfId="1203"/>
    <cellStyle name="Comma 4 3 3 3 4" xfId="1204"/>
    <cellStyle name="Comma 4 3 3 4" xfId="1205"/>
    <cellStyle name="Comma 4 3 3 4 2" xfId="1206"/>
    <cellStyle name="Comma 4 3 3 4 3" xfId="1207"/>
    <cellStyle name="Comma 4 3 3 5" xfId="1208"/>
    <cellStyle name="Comma 4 3 3 5 2" xfId="1209"/>
    <cellStyle name="Comma 4 3 3 6" xfId="1210"/>
    <cellStyle name="Comma 4 3 3 6 2" xfId="1211"/>
    <cellStyle name="Comma 4 3 3 7" xfId="1212"/>
    <cellStyle name="Comma 4 3 4" xfId="1213"/>
    <cellStyle name="Comma 4 3 4 2" xfId="1214"/>
    <cellStyle name="Comma 4 3 4 2 2" xfId="1215"/>
    <cellStyle name="Comma 4 3 4 2 2 2" xfId="1216"/>
    <cellStyle name="Comma 4 3 4 2 2 3" xfId="1217"/>
    <cellStyle name="Comma 4 3 4 2 3" xfId="1218"/>
    <cellStyle name="Comma 4 3 4 2 3 2" xfId="1219"/>
    <cellStyle name="Comma 4 3 4 2 4" xfId="1220"/>
    <cellStyle name="Comma 4 3 4 2 4 2" xfId="1221"/>
    <cellStyle name="Comma 4 3 4 2 5" xfId="1222"/>
    <cellStyle name="Comma 4 3 4 3" xfId="1223"/>
    <cellStyle name="Comma 4 3 4 3 2" xfId="1224"/>
    <cellStyle name="Comma 4 3 4 3 2 2" xfId="1225"/>
    <cellStyle name="Comma 4 3 4 3 3" xfId="1226"/>
    <cellStyle name="Comma 4 3 4 3 3 2" xfId="1227"/>
    <cellStyle name="Comma 4 3 4 3 4" xfId="1228"/>
    <cellStyle name="Comma 4 3 4 4" xfId="1229"/>
    <cellStyle name="Comma 4 3 4 4 2" xfId="1230"/>
    <cellStyle name="Comma 4 3 4 4 3" xfId="1231"/>
    <cellStyle name="Comma 4 3 4 5" xfId="1232"/>
    <cellStyle name="Comma 4 3 4 5 2" xfId="1233"/>
    <cellStyle name="Comma 4 3 4 6" xfId="1234"/>
    <cellStyle name="Comma 4 3 4 6 2" xfId="1235"/>
    <cellStyle name="Comma 4 3 4 7" xfId="1236"/>
    <cellStyle name="Comma 4 3 5" xfId="1237"/>
    <cellStyle name="Comma 4 3 5 2" xfId="1238"/>
    <cellStyle name="Comma 4 3 5 2 2" xfId="1239"/>
    <cellStyle name="Comma 4 3 5 2 2 2" xfId="1240"/>
    <cellStyle name="Comma 4 3 5 2 3" xfId="1241"/>
    <cellStyle name="Comma 4 3 5 2 3 2" xfId="1242"/>
    <cellStyle name="Comma 4 3 5 2 4" xfId="1243"/>
    <cellStyle name="Comma 4 3 5 3" xfId="1244"/>
    <cellStyle name="Comma 4 3 5 3 2" xfId="1245"/>
    <cellStyle name="Comma 4 3 5 3 3" xfId="1246"/>
    <cellStyle name="Comma 4 3 5 4" xfId="1247"/>
    <cellStyle name="Comma 4 3 5 4 2" xfId="1248"/>
    <cellStyle name="Comma 4 3 5 5" xfId="1249"/>
    <cellStyle name="Comma 4 3 5 5 2" xfId="1250"/>
    <cellStyle name="Comma 4 3 5 6" xfId="1251"/>
    <cellStyle name="Comma 4 3 6" xfId="1252"/>
    <cellStyle name="Comma 4 3 6 2" xfId="1253"/>
    <cellStyle name="Comma 4 3 6 2 2" xfId="1254"/>
    <cellStyle name="Comma 4 3 6 3" xfId="1255"/>
    <cellStyle name="Comma 4 3 6 3 2" xfId="1256"/>
    <cellStyle name="Comma 4 3 6 4" xfId="1257"/>
    <cellStyle name="Comma 4 3 7" xfId="1258"/>
    <cellStyle name="Comma 4 3 7 2" xfId="1259"/>
    <cellStyle name="Comma 4 3 7 2 2" xfId="1260"/>
    <cellStyle name="Comma 4 3 7 3" xfId="1261"/>
    <cellStyle name="Comma 4 3 7 3 2" xfId="1262"/>
    <cellStyle name="Comma 4 3 7 4" xfId="1263"/>
    <cellStyle name="Comma 4 3 8" xfId="1264"/>
    <cellStyle name="Comma 4 3 8 2" xfId="1265"/>
    <cellStyle name="Comma 4 3 8 3" xfId="1266"/>
    <cellStyle name="Comma 4 3 9" xfId="1267"/>
    <cellStyle name="Comma 4 3 9 2" xfId="1268"/>
    <cellStyle name="Comma 4 4" xfId="1269"/>
    <cellStyle name="Comma 4 4 10" xfId="1270"/>
    <cellStyle name="Comma 4 4 11" xfId="18642"/>
    <cellStyle name="Comma 4 4 2" xfId="1271"/>
    <cellStyle name="Comma 4 4 2 2" xfId="1272"/>
    <cellStyle name="Comma 4 4 2 2 2" xfId="1273"/>
    <cellStyle name="Comma 4 4 2 2 2 2" xfId="1274"/>
    <cellStyle name="Comma 4 4 2 2 2 3" xfId="1275"/>
    <cellStyle name="Comma 4 4 2 2 3" xfId="1276"/>
    <cellStyle name="Comma 4 4 2 2 3 2" xfId="1277"/>
    <cellStyle name="Comma 4 4 2 2 4" xfId="1278"/>
    <cellStyle name="Comma 4 4 2 2 4 2" xfId="1279"/>
    <cellStyle name="Comma 4 4 2 2 5" xfId="1280"/>
    <cellStyle name="Comma 4 4 2 3" xfId="1281"/>
    <cellStyle name="Comma 4 4 2 3 2" xfId="1282"/>
    <cellStyle name="Comma 4 4 2 3 2 2" xfId="1283"/>
    <cellStyle name="Comma 4 4 2 3 3" xfId="1284"/>
    <cellStyle name="Comma 4 4 2 3 3 2" xfId="1285"/>
    <cellStyle name="Comma 4 4 2 3 4" xfId="1286"/>
    <cellStyle name="Comma 4 4 2 4" xfId="1287"/>
    <cellStyle name="Comma 4 4 2 4 2" xfId="1288"/>
    <cellStyle name="Comma 4 4 2 4 3" xfId="1289"/>
    <cellStyle name="Comma 4 4 2 5" xfId="1290"/>
    <cellStyle name="Comma 4 4 2 5 2" xfId="1291"/>
    <cellStyle name="Comma 4 4 2 6" xfId="1292"/>
    <cellStyle name="Comma 4 4 2 6 2" xfId="1293"/>
    <cellStyle name="Comma 4 4 2 7" xfId="1294"/>
    <cellStyle name="Comma 4 4 3" xfId="1295"/>
    <cellStyle name="Comma 4 4 3 2" xfId="1296"/>
    <cellStyle name="Comma 4 4 3 2 2" xfId="1297"/>
    <cellStyle name="Comma 4 4 3 2 2 2" xfId="1298"/>
    <cellStyle name="Comma 4 4 3 2 2 3" xfId="1299"/>
    <cellStyle name="Comma 4 4 3 2 3" xfId="1300"/>
    <cellStyle name="Comma 4 4 3 2 3 2" xfId="1301"/>
    <cellStyle name="Comma 4 4 3 2 4" xfId="1302"/>
    <cellStyle name="Comma 4 4 3 2 4 2" xfId="1303"/>
    <cellStyle name="Comma 4 4 3 2 5" xfId="1304"/>
    <cellStyle name="Comma 4 4 3 3" xfId="1305"/>
    <cellStyle name="Comma 4 4 3 3 2" xfId="1306"/>
    <cellStyle name="Comma 4 4 3 3 2 2" xfId="1307"/>
    <cellStyle name="Comma 4 4 3 3 3" xfId="1308"/>
    <cellStyle name="Comma 4 4 3 3 3 2" xfId="1309"/>
    <cellStyle name="Comma 4 4 3 3 4" xfId="1310"/>
    <cellStyle name="Comma 4 4 3 4" xfId="1311"/>
    <cellStyle name="Comma 4 4 3 4 2" xfId="1312"/>
    <cellStyle name="Comma 4 4 3 4 3" xfId="1313"/>
    <cellStyle name="Comma 4 4 3 5" xfId="1314"/>
    <cellStyle name="Comma 4 4 3 5 2" xfId="1315"/>
    <cellStyle name="Comma 4 4 3 6" xfId="1316"/>
    <cellStyle name="Comma 4 4 3 6 2" xfId="1317"/>
    <cellStyle name="Comma 4 4 3 7" xfId="1318"/>
    <cellStyle name="Comma 4 4 4" xfId="1319"/>
    <cellStyle name="Comma 4 4 4 2" xfId="1320"/>
    <cellStyle name="Comma 4 4 4 2 2" xfId="1321"/>
    <cellStyle name="Comma 4 4 4 2 2 2" xfId="1322"/>
    <cellStyle name="Comma 4 4 4 2 3" xfId="1323"/>
    <cellStyle name="Comma 4 4 4 2 3 2" xfId="1324"/>
    <cellStyle name="Comma 4 4 4 2 4" xfId="1325"/>
    <cellStyle name="Comma 4 4 4 3" xfId="1326"/>
    <cellStyle name="Comma 4 4 4 3 2" xfId="1327"/>
    <cellStyle name="Comma 4 4 4 3 3" xfId="1328"/>
    <cellStyle name="Comma 4 4 4 4" xfId="1329"/>
    <cellStyle name="Comma 4 4 4 4 2" xfId="1330"/>
    <cellStyle name="Comma 4 4 4 5" xfId="1331"/>
    <cellStyle name="Comma 4 4 4 5 2" xfId="1332"/>
    <cellStyle name="Comma 4 4 4 6" xfId="1333"/>
    <cellStyle name="Comma 4 4 5" xfId="1334"/>
    <cellStyle name="Comma 4 4 5 2" xfId="1335"/>
    <cellStyle name="Comma 4 4 5 2 2" xfId="1336"/>
    <cellStyle name="Comma 4 4 5 3" xfId="1337"/>
    <cellStyle name="Comma 4 4 5 3 2" xfId="1338"/>
    <cellStyle name="Comma 4 4 5 4" xfId="1339"/>
    <cellStyle name="Comma 4 4 6" xfId="1340"/>
    <cellStyle name="Comma 4 4 6 2" xfId="1341"/>
    <cellStyle name="Comma 4 4 6 2 2" xfId="1342"/>
    <cellStyle name="Comma 4 4 6 3" xfId="1343"/>
    <cellStyle name="Comma 4 4 6 3 2" xfId="1344"/>
    <cellStyle name="Comma 4 4 6 4" xfId="1345"/>
    <cellStyle name="Comma 4 4 7" xfId="1346"/>
    <cellStyle name="Comma 4 4 7 2" xfId="1347"/>
    <cellStyle name="Comma 4 4 7 3" xfId="1348"/>
    <cellStyle name="Comma 4 4 8" xfId="1349"/>
    <cellStyle name="Comma 4 4 8 2" xfId="1350"/>
    <cellStyle name="Comma 4 4 9" xfId="1351"/>
    <cellStyle name="Comma 4 4 9 2" xfId="1352"/>
    <cellStyle name="Comma 4 5" xfId="1353"/>
    <cellStyle name="Comma 4 5 2" xfId="1354"/>
    <cellStyle name="Comma 4 5 2 2" xfId="1355"/>
    <cellStyle name="Comma 4 5 2 2 2" xfId="1356"/>
    <cellStyle name="Comma 4 5 2 2 2 2" xfId="1357"/>
    <cellStyle name="Comma 4 5 2 2 2 3" xfId="1358"/>
    <cellStyle name="Comma 4 5 2 2 3" xfId="1359"/>
    <cellStyle name="Comma 4 5 2 2 3 2" xfId="1360"/>
    <cellStyle name="Comma 4 5 2 2 4" xfId="1361"/>
    <cellStyle name="Comma 4 5 2 2 4 2" xfId="1362"/>
    <cellStyle name="Comma 4 5 2 2 5" xfId="1363"/>
    <cellStyle name="Comma 4 5 2 3" xfId="1364"/>
    <cellStyle name="Comma 4 5 2 3 2" xfId="1365"/>
    <cellStyle name="Comma 4 5 2 3 2 2" xfId="1366"/>
    <cellStyle name="Comma 4 5 2 3 3" xfId="1367"/>
    <cellStyle name="Comma 4 5 2 3 3 2" xfId="1368"/>
    <cellStyle name="Comma 4 5 2 3 4" xfId="1369"/>
    <cellStyle name="Comma 4 5 2 4" xfId="1370"/>
    <cellStyle name="Comma 4 5 2 4 2" xfId="1371"/>
    <cellStyle name="Comma 4 5 2 4 3" xfId="1372"/>
    <cellStyle name="Comma 4 5 2 5" xfId="1373"/>
    <cellStyle name="Comma 4 5 2 5 2" xfId="1374"/>
    <cellStyle name="Comma 4 5 2 6" xfId="1375"/>
    <cellStyle name="Comma 4 5 2 6 2" xfId="1376"/>
    <cellStyle name="Comma 4 5 2 7" xfId="1377"/>
    <cellStyle name="Comma 4 5 3" xfId="1378"/>
    <cellStyle name="Comma 4 5 3 2" xfId="1379"/>
    <cellStyle name="Comma 4 5 3 2 2" xfId="1380"/>
    <cellStyle name="Comma 4 5 3 2 3" xfId="1381"/>
    <cellStyle name="Comma 4 5 3 3" xfId="1382"/>
    <cellStyle name="Comma 4 5 3 3 2" xfId="1383"/>
    <cellStyle name="Comma 4 5 3 4" xfId="1384"/>
    <cellStyle name="Comma 4 5 3 4 2" xfId="1385"/>
    <cellStyle name="Comma 4 5 3 5" xfId="1386"/>
    <cellStyle name="Comma 4 5 4" xfId="1387"/>
    <cellStyle name="Comma 4 5 4 2" xfId="1388"/>
    <cellStyle name="Comma 4 5 4 2 2" xfId="1389"/>
    <cellStyle name="Comma 4 5 4 3" xfId="1390"/>
    <cellStyle name="Comma 4 5 4 3 2" xfId="1391"/>
    <cellStyle name="Comma 4 5 4 4" xfId="1392"/>
    <cellStyle name="Comma 4 5 5" xfId="1393"/>
    <cellStyle name="Comma 4 5 5 2" xfId="1394"/>
    <cellStyle name="Comma 4 5 5 3" xfId="1395"/>
    <cellStyle name="Comma 4 5 6" xfId="1396"/>
    <cellStyle name="Comma 4 5 6 2" xfId="1397"/>
    <cellStyle name="Comma 4 5 7" xfId="1398"/>
    <cellStyle name="Comma 4 5 7 2" xfId="1399"/>
    <cellStyle name="Comma 4 5 8" xfId="1400"/>
    <cellStyle name="Comma 4 6" xfId="1401"/>
    <cellStyle name="Comma 4 6 2" xfId="1402"/>
    <cellStyle name="Comma 4 6 2 2" xfId="1403"/>
    <cellStyle name="Comma 4 6 2 2 2" xfId="1404"/>
    <cellStyle name="Comma 4 6 2 2 3" xfId="1405"/>
    <cellStyle name="Comma 4 6 2 3" xfId="1406"/>
    <cellStyle name="Comma 4 6 2 3 2" xfId="1407"/>
    <cellStyle name="Comma 4 6 2 4" xfId="1408"/>
    <cellStyle name="Comma 4 6 2 4 2" xfId="1409"/>
    <cellStyle name="Comma 4 6 2 5" xfId="1410"/>
    <cellStyle name="Comma 4 6 3" xfId="1411"/>
    <cellStyle name="Comma 4 6 3 2" xfId="1412"/>
    <cellStyle name="Comma 4 6 3 2 2" xfId="1413"/>
    <cellStyle name="Comma 4 6 3 3" xfId="1414"/>
    <cellStyle name="Comma 4 6 3 3 2" xfId="1415"/>
    <cellStyle name="Comma 4 6 3 4" xfId="1416"/>
    <cellStyle name="Comma 4 6 4" xfId="1417"/>
    <cellStyle name="Comma 4 6 4 2" xfId="1418"/>
    <cellStyle name="Comma 4 6 4 3" xfId="1419"/>
    <cellStyle name="Comma 4 6 5" xfId="1420"/>
    <cellStyle name="Comma 4 6 5 2" xfId="1421"/>
    <cellStyle name="Comma 4 6 6" xfId="1422"/>
    <cellStyle name="Comma 4 6 6 2" xfId="1423"/>
    <cellStyle name="Comma 4 6 7" xfId="1424"/>
    <cellStyle name="Comma 4 7" xfId="1425"/>
    <cellStyle name="Comma 4 7 2" xfId="1426"/>
    <cellStyle name="Comma 4 7 2 2" xfId="1427"/>
    <cellStyle name="Comma 4 7 2 2 2" xfId="1428"/>
    <cellStyle name="Comma 4 7 2 2 3" xfId="1429"/>
    <cellStyle name="Comma 4 7 2 3" xfId="1430"/>
    <cellStyle name="Comma 4 7 2 3 2" xfId="1431"/>
    <cellStyle name="Comma 4 7 2 4" xfId="1432"/>
    <cellStyle name="Comma 4 7 2 4 2" xfId="1433"/>
    <cellStyle name="Comma 4 7 2 5" xfId="1434"/>
    <cellStyle name="Comma 4 7 3" xfId="1435"/>
    <cellStyle name="Comma 4 7 3 2" xfId="1436"/>
    <cellStyle name="Comma 4 7 3 2 2" xfId="1437"/>
    <cellStyle name="Comma 4 7 3 3" xfId="1438"/>
    <cellStyle name="Comma 4 7 3 3 2" xfId="1439"/>
    <cellStyle name="Comma 4 7 3 4" xfId="1440"/>
    <cellStyle name="Comma 4 7 4" xfId="1441"/>
    <cellStyle name="Comma 4 7 4 2" xfId="1442"/>
    <cellStyle name="Comma 4 7 4 3" xfId="1443"/>
    <cellStyle name="Comma 4 7 5" xfId="1444"/>
    <cellStyle name="Comma 4 7 5 2" xfId="1445"/>
    <cellStyle name="Comma 4 7 6" xfId="1446"/>
    <cellStyle name="Comma 4 7 6 2" xfId="1447"/>
    <cellStyle name="Comma 4 7 7" xfId="1448"/>
    <cellStyle name="Comma 4 8" xfId="1449"/>
    <cellStyle name="Comma 4 8 2" xfId="1450"/>
    <cellStyle name="Comma 4 8 2 2" xfId="1451"/>
    <cellStyle name="Comma 4 8 2 2 2" xfId="1452"/>
    <cellStyle name="Comma 4 8 2 3" xfId="1453"/>
    <cellStyle name="Comma 4 8 2 3 2" xfId="1454"/>
    <cellStyle name="Comma 4 8 2 4" xfId="1455"/>
    <cellStyle name="Comma 4 8 3" xfId="1456"/>
    <cellStyle name="Comma 4 8 3 2" xfId="1457"/>
    <cellStyle name="Comma 4 8 3 3" xfId="1458"/>
    <cellStyle name="Comma 4 8 4" xfId="1459"/>
    <cellStyle name="Comma 4 8 4 2" xfId="1460"/>
    <cellStyle name="Comma 4 8 5" xfId="1461"/>
    <cellStyle name="Comma 4 8 5 2" xfId="1462"/>
    <cellStyle name="Comma 4 8 6" xfId="1463"/>
    <cellStyle name="Comma 4 9" xfId="1464"/>
    <cellStyle name="Comma 4 9 2" xfId="1465"/>
    <cellStyle name="Comma 4 9 2 2" xfId="1466"/>
    <cellStyle name="Comma 4 9 3" xfId="1467"/>
    <cellStyle name="Comma 4 9 3 2" xfId="1468"/>
    <cellStyle name="Comma 4 9 4" xfId="1469"/>
    <cellStyle name="Comma 40" xfId="18643"/>
    <cellStyle name="Comma 41" xfId="18644"/>
    <cellStyle name="Comma 42" xfId="18645"/>
    <cellStyle name="Comma 43" xfId="18646"/>
    <cellStyle name="Comma 44" xfId="18647"/>
    <cellStyle name="Comma 45" xfId="18648"/>
    <cellStyle name="Comma 46" xfId="18649"/>
    <cellStyle name="Comma 47" xfId="18650"/>
    <cellStyle name="Comma 48" xfId="18651"/>
    <cellStyle name="Comma 49" xfId="18652"/>
    <cellStyle name="Comma 5" xfId="1470"/>
    <cellStyle name="Comma 5 2" xfId="11646"/>
    <cellStyle name="Comma 5 2 2" xfId="11647"/>
    <cellStyle name="Comma 5 2 2 2" xfId="11648"/>
    <cellStyle name="Comma 5 2 2 2 2" xfId="11649"/>
    <cellStyle name="Comma 5 2 2 3" xfId="11650"/>
    <cellStyle name="Comma 5 2 2 4" xfId="11651"/>
    <cellStyle name="Comma 5 2 3" xfId="11652"/>
    <cellStyle name="Comma 5 2 3 2" xfId="11653"/>
    <cellStyle name="Comma 5 2 4" xfId="11654"/>
    <cellStyle name="Comma 5 2 5" xfId="11655"/>
    <cellStyle name="Comma 5 3" xfId="11656"/>
    <cellStyle name="Comma 5 3 2" xfId="11657"/>
    <cellStyle name="Comma 5 3 2 2" xfId="11658"/>
    <cellStyle name="Comma 5 3 3" xfId="11659"/>
    <cellStyle name="Comma 5 3 4" xfId="11660"/>
    <cellStyle name="Comma 5 4" xfId="11661"/>
    <cellStyle name="Comma 5 4 2" xfId="11662"/>
    <cellStyle name="Comma 5 4 2 2" xfId="11663"/>
    <cellStyle name="Comma 5 4 3" xfId="11664"/>
    <cellStyle name="Comma 5 4 4" xfId="11665"/>
    <cellStyle name="Comma 5 5" xfId="11666"/>
    <cellStyle name="Comma 5 5 2" xfId="11667"/>
    <cellStyle name="Comma 5 5 2 2" xfId="11668"/>
    <cellStyle name="Comma 5 5 3" xfId="11669"/>
    <cellStyle name="Comma 5 5 4" xfId="11670"/>
    <cellStyle name="Comma 5 6" xfId="11671"/>
    <cellStyle name="Comma 5 6 2" xfId="11672"/>
    <cellStyle name="Comma 5 7" xfId="11673"/>
    <cellStyle name="Comma 5 8" xfId="11674"/>
    <cellStyle name="Comma 5 9" xfId="17699"/>
    <cellStyle name="Comma 50" xfId="18653"/>
    <cellStyle name="Comma 51" xfId="18654"/>
    <cellStyle name="Comma 52" xfId="18655"/>
    <cellStyle name="Comma 53" xfId="18656"/>
    <cellStyle name="Comma 54" xfId="18657"/>
    <cellStyle name="Comma 55" xfId="18658"/>
    <cellStyle name="Comma 56" xfId="18659"/>
    <cellStyle name="Comma 57" xfId="18660"/>
    <cellStyle name="Comma 58" xfId="18661"/>
    <cellStyle name="Comma 59" xfId="18662"/>
    <cellStyle name="Comma 6" xfId="1471"/>
    <cellStyle name="Comma 6 2" xfId="11675"/>
    <cellStyle name="Comma 6 2 2" xfId="11676"/>
    <cellStyle name="Comma 6 2 3" xfId="18663"/>
    <cellStyle name="Comma 6 3" xfId="11677"/>
    <cellStyle name="Comma 6 3 2" xfId="11678"/>
    <cellStyle name="Comma 6 3 3" xfId="11679"/>
    <cellStyle name="Comma 6 4" xfId="11680"/>
    <cellStyle name="Comma 60" xfId="18664"/>
    <cellStyle name="Comma 61" xfId="18665"/>
    <cellStyle name="Comma 62" xfId="18666"/>
    <cellStyle name="Comma 63" xfId="18667"/>
    <cellStyle name="Comma 64" xfId="18668"/>
    <cellStyle name="Comma 65" xfId="18669"/>
    <cellStyle name="Comma 66" xfId="18670"/>
    <cellStyle name="Comma 67" xfId="18671"/>
    <cellStyle name="Comma 68" xfId="18672"/>
    <cellStyle name="Comma 69" xfId="18673"/>
    <cellStyle name="Comma 7" xfId="9303"/>
    <cellStyle name="Comma 7 10" xfId="18674"/>
    <cellStyle name="Comma 7 10 2" xfId="18675"/>
    <cellStyle name="Comma 7 10 2 2" xfId="18676"/>
    <cellStyle name="Comma 7 10 3" xfId="18677"/>
    <cellStyle name="Comma 7 10 3 2" xfId="18678"/>
    <cellStyle name="Comma 7 10 4" xfId="18679"/>
    <cellStyle name="Comma 7 10 4 2" xfId="18680"/>
    <cellStyle name="Comma 7 10 5" xfId="18681"/>
    <cellStyle name="Comma 7 10 6" xfId="18682"/>
    <cellStyle name="Comma 7 11" xfId="18683"/>
    <cellStyle name="Comma 7 11 2" xfId="18684"/>
    <cellStyle name="Comma 7 11 2 2" xfId="18685"/>
    <cellStyle name="Comma 7 11 3" xfId="18686"/>
    <cellStyle name="Comma 7 11 3 2" xfId="18687"/>
    <cellStyle name="Comma 7 11 4" xfId="18688"/>
    <cellStyle name="Comma 7 11 5" xfId="18689"/>
    <cellStyle name="Comma 7 12" xfId="18690"/>
    <cellStyle name="Comma 7 12 2" xfId="18691"/>
    <cellStyle name="Comma 7 13" xfId="18692"/>
    <cellStyle name="Comma 7 13 2" xfId="18693"/>
    <cellStyle name="Comma 7 14" xfId="18694"/>
    <cellStyle name="Comma 7 14 2" xfId="18695"/>
    <cellStyle name="Comma 7 15" xfId="18696"/>
    <cellStyle name="Comma 7 16" xfId="18697"/>
    <cellStyle name="Comma 7 17" xfId="18698"/>
    <cellStyle name="Comma 7 2" xfId="11682"/>
    <cellStyle name="Comma 7 2 10" xfId="18700"/>
    <cellStyle name="Comma 7 2 10 2" xfId="18701"/>
    <cellStyle name="Comma 7 2 11" xfId="18702"/>
    <cellStyle name="Comma 7 2 11 2" xfId="18703"/>
    <cellStyle name="Comma 7 2 12" xfId="18704"/>
    <cellStyle name="Comma 7 2 13" xfId="18705"/>
    <cellStyle name="Comma 7 2 14" xfId="18699"/>
    <cellStyle name="Comma 7 2 2" xfId="11683"/>
    <cellStyle name="Comma 7 2 2 10" xfId="18707"/>
    <cellStyle name="Comma 7 2 2 11" xfId="18708"/>
    <cellStyle name="Comma 7 2 2 12" xfId="18706"/>
    <cellStyle name="Comma 7 2 2 2" xfId="18709"/>
    <cellStyle name="Comma 7 2 2 2 2" xfId="18710"/>
    <cellStyle name="Comma 7 2 2 2 2 2" xfId="18711"/>
    <cellStyle name="Comma 7 2 2 2 3" xfId="18712"/>
    <cellStyle name="Comma 7 2 2 2 3 2" xfId="18713"/>
    <cellStyle name="Comma 7 2 2 2 4" xfId="18714"/>
    <cellStyle name="Comma 7 2 2 2 4 2" xfId="18715"/>
    <cellStyle name="Comma 7 2 2 2 5" xfId="18716"/>
    <cellStyle name="Comma 7 2 2 2 6" xfId="18717"/>
    <cellStyle name="Comma 7 2 2 3" xfId="18718"/>
    <cellStyle name="Comma 7 2 2 3 2" xfId="18719"/>
    <cellStyle name="Comma 7 2 2 3 2 2" xfId="18720"/>
    <cellStyle name="Comma 7 2 2 3 3" xfId="18721"/>
    <cellStyle name="Comma 7 2 2 3 3 2" xfId="18722"/>
    <cellStyle name="Comma 7 2 2 3 4" xfId="18723"/>
    <cellStyle name="Comma 7 2 2 3 4 2" xfId="18724"/>
    <cellStyle name="Comma 7 2 2 3 5" xfId="18725"/>
    <cellStyle name="Comma 7 2 2 3 6" xfId="18726"/>
    <cellStyle name="Comma 7 2 2 4" xfId="18727"/>
    <cellStyle name="Comma 7 2 2 4 2" xfId="18728"/>
    <cellStyle name="Comma 7 2 2 4 2 2" xfId="18729"/>
    <cellStyle name="Comma 7 2 2 4 3" xfId="18730"/>
    <cellStyle name="Comma 7 2 2 4 3 2" xfId="18731"/>
    <cellStyle name="Comma 7 2 2 4 4" xfId="18732"/>
    <cellStyle name="Comma 7 2 2 4 4 2" xfId="18733"/>
    <cellStyle name="Comma 7 2 2 4 5" xfId="18734"/>
    <cellStyle name="Comma 7 2 2 4 6" xfId="18735"/>
    <cellStyle name="Comma 7 2 2 5" xfId="18736"/>
    <cellStyle name="Comma 7 2 2 5 2" xfId="18737"/>
    <cellStyle name="Comma 7 2 2 5 2 2" xfId="18738"/>
    <cellStyle name="Comma 7 2 2 5 3" xfId="18739"/>
    <cellStyle name="Comma 7 2 2 5 3 2" xfId="18740"/>
    <cellStyle name="Comma 7 2 2 5 4" xfId="18741"/>
    <cellStyle name="Comma 7 2 2 5 4 2" xfId="18742"/>
    <cellStyle name="Comma 7 2 2 5 5" xfId="18743"/>
    <cellStyle name="Comma 7 2 2 5 6" xfId="18744"/>
    <cellStyle name="Comma 7 2 2 6" xfId="18745"/>
    <cellStyle name="Comma 7 2 2 6 2" xfId="18746"/>
    <cellStyle name="Comma 7 2 2 6 2 2" xfId="18747"/>
    <cellStyle name="Comma 7 2 2 6 3" xfId="18748"/>
    <cellStyle name="Comma 7 2 2 6 3 2" xfId="18749"/>
    <cellStyle name="Comma 7 2 2 6 4" xfId="18750"/>
    <cellStyle name="Comma 7 2 2 6 5" xfId="18751"/>
    <cellStyle name="Comma 7 2 2 7" xfId="18752"/>
    <cellStyle name="Comma 7 2 2 7 2" xfId="18753"/>
    <cellStyle name="Comma 7 2 2 8" xfId="18754"/>
    <cellStyle name="Comma 7 2 2 8 2" xfId="18755"/>
    <cellStyle name="Comma 7 2 2 9" xfId="18756"/>
    <cellStyle name="Comma 7 2 2 9 2" xfId="18757"/>
    <cellStyle name="Comma 7 2 3" xfId="18758"/>
    <cellStyle name="Comma 7 2 3 10" xfId="18759"/>
    <cellStyle name="Comma 7 2 3 2" xfId="18760"/>
    <cellStyle name="Comma 7 2 3 2 2" xfId="18761"/>
    <cellStyle name="Comma 7 2 3 2 2 2" xfId="18762"/>
    <cellStyle name="Comma 7 2 3 2 3" xfId="18763"/>
    <cellStyle name="Comma 7 2 3 2 3 2" xfId="18764"/>
    <cellStyle name="Comma 7 2 3 2 4" xfId="18765"/>
    <cellStyle name="Comma 7 2 3 2 4 2" xfId="18766"/>
    <cellStyle name="Comma 7 2 3 2 5" xfId="18767"/>
    <cellStyle name="Comma 7 2 3 2 6" xfId="18768"/>
    <cellStyle name="Comma 7 2 3 3" xfId="18769"/>
    <cellStyle name="Comma 7 2 3 3 2" xfId="18770"/>
    <cellStyle name="Comma 7 2 3 3 2 2" xfId="18771"/>
    <cellStyle name="Comma 7 2 3 3 3" xfId="18772"/>
    <cellStyle name="Comma 7 2 3 3 3 2" xfId="18773"/>
    <cellStyle name="Comma 7 2 3 3 4" xfId="18774"/>
    <cellStyle name="Comma 7 2 3 3 4 2" xfId="18775"/>
    <cellStyle name="Comma 7 2 3 3 5" xfId="18776"/>
    <cellStyle name="Comma 7 2 3 3 6" xfId="18777"/>
    <cellStyle name="Comma 7 2 3 4" xfId="18778"/>
    <cellStyle name="Comma 7 2 3 4 2" xfId="18779"/>
    <cellStyle name="Comma 7 2 3 4 2 2" xfId="18780"/>
    <cellStyle name="Comma 7 2 3 4 3" xfId="18781"/>
    <cellStyle name="Comma 7 2 3 4 3 2" xfId="18782"/>
    <cellStyle name="Comma 7 2 3 4 4" xfId="18783"/>
    <cellStyle name="Comma 7 2 3 4 4 2" xfId="18784"/>
    <cellStyle name="Comma 7 2 3 4 5" xfId="18785"/>
    <cellStyle name="Comma 7 2 3 4 6" xfId="18786"/>
    <cellStyle name="Comma 7 2 3 5" xfId="18787"/>
    <cellStyle name="Comma 7 2 3 5 2" xfId="18788"/>
    <cellStyle name="Comma 7 2 3 5 2 2" xfId="18789"/>
    <cellStyle name="Comma 7 2 3 5 3" xfId="18790"/>
    <cellStyle name="Comma 7 2 3 5 3 2" xfId="18791"/>
    <cellStyle name="Comma 7 2 3 5 4" xfId="18792"/>
    <cellStyle name="Comma 7 2 3 5 5" xfId="18793"/>
    <cellStyle name="Comma 7 2 3 6" xfId="18794"/>
    <cellStyle name="Comma 7 2 3 6 2" xfId="18795"/>
    <cellStyle name="Comma 7 2 3 7" xfId="18796"/>
    <cellStyle name="Comma 7 2 3 7 2" xfId="18797"/>
    <cellStyle name="Comma 7 2 3 8" xfId="18798"/>
    <cellStyle name="Comma 7 2 3 8 2" xfId="18799"/>
    <cellStyle name="Comma 7 2 3 9" xfId="18800"/>
    <cellStyle name="Comma 7 2 4" xfId="18801"/>
    <cellStyle name="Comma 7 2 4 10" xfId="18802"/>
    <cellStyle name="Comma 7 2 4 2" xfId="18803"/>
    <cellStyle name="Comma 7 2 4 2 2" xfId="18804"/>
    <cellStyle name="Comma 7 2 4 2 2 2" xfId="18805"/>
    <cellStyle name="Comma 7 2 4 2 3" xfId="18806"/>
    <cellStyle name="Comma 7 2 4 2 3 2" xfId="18807"/>
    <cellStyle name="Comma 7 2 4 2 4" xfId="18808"/>
    <cellStyle name="Comma 7 2 4 2 4 2" xfId="18809"/>
    <cellStyle name="Comma 7 2 4 2 5" xfId="18810"/>
    <cellStyle name="Comma 7 2 4 2 6" xfId="18811"/>
    <cellStyle name="Comma 7 2 4 3" xfId="18812"/>
    <cellStyle name="Comma 7 2 4 3 2" xfId="18813"/>
    <cellStyle name="Comma 7 2 4 3 2 2" xfId="18814"/>
    <cellStyle name="Comma 7 2 4 3 3" xfId="18815"/>
    <cellStyle name="Comma 7 2 4 3 3 2" xfId="18816"/>
    <cellStyle name="Comma 7 2 4 3 4" xfId="18817"/>
    <cellStyle name="Comma 7 2 4 3 4 2" xfId="18818"/>
    <cellStyle name="Comma 7 2 4 3 5" xfId="18819"/>
    <cellStyle name="Comma 7 2 4 3 6" xfId="18820"/>
    <cellStyle name="Comma 7 2 4 4" xfId="18821"/>
    <cellStyle name="Comma 7 2 4 4 2" xfId="18822"/>
    <cellStyle name="Comma 7 2 4 4 2 2" xfId="18823"/>
    <cellStyle name="Comma 7 2 4 4 3" xfId="18824"/>
    <cellStyle name="Comma 7 2 4 4 3 2" xfId="18825"/>
    <cellStyle name="Comma 7 2 4 4 4" xfId="18826"/>
    <cellStyle name="Comma 7 2 4 4 4 2" xfId="18827"/>
    <cellStyle name="Comma 7 2 4 4 5" xfId="18828"/>
    <cellStyle name="Comma 7 2 4 4 6" xfId="18829"/>
    <cellStyle name="Comma 7 2 4 5" xfId="18830"/>
    <cellStyle name="Comma 7 2 4 5 2" xfId="18831"/>
    <cellStyle name="Comma 7 2 4 5 2 2" xfId="18832"/>
    <cellStyle name="Comma 7 2 4 5 3" xfId="18833"/>
    <cellStyle name="Comma 7 2 4 5 3 2" xfId="18834"/>
    <cellStyle name="Comma 7 2 4 5 4" xfId="18835"/>
    <cellStyle name="Comma 7 2 4 5 5" xfId="18836"/>
    <cellStyle name="Comma 7 2 4 6" xfId="18837"/>
    <cellStyle name="Comma 7 2 4 6 2" xfId="18838"/>
    <cellStyle name="Comma 7 2 4 7" xfId="18839"/>
    <cellStyle name="Comma 7 2 4 7 2" xfId="18840"/>
    <cellStyle name="Comma 7 2 4 8" xfId="18841"/>
    <cellStyle name="Comma 7 2 4 8 2" xfId="18842"/>
    <cellStyle name="Comma 7 2 4 9" xfId="18843"/>
    <cellStyle name="Comma 7 2 5" xfId="18844"/>
    <cellStyle name="Comma 7 2 5 2" xfId="18845"/>
    <cellStyle name="Comma 7 2 5 2 2" xfId="18846"/>
    <cellStyle name="Comma 7 2 5 3" xfId="18847"/>
    <cellStyle name="Comma 7 2 5 3 2" xfId="18848"/>
    <cellStyle name="Comma 7 2 5 4" xfId="18849"/>
    <cellStyle name="Comma 7 2 5 4 2" xfId="18850"/>
    <cellStyle name="Comma 7 2 5 5" xfId="18851"/>
    <cellStyle name="Comma 7 2 5 6" xfId="18852"/>
    <cellStyle name="Comma 7 2 6" xfId="18853"/>
    <cellStyle name="Comma 7 2 6 2" xfId="18854"/>
    <cellStyle name="Comma 7 2 6 2 2" xfId="18855"/>
    <cellStyle name="Comma 7 2 6 3" xfId="18856"/>
    <cellStyle name="Comma 7 2 6 3 2" xfId="18857"/>
    <cellStyle name="Comma 7 2 6 4" xfId="18858"/>
    <cellStyle name="Comma 7 2 6 4 2" xfId="18859"/>
    <cellStyle name="Comma 7 2 6 5" xfId="18860"/>
    <cellStyle name="Comma 7 2 6 6" xfId="18861"/>
    <cellStyle name="Comma 7 2 7" xfId="18862"/>
    <cellStyle name="Comma 7 2 7 2" xfId="18863"/>
    <cellStyle name="Comma 7 2 7 2 2" xfId="18864"/>
    <cellStyle name="Comma 7 2 7 3" xfId="18865"/>
    <cellStyle name="Comma 7 2 7 3 2" xfId="18866"/>
    <cellStyle name="Comma 7 2 7 4" xfId="18867"/>
    <cellStyle name="Comma 7 2 7 4 2" xfId="18868"/>
    <cellStyle name="Comma 7 2 7 5" xfId="18869"/>
    <cellStyle name="Comma 7 2 7 6" xfId="18870"/>
    <cellStyle name="Comma 7 2 8" xfId="18871"/>
    <cellStyle name="Comma 7 2 8 2" xfId="18872"/>
    <cellStyle name="Comma 7 2 8 2 2" xfId="18873"/>
    <cellStyle name="Comma 7 2 8 3" xfId="18874"/>
    <cellStyle name="Comma 7 2 8 3 2" xfId="18875"/>
    <cellStyle name="Comma 7 2 8 4" xfId="18876"/>
    <cellStyle name="Comma 7 2 8 5" xfId="18877"/>
    <cellStyle name="Comma 7 2 9" xfId="18878"/>
    <cellStyle name="Comma 7 2 9 2" xfId="18879"/>
    <cellStyle name="Comma 7 3" xfId="11684"/>
    <cellStyle name="Comma 7 3 10" xfId="18881"/>
    <cellStyle name="Comma 7 3 10 2" xfId="18882"/>
    <cellStyle name="Comma 7 3 11" xfId="18883"/>
    <cellStyle name="Comma 7 3 11 2" xfId="18884"/>
    <cellStyle name="Comma 7 3 12" xfId="18885"/>
    <cellStyle name="Comma 7 3 13" xfId="18886"/>
    <cellStyle name="Comma 7 3 14" xfId="18880"/>
    <cellStyle name="Comma 7 3 2" xfId="11685"/>
    <cellStyle name="Comma 7 3 2 10" xfId="18888"/>
    <cellStyle name="Comma 7 3 2 11" xfId="18889"/>
    <cellStyle name="Comma 7 3 2 12" xfId="18887"/>
    <cellStyle name="Comma 7 3 2 2" xfId="18890"/>
    <cellStyle name="Comma 7 3 2 2 2" xfId="18891"/>
    <cellStyle name="Comma 7 3 2 2 2 2" xfId="18892"/>
    <cellStyle name="Comma 7 3 2 2 3" xfId="18893"/>
    <cellStyle name="Comma 7 3 2 2 3 2" xfId="18894"/>
    <cellStyle name="Comma 7 3 2 2 4" xfId="18895"/>
    <cellStyle name="Comma 7 3 2 2 4 2" xfId="18896"/>
    <cellStyle name="Comma 7 3 2 2 5" xfId="18897"/>
    <cellStyle name="Comma 7 3 2 2 6" xfId="18898"/>
    <cellStyle name="Comma 7 3 2 3" xfId="18899"/>
    <cellStyle name="Comma 7 3 2 3 2" xfId="18900"/>
    <cellStyle name="Comma 7 3 2 3 2 2" xfId="18901"/>
    <cellStyle name="Comma 7 3 2 3 3" xfId="18902"/>
    <cellStyle name="Comma 7 3 2 3 3 2" xfId="18903"/>
    <cellStyle name="Comma 7 3 2 3 4" xfId="18904"/>
    <cellStyle name="Comma 7 3 2 3 4 2" xfId="18905"/>
    <cellStyle name="Comma 7 3 2 3 5" xfId="18906"/>
    <cellStyle name="Comma 7 3 2 3 6" xfId="18907"/>
    <cellStyle name="Comma 7 3 2 4" xfId="18908"/>
    <cellStyle name="Comma 7 3 2 4 2" xfId="18909"/>
    <cellStyle name="Comma 7 3 2 4 2 2" xfId="18910"/>
    <cellStyle name="Comma 7 3 2 4 3" xfId="18911"/>
    <cellStyle name="Comma 7 3 2 4 3 2" xfId="18912"/>
    <cellStyle name="Comma 7 3 2 4 4" xfId="18913"/>
    <cellStyle name="Comma 7 3 2 4 4 2" xfId="18914"/>
    <cellStyle name="Comma 7 3 2 4 5" xfId="18915"/>
    <cellStyle name="Comma 7 3 2 4 6" xfId="18916"/>
    <cellStyle name="Comma 7 3 2 5" xfId="18917"/>
    <cellStyle name="Comma 7 3 2 5 2" xfId="18918"/>
    <cellStyle name="Comma 7 3 2 5 2 2" xfId="18919"/>
    <cellStyle name="Comma 7 3 2 5 3" xfId="18920"/>
    <cellStyle name="Comma 7 3 2 5 3 2" xfId="18921"/>
    <cellStyle name="Comma 7 3 2 5 4" xfId="18922"/>
    <cellStyle name="Comma 7 3 2 5 4 2" xfId="18923"/>
    <cellStyle name="Comma 7 3 2 5 5" xfId="18924"/>
    <cellStyle name="Comma 7 3 2 5 6" xfId="18925"/>
    <cellStyle name="Comma 7 3 2 6" xfId="18926"/>
    <cellStyle name="Comma 7 3 2 6 2" xfId="18927"/>
    <cellStyle name="Comma 7 3 2 6 2 2" xfId="18928"/>
    <cellStyle name="Comma 7 3 2 6 3" xfId="18929"/>
    <cellStyle name="Comma 7 3 2 6 3 2" xfId="18930"/>
    <cellStyle name="Comma 7 3 2 6 4" xfId="18931"/>
    <cellStyle name="Comma 7 3 2 6 5" xfId="18932"/>
    <cellStyle name="Comma 7 3 2 7" xfId="18933"/>
    <cellStyle name="Comma 7 3 2 7 2" xfId="18934"/>
    <cellStyle name="Comma 7 3 2 8" xfId="18935"/>
    <cellStyle name="Comma 7 3 2 8 2" xfId="18936"/>
    <cellStyle name="Comma 7 3 2 9" xfId="18937"/>
    <cellStyle name="Comma 7 3 2 9 2" xfId="18938"/>
    <cellStyle name="Comma 7 3 3" xfId="18939"/>
    <cellStyle name="Comma 7 3 3 10" xfId="18940"/>
    <cellStyle name="Comma 7 3 3 2" xfId="18941"/>
    <cellStyle name="Comma 7 3 3 2 2" xfId="18942"/>
    <cellStyle name="Comma 7 3 3 2 2 2" xfId="18943"/>
    <cellStyle name="Comma 7 3 3 2 3" xfId="18944"/>
    <cellStyle name="Comma 7 3 3 2 3 2" xfId="18945"/>
    <cellStyle name="Comma 7 3 3 2 4" xfId="18946"/>
    <cellStyle name="Comma 7 3 3 2 4 2" xfId="18947"/>
    <cellStyle name="Comma 7 3 3 2 5" xfId="18948"/>
    <cellStyle name="Comma 7 3 3 2 6" xfId="18949"/>
    <cellStyle name="Comma 7 3 3 3" xfId="18950"/>
    <cellStyle name="Comma 7 3 3 3 2" xfId="18951"/>
    <cellStyle name="Comma 7 3 3 3 2 2" xfId="18952"/>
    <cellStyle name="Comma 7 3 3 3 3" xfId="18953"/>
    <cellStyle name="Comma 7 3 3 3 3 2" xfId="18954"/>
    <cellStyle name="Comma 7 3 3 3 4" xfId="18955"/>
    <cellStyle name="Comma 7 3 3 3 4 2" xfId="18956"/>
    <cellStyle name="Comma 7 3 3 3 5" xfId="18957"/>
    <cellStyle name="Comma 7 3 3 3 6" xfId="18958"/>
    <cellStyle name="Comma 7 3 3 4" xfId="18959"/>
    <cellStyle name="Comma 7 3 3 4 2" xfId="18960"/>
    <cellStyle name="Comma 7 3 3 4 2 2" xfId="18961"/>
    <cellStyle name="Comma 7 3 3 4 3" xfId="18962"/>
    <cellStyle name="Comma 7 3 3 4 3 2" xfId="18963"/>
    <cellStyle name="Comma 7 3 3 4 4" xfId="18964"/>
    <cellStyle name="Comma 7 3 3 4 4 2" xfId="18965"/>
    <cellStyle name="Comma 7 3 3 4 5" xfId="18966"/>
    <cellStyle name="Comma 7 3 3 4 6" xfId="18967"/>
    <cellStyle name="Comma 7 3 3 5" xfId="18968"/>
    <cellStyle name="Comma 7 3 3 5 2" xfId="18969"/>
    <cellStyle name="Comma 7 3 3 5 2 2" xfId="18970"/>
    <cellStyle name="Comma 7 3 3 5 3" xfId="18971"/>
    <cellStyle name="Comma 7 3 3 5 3 2" xfId="18972"/>
    <cellStyle name="Comma 7 3 3 5 4" xfId="18973"/>
    <cellStyle name="Comma 7 3 3 5 5" xfId="18974"/>
    <cellStyle name="Comma 7 3 3 6" xfId="18975"/>
    <cellStyle name="Comma 7 3 3 6 2" xfId="18976"/>
    <cellStyle name="Comma 7 3 3 7" xfId="18977"/>
    <cellStyle name="Comma 7 3 3 7 2" xfId="18978"/>
    <cellStyle name="Comma 7 3 3 8" xfId="18979"/>
    <cellStyle name="Comma 7 3 3 8 2" xfId="18980"/>
    <cellStyle name="Comma 7 3 3 9" xfId="18981"/>
    <cellStyle name="Comma 7 3 4" xfId="18982"/>
    <cellStyle name="Comma 7 3 4 10" xfId="18983"/>
    <cellStyle name="Comma 7 3 4 2" xfId="18984"/>
    <cellStyle name="Comma 7 3 4 2 2" xfId="18985"/>
    <cellStyle name="Comma 7 3 4 2 2 2" xfId="18986"/>
    <cellStyle name="Comma 7 3 4 2 3" xfId="18987"/>
    <cellStyle name="Comma 7 3 4 2 3 2" xfId="18988"/>
    <cellStyle name="Comma 7 3 4 2 4" xfId="18989"/>
    <cellStyle name="Comma 7 3 4 2 4 2" xfId="18990"/>
    <cellStyle name="Comma 7 3 4 2 5" xfId="18991"/>
    <cellStyle name="Comma 7 3 4 2 6" xfId="18992"/>
    <cellStyle name="Comma 7 3 4 3" xfId="18993"/>
    <cellStyle name="Comma 7 3 4 3 2" xfId="18994"/>
    <cellStyle name="Comma 7 3 4 3 2 2" xfId="18995"/>
    <cellStyle name="Comma 7 3 4 3 3" xfId="18996"/>
    <cellStyle name="Comma 7 3 4 3 3 2" xfId="18997"/>
    <cellStyle name="Comma 7 3 4 3 4" xfId="18998"/>
    <cellStyle name="Comma 7 3 4 3 4 2" xfId="18999"/>
    <cellStyle name="Comma 7 3 4 3 5" xfId="19000"/>
    <cellStyle name="Comma 7 3 4 3 6" xfId="19001"/>
    <cellStyle name="Comma 7 3 4 4" xfId="19002"/>
    <cellStyle name="Comma 7 3 4 4 2" xfId="19003"/>
    <cellStyle name="Comma 7 3 4 4 2 2" xfId="19004"/>
    <cellStyle name="Comma 7 3 4 4 3" xfId="19005"/>
    <cellStyle name="Comma 7 3 4 4 3 2" xfId="19006"/>
    <cellStyle name="Comma 7 3 4 4 4" xfId="19007"/>
    <cellStyle name="Comma 7 3 4 4 4 2" xfId="19008"/>
    <cellStyle name="Comma 7 3 4 4 5" xfId="19009"/>
    <cellStyle name="Comma 7 3 4 4 6" xfId="19010"/>
    <cellStyle name="Comma 7 3 4 5" xfId="19011"/>
    <cellStyle name="Comma 7 3 4 5 2" xfId="19012"/>
    <cellStyle name="Comma 7 3 4 5 2 2" xfId="19013"/>
    <cellStyle name="Comma 7 3 4 5 3" xfId="19014"/>
    <cellStyle name="Comma 7 3 4 5 3 2" xfId="19015"/>
    <cellStyle name="Comma 7 3 4 5 4" xfId="19016"/>
    <cellStyle name="Comma 7 3 4 5 5" xfId="19017"/>
    <cellStyle name="Comma 7 3 4 6" xfId="19018"/>
    <cellStyle name="Comma 7 3 4 6 2" xfId="19019"/>
    <cellStyle name="Comma 7 3 4 7" xfId="19020"/>
    <cellStyle name="Comma 7 3 4 7 2" xfId="19021"/>
    <cellStyle name="Comma 7 3 4 8" xfId="19022"/>
    <cellStyle name="Comma 7 3 4 8 2" xfId="19023"/>
    <cellStyle name="Comma 7 3 4 9" xfId="19024"/>
    <cellStyle name="Comma 7 3 5" xfId="19025"/>
    <cellStyle name="Comma 7 3 5 2" xfId="19026"/>
    <cellStyle name="Comma 7 3 5 2 2" xfId="19027"/>
    <cellStyle name="Comma 7 3 5 3" xfId="19028"/>
    <cellStyle name="Comma 7 3 5 3 2" xfId="19029"/>
    <cellStyle name="Comma 7 3 5 4" xfId="19030"/>
    <cellStyle name="Comma 7 3 5 4 2" xfId="19031"/>
    <cellStyle name="Comma 7 3 5 5" xfId="19032"/>
    <cellStyle name="Comma 7 3 5 6" xfId="19033"/>
    <cellStyle name="Comma 7 3 6" xfId="19034"/>
    <cellStyle name="Comma 7 3 6 2" xfId="19035"/>
    <cellStyle name="Comma 7 3 6 2 2" xfId="19036"/>
    <cellStyle name="Comma 7 3 6 3" xfId="19037"/>
    <cellStyle name="Comma 7 3 6 3 2" xfId="19038"/>
    <cellStyle name="Comma 7 3 6 4" xfId="19039"/>
    <cellStyle name="Comma 7 3 6 4 2" xfId="19040"/>
    <cellStyle name="Comma 7 3 6 5" xfId="19041"/>
    <cellStyle name="Comma 7 3 6 6" xfId="19042"/>
    <cellStyle name="Comma 7 3 7" xfId="19043"/>
    <cellStyle name="Comma 7 3 7 2" xfId="19044"/>
    <cellStyle name="Comma 7 3 7 2 2" xfId="19045"/>
    <cellStyle name="Comma 7 3 7 3" xfId="19046"/>
    <cellStyle name="Comma 7 3 7 3 2" xfId="19047"/>
    <cellStyle name="Comma 7 3 7 4" xfId="19048"/>
    <cellStyle name="Comma 7 3 7 4 2" xfId="19049"/>
    <cellStyle name="Comma 7 3 7 5" xfId="19050"/>
    <cellStyle name="Comma 7 3 7 6" xfId="19051"/>
    <cellStyle name="Comma 7 3 8" xfId="19052"/>
    <cellStyle name="Comma 7 3 8 2" xfId="19053"/>
    <cellStyle name="Comma 7 3 8 2 2" xfId="19054"/>
    <cellStyle name="Comma 7 3 8 3" xfId="19055"/>
    <cellStyle name="Comma 7 3 8 3 2" xfId="19056"/>
    <cellStyle name="Comma 7 3 8 4" xfId="19057"/>
    <cellStyle name="Comma 7 3 8 5" xfId="19058"/>
    <cellStyle name="Comma 7 3 9" xfId="19059"/>
    <cellStyle name="Comma 7 3 9 2" xfId="19060"/>
    <cellStyle name="Comma 7 4" xfId="11681"/>
    <cellStyle name="Comma 7 4 10" xfId="19062"/>
    <cellStyle name="Comma 7 4 10 2" xfId="19063"/>
    <cellStyle name="Comma 7 4 11" xfId="19064"/>
    <cellStyle name="Comma 7 4 12" xfId="19065"/>
    <cellStyle name="Comma 7 4 13" xfId="19061"/>
    <cellStyle name="Comma 7 4 2" xfId="19066"/>
    <cellStyle name="Comma 7 4 2 10" xfId="19067"/>
    <cellStyle name="Comma 7 4 2 2" xfId="19068"/>
    <cellStyle name="Comma 7 4 2 2 2" xfId="19069"/>
    <cellStyle name="Comma 7 4 2 2 2 2" xfId="19070"/>
    <cellStyle name="Comma 7 4 2 2 3" xfId="19071"/>
    <cellStyle name="Comma 7 4 2 2 3 2" xfId="19072"/>
    <cellStyle name="Comma 7 4 2 2 4" xfId="19073"/>
    <cellStyle name="Comma 7 4 2 2 4 2" xfId="19074"/>
    <cellStyle name="Comma 7 4 2 2 5" xfId="19075"/>
    <cellStyle name="Comma 7 4 2 2 6" xfId="19076"/>
    <cellStyle name="Comma 7 4 2 3" xfId="19077"/>
    <cellStyle name="Comma 7 4 2 3 2" xfId="19078"/>
    <cellStyle name="Comma 7 4 2 3 2 2" xfId="19079"/>
    <cellStyle name="Comma 7 4 2 3 3" xfId="19080"/>
    <cellStyle name="Comma 7 4 2 3 3 2" xfId="19081"/>
    <cellStyle name="Comma 7 4 2 3 4" xfId="19082"/>
    <cellStyle name="Comma 7 4 2 3 4 2" xfId="19083"/>
    <cellStyle name="Comma 7 4 2 3 5" xfId="19084"/>
    <cellStyle name="Comma 7 4 2 3 6" xfId="19085"/>
    <cellStyle name="Comma 7 4 2 4" xfId="19086"/>
    <cellStyle name="Comma 7 4 2 4 2" xfId="19087"/>
    <cellStyle name="Comma 7 4 2 4 2 2" xfId="19088"/>
    <cellStyle name="Comma 7 4 2 4 3" xfId="19089"/>
    <cellStyle name="Comma 7 4 2 4 3 2" xfId="19090"/>
    <cellStyle name="Comma 7 4 2 4 4" xfId="19091"/>
    <cellStyle name="Comma 7 4 2 4 4 2" xfId="19092"/>
    <cellStyle name="Comma 7 4 2 4 5" xfId="19093"/>
    <cellStyle name="Comma 7 4 2 4 6" xfId="19094"/>
    <cellStyle name="Comma 7 4 2 5" xfId="19095"/>
    <cellStyle name="Comma 7 4 2 5 2" xfId="19096"/>
    <cellStyle name="Comma 7 4 2 5 2 2" xfId="19097"/>
    <cellStyle name="Comma 7 4 2 5 3" xfId="19098"/>
    <cellStyle name="Comma 7 4 2 5 3 2" xfId="19099"/>
    <cellStyle name="Comma 7 4 2 5 4" xfId="19100"/>
    <cellStyle name="Comma 7 4 2 5 5" xfId="19101"/>
    <cellStyle name="Comma 7 4 2 6" xfId="19102"/>
    <cellStyle name="Comma 7 4 2 6 2" xfId="19103"/>
    <cellStyle name="Comma 7 4 2 7" xfId="19104"/>
    <cellStyle name="Comma 7 4 2 7 2" xfId="19105"/>
    <cellStyle name="Comma 7 4 2 8" xfId="19106"/>
    <cellStyle name="Comma 7 4 2 8 2" xfId="19107"/>
    <cellStyle name="Comma 7 4 2 9" xfId="19108"/>
    <cellStyle name="Comma 7 4 3" xfId="19109"/>
    <cellStyle name="Comma 7 4 3 10" xfId="19110"/>
    <cellStyle name="Comma 7 4 3 2" xfId="19111"/>
    <cellStyle name="Comma 7 4 3 2 2" xfId="19112"/>
    <cellStyle name="Comma 7 4 3 2 2 2" xfId="19113"/>
    <cellStyle name="Comma 7 4 3 2 3" xfId="19114"/>
    <cellStyle name="Comma 7 4 3 2 3 2" xfId="19115"/>
    <cellStyle name="Comma 7 4 3 2 4" xfId="19116"/>
    <cellStyle name="Comma 7 4 3 2 4 2" xfId="19117"/>
    <cellStyle name="Comma 7 4 3 2 5" xfId="19118"/>
    <cellStyle name="Comma 7 4 3 2 6" xfId="19119"/>
    <cellStyle name="Comma 7 4 3 3" xfId="19120"/>
    <cellStyle name="Comma 7 4 3 3 2" xfId="19121"/>
    <cellStyle name="Comma 7 4 3 3 2 2" xfId="19122"/>
    <cellStyle name="Comma 7 4 3 3 3" xfId="19123"/>
    <cellStyle name="Comma 7 4 3 3 3 2" xfId="19124"/>
    <cellStyle name="Comma 7 4 3 3 4" xfId="19125"/>
    <cellStyle name="Comma 7 4 3 3 4 2" xfId="19126"/>
    <cellStyle name="Comma 7 4 3 3 5" xfId="19127"/>
    <cellStyle name="Comma 7 4 3 3 6" xfId="19128"/>
    <cellStyle name="Comma 7 4 3 4" xfId="19129"/>
    <cellStyle name="Comma 7 4 3 4 2" xfId="19130"/>
    <cellStyle name="Comma 7 4 3 4 2 2" xfId="19131"/>
    <cellStyle name="Comma 7 4 3 4 3" xfId="19132"/>
    <cellStyle name="Comma 7 4 3 4 3 2" xfId="19133"/>
    <cellStyle name="Comma 7 4 3 4 4" xfId="19134"/>
    <cellStyle name="Comma 7 4 3 4 4 2" xfId="19135"/>
    <cellStyle name="Comma 7 4 3 4 5" xfId="19136"/>
    <cellStyle name="Comma 7 4 3 4 6" xfId="19137"/>
    <cellStyle name="Comma 7 4 3 5" xfId="19138"/>
    <cellStyle name="Comma 7 4 3 5 2" xfId="19139"/>
    <cellStyle name="Comma 7 4 3 5 2 2" xfId="19140"/>
    <cellStyle name="Comma 7 4 3 5 3" xfId="19141"/>
    <cellStyle name="Comma 7 4 3 5 3 2" xfId="19142"/>
    <cellStyle name="Comma 7 4 3 5 4" xfId="19143"/>
    <cellStyle name="Comma 7 4 3 5 5" xfId="19144"/>
    <cellStyle name="Comma 7 4 3 6" xfId="19145"/>
    <cellStyle name="Comma 7 4 3 6 2" xfId="19146"/>
    <cellStyle name="Comma 7 4 3 7" xfId="19147"/>
    <cellStyle name="Comma 7 4 3 7 2" xfId="19148"/>
    <cellStyle name="Comma 7 4 3 8" xfId="19149"/>
    <cellStyle name="Comma 7 4 3 8 2" xfId="19150"/>
    <cellStyle name="Comma 7 4 3 9" xfId="19151"/>
    <cellStyle name="Comma 7 4 4" xfId="19152"/>
    <cellStyle name="Comma 7 4 4 2" xfId="19153"/>
    <cellStyle name="Comma 7 4 4 2 2" xfId="19154"/>
    <cellStyle name="Comma 7 4 4 3" xfId="19155"/>
    <cellStyle name="Comma 7 4 4 3 2" xfId="19156"/>
    <cellStyle name="Comma 7 4 4 4" xfId="19157"/>
    <cellStyle name="Comma 7 4 4 4 2" xfId="19158"/>
    <cellStyle name="Comma 7 4 4 5" xfId="19159"/>
    <cellStyle name="Comma 7 4 4 6" xfId="19160"/>
    <cellStyle name="Comma 7 4 5" xfId="19161"/>
    <cellStyle name="Comma 7 4 5 2" xfId="19162"/>
    <cellStyle name="Comma 7 4 5 2 2" xfId="19163"/>
    <cellStyle name="Comma 7 4 5 3" xfId="19164"/>
    <cellStyle name="Comma 7 4 5 3 2" xfId="19165"/>
    <cellStyle name="Comma 7 4 5 4" xfId="19166"/>
    <cellStyle name="Comma 7 4 5 4 2" xfId="19167"/>
    <cellStyle name="Comma 7 4 5 5" xfId="19168"/>
    <cellStyle name="Comma 7 4 5 6" xfId="19169"/>
    <cellStyle name="Comma 7 4 6" xfId="19170"/>
    <cellStyle name="Comma 7 4 6 2" xfId="19171"/>
    <cellStyle name="Comma 7 4 6 2 2" xfId="19172"/>
    <cellStyle name="Comma 7 4 6 3" xfId="19173"/>
    <cellStyle name="Comma 7 4 6 3 2" xfId="19174"/>
    <cellStyle name="Comma 7 4 6 4" xfId="19175"/>
    <cellStyle name="Comma 7 4 6 4 2" xfId="19176"/>
    <cellStyle name="Comma 7 4 6 5" xfId="19177"/>
    <cellStyle name="Comma 7 4 6 6" xfId="19178"/>
    <cellStyle name="Comma 7 4 7" xfId="19179"/>
    <cellStyle name="Comma 7 4 7 2" xfId="19180"/>
    <cellStyle name="Comma 7 4 7 2 2" xfId="19181"/>
    <cellStyle name="Comma 7 4 7 3" xfId="19182"/>
    <cellStyle name="Comma 7 4 7 3 2" xfId="19183"/>
    <cellStyle name="Comma 7 4 7 4" xfId="19184"/>
    <cellStyle name="Comma 7 4 7 5" xfId="19185"/>
    <cellStyle name="Comma 7 4 8" xfId="19186"/>
    <cellStyle name="Comma 7 4 8 2" xfId="19187"/>
    <cellStyle name="Comma 7 4 9" xfId="19188"/>
    <cellStyle name="Comma 7 4 9 2" xfId="19189"/>
    <cellStyle name="Comma 7 5" xfId="19190"/>
    <cellStyle name="Comma 7 5 10" xfId="19191"/>
    <cellStyle name="Comma 7 5 11" xfId="19192"/>
    <cellStyle name="Comma 7 5 2" xfId="19193"/>
    <cellStyle name="Comma 7 5 2 2" xfId="19194"/>
    <cellStyle name="Comma 7 5 2 2 2" xfId="19195"/>
    <cellStyle name="Comma 7 5 2 3" xfId="19196"/>
    <cellStyle name="Comma 7 5 2 3 2" xfId="19197"/>
    <cellStyle name="Comma 7 5 2 4" xfId="19198"/>
    <cellStyle name="Comma 7 5 2 4 2" xfId="19199"/>
    <cellStyle name="Comma 7 5 2 5" xfId="19200"/>
    <cellStyle name="Comma 7 5 2 6" xfId="19201"/>
    <cellStyle name="Comma 7 5 3" xfId="19202"/>
    <cellStyle name="Comma 7 5 3 2" xfId="19203"/>
    <cellStyle name="Comma 7 5 3 2 2" xfId="19204"/>
    <cellStyle name="Comma 7 5 3 3" xfId="19205"/>
    <cellStyle name="Comma 7 5 3 3 2" xfId="19206"/>
    <cellStyle name="Comma 7 5 3 4" xfId="19207"/>
    <cellStyle name="Comma 7 5 3 4 2" xfId="19208"/>
    <cellStyle name="Comma 7 5 3 5" xfId="19209"/>
    <cellStyle name="Comma 7 5 3 6" xfId="19210"/>
    <cellStyle name="Comma 7 5 4" xfId="19211"/>
    <cellStyle name="Comma 7 5 4 2" xfId="19212"/>
    <cellStyle name="Comma 7 5 4 2 2" xfId="19213"/>
    <cellStyle name="Comma 7 5 4 3" xfId="19214"/>
    <cellStyle name="Comma 7 5 4 3 2" xfId="19215"/>
    <cellStyle name="Comma 7 5 4 4" xfId="19216"/>
    <cellStyle name="Comma 7 5 4 4 2" xfId="19217"/>
    <cellStyle name="Comma 7 5 4 5" xfId="19218"/>
    <cellStyle name="Comma 7 5 4 6" xfId="19219"/>
    <cellStyle name="Comma 7 5 5" xfId="19220"/>
    <cellStyle name="Comma 7 5 5 2" xfId="19221"/>
    <cellStyle name="Comma 7 5 5 2 2" xfId="19222"/>
    <cellStyle name="Comma 7 5 5 3" xfId="19223"/>
    <cellStyle name="Comma 7 5 5 3 2" xfId="19224"/>
    <cellStyle name="Comma 7 5 5 4" xfId="19225"/>
    <cellStyle name="Comma 7 5 5 4 2" xfId="19226"/>
    <cellStyle name="Comma 7 5 5 5" xfId="19227"/>
    <cellStyle name="Comma 7 5 5 6" xfId="19228"/>
    <cellStyle name="Comma 7 5 6" xfId="19229"/>
    <cellStyle name="Comma 7 5 6 2" xfId="19230"/>
    <cellStyle name="Comma 7 5 6 2 2" xfId="19231"/>
    <cellStyle name="Comma 7 5 6 3" xfId="19232"/>
    <cellStyle name="Comma 7 5 6 3 2" xfId="19233"/>
    <cellStyle name="Comma 7 5 6 4" xfId="19234"/>
    <cellStyle name="Comma 7 5 6 5" xfId="19235"/>
    <cellStyle name="Comma 7 5 7" xfId="19236"/>
    <cellStyle name="Comma 7 5 7 2" xfId="19237"/>
    <cellStyle name="Comma 7 5 8" xfId="19238"/>
    <cellStyle name="Comma 7 5 8 2" xfId="19239"/>
    <cellStyle name="Comma 7 5 9" xfId="19240"/>
    <cellStyle name="Comma 7 5 9 2" xfId="19241"/>
    <cellStyle name="Comma 7 6" xfId="19242"/>
    <cellStyle name="Comma 7 6 10" xfId="19243"/>
    <cellStyle name="Comma 7 6 2" xfId="19244"/>
    <cellStyle name="Comma 7 6 2 2" xfId="19245"/>
    <cellStyle name="Comma 7 6 2 2 2" xfId="19246"/>
    <cellStyle name="Comma 7 6 2 3" xfId="19247"/>
    <cellStyle name="Comma 7 6 2 3 2" xfId="19248"/>
    <cellStyle name="Comma 7 6 2 4" xfId="19249"/>
    <cellStyle name="Comma 7 6 2 4 2" xfId="19250"/>
    <cellStyle name="Comma 7 6 2 5" xfId="19251"/>
    <cellStyle name="Comma 7 6 2 6" xfId="19252"/>
    <cellStyle name="Comma 7 6 3" xfId="19253"/>
    <cellStyle name="Comma 7 6 3 2" xfId="19254"/>
    <cellStyle name="Comma 7 6 3 2 2" xfId="19255"/>
    <cellStyle name="Comma 7 6 3 3" xfId="19256"/>
    <cellStyle name="Comma 7 6 3 3 2" xfId="19257"/>
    <cellStyle name="Comma 7 6 3 4" xfId="19258"/>
    <cellStyle name="Comma 7 6 3 4 2" xfId="19259"/>
    <cellStyle name="Comma 7 6 3 5" xfId="19260"/>
    <cellStyle name="Comma 7 6 3 6" xfId="19261"/>
    <cellStyle name="Comma 7 6 4" xfId="19262"/>
    <cellStyle name="Comma 7 6 4 2" xfId="19263"/>
    <cellStyle name="Comma 7 6 4 2 2" xfId="19264"/>
    <cellStyle name="Comma 7 6 4 3" xfId="19265"/>
    <cellStyle name="Comma 7 6 4 3 2" xfId="19266"/>
    <cellStyle name="Comma 7 6 4 4" xfId="19267"/>
    <cellStyle name="Comma 7 6 4 4 2" xfId="19268"/>
    <cellStyle name="Comma 7 6 4 5" xfId="19269"/>
    <cellStyle name="Comma 7 6 4 6" xfId="19270"/>
    <cellStyle name="Comma 7 6 5" xfId="19271"/>
    <cellStyle name="Comma 7 6 5 2" xfId="19272"/>
    <cellStyle name="Comma 7 6 5 2 2" xfId="19273"/>
    <cellStyle name="Comma 7 6 5 3" xfId="19274"/>
    <cellStyle name="Comma 7 6 5 3 2" xfId="19275"/>
    <cellStyle name="Comma 7 6 5 4" xfId="19276"/>
    <cellStyle name="Comma 7 6 5 5" xfId="19277"/>
    <cellStyle name="Comma 7 6 6" xfId="19278"/>
    <cellStyle name="Comma 7 6 6 2" xfId="19279"/>
    <cellStyle name="Comma 7 6 7" xfId="19280"/>
    <cellStyle name="Comma 7 6 7 2" xfId="19281"/>
    <cellStyle name="Comma 7 6 8" xfId="19282"/>
    <cellStyle name="Comma 7 6 8 2" xfId="19283"/>
    <cellStyle name="Comma 7 6 9" xfId="19284"/>
    <cellStyle name="Comma 7 7" xfId="19285"/>
    <cellStyle name="Comma 7 7 10" xfId="19286"/>
    <cellStyle name="Comma 7 7 2" xfId="19287"/>
    <cellStyle name="Comma 7 7 2 2" xfId="19288"/>
    <cellStyle name="Comma 7 7 2 2 2" xfId="19289"/>
    <cellStyle name="Comma 7 7 2 3" xfId="19290"/>
    <cellStyle name="Comma 7 7 2 3 2" xfId="19291"/>
    <cellStyle name="Comma 7 7 2 4" xfId="19292"/>
    <cellStyle name="Comma 7 7 2 4 2" xfId="19293"/>
    <cellStyle name="Comma 7 7 2 5" xfId="19294"/>
    <cellStyle name="Comma 7 7 2 6" xfId="19295"/>
    <cellStyle name="Comma 7 7 3" xfId="19296"/>
    <cellStyle name="Comma 7 7 3 2" xfId="19297"/>
    <cellStyle name="Comma 7 7 3 2 2" xfId="19298"/>
    <cellStyle name="Comma 7 7 3 3" xfId="19299"/>
    <cellStyle name="Comma 7 7 3 3 2" xfId="19300"/>
    <cellStyle name="Comma 7 7 3 4" xfId="19301"/>
    <cellStyle name="Comma 7 7 3 4 2" xfId="19302"/>
    <cellStyle name="Comma 7 7 3 5" xfId="19303"/>
    <cellStyle name="Comma 7 7 3 6" xfId="19304"/>
    <cellStyle name="Comma 7 7 4" xfId="19305"/>
    <cellStyle name="Comma 7 7 4 2" xfId="19306"/>
    <cellStyle name="Comma 7 7 4 2 2" xfId="19307"/>
    <cellStyle name="Comma 7 7 4 3" xfId="19308"/>
    <cellStyle name="Comma 7 7 4 3 2" xfId="19309"/>
    <cellStyle name="Comma 7 7 4 4" xfId="19310"/>
    <cellStyle name="Comma 7 7 4 4 2" xfId="19311"/>
    <cellStyle name="Comma 7 7 4 5" xfId="19312"/>
    <cellStyle name="Comma 7 7 4 6" xfId="19313"/>
    <cellStyle name="Comma 7 7 5" xfId="19314"/>
    <cellStyle name="Comma 7 7 5 2" xfId="19315"/>
    <cellStyle name="Comma 7 7 5 2 2" xfId="19316"/>
    <cellStyle name="Comma 7 7 5 3" xfId="19317"/>
    <cellStyle name="Comma 7 7 5 3 2" xfId="19318"/>
    <cellStyle name="Comma 7 7 5 4" xfId="19319"/>
    <cellStyle name="Comma 7 7 5 5" xfId="19320"/>
    <cellStyle name="Comma 7 7 6" xfId="19321"/>
    <cellStyle name="Comma 7 7 6 2" xfId="19322"/>
    <cellStyle name="Comma 7 7 7" xfId="19323"/>
    <cellStyle name="Comma 7 7 7 2" xfId="19324"/>
    <cellStyle name="Comma 7 7 8" xfId="19325"/>
    <cellStyle name="Comma 7 7 8 2" xfId="19326"/>
    <cellStyle name="Comma 7 7 9" xfId="19327"/>
    <cellStyle name="Comma 7 8" xfId="19328"/>
    <cellStyle name="Comma 7 8 2" xfId="19329"/>
    <cellStyle name="Comma 7 8 2 2" xfId="19330"/>
    <cellStyle name="Comma 7 8 3" xfId="19331"/>
    <cellStyle name="Comma 7 8 3 2" xfId="19332"/>
    <cellStyle name="Comma 7 8 4" xfId="19333"/>
    <cellStyle name="Comma 7 8 4 2" xfId="19334"/>
    <cellStyle name="Comma 7 8 5" xfId="19335"/>
    <cellStyle name="Comma 7 8 6" xfId="19336"/>
    <cellStyle name="Comma 7 9" xfId="19337"/>
    <cellStyle name="Comma 7 9 2" xfId="19338"/>
    <cellStyle name="Comma 7 9 2 2" xfId="19339"/>
    <cellStyle name="Comma 7 9 3" xfId="19340"/>
    <cellStyle name="Comma 7 9 3 2" xfId="19341"/>
    <cellStyle name="Comma 7 9 4" xfId="19342"/>
    <cellStyle name="Comma 7 9 4 2" xfId="19343"/>
    <cellStyle name="Comma 7 9 5" xfId="19344"/>
    <cellStyle name="Comma 7 9 6" xfId="19345"/>
    <cellStyle name="Comma 70" xfId="19346"/>
    <cellStyle name="Comma 71" xfId="19347"/>
    <cellStyle name="Comma 72" xfId="19348"/>
    <cellStyle name="Comma 73" xfId="19349"/>
    <cellStyle name="Comma 74" xfId="19350"/>
    <cellStyle name="Comma 75" xfId="19351"/>
    <cellStyle name="Comma 76" xfId="43978"/>
    <cellStyle name="Comma 8" xfId="10875"/>
    <cellStyle name="Comma 8 10" xfId="19352"/>
    <cellStyle name="Comma 8 10 2" xfId="19353"/>
    <cellStyle name="Comma 8 10 2 2" xfId="19354"/>
    <cellStyle name="Comma 8 10 3" xfId="19355"/>
    <cellStyle name="Comma 8 10 3 2" xfId="19356"/>
    <cellStyle name="Comma 8 10 4" xfId="19357"/>
    <cellStyle name="Comma 8 10 4 2" xfId="19358"/>
    <cellStyle name="Comma 8 10 5" xfId="19359"/>
    <cellStyle name="Comma 8 10 6" xfId="19360"/>
    <cellStyle name="Comma 8 11" xfId="19361"/>
    <cellStyle name="Comma 8 11 2" xfId="19362"/>
    <cellStyle name="Comma 8 11 2 2" xfId="19363"/>
    <cellStyle name="Comma 8 11 3" xfId="19364"/>
    <cellStyle name="Comma 8 11 3 2" xfId="19365"/>
    <cellStyle name="Comma 8 11 4" xfId="19366"/>
    <cellStyle name="Comma 8 11 5" xfId="19367"/>
    <cellStyle name="Comma 8 12" xfId="19368"/>
    <cellStyle name="Comma 8 12 2" xfId="19369"/>
    <cellStyle name="Comma 8 13" xfId="19370"/>
    <cellStyle name="Comma 8 13 2" xfId="19371"/>
    <cellStyle name="Comma 8 14" xfId="19372"/>
    <cellStyle name="Comma 8 14 2" xfId="19373"/>
    <cellStyle name="Comma 8 15" xfId="19374"/>
    <cellStyle name="Comma 8 16" xfId="19375"/>
    <cellStyle name="Comma 8 17" xfId="19376"/>
    <cellStyle name="Comma 8 18" xfId="15092"/>
    <cellStyle name="Comma 8 2" xfId="11687"/>
    <cellStyle name="Comma 8 2 10" xfId="19378"/>
    <cellStyle name="Comma 8 2 10 2" xfId="19379"/>
    <cellStyle name="Comma 8 2 11" xfId="19380"/>
    <cellStyle name="Comma 8 2 11 2" xfId="19381"/>
    <cellStyle name="Comma 8 2 12" xfId="19382"/>
    <cellStyle name="Comma 8 2 13" xfId="19383"/>
    <cellStyle name="Comma 8 2 14" xfId="19377"/>
    <cellStyle name="Comma 8 2 2" xfId="19384"/>
    <cellStyle name="Comma 8 2 2 10" xfId="19385"/>
    <cellStyle name="Comma 8 2 2 11" xfId="19386"/>
    <cellStyle name="Comma 8 2 2 2" xfId="19387"/>
    <cellStyle name="Comma 8 2 2 2 2" xfId="19388"/>
    <cellStyle name="Comma 8 2 2 2 2 2" xfId="19389"/>
    <cellStyle name="Comma 8 2 2 2 3" xfId="19390"/>
    <cellStyle name="Comma 8 2 2 2 3 2" xfId="19391"/>
    <cellStyle name="Comma 8 2 2 2 4" xfId="19392"/>
    <cellStyle name="Comma 8 2 2 2 4 2" xfId="19393"/>
    <cellStyle name="Comma 8 2 2 2 5" xfId="19394"/>
    <cellStyle name="Comma 8 2 2 2 6" xfId="19395"/>
    <cellStyle name="Comma 8 2 2 3" xfId="19396"/>
    <cellStyle name="Comma 8 2 2 3 2" xfId="19397"/>
    <cellStyle name="Comma 8 2 2 3 2 2" xfId="19398"/>
    <cellStyle name="Comma 8 2 2 3 3" xfId="19399"/>
    <cellStyle name="Comma 8 2 2 3 3 2" xfId="19400"/>
    <cellStyle name="Comma 8 2 2 3 4" xfId="19401"/>
    <cellStyle name="Comma 8 2 2 3 4 2" xfId="19402"/>
    <cellStyle name="Comma 8 2 2 3 5" xfId="19403"/>
    <cellStyle name="Comma 8 2 2 3 6" xfId="19404"/>
    <cellStyle name="Comma 8 2 2 4" xfId="19405"/>
    <cellStyle name="Comma 8 2 2 4 2" xfId="19406"/>
    <cellStyle name="Comma 8 2 2 4 2 2" xfId="19407"/>
    <cellStyle name="Comma 8 2 2 4 3" xfId="19408"/>
    <cellStyle name="Comma 8 2 2 4 3 2" xfId="19409"/>
    <cellStyle name="Comma 8 2 2 4 4" xfId="19410"/>
    <cellStyle name="Comma 8 2 2 4 4 2" xfId="19411"/>
    <cellStyle name="Comma 8 2 2 4 5" xfId="19412"/>
    <cellStyle name="Comma 8 2 2 4 6" xfId="19413"/>
    <cellStyle name="Comma 8 2 2 5" xfId="19414"/>
    <cellStyle name="Comma 8 2 2 5 2" xfId="19415"/>
    <cellStyle name="Comma 8 2 2 5 2 2" xfId="19416"/>
    <cellStyle name="Comma 8 2 2 5 3" xfId="19417"/>
    <cellStyle name="Comma 8 2 2 5 3 2" xfId="19418"/>
    <cellStyle name="Comma 8 2 2 5 4" xfId="19419"/>
    <cellStyle name="Comma 8 2 2 5 4 2" xfId="19420"/>
    <cellStyle name="Comma 8 2 2 5 5" xfId="19421"/>
    <cellStyle name="Comma 8 2 2 5 6" xfId="19422"/>
    <cellStyle name="Comma 8 2 2 6" xfId="19423"/>
    <cellStyle name="Comma 8 2 2 6 2" xfId="19424"/>
    <cellStyle name="Comma 8 2 2 6 2 2" xfId="19425"/>
    <cellStyle name="Comma 8 2 2 6 3" xfId="19426"/>
    <cellStyle name="Comma 8 2 2 6 3 2" xfId="19427"/>
    <cellStyle name="Comma 8 2 2 6 4" xfId="19428"/>
    <cellStyle name="Comma 8 2 2 6 5" xfId="19429"/>
    <cellStyle name="Comma 8 2 2 7" xfId="19430"/>
    <cellStyle name="Comma 8 2 2 7 2" xfId="19431"/>
    <cellStyle name="Comma 8 2 2 8" xfId="19432"/>
    <cellStyle name="Comma 8 2 2 8 2" xfId="19433"/>
    <cellStyle name="Comma 8 2 2 9" xfId="19434"/>
    <cellStyle name="Comma 8 2 2 9 2" xfId="19435"/>
    <cellStyle name="Comma 8 2 3" xfId="19436"/>
    <cellStyle name="Comma 8 2 3 10" xfId="19437"/>
    <cellStyle name="Comma 8 2 3 2" xfId="19438"/>
    <cellStyle name="Comma 8 2 3 2 2" xfId="19439"/>
    <cellStyle name="Comma 8 2 3 2 2 2" xfId="19440"/>
    <cellStyle name="Comma 8 2 3 2 3" xfId="19441"/>
    <cellStyle name="Comma 8 2 3 2 3 2" xfId="19442"/>
    <cellStyle name="Comma 8 2 3 2 4" xfId="19443"/>
    <cellStyle name="Comma 8 2 3 2 4 2" xfId="19444"/>
    <cellStyle name="Comma 8 2 3 2 5" xfId="19445"/>
    <cellStyle name="Comma 8 2 3 2 6" xfId="19446"/>
    <cellStyle name="Comma 8 2 3 3" xfId="19447"/>
    <cellStyle name="Comma 8 2 3 3 2" xfId="19448"/>
    <cellStyle name="Comma 8 2 3 3 2 2" xfId="19449"/>
    <cellStyle name="Comma 8 2 3 3 3" xfId="19450"/>
    <cellStyle name="Comma 8 2 3 3 3 2" xfId="19451"/>
    <cellStyle name="Comma 8 2 3 3 4" xfId="19452"/>
    <cellStyle name="Comma 8 2 3 3 4 2" xfId="19453"/>
    <cellStyle name="Comma 8 2 3 3 5" xfId="19454"/>
    <cellStyle name="Comma 8 2 3 3 6" xfId="19455"/>
    <cellStyle name="Comma 8 2 3 4" xfId="19456"/>
    <cellStyle name="Comma 8 2 3 4 2" xfId="19457"/>
    <cellStyle name="Comma 8 2 3 4 2 2" xfId="19458"/>
    <cellStyle name="Comma 8 2 3 4 3" xfId="19459"/>
    <cellStyle name="Comma 8 2 3 4 3 2" xfId="19460"/>
    <cellStyle name="Comma 8 2 3 4 4" xfId="19461"/>
    <cellStyle name="Comma 8 2 3 4 4 2" xfId="19462"/>
    <cellStyle name="Comma 8 2 3 4 5" xfId="19463"/>
    <cellStyle name="Comma 8 2 3 4 6" xfId="19464"/>
    <cellStyle name="Comma 8 2 3 5" xfId="19465"/>
    <cellStyle name="Comma 8 2 3 5 2" xfId="19466"/>
    <cellStyle name="Comma 8 2 3 5 2 2" xfId="19467"/>
    <cellStyle name="Comma 8 2 3 5 3" xfId="19468"/>
    <cellStyle name="Comma 8 2 3 5 3 2" xfId="19469"/>
    <cellStyle name="Comma 8 2 3 5 4" xfId="19470"/>
    <cellStyle name="Comma 8 2 3 5 5" xfId="19471"/>
    <cellStyle name="Comma 8 2 3 6" xfId="19472"/>
    <cellStyle name="Comma 8 2 3 6 2" xfId="19473"/>
    <cellStyle name="Comma 8 2 3 7" xfId="19474"/>
    <cellStyle name="Comma 8 2 3 7 2" xfId="19475"/>
    <cellStyle name="Comma 8 2 3 8" xfId="19476"/>
    <cellStyle name="Comma 8 2 3 8 2" xfId="19477"/>
    <cellStyle name="Comma 8 2 3 9" xfId="19478"/>
    <cellStyle name="Comma 8 2 4" xfId="19479"/>
    <cellStyle name="Comma 8 2 4 10" xfId="19480"/>
    <cellStyle name="Comma 8 2 4 2" xfId="19481"/>
    <cellStyle name="Comma 8 2 4 2 2" xfId="19482"/>
    <cellStyle name="Comma 8 2 4 2 2 2" xfId="19483"/>
    <cellStyle name="Comma 8 2 4 2 3" xfId="19484"/>
    <cellStyle name="Comma 8 2 4 2 3 2" xfId="19485"/>
    <cellStyle name="Comma 8 2 4 2 4" xfId="19486"/>
    <cellStyle name="Comma 8 2 4 2 4 2" xfId="19487"/>
    <cellStyle name="Comma 8 2 4 2 5" xfId="19488"/>
    <cellStyle name="Comma 8 2 4 2 6" xfId="19489"/>
    <cellStyle name="Comma 8 2 4 3" xfId="19490"/>
    <cellStyle name="Comma 8 2 4 3 2" xfId="19491"/>
    <cellStyle name="Comma 8 2 4 3 2 2" xfId="19492"/>
    <cellStyle name="Comma 8 2 4 3 3" xfId="19493"/>
    <cellStyle name="Comma 8 2 4 3 3 2" xfId="19494"/>
    <cellStyle name="Comma 8 2 4 3 4" xfId="19495"/>
    <cellStyle name="Comma 8 2 4 3 4 2" xfId="19496"/>
    <cellStyle name="Comma 8 2 4 3 5" xfId="19497"/>
    <cellStyle name="Comma 8 2 4 3 6" xfId="19498"/>
    <cellStyle name="Comma 8 2 4 4" xfId="19499"/>
    <cellStyle name="Comma 8 2 4 4 2" xfId="19500"/>
    <cellStyle name="Comma 8 2 4 4 2 2" xfId="19501"/>
    <cellStyle name="Comma 8 2 4 4 3" xfId="19502"/>
    <cellStyle name="Comma 8 2 4 4 3 2" xfId="19503"/>
    <cellStyle name="Comma 8 2 4 4 4" xfId="19504"/>
    <cellStyle name="Comma 8 2 4 4 4 2" xfId="19505"/>
    <cellStyle name="Comma 8 2 4 4 5" xfId="19506"/>
    <cellStyle name="Comma 8 2 4 4 6" xfId="19507"/>
    <cellStyle name="Comma 8 2 4 5" xfId="19508"/>
    <cellStyle name="Comma 8 2 4 5 2" xfId="19509"/>
    <cellStyle name="Comma 8 2 4 5 2 2" xfId="19510"/>
    <cellStyle name="Comma 8 2 4 5 3" xfId="19511"/>
    <cellStyle name="Comma 8 2 4 5 3 2" xfId="19512"/>
    <cellStyle name="Comma 8 2 4 5 4" xfId="19513"/>
    <cellStyle name="Comma 8 2 4 5 5" xfId="19514"/>
    <cellStyle name="Comma 8 2 4 6" xfId="19515"/>
    <cellStyle name="Comma 8 2 4 6 2" xfId="19516"/>
    <cellStyle name="Comma 8 2 4 7" xfId="19517"/>
    <cellStyle name="Comma 8 2 4 7 2" xfId="19518"/>
    <cellStyle name="Comma 8 2 4 8" xfId="19519"/>
    <cellStyle name="Comma 8 2 4 8 2" xfId="19520"/>
    <cellStyle name="Comma 8 2 4 9" xfId="19521"/>
    <cellStyle name="Comma 8 2 5" xfId="19522"/>
    <cellStyle name="Comma 8 2 5 2" xfId="19523"/>
    <cellStyle name="Comma 8 2 5 2 2" xfId="19524"/>
    <cellStyle name="Comma 8 2 5 3" xfId="19525"/>
    <cellStyle name="Comma 8 2 5 3 2" xfId="19526"/>
    <cellStyle name="Comma 8 2 5 4" xfId="19527"/>
    <cellStyle name="Comma 8 2 5 4 2" xfId="19528"/>
    <cellStyle name="Comma 8 2 5 5" xfId="19529"/>
    <cellStyle name="Comma 8 2 5 6" xfId="19530"/>
    <cellStyle name="Comma 8 2 6" xfId="19531"/>
    <cellStyle name="Comma 8 2 6 2" xfId="19532"/>
    <cellStyle name="Comma 8 2 6 2 2" xfId="19533"/>
    <cellStyle name="Comma 8 2 6 3" xfId="19534"/>
    <cellStyle name="Comma 8 2 6 3 2" xfId="19535"/>
    <cellStyle name="Comma 8 2 6 4" xfId="19536"/>
    <cellStyle name="Comma 8 2 6 4 2" xfId="19537"/>
    <cellStyle name="Comma 8 2 6 5" xfId="19538"/>
    <cellStyle name="Comma 8 2 6 6" xfId="19539"/>
    <cellStyle name="Comma 8 2 7" xfId="19540"/>
    <cellStyle name="Comma 8 2 7 2" xfId="19541"/>
    <cellStyle name="Comma 8 2 7 2 2" xfId="19542"/>
    <cellStyle name="Comma 8 2 7 3" xfId="19543"/>
    <cellStyle name="Comma 8 2 7 3 2" xfId="19544"/>
    <cellStyle name="Comma 8 2 7 4" xfId="19545"/>
    <cellStyle name="Comma 8 2 7 4 2" xfId="19546"/>
    <cellStyle name="Comma 8 2 7 5" xfId="19547"/>
    <cellStyle name="Comma 8 2 7 6" xfId="19548"/>
    <cellStyle name="Comma 8 2 8" xfId="19549"/>
    <cellStyle name="Comma 8 2 8 2" xfId="19550"/>
    <cellStyle name="Comma 8 2 8 2 2" xfId="19551"/>
    <cellStyle name="Comma 8 2 8 3" xfId="19552"/>
    <cellStyle name="Comma 8 2 8 3 2" xfId="19553"/>
    <cellStyle name="Comma 8 2 8 4" xfId="19554"/>
    <cellStyle name="Comma 8 2 8 5" xfId="19555"/>
    <cellStyle name="Comma 8 2 9" xfId="19556"/>
    <cellStyle name="Comma 8 2 9 2" xfId="19557"/>
    <cellStyle name="Comma 8 3" xfId="11688"/>
    <cellStyle name="Comma 8 3 10" xfId="19559"/>
    <cellStyle name="Comma 8 3 10 2" xfId="19560"/>
    <cellStyle name="Comma 8 3 11" xfId="19561"/>
    <cellStyle name="Comma 8 3 11 2" xfId="19562"/>
    <cellStyle name="Comma 8 3 12" xfId="19563"/>
    <cellStyle name="Comma 8 3 13" xfId="19564"/>
    <cellStyle name="Comma 8 3 14" xfId="19558"/>
    <cellStyle name="Comma 8 3 2" xfId="19565"/>
    <cellStyle name="Comma 8 3 2 10" xfId="19566"/>
    <cellStyle name="Comma 8 3 2 11" xfId="19567"/>
    <cellStyle name="Comma 8 3 2 2" xfId="19568"/>
    <cellStyle name="Comma 8 3 2 2 2" xfId="19569"/>
    <cellStyle name="Comma 8 3 2 2 2 2" xfId="19570"/>
    <cellStyle name="Comma 8 3 2 2 3" xfId="19571"/>
    <cellStyle name="Comma 8 3 2 2 3 2" xfId="19572"/>
    <cellStyle name="Comma 8 3 2 2 4" xfId="19573"/>
    <cellStyle name="Comma 8 3 2 2 4 2" xfId="19574"/>
    <cellStyle name="Comma 8 3 2 2 5" xfId="19575"/>
    <cellStyle name="Comma 8 3 2 2 6" xfId="19576"/>
    <cellStyle name="Comma 8 3 2 3" xfId="19577"/>
    <cellStyle name="Comma 8 3 2 3 2" xfId="19578"/>
    <cellStyle name="Comma 8 3 2 3 2 2" xfId="19579"/>
    <cellStyle name="Comma 8 3 2 3 3" xfId="19580"/>
    <cellStyle name="Comma 8 3 2 3 3 2" xfId="19581"/>
    <cellStyle name="Comma 8 3 2 3 4" xfId="19582"/>
    <cellStyle name="Comma 8 3 2 3 4 2" xfId="19583"/>
    <cellStyle name="Comma 8 3 2 3 5" xfId="19584"/>
    <cellStyle name="Comma 8 3 2 3 6" xfId="19585"/>
    <cellStyle name="Comma 8 3 2 4" xfId="19586"/>
    <cellStyle name="Comma 8 3 2 4 2" xfId="19587"/>
    <cellStyle name="Comma 8 3 2 4 2 2" xfId="19588"/>
    <cellStyle name="Comma 8 3 2 4 3" xfId="19589"/>
    <cellStyle name="Comma 8 3 2 4 3 2" xfId="19590"/>
    <cellStyle name="Comma 8 3 2 4 4" xfId="19591"/>
    <cellStyle name="Comma 8 3 2 4 4 2" xfId="19592"/>
    <cellStyle name="Comma 8 3 2 4 5" xfId="19593"/>
    <cellStyle name="Comma 8 3 2 4 6" xfId="19594"/>
    <cellStyle name="Comma 8 3 2 5" xfId="19595"/>
    <cellStyle name="Comma 8 3 2 5 2" xfId="19596"/>
    <cellStyle name="Comma 8 3 2 5 2 2" xfId="19597"/>
    <cellStyle name="Comma 8 3 2 5 3" xfId="19598"/>
    <cellStyle name="Comma 8 3 2 5 3 2" xfId="19599"/>
    <cellStyle name="Comma 8 3 2 5 4" xfId="19600"/>
    <cellStyle name="Comma 8 3 2 5 4 2" xfId="19601"/>
    <cellStyle name="Comma 8 3 2 5 5" xfId="19602"/>
    <cellStyle name="Comma 8 3 2 5 6" xfId="19603"/>
    <cellStyle name="Comma 8 3 2 6" xfId="19604"/>
    <cellStyle name="Comma 8 3 2 6 2" xfId="19605"/>
    <cellStyle name="Comma 8 3 2 6 2 2" xfId="19606"/>
    <cellStyle name="Comma 8 3 2 6 3" xfId="19607"/>
    <cellStyle name="Comma 8 3 2 6 3 2" xfId="19608"/>
    <cellStyle name="Comma 8 3 2 6 4" xfId="19609"/>
    <cellStyle name="Comma 8 3 2 6 5" xfId="19610"/>
    <cellStyle name="Comma 8 3 2 7" xfId="19611"/>
    <cellStyle name="Comma 8 3 2 7 2" xfId="19612"/>
    <cellStyle name="Comma 8 3 2 8" xfId="19613"/>
    <cellStyle name="Comma 8 3 2 8 2" xfId="19614"/>
    <cellStyle name="Comma 8 3 2 9" xfId="19615"/>
    <cellStyle name="Comma 8 3 2 9 2" xfId="19616"/>
    <cellStyle name="Comma 8 3 3" xfId="19617"/>
    <cellStyle name="Comma 8 3 3 10" xfId="19618"/>
    <cellStyle name="Comma 8 3 3 2" xfId="19619"/>
    <cellStyle name="Comma 8 3 3 2 2" xfId="19620"/>
    <cellStyle name="Comma 8 3 3 2 2 2" xfId="19621"/>
    <cellStyle name="Comma 8 3 3 2 3" xfId="19622"/>
    <cellStyle name="Comma 8 3 3 2 3 2" xfId="19623"/>
    <cellStyle name="Comma 8 3 3 2 4" xfId="19624"/>
    <cellStyle name="Comma 8 3 3 2 4 2" xfId="19625"/>
    <cellStyle name="Comma 8 3 3 2 5" xfId="19626"/>
    <cellStyle name="Comma 8 3 3 2 6" xfId="19627"/>
    <cellStyle name="Comma 8 3 3 3" xfId="19628"/>
    <cellStyle name="Comma 8 3 3 3 2" xfId="19629"/>
    <cellStyle name="Comma 8 3 3 3 2 2" xfId="19630"/>
    <cellStyle name="Comma 8 3 3 3 3" xfId="19631"/>
    <cellStyle name="Comma 8 3 3 3 3 2" xfId="19632"/>
    <cellStyle name="Comma 8 3 3 3 4" xfId="19633"/>
    <cellStyle name="Comma 8 3 3 3 4 2" xfId="19634"/>
    <cellStyle name="Comma 8 3 3 3 5" xfId="19635"/>
    <cellStyle name="Comma 8 3 3 3 6" xfId="19636"/>
    <cellStyle name="Comma 8 3 3 4" xfId="19637"/>
    <cellStyle name="Comma 8 3 3 4 2" xfId="19638"/>
    <cellStyle name="Comma 8 3 3 4 2 2" xfId="19639"/>
    <cellStyle name="Comma 8 3 3 4 3" xfId="19640"/>
    <cellStyle name="Comma 8 3 3 4 3 2" xfId="19641"/>
    <cellStyle name="Comma 8 3 3 4 4" xfId="19642"/>
    <cellStyle name="Comma 8 3 3 4 4 2" xfId="19643"/>
    <cellStyle name="Comma 8 3 3 4 5" xfId="19644"/>
    <cellStyle name="Comma 8 3 3 4 6" xfId="19645"/>
    <cellStyle name="Comma 8 3 3 5" xfId="19646"/>
    <cellStyle name="Comma 8 3 3 5 2" xfId="19647"/>
    <cellStyle name="Comma 8 3 3 5 2 2" xfId="19648"/>
    <cellStyle name="Comma 8 3 3 5 3" xfId="19649"/>
    <cellStyle name="Comma 8 3 3 5 3 2" xfId="19650"/>
    <cellStyle name="Comma 8 3 3 5 4" xfId="19651"/>
    <cellStyle name="Comma 8 3 3 5 5" xfId="19652"/>
    <cellStyle name="Comma 8 3 3 6" xfId="19653"/>
    <cellStyle name="Comma 8 3 3 6 2" xfId="19654"/>
    <cellStyle name="Comma 8 3 3 7" xfId="19655"/>
    <cellStyle name="Comma 8 3 3 7 2" xfId="19656"/>
    <cellStyle name="Comma 8 3 3 8" xfId="19657"/>
    <cellStyle name="Comma 8 3 3 8 2" xfId="19658"/>
    <cellStyle name="Comma 8 3 3 9" xfId="19659"/>
    <cellStyle name="Comma 8 3 4" xfId="19660"/>
    <cellStyle name="Comma 8 3 4 10" xfId="19661"/>
    <cellStyle name="Comma 8 3 4 2" xfId="19662"/>
    <cellStyle name="Comma 8 3 4 2 2" xfId="19663"/>
    <cellStyle name="Comma 8 3 4 2 2 2" xfId="19664"/>
    <cellStyle name="Comma 8 3 4 2 3" xfId="19665"/>
    <cellStyle name="Comma 8 3 4 2 3 2" xfId="19666"/>
    <cellStyle name="Comma 8 3 4 2 4" xfId="19667"/>
    <cellStyle name="Comma 8 3 4 2 4 2" xfId="19668"/>
    <cellStyle name="Comma 8 3 4 2 5" xfId="19669"/>
    <cellStyle name="Comma 8 3 4 2 6" xfId="19670"/>
    <cellStyle name="Comma 8 3 4 3" xfId="19671"/>
    <cellStyle name="Comma 8 3 4 3 2" xfId="19672"/>
    <cellStyle name="Comma 8 3 4 3 2 2" xfId="19673"/>
    <cellStyle name="Comma 8 3 4 3 3" xfId="19674"/>
    <cellStyle name="Comma 8 3 4 3 3 2" xfId="19675"/>
    <cellStyle name="Comma 8 3 4 3 4" xfId="19676"/>
    <cellStyle name="Comma 8 3 4 3 4 2" xfId="19677"/>
    <cellStyle name="Comma 8 3 4 3 5" xfId="19678"/>
    <cellStyle name="Comma 8 3 4 3 6" xfId="19679"/>
    <cellStyle name="Comma 8 3 4 4" xfId="19680"/>
    <cellStyle name="Comma 8 3 4 4 2" xfId="19681"/>
    <cellStyle name="Comma 8 3 4 4 2 2" xfId="19682"/>
    <cellStyle name="Comma 8 3 4 4 3" xfId="19683"/>
    <cellStyle name="Comma 8 3 4 4 3 2" xfId="19684"/>
    <cellStyle name="Comma 8 3 4 4 4" xfId="19685"/>
    <cellStyle name="Comma 8 3 4 4 4 2" xfId="19686"/>
    <cellStyle name="Comma 8 3 4 4 5" xfId="19687"/>
    <cellStyle name="Comma 8 3 4 4 6" xfId="19688"/>
    <cellStyle name="Comma 8 3 4 5" xfId="19689"/>
    <cellStyle name="Comma 8 3 4 5 2" xfId="19690"/>
    <cellStyle name="Comma 8 3 4 5 2 2" xfId="19691"/>
    <cellStyle name="Comma 8 3 4 5 3" xfId="19692"/>
    <cellStyle name="Comma 8 3 4 5 3 2" xfId="19693"/>
    <cellStyle name="Comma 8 3 4 5 4" xfId="19694"/>
    <cellStyle name="Comma 8 3 4 5 5" xfId="19695"/>
    <cellStyle name="Comma 8 3 4 6" xfId="19696"/>
    <cellStyle name="Comma 8 3 4 6 2" xfId="19697"/>
    <cellStyle name="Comma 8 3 4 7" xfId="19698"/>
    <cellStyle name="Comma 8 3 4 7 2" xfId="19699"/>
    <cellStyle name="Comma 8 3 4 8" xfId="19700"/>
    <cellStyle name="Comma 8 3 4 8 2" xfId="19701"/>
    <cellStyle name="Comma 8 3 4 9" xfId="19702"/>
    <cellStyle name="Comma 8 3 5" xfId="19703"/>
    <cellStyle name="Comma 8 3 5 2" xfId="19704"/>
    <cellStyle name="Comma 8 3 5 2 2" xfId="19705"/>
    <cellStyle name="Comma 8 3 5 3" xfId="19706"/>
    <cellStyle name="Comma 8 3 5 3 2" xfId="19707"/>
    <cellStyle name="Comma 8 3 5 4" xfId="19708"/>
    <cellStyle name="Comma 8 3 5 4 2" xfId="19709"/>
    <cellStyle name="Comma 8 3 5 5" xfId="19710"/>
    <cellStyle name="Comma 8 3 5 6" xfId="19711"/>
    <cellStyle name="Comma 8 3 6" xfId="19712"/>
    <cellStyle name="Comma 8 3 6 2" xfId="19713"/>
    <cellStyle name="Comma 8 3 6 2 2" xfId="19714"/>
    <cellStyle name="Comma 8 3 6 3" xfId="19715"/>
    <cellStyle name="Comma 8 3 6 3 2" xfId="19716"/>
    <cellStyle name="Comma 8 3 6 4" xfId="19717"/>
    <cellStyle name="Comma 8 3 6 4 2" xfId="19718"/>
    <cellStyle name="Comma 8 3 6 5" xfId="19719"/>
    <cellStyle name="Comma 8 3 6 6" xfId="19720"/>
    <cellStyle name="Comma 8 3 7" xfId="19721"/>
    <cellStyle name="Comma 8 3 7 2" xfId="19722"/>
    <cellStyle name="Comma 8 3 7 2 2" xfId="19723"/>
    <cellStyle name="Comma 8 3 7 3" xfId="19724"/>
    <cellStyle name="Comma 8 3 7 3 2" xfId="19725"/>
    <cellStyle name="Comma 8 3 7 4" xfId="19726"/>
    <cellStyle name="Comma 8 3 7 4 2" xfId="19727"/>
    <cellStyle name="Comma 8 3 7 5" xfId="19728"/>
    <cellStyle name="Comma 8 3 7 6" xfId="19729"/>
    <cellStyle name="Comma 8 3 8" xfId="19730"/>
    <cellStyle name="Comma 8 3 8 2" xfId="19731"/>
    <cellStyle name="Comma 8 3 8 2 2" xfId="19732"/>
    <cellStyle name="Comma 8 3 8 3" xfId="19733"/>
    <cellStyle name="Comma 8 3 8 3 2" xfId="19734"/>
    <cellStyle name="Comma 8 3 8 4" xfId="19735"/>
    <cellStyle name="Comma 8 3 8 5" xfId="19736"/>
    <cellStyle name="Comma 8 3 9" xfId="19737"/>
    <cellStyle name="Comma 8 3 9 2" xfId="19738"/>
    <cellStyle name="Comma 8 4" xfId="11689"/>
    <cellStyle name="Comma 8 4 10" xfId="19740"/>
    <cellStyle name="Comma 8 4 10 2" xfId="19741"/>
    <cellStyle name="Comma 8 4 11" xfId="19742"/>
    <cellStyle name="Comma 8 4 12" xfId="19743"/>
    <cellStyle name="Comma 8 4 13" xfId="19739"/>
    <cellStyle name="Comma 8 4 2" xfId="19744"/>
    <cellStyle name="Comma 8 4 2 10" xfId="19745"/>
    <cellStyle name="Comma 8 4 2 2" xfId="19746"/>
    <cellStyle name="Comma 8 4 2 2 2" xfId="19747"/>
    <cellStyle name="Comma 8 4 2 2 2 2" xfId="19748"/>
    <cellStyle name="Comma 8 4 2 2 3" xfId="19749"/>
    <cellStyle name="Comma 8 4 2 2 3 2" xfId="19750"/>
    <cellStyle name="Comma 8 4 2 2 4" xfId="19751"/>
    <cellStyle name="Comma 8 4 2 2 4 2" xfId="19752"/>
    <cellStyle name="Comma 8 4 2 2 5" xfId="19753"/>
    <cellStyle name="Comma 8 4 2 2 6" xfId="19754"/>
    <cellStyle name="Comma 8 4 2 3" xfId="19755"/>
    <cellStyle name="Comma 8 4 2 3 2" xfId="19756"/>
    <cellStyle name="Comma 8 4 2 3 2 2" xfId="19757"/>
    <cellStyle name="Comma 8 4 2 3 3" xfId="19758"/>
    <cellStyle name="Comma 8 4 2 3 3 2" xfId="19759"/>
    <cellStyle name="Comma 8 4 2 3 4" xfId="19760"/>
    <cellStyle name="Comma 8 4 2 3 4 2" xfId="19761"/>
    <cellStyle name="Comma 8 4 2 3 5" xfId="19762"/>
    <cellStyle name="Comma 8 4 2 3 6" xfId="19763"/>
    <cellStyle name="Comma 8 4 2 4" xfId="19764"/>
    <cellStyle name="Comma 8 4 2 4 2" xfId="19765"/>
    <cellStyle name="Comma 8 4 2 4 2 2" xfId="19766"/>
    <cellStyle name="Comma 8 4 2 4 3" xfId="19767"/>
    <cellStyle name="Comma 8 4 2 4 3 2" xfId="19768"/>
    <cellStyle name="Comma 8 4 2 4 4" xfId="19769"/>
    <cellStyle name="Comma 8 4 2 4 4 2" xfId="19770"/>
    <cellStyle name="Comma 8 4 2 4 5" xfId="19771"/>
    <cellStyle name="Comma 8 4 2 4 6" xfId="19772"/>
    <cellStyle name="Comma 8 4 2 5" xfId="19773"/>
    <cellStyle name="Comma 8 4 2 5 2" xfId="19774"/>
    <cellStyle name="Comma 8 4 2 5 2 2" xfId="19775"/>
    <cellStyle name="Comma 8 4 2 5 3" xfId="19776"/>
    <cellStyle name="Comma 8 4 2 5 3 2" xfId="19777"/>
    <cellStyle name="Comma 8 4 2 5 4" xfId="19778"/>
    <cellStyle name="Comma 8 4 2 5 5" xfId="19779"/>
    <cellStyle name="Comma 8 4 2 6" xfId="19780"/>
    <cellStyle name="Comma 8 4 2 6 2" xfId="19781"/>
    <cellStyle name="Comma 8 4 2 7" xfId="19782"/>
    <cellStyle name="Comma 8 4 2 7 2" xfId="19783"/>
    <cellStyle name="Comma 8 4 2 8" xfId="19784"/>
    <cellStyle name="Comma 8 4 2 8 2" xfId="19785"/>
    <cellStyle name="Comma 8 4 2 9" xfId="19786"/>
    <cellStyle name="Comma 8 4 3" xfId="19787"/>
    <cellStyle name="Comma 8 4 3 10" xfId="19788"/>
    <cellStyle name="Comma 8 4 3 2" xfId="19789"/>
    <cellStyle name="Comma 8 4 3 2 2" xfId="19790"/>
    <cellStyle name="Comma 8 4 3 2 2 2" xfId="19791"/>
    <cellStyle name="Comma 8 4 3 2 3" xfId="19792"/>
    <cellStyle name="Comma 8 4 3 2 3 2" xfId="19793"/>
    <cellStyle name="Comma 8 4 3 2 4" xfId="19794"/>
    <cellStyle name="Comma 8 4 3 2 4 2" xfId="19795"/>
    <cellStyle name="Comma 8 4 3 2 5" xfId="19796"/>
    <cellStyle name="Comma 8 4 3 2 6" xfId="19797"/>
    <cellStyle name="Comma 8 4 3 3" xfId="19798"/>
    <cellStyle name="Comma 8 4 3 3 2" xfId="19799"/>
    <cellStyle name="Comma 8 4 3 3 2 2" xfId="19800"/>
    <cellStyle name="Comma 8 4 3 3 3" xfId="19801"/>
    <cellStyle name="Comma 8 4 3 3 3 2" xfId="19802"/>
    <cellStyle name="Comma 8 4 3 3 4" xfId="19803"/>
    <cellStyle name="Comma 8 4 3 3 4 2" xfId="19804"/>
    <cellStyle name="Comma 8 4 3 3 5" xfId="19805"/>
    <cellStyle name="Comma 8 4 3 3 6" xfId="19806"/>
    <cellStyle name="Comma 8 4 3 4" xfId="19807"/>
    <cellStyle name="Comma 8 4 3 4 2" xfId="19808"/>
    <cellStyle name="Comma 8 4 3 4 2 2" xfId="19809"/>
    <cellStyle name="Comma 8 4 3 4 3" xfId="19810"/>
    <cellStyle name="Comma 8 4 3 4 3 2" xfId="19811"/>
    <cellStyle name="Comma 8 4 3 4 4" xfId="19812"/>
    <cellStyle name="Comma 8 4 3 4 4 2" xfId="19813"/>
    <cellStyle name="Comma 8 4 3 4 5" xfId="19814"/>
    <cellStyle name="Comma 8 4 3 4 6" xfId="19815"/>
    <cellStyle name="Comma 8 4 3 5" xfId="19816"/>
    <cellStyle name="Comma 8 4 3 5 2" xfId="19817"/>
    <cellStyle name="Comma 8 4 3 5 2 2" xfId="19818"/>
    <cellStyle name="Comma 8 4 3 5 3" xfId="19819"/>
    <cellStyle name="Comma 8 4 3 5 3 2" xfId="19820"/>
    <cellStyle name="Comma 8 4 3 5 4" xfId="19821"/>
    <cellStyle name="Comma 8 4 3 5 5" xfId="19822"/>
    <cellStyle name="Comma 8 4 3 6" xfId="19823"/>
    <cellStyle name="Comma 8 4 3 6 2" xfId="19824"/>
    <cellStyle name="Comma 8 4 3 7" xfId="19825"/>
    <cellStyle name="Comma 8 4 3 7 2" xfId="19826"/>
    <cellStyle name="Comma 8 4 3 8" xfId="19827"/>
    <cellStyle name="Comma 8 4 3 8 2" xfId="19828"/>
    <cellStyle name="Comma 8 4 3 9" xfId="19829"/>
    <cellStyle name="Comma 8 4 4" xfId="19830"/>
    <cellStyle name="Comma 8 4 4 2" xfId="19831"/>
    <cellStyle name="Comma 8 4 4 2 2" xfId="19832"/>
    <cellStyle name="Comma 8 4 4 3" xfId="19833"/>
    <cellStyle name="Comma 8 4 4 3 2" xfId="19834"/>
    <cellStyle name="Comma 8 4 4 4" xfId="19835"/>
    <cellStyle name="Comma 8 4 4 4 2" xfId="19836"/>
    <cellStyle name="Comma 8 4 4 5" xfId="19837"/>
    <cellStyle name="Comma 8 4 4 6" xfId="19838"/>
    <cellStyle name="Comma 8 4 5" xfId="19839"/>
    <cellStyle name="Comma 8 4 5 2" xfId="19840"/>
    <cellStyle name="Comma 8 4 5 2 2" xfId="19841"/>
    <cellStyle name="Comma 8 4 5 3" xfId="19842"/>
    <cellStyle name="Comma 8 4 5 3 2" xfId="19843"/>
    <cellStyle name="Comma 8 4 5 4" xfId="19844"/>
    <cellStyle name="Comma 8 4 5 4 2" xfId="19845"/>
    <cellStyle name="Comma 8 4 5 5" xfId="19846"/>
    <cellStyle name="Comma 8 4 5 6" xfId="19847"/>
    <cellStyle name="Comma 8 4 6" xfId="19848"/>
    <cellStyle name="Comma 8 4 6 2" xfId="19849"/>
    <cellStyle name="Comma 8 4 6 2 2" xfId="19850"/>
    <cellStyle name="Comma 8 4 6 3" xfId="19851"/>
    <cellStyle name="Comma 8 4 6 3 2" xfId="19852"/>
    <cellStyle name="Comma 8 4 6 4" xfId="19853"/>
    <cellStyle name="Comma 8 4 6 4 2" xfId="19854"/>
    <cellStyle name="Comma 8 4 6 5" xfId="19855"/>
    <cellStyle name="Comma 8 4 6 6" xfId="19856"/>
    <cellStyle name="Comma 8 4 7" xfId="19857"/>
    <cellStyle name="Comma 8 4 7 2" xfId="19858"/>
    <cellStyle name="Comma 8 4 7 2 2" xfId="19859"/>
    <cellStyle name="Comma 8 4 7 3" xfId="19860"/>
    <cellStyle name="Comma 8 4 7 3 2" xfId="19861"/>
    <cellStyle name="Comma 8 4 7 4" xfId="19862"/>
    <cellStyle name="Comma 8 4 7 5" xfId="19863"/>
    <cellStyle name="Comma 8 4 8" xfId="19864"/>
    <cellStyle name="Comma 8 4 8 2" xfId="19865"/>
    <cellStyle name="Comma 8 4 9" xfId="19866"/>
    <cellStyle name="Comma 8 4 9 2" xfId="19867"/>
    <cellStyle name="Comma 8 5" xfId="11690"/>
    <cellStyle name="Comma 8 5 10" xfId="19869"/>
    <cellStyle name="Comma 8 5 11" xfId="19870"/>
    <cellStyle name="Comma 8 5 12" xfId="19868"/>
    <cellStyle name="Comma 8 5 2" xfId="19871"/>
    <cellStyle name="Comma 8 5 2 2" xfId="19872"/>
    <cellStyle name="Comma 8 5 2 2 2" xfId="19873"/>
    <cellStyle name="Comma 8 5 2 3" xfId="19874"/>
    <cellStyle name="Comma 8 5 2 3 2" xfId="19875"/>
    <cellStyle name="Comma 8 5 2 4" xfId="19876"/>
    <cellStyle name="Comma 8 5 2 4 2" xfId="19877"/>
    <cellStyle name="Comma 8 5 2 5" xfId="19878"/>
    <cellStyle name="Comma 8 5 2 6" xfId="19879"/>
    <cellStyle name="Comma 8 5 3" xfId="19880"/>
    <cellStyle name="Comma 8 5 3 2" xfId="19881"/>
    <cellStyle name="Comma 8 5 3 2 2" xfId="19882"/>
    <cellStyle name="Comma 8 5 3 3" xfId="19883"/>
    <cellStyle name="Comma 8 5 3 3 2" xfId="19884"/>
    <cellStyle name="Comma 8 5 3 4" xfId="19885"/>
    <cellStyle name="Comma 8 5 3 4 2" xfId="19886"/>
    <cellStyle name="Comma 8 5 3 5" xfId="19887"/>
    <cellStyle name="Comma 8 5 3 6" xfId="19888"/>
    <cellStyle name="Comma 8 5 4" xfId="19889"/>
    <cellStyle name="Comma 8 5 4 2" xfId="19890"/>
    <cellStyle name="Comma 8 5 4 2 2" xfId="19891"/>
    <cellStyle name="Comma 8 5 4 3" xfId="19892"/>
    <cellStyle name="Comma 8 5 4 3 2" xfId="19893"/>
    <cellStyle name="Comma 8 5 4 4" xfId="19894"/>
    <cellStyle name="Comma 8 5 4 4 2" xfId="19895"/>
    <cellStyle name="Comma 8 5 4 5" xfId="19896"/>
    <cellStyle name="Comma 8 5 4 6" xfId="19897"/>
    <cellStyle name="Comma 8 5 5" xfId="19898"/>
    <cellStyle name="Comma 8 5 5 2" xfId="19899"/>
    <cellStyle name="Comma 8 5 5 2 2" xfId="19900"/>
    <cellStyle name="Comma 8 5 5 3" xfId="19901"/>
    <cellStyle name="Comma 8 5 5 3 2" xfId="19902"/>
    <cellStyle name="Comma 8 5 5 4" xfId="19903"/>
    <cellStyle name="Comma 8 5 5 4 2" xfId="19904"/>
    <cellStyle name="Comma 8 5 5 5" xfId="19905"/>
    <cellStyle name="Comma 8 5 5 6" xfId="19906"/>
    <cellStyle name="Comma 8 5 6" xfId="19907"/>
    <cellStyle name="Comma 8 5 6 2" xfId="19908"/>
    <cellStyle name="Comma 8 5 6 2 2" xfId="19909"/>
    <cellStyle name="Comma 8 5 6 3" xfId="19910"/>
    <cellStyle name="Comma 8 5 6 3 2" xfId="19911"/>
    <cellStyle name="Comma 8 5 6 4" xfId="19912"/>
    <cellStyle name="Comma 8 5 6 5" xfId="19913"/>
    <cellStyle name="Comma 8 5 7" xfId="19914"/>
    <cellStyle name="Comma 8 5 7 2" xfId="19915"/>
    <cellStyle name="Comma 8 5 8" xfId="19916"/>
    <cellStyle name="Comma 8 5 8 2" xfId="19917"/>
    <cellStyle name="Comma 8 5 9" xfId="19918"/>
    <cellStyle name="Comma 8 5 9 2" xfId="19919"/>
    <cellStyle name="Comma 8 6" xfId="11686"/>
    <cellStyle name="Comma 8 6 10" xfId="19921"/>
    <cellStyle name="Comma 8 6 11" xfId="19920"/>
    <cellStyle name="Comma 8 6 2" xfId="19922"/>
    <cellStyle name="Comma 8 6 2 2" xfId="19923"/>
    <cellStyle name="Comma 8 6 2 2 2" xfId="19924"/>
    <cellStyle name="Comma 8 6 2 3" xfId="19925"/>
    <cellStyle name="Comma 8 6 2 3 2" xfId="19926"/>
    <cellStyle name="Comma 8 6 2 4" xfId="19927"/>
    <cellStyle name="Comma 8 6 2 4 2" xfId="19928"/>
    <cellStyle name="Comma 8 6 2 5" xfId="19929"/>
    <cellStyle name="Comma 8 6 2 6" xfId="19930"/>
    <cellStyle name="Comma 8 6 3" xfId="19931"/>
    <cellStyle name="Comma 8 6 3 2" xfId="19932"/>
    <cellStyle name="Comma 8 6 3 2 2" xfId="19933"/>
    <cellStyle name="Comma 8 6 3 3" xfId="19934"/>
    <cellStyle name="Comma 8 6 3 3 2" xfId="19935"/>
    <cellStyle name="Comma 8 6 3 4" xfId="19936"/>
    <cellStyle name="Comma 8 6 3 4 2" xfId="19937"/>
    <cellStyle name="Comma 8 6 3 5" xfId="19938"/>
    <cellStyle name="Comma 8 6 3 6" xfId="19939"/>
    <cellStyle name="Comma 8 6 4" xfId="19940"/>
    <cellStyle name="Comma 8 6 4 2" xfId="19941"/>
    <cellStyle name="Comma 8 6 4 2 2" xfId="19942"/>
    <cellStyle name="Comma 8 6 4 3" xfId="19943"/>
    <cellStyle name="Comma 8 6 4 3 2" xfId="19944"/>
    <cellStyle name="Comma 8 6 4 4" xfId="19945"/>
    <cellStyle name="Comma 8 6 4 4 2" xfId="19946"/>
    <cellStyle name="Comma 8 6 4 5" xfId="19947"/>
    <cellStyle name="Comma 8 6 4 6" xfId="19948"/>
    <cellStyle name="Comma 8 6 5" xfId="19949"/>
    <cellStyle name="Comma 8 6 5 2" xfId="19950"/>
    <cellStyle name="Comma 8 6 5 2 2" xfId="19951"/>
    <cellStyle name="Comma 8 6 5 3" xfId="19952"/>
    <cellStyle name="Comma 8 6 5 3 2" xfId="19953"/>
    <cellStyle name="Comma 8 6 5 4" xfId="19954"/>
    <cellStyle name="Comma 8 6 5 5" xfId="19955"/>
    <cellStyle name="Comma 8 6 6" xfId="19956"/>
    <cellStyle name="Comma 8 6 6 2" xfId="19957"/>
    <cellStyle name="Comma 8 6 7" xfId="19958"/>
    <cellStyle name="Comma 8 6 7 2" xfId="19959"/>
    <cellStyle name="Comma 8 6 8" xfId="19960"/>
    <cellStyle name="Comma 8 6 8 2" xfId="19961"/>
    <cellStyle name="Comma 8 6 9" xfId="19962"/>
    <cellStyle name="Comma 8 7" xfId="14469"/>
    <cellStyle name="Comma 8 7 10" xfId="19964"/>
    <cellStyle name="Comma 8 7 11" xfId="19963"/>
    <cellStyle name="Comma 8 7 2" xfId="19965"/>
    <cellStyle name="Comma 8 7 2 2" xfId="19966"/>
    <cellStyle name="Comma 8 7 2 2 2" xfId="19967"/>
    <cellStyle name="Comma 8 7 2 3" xfId="19968"/>
    <cellStyle name="Comma 8 7 2 3 2" xfId="19969"/>
    <cellStyle name="Comma 8 7 2 4" xfId="19970"/>
    <cellStyle name="Comma 8 7 2 4 2" xfId="19971"/>
    <cellStyle name="Comma 8 7 2 5" xfId="19972"/>
    <cellStyle name="Comma 8 7 2 6" xfId="19973"/>
    <cellStyle name="Comma 8 7 3" xfId="19974"/>
    <cellStyle name="Comma 8 7 3 2" xfId="19975"/>
    <cellStyle name="Comma 8 7 3 2 2" xfId="19976"/>
    <cellStyle name="Comma 8 7 3 3" xfId="19977"/>
    <cellStyle name="Comma 8 7 3 3 2" xfId="19978"/>
    <cellStyle name="Comma 8 7 3 4" xfId="19979"/>
    <cellStyle name="Comma 8 7 3 4 2" xfId="19980"/>
    <cellStyle name="Comma 8 7 3 5" xfId="19981"/>
    <cellStyle name="Comma 8 7 3 6" xfId="19982"/>
    <cellStyle name="Comma 8 7 4" xfId="19983"/>
    <cellStyle name="Comma 8 7 4 2" xfId="19984"/>
    <cellStyle name="Comma 8 7 4 2 2" xfId="19985"/>
    <cellStyle name="Comma 8 7 4 3" xfId="19986"/>
    <cellStyle name="Comma 8 7 4 3 2" xfId="19987"/>
    <cellStyle name="Comma 8 7 4 4" xfId="19988"/>
    <cellStyle name="Comma 8 7 4 4 2" xfId="19989"/>
    <cellStyle name="Comma 8 7 4 5" xfId="19990"/>
    <cellStyle name="Comma 8 7 4 6" xfId="19991"/>
    <cellStyle name="Comma 8 7 5" xfId="19992"/>
    <cellStyle name="Comma 8 7 5 2" xfId="19993"/>
    <cellStyle name="Comma 8 7 5 2 2" xfId="19994"/>
    <cellStyle name="Comma 8 7 5 3" xfId="19995"/>
    <cellStyle name="Comma 8 7 5 3 2" xfId="19996"/>
    <cellStyle name="Comma 8 7 5 4" xfId="19997"/>
    <cellStyle name="Comma 8 7 5 5" xfId="19998"/>
    <cellStyle name="Comma 8 7 6" xfId="19999"/>
    <cellStyle name="Comma 8 7 6 2" xfId="20000"/>
    <cellStyle name="Comma 8 7 7" xfId="20001"/>
    <cellStyle name="Comma 8 7 7 2" xfId="20002"/>
    <cellStyle name="Comma 8 7 8" xfId="20003"/>
    <cellStyle name="Comma 8 7 8 2" xfId="20004"/>
    <cellStyle name="Comma 8 7 9" xfId="20005"/>
    <cellStyle name="Comma 8 8" xfId="20006"/>
    <cellStyle name="Comma 8 8 2" xfId="20007"/>
    <cellStyle name="Comma 8 8 2 2" xfId="20008"/>
    <cellStyle name="Comma 8 8 3" xfId="20009"/>
    <cellStyle name="Comma 8 8 3 2" xfId="20010"/>
    <cellStyle name="Comma 8 8 4" xfId="20011"/>
    <cellStyle name="Comma 8 8 4 2" xfId="20012"/>
    <cellStyle name="Comma 8 8 5" xfId="20013"/>
    <cellStyle name="Comma 8 8 6" xfId="20014"/>
    <cellStyle name="Comma 8 9" xfId="20015"/>
    <cellStyle name="Comma 8 9 2" xfId="20016"/>
    <cellStyle name="Comma 8 9 2 2" xfId="20017"/>
    <cellStyle name="Comma 8 9 3" xfId="20018"/>
    <cellStyle name="Comma 8 9 3 2" xfId="20019"/>
    <cellStyle name="Comma 8 9 4" xfId="20020"/>
    <cellStyle name="Comma 8 9 4 2" xfId="20021"/>
    <cellStyle name="Comma 8 9 5" xfId="20022"/>
    <cellStyle name="Comma 8 9 6" xfId="20023"/>
    <cellStyle name="Comma 9" xfId="11691"/>
    <cellStyle name="Comma 9 2" xfId="11692"/>
    <cellStyle name="Comma 9 2 2" xfId="20024"/>
    <cellStyle name="Comma 9 3" xfId="11693"/>
    <cellStyle name="Comma0" xfId="11694"/>
    <cellStyle name="Comma0 2" xfId="20025"/>
    <cellStyle name="Comma0 3" xfId="17688"/>
    <cellStyle name="comma1" xfId="20026"/>
    <cellStyle name="Condition" xfId="11695"/>
    <cellStyle name="Condition 10" xfId="15093"/>
    <cellStyle name="Condition 2" xfId="14991"/>
    <cellStyle name="Condition 3" xfId="15031"/>
    <cellStyle name="Condition 4" xfId="12369"/>
    <cellStyle name="Condition 5" xfId="12326"/>
    <cellStyle name="Condition 6" xfId="12329"/>
    <cellStyle name="Condition 7" xfId="15002"/>
    <cellStyle name="Condition 8" xfId="12333"/>
    <cellStyle name="Condition 9" xfId="15018"/>
    <cellStyle name="ContentsHyperlink" xfId="20027"/>
    <cellStyle name="Currency" xfId="43979" builtinId="4"/>
    <cellStyle name="Currency 2" xfId="1472"/>
    <cellStyle name="Currency 2 2" xfId="20028"/>
    <cellStyle name="Currency 2 3" xfId="17670"/>
    <cellStyle name="Currency 3" xfId="1473"/>
    <cellStyle name="Currency 3 2" xfId="17691"/>
    <cellStyle name="Currency 3 2 10" xfId="20029"/>
    <cellStyle name="Currency 3 2 10 2" xfId="20030"/>
    <cellStyle name="Currency 3 2 10 2 2" xfId="20031"/>
    <cellStyle name="Currency 3 2 10 3" xfId="20032"/>
    <cellStyle name="Currency 3 2 10 3 2" xfId="20033"/>
    <cellStyle name="Currency 3 2 10 4" xfId="20034"/>
    <cellStyle name="Currency 3 2 10 4 2" xfId="20035"/>
    <cellStyle name="Currency 3 2 10 5" xfId="20036"/>
    <cellStyle name="Currency 3 2 10 6" xfId="20037"/>
    <cellStyle name="Currency 3 2 11" xfId="20038"/>
    <cellStyle name="Currency 3 2 11 2" xfId="20039"/>
    <cellStyle name="Currency 3 2 11 2 2" xfId="20040"/>
    <cellStyle name="Currency 3 2 11 3" xfId="20041"/>
    <cellStyle name="Currency 3 2 11 3 2" xfId="20042"/>
    <cellStyle name="Currency 3 2 11 4" xfId="20043"/>
    <cellStyle name="Currency 3 2 11 4 2" xfId="20044"/>
    <cellStyle name="Currency 3 2 11 5" xfId="20045"/>
    <cellStyle name="Currency 3 2 11 6" xfId="20046"/>
    <cellStyle name="Currency 3 2 12" xfId="20047"/>
    <cellStyle name="Currency 3 2 12 2" xfId="20048"/>
    <cellStyle name="Currency 3 2 12 2 2" xfId="20049"/>
    <cellStyle name="Currency 3 2 12 3" xfId="20050"/>
    <cellStyle name="Currency 3 2 12 3 2" xfId="20051"/>
    <cellStyle name="Currency 3 2 12 4" xfId="20052"/>
    <cellStyle name="Currency 3 2 12 5" xfId="20053"/>
    <cellStyle name="Currency 3 2 13" xfId="20054"/>
    <cellStyle name="Currency 3 2 13 2" xfId="20055"/>
    <cellStyle name="Currency 3 2 14" xfId="20056"/>
    <cellStyle name="Currency 3 2 14 2" xfId="20057"/>
    <cellStyle name="Currency 3 2 15" xfId="20058"/>
    <cellStyle name="Currency 3 2 15 2" xfId="20059"/>
    <cellStyle name="Currency 3 2 16" xfId="20060"/>
    <cellStyle name="Currency 3 2 17" xfId="20061"/>
    <cellStyle name="Currency 3 2 2" xfId="20062"/>
    <cellStyle name="Currency 3 2 2 10" xfId="20063"/>
    <cellStyle name="Currency 3 2 2 10 2" xfId="20064"/>
    <cellStyle name="Currency 3 2 2 10 2 2" xfId="20065"/>
    <cellStyle name="Currency 3 2 2 10 3" xfId="20066"/>
    <cellStyle name="Currency 3 2 2 10 3 2" xfId="20067"/>
    <cellStyle name="Currency 3 2 2 10 4" xfId="20068"/>
    <cellStyle name="Currency 3 2 2 10 4 2" xfId="20069"/>
    <cellStyle name="Currency 3 2 2 10 5" xfId="20070"/>
    <cellStyle name="Currency 3 2 2 10 6" xfId="20071"/>
    <cellStyle name="Currency 3 2 2 11" xfId="20072"/>
    <cellStyle name="Currency 3 2 2 11 2" xfId="20073"/>
    <cellStyle name="Currency 3 2 2 11 2 2" xfId="20074"/>
    <cellStyle name="Currency 3 2 2 11 3" xfId="20075"/>
    <cellStyle name="Currency 3 2 2 11 3 2" xfId="20076"/>
    <cellStyle name="Currency 3 2 2 11 4" xfId="20077"/>
    <cellStyle name="Currency 3 2 2 11 4 2" xfId="20078"/>
    <cellStyle name="Currency 3 2 2 11 5" xfId="20079"/>
    <cellStyle name="Currency 3 2 2 11 6" xfId="20080"/>
    <cellStyle name="Currency 3 2 2 12" xfId="20081"/>
    <cellStyle name="Currency 3 2 2 12 2" xfId="20082"/>
    <cellStyle name="Currency 3 2 2 12 2 2" xfId="20083"/>
    <cellStyle name="Currency 3 2 2 12 3" xfId="20084"/>
    <cellStyle name="Currency 3 2 2 12 3 2" xfId="20085"/>
    <cellStyle name="Currency 3 2 2 12 4" xfId="20086"/>
    <cellStyle name="Currency 3 2 2 12 5" xfId="20087"/>
    <cellStyle name="Currency 3 2 2 13" xfId="20088"/>
    <cellStyle name="Currency 3 2 2 13 2" xfId="20089"/>
    <cellStyle name="Currency 3 2 2 14" xfId="20090"/>
    <cellStyle name="Currency 3 2 2 14 2" xfId="20091"/>
    <cellStyle name="Currency 3 2 2 15" xfId="20092"/>
    <cellStyle name="Currency 3 2 2 15 2" xfId="20093"/>
    <cellStyle name="Currency 3 2 2 16" xfId="20094"/>
    <cellStyle name="Currency 3 2 2 17" xfId="20095"/>
    <cellStyle name="Currency 3 2 2 2" xfId="20096"/>
    <cellStyle name="Currency 3 2 2 2 10" xfId="20097"/>
    <cellStyle name="Currency 3 2 2 2 10 2" xfId="20098"/>
    <cellStyle name="Currency 3 2 2 2 10 2 2" xfId="20099"/>
    <cellStyle name="Currency 3 2 2 2 10 3" xfId="20100"/>
    <cellStyle name="Currency 3 2 2 2 10 3 2" xfId="20101"/>
    <cellStyle name="Currency 3 2 2 2 10 4" xfId="20102"/>
    <cellStyle name="Currency 3 2 2 2 10 4 2" xfId="20103"/>
    <cellStyle name="Currency 3 2 2 2 10 5" xfId="20104"/>
    <cellStyle name="Currency 3 2 2 2 10 6" xfId="20105"/>
    <cellStyle name="Currency 3 2 2 2 11" xfId="20106"/>
    <cellStyle name="Currency 3 2 2 2 11 2" xfId="20107"/>
    <cellStyle name="Currency 3 2 2 2 11 2 2" xfId="20108"/>
    <cellStyle name="Currency 3 2 2 2 11 3" xfId="20109"/>
    <cellStyle name="Currency 3 2 2 2 11 3 2" xfId="20110"/>
    <cellStyle name="Currency 3 2 2 2 11 4" xfId="20111"/>
    <cellStyle name="Currency 3 2 2 2 11 5" xfId="20112"/>
    <cellStyle name="Currency 3 2 2 2 12" xfId="20113"/>
    <cellStyle name="Currency 3 2 2 2 12 2" xfId="20114"/>
    <cellStyle name="Currency 3 2 2 2 13" xfId="20115"/>
    <cellStyle name="Currency 3 2 2 2 13 2" xfId="20116"/>
    <cellStyle name="Currency 3 2 2 2 14" xfId="20117"/>
    <cellStyle name="Currency 3 2 2 2 14 2" xfId="20118"/>
    <cellStyle name="Currency 3 2 2 2 15" xfId="20119"/>
    <cellStyle name="Currency 3 2 2 2 16" xfId="20120"/>
    <cellStyle name="Currency 3 2 2 2 2" xfId="20121"/>
    <cellStyle name="Currency 3 2 2 2 2 10" xfId="20122"/>
    <cellStyle name="Currency 3 2 2 2 2 10 2" xfId="20123"/>
    <cellStyle name="Currency 3 2 2 2 2 11" xfId="20124"/>
    <cellStyle name="Currency 3 2 2 2 2 11 2" xfId="20125"/>
    <cellStyle name="Currency 3 2 2 2 2 12" xfId="20126"/>
    <cellStyle name="Currency 3 2 2 2 2 13" xfId="20127"/>
    <cellStyle name="Currency 3 2 2 2 2 2" xfId="20128"/>
    <cellStyle name="Currency 3 2 2 2 2 2 10" xfId="20129"/>
    <cellStyle name="Currency 3 2 2 2 2 2 11" xfId="20130"/>
    <cellStyle name="Currency 3 2 2 2 2 2 2" xfId="20131"/>
    <cellStyle name="Currency 3 2 2 2 2 2 2 2" xfId="20132"/>
    <cellStyle name="Currency 3 2 2 2 2 2 2 2 2" xfId="20133"/>
    <cellStyle name="Currency 3 2 2 2 2 2 2 3" xfId="20134"/>
    <cellStyle name="Currency 3 2 2 2 2 2 2 3 2" xfId="20135"/>
    <cellStyle name="Currency 3 2 2 2 2 2 2 4" xfId="20136"/>
    <cellStyle name="Currency 3 2 2 2 2 2 2 4 2" xfId="20137"/>
    <cellStyle name="Currency 3 2 2 2 2 2 2 5" xfId="20138"/>
    <cellStyle name="Currency 3 2 2 2 2 2 2 6" xfId="20139"/>
    <cellStyle name="Currency 3 2 2 2 2 2 3" xfId="20140"/>
    <cellStyle name="Currency 3 2 2 2 2 2 3 2" xfId="20141"/>
    <cellStyle name="Currency 3 2 2 2 2 2 3 2 2" xfId="20142"/>
    <cellStyle name="Currency 3 2 2 2 2 2 3 3" xfId="20143"/>
    <cellStyle name="Currency 3 2 2 2 2 2 3 3 2" xfId="20144"/>
    <cellStyle name="Currency 3 2 2 2 2 2 3 4" xfId="20145"/>
    <cellStyle name="Currency 3 2 2 2 2 2 3 4 2" xfId="20146"/>
    <cellStyle name="Currency 3 2 2 2 2 2 3 5" xfId="20147"/>
    <cellStyle name="Currency 3 2 2 2 2 2 3 6" xfId="20148"/>
    <cellStyle name="Currency 3 2 2 2 2 2 4" xfId="20149"/>
    <cellStyle name="Currency 3 2 2 2 2 2 4 2" xfId="20150"/>
    <cellStyle name="Currency 3 2 2 2 2 2 4 2 2" xfId="20151"/>
    <cellStyle name="Currency 3 2 2 2 2 2 4 3" xfId="20152"/>
    <cellStyle name="Currency 3 2 2 2 2 2 4 3 2" xfId="20153"/>
    <cellStyle name="Currency 3 2 2 2 2 2 4 4" xfId="20154"/>
    <cellStyle name="Currency 3 2 2 2 2 2 4 4 2" xfId="20155"/>
    <cellStyle name="Currency 3 2 2 2 2 2 4 5" xfId="20156"/>
    <cellStyle name="Currency 3 2 2 2 2 2 4 6" xfId="20157"/>
    <cellStyle name="Currency 3 2 2 2 2 2 5" xfId="20158"/>
    <cellStyle name="Currency 3 2 2 2 2 2 5 2" xfId="20159"/>
    <cellStyle name="Currency 3 2 2 2 2 2 5 2 2" xfId="20160"/>
    <cellStyle name="Currency 3 2 2 2 2 2 5 3" xfId="20161"/>
    <cellStyle name="Currency 3 2 2 2 2 2 5 3 2" xfId="20162"/>
    <cellStyle name="Currency 3 2 2 2 2 2 5 4" xfId="20163"/>
    <cellStyle name="Currency 3 2 2 2 2 2 5 4 2" xfId="20164"/>
    <cellStyle name="Currency 3 2 2 2 2 2 5 5" xfId="20165"/>
    <cellStyle name="Currency 3 2 2 2 2 2 5 6" xfId="20166"/>
    <cellStyle name="Currency 3 2 2 2 2 2 6" xfId="20167"/>
    <cellStyle name="Currency 3 2 2 2 2 2 6 2" xfId="20168"/>
    <cellStyle name="Currency 3 2 2 2 2 2 6 2 2" xfId="20169"/>
    <cellStyle name="Currency 3 2 2 2 2 2 6 3" xfId="20170"/>
    <cellStyle name="Currency 3 2 2 2 2 2 6 3 2" xfId="20171"/>
    <cellStyle name="Currency 3 2 2 2 2 2 6 4" xfId="20172"/>
    <cellStyle name="Currency 3 2 2 2 2 2 6 5" xfId="20173"/>
    <cellStyle name="Currency 3 2 2 2 2 2 7" xfId="20174"/>
    <cellStyle name="Currency 3 2 2 2 2 2 7 2" xfId="20175"/>
    <cellStyle name="Currency 3 2 2 2 2 2 8" xfId="20176"/>
    <cellStyle name="Currency 3 2 2 2 2 2 8 2" xfId="20177"/>
    <cellStyle name="Currency 3 2 2 2 2 2 9" xfId="20178"/>
    <cellStyle name="Currency 3 2 2 2 2 2 9 2" xfId="20179"/>
    <cellStyle name="Currency 3 2 2 2 2 3" xfId="20180"/>
    <cellStyle name="Currency 3 2 2 2 2 3 10" xfId="20181"/>
    <cellStyle name="Currency 3 2 2 2 2 3 2" xfId="20182"/>
    <cellStyle name="Currency 3 2 2 2 2 3 2 2" xfId="20183"/>
    <cellStyle name="Currency 3 2 2 2 2 3 2 2 2" xfId="20184"/>
    <cellStyle name="Currency 3 2 2 2 2 3 2 3" xfId="20185"/>
    <cellStyle name="Currency 3 2 2 2 2 3 2 3 2" xfId="20186"/>
    <cellStyle name="Currency 3 2 2 2 2 3 2 4" xfId="20187"/>
    <cellStyle name="Currency 3 2 2 2 2 3 2 4 2" xfId="20188"/>
    <cellStyle name="Currency 3 2 2 2 2 3 2 5" xfId="20189"/>
    <cellStyle name="Currency 3 2 2 2 2 3 2 6" xfId="20190"/>
    <cellStyle name="Currency 3 2 2 2 2 3 3" xfId="20191"/>
    <cellStyle name="Currency 3 2 2 2 2 3 3 2" xfId="20192"/>
    <cellStyle name="Currency 3 2 2 2 2 3 3 2 2" xfId="20193"/>
    <cellStyle name="Currency 3 2 2 2 2 3 3 3" xfId="20194"/>
    <cellStyle name="Currency 3 2 2 2 2 3 3 3 2" xfId="20195"/>
    <cellStyle name="Currency 3 2 2 2 2 3 3 4" xfId="20196"/>
    <cellStyle name="Currency 3 2 2 2 2 3 3 4 2" xfId="20197"/>
    <cellStyle name="Currency 3 2 2 2 2 3 3 5" xfId="20198"/>
    <cellStyle name="Currency 3 2 2 2 2 3 3 6" xfId="20199"/>
    <cellStyle name="Currency 3 2 2 2 2 3 4" xfId="20200"/>
    <cellStyle name="Currency 3 2 2 2 2 3 4 2" xfId="20201"/>
    <cellStyle name="Currency 3 2 2 2 2 3 4 2 2" xfId="20202"/>
    <cellStyle name="Currency 3 2 2 2 2 3 4 3" xfId="20203"/>
    <cellStyle name="Currency 3 2 2 2 2 3 4 3 2" xfId="20204"/>
    <cellStyle name="Currency 3 2 2 2 2 3 4 4" xfId="20205"/>
    <cellStyle name="Currency 3 2 2 2 2 3 4 4 2" xfId="20206"/>
    <cellStyle name="Currency 3 2 2 2 2 3 4 5" xfId="20207"/>
    <cellStyle name="Currency 3 2 2 2 2 3 4 6" xfId="20208"/>
    <cellStyle name="Currency 3 2 2 2 2 3 5" xfId="20209"/>
    <cellStyle name="Currency 3 2 2 2 2 3 5 2" xfId="20210"/>
    <cellStyle name="Currency 3 2 2 2 2 3 5 2 2" xfId="20211"/>
    <cellStyle name="Currency 3 2 2 2 2 3 5 3" xfId="20212"/>
    <cellStyle name="Currency 3 2 2 2 2 3 5 3 2" xfId="20213"/>
    <cellStyle name="Currency 3 2 2 2 2 3 5 4" xfId="20214"/>
    <cellStyle name="Currency 3 2 2 2 2 3 5 5" xfId="20215"/>
    <cellStyle name="Currency 3 2 2 2 2 3 6" xfId="20216"/>
    <cellStyle name="Currency 3 2 2 2 2 3 6 2" xfId="20217"/>
    <cellStyle name="Currency 3 2 2 2 2 3 7" xfId="20218"/>
    <cellStyle name="Currency 3 2 2 2 2 3 7 2" xfId="20219"/>
    <cellStyle name="Currency 3 2 2 2 2 3 8" xfId="20220"/>
    <cellStyle name="Currency 3 2 2 2 2 3 8 2" xfId="20221"/>
    <cellStyle name="Currency 3 2 2 2 2 3 9" xfId="20222"/>
    <cellStyle name="Currency 3 2 2 2 2 4" xfId="20223"/>
    <cellStyle name="Currency 3 2 2 2 2 4 10" xfId="20224"/>
    <cellStyle name="Currency 3 2 2 2 2 4 2" xfId="20225"/>
    <cellStyle name="Currency 3 2 2 2 2 4 2 2" xfId="20226"/>
    <cellStyle name="Currency 3 2 2 2 2 4 2 2 2" xfId="20227"/>
    <cellStyle name="Currency 3 2 2 2 2 4 2 3" xfId="20228"/>
    <cellStyle name="Currency 3 2 2 2 2 4 2 3 2" xfId="20229"/>
    <cellStyle name="Currency 3 2 2 2 2 4 2 4" xfId="20230"/>
    <cellStyle name="Currency 3 2 2 2 2 4 2 4 2" xfId="20231"/>
    <cellStyle name="Currency 3 2 2 2 2 4 2 5" xfId="20232"/>
    <cellStyle name="Currency 3 2 2 2 2 4 2 6" xfId="20233"/>
    <cellStyle name="Currency 3 2 2 2 2 4 3" xfId="20234"/>
    <cellStyle name="Currency 3 2 2 2 2 4 3 2" xfId="20235"/>
    <cellStyle name="Currency 3 2 2 2 2 4 3 2 2" xfId="20236"/>
    <cellStyle name="Currency 3 2 2 2 2 4 3 3" xfId="20237"/>
    <cellStyle name="Currency 3 2 2 2 2 4 3 3 2" xfId="20238"/>
    <cellStyle name="Currency 3 2 2 2 2 4 3 4" xfId="20239"/>
    <cellStyle name="Currency 3 2 2 2 2 4 3 4 2" xfId="20240"/>
    <cellStyle name="Currency 3 2 2 2 2 4 3 5" xfId="20241"/>
    <cellStyle name="Currency 3 2 2 2 2 4 3 6" xfId="20242"/>
    <cellStyle name="Currency 3 2 2 2 2 4 4" xfId="20243"/>
    <cellStyle name="Currency 3 2 2 2 2 4 4 2" xfId="20244"/>
    <cellStyle name="Currency 3 2 2 2 2 4 4 2 2" xfId="20245"/>
    <cellStyle name="Currency 3 2 2 2 2 4 4 3" xfId="20246"/>
    <cellStyle name="Currency 3 2 2 2 2 4 4 3 2" xfId="20247"/>
    <cellStyle name="Currency 3 2 2 2 2 4 4 4" xfId="20248"/>
    <cellStyle name="Currency 3 2 2 2 2 4 4 4 2" xfId="20249"/>
    <cellStyle name="Currency 3 2 2 2 2 4 4 5" xfId="20250"/>
    <cellStyle name="Currency 3 2 2 2 2 4 4 6" xfId="20251"/>
    <cellStyle name="Currency 3 2 2 2 2 4 5" xfId="20252"/>
    <cellStyle name="Currency 3 2 2 2 2 4 5 2" xfId="20253"/>
    <cellStyle name="Currency 3 2 2 2 2 4 5 2 2" xfId="20254"/>
    <cellStyle name="Currency 3 2 2 2 2 4 5 3" xfId="20255"/>
    <cellStyle name="Currency 3 2 2 2 2 4 5 3 2" xfId="20256"/>
    <cellStyle name="Currency 3 2 2 2 2 4 5 4" xfId="20257"/>
    <cellStyle name="Currency 3 2 2 2 2 4 5 5" xfId="20258"/>
    <cellStyle name="Currency 3 2 2 2 2 4 6" xfId="20259"/>
    <cellStyle name="Currency 3 2 2 2 2 4 6 2" xfId="20260"/>
    <cellStyle name="Currency 3 2 2 2 2 4 7" xfId="20261"/>
    <cellStyle name="Currency 3 2 2 2 2 4 7 2" xfId="20262"/>
    <cellStyle name="Currency 3 2 2 2 2 4 8" xfId="20263"/>
    <cellStyle name="Currency 3 2 2 2 2 4 8 2" xfId="20264"/>
    <cellStyle name="Currency 3 2 2 2 2 4 9" xfId="20265"/>
    <cellStyle name="Currency 3 2 2 2 2 5" xfId="20266"/>
    <cellStyle name="Currency 3 2 2 2 2 5 2" xfId="20267"/>
    <cellStyle name="Currency 3 2 2 2 2 5 2 2" xfId="20268"/>
    <cellStyle name="Currency 3 2 2 2 2 5 3" xfId="20269"/>
    <cellStyle name="Currency 3 2 2 2 2 5 3 2" xfId="20270"/>
    <cellStyle name="Currency 3 2 2 2 2 5 4" xfId="20271"/>
    <cellStyle name="Currency 3 2 2 2 2 5 4 2" xfId="20272"/>
    <cellStyle name="Currency 3 2 2 2 2 5 5" xfId="20273"/>
    <cellStyle name="Currency 3 2 2 2 2 5 6" xfId="20274"/>
    <cellStyle name="Currency 3 2 2 2 2 6" xfId="20275"/>
    <cellStyle name="Currency 3 2 2 2 2 6 2" xfId="20276"/>
    <cellStyle name="Currency 3 2 2 2 2 6 2 2" xfId="20277"/>
    <cellStyle name="Currency 3 2 2 2 2 6 3" xfId="20278"/>
    <cellStyle name="Currency 3 2 2 2 2 6 3 2" xfId="20279"/>
    <cellStyle name="Currency 3 2 2 2 2 6 4" xfId="20280"/>
    <cellStyle name="Currency 3 2 2 2 2 6 4 2" xfId="20281"/>
    <cellStyle name="Currency 3 2 2 2 2 6 5" xfId="20282"/>
    <cellStyle name="Currency 3 2 2 2 2 6 6" xfId="20283"/>
    <cellStyle name="Currency 3 2 2 2 2 7" xfId="20284"/>
    <cellStyle name="Currency 3 2 2 2 2 7 2" xfId="20285"/>
    <cellStyle name="Currency 3 2 2 2 2 7 2 2" xfId="20286"/>
    <cellStyle name="Currency 3 2 2 2 2 7 3" xfId="20287"/>
    <cellStyle name="Currency 3 2 2 2 2 7 3 2" xfId="20288"/>
    <cellStyle name="Currency 3 2 2 2 2 7 4" xfId="20289"/>
    <cellStyle name="Currency 3 2 2 2 2 7 4 2" xfId="20290"/>
    <cellStyle name="Currency 3 2 2 2 2 7 5" xfId="20291"/>
    <cellStyle name="Currency 3 2 2 2 2 7 6" xfId="20292"/>
    <cellStyle name="Currency 3 2 2 2 2 8" xfId="20293"/>
    <cellStyle name="Currency 3 2 2 2 2 8 2" xfId="20294"/>
    <cellStyle name="Currency 3 2 2 2 2 8 2 2" xfId="20295"/>
    <cellStyle name="Currency 3 2 2 2 2 8 3" xfId="20296"/>
    <cellStyle name="Currency 3 2 2 2 2 8 3 2" xfId="20297"/>
    <cellStyle name="Currency 3 2 2 2 2 8 4" xfId="20298"/>
    <cellStyle name="Currency 3 2 2 2 2 8 5" xfId="20299"/>
    <cellStyle name="Currency 3 2 2 2 2 9" xfId="20300"/>
    <cellStyle name="Currency 3 2 2 2 2 9 2" xfId="20301"/>
    <cellStyle name="Currency 3 2 2 2 3" xfId="20302"/>
    <cellStyle name="Currency 3 2 2 2 3 10" xfId="20303"/>
    <cellStyle name="Currency 3 2 2 2 3 10 2" xfId="20304"/>
    <cellStyle name="Currency 3 2 2 2 3 11" xfId="20305"/>
    <cellStyle name="Currency 3 2 2 2 3 11 2" xfId="20306"/>
    <cellStyle name="Currency 3 2 2 2 3 12" xfId="20307"/>
    <cellStyle name="Currency 3 2 2 2 3 13" xfId="20308"/>
    <cellStyle name="Currency 3 2 2 2 3 2" xfId="20309"/>
    <cellStyle name="Currency 3 2 2 2 3 2 10" xfId="20310"/>
    <cellStyle name="Currency 3 2 2 2 3 2 11" xfId="20311"/>
    <cellStyle name="Currency 3 2 2 2 3 2 2" xfId="20312"/>
    <cellStyle name="Currency 3 2 2 2 3 2 2 2" xfId="20313"/>
    <cellStyle name="Currency 3 2 2 2 3 2 2 2 2" xfId="20314"/>
    <cellStyle name="Currency 3 2 2 2 3 2 2 3" xfId="20315"/>
    <cellStyle name="Currency 3 2 2 2 3 2 2 3 2" xfId="20316"/>
    <cellStyle name="Currency 3 2 2 2 3 2 2 4" xfId="20317"/>
    <cellStyle name="Currency 3 2 2 2 3 2 2 4 2" xfId="20318"/>
    <cellStyle name="Currency 3 2 2 2 3 2 2 5" xfId="20319"/>
    <cellStyle name="Currency 3 2 2 2 3 2 2 6" xfId="20320"/>
    <cellStyle name="Currency 3 2 2 2 3 2 3" xfId="20321"/>
    <cellStyle name="Currency 3 2 2 2 3 2 3 2" xfId="20322"/>
    <cellStyle name="Currency 3 2 2 2 3 2 3 2 2" xfId="20323"/>
    <cellStyle name="Currency 3 2 2 2 3 2 3 3" xfId="20324"/>
    <cellStyle name="Currency 3 2 2 2 3 2 3 3 2" xfId="20325"/>
    <cellStyle name="Currency 3 2 2 2 3 2 3 4" xfId="20326"/>
    <cellStyle name="Currency 3 2 2 2 3 2 3 4 2" xfId="20327"/>
    <cellStyle name="Currency 3 2 2 2 3 2 3 5" xfId="20328"/>
    <cellStyle name="Currency 3 2 2 2 3 2 3 6" xfId="20329"/>
    <cellStyle name="Currency 3 2 2 2 3 2 4" xfId="20330"/>
    <cellStyle name="Currency 3 2 2 2 3 2 4 2" xfId="20331"/>
    <cellStyle name="Currency 3 2 2 2 3 2 4 2 2" xfId="20332"/>
    <cellStyle name="Currency 3 2 2 2 3 2 4 3" xfId="20333"/>
    <cellStyle name="Currency 3 2 2 2 3 2 4 3 2" xfId="20334"/>
    <cellStyle name="Currency 3 2 2 2 3 2 4 4" xfId="20335"/>
    <cellStyle name="Currency 3 2 2 2 3 2 4 4 2" xfId="20336"/>
    <cellStyle name="Currency 3 2 2 2 3 2 4 5" xfId="20337"/>
    <cellStyle name="Currency 3 2 2 2 3 2 4 6" xfId="20338"/>
    <cellStyle name="Currency 3 2 2 2 3 2 5" xfId="20339"/>
    <cellStyle name="Currency 3 2 2 2 3 2 5 2" xfId="20340"/>
    <cellStyle name="Currency 3 2 2 2 3 2 5 2 2" xfId="20341"/>
    <cellStyle name="Currency 3 2 2 2 3 2 5 3" xfId="20342"/>
    <cellStyle name="Currency 3 2 2 2 3 2 5 3 2" xfId="20343"/>
    <cellStyle name="Currency 3 2 2 2 3 2 5 4" xfId="20344"/>
    <cellStyle name="Currency 3 2 2 2 3 2 5 4 2" xfId="20345"/>
    <cellStyle name="Currency 3 2 2 2 3 2 5 5" xfId="20346"/>
    <cellStyle name="Currency 3 2 2 2 3 2 5 6" xfId="20347"/>
    <cellStyle name="Currency 3 2 2 2 3 2 6" xfId="20348"/>
    <cellStyle name="Currency 3 2 2 2 3 2 6 2" xfId="20349"/>
    <cellStyle name="Currency 3 2 2 2 3 2 6 2 2" xfId="20350"/>
    <cellStyle name="Currency 3 2 2 2 3 2 6 3" xfId="20351"/>
    <cellStyle name="Currency 3 2 2 2 3 2 6 3 2" xfId="20352"/>
    <cellStyle name="Currency 3 2 2 2 3 2 6 4" xfId="20353"/>
    <cellStyle name="Currency 3 2 2 2 3 2 6 5" xfId="20354"/>
    <cellStyle name="Currency 3 2 2 2 3 2 7" xfId="20355"/>
    <cellStyle name="Currency 3 2 2 2 3 2 7 2" xfId="20356"/>
    <cellStyle name="Currency 3 2 2 2 3 2 8" xfId="20357"/>
    <cellStyle name="Currency 3 2 2 2 3 2 8 2" xfId="20358"/>
    <cellStyle name="Currency 3 2 2 2 3 2 9" xfId="20359"/>
    <cellStyle name="Currency 3 2 2 2 3 2 9 2" xfId="20360"/>
    <cellStyle name="Currency 3 2 2 2 3 3" xfId="20361"/>
    <cellStyle name="Currency 3 2 2 2 3 3 10" xfId="20362"/>
    <cellStyle name="Currency 3 2 2 2 3 3 2" xfId="20363"/>
    <cellStyle name="Currency 3 2 2 2 3 3 2 2" xfId="20364"/>
    <cellStyle name="Currency 3 2 2 2 3 3 2 2 2" xfId="20365"/>
    <cellStyle name="Currency 3 2 2 2 3 3 2 3" xfId="20366"/>
    <cellStyle name="Currency 3 2 2 2 3 3 2 3 2" xfId="20367"/>
    <cellStyle name="Currency 3 2 2 2 3 3 2 4" xfId="20368"/>
    <cellStyle name="Currency 3 2 2 2 3 3 2 4 2" xfId="20369"/>
    <cellStyle name="Currency 3 2 2 2 3 3 2 5" xfId="20370"/>
    <cellStyle name="Currency 3 2 2 2 3 3 2 6" xfId="20371"/>
    <cellStyle name="Currency 3 2 2 2 3 3 3" xfId="20372"/>
    <cellStyle name="Currency 3 2 2 2 3 3 3 2" xfId="20373"/>
    <cellStyle name="Currency 3 2 2 2 3 3 3 2 2" xfId="20374"/>
    <cellStyle name="Currency 3 2 2 2 3 3 3 3" xfId="20375"/>
    <cellStyle name="Currency 3 2 2 2 3 3 3 3 2" xfId="20376"/>
    <cellStyle name="Currency 3 2 2 2 3 3 3 4" xfId="20377"/>
    <cellStyle name="Currency 3 2 2 2 3 3 3 4 2" xfId="20378"/>
    <cellStyle name="Currency 3 2 2 2 3 3 3 5" xfId="20379"/>
    <cellStyle name="Currency 3 2 2 2 3 3 3 6" xfId="20380"/>
    <cellStyle name="Currency 3 2 2 2 3 3 4" xfId="20381"/>
    <cellStyle name="Currency 3 2 2 2 3 3 4 2" xfId="20382"/>
    <cellStyle name="Currency 3 2 2 2 3 3 4 2 2" xfId="20383"/>
    <cellStyle name="Currency 3 2 2 2 3 3 4 3" xfId="20384"/>
    <cellStyle name="Currency 3 2 2 2 3 3 4 3 2" xfId="20385"/>
    <cellStyle name="Currency 3 2 2 2 3 3 4 4" xfId="20386"/>
    <cellStyle name="Currency 3 2 2 2 3 3 4 4 2" xfId="20387"/>
    <cellStyle name="Currency 3 2 2 2 3 3 4 5" xfId="20388"/>
    <cellStyle name="Currency 3 2 2 2 3 3 4 6" xfId="20389"/>
    <cellStyle name="Currency 3 2 2 2 3 3 5" xfId="20390"/>
    <cellStyle name="Currency 3 2 2 2 3 3 5 2" xfId="20391"/>
    <cellStyle name="Currency 3 2 2 2 3 3 5 2 2" xfId="20392"/>
    <cellStyle name="Currency 3 2 2 2 3 3 5 3" xfId="20393"/>
    <cellStyle name="Currency 3 2 2 2 3 3 5 3 2" xfId="20394"/>
    <cellStyle name="Currency 3 2 2 2 3 3 5 4" xfId="20395"/>
    <cellStyle name="Currency 3 2 2 2 3 3 5 5" xfId="20396"/>
    <cellStyle name="Currency 3 2 2 2 3 3 6" xfId="20397"/>
    <cellStyle name="Currency 3 2 2 2 3 3 6 2" xfId="20398"/>
    <cellStyle name="Currency 3 2 2 2 3 3 7" xfId="20399"/>
    <cellStyle name="Currency 3 2 2 2 3 3 7 2" xfId="20400"/>
    <cellStyle name="Currency 3 2 2 2 3 3 8" xfId="20401"/>
    <cellStyle name="Currency 3 2 2 2 3 3 8 2" xfId="20402"/>
    <cellStyle name="Currency 3 2 2 2 3 3 9" xfId="20403"/>
    <cellStyle name="Currency 3 2 2 2 3 4" xfId="20404"/>
    <cellStyle name="Currency 3 2 2 2 3 4 10" xfId="20405"/>
    <cellStyle name="Currency 3 2 2 2 3 4 2" xfId="20406"/>
    <cellStyle name="Currency 3 2 2 2 3 4 2 2" xfId="20407"/>
    <cellStyle name="Currency 3 2 2 2 3 4 2 2 2" xfId="20408"/>
    <cellStyle name="Currency 3 2 2 2 3 4 2 3" xfId="20409"/>
    <cellStyle name="Currency 3 2 2 2 3 4 2 3 2" xfId="20410"/>
    <cellStyle name="Currency 3 2 2 2 3 4 2 4" xfId="20411"/>
    <cellStyle name="Currency 3 2 2 2 3 4 2 4 2" xfId="20412"/>
    <cellStyle name="Currency 3 2 2 2 3 4 2 5" xfId="20413"/>
    <cellStyle name="Currency 3 2 2 2 3 4 2 6" xfId="20414"/>
    <cellStyle name="Currency 3 2 2 2 3 4 3" xfId="20415"/>
    <cellStyle name="Currency 3 2 2 2 3 4 3 2" xfId="20416"/>
    <cellStyle name="Currency 3 2 2 2 3 4 3 2 2" xfId="20417"/>
    <cellStyle name="Currency 3 2 2 2 3 4 3 3" xfId="20418"/>
    <cellStyle name="Currency 3 2 2 2 3 4 3 3 2" xfId="20419"/>
    <cellStyle name="Currency 3 2 2 2 3 4 3 4" xfId="20420"/>
    <cellStyle name="Currency 3 2 2 2 3 4 3 4 2" xfId="20421"/>
    <cellStyle name="Currency 3 2 2 2 3 4 3 5" xfId="20422"/>
    <cellStyle name="Currency 3 2 2 2 3 4 3 6" xfId="20423"/>
    <cellStyle name="Currency 3 2 2 2 3 4 4" xfId="20424"/>
    <cellStyle name="Currency 3 2 2 2 3 4 4 2" xfId="20425"/>
    <cellStyle name="Currency 3 2 2 2 3 4 4 2 2" xfId="20426"/>
    <cellStyle name="Currency 3 2 2 2 3 4 4 3" xfId="20427"/>
    <cellStyle name="Currency 3 2 2 2 3 4 4 3 2" xfId="20428"/>
    <cellStyle name="Currency 3 2 2 2 3 4 4 4" xfId="20429"/>
    <cellStyle name="Currency 3 2 2 2 3 4 4 4 2" xfId="20430"/>
    <cellStyle name="Currency 3 2 2 2 3 4 4 5" xfId="20431"/>
    <cellStyle name="Currency 3 2 2 2 3 4 4 6" xfId="20432"/>
    <cellStyle name="Currency 3 2 2 2 3 4 5" xfId="20433"/>
    <cellStyle name="Currency 3 2 2 2 3 4 5 2" xfId="20434"/>
    <cellStyle name="Currency 3 2 2 2 3 4 5 2 2" xfId="20435"/>
    <cellStyle name="Currency 3 2 2 2 3 4 5 3" xfId="20436"/>
    <cellStyle name="Currency 3 2 2 2 3 4 5 3 2" xfId="20437"/>
    <cellStyle name="Currency 3 2 2 2 3 4 5 4" xfId="20438"/>
    <cellStyle name="Currency 3 2 2 2 3 4 5 5" xfId="20439"/>
    <cellStyle name="Currency 3 2 2 2 3 4 6" xfId="20440"/>
    <cellStyle name="Currency 3 2 2 2 3 4 6 2" xfId="20441"/>
    <cellStyle name="Currency 3 2 2 2 3 4 7" xfId="20442"/>
    <cellStyle name="Currency 3 2 2 2 3 4 7 2" xfId="20443"/>
    <cellStyle name="Currency 3 2 2 2 3 4 8" xfId="20444"/>
    <cellStyle name="Currency 3 2 2 2 3 4 8 2" xfId="20445"/>
    <cellStyle name="Currency 3 2 2 2 3 4 9" xfId="20446"/>
    <cellStyle name="Currency 3 2 2 2 3 5" xfId="20447"/>
    <cellStyle name="Currency 3 2 2 2 3 5 2" xfId="20448"/>
    <cellStyle name="Currency 3 2 2 2 3 5 2 2" xfId="20449"/>
    <cellStyle name="Currency 3 2 2 2 3 5 3" xfId="20450"/>
    <cellStyle name="Currency 3 2 2 2 3 5 3 2" xfId="20451"/>
    <cellStyle name="Currency 3 2 2 2 3 5 4" xfId="20452"/>
    <cellStyle name="Currency 3 2 2 2 3 5 4 2" xfId="20453"/>
    <cellStyle name="Currency 3 2 2 2 3 5 5" xfId="20454"/>
    <cellStyle name="Currency 3 2 2 2 3 5 6" xfId="20455"/>
    <cellStyle name="Currency 3 2 2 2 3 6" xfId="20456"/>
    <cellStyle name="Currency 3 2 2 2 3 6 2" xfId="20457"/>
    <cellStyle name="Currency 3 2 2 2 3 6 2 2" xfId="20458"/>
    <cellStyle name="Currency 3 2 2 2 3 6 3" xfId="20459"/>
    <cellStyle name="Currency 3 2 2 2 3 6 3 2" xfId="20460"/>
    <cellStyle name="Currency 3 2 2 2 3 6 4" xfId="20461"/>
    <cellStyle name="Currency 3 2 2 2 3 6 4 2" xfId="20462"/>
    <cellStyle name="Currency 3 2 2 2 3 6 5" xfId="20463"/>
    <cellStyle name="Currency 3 2 2 2 3 6 6" xfId="20464"/>
    <cellStyle name="Currency 3 2 2 2 3 7" xfId="20465"/>
    <cellStyle name="Currency 3 2 2 2 3 7 2" xfId="20466"/>
    <cellStyle name="Currency 3 2 2 2 3 7 2 2" xfId="20467"/>
    <cellStyle name="Currency 3 2 2 2 3 7 3" xfId="20468"/>
    <cellStyle name="Currency 3 2 2 2 3 7 3 2" xfId="20469"/>
    <cellStyle name="Currency 3 2 2 2 3 7 4" xfId="20470"/>
    <cellStyle name="Currency 3 2 2 2 3 7 4 2" xfId="20471"/>
    <cellStyle name="Currency 3 2 2 2 3 7 5" xfId="20472"/>
    <cellStyle name="Currency 3 2 2 2 3 7 6" xfId="20473"/>
    <cellStyle name="Currency 3 2 2 2 3 8" xfId="20474"/>
    <cellStyle name="Currency 3 2 2 2 3 8 2" xfId="20475"/>
    <cellStyle name="Currency 3 2 2 2 3 8 2 2" xfId="20476"/>
    <cellStyle name="Currency 3 2 2 2 3 8 3" xfId="20477"/>
    <cellStyle name="Currency 3 2 2 2 3 8 3 2" xfId="20478"/>
    <cellStyle name="Currency 3 2 2 2 3 8 4" xfId="20479"/>
    <cellStyle name="Currency 3 2 2 2 3 8 5" xfId="20480"/>
    <cellStyle name="Currency 3 2 2 2 3 9" xfId="20481"/>
    <cellStyle name="Currency 3 2 2 2 3 9 2" xfId="20482"/>
    <cellStyle name="Currency 3 2 2 2 4" xfId="20483"/>
    <cellStyle name="Currency 3 2 2 2 4 10" xfId="20484"/>
    <cellStyle name="Currency 3 2 2 2 4 10 2" xfId="20485"/>
    <cellStyle name="Currency 3 2 2 2 4 11" xfId="20486"/>
    <cellStyle name="Currency 3 2 2 2 4 12" xfId="20487"/>
    <cellStyle name="Currency 3 2 2 2 4 2" xfId="20488"/>
    <cellStyle name="Currency 3 2 2 2 4 2 10" xfId="20489"/>
    <cellStyle name="Currency 3 2 2 2 4 2 2" xfId="20490"/>
    <cellStyle name="Currency 3 2 2 2 4 2 2 2" xfId="20491"/>
    <cellStyle name="Currency 3 2 2 2 4 2 2 2 2" xfId="20492"/>
    <cellStyle name="Currency 3 2 2 2 4 2 2 3" xfId="20493"/>
    <cellStyle name="Currency 3 2 2 2 4 2 2 3 2" xfId="20494"/>
    <cellStyle name="Currency 3 2 2 2 4 2 2 4" xfId="20495"/>
    <cellStyle name="Currency 3 2 2 2 4 2 2 4 2" xfId="20496"/>
    <cellStyle name="Currency 3 2 2 2 4 2 2 5" xfId="20497"/>
    <cellStyle name="Currency 3 2 2 2 4 2 2 6" xfId="20498"/>
    <cellStyle name="Currency 3 2 2 2 4 2 3" xfId="20499"/>
    <cellStyle name="Currency 3 2 2 2 4 2 3 2" xfId="20500"/>
    <cellStyle name="Currency 3 2 2 2 4 2 3 2 2" xfId="20501"/>
    <cellStyle name="Currency 3 2 2 2 4 2 3 3" xfId="20502"/>
    <cellStyle name="Currency 3 2 2 2 4 2 3 3 2" xfId="20503"/>
    <cellStyle name="Currency 3 2 2 2 4 2 3 4" xfId="20504"/>
    <cellStyle name="Currency 3 2 2 2 4 2 3 4 2" xfId="20505"/>
    <cellStyle name="Currency 3 2 2 2 4 2 3 5" xfId="20506"/>
    <cellStyle name="Currency 3 2 2 2 4 2 3 6" xfId="20507"/>
    <cellStyle name="Currency 3 2 2 2 4 2 4" xfId="20508"/>
    <cellStyle name="Currency 3 2 2 2 4 2 4 2" xfId="20509"/>
    <cellStyle name="Currency 3 2 2 2 4 2 4 2 2" xfId="20510"/>
    <cellStyle name="Currency 3 2 2 2 4 2 4 3" xfId="20511"/>
    <cellStyle name="Currency 3 2 2 2 4 2 4 3 2" xfId="20512"/>
    <cellStyle name="Currency 3 2 2 2 4 2 4 4" xfId="20513"/>
    <cellStyle name="Currency 3 2 2 2 4 2 4 4 2" xfId="20514"/>
    <cellStyle name="Currency 3 2 2 2 4 2 4 5" xfId="20515"/>
    <cellStyle name="Currency 3 2 2 2 4 2 4 6" xfId="20516"/>
    <cellStyle name="Currency 3 2 2 2 4 2 5" xfId="20517"/>
    <cellStyle name="Currency 3 2 2 2 4 2 5 2" xfId="20518"/>
    <cellStyle name="Currency 3 2 2 2 4 2 5 2 2" xfId="20519"/>
    <cellStyle name="Currency 3 2 2 2 4 2 5 3" xfId="20520"/>
    <cellStyle name="Currency 3 2 2 2 4 2 5 3 2" xfId="20521"/>
    <cellStyle name="Currency 3 2 2 2 4 2 5 4" xfId="20522"/>
    <cellStyle name="Currency 3 2 2 2 4 2 5 5" xfId="20523"/>
    <cellStyle name="Currency 3 2 2 2 4 2 6" xfId="20524"/>
    <cellStyle name="Currency 3 2 2 2 4 2 6 2" xfId="20525"/>
    <cellStyle name="Currency 3 2 2 2 4 2 7" xfId="20526"/>
    <cellStyle name="Currency 3 2 2 2 4 2 7 2" xfId="20527"/>
    <cellStyle name="Currency 3 2 2 2 4 2 8" xfId="20528"/>
    <cellStyle name="Currency 3 2 2 2 4 2 8 2" xfId="20529"/>
    <cellStyle name="Currency 3 2 2 2 4 2 9" xfId="20530"/>
    <cellStyle name="Currency 3 2 2 2 4 3" xfId="20531"/>
    <cellStyle name="Currency 3 2 2 2 4 3 10" xfId="20532"/>
    <cellStyle name="Currency 3 2 2 2 4 3 2" xfId="20533"/>
    <cellStyle name="Currency 3 2 2 2 4 3 2 2" xfId="20534"/>
    <cellStyle name="Currency 3 2 2 2 4 3 2 2 2" xfId="20535"/>
    <cellStyle name="Currency 3 2 2 2 4 3 2 3" xfId="20536"/>
    <cellStyle name="Currency 3 2 2 2 4 3 2 3 2" xfId="20537"/>
    <cellStyle name="Currency 3 2 2 2 4 3 2 4" xfId="20538"/>
    <cellStyle name="Currency 3 2 2 2 4 3 2 4 2" xfId="20539"/>
    <cellStyle name="Currency 3 2 2 2 4 3 2 5" xfId="20540"/>
    <cellStyle name="Currency 3 2 2 2 4 3 2 6" xfId="20541"/>
    <cellStyle name="Currency 3 2 2 2 4 3 3" xfId="20542"/>
    <cellStyle name="Currency 3 2 2 2 4 3 3 2" xfId="20543"/>
    <cellStyle name="Currency 3 2 2 2 4 3 3 2 2" xfId="20544"/>
    <cellStyle name="Currency 3 2 2 2 4 3 3 3" xfId="20545"/>
    <cellStyle name="Currency 3 2 2 2 4 3 3 3 2" xfId="20546"/>
    <cellStyle name="Currency 3 2 2 2 4 3 3 4" xfId="20547"/>
    <cellStyle name="Currency 3 2 2 2 4 3 3 4 2" xfId="20548"/>
    <cellStyle name="Currency 3 2 2 2 4 3 3 5" xfId="20549"/>
    <cellStyle name="Currency 3 2 2 2 4 3 3 6" xfId="20550"/>
    <cellStyle name="Currency 3 2 2 2 4 3 4" xfId="20551"/>
    <cellStyle name="Currency 3 2 2 2 4 3 4 2" xfId="20552"/>
    <cellStyle name="Currency 3 2 2 2 4 3 4 2 2" xfId="20553"/>
    <cellStyle name="Currency 3 2 2 2 4 3 4 3" xfId="20554"/>
    <cellStyle name="Currency 3 2 2 2 4 3 4 3 2" xfId="20555"/>
    <cellStyle name="Currency 3 2 2 2 4 3 4 4" xfId="20556"/>
    <cellStyle name="Currency 3 2 2 2 4 3 4 4 2" xfId="20557"/>
    <cellStyle name="Currency 3 2 2 2 4 3 4 5" xfId="20558"/>
    <cellStyle name="Currency 3 2 2 2 4 3 4 6" xfId="20559"/>
    <cellStyle name="Currency 3 2 2 2 4 3 5" xfId="20560"/>
    <cellStyle name="Currency 3 2 2 2 4 3 5 2" xfId="20561"/>
    <cellStyle name="Currency 3 2 2 2 4 3 5 2 2" xfId="20562"/>
    <cellStyle name="Currency 3 2 2 2 4 3 5 3" xfId="20563"/>
    <cellStyle name="Currency 3 2 2 2 4 3 5 3 2" xfId="20564"/>
    <cellStyle name="Currency 3 2 2 2 4 3 5 4" xfId="20565"/>
    <cellStyle name="Currency 3 2 2 2 4 3 5 5" xfId="20566"/>
    <cellStyle name="Currency 3 2 2 2 4 3 6" xfId="20567"/>
    <cellStyle name="Currency 3 2 2 2 4 3 6 2" xfId="20568"/>
    <cellStyle name="Currency 3 2 2 2 4 3 7" xfId="20569"/>
    <cellStyle name="Currency 3 2 2 2 4 3 7 2" xfId="20570"/>
    <cellStyle name="Currency 3 2 2 2 4 3 8" xfId="20571"/>
    <cellStyle name="Currency 3 2 2 2 4 3 8 2" xfId="20572"/>
    <cellStyle name="Currency 3 2 2 2 4 3 9" xfId="20573"/>
    <cellStyle name="Currency 3 2 2 2 4 4" xfId="20574"/>
    <cellStyle name="Currency 3 2 2 2 4 4 2" xfId="20575"/>
    <cellStyle name="Currency 3 2 2 2 4 4 2 2" xfId="20576"/>
    <cellStyle name="Currency 3 2 2 2 4 4 3" xfId="20577"/>
    <cellStyle name="Currency 3 2 2 2 4 4 3 2" xfId="20578"/>
    <cellStyle name="Currency 3 2 2 2 4 4 4" xfId="20579"/>
    <cellStyle name="Currency 3 2 2 2 4 4 4 2" xfId="20580"/>
    <cellStyle name="Currency 3 2 2 2 4 4 5" xfId="20581"/>
    <cellStyle name="Currency 3 2 2 2 4 4 6" xfId="20582"/>
    <cellStyle name="Currency 3 2 2 2 4 5" xfId="20583"/>
    <cellStyle name="Currency 3 2 2 2 4 5 2" xfId="20584"/>
    <cellStyle name="Currency 3 2 2 2 4 5 2 2" xfId="20585"/>
    <cellStyle name="Currency 3 2 2 2 4 5 3" xfId="20586"/>
    <cellStyle name="Currency 3 2 2 2 4 5 3 2" xfId="20587"/>
    <cellStyle name="Currency 3 2 2 2 4 5 4" xfId="20588"/>
    <cellStyle name="Currency 3 2 2 2 4 5 4 2" xfId="20589"/>
    <cellStyle name="Currency 3 2 2 2 4 5 5" xfId="20590"/>
    <cellStyle name="Currency 3 2 2 2 4 5 6" xfId="20591"/>
    <cellStyle name="Currency 3 2 2 2 4 6" xfId="20592"/>
    <cellStyle name="Currency 3 2 2 2 4 6 2" xfId="20593"/>
    <cellStyle name="Currency 3 2 2 2 4 6 2 2" xfId="20594"/>
    <cellStyle name="Currency 3 2 2 2 4 6 3" xfId="20595"/>
    <cellStyle name="Currency 3 2 2 2 4 6 3 2" xfId="20596"/>
    <cellStyle name="Currency 3 2 2 2 4 6 4" xfId="20597"/>
    <cellStyle name="Currency 3 2 2 2 4 6 4 2" xfId="20598"/>
    <cellStyle name="Currency 3 2 2 2 4 6 5" xfId="20599"/>
    <cellStyle name="Currency 3 2 2 2 4 6 6" xfId="20600"/>
    <cellStyle name="Currency 3 2 2 2 4 7" xfId="20601"/>
    <cellStyle name="Currency 3 2 2 2 4 7 2" xfId="20602"/>
    <cellStyle name="Currency 3 2 2 2 4 7 2 2" xfId="20603"/>
    <cellStyle name="Currency 3 2 2 2 4 7 3" xfId="20604"/>
    <cellStyle name="Currency 3 2 2 2 4 7 3 2" xfId="20605"/>
    <cellStyle name="Currency 3 2 2 2 4 7 4" xfId="20606"/>
    <cellStyle name="Currency 3 2 2 2 4 7 5" xfId="20607"/>
    <cellStyle name="Currency 3 2 2 2 4 8" xfId="20608"/>
    <cellStyle name="Currency 3 2 2 2 4 8 2" xfId="20609"/>
    <cellStyle name="Currency 3 2 2 2 4 9" xfId="20610"/>
    <cellStyle name="Currency 3 2 2 2 4 9 2" xfId="20611"/>
    <cellStyle name="Currency 3 2 2 2 5" xfId="20612"/>
    <cellStyle name="Currency 3 2 2 2 5 10" xfId="20613"/>
    <cellStyle name="Currency 3 2 2 2 5 11" xfId="20614"/>
    <cellStyle name="Currency 3 2 2 2 5 2" xfId="20615"/>
    <cellStyle name="Currency 3 2 2 2 5 2 2" xfId="20616"/>
    <cellStyle name="Currency 3 2 2 2 5 2 2 2" xfId="20617"/>
    <cellStyle name="Currency 3 2 2 2 5 2 3" xfId="20618"/>
    <cellStyle name="Currency 3 2 2 2 5 2 3 2" xfId="20619"/>
    <cellStyle name="Currency 3 2 2 2 5 2 4" xfId="20620"/>
    <cellStyle name="Currency 3 2 2 2 5 2 4 2" xfId="20621"/>
    <cellStyle name="Currency 3 2 2 2 5 2 5" xfId="20622"/>
    <cellStyle name="Currency 3 2 2 2 5 2 6" xfId="20623"/>
    <cellStyle name="Currency 3 2 2 2 5 3" xfId="20624"/>
    <cellStyle name="Currency 3 2 2 2 5 3 2" xfId="20625"/>
    <cellStyle name="Currency 3 2 2 2 5 3 2 2" xfId="20626"/>
    <cellStyle name="Currency 3 2 2 2 5 3 3" xfId="20627"/>
    <cellStyle name="Currency 3 2 2 2 5 3 3 2" xfId="20628"/>
    <cellStyle name="Currency 3 2 2 2 5 3 4" xfId="20629"/>
    <cellStyle name="Currency 3 2 2 2 5 3 4 2" xfId="20630"/>
    <cellStyle name="Currency 3 2 2 2 5 3 5" xfId="20631"/>
    <cellStyle name="Currency 3 2 2 2 5 3 6" xfId="20632"/>
    <cellStyle name="Currency 3 2 2 2 5 4" xfId="20633"/>
    <cellStyle name="Currency 3 2 2 2 5 4 2" xfId="20634"/>
    <cellStyle name="Currency 3 2 2 2 5 4 2 2" xfId="20635"/>
    <cellStyle name="Currency 3 2 2 2 5 4 3" xfId="20636"/>
    <cellStyle name="Currency 3 2 2 2 5 4 3 2" xfId="20637"/>
    <cellStyle name="Currency 3 2 2 2 5 4 4" xfId="20638"/>
    <cellStyle name="Currency 3 2 2 2 5 4 4 2" xfId="20639"/>
    <cellStyle name="Currency 3 2 2 2 5 4 5" xfId="20640"/>
    <cellStyle name="Currency 3 2 2 2 5 4 6" xfId="20641"/>
    <cellStyle name="Currency 3 2 2 2 5 5" xfId="20642"/>
    <cellStyle name="Currency 3 2 2 2 5 5 2" xfId="20643"/>
    <cellStyle name="Currency 3 2 2 2 5 5 2 2" xfId="20644"/>
    <cellStyle name="Currency 3 2 2 2 5 5 3" xfId="20645"/>
    <cellStyle name="Currency 3 2 2 2 5 5 3 2" xfId="20646"/>
    <cellStyle name="Currency 3 2 2 2 5 5 4" xfId="20647"/>
    <cellStyle name="Currency 3 2 2 2 5 5 4 2" xfId="20648"/>
    <cellStyle name="Currency 3 2 2 2 5 5 5" xfId="20649"/>
    <cellStyle name="Currency 3 2 2 2 5 5 6" xfId="20650"/>
    <cellStyle name="Currency 3 2 2 2 5 6" xfId="20651"/>
    <cellStyle name="Currency 3 2 2 2 5 6 2" xfId="20652"/>
    <cellStyle name="Currency 3 2 2 2 5 6 2 2" xfId="20653"/>
    <cellStyle name="Currency 3 2 2 2 5 6 3" xfId="20654"/>
    <cellStyle name="Currency 3 2 2 2 5 6 3 2" xfId="20655"/>
    <cellStyle name="Currency 3 2 2 2 5 6 4" xfId="20656"/>
    <cellStyle name="Currency 3 2 2 2 5 6 5" xfId="20657"/>
    <cellStyle name="Currency 3 2 2 2 5 7" xfId="20658"/>
    <cellStyle name="Currency 3 2 2 2 5 7 2" xfId="20659"/>
    <cellStyle name="Currency 3 2 2 2 5 8" xfId="20660"/>
    <cellStyle name="Currency 3 2 2 2 5 8 2" xfId="20661"/>
    <cellStyle name="Currency 3 2 2 2 5 9" xfId="20662"/>
    <cellStyle name="Currency 3 2 2 2 5 9 2" xfId="20663"/>
    <cellStyle name="Currency 3 2 2 2 6" xfId="20664"/>
    <cellStyle name="Currency 3 2 2 2 6 10" xfId="20665"/>
    <cellStyle name="Currency 3 2 2 2 6 2" xfId="20666"/>
    <cellStyle name="Currency 3 2 2 2 6 2 2" xfId="20667"/>
    <cellStyle name="Currency 3 2 2 2 6 2 2 2" xfId="20668"/>
    <cellStyle name="Currency 3 2 2 2 6 2 3" xfId="20669"/>
    <cellStyle name="Currency 3 2 2 2 6 2 3 2" xfId="20670"/>
    <cellStyle name="Currency 3 2 2 2 6 2 4" xfId="20671"/>
    <cellStyle name="Currency 3 2 2 2 6 2 4 2" xfId="20672"/>
    <cellStyle name="Currency 3 2 2 2 6 2 5" xfId="20673"/>
    <cellStyle name="Currency 3 2 2 2 6 2 6" xfId="20674"/>
    <cellStyle name="Currency 3 2 2 2 6 3" xfId="20675"/>
    <cellStyle name="Currency 3 2 2 2 6 3 2" xfId="20676"/>
    <cellStyle name="Currency 3 2 2 2 6 3 2 2" xfId="20677"/>
    <cellStyle name="Currency 3 2 2 2 6 3 3" xfId="20678"/>
    <cellStyle name="Currency 3 2 2 2 6 3 3 2" xfId="20679"/>
    <cellStyle name="Currency 3 2 2 2 6 3 4" xfId="20680"/>
    <cellStyle name="Currency 3 2 2 2 6 3 4 2" xfId="20681"/>
    <cellStyle name="Currency 3 2 2 2 6 3 5" xfId="20682"/>
    <cellStyle name="Currency 3 2 2 2 6 3 6" xfId="20683"/>
    <cellStyle name="Currency 3 2 2 2 6 4" xfId="20684"/>
    <cellStyle name="Currency 3 2 2 2 6 4 2" xfId="20685"/>
    <cellStyle name="Currency 3 2 2 2 6 4 2 2" xfId="20686"/>
    <cellStyle name="Currency 3 2 2 2 6 4 3" xfId="20687"/>
    <cellStyle name="Currency 3 2 2 2 6 4 3 2" xfId="20688"/>
    <cellStyle name="Currency 3 2 2 2 6 4 4" xfId="20689"/>
    <cellStyle name="Currency 3 2 2 2 6 4 4 2" xfId="20690"/>
    <cellStyle name="Currency 3 2 2 2 6 4 5" xfId="20691"/>
    <cellStyle name="Currency 3 2 2 2 6 4 6" xfId="20692"/>
    <cellStyle name="Currency 3 2 2 2 6 5" xfId="20693"/>
    <cellStyle name="Currency 3 2 2 2 6 5 2" xfId="20694"/>
    <cellStyle name="Currency 3 2 2 2 6 5 2 2" xfId="20695"/>
    <cellStyle name="Currency 3 2 2 2 6 5 3" xfId="20696"/>
    <cellStyle name="Currency 3 2 2 2 6 5 3 2" xfId="20697"/>
    <cellStyle name="Currency 3 2 2 2 6 5 4" xfId="20698"/>
    <cellStyle name="Currency 3 2 2 2 6 5 5" xfId="20699"/>
    <cellStyle name="Currency 3 2 2 2 6 6" xfId="20700"/>
    <cellStyle name="Currency 3 2 2 2 6 6 2" xfId="20701"/>
    <cellStyle name="Currency 3 2 2 2 6 7" xfId="20702"/>
    <cellStyle name="Currency 3 2 2 2 6 7 2" xfId="20703"/>
    <cellStyle name="Currency 3 2 2 2 6 8" xfId="20704"/>
    <cellStyle name="Currency 3 2 2 2 6 8 2" xfId="20705"/>
    <cellStyle name="Currency 3 2 2 2 6 9" xfId="20706"/>
    <cellStyle name="Currency 3 2 2 2 7" xfId="20707"/>
    <cellStyle name="Currency 3 2 2 2 7 10" xfId="20708"/>
    <cellStyle name="Currency 3 2 2 2 7 2" xfId="20709"/>
    <cellStyle name="Currency 3 2 2 2 7 2 2" xfId="20710"/>
    <cellStyle name="Currency 3 2 2 2 7 2 2 2" xfId="20711"/>
    <cellStyle name="Currency 3 2 2 2 7 2 3" xfId="20712"/>
    <cellStyle name="Currency 3 2 2 2 7 2 3 2" xfId="20713"/>
    <cellStyle name="Currency 3 2 2 2 7 2 4" xfId="20714"/>
    <cellStyle name="Currency 3 2 2 2 7 2 4 2" xfId="20715"/>
    <cellStyle name="Currency 3 2 2 2 7 2 5" xfId="20716"/>
    <cellStyle name="Currency 3 2 2 2 7 2 6" xfId="20717"/>
    <cellStyle name="Currency 3 2 2 2 7 3" xfId="20718"/>
    <cellStyle name="Currency 3 2 2 2 7 3 2" xfId="20719"/>
    <cellStyle name="Currency 3 2 2 2 7 3 2 2" xfId="20720"/>
    <cellStyle name="Currency 3 2 2 2 7 3 3" xfId="20721"/>
    <cellStyle name="Currency 3 2 2 2 7 3 3 2" xfId="20722"/>
    <cellStyle name="Currency 3 2 2 2 7 3 4" xfId="20723"/>
    <cellStyle name="Currency 3 2 2 2 7 3 4 2" xfId="20724"/>
    <cellStyle name="Currency 3 2 2 2 7 3 5" xfId="20725"/>
    <cellStyle name="Currency 3 2 2 2 7 3 6" xfId="20726"/>
    <cellStyle name="Currency 3 2 2 2 7 4" xfId="20727"/>
    <cellStyle name="Currency 3 2 2 2 7 4 2" xfId="20728"/>
    <cellStyle name="Currency 3 2 2 2 7 4 2 2" xfId="20729"/>
    <cellStyle name="Currency 3 2 2 2 7 4 3" xfId="20730"/>
    <cellStyle name="Currency 3 2 2 2 7 4 3 2" xfId="20731"/>
    <cellStyle name="Currency 3 2 2 2 7 4 4" xfId="20732"/>
    <cellStyle name="Currency 3 2 2 2 7 4 4 2" xfId="20733"/>
    <cellStyle name="Currency 3 2 2 2 7 4 5" xfId="20734"/>
    <cellStyle name="Currency 3 2 2 2 7 4 6" xfId="20735"/>
    <cellStyle name="Currency 3 2 2 2 7 5" xfId="20736"/>
    <cellStyle name="Currency 3 2 2 2 7 5 2" xfId="20737"/>
    <cellStyle name="Currency 3 2 2 2 7 5 2 2" xfId="20738"/>
    <cellStyle name="Currency 3 2 2 2 7 5 3" xfId="20739"/>
    <cellStyle name="Currency 3 2 2 2 7 5 3 2" xfId="20740"/>
    <cellStyle name="Currency 3 2 2 2 7 5 4" xfId="20741"/>
    <cellStyle name="Currency 3 2 2 2 7 5 5" xfId="20742"/>
    <cellStyle name="Currency 3 2 2 2 7 6" xfId="20743"/>
    <cellStyle name="Currency 3 2 2 2 7 6 2" xfId="20744"/>
    <cellStyle name="Currency 3 2 2 2 7 7" xfId="20745"/>
    <cellStyle name="Currency 3 2 2 2 7 7 2" xfId="20746"/>
    <cellStyle name="Currency 3 2 2 2 7 8" xfId="20747"/>
    <cellStyle name="Currency 3 2 2 2 7 8 2" xfId="20748"/>
    <cellStyle name="Currency 3 2 2 2 7 9" xfId="20749"/>
    <cellStyle name="Currency 3 2 2 2 8" xfId="20750"/>
    <cellStyle name="Currency 3 2 2 2 8 2" xfId="20751"/>
    <cellStyle name="Currency 3 2 2 2 8 2 2" xfId="20752"/>
    <cellStyle name="Currency 3 2 2 2 8 3" xfId="20753"/>
    <cellStyle name="Currency 3 2 2 2 8 3 2" xfId="20754"/>
    <cellStyle name="Currency 3 2 2 2 8 4" xfId="20755"/>
    <cellStyle name="Currency 3 2 2 2 8 4 2" xfId="20756"/>
    <cellStyle name="Currency 3 2 2 2 8 5" xfId="20757"/>
    <cellStyle name="Currency 3 2 2 2 8 6" xfId="20758"/>
    <cellStyle name="Currency 3 2 2 2 9" xfId="20759"/>
    <cellStyle name="Currency 3 2 2 2 9 2" xfId="20760"/>
    <cellStyle name="Currency 3 2 2 2 9 2 2" xfId="20761"/>
    <cellStyle name="Currency 3 2 2 2 9 3" xfId="20762"/>
    <cellStyle name="Currency 3 2 2 2 9 3 2" xfId="20763"/>
    <cellStyle name="Currency 3 2 2 2 9 4" xfId="20764"/>
    <cellStyle name="Currency 3 2 2 2 9 4 2" xfId="20765"/>
    <cellStyle name="Currency 3 2 2 2 9 5" xfId="20766"/>
    <cellStyle name="Currency 3 2 2 2 9 6" xfId="20767"/>
    <cellStyle name="Currency 3 2 2 3" xfId="20768"/>
    <cellStyle name="Currency 3 2 2 3 10" xfId="20769"/>
    <cellStyle name="Currency 3 2 2 3 10 2" xfId="20770"/>
    <cellStyle name="Currency 3 2 2 3 11" xfId="20771"/>
    <cellStyle name="Currency 3 2 2 3 11 2" xfId="20772"/>
    <cellStyle name="Currency 3 2 2 3 12" xfId="20773"/>
    <cellStyle name="Currency 3 2 2 3 13" xfId="20774"/>
    <cellStyle name="Currency 3 2 2 3 2" xfId="20775"/>
    <cellStyle name="Currency 3 2 2 3 2 10" xfId="20776"/>
    <cellStyle name="Currency 3 2 2 3 2 11" xfId="20777"/>
    <cellStyle name="Currency 3 2 2 3 2 2" xfId="20778"/>
    <cellStyle name="Currency 3 2 2 3 2 2 2" xfId="20779"/>
    <cellStyle name="Currency 3 2 2 3 2 2 2 2" xfId="20780"/>
    <cellStyle name="Currency 3 2 2 3 2 2 3" xfId="20781"/>
    <cellStyle name="Currency 3 2 2 3 2 2 3 2" xfId="20782"/>
    <cellStyle name="Currency 3 2 2 3 2 2 4" xfId="20783"/>
    <cellStyle name="Currency 3 2 2 3 2 2 4 2" xfId="20784"/>
    <cellStyle name="Currency 3 2 2 3 2 2 5" xfId="20785"/>
    <cellStyle name="Currency 3 2 2 3 2 2 6" xfId="20786"/>
    <cellStyle name="Currency 3 2 2 3 2 3" xfId="20787"/>
    <cellStyle name="Currency 3 2 2 3 2 3 2" xfId="20788"/>
    <cellStyle name="Currency 3 2 2 3 2 3 2 2" xfId="20789"/>
    <cellStyle name="Currency 3 2 2 3 2 3 3" xfId="20790"/>
    <cellStyle name="Currency 3 2 2 3 2 3 3 2" xfId="20791"/>
    <cellStyle name="Currency 3 2 2 3 2 3 4" xfId="20792"/>
    <cellStyle name="Currency 3 2 2 3 2 3 4 2" xfId="20793"/>
    <cellStyle name="Currency 3 2 2 3 2 3 5" xfId="20794"/>
    <cellStyle name="Currency 3 2 2 3 2 3 6" xfId="20795"/>
    <cellStyle name="Currency 3 2 2 3 2 4" xfId="20796"/>
    <cellStyle name="Currency 3 2 2 3 2 4 2" xfId="20797"/>
    <cellStyle name="Currency 3 2 2 3 2 4 2 2" xfId="20798"/>
    <cellStyle name="Currency 3 2 2 3 2 4 3" xfId="20799"/>
    <cellStyle name="Currency 3 2 2 3 2 4 3 2" xfId="20800"/>
    <cellStyle name="Currency 3 2 2 3 2 4 4" xfId="20801"/>
    <cellStyle name="Currency 3 2 2 3 2 4 4 2" xfId="20802"/>
    <cellStyle name="Currency 3 2 2 3 2 4 5" xfId="20803"/>
    <cellStyle name="Currency 3 2 2 3 2 4 6" xfId="20804"/>
    <cellStyle name="Currency 3 2 2 3 2 5" xfId="20805"/>
    <cellStyle name="Currency 3 2 2 3 2 5 2" xfId="20806"/>
    <cellStyle name="Currency 3 2 2 3 2 5 2 2" xfId="20807"/>
    <cellStyle name="Currency 3 2 2 3 2 5 3" xfId="20808"/>
    <cellStyle name="Currency 3 2 2 3 2 5 3 2" xfId="20809"/>
    <cellStyle name="Currency 3 2 2 3 2 5 4" xfId="20810"/>
    <cellStyle name="Currency 3 2 2 3 2 5 4 2" xfId="20811"/>
    <cellStyle name="Currency 3 2 2 3 2 5 5" xfId="20812"/>
    <cellStyle name="Currency 3 2 2 3 2 5 6" xfId="20813"/>
    <cellStyle name="Currency 3 2 2 3 2 6" xfId="20814"/>
    <cellStyle name="Currency 3 2 2 3 2 6 2" xfId="20815"/>
    <cellStyle name="Currency 3 2 2 3 2 6 2 2" xfId="20816"/>
    <cellStyle name="Currency 3 2 2 3 2 6 3" xfId="20817"/>
    <cellStyle name="Currency 3 2 2 3 2 6 3 2" xfId="20818"/>
    <cellStyle name="Currency 3 2 2 3 2 6 4" xfId="20819"/>
    <cellStyle name="Currency 3 2 2 3 2 6 5" xfId="20820"/>
    <cellStyle name="Currency 3 2 2 3 2 7" xfId="20821"/>
    <cellStyle name="Currency 3 2 2 3 2 7 2" xfId="20822"/>
    <cellStyle name="Currency 3 2 2 3 2 8" xfId="20823"/>
    <cellStyle name="Currency 3 2 2 3 2 8 2" xfId="20824"/>
    <cellStyle name="Currency 3 2 2 3 2 9" xfId="20825"/>
    <cellStyle name="Currency 3 2 2 3 2 9 2" xfId="20826"/>
    <cellStyle name="Currency 3 2 2 3 3" xfId="20827"/>
    <cellStyle name="Currency 3 2 2 3 3 10" xfId="20828"/>
    <cellStyle name="Currency 3 2 2 3 3 2" xfId="20829"/>
    <cellStyle name="Currency 3 2 2 3 3 2 2" xfId="20830"/>
    <cellStyle name="Currency 3 2 2 3 3 2 2 2" xfId="20831"/>
    <cellStyle name="Currency 3 2 2 3 3 2 3" xfId="20832"/>
    <cellStyle name="Currency 3 2 2 3 3 2 3 2" xfId="20833"/>
    <cellStyle name="Currency 3 2 2 3 3 2 4" xfId="20834"/>
    <cellStyle name="Currency 3 2 2 3 3 2 4 2" xfId="20835"/>
    <cellStyle name="Currency 3 2 2 3 3 2 5" xfId="20836"/>
    <cellStyle name="Currency 3 2 2 3 3 2 6" xfId="20837"/>
    <cellStyle name="Currency 3 2 2 3 3 3" xfId="20838"/>
    <cellStyle name="Currency 3 2 2 3 3 3 2" xfId="20839"/>
    <cellStyle name="Currency 3 2 2 3 3 3 2 2" xfId="20840"/>
    <cellStyle name="Currency 3 2 2 3 3 3 3" xfId="20841"/>
    <cellStyle name="Currency 3 2 2 3 3 3 3 2" xfId="20842"/>
    <cellStyle name="Currency 3 2 2 3 3 3 4" xfId="20843"/>
    <cellStyle name="Currency 3 2 2 3 3 3 4 2" xfId="20844"/>
    <cellStyle name="Currency 3 2 2 3 3 3 5" xfId="20845"/>
    <cellStyle name="Currency 3 2 2 3 3 3 6" xfId="20846"/>
    <cellStyle name="Currency 3 2 2 3 3 4" xfId="20847"/>
    <cellStyle name="Currency 3 2 2 3 3 4 2" xfId="20848"/>
    <cellStyle name="Currency 3 2 2 3 3 4 2 2" xfId="20849"/>
    <cellStyle name="Currency 3 2 2 3 3 4 3" xfId="20850"/>
    <cellStyle name="Currency 3 2 2 3 3 4 3 2" xfId="20851"/>
    <cellStyle name="Currency 3 2 2 3 3 4 4" xfId="20852"/>
    <cellStyle name="Currency 3 2 2 3 3 4 4 2" xfId="20853"/>
    <cellStyle name="Currency 3 2 2 3 3 4 5" xfId="20854"/>
    <cellStyle name="Currency 3 2 2 3 3 4 6" xfId="20855"/>
    <cellStyle name="Currency 3 2 2 3 3 5" xfId="20856"/>
    <cellStyle name="Currency 3 2 2 3 3 5 2" xfId="20857"/>
    <cellStyle name="Currency 3 2 2 3 3 5 2 2" xfId="20858"/>
    <cellStyle name="Currency 3 2 2 3 3 5 3" xfId="20859"/>
    <cellStyle name="Currency 3 2 2 3 3 5 3 2" xfId="20860"/>
    <cellStyle name="Currency 3 2 2 3 3 5 4" xfId="20861"/>
    <cellStyle name="Currency 3 2 2 3 3 5 5" xfId="20862"/>
    <cellStyle name="Currency 3 2 2 3 3 6" xfId="20863"/>
    <cellStyle name="Currency 3 2 2 3 3 6 2" xfId="20864"/>
    <cellStyle name="Currency 3 2 2 3 3 7" xfId="20865"/>
    <cellStyle name="Currency 3 2 2 3 3 7 2" xfId="20866"/>
    <cellStyle name="Currency 3 2 2 3 3 8" xfId="20867"/>
    <cellStyle name="Currency 3 2 2 3 3 8 2" xfId="20868"/>
    <cellStyle name="Currency 3 2 2 3 3 9" xfId="20869"/>
    <cellStyle name="Currency 3 2 2 3 4" xfId="20870"/>
    <cellStyle name="Currency 3 2 2 3 4 10" xfId="20871"/>
    <cellStyle name="Currency 3 2 2 3 4 2" xfId="20872"/>
    <cellStyle name="Currency 3 2 2 3 4 2 2" xfId="20873"/>
    <cellStyle name="Currency 3 2 2 3 4 2 2 2" xfId="20874"/>
    <cellStyle name="Currency 3 2 2 3 4 2 3" xfId="20875"/>
    <cellStyle name="Currency 3 2 2 3 4 2 3 2" xfId="20876"/>
    <cellStyle name="Currency 3 2 2 3 4 2 4" xfId="20877"/>
    <cellStyle name="Currency 3 2 2 3 4 2 4 2" xfId="20878"/>
    <cellStyle name="Currency 3 2 2 3 4 2 5" xfId="20879"/>
    <cellStyle name="Currency 3 2 2 3 4 2 6" xfId="20880"/>
    <cellStyle name="Currency 3 2 2 3 4 3" xfId="20881"/>
    <cellStyle name="Currency 3 2 2 3 4 3 2" xfId="20882"/>
    <cellStyle name="Currency 3 2 2 3 4 3 2 2" xfId="20883"/>
    <cellStyle name="Currency 3 2 2 3 4 3 3" xfId="20884"/>
    <cellStyle name="Currency 3 2 2 3 4 3 3 2" xfId="20885"/>
    <cellStyle name="Currency 3 2 2 3 4 3 4" xfId="20886"/>
    <cellStyle name="Currency 3 2 2 3 4 3 4 2" xfId="20887"/>
    <cellStyle name="Currency 3 2 2 3 4 3 5" xfId="20888"/>
    <cellStyle name="Currency 3 2 2 3 4 3 6" xfId="20889"/>
    <cellStyle name="Currency 3 2 2 3 4 4" xfId="20890"/>
    <cellStyle name="Currency 3 2 2 3 4 4 2" xfId="20891"/>
    <cellStyle name="Currency 3 2 2 3 4 4 2 2" xfId="20892"/>
    <cellStyle name="Currency 3 2 2 3 4 4 3" xfId="20893"/>
    <cellStyle name="Currency 3 2 2 3 4 4 3 2" xfId="20894"/>
    <cellStyle name="Currency 3 2 2 3 4 4 4" xfId="20895"/>
    <cellStyle name="Currency 3 2 2 3 4 4 4 2" xfId="20896"/>
    <cellStyle name="Currency 3 2 2 3 4 4 5" xfId="20897"/>
    <cellStyle name="Currency 3 2 2 3 4 4 6" xfId="20898"/>
    <cellStyle name="Currency 3 2 2 3 4 5" xfId="20899"/>
    <cellStyle name="Currency 3 2 2 3 4 5 2" xfId="20900"/>
    <cellStyle name="Currency 3 2 2 3 4 5 2 2" xfId="20901"/>
    <cellStyle name="Currency 3 2 2 3 4 5 3" xfId="20902"/>
    <cellStyle name="Currency 3 2 2 3 4 5 3 2" xfId="20903"/>
    <cellStyle name="Currency 3 2 2 3 4 5 4" xfId="20904"/>
    <cellStyle name="Currency 3 2 2 3 4 5 5" xfId="20905"/>
    <cellStyle name="Currency 3 2 2 3 4 6" xfId="20906"/>
    <cellStyle name="Currency 3 2 2 3 4 6 2" xfId="20907"/>
    <cellStyle name="Currency 3 2 2 3 4 7" xfId="20908"/>
    <cellStyle name="Currency 3 2 2 3 4 7 2" xfId="20909"/>
    <cellStyle name="Currency 3 2 2 3 4 8" xfId="20910"/>
    <cellStyle name="Currency 3 2 2 3 4 8 2" xfId="20911"/>
    <cellStyle name="Currency 3 2 2 3 4 9" xfId="20912"/>
    <cellStyle name="Currency 3 2 2 3 5" xfId="20913"/>
    <cellStyle name="Currency 3 2 2 3 5 2" xfId="20914"/>
    <cellStyle name="Currency 3 2 2 3 5 2 2" xfId="20915"/>
    <cellStyle name="Currency 3 2 2 3 5 3" xfId="20916"/>
    <cellStyle name="Currency 3 2 2 3 5 3 2" xfId="20917"/>
    <cellStyle name="Currency 3 2 2 3 5 4" xfId="20918"/>
    <cellStyle name="Currency 3 2 2 3 5 4 2" xfId="20919"/>
    <cellStyle name="Currency 3 2 2 3 5 5" xfId="20920"/>
    <cellStyle name="Currency 3 2 2 3 5 6" xfId="20921"/>
    <cellStyle name="Currency 3 2 2 3 6" xfId="20922"/>
    <cellStyle name="Currency 3 2 2 3 6 2" xfId="20923"/>
    <cellStyle name="Currency 3 2 2 3 6 2 2" xfId="20924"/>
    <cellStyle name="Currency 3 2 2 3 6 3" xfId="20925"/>
    <cellStyle name="Currency 3 2 2 3 6 3 2" xfId="20926"/>
    <cellStyle name="Currency 3 2 2 3 6 4" xfId="20927"/>
    <cellStyle name="Currency 3 2 2 3 6 4 2" xfId="20928"/>
    <cellStyle name="Currency 3 2 2 3 6 5" xfId="20929"/>
    <cellStyle name="Currency 3 2 2 3 6 6" xfId="20930"/>
    <cellStyle name="Currency 3 2 2 3 7" xfId="20931"/>
    <cellStyle name="Currency 3 2 2 3 7 2" xfId="20932"/>
    <cellStyle name="Currency 3 2 2 3 7 2 2" xfId="20933"/>
    <cellStyle name="Currency 3 2 2 3 7 3" xfId="20934"/>
    <cellStyle name="Currency 3 2 2 3 7 3 2" xfId="20935"/>
    <cellStyle name="Currency 3 2 2 3 7 4" xfId="20936"/>
    <cellStyle name="Currency 3 2 2 3 7 4 2" xfId="20937"/>
    <cellStyle name="Currency 3 2 2 3 7 5" xfId="20938"/>
    <cellStyle name="Currency 3 2 2 3 7 6" xfId="20939"/>
    <cellStyle name="Currency 3 2 2 3 8" xfId="20940"/>
    <cellStyle name="Currency 3 2 2 3 8 2" xfId="20941"/>
    <cellStyle name="Currency 3 2 2 3 8 2 2" xfId="20942"/>
    <cellStyle name="Currency 3 2 2 3 8 3" xfId="20943"/>
    <cellStyle name="Currency 3 2 2 3 8 3 2" xfId="20944"/>
    <cellStyle name="Currency 3 2 2 3 8 4" xfId="20945"/>
    <cellStyle name="Currency 3 2 2 3 8 5" xfId="20946"/>
    <cellStyle name="Currency 3 2 2 3 9" xfId="20947"/>
    <cellStyle name="Currency 3 2 2 3 9 2" xfId="20948"/>
    <cellStyle name="Currency 3 2 2 4" xfId="20949"/>
    <cellStyle name="Currency 3 2 2 4 10" xfId="20950"/>
    <cellStyle name="Currency 3 2 2 4 10 2" xfId="20951"/>
    <cellStyle name="Currency 3 2 2 4 11" xfId="20952"/>
    <cellStyle name="Currency 3 2 2 4 11 2" xfId="20953"/>
    <cellStyle name="Currency 3 2 2 4 12" xfId="20954"/>
    <cellStyle name="Currency 3 2 2 4 13" xfId="20955"/>
    <cellStyle name="Currency 3 2 2 4 2" xfId="20956"/>
    <cellStyle name="Currency 3 2 2 4 2 10" xfId="20957"/>
    <cellStyle name="Currency 3 2 2 4 2 11" xfId="20958"/>
    <cellStyle name="Currency 3 2 2 4 2 2" xfId="20959"/>
    <cellStyle name="Currency 3 2 2 4 2 2 2" xfId="20960"/>
    <cellStyle name="Currency 3 2 2 4 2 2 2 2" xfId="20961"/>
    <cellStyle name="Currency 3 2 2 4 2 2 3" xfId="20962"/>
    <cellStyle name="Currency 3 2 2 4 2 2 3 2" xfId="20963"/>
    <cellStyle name="Currency 3 2 2 4 2 2 4" xfId="20964"/>
    <cellStyle name="Currency 3 2 2 4 2 2 4 2" xfId="20965"/>
    <cellStyle name="Currency 3 2 2 4 2 2 5" xfId="20966"/>
    <cellStyle name="Currency 3 2 2 4 2 2 6" xfId="20967"/>
    <cellStyle name="Currency 3 2 2 4 2 3" xfId="20968"/>
    <cellStyle name="Currency 3 2 2 4 2 3 2" xfId="20969"/>
    <cellStyle name="Currency 3 2 2 4 2 3 2 2" xfId="20970"/>
    <cellStyle name="Currency 3 2 2 4 2 3 3" xfId="20971"/>
    <cellStyle name="Currency 3 2 2 4 2 3 3 2" xfId="20972"/>
    <cellStyle name="Currency 3 2 2 4 2 3 4" xfId="20973"/>
    <cellStyle name="Currency 3 2 2 4 2 3 4 2" xfId="20974"/>
    <cellStyle name="Currency 3 2 2 4 2 3 5" xfId="20975"/>
    <cellStyle name="Currency 3 2 2 4 2 3 6" xfId="20976"/>
    <cellStyle name="Currency 3 2 2 4 2 4" xfId="20977"/>
    <cellStyle name="Currency 3 2 2 4 2 4 2" xfId="20978"/>
    <cellStyle name="Currency 3 2 2 4 2 4 2 2" xfId="20979"/>
    <cellStyle name="Currency 3 2 2 4 2 4 3" xfId="20980"/>
    <cellStyle name="Currency 3 2 2 4 2 4 3 2" xfId="20981"/>
    <cellStyle name="Currency 3 2 2 4 2 4 4" xfId="20982"/>
    <cellStyle name="Currency 3 2 2 4 2 4 4 2" xfId="20983"/>
    <cellStyle name="Currency 3 2 2 4 2 4 5" xfId="20984"/>
    <cellStyle name="Currency 3 2 2 4 2 4 6" xfId="20985"/>
    <cellStyle name="Currency 3 2 2 4 2 5" xfId="20986"/>
    <cellStyle name="Currency 3 2 2 4 2 5 2" xfId="20987"/>
    <cellStyle name="Currency 3 2 2 4 2 5 2 2" xfId="20988"/>
    <cellStyle name="Currency 3 2 2 4 2 5 3" xfId="20989"/>
    <cellStyle name="Currency 3 2 2 4 2 5 3 2" xfId="20990"/>
    <cellStyle name="Currency 3 2 2 4 2 5 4" xfId="20991"/>
    <cellStyle name="Currency 3 2 2 4 2 5 4 2" xfId="20992"/>
    <cellStyle name="Currency 3 2 2 4 2 5 5" xfId="20993"/>
    <cellStyle name="Currency 3 2 2 4 2 5 6" xfId="20994"/>
    <cellStyle name="Currency 3 2 2 4 2 6" xfId="20995"/>
    <cellStyle name="Currency 3 2 2 4 2 6 2" xfId="20996"/>
    <cellStyle name="Currency 3 2 2 4 2 6 2 2" xfId="20997"/>
    <cellStyle name="Currency 3 2 2 4 2 6 3" xfId="20998"/>
    <cellStyle name="Currency 3 2 2 4 2 6 3 2" xfId="20999"/>
    <cellStyle name="Currency 3 2 2 4 2 6 4" xfId="21000"/>
    <cellStyle name="Currency 3 2 2 4 2 6 5" xfId="21001"/>
    <cellStyle name="Currency 3 2 2 4 2 7" xfId="21002"/>
    <cellStyle name="Currency 3 2 2 4 2 7 2" xfId="21003"/>
    <cellStyle name="Currency 3 2 2 4 2 8" xfId="21004"/>
    <cellStyle name="Currency 3 2 2 4 2 8 2" xfId="21005"/>
    <cellStyle name="Currency 3 2 2 4 2 9" xfId="21006"/>
    <cellStyle name="Currency 3 2 2 4 2 9 2" xfId="21007"/>
    <cellStyle name="Currency 3 2 2 4 3" xfId="21008"/>
    <cellStyle name="Currency 3 2 2 4 3 10" xfId="21009"/>
    <cellStyle name="Currency 3 2 2 4 3 2" xfId="21010"/>
    <cellStyle name="Currency 3 2 2 4 3 2 2" xfId="21011"/>
    <cellStyle name="Currency 3 2 2 4 3 2 2 2" xfId="21012"/>
    <cellStyle name="Currency 3 2 2 4 3 2 3" xfId="21013"/>
    <cellStyle name="Currency 3 2 2 4 3 2 3 2" xfId="21014"/>
    <cellStyle name="Currency 3 2 2 4 3 2 4" xfId="21015"/>
    <cellStyle name="Currency 3 2 2 4 3 2 4 2" xfId="21016"/>
    <cellStyle name="Currency 3 2 2 4 3 2 5" xfId="21017"/>
    <cellStyle name="Currency 3 2 2 4 3 2 6" xfId="21018"/>
    <cellStyle name="Currency 3 2 2 4 3 3" xfId="21019"/>
    <cellStyle name="Currency 3 2 2 4 3 3 2" xfId="21020"/>
    <cellStyle name="Currency 3 2 2 4 3 3 2 2" xfId="21021"/>
    <cellStyle name="Currency 3 2 2 4 3 3 3" xfId="21022"/>
    <cellStyle name="Currency 3 2 2 4 3 3 3 2" xfId="21023"/>
    <cellStyle name="Currency 3 2 2 4 3 3 4" xfId="21024"/>
    <cellStyle name="Currency 3 2 2 4 3 3 4 2" xfId="21025"/>
    <cellStyle name="Currency 3 2 2 4 3 3 5" xfId="21026"/>
    <cellStyle name="Currency 3 2 2 4 3 3 6" xfId="21027"/>
    <cellStyle name="Currency 3 2 2 4 3 4" xfId="21028"/>
    <cellStyle name="Currency 3 2 2 4 3 4 2" xfId="21029"/>
    <cellStyle name="Currency 3 2 2 4 3 4 2 2" xfId="21030"/>
    <cellStyle name="Currency 3 2 2 4 3 4 3" xfId="21031"/>
    <cellStyle name="Currency 3 2 2 4 3 4 3 2" xfId="21032"/>
    <cellStyle name="Currency 3 2 2 4 3 4 4" xfId="21033"/>
    <cellStyle name="Currency 3 2 2 4 3 4 4 2" xfId="21034"/>
    <cellStyle name="Currency 3 2 2 4 3 4 5" xfId="21035"/>
    <cellStyle name="Currency 3 2 2 4 3 4 6" xfId="21036"/>
    <cellStyle name="Currency 3 2 2 4 3 5" xfId="21037"/>
    <cellStyle name="Currency 3 2 2 4 3 5 2" xfId="21038"/>
    <cellStyle name="Currency 3 2 2 4 3 5 2 2" xfId="21039"/>
    <cellStyle name="Currency 3 2 2 4 3 5 3" xfId="21040"/>
    <cellStyle name="Currency 3 2 2 4 3 5 3 2" xfId="21041"/>
    <cellStyle name="Currency 3 2 2 4 3 5 4" xfId="21042"/>
    <cellStyle name="Currency 3 2 2 4 3 5 5" xfId="21043"/>
    <cellStyle name="Currency 3 2 2 4 3 6" xfId="21044"/>
    <cellStyle name="Currency 3 2 2 4 3 6 2" xfId="21045"/>
    <cellStyle name="Currency 3 2 2 4 3 7" xfId="21046"/>
    <cellStyle name="Currency 3 2 2 4 3 7 2" xfId="21047"/>
    <cellStyle name="Currency 3 2 2 4 3 8" xfId="21048"/>
    <cellStyle name="Currency 3 2 2 4 3 8 2" xfId="21049"/>
    <cellStyle name="Currency 3 2 2 4 3 9" xfId="21050"/>
    <cellStyle name="Currency 3 2 2 4 4" xfId="21051"/>
    <cellStyle name="Currency 3 2 2 4 4 10" xfId="21052"/>
    <cellStyle name="Currency 3 2 2 4 4 2" xfId="21053"/>
    <cellStyle name="Currency 3 2 2 4 4 2 2" xfId="21054"/>
    <cellStyle name="Currency 3 2 2 4 4 2 2 2" xfId="21055"/>
    <cellStyle name="Currency 3 2 2 4 4 2 3" xfId="21056"/>
    <cellStyle name="Currency 3 2 2 4 4 2 3 2" xfId="21057"/>
    <cellStyle name="Currency 3 2 2 4 4 2 4" xfId="21058"/>
    <cellStyle name="Currency 3 2 2 4 4 2 4 2" xfId="21059"/>
    <cellStyle name="Currency 3 2 2 4 4 2 5" xfId="21060"/>
    <cellStyle name="Currency 3 2 2 4 4 2 6" xfId="21061"/>
    <cellStyle name="Currency 3 2 2 4 4 3" xfId="21062"/>
    <cellStyle name="Currency 3 2 2 4 4 3 2" xfId="21063"/>
    <cellStyle name="Currency 3 2 2 4 4 3 2 2" xfId="21064"/>
    <cellStyle name="Currency 3 2 2 4 4 3 3" xfId="21065"/>
    <cellStyle name="Currency 3 2 2 4 4 3 3 2" xfId="21066"/>
    <cellStyle name="Currency 3 2 2 4 4 3 4" xfId="21067"/>
    <cellStyle name="Currency 3 2 2 4 4 3 4 2" xfId="21068"/>
    <cellStyle name="Currency 3 2 2 4 4 3 5" xfId="21069"/>
    <cellStyle name="Currency 3 2 2 4 4 3 6" xfId="21070"/>
    <cellStyle name="Currency 3 2 2 4 4 4" xfId="21071"/>
    <cellStyle name="Currency 3 2 2 4 4 4 2" xfId="21072"/>
    <cellStyle name="Currency 3 2 2 4 4 4 2 2" xfId="21073"/>
    <cellStyle name="Currency 3 2 2 4 4 4 3" xfId="21074"/>
    <cellStyle name="Currency 3 2 2 4 4 4 3 2" xfId="21075"/>
    <cellStyle name="Currency 3 2 2 4 4 4 4" xfId="21076"/>
    <cellStyle name="Currency 3 2 2 4 4 4 4 2" xfId="21077"/>
    <cellStyle name="Currency 3 2 2 4 4 4 5" xfId="21078"/>
    <cellStyle name="Currency 3 2 2 4 4 4 6" xfId="21079"/>
    <cellStyle name="Currency 3 2 2 4 4 5" xfId="21080"/>
    <cellStyle name="Currency 3 2 2 4 4 5 2" xfId="21081"/>
    <cellStyle name="Currency 3 2 2 4 4 5 2 2" xfId="21082"/>
    <cellStyle name="Currency 3 2 2 4 4 5 3" xfId="21083"/>
    <cellStyle name="Currency 3 2 2 4 4 5 3 2" xfId="21084"/>
    <cellStyle name="Currency 3 2 2 4 4 5 4" xfId="21085"/>
    <cellStyle name="Currency 3 2 2 4 4 5 5" xfId="21086"/>
    <cellStyle name="Currency 3 2 2 4 4 6" xfId="21087"/>
    <cellStyle name="Currency 3 2 2 4 4 6 2" xfId="21088"/>
    <cellStyle name="Currency 3 2 2 4 4 7" xfId="21089"/>
    <cellStyle name="Currency 3 2 2 4 4 7 2" xfId="21090"/>
    <cellStyle name="Currency 3 2 2 4 4 8" xfId="21091"/>
    <cellStyle name="Currency 3 2 2 4 4 8 2" xfId="21092"/>
    <cellStyle name="Currency 3 2 2 4 4 9" xfId="21093"/>
    <cellStyle name="Currency 3 2 2 4 5" xfId="21094"/>
    <cellStyle name="Currency 3 2 2 4 5 2" xfId="21095"/>
    <cellStyle name="Currency 3 2 2 4 5 2 2" xfId="21096"/>
    <cellStyle name="Currency 3 2 2 4 5 3" xfId="21097"/>
    <cellStyle name="Currency 3 2 2 4 5 3 2" xfId="21098"/>
    <cellStyle name="Currency 3 2 2 4 5 4" xfId="21099"/>
    <cellStyle name="Currency 3 2 2 4 5 4 2" xfId="21100"/>
    <cellStyle name="Currency 3 2 2 4 5 5" xfId="21101"/>
    <cellStyle name="Currency 3 2 2 4 5 6" xfId="21102"/>
    <cellStyle name="Currency 3 2 2 4 6" xfId="21103"/>
    <cellStyle name="Currency 3 2 2 4 6 2" xfId="21104"/>
    <cellStyle name="Currency 3 2 2 4 6 2 2" xfId="21105"/>
    <cellStyle name="Currency 3 2 2 4 6 3" xfId="21106"/>
    <cellStyle name="Currency 3 2 2 4 6 3 2" xfId="21107"/>
    <cellStyle name="Currency 3 2 2 4 6 4" xfId="21108"/>
    <cellStyle name="Currency 3 2 2 4 6 4 2" xfId="21109"/>
    <cellStyle name="Currency 3 2 2 4 6 5" xfId="21110"/>
    <cellStyle name="Currency 3 2 2 4 6 6" xfId="21111"/>
    <cellStyle name="Currency 3 2 2 4 7" xfId="21112"/>
    <cellStyle name="Currency 3 2 2 4 7 2" xfId="21113"/>
    <cellStyle name="Currency 3 2 2 4 7 2 2" xfId="21114"/>
    <cellStyle name="Currency 3 2 2 4 7 3" xfId="21115"/>
    <cellStyle name="Currency 3 2 2 4 7 3 2" xfId="21116"/>
    <cellStyle name="Currency 3 2 2 4 7 4" xfId="21117"/>
    <cellStyle name="Currency 3 2 2 4 7 4 2" xfId="21118"/>
    <cellStyle name="Currency 3 2 2 4 7 5" xfId="21119"/>
    <cellStyle name="Currency 3 2 2 4 7 6" xfId="21120"/>
    <cellStyle name="Currency 3 2 2 4 8" xfId="21121"/>
    <cellStyle name="Currency 3 2 2 4 8 2" xfId="21122"/>
    <cellStyle name="Currency 3 2 2 4 8 2 2" xfId="21123"/>
    <cellStyle name="Currency 3 2 2 4 8 3" xfId="21124"/>
    <cellStyle name="Currency 3 2 2 4 8 3 2" xfId="21125"/>
    <cellStyle name="Currency 3 2 2 4 8 4" xfId="21126"/>
    <cellStyle name="Currency 3 2 2 4 8 5" xfId="21127"/>
    <cellStyle name="Currency 3 2 2 4 9" xfId="21128"/>
    <cellStyle name="Currency 3 2 2 4 9 2" xfId="21129"/>
    <cellStyle name="Currency 3 2 2 5" xfId="21130"/>
    <cellStyle name="Currency 3 2 2 5 10" xfId="21131"/>
    <cellStyle name="Currency 3 2 2 5 10 2" xfId="21132"/>
    <cellStyle name="Currency 3 2 2 5 11" xfId="21133"/>
    <cellStyle name="Currency 3 2 2 5 12" xfId="21134"/>
    <cellStyle name="Currency 3 2 2 5 2" xfId="21135"/>
    <cellStyle name="Currency 3 2 2 5 2 10" xfId="21136"/>
    <cellStyle name="Currency 3 2 2 5 2 2" xfId="21137"/>
    <cellStyle name="Currency 3 2 2 5 2 2 2" xfId="21138"/>
    <cellStyle name="Currency 3 2 2 5 2 2 2 2" xfId="21139"/>
    <cellStyle name="Currency 3 2 2 5 2 2 3" xfId="21140"/>
    <cellStyle name="Currency 3 2 2 5 2 2 3 2" xfId="21141"/>
    <cellStyle name="Currency 3 2 2 5 2 2 4" xfId="21142"/>
    <cellStyle name="Currency 3 2 2 5 2 2 4 2" xfId="21143"/>
    <cellStyle name="Currency 3 2 2 5 2 2 5" xfId="21144"/>
    <cellStyle name="Currency 3 2 2 5 2 2 6" xfId="21145"/>
    <cellStyle name="Currency 3 2 2 5 2 3" xfId="21146"/>
    <cellStyle name="Currency 3 2 2 5 2 3 2" xfId="21147"/>
    <cellStyle name="Currency 3 2 2 5 2 3 2 2" xfId="21148"/>
    <cellStyle name="Currency 3 2 2 5 2 3 3" xfId="21149"/>
    <cellStyle name="Currency 3 2 2 5 2 3 3 2" xfId="21150"/>
    <cellStyle name="Currency 3 2 2 5 2 3 4" xfId="21151"/>
    <cellStyle name="Currency 3 2 2 5 2 3 4 2" xfId="21152"/>
    <cellStyle name="Currency 3 2 2 5 2 3 5" xfId="21153"/>
    <cellStyle name="Currency 3 2 2 5 2 3 6" xfId="21154"/>
    <cellStyle name="Currency 3 2 2 5 2 4" xfId="21155"/>
    <cellStyle name="Currency 3 2 2 5 2 4 2" xfId="21156"/>
    <cellStyle name="Currency 3 2 2 5 2 4 2 2" xfId="21157"/>
    <cellStyle name="Currency 3 2 2 5 2 4 3" xfId="21158"/>
    <cellStyle name="Currency 3 2 2 5 2 4 3 2" xfId="21159"/>
    <cellStyle name="Currency 3 2 2 5 2 4 4" xfId="21160"/>
    <cellStyle name="Currency 3 2 2 5 2 4 4 2" xfId="21161"/>
    <cellStyle name="Currency 3 2 2 5 2 4 5" xfId="21162"/>
    <cellStyle name="Currency 3 2 2 5 2 4 6" xfId="21163"/>
    <cellStyle name="Currency 3 2 2 5 2 5" xfId="21164"/>
    <cellStyle name="Currency 3 2 2 5 2 5 2" xfId="21165"/>
    <cellStyle name="Currency 3 2 2 5 2 5 2 2" xfId="21166"/>
    <cellStyle name="Currency 3 2 2 5 2 5 3" xfId="21167"/>
    <cellStyle name="Currency 3 2 2 5 2 5 3 2" xfId="21168"/>
    <cellStyle name="Currency 3 2 2 5 2 5 4" xfId="21169"/>
    <cellStyle name="Currency 3 2 2 5 2 5 5" xfId="21170"/>
    <cellStyle name="Currency 3 2 2 5 2 6" xfId="21171"/>
    <cellStyle name="Currency 3 2 2 5 2 6 2" xfId="21172"/>
    <cellStyle name="Currency 3 2 2 5 2 7" xfId="21173"/>
    <cellStyle name="Currency 3 2 2 5 2 7 2" xfId="21174"/>
    <cellStyle name="Currency 3 2 2 5 2 8" xfId="21175"/>
    <cellStyle name="Currency 3 2 2 5 2 8 2" xfId="21176"/>
    <cellStyle name="Currency 3 2 2 5 2 9" xfId="21177"/>
    <cellStyle name="Currency 3 2 2 5 3" xfId="21178"/>
    <cellStyle name="Currency 3 2 2 5 3 10" xfId="21179"/>
    <cellStyle name="Currency 3 2 2 5 3 2" xfId="21180"/>
    <cellStyle name="Currency 3 2 2 5 3 2 2" xfId="21181"/>
    <cellStyle name="Currency 3 2 2 5 3 2 2 2" xfId="21182"/>
    <cellStyle name="Currency 3 2 2 5 3 2 3" xfId="21183"/>
    <cellStyle name="Currency 3 2 2 5 3 2 3 2" xfId="21184"/>
    <cellStyle name="Currency 3 2 2 5 3 2 4" xfId="21185"/>
    <cellStyle name="Currency 3 2 2 5 3 2 4 2" xfId="21186"/>
    <cellStyle name="Currency 3 2 2 5 3 2 5" xfId="21187"/>
    <cellStyle name="Currency 3 2 2 5 3 2 6" xfId="21188"/>
    <cellStyle name="Currency 3 2 2 5 3 3" xfId="21189"/>
    <cellStyle name="Currency 3 2 2 5 3 3 2" xfId="21190"/>
    <cellStyle name="Currency 3 2 2 5 3 3 2 2" xfId="21191"/>
    <cellStyle name="Currency 3 2 2 5 3 3 3" xfId="21192"/>
    <cellStyle name="Currency 3 2 2 5 3 3 3 2" xfId="21193"/>
    <cellStyle name="Currency 3 2 2 5 3 3 4" xfId="21194"/>
    <cellStyle name="Currency 3 2 2 5 3 3 4 2" xfId="21195"/>
    <cellStyle name="Currency 3 2 2 5 3 3 5" xfId="21196"/>
    <cellStyle name="Currency 3 2 2 5 3 3 6" xfId="21197"/>
    <cellStyle name="Currency 3 2 2 5 3 4" xfId="21198"/>
    <cellStyle name="Currency 3 2 2 5 3 4 2" xfId="21199"/>
    <cellStyle name="Currency 3 2 2 5 3 4 2 2" xfId="21200"/>
    <cellStyle name="Currency 3 2 2 5 3 4 3" xfId="21201"/>
    <cellStyle name="Currency 3 2 2 5 3 4 3 2" xfId="21202"/>
    <cellStyle name="Currency 3 2 2 5 3 4 4" xfId="21203"/>
    <cellStyle name="Currency 3 2 2 5 3 4 4 2" xfId="21204"/>
    <cellStyle name="Currency 3 2 2 5 3 4 5" xfId="21205"/>
    <cellStyle name="Currency 3 2 2 5 3 4 6" xfId="21206"/>
    <cellStyle name="Currency 3 2 2 5 3 5" xfId="21207"/>
    <cellStyle name="Currency 3 2 2 5 3 5 2" xfId="21208"/>
    <cellStyle name="Currency 3 2 2 5 3 5 2 2" xfId="21209"/>
    <cellStyle name="Currency 3 2 2 5 3 5 3" xfId="21210"/>
    <cellStyle name="Currency 3 2 2 5 3 5 3 2" xfId="21211"/>
    <cellStyle name="Currency 3 2 2 5 3 5 4" xfId="21212"/>
    <cellStyle name="Currency 3 2 2 5 3 5 5" xfId="21213"/>
    <cellStyle name="Currency 3 2 2 5 3 6" xfId="21214"/>
    <cellStyle name="Currency 3 2 2 5 3 6 2" xfId="21215"/>
    <cellStyle name="Currency 3 2 2 5 3 7" xfId="21216"/>
    <cellStyle name="Currency 3 2 2 5 3 7 2" xfId="21217"/>
    <cellStyle name="Currency 3 2 2 5 3 8" xfId="21218"/>
    <cellStyle name="Currency 3 2 2 5 3 8 2" xfId="21219"/>
    <cellStyle name="Currency 3 2 2 5 3 9" xfId="21220"/>
    <cellStyle name="Currency 3 2 2 5 4" xfId="21221"/>
    <cellStyle name="Currency 3 2 2 5 4 2" xfId="21222"/>
    <cellStyle name="Currency 3 2 2 5 4 2 2" xfId="21223"/>
    <cellStyle name="Currency 3 2 2 5 4 3" xfId="21224"/>
    <cellStyle name="Currency 3 2 2 5 4 3 2" xfId="21225"/>
    <cellStyle name="Currency 3 2 2 5 4 4" xfId="21226"/>
    <cellStyle name="Currency 3 2 2 5 4 4 2" xfId="21227"/>
    <cellStyle name="Currency 3 2 2 5 4 5" xfId="21228"/>
    <cellStyle name="Currency 3 2 2 5 4 6" xfId="21229"/>
    <cellStyle name="Currency 3 2 2 5 5" xfId="21230"/>
    <cellStyle name="Currency 3 2 2 5 5 2" xfId="21231"/>
    <cellStyle name="Currency 3 2 2 5 5 2 2" xfId="21232"/>
    <cellStyle name="Currency 3 2 2 5 5 3" xfId="21233"/>
    <cellStyle name="Currency 3 2 2 5 5 3 2" xfId="21234"/>
    <cellStyle name="Currency 3 2 2 5 5 4" xfId="21235"/>
    <cellStyle name="Currency 3 2 2 5 5 4 2" xfId="21236"/>
    <cellStyle name="Currency 3 2 2 5 5 5" xfId="21237"/>
    <cellStyle name="Currency 3 2 2 5 5 6" xfId="21238"/>
    <cellStyle name="Currency 3 2 2 5 6" xfId="21239"/>
    <cellStyle name="Currency 3 2 2 5 6 2" xfId="21240"/>
    <cellStyle name="Currency 3 2 2 5 6 2 2" xfId="21241"/>
    <cellStyle name="Currency 3 2 2 5 6 3" xfId="21242"/>
    <cellStyle name="Currency 3 2 2 5 6 3 2" xfId="21243"/>
    <cellStyle name="Currency 3 2 2 5 6 4" xfId="21244"/>
    <cellStyle name="Currency 3 2 2 5 6 4 2" xfId="21245"/>
    <cellStyle name="Currency 3 2 2 5 6 5" xfId="21246"/>
    <cellStyle name="Currency 3 2 2 5 6 6" xfId="21247"/>
    <cellStyle name="Currency 3 2 2 5 7" xfId="21248"/>
    <cellStyle name="Currency 3 2 2 5 7 2" xfId="21249"/>
    <cellStyle name="Currency 3 2 2 5 7 2 2" xfId="21250"/>
    <cellStyle name="Currency 3 2 2 5 7 3" xfId="21251"/>
    <cellStyle name="Currency 3 2 2 5 7 3 2" xfId="21252"/>
    <cellStyle name="Currency 3 2 2 5 7 4" xfId="21253"/>
    <cellStyle name="Currency 3 2 2 5 7 5" xfId="21254"/>
    <cellStyle name="Currency 3 2 2 5 8" xfId="21255"/>
    <cellStyle name="Currency 3 2 2 5 8 2" xfId="21256"/>
    <cellStyle name="Currency 3 2 2 5 9" xfId="21257"/>
    <cellStyle name="Currency 3 2 2 5 9 2" xfId="21258"/>
    <cellStyle name="Currency 3 2 2 6" xfId="21259"/>
    <cellStyle name="Currency 3 2 2 6 10" xfId="21260"/>
    <cellStyle name="Currency 3 2 2 6 11" xfId="21261"/>
    <cellStyle name="Currency 3 2 2 6 2" xfId="21262"/>
    <cellStyle name="Currency 3 2 2 6 2 2" xfId="21263"/>
    <cellStyle name="Currency 3 2 2 6 2 2 2" xfId="21264"/>
    <cellStyle name="Currency 3 2 2 6 2 3" xfId="21265"/>
    <cellStyle name="Currency 3 2 2 6 2 3 2" xfId="21266"/>
    <cellStyle name="Currency 3 2 2 6 2 4" xfId="21267"/>
    <cellStyle name="Currency 3 2 2 6 2 4 2" xfId="21268"/>
    <cellStyle name="Currency 3 2 2 6 2 5" xfId="21269"/>
    <cellStyle name="Currency 3 2 2 6 2 6" xfId="21270"/>
    <cellStyle name="Currency 3 2 2 6 3" xfId="21271"/>
    <cellStyle name="Currency 3 2 2 6 3 2" xfId="21272"/>
    <cellStyle name="Currency 3 2 2 6 3 2 2" xfId="21273"/>
    <cellStyle name="Currency 3 2 2 6 3 3" xfId="21274"/>
    <cellStyle name="Currency 3 2 2 6 3 3 2" xfId="21275"/>
    <cellStyle name="Currency 3 2 2 6 3 4" xfId="21276"/>
    <cellStyle name="Currency 3 2 2 6 3 4 2" xfId="21277"/>
    <cellStyle name="Currency 3 2 2 6 3 5" xfId="21278"/>
    <cellStyle name="Currency 3 2 2 6 3 6" xfId="21279"/>
    <cellStyle name="Currency 3 2 2 6 4" xfId="21280"/>
    <cellStyle name="Currency 3 2 2 6 4 2" xfId="21281"/>
    <cellStyle name="Currency 3 2 2 6 4 2 2" xfId="21282"/>
    <cellStyle name="Currency 3 2 2 6 4 3" xfId="21283"/>
    <cellStyle name="Currency 3 2 2 6 4 3 2" xfId="21284"/>
    <cellStyle name="Currency 3 2 2 6 4 4" xfId="21285"/>
    <cellStyle name="Currency 3 2 2 6 4 4 2" xfId="21286"/>
    <cellStyle name="Currency 3 2 2 6 4 5" xfId="21287"/>
    <cellStyle name="Currency 3 2 2 6 4 6" xfId="21288"/>
    <cellStyle name="Currency 3 2 2 6 5" xfId="21289"/>
    <cellStyle name="Currency 3 2 2 6 5 2" xfId="21290"/>
    <cellStyle name="Currency 3 2 2 6 5 2 2" xfId="21291"/>
    <cellStyle name="Currency 3 2 2 6 5 3" xfId="21292"/>
    <cellStyle name="Currency 3 2 2 6 5 3 2" xfId="21293"/>
    <cellStyle name="Currency 3 2 2 6 5 4" xfId="21294"/>
    <cellStyle name="Currency 3 2 2 6 5 4 2" xfId="21295"/>
    <cellStyle name="Currency 3 2 2 6 5 5" xfId="21296"/>
    <cellStyle name="Currency 3 2 2 6 5 6" xfId="21297"/>
    <cellStyle name="Currency 3 2 2 6 6" xfId="21298"/>
    <cellStyle name="Currency 3 2 2 6 6 2" xfId="21299"/>
    <cellStyle name="Currency 3 2 2 6 6 2 2" xfId="21300"/>
    <cellStyle name="Currency 3 2 2 6 6 3" xfId="21301"/>
    <cellStyle name="Currency 3 2 2 6 6 3 2" xfId="21302"/>
    <cellStyle name="Currency 3 2 2 6 6 4" xfId="21303"/>
    <cellStyle name="Currency 3 2 2 6 6 5" xfId="21304"/>
    <cellStyle name="Currency 3 2 2 6 7" xfId="21305"/>
    <cellStyle name="Currency 3 2 2 6 7 2" xfId="21306"/>
    <cellStyle name="Currency 3 2 2 6 8" xfId="21307"/>
    <cellStyle name="Currency 3 2 2 6 8 2" xfId="21308"/>
    <cellStyle name="Currency 3 2 2 6 9" xfId="21309"/>
    <cellStyle name="Currency 3 2 2 6 9 2" xfId="21310"/>
    <cellStyle name="Currency 3 2 2 7" xfId="21311"/>
    <cellStyle name="Currency 3 2 2 7 10" xfId="21312"/>
    <cellStyle name="Currency 3 2 2 7 2" xfId="21313"/>
    <cellStyle name="Currency 3 2 2 7 2 2" xfId="21314"/>
    <cellStyle name="Currency 3 2 2 7 2 2 2" xfId="21315"/>
    <cellStyle name="Currency 3 2 2 7 2 3" xfId="21316"/>
    <cellStyle name="Currency 3 2 2 7 2 3 2" xfId="21317"/>
    <cellStyle name="Currency 3 2 2 7 2 4" xfId="21318"/>
    <cellStyle name="Currency 3 2 2 7 2 4 2" xfId="21319"/>
    <cellStyle name="Currency 3 2 2 7 2 5" xfId="21320"/>
    <cellStyle name="Currency 3 2 2 7 2 6" xfId="21321"/>
    <cellStyle name="Currency 3 2 2 7 3" xfId="21322"/>
    <cellStyle name="Currency 3 2 2 7 3 2" xfId="21323"/>
    <cellStyle name="Currency 3 2 2 7 3 2 2" xfId="21324"/>
    <cellStyle name="Currency 3 2 2 7 3 3" xfId="21325"/>
    <cellStyle name="Currency 3 2 2 7 3 3 2" xfId="21326"/>
    <cellStyle name="Currency 3 2 2 7 3 4" xfId="21327"/>
    <cellStyle name="Currency 3 2 2 7 3 4 2" xfId="21328"/>
    <cellStyle name="Currency 3 2 2 7 3 5" xfId="21329"/>
    <cellStyle name="Currency 3 2 2 7 3 6" xfId="21330"/>
    <cellStyle name="Currency 3 2 2 7 4" xfId="21331"/>
    <cellStyle name="Currency 3 2 2 7 4 2" xfId="21332"/>
    <cellStyle name="Currency 3 2 2 7 4 2 2" xfId="21333"/>
    <cellStyle name="Currency 3 2 2 7 4 3" xfId="21334"/>
    <cellStyle name="Currency 3 2 2 7 4 3 2" xfId="21335"/>
    <cellStyle name="Currency 3 2 2 7 4 4" xfId="21336"/>
    <cellStyle name="Currency 3 2 2 7 4 4 2" xfId="21337"/>
    <cellStyle name="Currency 3 2 2 7 4 5" xfId="21338"/>
    <cellStyle name="Currency 3 2 2 7 4 6" xfId="21339"/>
    <cellStyle name="Currency 3 2 2 7 5" xfId="21340"/>
    <cellStyle name="Currency 3 2 2 7 5 2" xfId="21341"/>
    <cellStyle name="Currency 3 2 2 7 5 2 2" xfId="21342"/>
    <cellStyle name="Currency 3 2 2 7 5 3" xfId="21343"/>
    <cellStyle name="Currency 3 2 2 7 5 3 2" xfId="21344"/>
    <cellStyle name="Currency 3 2 2 7 5 4" xfId="21345"/>
    <cellStyle name="Currency 3 2 2 7 5 5" xfId="21346"/>
    <cellStyle name="Currency 3 2 2 7 6" xfId="21347"/>
    <cellStyle name="Currency 3 2 2 7 6 2" xfId="21348"/>
    <cellStyle name="Currency 3 2 2 7 7" xfId="21349"/>
    <cellStyle name="Currency 3 2 2 7 7 2" xfId="21350"/>
    <cellStyle name="Currency 3 2 2 7 8" xfId="21351"/>
    <cellStyle name="Currency 3 2 2 7 8 2" xfId="21352"/>
    <cellStyle name="Currency 3 2 2 7 9" xfId="21353"/>
    <cellStyle name="Currency 3 2 2 8" xfId="21354"/>
    <cellStyle name="Currency 3 2 2 8 10" xfId="21355"/>
    <cellStyle name="Currency 3 2 2 8 2" xfId="21356"/>
    <cellStyle name="Currency 3 2 2 8 2 2" xfId="21357"/>
    <cellStyle name="Currency 3 2 2 8 2 2 2" xfId="21358"/>
    <cellStyle name="Currency 3 2 2 8 2 3" xfId="21359"/>
    <cellStyle name="Currency 3 2 2 8 2 3 2" xfId="21360"/>
    <cellStyle name="Currency 3 2 2 8 2 4" xfId="21361"/>
    <cellStyle name="Currency 3 2 2 8 2 4 2" xfId="21362"/>
    <cellStyle name="Currency 3 2 2 8 2 5" xfId="21363"/>
    <cellStyle name="Currency 3 2 2 8 2 6" xfId="21364"/>
    <cellStyle name="Currency 3 2 2 8 3" xfId="21365"/>
    <cellStyle name="Currency 3 2 2 8 3 2" xfId="21366"/>
    <cellStyle name="Currency 3 2 2 8 3 2 2" xfId="21367"/>
    <cellStyle name="Currency 3 2 2 8 3 3" xfId="21368"/>
    <cellStyle name="Currency 3 2 2 8 3 3 2" xfId="21369"/>
    <cellStyle name="Currency 3 2 2 8 3 4" xfId="21370"/>
    <cellStyle name="Currency 3 2 2 8 3 4 2" xfId="21371"/>
    <cellStyle name="Currency 3 2 2 8 3 5" xfId="21372"/>
    <cellStyle name="Currency 3 2 2 8 3 6" xfId="21373"/>
    <cellStyle name="Currency 3 2 2 8 4" xfId="21374"/>
    <cellStyle name="Currency 3 2 2 8 4 2" xfId="21375"/>
    <cellStyle name="Currency 3 2 2 8 4 2 2" xfId="21376"/>
    <cellStyle name="Currency 3 2 2 8 4 3" xfId="21377"/>
    <cellStyle name="Currency 3 2 2 8 4 3 2" xfId="21378"/>
    <cellStyle name="Currency 3 2 2 8 4 4" xfId="21379"/>
    <cellStyle name="Currency 3 2 2 8 4 4 2" xfId="21380"/>
    <cellStyle name="Currency 3 2 2 8 4 5" xfId="21381"/>
    <cellStyle name="Currency 3 2 2 8 4 6" xfId="21382"/>
    <cellStyle name="Currency 3 2 2 8 5" xfId="21383"/>
    <cellStyle name="Currency 3 2 2 8 5 2" xfId="21384"/>
    <cellStyle name="Currency 3 2 2 8 5 2 2" xfId="21385"/>
    <cellStyle name="Currency 3 2 2 8 5 3" xfId="21386"/>
    <cellStyle name="Currency 3 2 2 8 5 3 2" xfId="21387"/>
    <cellStyle name="Currency 3 2 2 8 5 4" xfId="21388"/>
    <cellStyle name="Currency 3 2 2 8 5 5" xfId="21389"/>
    <cellStyle name="Currency 3 2 2 8 6" xfId="21390"/>
    <cellStyle name="Currency 3 2 2 8 6 2" xfId="21391"/>
    <cellStyle name="Currency 3 2 2 8 7" xfId="21392"/>
    <cellStyle name="Currency 3 2 2 8 7 2" xfId="21393"/>
    <cellStyle name="Currency 3 2 2 8 8" xfId="21394"/>
    <cellStyle name="Currency 3 2 2 8 8 2" xfId="21395"/>
    <cellStyle name="Currency 3 2 2 8 9" xfId="21396"/>
    <cellStyle name="Currency 3 2 2 9" xfId="21397"/>
    <cellStyle name="Currency 3 2 2 9 2" xfId="21398"/>
    <cellStyle name="Currency 3 2 2 9 2 2" xfId="21399"/>
    <cellStyle name="Currency 3 2 2 9 3" xfId="21400"/>
    <cellStyle name="Currency 3 2 2 9 3 2" xfId="21401"/>
    <cellStyle name="Currency 3 2 2 9 4" xfId="21402"/>
    <cellStyle name="Currency 3 2 2 9 4 2" xfId="21403"/>
    <cellStyle name="Currency 3 2 2 9 5" xfId="21404"/>
    <cellStyle name="Currency 3 2 2 9 6" xfId="21405"/>
    <cellStyle name="Currency 3 2 3" xfId="21406"/>
    <cellStyle name="Currency 3 2 3 10" xfId="21407"/>
    <cellStyle name="Currency 3 2 3 10 2" xfId="21408"/>
    <cellStyle name="Currency 3 2 3 11" xfId="21409"/>
    <cellStyle name="Currency 3 2 3 11 2" xfId="21410"/>
    <cellStyle name="Currency 3 2 3 12" xfId="21411"/>
    <cellStyle name="Currency 3 2 3 13" xfId="21412"/>
    <cellStyle name="Currency 3 2 3 2" xfId="21413"/>
    <cellStyle name="Currency 3 2 3 2 10" xfId="21414"/>
    <cellStyle name="Currency 3 2 3 2 11" xfId="21415"/>
    <cellStyle name="Currency 3 2 3 2 2" xfId="21416"/>
    <cellStyle name="Currency 3 2 3 2 2 2" xfId="21417"/>
    <cellStyle name="Currency 3 2 3 2 2 2 2" xfId="21418"/>
    <cellStyle name="Currency 3 2 3 2 2 3" xfId="21419"/>
    <cellStyle name="Currency 3 2 3 2 2 3 2" xfId="21420"/>
    <cellStyle name="Currency 3 2 3 2 2 4" xfId="21421"/>
    <cellStyle name="Currency 3 2 3 2 2 4 2" xfId="21422"/>
    <cellStyle name="Currency 3 2 3 2 2 5" xfId="21423"/>
    <cellStyle name="Currency 3 2 3 2 2 6" xfId="21424"/>
    <cellStyle name="Currency 3 2 3 2 3" xfId="21425"/>
    <cellStyle name="Currency 3 2 3 2 3 2" xfId="21426"/>
    <cellStyle name="Currency 3 2 3 2 3 2 2" xfId="21427"/>
    <cellStyle name="Currency 3 2 3 2 3 3" xfId="21428"/>
    <cellStyle name="Currency 3 2 3 2 3 3 2" xfId="21429"/>
    <cellStyle name="Currency 3 2 3 2 3 4" xfId="21430"/>
    <cellStyle name="Currency 3 2 3 2 3 4 2" xfId="21431"/>
    <cellStyle name="Currency 3 2 3 2 3 5" xfId="21432"/>
    <cellStyle name="Currency 3 2 3 2 3 6" xfId="21433"/>
    <cellStyle name="Currency 3 2 3 2 4" xfId="21434"/>
    <cellStyle name="Currency 3 2 3 2 4 2" xfId="21435"/>
    <cellStyle name="Currency 3 2 3 2 4 2 2" xfId="21436"/>
    <cellStyle name="Currency 3 2 3 2 4 3" xfId="21437"/>
    <cellStyle name="Currency 3 2 3 2 4 3 2" xfId="21438"/>
    <cellStyle name="Currency 3 2 3 2 4 4" xfId="21439"/>
    <cellStyle name="Currency 3 2 3 2 4 4 2" xfId="21440"/>
    <cellStyle name="Currency 3 2 3 2 4 5" xfId="21441"/>
    <cellStyle name="Currency 3 2 3 2 4 6" xfId="21442"/>
    <cellStyle name="Currency 3 2 3 2 5" xfId="21443"/>
    <cellStyle name="Currency 3 2 3 2 5 2" xfId="21444"/>
    <cellStyle name="Currency 3 2 3 2 5 2 2" xfId="21445"/>
    <cellStyle name="Currency 3 2 3 2 5 3" xfId="21446"/>
    <cellStyle name="Currency 3 2 3 2 5 3 2" xfId="21447"/>
    <cellStyle name="Currency 3 2 3 2 5 4" xfId="21448"/>
    <cellStyle name="Currency 3 2 3 2 5 4 2" xfId="21449"/>
    <cellStyle name="Currency 3 2 3 2 5 5" xfId="21450"/>
    <cellStyle name="Currency 3 2 3 2 5 6" xfId="21451"/>
    <cellStyle name="Currency 3 2 3 2 6" xfId="21452"/>
    <cellStyle name="Currency 3 2 3 2 6 2" xfId="21453"/>
    <cellStyle name="Currency 3 2 3 2 6 2 2" xfId="21454"/>
    <cellStyle name="Currency 3 2 3 2 6 3" xfId="21455"/>
    <cellStyle name="Currency 3 2 3 2 6 3 2" xfId="21456"/>
    <cellStyle name="Currency 3 2 3 2 6 4" xfId="21457"/>
    <cellStyle name="Currency 3 2 3 2 6 5" xfId="21458"/>
    <cellStyle name="Currency 3 2 3 2 7" xfId="21459"/>
    <cellStyle name="Currency 3 2 3 2 7 2" xfId="21460"/>
    <cellStyle name="Currency 3 2 3 2 8" xfId="21461"/>
    <cellStyle name="Currency 3 2 3 2 8 2" xfId="21462"/>
    <cellStyle name="Currency 3 2 3 2 9" xfId="21463"/>
    <cellStyle name="Currency 3 2 3 2 9 2" xfId="21464"/>
    <cellStyle name="Currency 3 2 3 3" xfId="21465"/>
    <cellStyle name="Currency 3 2 3 3 10" xfId="21466"/>
    <cellStyle name="Currency 3 2 3 3 2" xfId="21467"/>
    <cellStyle name="Currency 3 2 3 3 2 2" xfId="21468"/>
    <cellStyle name="Currency 3 2 3 3 2 2 2" xfId="21469"/>
    <cellStyle name="Currency 3 2 3 3 2 3" xfId="21470"/>
    <cellStyle name="Currency 3 2 3 3 2 3 2" xfId="21471"/>
    <cellStyle name="Currency 3 2 3 3 2 4" xfId="21472"/>
    <cellStyle name="Currency 3 2 3 3 2 4 2" xfId="21473"/>
    <cellStyle name="Currency 3 2 3 3 2 5" xfId="21474"/>
    <cellStyle name="Currency 3 2 3 3 2 6" xfId="21475"/>
    <cellStyle name="Currency 3 2 3 3 3" xfId="21476"/>
    <cellStyle name="Currency 3 2 3 3 3 2" xfId="21477"/>
    <cellStyle name="Currency 3 2 3 3 3 2 2" xfId="21478"/>
    <cellStyle name="Currency 3 2 3 3 3 3" xfId="21479"/>
    <cellStyle name="Currency 3 2 3 3 3 3 2" xfId="21480"/>
    <cellStyle name="Currency 3 2 3 3 3 4" xfId="21481"/>
    <cellStyle name="Currency 3 2 3 3 3 4 2" xfId="21482"/>
    <cellStyle name="Currency 3 2 3 3 3 5" xfId="21483"/>
    <cellStyle name="Currency 3 2 3 3 3 6" xfId="21484"/>
    <cellStyle name="Currency 3 2 3 3 4" xfId="21485"/>
    <cellStyle name="Currency 3 2 3 3 4 2" xfId="21486"/>
    <cellStyle name="Currency 3 2 3 3 4 2 2" xfId="21487"/>
    <cellStyle name="Currency 3 2 3 3 4 3" xfId="21488"/>
    <cellStyle name="Currency 3 2 3 3 4 3 2" xfId="21489"/>
    <cellStyle name="Currency 3 2 3 3 4 4" xfId="21490"/>
    <cellStyle name="Currency 3 2 3 3 4 4 2" xfId="21491"/>
    <cellStyle name="Currency 3 2 3 3 4 5" xfId="21492"/>
    <cellStyle name="Currency 3 2 3 3 4 6" xfId="21493"/>
    <cellStyle name="Currency 3 2 3 3 5" xfId="21494"/>
    <cellStyle name="Currency 3 2 3 3 5 2" xfId="21495"/>
    <cellStyle name="Currency 3 2 3 3 5 2 2" xfId="21496"/>
    <cellStyle name="Currency 3 2 3 3 5 3" xfId="21497"/>
    <cellStyle name="Currency 3 2 3 3 5 3 2" xfId="21498"/>
    <cellStyle name="Currency 3 2 3 3 5 4" xfId="21499"/>
    <cellStyle name="Currency 3 2 3 3 5 5" xfId="21500"/>
    <cellStyle name="Currency 3 2 3 3 6" xfId="21501"/>
    <cellStyle name="Currency 3 2 3 3 6 2" xfId="21502"/>
    <cellStyle name="Currency 3 2 3 3 7" xfId="21503"/>
    <cellStyle name="Currency 3 2 3 3 7 2" xfId="21504"/>
    <cellStyle name="Currency 3 2 3 3 8" xfId="21505"/>
    <cellStyle name="Currency 3 2 3 3 8 2" xfId="21506"/>
    <cellStyle name="Currency 3 2 3 3 9" xfId="21507"/>
    <cellStyle name="Currency 3 2 3 4" xfId="21508"/>
    <cellStyle name="Currency 3 2 3 4 10" xfId="21509"/>
    <cellStyle name="Currency 3 2 3 4 2" xfId="21510"/>
    <cellStyle name="Currency 3 2 3 4 2 2" xfId="21511"/>
    <cellStyle name="Currency 3 2 3 4 2 2 2" xfId="21512"/>
    <cellStyle name="Currency 3 2 3 4 2 3" xfId="21513"/>
    <cellStyle name="Currency 3 2 3 4 2 3 2" xfId="21514"/>
    <cellStyle name="Currency 3 2 3 4 2 4" xfId="21515"/>
    <cellStyle name="Currency 3 2 3 4 2 4 2" xfId="21516"/>
    <cellStyle name="Currency 3 2 3 4 2 5" xfId="21517"/>
    <cellStyle name="Currency 3 2 3 4 2 6" xfId="21518"/>
    <cellStyle name="Currency 3 2 3 4 3" xfId="21519"/>
    <cellStyle name="Currency 3 2 3 4 3 2" xfId="21520"/>
    <cellStyle name="Currency 3 2 3 4 3 2 2" xfId="21521"/>
    <cellStyle name="Currency 3 2 3 4 3 3" xfId="21522"/>
    <cellStyle name="Currency 3 2 3 4 3 3 2" xfId="21523"/>
    <cellStyle name="Currency 3 2 3 4 3 4" xfId="21524"/>
    <cellStyle name="Currency 3 2 3 4 3 4 2" xfId="21525"/>
    <cellStyle name="Currency 3 2 3 4 3 5" xfId="21526"/>
    <cellStyle name="Currency 3 2 3 4 3 6" xfId="21527"/>
    <cellStyle name="Currency 3 2 3 4 4" xfId="21528"/>
    <cellStyle name="Currency 3 2 3 4 4 2" xfId="21529"/>
    <cellStyle name="Currency 3 2 3 4 4 2 2" xfId="21530"/>
    <cellStyle name="Currency 3 2 3 4 4 3" xfId="21531"/>
    <cellStyle name="Currency 3 2 3 4 4 3 2" xfId="21532"/>
    <cellStyle name="Currency 3 2 3 4 4 4" xfId="21533"/>
    <cellStyle name="Currency 3 2 3 4 4 4 2" xfId="21534"/>
    <cellStyle name="Currency 3 2 3 4 4 5" xfId="21535"/>
    <cellStyle name="Currency 3 2 3 4 4 6" xfId="21536"/>
    <cellStyle name="Currency 3 2 3 4 5" xfId="21537"/>
    <cellStyle name="Currency 3 2 3 4 5 2" xfId="21538"/>
    <cellStyle name="Currency 3 2 3 4 5 2 2" xfId="21539"/>
    <cellStyle name="Currency 3 2 3 4 5 3" xfId="21540"/>
    <cellStyle name="Currency 3 2 3 4 5 3 2" xfId="21541"/>
    <cellStyle name="Currency 3 2 3 4 5 4" xfId="21542"/>
    <cellStyle name="Currency 3 2 3 4 5 5" xfId="21543"/>
    <cellStyle name="Currency 3 2 3 4 6" xfId="21544"/>
    <cellStyle name="Currency 3 2 3 4 6 2" xfId="21545"/>
    <cellStyle name="Currency 3 2 3 4 7" xfId="21546"/>
    <cellStyle name="Currency 3 2 3 4 7 2" xfId="21547"/>
    <cellStyle name="Currency 3 2 3 4 8" xfId="21548"/>
    <cellStyle name="Currency 3 2 3 4 8 2" xfId="21549"/>
    <cellStyle name="Currency 3 2 3 4 9" xfId="21550"/>
    <cellStyle name="Currency 3 2 3 5" xfId="21551"/>
    <cellStyle name="Currency 3 2 3 5 2" xfId="21552"/>
    <cellStyle name="Currency 3 2 3 5 2 2" xfId="21553"/>
    <cellStyle name="Currency 3 2 3 5 3" xfId="21554"/>
    <cellStyle name="Currency 3 2 3 5 3 2" xfId="21555"/>
    <cellStyle name="Currency 3 2 3 5 4" xfId="21556"/>
    <cellStyle name="Currency 3 2 3 5 4 2" xfId="21557"/>
    <cellStyle name="Currency 3 2 3 5 5" xfId="21558"/>
    <cellStyle name="Currency 3 2 3 5 6" xfId="21559"/>
    <cellStyle name="Currency 3 2 3 6" xfId="21560"/>
    <cellStyle name="Currency 3 2 3 6 2" xfId="21561"/>
    <cellStyle name="Currency 3 2 3 6 2 2" xfId="21562"/>
    <cellStyle name="Currency 3 2 3 6 3" xfId="21563"/>
    <cellStyle name="Currency 3 2 3 6 3 2" xfId="21564"/>
    <cellStyle name="Currency 3 2 3 6 4" xfId="21565"/>
    <cellStyle name="Currency 3 2 3 6 4 2" xfId="21566"/>
    <cellStyle name="Currency 3 2 3 6 5" xfId="21567"/>
    <cellStyle name="Currency 3 2 3 6 6" xfId="21568"/>
    <cellStyle name="Currency 3 2 3 7" xfId="21569"/>
    <cellStyle name="Currency 3 2 3 7 2" xfId="21570"/>
    <cellStyle name="Currency 3 2 3 7 2 2" xfId="21571"/>
    <cellStyle name="Currency 3 2 3 7 3" xfId="21572"/>
    <cellStyle name="Currency 3 2 3 7 3 2" xfId="21573"/>
    <cellStyle name="Currency 3 2 3 7 4" xfId="21574"/>
    <cellStyle name="Currency 3 2 3 7 4 2" xfId="21575"/>
    <cellStyle name="Currency 3 2 3 7 5" xfId="21576"/>
    <cellStyle name="Currency 3 2 3 7 6" xfId="21577"/>
    <cellStyle name="Currency 3 2 3 8" xfId="21578"/>
    <cellStyle name="Currency 3 2 3 8 2" xfId="21579"/>
    <cellStyle name="Currency 3 2 3 8 2 2" xfId="21580"/>
    <cellStyle name="Currency 3 2 3 8 3" xfId="21581"/>
    <cellStyle name="Currency 3 2 3 8 3 2" xfId="21582"/>
    <cellStyle name="Currency 3 2 3 8 4" xfId="21583"/>
    <cellStyle name="Currency 3 2 3 8 5" xfId="21584"/>
    <cellStyle name="Currency 3 2 3 9" xfId="21585"/>
    <cellStyle name="Currency 3 2 3 9 2" xfId="21586"/>
    <cellStyle name="Currency 3 2 4" xfId="21587"/>
    <cellStyle name="Currency 3 2 4 10" xfId="21588"/>
    <cellStyle name="Currency 3 2 4 10 2" xfId="21589"/>
    <cellStyle name="Currency 3 2 4 11" xfId="21590"/>
    <cellStyle name="Currency 3 2 4 11 2" xfId="21591"/>
    <cellStyle name="Currency 3 2 4 12" xfId="21592"/>
    <cellStyle name="Currency 3 2 4 13" xfId="21593"/>
    <cellStyle name="Currency 3 2 4 2" xfId="21594"/>
    <cellStyle name="Currency 3 2 4 2 10" xfId="21595"/>
    <cellStyle name="Currency 3 2 4 2 11" xfId="21596"/>
    <cellStyle name="Currency 3 2 4 2 2" xfId="21597"/>
    <cellStyle name="Currency 3 2 4 2 2 2" xfId="21598"/>
    <cellStyle name="Currency 3 2 4 2 2 2 2" xfId="21599"/>
    <cellStyle name="Currency 3 2 4 2 2 3" xfId="21600"/>
    <cellStyle name="Currency 3 2 4 2 2 3 2" xfId="21601"/>
    <cellStyle name="Currency 3 2 4 2 2 4" xfId="21602"/>
    <cellStyle name="Currency 3 2 4 2 2 4 2" xfId="21603"/>
    <cellStyle name="Currency 3 2 4 2 2 5" xfId="21604"/>
    <cellStyle name="Currency 3 2 4 2 2 6" xfId="21605"/>
    <cellStyle name="Currency 3 2 4 2 3" xfId="21606"/>
    <cellStyle name="Currency 3 2 4 2 3 2" xfId="21607"/>
    <cellStyle name="Currency 3 2 4 2 3 2 2" xfId="21608"/>
    <cellStyle name="Currency 3 2 4 2 3 3" xfId="21609"/>
    <cellStyle name="Currency 3 2 4 2 3 3 2" xfId="21610"/>
    <cellStyle name="Currency 3 2 4 2 3 4" xfId="21611"/>
    <cellStyle name="Currency 3 2 4 2 3 4 2" xfId="21612"/>
    <cellStyle name="Currency 3 2 4 2 3 5" xfId="21613"/>
    <cellStyle name="Currency 3 2 4 2 3 6" xfId="21614"/>
    <cellStyle name="Currency 3 2 4 2 4" xfId="21615"/>
    <cellStyle name="Currency 3 2 4 2 4 2" xfId="21616"/>
    <cellStyle name="Currency 3 2 4 2 4 2 2" xfId="21617"/>
    <cellStyle name="Currency 3 2 4 2 4 3" xfId="21618"/>
    <cellStyle name="Currency 3 2 4 2 4 3 2" xfId="21619"/>
    <cellStyle name="Currency 3 2 4 2 4 4" xfId="21620"/>
    <cellStyle name="Currency 3 2 4 2 4 4 2" xfId="21621"/>
    <cellStyle name="Currency 3 2 4 2 4 5" xfId="21622"/>
    <cellStyle name="Currency 3 2 4 2 4 6" xfId="21623"/>
    <cellStyle name="Currency 3 2 4 2 5" xfId="21624"/>
    <cellStyle name="Currency 3 2 4 2 5 2" xfId="21625"/>
    <cellStyle name="Currency 3 2 4 2 5 2 2" xfId="21626"/>
    <cellStyle name="Currency 3 2 4 2 5 3" xfId="21627"/>
    <cellStyle name="Currency 3 2 4 2 5 3 2" xfId="21628"/>
    <cellStyle name="Currency 3 2 4 2 5 4" xfId="21629"/>
    <cellStyle name="Currency 3 2 4 2 5 4 2" xfId="21630"/>
    <cellStyle name="Currency 3 2 4 2 5 5" xfId="21631"/>
    <cellStyle name="Currency 3 2 4 2 5 6" xfId="21632"/>
    <cellStyle name="Currency 3 2 4 2 6" xfId="21633"/>
    <cellStyle name="Currency 3 2 4 2 6 2" xfId="21634"/>
    <cellStyle name="Currency 3 2 4 2 6 2 2" xfId="21635"/>
    <cellStyle name="Currency 3 2 4 2 6 3" xfId="21636"/>
    <cellStyle name="Currency 3 2 4 2 6 3 2" xfId="21637"/>
    <cellStyle name="Currency 3 2 4 2 6 4" xfId="21638"/>
    <cellStyle name="Currency 3 2 4 2 6 5" xfId="21639"/>
    <cellStyle name="Currency 3 2 4 2 7" xfId="21640"/>
    <cellStyle name="Currency 3 2 4 2 7 2" xfId="21641"/>
    <cellStyle name="Currency 3 2 4 2 8" xfId="21642"/>
    <cellStyle name="Currency 3 2 4 2 8 2" xfId="21643"/>
    <cellStyle name="Currency 3 2 4 2 9" xfId="21644"/>
    <cellStyle name="Currency 3 2 4 2 9 2" xfId="21645"/>
    <cellStyle name="Currency 3 2 4 3" xfId="21646"/>
    <cellStyle name="Currency 3 2 4 3 10" xfId="21647"/>
    <cellStyle name="Currency 3 2 4 3 2" xfId="21648"/>
    <cellStyle name="Currency 3 2 4 3 2 2" xfId="21649"/>
    <cellStyle name="Currency 3 2 4 3 2 2 2" xfId="21650"/>
    <cellStyle name="Currency 3 2 4 3 2 3" xfId="21651"/>
    <cellStyle name="Currency 3 2 4 3 2 3 2" xfId="21652"/>
    <cellStyle name="Currency 3 2 4 3 2 4" xfId="21653"/>
    <cellStyle name="Currency 3 2 4 3 2 4 2" xfId="21654"/>
    <cellStyle name="Currency 3 2 4 3 2 5" xfId="21655"/>
    <cellStyle name="Currency 3 2 4 3 2 6" xfId="21656"/>
    <cellStyle name="Currency 3 2 4 3 3" xfId="21657"/>
    <cellStyle name="Currency 3 2 4 3 3 2" xfId="21658"/>
    <cellStyle name="Currency 3 2 4 3 3 2 2" xfId="21659"/>
    <cellStyle name="Currency 3 2 4 3 3 3" xfId="21660"/>
    <cellStyle name="Currency 3 2 4 3 3 3 2" xfId="21661"/>
    <cellStyle name="Currency 3 2 4 3 3 4" xfId="21662"/>
    <cellStyle name="Currency 3 2 4 3 3 4 2" xfId="21663"/>
    <cellStyle name="Currency 3 2 4 3 3 5" xfId="21664"/>
    <cellStyle name="Currency 3 2 4 3 3 6" xfId="21665"/>
    <cellStyle name="Currency 3 2 4 3 4" xfId="21666"/>
    <cellStyle name="Currency 3 2 4 3 4 2" xfId="21667"/>
    <cellStyle name="Currency 3 2 4 3 4 2 2" xfId="21668"/>
    <cellStyle name="Currency 3 2 4 3 4 3" xfId="21669"/>
    <cellStyle name="Currency 3 2 4 3 4 3 2" xfId="21670"/>
    <cellStyle name="Currency 3 2 4 3 4 4" xfId="21671"/>
    <cellStyle name="Currency 3 2 4 3 4 4 2" xfId="21672"/>
    <cellStyle name="Currency 3 2 4 3 4 5" xfId="21673"/>
    <cellStyle name="Currency 3 2 4 3 4 6" xfId="21674"/>
    <cellStyle name="Currency 3 2 4 3 5" xfId="21675"/>
    <cellStyle name="Currency 3 2 4 3 5 2" xfId="21676"/>
    <cellStyle name="Currency 3 2 4 3 5 2 2" xfId="21677"/>
    <cellStyle name="Currency 3 2 4 3 5 3" xfId="21678"/>
    <cellStyle name="Currency 3 2 4 3 5 3 2" xfId="21679"/>
    <cellStyle name="Currency 3 2 4 3 5 4" xfId="21680"/>
    <cellStyle name="Currency 3 2 4 3 5 5" xfId="21681"/>
    <cellStyle name="Currency 3 2 4 3 6" xfId="21682"/>
    <cellStyle name="Currency 3 2 4 3 6 2" xfId="21683"/>
    <cellStyle name="Currency 3 2 4 3 7" xfId="21684"/>
    <cellStyle name="Currency 3 2 4 3 7 2" xfId="21685"/>
    <cellStyle name="Currency 3 2 4 3 8" xfId="21686"/>
    <cellStyle name="Currency 3 2 4 3 8 2" xfId="21687"/>
    <cellStyle name="Currency 3 2 4 3 9" xfId="21688"/>
    <cellStyle name="Currency 3 2 4 4" xfId="21689"/>
    <cellStyle name="Currency 3 2 4 4 10" xfId="21690"/>
    <cellStyle name="Currency 3 2 4 4 2" xfId="21691"/>
    <cellStyle name="Currency 3 2 4 4 2 2" xfId="21692"/>
    <cellStyle name="Currency 3 2 4 4 2 2 2" xfId="21693"/>
    <cellStyle name="Currency 3 2 4 4 2 3" xfId="21694"/>
    <cellStyle name="Currency 3 2 4 4 2 3 2" xfId="21695"/>
    <cellStyle name="Currency 3 2 4 4 2 4" xfId="21696"/>
    <cellStyle name="Currency 3 2 4 4 2 4 2" xfId="21697"/>
    <cellStyle name="Currency 3 2 4 4 2 5" xfId="21698"/>
    <cellStyle name="Currency 3 2 4 4 2 6" xfId="21699"/>
    <cellStyle name="Currency 3 2 4 4 3" xfId="21700"/>
    <cellStyle name="Currency 3 2 4 4 3 2" xfId="21701"/>
    <cellStyle name="Currency 3 2 4 4 3 2 2" xfId="21702"/>
    <cellStyle name="Currency 3 2 4 4 3 3" xfId="21703"/>
    <cellStyle name="Currency 3 2 4 4 3 3 2" xfId="21704"/>
    <cellStyle name="Currency 3 2 4 4 3 4" xfId="21705"/>
    <cellStyle name="Currency 3 2 4 4 3 4 2" xfId="21706"/>
    <cellStyle name="Currency 3 2 4 4 3 5" xfId="21707"/>
    <cellStyle name="Currency 3 2 4 4 3 6" xfId="21708"/>
    <cellStyle name="Currency 3 2 4 4 4" xfId="21709"/>
    <cellStyle name="Currency 3 2 4 4 4 2" xfId="21710"/>
    <cellStyle name="Currency 3 2 4 4 4 2 2" xfId="21711"/>
    <cellStyle name="Currency 3 2 4 4 4 3" xfId="21712"/>
    <cellStyle name="Currency 3 2 4 4 4 3 2" xfId="21713"/>
    <cellStyle name="Currency 3 2 4 4 4 4" xfId="21714"/>
    <cellStyle name="Currency 3 2 4 4 4 4 2" xfId="21715"/>
    <cellStyle name="Currency 3 2 4 4 4 5" xfId="21716"/>
    <cellStyle name="Currency 3 2 4 4 4 6" xfId="21717"/>
    <cellStyle name="Currency 3 2 4 4 5" xfId="21718"/>
    <cellStyle name="Currency 3 2 4 4 5 2" xfId="21719"/>
    <cellStyle name="Currency 3 2 4 4 5 2 2" xfId="21720"/>
    <cellStyle name="Currency 3 2 4 4 5 3" xfId="21721"/>
    <cellStyle name="Currency 3 2 4 4 5 3 2" xfId="21722"/>
    <cellStyle name="Currency 3 2 4 4 5 4" xfId="21723"/>
    <cellStyle name="Currency 3 2 4 4 5 5" xfId="21724"/>
    <cellStyle name="Currency 3 2 4 4 6" xfId="21725"/>
    <cellStyle name="Currency 3 2 4 4 6 2" xfId="21726"/>
    <cellStyle name="Currency 3 2 4 4 7" xfId="21727"/>
    <cellStyle name="Currency 3 2 4 4 7 2" xfId="21728"/>
    <cellStyle name="Currency 3 2 4 4 8" xfId="21729"/>
    <cellStyle name="Currency 3 2 4 4 8 2" xfId="21730"/>
    <cellStyle name="Currency 3 2 4 4 9" xfId="21731"/>
    <cellStyle name="Currency 3 2 4 5" xfId="21732"/>
    <cellStyle name="Currency 3 2 4 5 2" xfId="21733"/>
    <cellStyle name="Currency 3 2 4 5 2 2" xfId="21734"/>
    <cellStyle name="Currency 3 2 4 5 3" xfId="21735"/>
    <cellStyle name="Currency 3 2 4 5 3 2" xfId="21736"/>
    <cellStyle name="Currency 3 2 4 5 4" xfId="21737"/>
    <cellStyle name="Currency 3 2 4 5 4 2" xfId="21738"/>
    <cellStyle name="Currency 3 2 4 5 5" xfId="21739"/>
    <cellStyle name="Currency 3 2 4 5 6" xfId="21740"/>
    <cellStyle name="Currency 3 2 4 6" xfId="21741"/>
    <cellStyle name="Currency 3 2 4 6 2" xfId="21742"/>
    <cellStyle name="Currency 3 2 4 6 2 2" xfId="21743"/>
    <cellStyle name="Currency 3 2 4 6 3" xfId="21744"/>
    <cellStyle name="Currency 3 2 4 6 3 2" xfId="21745"/>
    <cellStyle name="Currency 3 2 4 6 4" xfId="21746"/>
    <cellStyle name="Currency 3 2 4 6 4 2" xfId="21747"/>
    <cellStyle name="Currency 3 2 4 6 5" xfId="21748"/>
    <cellStyle name="Currency 3 2 4 6 6" xfId="21749"/>
    <cellStyle name="Currency 3 2 4 7" xfId="21750"/>
    <cellStyle name="Currency 3 2 4 7 2" xfId="21751"/>
    <cellStyle name="Currency 3 2 4 7 2 2" xfId="21752"/>
    <cellStyle name="Currency 3 2 4 7 3" xfId="21753"/>
    <cellStyle name="Currency 3 2 4 7 3 2" xfId="21754"/>
    <cellStyle name="Currency 3 2 4 7 4" xfId="21755"/>
    <cellStyle name="Currency 3 2 4 7 4 2" xfId="21756"/>
    <cellStyle name="Currency 3 2 4 7 5" xfId="21757"/>
    <cellStyle name="Currency 3 2 4 7 6" xfId="21758"/>
    <cellStyle name="Currency 3 2 4 8" xfId="21759"/>
    <cellStyle name="Currency 3 2 4 8 2" xfId="21760"/>
    <cellStyle name="Currency 3 2 4 8 2 2" xfId="21761"/>
    <cellStyle name="Currency 3 2 4 8 3" xfId="21762"/>
    <cellStyle name="Currency 3 2 4 8 3 2" xfId="21763"/>
    <cellStyle name="Currency 3 2 4 8 4" xfId="21764"/>
    <cellStyle name="Currency 3 2 4 8 5" xfId="21765"/>
    <cellStyle name="Currency 3 2 4 9" xfId="21766"/>
    <cellStyle name="Currency 3 2 4 9 2" xfId="21767"/>
    <cellStyle name="Currency 3 2 5" xfId="21768"/>
    <cellStyle name="Currency 3 2 5 10" xfId="21769"/>
    <cellStyle name="Currency 3 2 5 10 2" xfId="21770"/>
    <cellStyle name="Currency 3 2 5 11" xfId="21771"/>
    <cellStyle name="Currency 3 2 5 12" xfId="21772"/>
    <cellStyle name="Currency 3 2 5 2" xfId="21773"/>
    <cellStyle name="Currency 3 2 5 2 10" xfId="21774"/>
    <cellStyle name="Currency 3 2 5 2 2" xfId="21775"/>
    <cellStyle name="Currency 3 2 5 2 2 2" xfId="21776"/>
    <cellStyle name="Currency 3 2 5 2 2 2 2" xfId="21777"/>
    <cellStyle name="Currency 3 2 5 2 2 3" xfId="21778"/>
    <cellStyle name="Currency 3 2 5 2 2 3 2" xfId="21779"/>
    <cellStyle name="Currency 3 2 5 2 2 4" xfId="21780"/>
    <cellStyle name="Currency 3 2 5 2 2 4 2" xfId="21781"/>
    <cellStyle name="Currency 3 2 5 2 2 5" xfId="21782"/>
    <cellStyle name="Currency 3 2 5 2 2 6" xfId="21783"/>
    <cellStyle name="Currency 3 2 5 2 3" xfId="21784"/>
    <cellStyle name="Currency 3 2 5 2 3 2" xfId="21785"/>
    <cellStyle name="Currency 3 2 5 2 3 2 2" xfId="21786"/>
    <cellStyle name="Currency 3 2 5 2 3 3" xfId="21787"/>
    <cellStyle name="Currency 3 2 5 2 3 3 2" xfId="21788"/>
    <cellStyle name="Currency 3 2 5 2 3 4" xfId="21789"/>
    <cellStyle name="Currency 3 2 5 2 3 4 2" xfId="21790"/>
    <cellStyle name="Currency 3 2 5 2 3 5" xfId="21791"/>
    <cellStyle name="Currency 3 2 5 2 3 6" xfId="21792"/>
    <cellStyle name="Currency 3 2 5 2 4" xfId="21793"/>
    <cellStyle name="Currency 3 2 5 2 4 2" xfId="21794"/>
    <cellStyle name="Currency 3 2 5 2 4 2 2" xfId="21795"/>
    <cellStyle name="Currency 3 2 5 2 4 3" xfId="21796"/>
    <cellStyle name="Currency 3 2 5 2 4 3 2" xfId="21797"/>
    <cellStyle name="Currency 3 2 5 2 4 4" xfId="21798"/>
    <cellStyle name="Currency 3 2 5 2 4 4 2" xfId="21799"/>
    <cellStyle name="Currency 3 2 5 2 4 5" xfId="21800"/>
    <cellStyle name="Currency 3 2 5 2 4 6" xfId="21801"/>
    <cellStyle name="Currency 3 2 5 2 5" xfId="21802"/>
    <cellStyle name="Currency 3 2 5 2 5 2" xfId="21803"/>
    <cellStyle name="Currency 3 2 5 2 5 2 2" xfId="21804"/>
    <cellStyle name="Currency 3 2 5 2 5 3" xfId="21805"/>
    <cellStyle name="Currency 3 2 5 2 5 3 2" xfId="21806"/>
    <cellStyle name="Currency 3 2 5 2 5 4" xfId="21807"/>
    <cellStyle name="Currency 3 2 5 2 5 5" xfId="21808"/>
    <cellStyle name="Currency 3 2 5 2 6" xfId="21809"/>
    <cellStyle name="Currency 3 2 5 2 6 2" xfId="21810"/>
    <cellStyle name="Currency 3 2 5 2 7" xfId="21811"/>
    <cellStyle name="Currency 3 2 5 2 7 2" xfId="21812"/>
    <cellStyle name="Currency 3 2 5 2 8" xfId="21813"/>
    <cellStyle name="Currency 3 2 5 2 8 2" xfId="21814"/>
    <cellStyle name="Currency 3 2 5 2 9" xfId="21815"/>
    <cellStyle name="Currency 3 2 5 3" xfId="21816"/>
    <cellStyle name="Currency 3 2 5 3 10" xfId="21817"/>
    <cellStyle name="Currency 3 2 5 3 2" xfId="21818"/>
    <cellStyle name="Currency 3 2 5 3 2 2" xfId="21819"/>
    <cellStyle name="Currency 3 2 5 3 2 2 2" xfId="21820"/>
    <cellStyle name="Currency 3 2 5 3 2 3" xfId="21821"/>
    <cellStyle name="Currency 3 2 5 3 2 3 2" xfId="21822"/>
    <cellStyle name="Currency 3 2 5 3 2 4" xfId="21823"/>
    <cellStyle name="Currency 3 2 5 3 2 4 2" xfId="21824"/>
    <cellStyle name="Currency 3 2 5 3 2 5" xfId="21825"/>
    <cellStyle name="Currency 3 2 5 3 2 6" xfId="21826"/>
    <cellStyle name="Currency 3 2 5 3 3" xfId="21827"/>
    <cellStyle name="Currency 3 2 5 3 3 2" xfId="21828"/>
    <cellStyle name="Currency 3 2 5 3 3 2 2" xfId="21829"/>
    <cellStyle name="Currency 3 2 5 3 3 3" xfId="21830"/>
    <cellStyle name="Currency 3 2 5 3 3 3 2" xfId="21831"/>
    <cellStyle name="Currency 3 2 5 3 3 4" xfId="21832"/>
    <cellStyle name="Currency 3 2 5 3 3 4 2" xfId="21833"/>
    <cellStyle name="Currency 3 2 5 3 3 5" xfId="21834"/>
    <cellStyle name="Currency 3 2 5 3 3 6" xfId="21835"/>
    <cellStyle name="Currency 3 2 5 3 4" xfId="21836"/>
    <cellStyle name="Currency 3 2 5 3 4 2" xfId="21837"/>
    <cellStyle name="Currency 3 2 5 3 4 2 2" xfId="21838"/>
    <cellStyle name="Currency 3 2 5 3 4 3" xfId="21839"/>
    <cellStyle name="Currency 3 2 5 3 4 3 2" xfId="21840"/>
    <cellStyle name="Currency 3 2 5 3 4 4" xfId="21841"/>
    <cellStyle name="Currency 3 2 5 3 4 4 2" xfId="21842"/>
    <cellStyle name="Currency 3 2 5 3 4 5" xfId="21843"/>
    <cellStyle name="Currency 3 2 5 3 4 6" xfId="21844"/>
    <cellStyle name="Currency 3 2 5 3 5" xfId="21845"/>
    <cellStyle name="Currency 3 2 5 3 5 2" xfId="21846"/>
    <cellStyle name="Currency 3 2 5 3 5 2 2" xfId="21847"/>
    <cellStyle name="Currency 3 2 5 3 5 3" xfId="21848"/>
    <cellStyle name="Currency 3 2 5 3 5 3 2" xfId="21849"/>
    <cellStyle name="Currency 3 2 5 3 5 4" xfId="21850"/>
    <cellStyle name="Currency 3 2 5 3 5 5" xfId="21851"/>
    <cellStyle name="Currency 3 2 5 3 6" xfId="21852"/>
    <cellStyle name="Currency 3 2 5 3 6 2" xfId="21853"/>
    <cellStyle name="Currency 3 2 5 3 7" xfId="21854"/>
    <cellStyle name="Currency 3 2 5 3 7 2" xfId="21855"/>
    <cellStyle name="Currency 3 2 5 3 8" xfId="21856"/>
    <cellStyle name="Currency 3 2 5 3 8 2" xfId="21857"/>
    <cellStyle name="Currency 3 2 5 3 9" xfId="21858"/>
    <cellStyle name="Currency 3 2 5 4" xfId="21859"/>
    <cellStyle name="Currency 3 2 5 4 2" xfId="21860"/>
    <cellStyle name="Currency 3 2 5 4 2 2" xfId="21861"/>
    <cellStyle name="Currency 3 2 5 4 3" xfId="21862"/>
    <cellStyle name="Currency 3 2 5 4 3 2" xfId="21863"/>
    <cellStyle name="Currency 3 2 5 4 4" xfId="21864"/>
    <cellStyle name="Currency 3 2 5 4 4 2" xfId="21865"/>
    <cellStyle name="Currency 3 2 5 4 5" xfId="21866"/>
    <cellStyle name="Currency 3 2 5 4 6" xfId="21867"/>
    <cellStyle name="Currency 3 2 5 5" xfId="21868"/>
    <cellStyle name="Currency 3 2 5 5 2" xfId="21869"/>
    <cellStyle name="Currency 3 2 5 5 2 2" xfId="21870"/>
    <cellStyle name="Currency 3 2 5 5 3" xfId="21871"/>
    <cellStyle name="Currency 3 2 5 5 3 2" xfId="21872"/>
    <cellStyle name="Currency 3 2 5 5 4" xfId="21873"/>
    <cellStyle name="Currency 3 2 5 5 4 2" xfId="21874"/>
    <cellStyle name="Currency 3 2 5 5 5" xfId="21875"/>
    <cellStyle name="Currency 3 2 5 5 6" xfId="21876"/>
    <cellStyle name="Currency 3 2 5 6" xfId="21877"/>
    <cellStyle name="Currency 3 2 5 6 2" xfId="21878"/>
    <cellStyle name="Currency 3 2 5 6 2 2" xfId="21879"/>
    <cellStyle name="Currency 3 2 5 6 3" xfId="21880"/>
    <cellStyle name="Currency 3 2 5 6 3 2" xfId="21881"/>
    <cellStyle name="Currency 3 2 5 6 4" xfId="21882"/>
    <cellStyle name="Currency 3 2 5 6 4 2" xfId="21883"/>
    <cellStyle name="Currency 3 2 5 6 5" xfId="21884"/>
    <cellStyle name="Currency 3 2 5 6 6" xfId="21885"/>
    <cellStyle name="Currency 3 2 5 7" xfId="21886"/>
    <cellStyle name="Currency 3 2 5 7 2" xfId="21887"/>
    <cellStyle name="Currency 3 2 5 7 2 2" xfId="21888"/>
    <cellStyle name="Currency 3 2 5 7 3" xfId="21889"/>
    <cellStyle name="Currency 3 2 5 7 3 2" xfId="21890"/>
    <cellStyle name="Currency 3 2 5 7 4" xfId="21891"/>
    <cellStyle name="Currency 3 2 5 7 5" xfId="21892"/>
    <cellStyle name="Currency 3 2 5 8" xfId="21893"/>
    <cellStyle name="Currency 3 2 5 8 2" xfId="21894"/>
    <cellStyle name="Currency 3 2 5 9" xfId="21895"/>
    <cellStyle name="Currency 3 2 5 9 2" xfId="21896"/>
    <cellStyle name="Currency 3 2 6" xfId="21897"/>
    <cellStyle name="Currency 3 2 6 10" xfId="21898"/>
    <cellStyle name="Currency 3 2 6 11" xfId="21899"/>
    <cellStyle name="Currency 3 2 6 2" xfId="21900"/>
    <cellStyle name="Currency 3 2 6 2 2" xfId="21901"/>
    <cellStyle name="Currency 3 2 6 2 2 2" xfId="21902"/>
    <cellStyle name="Currency 3 2 6 2 3" xfId="21903"/>
    <cellStyle name="Currency 3 2 6 2 3 2" xfId="21904"/>
    <cellStyle name="Currency 3 2 6 2 4" xfId="21905"/>
    <cellStyle name="Currency 3 2 6 2 4 2" xfId="21906"/>
    <cellStyle name="Currency 3 2 6 2 5" xfId="21907"/>
    <cellStyle name="Currency 3 2 6 2 6" xfId="21908"/>
    <cellStyle name="Currency 3 2 6 3" xfId="21909"/>
    <cellStyle name="Currency 3 2 6 3 2" xfId="21910"/>
    <cellStyle name="Currency 3 2 6 3 2 2" xfId="21911"/>
    <cellStyle name="Currency 3 2 6 3 3" xfId="21912"/>
    <cellStyle name="Currency 3 2 6 3 3 2" xfId="21913"/>
    <cellStyle name="Currency 3 2 6 3 4" xfId="21914"/>
    <cellStyle name="Currency 3 2 6 3 4 2" xfId="21915"/>
    <cellStyle name="Currency 3 2 6 3 5" xfId="21916"/>
    <cellStyle name="Currency 3 2 6 3 6" xfId="21917"/>
    <cellStyle name="Currency 3 2 6 4" xfId="21918"/>
    <cellStyle name="Currency 3 2 6 4 2" xfId="21919"/>
    <cellStyle name="Currency 3 2 6 4 2 2" xfId="21920"/>
    <cellStyle name="Currency 3 2 6 4 3" xfId="21921"/>
    <cellStyle name="Currency 3 2 6 4 3 2" xfId="21922"/>
    <cellStyle name="Currency 3 2 6 4 4" xfId="21923"/>
    <cellStyle name="Currency 3 2 6 4 4 2" xfId="21924"/>
    <cellStyle name="Currency 3 2 6 4 5" xfId="21925"/>
    <cellStyle name="Currency 3 2 6 4 6" xfId="21926"/>
    <cellStyle name="Currency 3 2 6 5" xfId="21927"/>
    <cellStyle name="Currency 3 2 6 5 2" xfId="21928"/>
    <cellStyle name="Currency 3 2 6 5 2 2" xfId="21929"/>
    <cellStyle name="Currency 3 2 6 5 3" xfId="21930"/>
    <cellStyle name="Currency 3 2 6 5 3 2" xfId="21931"/>
    <cellStyle name="Currency 3 2 6 5 4" xfId="21932"/>
    <cellStyle name="Currency 3 2 6 5 4 2" xfId="21933"/>
    <cellStyle name="Currency 3 2 6 5 5" xfId="21934"/>
    <cellStyle name="Currency 3 2 6 5 6" xfId="21935"/>
    <cellStyle name="Currency 3 2 6 6" xfId="21936"/>
    <cellStyle name="Currency 3 2 6 6 2" xfId="21937"/>
    <cellStyle name="Currency 3 2 6 6 2 2" xfId="21938"/>
    <cellStyle name="Currency 3 2 6 6 3" xfId="21939"/>
    <cellStyle name="Currency 3 2 6 6 3 2" xfId="21940"/>
    <cellStyle name="Currency 3 2 6 6 4" xfId="21941"/>
    <cellStyle name="Currency 3 2 6 6 5" xfId="21942"/>
    <cellStyle name="Currency 3 2 6 7" xfId="21943"/>
    <cellStyle name="Currency 3 2 6 7 2" xfId="21944"/>
    <cellStyle name="Currency 3 2 6 8" xfId="21945"/>
    <cellStyle name="Currency 3 2 6 8 2" xfId="21946"/>
    <cellStyle name="Currency 3 2 6 9" xfId="21947"/>
    <cellStyle name="Currency 3 2 6 9 2" xfId="21948"/>
    <cellStyle name="Currency 3 2 7" xfId="21949"/>
    <cellStyle name="Currency 3 2 7 10" xfId="21950"/>
    <cellStyle name="Currency 3 2 7 2" xfId="21951"/>
    <cellStyle name="Currency 3 2 7 2 2" xfId="21952"/>
    <cellStyle name="Currency 3 2 7 2 2 2" xfId="21953"/>
    <cellStyle name="Currency 3 2 7 2 3" xfId="21954"/>
    <cellStyle name="Currency 3 2 7 2 3 2" xfId="21955"/>
    <cellStyle name="Currency 3 2 7 2 4" xfId="21956"/>
    <cellStyle name="Currency 3 2 7 2 4 2" xfId="21957"/>
    <cellStyle name="Currency 3 2 7 2 5" xfId="21958"/>
    <cellStyle name="Currency 3 2 7 2 6" xfId="21959"/>
    <cellStyle name="Currency 3 2 7 3" xfId="21960"/>
    <cellStyle name="Currency 3 2 7 3 2" xfId="21961"/>
    <cellStyle name="Currency 3 2 7 3 2 2" xfId="21962"/>
    <cellStyle name="Currency 3 2 7 3 3" xfId="21963"/>
    <cellStyle name="Currency 3 2 7 3 3 2" xfId="21964"/>
    <cellStyle name="Currency 3 2 7 3 4" xfId="21965"/>
    <cellStyle name="Currency 3 2 7 3 4 2" xfId="21966"/>
    <cellStyle name="Currency 3 2 7 3 5" xfId="21967"/>
    <cellStyle name="Currency 3 2 7 3 6" xfId="21968"/>
    <cellStyle name="Currency 3 2 7 4" xfId="21969"/>
    <cellStyle name="Currency 3 2 7 4 2" xfId="21970"/>
    <cellStyle name="Currency 3 2 7 4 2 2" xfId="21971"/>
    <cellStyle name="Currency 3 2 7 4 3" xfId="21972"/>
    <cellStyle name="Currency 3 2 7 4 3 2" xfId="21973"/>
    <cellStyle name="Currency 3 2 7 4 4" xfId="21974"/>
    <cellStyle name="Currency 3 2 7 4 4 2" xfId="21975"/>
    <cellStyle name="Currency 3 2 7 4 5" xfId="21976"/>
    <cellStyle name="Currency 3 2 7 4 6" xfId="21977"/>
    <cellStyle name="Currency 3 2 7 5" xfId="21978"/>
    <cellStyle name="Currency 3 2 7 5 2" xfId="21979"/>
    <cellStyle name="Currency 3 2 7 5 2 2" xfId="21980"/>
    <cellStyle name="Currency 3 2 7 5 3" xfId="21981"/>
    <cellStyle name="Currency 3 2 7 5 3 2" xfId="21982"/>
    <cellStyle name="Currency 3 2 7 5 4" xfId="21983"/>
    <cellStyle name="Currency 3 2 7 5 5" xfId="21984"/>
    <cellStyle name="Currency 3 2 7 6" xfId="21985"/>
    <cellStyle name="Currency 3 2 7 6 2" xfId="21986"/>
    <cellStyle name="Currency 3 2 7 7" xfId="21987"/>
    <cellStyle name="Currency 3 2 7 7 2" xfId="21988"/>
    <cellStyle name="Currency 3 2 7 8" xfId="21989"/>
    <cellStyle name="Currency 3 2 7 8 2" xfId="21990"/>
    <cellStyle name="Currency 3 2 7 9" xfId="21991"/>
    <cellStyle name="Currency 3 2 8" xfId="21992"/>
    <cellStyle name="Currency 3 2 8 10" xfId="21993"/>
    <cellStyle name="Currency 3 2 8 2" xfId="21994"/>
    <cellStyle name="Currency 3 2 8 2 2" xfId="21995"/>
    <cellStyle name="Currency 3 2 8 2 2 2" xfId="21996"/>
    <cellStyle name="Currency 3 2 8 2 3" xfId="21997"/>
    <cellStyle name="Currency 3 2 8 2 3 2" xfId="21998"/>
    <cellStyle name="Currency 3 2 8 2 4" xfId="21999"/>
    <cellStyle name="Currency 3 2 8 2 4 2" xfId="22000"/>
    <cellStyle name="Currency 3 2 8 2 5" xfId="22001"/>
    <cellStyle name="Currency 3 2 8 2 6" xfId="22002"/>
    <cellStyle name="Currency 3 2 8 3" xfId="22003"/>
    <cellStyle name="Currency 3 2 8 3 2" xfId="22004"/>
    <cellStyle name="Currency 3 2 8 3 2 2" xfId="22005"/>
    <cellStyle name="Currency 3 2 8 3 3" xfId="22006"/>
    <cellStyle name="Currency 3 2 8 3 3 2" xfId="22007"/>
    <cellStyle name="Currency 3 2 8 3 4" xfId="22008"/>
    <cellStyle name="Currency 3 2 8 3 4 2" xfId="22009"/>
    <cellStyle name="Currency 3 2 8 3 5" xfId="22010"/>
    <cellStyle name="Currency 3 2 8 3 6" xfId="22011"/>
    <cellStyle name="Currency 3 2 8 4" xfId="22012"/>
    <cellStyle name="Currency 3 2 8 4 2" xfId="22013"/>
    <cellStyle name="Currency 3 2 8 4 2 2" xfId="22014"/>
    <cellStyle name="Currency 3 2 8 4 3" xfId="22015"/>
    <cellStyle name="Currency 3 2 8 4 3 2" xfId="22016"/>
    <cellStyle name="Currency 3 2 8 4 4" xfId="22017"/>
    <cellStyle name="Currency 3 2 8 4 4 2" xfId="22018"/>
    <cellStyle name="Currency 3 2 8 4 5" xfId="22019"/>
    <cellStyle name="Currency 3 2 8 4 6" xfId="22020"/>
    <cellStyle name="Currency 3 2 8 5" xfId="22021"/>
    <cellStyle name="Currency 3 2 8 5 2" xfId="22022"/>
    <cellStyle name="Currency 3 2 8 5 2 2" xfId="22023"/>
    <cellStyle name="Currency 3 2 8 5 3" xfId="22024"/>
    <cellStyle name="Currency 3 2 8 5 3 2" xfId="22025"/>
    <cellStyle name="Currency 3 2 8 5 4" xfId="22026"/>
    <cellStyle name="Currency 3 2 8 5 5" xfId="22027"/>
    <cellStyle name="Currency 3 2 8 6" xfId="22028"/>
    <cellStyle name="Currency 3 2 8 6 2" xfId="22029"/>
    <cellStyle name="Currency 3 2 8 7" xfId="22030"/>
    <cellStyle name="Currency 3 2 8 7 2" xfId="22031"/>
    <cellStyle name="Currency 3 2 8 8" xfId="22032"/>
    <cellStyle name="Currency 3 2 8 8 2" xfId="22033"/>
    <cellStyle name="Currency 3 2 8 9" xfId="22034"/>
    <cellStyle name="Currency 3 2 9" xfId="22035"/>
    <cellStyle name="Currency 3 2 9 2" xfId="22036"/>
    <cellStyle name="Currency 3 2 9 2 2" xfId="22037"/>
    <cellStyle name="Currency 3 2 9 3" xfId="22038"/>
    <cellStyle name="Currency 3 2 9 3 2" xfId="22039"/>
    <cellStyle name="Currency 3 2 9 4" xfId="22040"/>
    <cellStyle name="Currency 3 2 9 4 2" xfId="22041"/>
    <cellStyle name="Currency 3 2 9 5" xfId="22042"/>
    <cellStyle name="Currency 3 2 9 6" xfId="22043"/>
    <cellStyle name="Currency 3 3" xfId="22044"/>
    <cellStyle name="Currency 3 4" xfId="17676"/>
    <cellStyle name="Currency 4" xfId="1474"/>
    <cellStyle name="Currency 4 10" xfId="22045"/>
    <cellStyle name="Currency 4 10 2" xfId="22046"/>
    <cellStyle name="Currency 4 10 2 2" xfId="22047"/>
    <cellStyle name="Currency 4 10 3" xfId="22048"/>
    <cellStyle name="Currency 4 10 3 2" xfId="22049"/>
    <cellStyle name="Currency 4 10 4" xfId="22050"/>
    <cellStyle name="Currency 4 10 4 2" xfId="22051"/>
    <cellStyle name="Currency 4 10 5" xfId="22052"/>
    <cellStyle name="Currency 4 10 6" xfId="22053"/>
    <cellStyle name="Currency 4 11" xfId="22054"/>
    <cellStyle name="Currency 4 11 2" xfId="22055"/>
    <cellStyle name="Currency 4 11 2 2" xfId="22056"/>
    <cellStyle name="Currency 4 11 3" xfId="22057"/>
    <cellStyle name="Currency 4 11 3 2" xfId="22058"/>
    <cellStyle name="Currency 4 11 4" xfId="22059"/>
    <cellStyle name="Currency 4 11 4 2" xfId="22060"/>
    <cellStyle name="Currency 4 11 5" xfId="22061"/>
    <cellStyle name="Currency 4 11 6" xfId="22062"/>
    <cellStyle name="Currency 4 12" xfId="22063"/>
    <cellStyle name="Currency 4 12 2" xfId="22064"/>
    <cellStyle name="Currency 4 12 2 2" xfId="22065"/>
    <cellStyle name="Currency 4 12 3" xfId="22066"/>
    <cellStyle name="Currency 4 12 3 2" xfId="22067"/>
    <cellStyle name="Currency 4 12 4" xfId="22068"/>
    <cellStyle name="Currency 4 12 4 2" xfId="22069"/>
    <cellStyle name="Currency 4 12 5" xfId="22070"/>
    <cellStyle name="Currency 4 12 6" xfId="22071"/>
    <cellStyle name="Currency 4 13" xfId="22072"/>
    <cellStyle name="Currency 4 13 2" xfId="22073"/>
    <cellStyle name="Currency 4 13 2 2" xfId="22074"/>
    <cellStyle name="Currency 4 13 3" xfId="22075"/>
    <cellStyle name="Currency 4 13 3 2" xfId="22076"/>
    <cellStyle name="Currency 4 13 4" xfId="22077"/>
    <cellStyle name="Currency 4 13 5" xfId="22078"/>
    <cellStyle name="Currency 4 14" xfId="22079"/>
    <cellStyle name="Currency 4 14 2" xfId="22080"/>
    <cellStyle name="Currency 4 15" xfId="22081"/>
    <cellStyle name="Currency 4 15 2" xfId="22082"/>
    <cellStyle name="Currency 4 16" xfId="22083"/>
    <cellStyle name="Currency 4 16 2" xfId="22084"/>
    <cellStyle name="Currency 4 17" xfId="22085"/>
    <cellStyle name="Currency 4 18" xfId="22086"/>
    <cellStyle name="Currency 4 19" xfId="22087"/>
    <cellStyle name="Currency 4 2" xfId="22088"/>
    <cellStyle name="Currency 4 2 10" xfId="22089"/>
    <cellStyle name="Currency 4 2 10 2" xfId="22090"/>
    <cellStyle name="Currency 4 2 10 2 2" xfId="22091"/>
    <cellStyle name="Currency 4 2 10 3" xfId="22092"/>
    <cellStyle name="Currency 4 2 10 3 2" xfId="22093"/>
    <cellStyle name="Currency 4 2 10 4" xfId="22094"/>
    <cellStyle name="Currency 4 2 10 4 2" xfId="22095"/>
    <cellStyle name="Currency 4 2 10 5" xfId="22096"/>
    <cellStyle name="Currency 4 2 10 6" xfId="22097"/>
    <cellStyle name="Currency 4 2 11" xfId="22098"/>
    <cellStyle name="Currency 4 2 11 2" xfId="22099"/>
    <cellStyle name="Currency 4 2 11 2 2" xfId="22100"/>
    <cellStyle name="Currency 4 2 11 3" xfId="22101"/>
    <cellStyle name="Currency 4 2 11 3 2" xfId="22102"/>
    <cellStyle name="Currency 4 2 11 4" xfId="22103"/>
    <cellStyle name="Currency 4 2 11 4 2" xfId="22104"/>
    <cellStyle name="Currency 4 2 11 5" xfId="22105"/>
    <cellStyle name="Currency 4 2 11 6" xfId="22106"/>
    <cellStyle name="Currency 4 2 12" xfId="22107"/>
    <cellStyle name="Currency 4 2 12 2" xfId="22108"/>
    <cellStyle name="Currency 4 2 12 2 2" xfId="22109"/>
    <cellStyle name="Currency 4 2 12 3" xfId="22110"/>
    <cellStyle name="Currency 4 2 12 3 2" xfId="22111"/>
    <cellStyle name="Currency 4 2 12 4" xfId="22112"/>
    <cellStyle name="Currency 4 2 12 5" xfId="22113"/>
    <cellStyle name="Currency 4 2 13" xfId="22114"/>
    <cellStyle name="Currency 4 2 13 2" xfId="22115"/>
    <cellStyle name="Currency 4 2 14" xfId="22116"/>
    <cellStyle name="Currency 4 2 14 2" xfId="22117"/>
    <cellStyle name="Currency 4 2 15" xfId="22118"/>
    <cellStyle name="Currency 4 2 15 2" xfId="22119"/>
    <cellStyle name="Currency 4 2 16" xfId="22120"/>
    <cellStyle name="Currency 4 2 17" xfId="22121"/>
    <cellStyle name="Currency 4 2 2" xfId="22122"/>
    <cellStyle name="Currency 4 2 2 10" xfId="22123"/>
    <cellStyle name="Currency 4 2 2 10 2" xfId="22124"/>
    <cellStyle name="Currency 4 2 2 10 2 2" xfId="22125"/>
    <cellStyle name="Currency 4 2 2 10 3" xfId="22126"/>
    <cellStyle name="Currency 4 2 2 10 3 2" xfId="22127"/>
    <cellStyle name="Currency 4 2 2 10 4" xfId="22128"/>
    <cellStyle name="Currency 4 2 2 10 4 2" xfId="22129"/>
    <cellStyle name="Currency 4 2 2 10 5" xfId="22130"/>
    <cellStyle name="Currency 4 2 2 10 6" xfId="22131"/>
    <cellStyle name="Currency 4 2 2 11" xfId="22132"/>
    <cellStyle name="Currency 4 2 2 11 2" xfId="22133"/>
    <cellStyle name="Currency 4 2 2 11 2 2" xfId="22134"/>
    <cellStyle name="Currency 4 2 2 11 3" xfId="22135"/>
    <cellStyle name="Currency 4 2 2 11 3 2" xfId="22136"/>
    <cellStyle name="Currency 4 2 2 11 4" xfId="22137"/>
    <cellStyle name="Currency 4 2 2 11 5" xfId="22138"/>
    <cellStyle name="Currency 4 2 2 12" xfId="22139"/>
    <cellStyle name="Currency 4 2 2 12 2" xfId="22140"/>
    <cellStyle name="Currency 4 2 2 13" xfId="22141"/>
    <cellStyle name="Currency 4 2 2 13 2" xfId="22142"/>
    <cellStyle name="Currency 4 2 2 14" xfId="22143"/>
    <cellStyle name="Currency 4 2 2 14 2" xfId="22144"/>
    <cellStyle name="Currency 4 2 2 15" xfId="22145"/>
    <cellStyle name="Currency 4 2 2 16" xfId="22146"/>
    <cellStyle name="Currency 4 2 2 2" xfId="22147"/>
    <cellStyle name="Currency 4 2 2 2 10" xfId="22148"/>
    <cellStyle name="Currency 4 2 2 2 10 2" xfId="22149"/>
    <cellStyle name="Currency 4 2 2 2 11" xfId="22150"/>
    <cellStyle name="Currency 4 2 2 2 11 2" xfId="22151"/>
    <cellStyle name="Currency 4 2 2 2 12" xfId="22152"/>
    <cellStyle name="Currency 4 2 2 2 13" xfId="22153"/>
    <cellStyle name="Currency 4 2 2 2 2" xfId="22154"/>
    <cellStyle name="Currency 4 2 2 2 2 10" xfId="22155"/>
    <cellStyle name="Currency 4 2 2 2 2 11" xfId="22156"/>
    <cellStyle name="Currency 4 2 2 2 2 2" xfId="22157"/>
    <cellStyle name="Currency 4 2 2 2 2 2 2" xfId="22158"/>
    <cellStyle name="Currency 4 2 2 2 2 2 2 2" xfId="22159"/>
    <cellStyle name="Currency 4 2 2 2 2 2 3" xfId="22160"/>
    <cellStyle name="Currency 4 2 2 2 2 2 3 2" xfId="22161"/>
    <cellStyle name="Currency 4 2 2 2 2 2 4" xfId="22162"/>
    <cellStyle name="Currency 4 2 2 2 2 2 4 2" xfId="22163"/>
    <cellStyle name="Currency 4 2 2 2 2 2 5" xfId="22164"/>
    <cellStyle name="Currency 4 2 2 2 2 2 6" xfId="22165"/>
    <cellStyle name="Currency 4 2 2 2 2 3" xfId="22166"/>
    <cellStyle name="Currency 4 2 2 2 2 3 2" xfId="22167"/>
    <cellStyle name="Currency 4 2 2 2 2 3 2 2" xfId="22168"/>
    <cellStyle name="Currency 4 2 2 2 2 3 3" xfId="22169"/>
    <cellStyle name="Currency 4 2 2 2 2 3 3 2" xfId="22170"/>
    <cellStyle name="Currency 4 2 2 2 2 3 4" xfId="22171"/>
    <cellStyle name="Currency 4 2 2 2 2 3 4 2" xfId="22172"/>
    <cellStyle name="Currency 4 2 2 2 2 3 5" xfId="22173"/>
    <cellStyle name="Currency 4 2 2 2 2 3 6" xfId="22174"/>
    <cellStyle name="Currency 4 2 2 2 2 4" xfId="22175"/>
    <cellStyle name="Currency 4 2 2 2 2 4 2" xfId="22176"/>
    <cellStyle name="Currency 4 2 2 2 2 4 2 2" xfId="22177"/>
    <cellStyle name="Currency 4 2 2 2 2 4 3" xfId="22178"/>
    <cellStyle name="Currency 4 2 2 2 2 4 3 2" xfId="22179"/>
    <cellStyle name="Currency 4 2 2 2 2 4 4" xfId="22180"/>
    <cellStyle name="Currency 4 2 2 2 2 4 4 2" xfId="22181"/>
    <cellStyle name="Currency 4 2 2 2 2 4 5" xfId="22182"/>
    <cellStyle name="Currency 4 2 2 2 2 4 6" xfId="22183"/>
    <cellStyle name="Currency 4 2 2 2 2 5" xfId="22184"/>
    <cellStyle name="Currency 4 2 2 2 2 5 2" xfId="22185"/>
    <cellStyle name="Currency 4 2 2 2 2 5 2 2" xfId="22186"/>
    <cellStyle name="Currency 4 2 2 2 2 5 3" xfId="22187"/>
    <cellStyle name="Currency 4 2 2 2 2 5 3 2" xfId="22188"/>
    <cellStyle name="Currency 4 2 2 2 2 5 4" xfId="22189"/>
    <cellStyle name="Currency 4 2 2 2 2 5 4 2" xfId="22190"/>
    <cellStyle name="Currency 4 2 2 2 2 5 5" xfId="22191"/>
    <cellStyle name="Currency 4 2 2 2 2 5 6" xfId="22192"/>
    <cellStyle name="Currency 4 2 2 2 2 6" xfId="22193"/>
    <cellStyle name="Currency 4 2 2 2 2 6 2" xfId="22194"/>
    <cellStyle name="Currency 4 2 2 2 2 6 2 2" xfId="22195"/>
    <cellStyle name="Currency 4 2 2 2 2 6 3" xfId="22196"/>
    <cellStyle name="Currency 4 2 2 2 2 6 3 2" xfId="22197"/>
    <cellStyle name="Currency 4 2 2 2 2 6 4" xfId="22198"/>
    <cellStyle name="Currency 4 2 2 2 2 6 5" xfId="22199"/>
    <cellStyle name="Currency 4 2 2 2 2 7" xfId="22200"/>
    <cellStyle name="Currency 4 2 2 2 2 7 2" xfId="22201"/>
    <cellStyle name="Currency 4 2 2 2 2 8" xfId="22202"/>
    <cellStyle name="Currency 4 2 2 2 2 8 2" xfId="22203"/>
    <cellStyle name="Currency 4 2 2 2 2 9" xfId="22204"/>
    <cellStyle name="Currency 4 2 2 2 2 9 2" xfId="22205"/>
    <cellStyle name="Currency 4 2 2 2 3" xfId="22206"/>
    <cellStyle name="Currency 4 2 2 2 3 10" xfId="22207"/>
    <cellStyle name="Currency 4 2 2 2 3 2" xfId="22208"/>
    <cellStyle name="Currency 4 2 2 2 3 2 2" xfId="22209"/>
    <cellStyle name="Currency 4 2 2 2 3 2 2 2" xfId="22210"/>
    <cellStyle name="Currency 4 2 2 2 3 2 3" xfId="22211"/>
    <cellStyle name="Currency 4 2 2 2 3 2 3 2" xfId="22212"/>
    <cellStyle name="Currency 4 2 2 2 3 2 4" xfId="22213"/>
    <cellStyle name="Currency 4 2 2 2 3 2 4 2" xfId="22214"/>
    <cellStyle name="Currency 4 2 2 2 3 2 5" xfId="22215"/>
    <cellStyle name="Currency 4 2 2 2 3 2 6" xfId="22216"/>
    <cellStyle name="Currency 4 2 2 2 3 3" xfId="22217"/>
    <cellStyle name="Currency 4 2 2 2 3 3 2" xfId="22218"/>
    <cellStyle name="Currency 4 2 2 2 3 3 2 2" xfId="22219"/>
    <cellStyle name="Currency 4 2 2 2 3 3 3" xfId="22220"/>
    <cellStyle name="Currency 4 2 2 2 3 3 3 2" xfId="22221"/>
    <cellStyle name="Currency 4 2 2 2 3 3 4" xfId="22222"/>
    <cellStyle name="Currency 4 2 2 2 3 3 4 2" xfId="22223"/>
    <cellStyle name="Currency 4 2 2 2 3 3 5" xfId="22224"/>
    <cellStyle name="Currency 4 2 2 2 3 3 6" xfId="22225"/>
    <cellStyle name="Currency 4 2 2 2 3 4" xfId="22226"/>
    <cellStyle name="Currency 4 2 2 2 3 4 2" xfId="22227"/>
    <cellStyle name="Currency 4 2 2 2 3 4 2 2" xfId="22228"/>
    <cellStyle name="Currency 4 2 2 2 3 4 3" xfId="22229"/>
    <cellStyle name="Currency 4 2 2 2 3 4 3 2" xfId="22230"/>
    <cellStyle name="Currency 4 2 2 2 3 4 4" xfId="22231"/>
    <cellStyle name="Currency 4 2 2 2 3 4 4 2" xfId="22232"/>
    <cellStyle name="Currency 4 2 2 2 3 4 5" xfId="22233"/>
    <cellStyle name="Currency 4 2 2 2 3 4 6" xfId="22234"/>
    <cellStyle name="Currency 4 2 2 2 3 5" xfId="22235"/>
    <cellStyle name="Currency 4 2 2 2 3 5 2" xfId="22236"/>
    <cellStyle name="Currency 4 2 2 2 3 5 2 2" xfId="22237"/>
    <cellStyle name="Currency 4 2 2 2 3 5 3" xfId="22238"/>
    <cellStyle name="Currency 4 2 2 2 3 5 3 2" xfId="22239"/>
    <cellStyle name="Currency 4 2 2 2 3 5 4" xfId="22240"/>
    <cellStyle name="Currency 4 2 2 2 3 5 5" xfId="22241"/>
    <cellStyle name="Currency 4 2 2 2 3 6" xfId="22242"/>
    <cellStyle name="Currency 4 2 2 2 3 6 2" xfId="22243"/>
    <cellStyle name="Currency 4 2 2 2 3 7" xfId="22244"/>
    <cellStyle name="Currency 4 2 2 2 3 7 2" xfId="22245"/>
    <cellStyle name="Currency 4 2 2 2 3 8" xfId="22246"/>
    <cellStyle name="Currency 4 2 2 2 3 8 2" xfId="22247"/>
    <cellStyle name="Currency 4 2 2 2 3 9" xfId="22248"/>
    <cellStyle name="Currency 4 2 2 2 4" xfId="22249"/>
    <cellStyle name="Currency 4 2 2 2 4 10" xfId="22250"/>
    <cellStyle name="Currency 4 2 2 2 4 2" xfId="22251"/>
    <cellStyle name="Currency 4 2 2 2 4 2 2" xfId="22252"/>
    <cellStyle name="Currency 4 2 2 2 4 2 2 2" xfId="22253"/>
    <cellStyle name="Currency 4 2 2 2 4 2 3" xfId="22254"/>
    <cellStyle name="Currency 4 2 2 2 4 2 3 2" xfId="22255"/>
    <cellStyle name="Currency 4 2 2 2 4 2 4" xfId="22256"/>
    <cellStyle name="Currency 4 2 2 2 4 2 4 2" xfId="22257"/>
    <cellStyle name="Currency 4 2 2 2 4 2 5" xfId="22258"/>
    <cellStyle name="Currency 4 2 2 2 4 2 6" xfId="22259"/>
    <cellStyle name="Currency 4 2 2 2 4 3" xfId="22260"/>
    <cellStyle name="Currency 4 2 2 2 4 3 2" xfId="22261"/>
    <cellStyle name="Currency 4 2 2 2 4 3 2 2" xfId="22262"/>
    <cellStyle name="Currency 4 2 2 2 4 3 3" xfId="22263"/>
    <cellStyle name="Currency 4 2 2 2 4 3 3 2" xfId="22264"/>
    <cellStyle name="Currency 4 2 2 2 4 3 4" xfId="22265"/>
    <cellStyle name="Currency 4 2 2 2 4 3 4 2" xfId="22266"/>
    <cellStyle name="Currency 4 2 2 2 4 3 5" xfId="22267"/>
    <cellStyle name="Currency 4 2 2 2 4 3 6" xfId="22268"/>
    <cellStyle name="Currency 4 2 2 2 4 4" xfId="22269"/>
    <cellStyle name="Currency 4 2 2 2 4 4 2" xfId="22270"/>
    <cellStyle name="Currency 4 2 2 2 4 4 2 2" xfId="22271"/>
    <cellStyle name="Currency 4 2 2 2 4 4 3" xfId="22272"/>
    <cellStyle name="Currency 4 2 2 2 4 4 3 2" xfId="22273"/>
    <cellStyle name="Currency 4 2 2 2 4 4 4" xfId="22274"/>
    <cellStyle name="Currency 4 2 2 2 4 4 4 2" xfId="22275"/>
    <cellStyle name="Currency 4 2 2 2 4 4 5" xfId="22276"/>
    <cellStyle name="Currency 4 2 2 2 4 4 6" xfId="22277"/>
    <cellStyle name="Currency 4 2 2 2 4 5" xfId="22278"/>
    <cellStyle name="Currency 4 2 2 2 4 5 2" xfId="22279"/>
    <cellStyle name="Currency 4 2 2 2 4 5 2 2" xfId="22280"/>
    <cellStyle name="Currency 4 2 2 2 4 5 3" xfId="22281"/>
    <cellStyle name="Currency 4 2 2 2 4 5 3 2" xfId="22282"/>
    <cellStyle name="Currency 4 2 2 2 4 5 4" xfId="22283"/>
    <cellStyle name="Currency 4 2 2 2 4 5 5" xfId="22284"/>
    <cellStyle name="Currency 4 2 2 2 4 6" xfId="22285"/>
    <cellStyle name="Currency 4 2 2 2 4 6 2" xfId="22286"/>
    <cellStyle name="Currency 4 2 2 2 4 7" xfId="22287"/>
    <cellStyle name="Currency 4 2 2 2 4 7 2" xfId="22288"/>
    <cellStyle name="Currency 4 2 2 2 4 8" xfId="22289"/>
    <cellStyle name="Currency 4 2 2 2 4 8 2" xfId="22290"/>
    <cellStyle name="Currency 4 2 2 2 4 9" xfId="22291"/>
    <cellStyle name="Currency 4 2 2 2 5" xfId="22292"/>
    <cellStyle name="Currency 4 2 2 2 5 2" xfId="22293"/>
    <cellStyle name="Currency 4 2 2 2 5 2 2" xfId="22294"/>
    <cellStyle name="Currency 4 2 2 2 5 3" xfId="22295"/>
    <cellStyle name="Currency 4 2 2 2 5 3 2" xfId="22296"/>
    <cellStyle name="Currency 4 2 2 2 5 4" xfId="22297"/>
    <cellStyle name="Currency 4 2 2 2 5 4 2" xfId="22298"/>
    <cellStyle name="Currency 4 2 2 2 5 5" xfId="22299"/>
    <cellStyle name="Currency 4 2 2 2 5 6" xfId="22300"/>
    <cellStyle name="Currency 4 2 2 2 6" xfId="22301"/>
    <cellStyle name="Currency 4 2 2 2 6 2" xfId="22302"/>
    <cellStyle name="Currency 4 2 2 2 6 2 2" xfId="22303"/>
    <cellStyle name="Currency 4 2 2 2 6 3" xfId="22304"/>
    <cellStyle name="Currency 4 2 2 2 6 3 2" xfId="22305"/>
    <cellStyle name="Currency 4 2 2 2 6 4" xfId="22306"/>
    <cellStyle name="Currency 4 2 2 2 6 4 2" xfId="22307"/>
    <cellStyle name="Currency 4 2 2 2 6 5" xfId="22308"/>
    <cellStyle name="Currency 4 2 2 2 6 6" xfId="22309"/>
    <cellStyle name="Currency 4 2 2 2 7" xfId="22310"/>
    <cellStyle name="Currency 4 2 2 2 7 2" xfId="22311"/>
    <cellStyle name="Currency 4 2 2 2 7 2 2" xfId="22312"/>
    <cellStyle name="Currency 4 2 2 2 7 3" xfId="22313"/>
    <cellStyle name="Currency 4 2 2 2 7 3 2" xfId="22314"/>
    <cellStyle name="Currency 4 2 2 2 7 4" xfId="22315"/>
    <cellStyle name="Currency 4 2 2 2 7 4 2" xfId="22316"/>
    <cellStyle name="Currency 4 2 2 2 7 5" xfId="22317"/>
    <cellStyle name="Currency 4 2 2 2 7 6" xfId="22318"/>
    <cellStyle name="Currency 4 2 2 2 8" xfId="22319"/>
    <cellStyle name="Currency 4 2 2 2 8 2" xfId="22320"/>
    <cellStyle name="Currency 4 2 2 2 8 2 2" xfId="22321"/>
    <cellStyle name="Currency 4 2 2 2 8 3" xfId="22322"/>
    <cellStyle name="Currency 4 2 2 2 8 3 2" xfId="22323"/>
    <cellStyle name="Currency 4 2 2 2 8 4" xfId="22324"/>
    <cellStyle name="Currency 4 2 2 2 8 5" xfId="22325"/>
    <cellStyle name="Currency 4 2 2 2 9" xfId="22326"/>
    <cellStyle name="Currency 4 2 2 2 9 2" xfId="22327"/>
    <cellStyle name="Currency 4 2 2 3" xfId="22328"/>
    <cellStyle name="Currency 4 2 2 3 10" xfId="22329"/>
    <cellStyle name="Currency 4 2 2 3 10 2" xfId="22330"/>
    <cellStyle name="Currency 4 2 2 3 11" xfId="22331"/>
    <cellStyle name="Currency 4 2 2 3 11 2" xfId="22332"/>
    <cellStyle name="Currency 4 2 2 3 12" xfId="22333"/>
    <cellStyle name="Currency 4 2 2 3 13" xfId="22334"/>
    <cellStyle name="Currency 4 2 2 3 2" xfId="22335"/>
    <cellStyle name="Currency 4 2 2 3 2 10" xfId="22336"/>
    <cellStyle name="Currency 4 2 2 3 2 11" xfId="22337"/>
    <cellStyle name="Currency 4 2 2 3 2 2" xfId="22338"/>
    <cellStyle name="Currency 4 2 2 3 2 2 2" xfId="22339"/>
    <cellStyle name="Currency 4 2 2 3 2 2 2 2" xfId="22340"/>
    <cellStyle name="Currency 4 2 2 3 2 2 3" xfId="22341"/>
    <cellStyle name="Currency 4 2 2 3 2 2 3 2" xfId="22342"/>
    <cellStyle name="Currency 4 2 2 3 2 2 4" xfId="22343"/>
    <cellStyle name="Currency 4 2 2 3 2 2 4 2" xfId="22344"/>
    <cellStyle name="Currency 4 2 2 3 2 2 5" xfId="22345"/>
    <cellStyle name="Currency 4 2 2 3 2 2 6" xfId="22346"/>
    <cellStyle name="Currency 4 2 2 3 2 3" xfId="22347"/>
    <cellStyle name="Currency 4 2 2 3 2 3 2" xfId="22348"/>
    <cellStyle name="Currency 4 2 2 3 2 3 2 2" xfId="22349"/>
    <cellStyle name="Currency 4 2 2 3 2 3 3" xfId="22350"/>
    <cellStyle name="Currency 4 2 2 3 2 3 3 2" xfId="22351"/>
    <cellStyle name="Currency 4 2 2 3 2 3 4" xfId="22352"/>
    <cellStyle name="Currency 4 2 2 3 2 3 4 2" xfId="22353"/>
    <cellStyle name="Currency 4 2 2 3 2 3 5" xfId="22354"/>
    <cellStyle name="Currency 4 2 2 3 2 3 6" xfId="22355"/>
    <cellStyle name="Currency 4 2 2 3 2 4" xfId="22356"/>
    <cellStyle name="Currency 4 2 2 3 2 4 2" xfId="22357"/>
    <cellStyle name="Currency 4 2 2 3 2 4 2 2" xfId="22358"/>
    <cellStyle name="Currency 4 2 2 3 2 4 3" xfId="22359"/>
    <cellStyle name="Currency 4 2 2 3 2 4 3 2" xfId="22360"/>
    <cellStyle name="Currency 4 2 2 3 2 4 4" xfId="22361"/>
    <cellStyle name="Currency 4 2 2 3 2 4 4 2" xfId="22362"/>
    <cellStyle name="Currency 4 2 2 3 2 4 5" xfId="22363"/>
    <cellStyle name="Currency 4 2 2 3 2 4 6" xfId="22364"/>
    <cellStyle name="Currency 4 2 2 3 2 5" xfId="22365"/>
    <cellStyle name="Currency 4 2 2 3 2 5 2" xfId="22366"/>
    <cellStyle name="Currency 4 2 2 3 2 5 2 2" xfId="22367"/>
    <cellStyle name="Currency 4 2 2 3 2 5 3" xfId="22368"/>
    <cellStyle name="Currency 4 2 2 3 2 5 3 2" xfId="22369"/>
    <cellStyle name="Currency 4 2 2 3 2 5 4" xfId="22370"/>
    <cellStyle name="Currency 4 2 2 3 2 5 4 2" xfId="22371"/>
    <cellStyle name="Currency 4 2 2 3 2 5 5" xfId="22372"/>
    <cellStyle name="Currency 4 2 2 3 2 5 6" xfId="22373"/>
    <cellStyle name="Currency 4 2 2 3 2 6" xfId="22374"/>
    <cellStyle name="Currency 4 2 2 3 2 6 2" xfId="22375"/>
    <cellStyle name="Currency 4 2 2 3 2 6 2 2" xfId="22376"/>
    <cellStyle name="Currency 4 2 2 3 2 6 3" xfId="22377"/>
    <cellStyle name="Currency 4 2 2 3 2 6 3 2" xfId="22378"/>
    <cellStyle name="Currency 4 2 2 3 2 6 4" xfId="22379"/>
    <cellStyle name="Currency 4 2 2 3 2 6 5" xfId="22380"/>
    <cellStyle name="Currency 4 2 2 3 2 7" xfId="22381"/>
    <cellStyle name="Currency 4 2 2 3 2 7 2" xfId="22382"/>
    <cellStyle name="Currency 4 2 2 3 2 8" xfId="22383"/>
    <cellStyle name="Currency 4 2 2 3 2 8 2" xfId="22384"/>
    <cellStyle name="Currency 4 2 2 3 2 9" xfId="22385"/>
    <cellStyle name="Currency 4 2 2 3 2 9 2" xfId="22386"/>
    <cellStyle name="Currency 4 2 2 3 3" xfId="22387"/>
    <cellStyle name="Currency 4 2 2 3 3 10" xfId="22388"/>
    <cellStyle name="Currency 4 2 2 3 3 2" xfId="22389"/>
    <cellStyle name="Currency 4 2 2 3 3 2 2" xfId="22390"/>
    <cellStyle name="Currency 4 2 2 3 3 2 2 2" xfId="22391"/>
    <cellStyle name="Currency 4 2 2 3 3 2 3" xfId="22392"/>
    <cellStyle name="Currency 4 2 2 3 3 2 3 2" xfId="22393"/>
    <cellStyle name="Currency 4 2 2 3 3 2 4" xfId="22394"/>
    <cellStyle name="Currency 4 2 2 3 3 2 4 2" xfId="22395"/>
    <cellStyle name="Currency 4 2 2 3 3 2 5" xfId="22396"/>
    <cellStyle name="Currency 4 2 2 3 3 2 6" xfId="22397"/>
    <cellStyle name="Currency 4 2 2 3 3 3" xfId="22398"/>
    <cellStyle name="Currency 4 2 2 3 3 3 2" xfId="22399"/>
    <cellStyle name="Currency 4 2 2 3 3 3 2 2" xfId="22400"/>
    <cellStyle name="Currency 4 2 2 3 3 3 3" xfId="22401"/>
    <cellStyle name="Currency 4 2 2 3 3 3 3 2" xfId="22402"/>
    <cellStyle name="Currency 4 2 2 3 3 3 4" xfId="22403"/>
    <cellStyle name="Currency 4 2 2 3 3 3 4 2" xfId="22404"/>
    <cellStyle name="Currency 4 2 2 3 3 3 5" xfId="22405"/>
    <cellStyle name="Currency 4 2 2 3 3 3 6" xfId="22406"/>
    <cellStyle name="Currency 4 2 2 3 3 4" xfId="22407"/>
    <cellStyle name="Currency 4 2 2 3 3 4 2" xfId="22408"/>
    <cellStyle name="Currency 4 2 2 3 3 4 2 2" xfId="22409"/>
    <cellStyle name="Currency 4 2 2 3 3 4 3" xfId="22410"/>
    <cellStyle name="Currency 4 2 2 3 3 4 3 2" xfId="22411"/>
    <cellStyle name="Currency 4 2 2 3 3 4 4" xfId="22412"/>
    <cellStyle name="Currency 4 2 2 3 3 4 4 2" xfId="22413"/>
    <cellStyle name="Currency 4 2 2 3 3 4 5" xfId="22414"/>
    <cellStyle name="Currency 4 2 2 3 3 4 6" xfId="22415"/>
    <cellStyle name="Currency 4 2 2 3 3 5" xfId="22416"/>
    <cellStyle name="Currency 4 2 2 3 3 5 2" xfId="22417"/>
    <cellStyle name="Currency 4 2 2 3 3 5 2 2" xfId="22418"/>
    <cellStyle name="Currency 4 2 2 3 3 5 3" xfId="22419"/>
    <cellStyle name="Currency 4 2 2 3 3 5 3 2" xfId="22420"/>
    <cellStyle name="Currency 4 2 2 3 3 5 4" xfId="22421"/>
    <cellStyle name="Currency 4 2 2 3 3 5 5" xfId="22422"/>
    <cellStyle name="Currency 4 2 2 3 3 6" xfId="22423"/>
    <cellStyle name="Currency 4 2 2 3 3 6 2" xfId="22424"/>
    <cellStyle name="Currency 4 2 2 3 3 7" xfId="22425"/>
    <cellStyle name="Currency 4 2 2 3 3 7 2" xfId="22426"/>
    <cellStyle name="Currency 4 2 2 3 3 8" xfId="22427"/>
    <cellStyle name="Currency 4 2 2 3 3 8 2" xfId="22428"/>
    <cellStyle name="Currency 4 2 2 3 3 9" xfId="22429"/>
    <cellStyle name="Currency 4 2 2 3 4" xfId="22430"/>
    <cellStyle name="Currency 4 2 2 3 4 10" xfId="22431"/>
    <cellStyle name="Currency 4 2 2 3 4 2" xfId="22432"/>
    <cellStyle name="Currency 4 2 2 3 4 2 2" xfId="22433"/>
    <cellStyle name="Currency 4 2 2 3 4 2 2 2" xfId="22434"/>
    <cellStyle name="Currency 4 2 2 3 4 2 3" xfId="22435"/>
    <cellStyle name="Currency 4 2 2 3 4 2 3 2" xfId="22436"/>
    <cellStyle name="Currency 4 2 2 3 4 2 4" xfId="22437"/>
    <cellStyle name="Currency 4 2 2 3 4 2 4 2" xfId="22438"/>
    <cellStyle name="Currency 4 2 2 3 4 2 5" xfId="22439"/>
    <cellStyle name="Currency 4 2 2 3 4 2 6" xfId="22440"/>
    <cellStyle name="Currency 4 2 2 3 4 3" xfId="22441"/>
    <cellStyle name="Currency 4 2 2 3 4 3 2" xfId="22442"/>
    <cellStyle name="Currency 4 2 2 3 4 3 2 2" xfId="22443"/>
    <cellStyle name="Currency 4 2 2 3 4 3 3" xfId="22444"/>
    <cellStyle name="Currency 4 2 2 3 4 3 3 2" xfId="22445"/>
    <cellStyle name="Currency 4 2 2 3 4 3 4" xfId="22446"/>
    <cellStyle name="Currency 4 2 2 3 4 3 4 2" xfId="22447"/>
    <cellStyle name="Currency 4 2 2 3 4 3 5" xfId="22448"/>
    <cellStyle name="Currency 4 2 2 3 4 3 6" xfId="22449"/>
    <cellStyle name="Currency 4 2 2 3 4 4" xfId="22450"/>
    <cellStyle name="Currency 4 2 2 3 4 4 2" xfId="22451"/>
    <cellStyle name="Currency 4 2 2 3 4 4 2 2" xfId="22452"/>
    <cellStyle name="Currency 4 2 2 3 4 4 3" xfId="22453"/>
    <cellStyle name="Currency 4 2 2 3 4 4 3 2" xfId="22454"/>
    <cellStyle name="Currency 4 2 2 3 4 4 4" xfId="22455"/>
    <cellStyle name="Currency 4 2 2 3 4 4 4 2" xfId="22456"/>
    <cellStyle name="Currency 4 2 2 3 4 4 5" xfId="22457"/>
    <cellStyle name="Currency 4 2 2 3 4 4 6" xfId="22458"/>
    <cellStyle name="Currency 4 2 2 3 4 5" xfId="22459"/>
    <cellStyle name="Currency 4 2 2 3 4 5 2" xfId="22460"/>
    <cellStyle name="Currency 4 2 2 3 4 5 2 2" xfId="22461"/>
    <cellStyle name="Currency 4 2 2 3 4 5 3" xfId="22462"/>
    <cellStyle name="Currency 4 2 2 3 4 5 3 2" xfId="22463"/>
    <cellStyle name="Currency 4 2 2 3 4 5 4" xfId="22464"/>
    <cellStyle name="Currency 4 2 2 3 4 5 5" xfId="22465"/>
    <cellStyle name="Currency 4 2 2 3 4 6" xfId="22466"/>
    <cellStyle name="Currency 4 2 2 3 4 6 2" xfId="22467"/>
    <cellStyle name="Currency 4 2 2 3 4 7" xfId="22468"/>
    <cellStyle name="Currency 4 2 2 3 4 7 2" xfId="22469"/>
    <cellStyle name="Currency 4 2 2 3 4 8" xfId="22470"/>
    <cellStyle name="Currency 4 2 2 3 4 8 2" xfId="22471"/>
    <cellStyle name="Currency 4 2 2 3 4 9" xfId="22472"/>
    <cellStyle name="Currency 4 2 2 3 5" xfId="22473"/>
    <cellStyle name="Currency 4 2 2 3 5 2" xfId="22474"/>
    <cellStyle name="Currency 4 2 2 3 5 2 2" xfId="22475"/>
    <cellStyle name="Currency 4 2 2 3 5 3" xfId="22476"/>
    <cellStyle name="Currency 4 2 2 3 5 3 2" xfId="22477"/>
    <cellStyle name="Currency 4 2 2 3 5 4" xfId="22478"/>
    <cellStyle name="Currency 4 2 2 3 5 4 2" xfId="22479"/>
    <cellStyle name="Currency 4 2 2 3 5 5" xfId="22480"/>
    <cellStyle name="Currency 4 2 2 3 5 6" xfId="22481"/>
    <cellStyle name="Currency 4 2 2 3 6" xfId="22482"/>
    <cellStyle name="Currency 4 2 2 3 6 2" xfId="22483"/>
    <cellStyle name="Currency 4 2 2 3 6 2 2" xfId="22484"/>
    <cellStyle name="Currency 4 2 2 3 6 3" xfId="22485"/>
    <cellStyle name="Currency 4 2 2 3 6 3 2" xfId="22486"/>
    <cellStyle name="Currency 4 2 2 3 6 4" xfId="22487"/>
    <cellStyle name="Currency 4 2 2 3 6 4 2" xfId="22488"/>
    <cellStyle name="Currency 4 2 2 3 6 5" xfId="22489"/>
    <cellStyle name="Currency 4 2 2 3 6 6" xfId="22490"/>
    <cellStyle name="Currency 4 2 2 3 7" xfId="22491"/>
    <cellStyle name="Currency 4 2 2 3 7 2" xfId="22492"/>
    <cellStyle name="Currency 4 2 2 3 7 2 2" xfId="22493"/>
    <cellStyle name="Currency 4 2 2 3 7 3" xfId="22494"/>
    <cellStyle name="Currency 4 2 2 3 7 3 2" xfId="22495"/>
    <cellStyle name="Currency 4 2 2 3 7 4" xfId="22496"/>
    <cellStyle name="Currency 4 2 2 3 7 4 2" xfId="22497"/>
    <cellStyle name="Currency 4 2 2 3 7 5" xfId="22498"/>
    <cellStyle name="Currency 4 2 2 3 7 6" xfId="22499"/>
    <cellStyle name="Currency 4 2 2 3 8" xfId="22500"/>
    <cellStyle name="Currency 4 2 2 3 8 2" xfId="22501"/>
    <cellStyle name="Currency 4 2 2 3 8 2 2" xfId="22502"/>
    <cellStyle name="Currency 4 2 2 3 8 3" xfId="22503"/>
    <cellStyle name="Currency 4 2 2 3 8 3 2" xfId="22504"/>
    <cellStyle name="Currency 4 2 2 3 8 4" xfId="22505"/>
    <cellStyle name="Currency 4 2 2 3 8 5" xfId="22506"/>
    <cellStyle name="Currency 4 2 2 3 9" xfId="22507"/>
    <cellStyle name="Currency 4 2 2 3 9 2" xfId="22508"/>
    <cellStyle name="Currency 4 2 2 4" xfId="22509"/>
    <cellStyle name="Currency 4 2 2 4 10" xfId="22510"/>
    <cellStyle name="Currency 4 2 2 4 10 2" xfId="22511"/>
    <cellStyle name="Currency 4 2 2 4 11" xfId="22512"/>
    <cellStyle name="Currency 4 2 2 4 12" xfId="22513"/>
    <cellStyle name="Currency 4 2 2 4 2" xfId="22514"/>
    <cellStyle name="Currency 4 2 2 4 2 10" xfId="22515"/>
    <cellStyle name="Currency 4 2 2 4 2 2" xfId="22516"/>
    <cellStyle name="Currency 4 2 2 4 2 2 2" xfId="22517"/>
    <cellStyle name="Currency 4 2 2 4 2 2 2 2" xfId="22518"/>
    <cellStyle name="Currency 4 2 2 4 2 2 3" xfId="22519"/>
    <cellStyle name="Currency 4 2 2 4 2 2 3 2" xfId="22520"/>
    <cellStyle name="Currency 4 2 2 4 2 2 4" xfId="22521"/>
    <cellStyle name="Currency 4 2 2 4 2 2 4 2" xfId="22522"/>
    <cellStyle name="Currency 4 2 2 4 2 2 5" xfId="22523"/>
    <cellStyle name="Currency 4 2 2 4 2 2 6" xfId="22524"/>
    <cellStyle name="Currency 4 2 2 4 2 3" xfId="22525"/>
    <cellStyle name="Currency 4 2 2 4 2 3 2" xfId="22526"/>
    <cellStyle name="Currency 4 2 2 4 2 3 2 2" xfId="22527"/>
    <cellStyle name="Currency 4 2 2 4 2 3 3" xfId="22528"/>
    <cellStyle name="Currency 4 2 2 4 2 3 3 2" xfId="22529"/>
    <cellStyle name="Currency 4 2 2 4 2 3 4" xfId="22530"/>
    <cellStyle name="Currency 4 2 2 4 2 3 4 2" xfId="22531"/>
    <cellStyle name="Currency 4 2 2 4 2 3 5" xfId="22532"/>
    <cellStyle name="Currency 4 2 2 4 2 3 6" xfId="22533"/>
    <cellStyle name="Currency 4 2 2 4 2 4" xfId="22534"/>
    <cellStyle name="Currency 4 2 2 4 2 4 2" xfId="22535"/>
    <cellStyle name="Currency 4 2 2 4 2 4 2 2" xfId="22536"/>
    <cellStyle name="Currency 4 2 2 4 2 4 3" xfId="22537"/>
    <cellStyle name="Currency 4 2 2 4 2 4 3 2" xfId="22538"/>
    <cellStyle name="Currency 4 2 2 4 2 4 4" xfId="22539"/>
    <cellStyle name="Currency 4 2 2 4 2 4 4 2" xfId="22540"/>
    <cellStyle name="Currency 4 2 2 4 2 4 5" xfId="22541"/>
    <cellStyle name="Currency 4 2 2 4 2 4 6" xfId="22542"/>
    <cellStyle name="Currency 4 2 2 4 2 5" xfId="22543"/>
    <cellStyle name="Currency 4 2 2 4 2 5 2" xfId="22544"/>
    <cellStyle name="Currency 4 2 2 4 2 5 2 2" xfId="22545"/>
    <cellStyle name="Currency 4 2 2 4 2 5 3" xfId="22546"/>
    <cellStyle name="Currency 4 2 2 4 2 5 3 2" xfId="22547"/>
    <cellStyle name="Currency 4 2 2 4 2 5 4" xfId="22548"/>
    <cellStyle name="Currency 4 2 2 4 2 5 5" xfId="22549"/>
    <cellStyle name="Currency 4 2 2 4 2 6" xfId="22550"/>
    <cellStyle name="Currency 4 2 2 4 2 6 2" xfId="22551"/>
    <cellStyle name="Currency 4 2 2 4 2 7" xfId="22552"/>
    <cellStyle name="Currency 4 2 2 4 2 7 2" xfId="22553"/>
    <cellStyle name="Currency 4 2 2 4 2 8" xfId="22554"/>
    <cellStyle name="Currency 4 2 2 4 2 8 2" xfId="22555"/>
    <cellStyle name="Currency 4 2 2 4 2 9" xfId="22556"/>
    <cellStyle name="Currency 4 2 2 4 3" xfId="22557"/>
    <cellStyle name="Currency 4 2 2 4 3 10" xfId="22558"/>
    <cellStyle name="Currency 4 2 2 4 3 2" xfId="22559"/>
    <cellStyle name="Currency 4 2 2 4 3 2 2" xfId="22560"/>
    <cellStyle name="Currency 4 2 2 4 3 2 2 2" xfId="22561"/>
    <cellStyle name="Currency 4 2 2 4 3 2 3" xfId="22562"/>
    <cellStyle name="Currency 4 2 2 4 3 2 3 2" xfId="22563"/>
    <cellStyle name="Currency 4 2 2 4 3 2 4" xfId="22564"/>
    <cellStyle name="Currency 4 2 2 4 3 2 4 2" xfId="22565"/>
    <cellStyle name="Currency 4 2 2 4 3 2 5" xfId="22566"/>
    <cellStyle name="Currency 4 2 2 4 3 2 6" xfId="22567"/>
    <cellStyle name="Currency 4 2 2 4 3 3" xfId="22568"/>
    <cellStyle name="Currency 4 2 2 4 3 3 2" xfId="22569"/>
    <cellStyle name="Currency 4 2 2 4 3 3 2 2" xfId="22570"/>
    <cellStyle name="Currency 4 2 2 4 3 3 3" xfId="22571"/>
    <cellStyle name="Currency 4 2 2 4 3 3 3 2" xfId="22572"/>
    <cellStyle name="Currency 4 2 2 4 3 3 4" xfId="22573"/>
    <cellStyle name="Currency 4 2 2 4 3 3 4 2" xfId="22574"/>
    <cellStyle name="Currency 4 2 2 4 3 3 5" xfId="22575"/>
    <cellStyle name="Currency 4 2 2 4 3 3 6" xfId="22576"/>
    <cellStyle name="Currency 4 2 2 4 3 4" xfId="22577"/>
    <cellStyle name="Currency 4 2 2 4 3 4 2" xfId="22578"/>
    <cellStyle name="Currency 4 2 2 4 3 4 2 2" xfId="22579"/>
    <cellStyle name="Currency 4 2 2 4 3 4 3" xfId="22580"/>
    <cellStyle name="Currency 4 2 2 4 3 4 3 2" xfId="22581"/>
    <cellStyle name="Currency 4 2 2 4 3 4 4" xfId="22582"/>
    <cellStyle name="Currency 4 2 2 4 3 4 4 2" xfId="22583"/>
    <cellStyle name="Currency 4 2 2 4 3 4 5" xfId="22584"/>
    <cellStyle name="Currency 4 2 2 4 3 4 6" xfId="22585"/>
    <cellStyle name="Currency 4 2 2 4 3 5" xfId="22586"/>
    <cellStyle name="Currency 4 2 2 4 3 5 2" xfId="22587"/>
    <cellStyle name="Currency 4 2 2 4 3 5 2 2" xfId="22588"/>
    <cellStyle name="Currency 4 2 2 4 3 5 3" xfId="22589"/>
    <cellStyle name="Currency 4 2 2 4 3 5 3 2" xfId="22590"/>
    <cellStyle name="Currency 4 2 2 4 3 5 4" xfId="22591"/>
    <cellStyle name="Currency 4 2 2 4 3 5 5" xfId="22592"/>
    <cellStyle name="Currency 4 2 2 4 3 6" xfId="22593"/>
    <cellStyle name="Currency 4 2 2 4 3 6 2" xfId="22594"/>
    <cellStyle name="Currency 4 2 2 4 3 7" xfId="22595"/>
    <cellStyle name="Currency 4 2 2 4 3 7 2" xfId="22596"/>
    <cellStyle name="Currency 4 2 2 4 3 8" xfId="22597"/>
    <cellStyle name="Currency 4 2 2 4 3 8 2" xfId="22598"/>
    <cellStyle name="Currency 4 2 2 4 3 9" xfId="22599"/>
    <cellStyle name="Currency 4 2 2 4 4" xfId="22600"/>
    <cellStyle name="Currency 4 2 2 4 4 2" xfId="22601"/>
    <cellStyle name="Currency 4 2 2 4 4 2 2" xfId="22602"/>
    <cellStyle name="Currency 4 2 2 4 4 3" xfId="22603"/>
    <cellStyle name="Currency 4 2 2 4 4 3 2" xfId="22604"/>
    <cellStyle name="Currency 4 2 2 4 4 4" xfId="22605"/>
    <cellStyle name="Currency 4 2 2 4 4 4 2" xfId="22606"/>
    <cellStyle name="Currency 4 2 2 4 4 5" xfId="22607"/>
    <cellStyle name="Currency 4 2 2 4 4 6" xfId="22608"/>
    <cellStyle name="Currency 4 2 2 4 5" xfId="22609"/>
    <cellStyle name="Currency 4 2 2 4 5 2" xfId="22610"/>
    <cellStyle name="Currency 4 2 2 4 5 2 2" xfId="22611"/>
    <cellStyle name="Currency 4 2 2 4 5 3" xfId="22612"/>
    <cellStyle name="Currency 4 2 2 4 5 3 2" xfId="22613"/>
    <cellStyle name="Currency 4 2 2 4 5 4" xfId="22614"/>
    <cellStyle name="Currency 4 2 2 4 5 4 2" xfId="22615"/>
    <cellStyle name="Currency 4 2 2 4 5 5" xfId="22616"/>
    <cellStyle name="Currency 4 2 2 4 5 6" xfId="22617"/>
    <cellStyle name="Currency 4 2 2 4 6" xfId="22618"/>
    <cellStyle name="Currency 4 2 2 4 6 2" xfId="22619"/>
    <cellStyle name="Currency 4 2 2 4 6 2 2" xfId="22620"/>
    <cellStyle name="Currency 4 2 2 4 6 3" xfId="22621"/>
    <cellStyle name="Currency 4 2 2 4 6 3 2" xfId="22622"/>
    <cellStyle name="Currency 4 2 2 4 6 4" xfId="22623"/>
    <cellStyle name="Currency 4 2 2 4 6 4 2" xfId="22624"/>
    <cellStyle name="Currency 4 2 2 4 6 5" xfId="22625"/>
    <cellStyle name="Currency 4 2 2 4 6 6" xfId="22626"/>
    <cellStyle name="Currency 4 2 2 4 7" xfId="22627"/>
    <cellStyle name="Currency 4 2 2 4 7 2" xfId="22628"/>
    <cellStyle name="Currency 4 2 2 4 7 2 2" xfId="22629"/>
    <cellStyle name="Currency 4 2 2 4 7 3" xfId="22630"/>
    <cellStyle name="Currency 4 2 2 4 7 3 2" xfId="22631"/>
    <cellStyle name="Currency 4 2 2 4 7 4" xfId="22632"/>
    <cellStyle name="Currency 4 2 2 4 7 5" xfId="22633"/>
    <cellStyle name="Currency 4 2 2 4 8" xfId="22634"/>
    <cellStyle name="Currency 4 2 2 4 8 2" xfId="22635"/>
    <cellStyle name="Currency 4 2 2 4 9" xfId="22636"/>
    <cellStyle name="Currency 4 2 2 4 9 2" xfId="22637"/>
    <cellStyle name="Currency 4 2 2 5" xfId="22638"/>
    <cellStyle name="Currency 4 2 2 5 10" xfId="22639"/>
    <cellStyle name="Currency 4 2 2 5 11" xfId="22640"/>
    <cellStyle name="Currency 4 2 2 5 2" xfId="22641"/>
    <cellStyle name="Currency 4 2 2 5 2 2" xfId="22642"/>
    <cellStyle name="Currency 4 2 2 5 2 2 2" xfId="22643"/>
    <cellStyle name="Currency 4 2 2 5 2 3" xfId="22644"/>
    <cellStyle name="Currency 4 2 2 5 2 3 2" xfId="22645"/>
    <cellStyle name="Currency 4 2 2 5 2 4" xfId="22646"/>
    <cellStyle name="Currency 4 2 2 5 2 4 2" xfId="22647"/>
    <cellStyle name="Currency 4 2 2 5 2 5" xfId="22648"/>
    <cellStyle name="Currency 4 2 2 5 2 6" xfId="22649"/>
    <cellStyle name="Currency 4 2 2 5 3" xfId="22650"/>
    <cellStyle name="Currency 4 2 2 5 3 2" xfId="22651"/>
    <cellStyle name="Currency 4 2 2 5 3 2 2" xfId="22652"/>
    <cellStyle name="Currency 4 2 2 5 3 3" xfId="22653"/>
    <cellStyle name="Currency 4 2 2 5 3 3 2" xfId="22654"/>
    <cellStyle name="Currency 4 2 2 5 3 4" xfId="22655"/>
    <cellStyle name="Currency 4 2 2 5 3 4 2" xfId="22656"/>
    <cellStyle name="Currency 4 2 2 5 3 5" xfId="22657"/>
    <cellStyle name="Currency 4 2 2 5 3 6" xfId="22658"/>
    <cellStyle name="Currency 4 2 2 5 4" xfId="22659"/>
    <cellStyle name="Currency 4 2 2 5 4 2" xfId="22660"/>
    <cellStyle name="Currency 4 2 2 5 4 2 2" xfId="22661"/>
    <cellStyle name="Currency 4 2 2 5 4 3" xfId="22662"/>
    <cellStyle name="Currency 4 2 2 5 4 3 2" xfId="22663"/>
    <cellStyle name="Currency 4 2 2 5 4 4" xfId="22664"/>
    <cellStyle name="Currency 4 2 2 5 4 4 2" xfId="22665"/>
    <cellStyle name="Currency 4 2 2 5 4 5" xfId="22666"/>
    <cellStyle name="Currency 4 2 2 5 4 6" xfId="22667"/>
    <cellStyle name="Currency 4 2 2 5 5" xfId="22668"/>
    <cellStyle name="Currency 4 2 2 5 5 2" xfId="22669"/>
    <cellStyle name="Currency 4 2 2 5 5 2 2" xfId="22670"/>
    <cellStyle name="Currency 4 2 2 5 5 3" xfId="22671"/>
    <cellStyle name="Currency 4 2 2 5 5 3 2" xfId="22672"/>
    <cellStyle name="Currency 4 2 2 5 5 4" xfId="22673"/>
    <cellStyle name="Currency 4 2 2 5 5 4 2" xfId="22674"/>
    <cellStyle name="Currency 4 2 2 5 5 5" xfId="22675"/>
    <cellStyle name="Currency 4 2 2 5 5 6" xfId="22676"/>
    <cellStyle name="Currency 4 2 2 5 6" xfId="22677"/>
    <cellStyle name="Currency 4 2 2 5 6 2" xfId="22678"/>
    <cellStyle name="Currency 4 2 2 5 6 2 2" xfId="22679"/>
    <cellStyle name="Currency 4 2 2 5 6 3" xfId="22680"/>
    <cellStyle name="Currency 4 2 2 5 6 3 2" xfId="22681"/>
    <cellStyle name="Currency 4 2 2 5 6 4" xfId="22682"/>
    <cellStyle name="Currency 4 2 2 5 6 5" xfId="22683"/>
    <cellStyle name="Currency 4 2 2 5 7" xfId="22684"/>
    <cellStyle name="Currency 4 2 2 5 7 2" xfId="22685"/>
    <cellStyle name="Currency 4 2 2 5 8" xfId="22686"/>
    <cellStyle name="Currency 4 2 2 5 8 2" xfId="22687"/>
    <cellStyle name="Currency 4 2 2 5 9" xfId="22688"/>
    <cellStyle name="Currency 4 2 2 5 9 2" xfId="22689"/>
    <cellStyle name="Currency 4 2 2 6" xfId="22690"/>
    <cellStyle name="Currency 4 2 2 6 10" xfId="22691"/>
    <cellStyle name="Currency 4 2 2 6 2" xfId="22692"/>
    <cellStyle name="Currency 4 2 2 6 2 2" xfId="22693"/>
    <cellStyle name="Currency 4 2 2 6 2 2 2" xfId="22694"/>
    <cellStyle name="Currency 4 2 2 6 2 3" xfId="22695"/>
    <cellStyle name="Currency 4 2 2 6 2 3 2" xfId="22696"/>
    <cellStyle name="Currency 4 2 2 6 2 4" xfId="22697"/>
    <cellStyle name="Currency 4 2 2 6 2 4 2" xfId="22698"/>
    <cellStyle name="Currency 4 2 2 6 2 5" xfId="22699"/>
    <cellStyle name="Currency 4 2 2 6 2 6" xfId="22700"/>
    <cellStyle name="Currency 4 2 2 6 3" xfId="22701"/>
    <cellStyle name="Currency 4 2 2 6 3 2" xfId="22702"/>
    <cellStyle name="Currency 4 2 2 6 3 2 2" xfId="22703"/>
    <cellStyle name="Currency 4 2 2 6 3 3" xfId="22704"/>
    <cellStyle name="Currency 4 2 2 6 3 3 2" xfId="22705"/>
    <cellStyle name="Currency 4 2 2 6 3 4" xfId="22706"/>
    <cellStyle name="Currency 4 2 2 6 3 4 2" xfId="22707"/>
    <cellStyle name="Currency 4 2 2 6 3 5" xfId="22708"/>
    <cellStyle name="Currency 4 2 2 6 3 6" xfId="22709"/>
    <cellStyle name="Currency 4 2 2 6 4" xfId="22710"/>
    <cellStyle name="Currency 4 2 2 6 4 2" xfId="22711"/>
    <cellStyle name="Currency 4 2 2 6 4 2 2" xfId="22712"/>
    <cellStyle name="Currency 4 2 2 6 4 3" xfId="22713"/>
    <cellStyle name="Currency 4 2 2 6 4 3 2" xfId="22714"/>
    <cellStyle name="Currency 4 2 2 6 4 4" xfId="22715"/>
    <cellStyle name="Currency 4 2 2 6 4 4 2" xfId="22716"/>
    <cellStyle name="Currency 4 2 2 6 4 5" xfId="22717"/>
    <cellStyle name="Currency 4 2 2 6 4 6" xfId="22718"/>
    <cellStyle name="Currency 4 2 2 6 5" xfId="22719"/>
    <cellStyle name="Currency 4 2 2 6 5 2" xfId="22720"/>
    <cellStyle name="Currency 4 2 2 6 5 2 2" xfId="22721"/>
    <cellStyle name="Currency 4 2 2 6 5 3" xfId="22722"/>
    <cellStyle name="Currency 4 2 2 6 5 3 2" xfId="22723"/>
    <cellStyle name="Currency 4 2 2 6 5 4" xfId="22724"/>
    <cellStyle name="Currency 4 2 2 6 5 5" xfId="22725"/>
    <cellStyle name="Currency 4 2 2 6 6" xfId="22726"/>
    <cellStyle name="Currency 4 2 2 6 6 2" xfId="22727"/>
    <cellStyle name="Currency 4 2 2 6 7" xfId="22728"/>
    <cellStyle name="Currency 4 2 2 6 7 2" xfId="22729"/>
    <cellStyle name="Currency 4 2 2 6 8" xfId="22730"/>
    <cellStyle name="Currency 4 2 2 6 8 2" xfId="22731"/>
    <cellStyle name="Currency 4 2 2 6 9" xfId="22732"/>
    <cellStyle name="Currency 4 2 2 7" xfId="22733"/>
    <cellStyle name="Currency 4 2 2 7 10" xfId="22734"/>
    <cellStyle name="Currency 4 2 2 7 2" xfId="22735"/>
    <cellStyle name="Currency 4 2 2 7 2 2" xfId="22736"/>
    <cellStyle name="Currency 4 2 2 7 2 2 2" xfId="22737"/>
    <cellStyle name="Currency 4 2 2 7 2 3" xfId="22738"/>
    <cellStyle name="Currency 4 2 2 7 2 3 2" xfId="22739"/>
    <cellStyle name="Currency 4 2 2 7 2 4" xfId="22740"/>
    <cellStyle name="Currency 4 2 2 7 2 4 2" xfId="22741"/>
    <cellStyle name="Currency 4 2 2 7 2 5" xfId="22742"/>
    <cellStyle name="Currency 4 2 2 7 2 6" xfId="22743"/>
    <cellStyle name="Currency 4 2 2 7 3" xfId="22744"/>
    <cellStyle name="Currency 4 2 2 7 3 2" xfId="22745"/>
    <cellStyle name="Currency 4 2 2 7 3 2 2" xfId="22746"/>
    <cellStyle name="Currency 4 2 2 7 3 3" xfId="22747"/>
    <cellStyle name="Currency 4 2 2 7 3 3 2" xfId="22748"/>
    <cellStyle name="Currency 4 2 2 7 3 4" xfId="22749"/>
    <cellStyle name="Currency 4 2 2 7 3 4 2" xfId="22750"/>
    <cellStyle name="Currency 4 2 2 7 3 5" xfId="22751"/>
    <cellStyle name="Currency 4 2 2 7 3 6" xfId="22752"/>
    <cellStyle name="Currency 4 2 2 7 4" xfId="22753"/>
    <cellStyle name="Currency 4 2 2 7 4 2" xfId="22754"/>
    <cellStyle name="Currency 4 2 2 7 4 2 2" xfId="22755"/>
    <cellStyle name="Currency 4 2 2 7 4 3" xfId="22756"/>
    <cellStyle name="Currency 4 2 2 7 4 3 2" xfId="22757"/>
    <cellStyle name="Currency 4 2 2 7 4 4" xfId="22758"/>
    <cellStyle name="Currency 4 2 2 7 4 4 2" xfId="22759"/>
    <cellStyle name="Currency 4 2 2 7 4 5" xfId="22760"/>
    <cellStyle name="Currency 4 2 2 7 4 6" xfId="22761"/>
    <cellStyle name="Currency 4 2 2 7 5" xfId="22762"/>
    <cellStyle name="Currency 4 2 2 7 5 2" xfId="22763"/>
    <cellStyle name="Currency 4 2 2 7 5 2 2" xfId="22764"/>
    <cellStyle name="Currency 4 2 2 7 5 3" xfId="22765"/>
    <cellStyle name="Currency 4 2 2 7 5 3 2" xfId="22766"/>
    <cellStyle name="Currency 4 2 2 7 5 4" xfId="22767"/>
    <cellStyle name="Currency 4 2 2 7 5 5" xfId="22768"/>
    <cellStyle name="Currency 4 2 2 7 6" xfId="22769"/>
    <cellStyle name="Currency 4 2 2 7 6 2" xfId="22770"/>
    <cellStyle name="Currency 4 2 2 7 7" xfId="22771"/>
    <cellStyle name="Currency 4 2 2 7 7 2" xfId="22772"/>
    <cellStyle name="Currency 4 2 2 7 8" xfId="22773"/>
    <cellStyle name="Currency 4 2 2 7 8 2" xfId="22774"/>
    <cellStyle name="Currency 4 2 2 7 9" xfId="22775"/>
    <cellStyle name="Currency 4 2 2 8" xfId="22776"/>
    <cellStyle name="Currency 4 2 2 8 2" xfId="22777"/>
    <cellStyle name="Currency 4 2 2 8 2 2" xfId="22778"/>
    <cellStyle name="Currency 4 2 2 8 3" xfId="22779"/>
    <cellStyle name="Currency 4 2 2 8 3 2" xfId="22780"/>
    <cellStyle name="Currency 4 2 2 8 4" xfId="22781"/>
    <cellStyle name="Currency 4 2 2 8 4 2" xfId="22782"/>
    <cellStyle name="Currency 4 2 2 8 5" xfId="22783"/>
    <cellStyle name="Currency 4 2 2 8 6" xfId="22784"/>
    <cellStyle name="Currency 4 2 2 9" xfId="22785"/>
    <cellStyle name="Currency 4 2 2 9 2" xfId="22786"/>
    <cellStyle name="Currency 4 2 2 9 2 2" xfId="22787"/>
    <cellStyle name="Currency 4 2 2 9 3" xfId="22788"/>
    <cellStyle name="Currency 4 2 2 9 3 2" xfId="22789"/>
    <cellStyle name="Currency 4 2 2 9 4" xfId="22790"/>
    <cellStyle name="Currency 4 2 2 9 4 2" xfId="22791"/>
    <cellStyle name="Currency 4 2 2 9 5" xfId="22792"/>
    <cellStyle name="Currency 4 2 2 9 6" xfId="22793"/>
    <cellStyle name="Currency 4 2 3" xfId="22794"/>
    <cellStyle name="Currency 4 2 3 10" xfId="22795"/>
    <cellStyle name="Currency 4 2 3 10 2" xfId="22796"/>
    <cellStyle name="Currency 4 2 3 11" xfId="22797"/>
    <cellStyle name="Currency 4 2 3 11 2" xfId="22798"/>
    <cellStyle name="Currency 4 2 3 12" xfId="22799"/>
    <cellStyle name="Currency 4 2 3 13" xfId="22800"/>
    <cellStyle name="Currency 4 2 3 2" xfId="22801"/>
    <cellStyle name="Currency 4 2 3 2 10" xfId="22802"/>
    <cellStyle name="Currency 4 2 3 2 11" xfId="22803"/>
    <cellStyle name="Currency 4 2 3 2 2" xfId="22804"/>
    <cellStyle name="Currency 4 2 3 2 2 2" xfId="22805"/>
    <cellStyle name="Currency 4 2 3 2 2 2 2" xfId="22806"/>
    <cellStyle name="Currency 4 2 3 2 2 3" xfId="22807"/>
    <cellStyle name="Currency 4 2 3 2 2 3 2" xfId="22808"/>
    <cellStyle name="Currency 4 2 3 2 2 4" xfId="22809"/>
    <cellStyle name="Currency 4 2 3 2 2 4 2" xfId="22810"/>
    <cellStyle name="Currency 4 2 3 2 2 5" xfId="22811"/>
    <cellStyle name="Currency 4 2 3 2 2 6" xfId="22812"/>
    <cellStyle name="Currency 4 2 3 2 3" xfId="22813"/>
    <cellStyle name="Currency 4 2 3 2 3 2" xfId="22814"/>
    <cellStyle name="Currency 4 2 3 2 3 2 2" xfId="22815"/>
    <cellStyle name="Currency 4 2 3 2 3 3" xfId="22816"/>
    <cellStyle name="Currency 4 2 3 2 3 3 2" xfId="22817"/>
    <cellStyle name="Currency 4 2 3 2 3 4" xfId="22818"/>
    <cellStyle name="Currency 4 2 3 2 3 4 2" xfId="22819"/>
    <cellStyle name="Currency 4 2 3 2 3 5" xfId="22820"/>
    <cellStyle name="Currency 4 2 3 2 3 6" xfId="22821"/>
    <cellStyle name="Currency 4 2 3 2 4" xfId="22822"/>
    <cellStyle name="Currency 4 2 3 2 4 2" xfId="22823"/>
    <cellStyle name="Currency 4 2 3 2 4 2 2" xfId="22824"/>
    <cellStyle name="Currency 4 2 3 2 4 3" xfId="22825"/>
    <cellStyle name="Currency 4 2 3 2 4 3 2" xfId="22826"/>
    <cellStyle name="Currency 4 2 3 2 4 4" xfId="22827"/>
    <cellStyle name="Currency 4 2 3 2 4 4 2" xfId="22828"/>
    <cellStyle name="Currency 4 2 3 2 4 5" xfId="22829"/>
    <cellStyle name="Currency 4 2 3 2 4 6" xfId="22830"/>
    <cellStyle name="Currency 4 2 3 2 5" xfId="22831"/>
    <cellStyle name="Currency 4 2 3 2 5 2" xfId="22832"/>
    <cellStyle name="Currency 4 2 3 2 5 2 2" xfId="22833"/>
    <cellStyle name="Currency 4 2 3 2 5 3" xfId="22834"/>
    <cellStyle name="Currency 4 2 3 2 5 3 2" xfId="22835"/>
    <cellStyle name="Currency 4 2 3 2 5 4" xfId="22836"/>
    <cellStyle name="Currency 4 2 3 2 5 4 2" xfId="22837"/>
    <cellStyle name="Currency 4 2 3 2 5 5" xfId="22838"/>
    <cellStyle name="Currency 4 2 3 2 5 6" xfId="22839"/>
    <cellStyle name="Currency 4 2 3 2 6" xfId="22840"/>
    <cellStyle name="Currency 4 2 3 2 6 2" xfId="22841"/>
    <cellStyle name="Currency 4 2 3 2 6 2 2" xfId="22842"/>
    <cellStyle name="Currency 4 2 3 2 6 3" xfId="22843"/>
    <cellStyle name="Currency 4 2 3 2 6 3 2" xfId="22844"/>
    <cellStyle name="Currency 4 2 3 2 6 4" xfId="22845"/>
    <cellStyle name="Currency 4 2 3 2 6 5" xfId="22846"/>
    <cellStyle name="Currency 4 2 3 2 7" xfId="22847"/>
    <cellStyle name="Currency 4 2 3 2 7 2" xfId="22848"/>
    <cellStyle name="Currency 4 2 3 2 8" xfId="22849"/>
    <cellStyle name="Currency 4 2 3 2 8 2" xfId="22850"/>
    <cellStyle name="Currency 4 2 3 2 9" xfId="22851"/>
    <cellStyle name="Currency 4 2 3 2 9 2" xfId="22852"/>
    <cellStyle name="Currency 4 2 3 3" xfId="22853"/>
    <cellStyle name="Currency 4 2 3 3 10" xfId="22854"/>
    <cellStyle name="Currency 4 2 3 3 2" xfId="22855"/>
    <cellStyle name="Currency 4 2 3 3 2 2" xfId="22856"/>
    <cellStyle name="Currency 4 2 3 3 2 2 2" xfId="22857"/>
    <cellStyle name="Currency 4 2 3 3 2 3" xfId="22858"/>
    <cellStyle name="Currency 4 2 3 3 2 3 2" xfId="22859"/>
    <cellStyle name="Currency 4 2 3 3 2 4" xfId="22860"/>
    <cellStyle name="Currency 4 2 3 3 2 4 2" xfId="22861"/>
    <cellStyle name="Currency 4 2 3 3 2 5" xfId="22862"/>
    <cellStyle name="Currency 4 2 3 3 2 6" xfId="22863"/>
    <cellStyle name="Currency 4 2 3 3 3" xfId="22864"/>
    <cellStyle name="Currency 4 2 3 3 3 2" xfId="22865"/>
    <cellStyle name="Currency 4 2 3 3 3 2 2" xfId="22866"/>
    <cellStyle name="Currency 4 2 3 3 3 3" xfId="22867"/>
    <cellStyle name="Currency 4 2 3 3 3 3 2" xfId="22868"/>
    <cellStyle name="Currency 4 2 3 3 3 4" xfId="22869"/>
    <cellStyle name="Currency 4 2 3 3 3 4 2" xfId="22870"/>
    <cellStyle name="Currency 4 2 3 3 3 5" xfId="22871"/>
    <cellStyle name="Currency 4 2 3 3 3 6" xfId="22872"/>
    <cellStyle name="Currency 4 2 3 3 4" xfId="22873"/>
    <cellStyle name="Currency 4 2 3 3 4 2" xfId="22874"/>
    <cellStyle name="Currency 4 2 3 3 4 2 2" xfId="22875"/>
    <cellStyle name="Currency 4 2 3 3 4 3" xfId="22876"/>
    <cellStyle name="Currency 4 2 3 3 4 3 2" xfId="22877"/>
    <cellStyle name="Currency 4 2 3 3 4 4" xfId="22878"/>
    <cellStyle name="Currency 4 2 3 3 4 4 2" xfId="22879"/>
    <cellStyle name="Currency 4 2 3 3 4 5" xfId="22880"/>
    <cellStyle name="Currency 4 2 3 3 4 6" xfId="22881"/>
    <cellStyle name="Currency 4 2 3 3 5" xfId="22882"/>
    <cellStyle name="Currency 4 2 3 3 5 2" xfId="22883"/>
    <cellStyle name="Currency 4 2 3 3 5 2 2" xfId="22884"/>
    <cellStyle name="Currency 4 2 3 3 5 3" xfId="22885"/>
    <cellStyle name="Currency 4 2 3 3 5 3 2" xfId="22886"/>
    <cellStyle name="Currency 4 2 3 3 5 4" xfId="22887"/>
    <cellStyle name="Currency 4 2 3 3 5 5" xfId="22888"/>
    <cellStyle name="Currency 4 2 3 3 6" xfId="22889"/>
    <cellStyle name="Currency 4 2 3 3 6 2" xfId="22890"/>
    <cellStyle name="Currency 4 2 3 3 7" xfId="22891"/>
    <cellStyle name="Currency 4 2 3 3 7 2" xfId="22892"/>
    <cellStyle name="Currency 4 2 3 3 8" xfId="22893"/>
    <cellStyle name="Currency 4 2 3 3 8 2" xfId="22894"/>
    <cellStyle name="Currency 4 2 3 3 9" xfId="22895"/>
    <cellStyle name="Currency 4 2 3 4" xfId="22896"/>
    <cellStyle name="Currency 4 2 3 4 10" xfId="22897"/>
    <cellStyle name="Currency 4 2 3 4 2" xfId="22898"/>
    <cellStyle name="Currency 4 2 3 4 2 2" xfId="22899"/>
    <cellStyle name="Currency 4 2 3 4 2 2 2" xfId="22900"/>
    <cellStyle name="Currency 4 2 3 4 2 3" xfId="22901"/>
    <cellStyle name="Currency 4 2 3 4 2 3 2" xfId="22902"/>
    <cellStyle name="Currency 4 2 3 4 2 4" xfId="22903"/>
    <cellStyle name="Currency 4 2 3 4 2 4 2" xfId="22904"/>
    <cellStyle name="Currency 4 2 3 4 2 5" xfId="22905"/>
    <cellStyle name="Currency 4 2 3 4 2 6" xfId="22906"/>
    <cellStyle name="Currency 4 2 3 4 3" xfId="22907"/>
    <cellStyle name="Currency 4 2 3 4 3 2" xfId="22908"/>
    <cellStyle name="Currency 4 2 3 4 3 2 2" xfId="22909"/>
    <cellStyle name="Currency 4 2 3 4 3 3" xfId="22910"/>
    <cellStyle name="Currency 4 2 3 4 3 3 2" xfId="22911"/>
    <cellStyle name="Currency 4 2 3 4 3 4" xfId="22912"/>
    <cellStyle name="Currency 4 2 3 4 3 4 2" xfId="22913"/>
    <cellStyle name="Currency 4 2 3 4 3 5" xfId="22914"/>
    <cellStyle name="Currency 4 2 3 4 3 6" xfId="22915"/>
    <cellStyle name="Currency 4 2 3 4 4" xfId="22916"/>
    <cellStyle name="Currency 4 2 3 4 4 2" xfId="22917"/>
    <cellStyle name="Currency 4 2 3 4 4 2 2" xfId="22918"/>
    <cellStyle name="Currency 4 2 3 4 4 3" xfId="22919"/>
    <cellStyle name="Currency 4 2 3 4 4 3 2" xfId="22920"/>
    <cellStyle name="Currency 4 2 3 4 4 4" xfId="22921"/>
    <cellStyle name="Currency 4 2 3 4 4 4 2" xfId="22922"/>
    <cellStyle name="Currency 4 2 3 4 4 5" xfId="22923"/>
    <cellStyle name="Currency 4 2 3 4 4 6" xfId="22924"/>
    <cellStyle name="Currency 4 2 3 4 5" xfId="22925"/>
    <cellStyle name="Currency 4 2 3 4 5 2" xfId="22926"/>
    <cellStyle name="Currency 4 2 3 4 5 2 2" xfId="22927"/>
    <cellStyle name="Currency 4 2 3 4 5 3" xfId="22928"/>
    <cellStyle name="Currency 4 2 3 4 5 3 2" xfId="22929"/>
    <cellStyle name="Currency 4 2 3 4 5 4" xfId="22930"/>
    <cellStyle name="Currency 4 2 3 4 5 5" xfId="22931"/>
    <cellStyle name="Currency 4 2 3 4 6" xfId="22932"/>
    <cellStyle name="Currency 4 2 3 4 6 2" xfId="22933"/>
    <cellStyle name="Currency 4 2 3 4 7" xfId="22934"/>
    <cellStyle name="Currency 4 2 3 4 7 2" xfId="22935"/>
    <cellStyle name="Currency 4 2 3 4 8" xfId="22936"/>
    <cellStyle name="Currency 4 2 3 4 8 2" xfId="22937"/>
    <cellStyle name="Currency 4 2 3 4 9" xfId="22938"/>
    <cellStyle name="Currency 4 2 3 5" xfId="22939"/>
    <cellStyle name="Currency 4 2 3 5 2" xfId="22940"/>
    <cellStyle name="Currency 4 2 3 5 2 2" xfId="22941"/>
    <cellStyle name="Currency 4 2 3 5 3" xfId="22942"/>
    <cellStyle name="Currency 4 2 3 5 3 2" xfId="22943"/>
    <cellStyle name="Currency 4 2 3 5 4" xfId="22944"/>
    <cellStyle name="Currency 4 2 3 5 4 2" xfId="22945"/>
    <cellStyle name="Currency 4 2 3 5 5" xfId="22946"/>
    <cellStyle name="Currency 4 2 3 5 6" xfId="22947"/>
    <cellStyle name="Currency 4 2 3 6" xfId="22948"/>
    <cellStyle name="Currency 4 2 3 6 2" xfId="22949"/>
    <cellStyle name="Currency 4 2 3 6 2 2" xfId="22950"/>
    <cellStyle name="Currency 4 2 3 6 3" xfId="22951"/>
    <cellStyle name="Currency 4 2 3 6 3 2" xfId="22952"/>
    <cellStyle name="Currency 4 2 3 6 4" xfId="22953"/>
    <cellStyle name="Currency 4 2 3 6 4 2" xfId="22954"/>
    <cellStyle name="Currency 4 2 3 6 5" xfId="22955"/>
    <cellStyle name="Currency 4 2 3 6 6" xfId="22956"/>
    <cellStyle name="Currency 4 2 3 7" xfId="22957"/>
    <cellStyle name="Currency 4 2 3 7 2" xfId="22958"/>
    <cellStyle name="Currency 4 2 3 7 2 2" xfId="22959"/>
    <cellStyle name="Currency 4 2 3 7 3" xfId="22960"/>
    <cellStyle name="Currency 4 2 3 7 3 2" xfId="22961"/>
    <cellStyle name="Currency 4 2 3 7 4" xfId="22962"/>
    <cellStyle name="Currency 4 2 3 7 4 2" xfId="22963"/>
    <cellStyle name="Currency 4 2 3 7 5" xfId="22964"/>
    <cellStyle name="Currency 4 2 3 7 6" xfId="22965"/>
    <cellStyle name="Currency 4 2 3 8" xfId="22966"/>
    <cellStyle name="Currency 4 2 3 8 2" xfId="22967"/>
    <cellStyle name="Currency 4 2 3 8 2 2" xfId="22968"/>
    <cellStyle name="Currency 4 2 3 8 3" xfId="22969"/>
    <cellStyle name="Currency 4 2 3 8 3 2" xfId="22970"/>
    <cellStyle name="Currency 4 2 3 8 4" xfId="22971"/>
    <cellStyle name="Currency 4 2 3 8 5" xfId="22972"/>
    <cellStyle name="Currency 4 2 3 9" xfId="22973"/>
    <cellStyle name="Currency 4 2 3 9 2" xfId="22974"/>
    <cellStyle name="Currency 4 2 4" xfId="22975"/>
    <cellStyle name="Currency 4 2 4 10" xfId="22976"/>
    <cellStyle name="Currency 4 2 4 10 2" xfId="22977"/>
    <cellStyle name="Currency 4 2 4 11" xfId="22978"/>
    <cellStyle name="Currency 4 2 4 11 2" xfId="22979"/>
    <cellStyle name="Currency 4 2 4 12" xfId="22980"/>
    <cellStyle name="Currency 4 2 4 13" xfId="22981"/>
    <cellStyle name="Currency 4 2 4 2" xfId="22982"/>
    <cellStyle name="Currency 4 2 4 2 10" xfId="22983"/>
    <cellStyle name="Currency 4 2 4 2 11" xfId="22984"/>
    <cellStyle name="Currency 4 2 4 2 2" xfId="22985"/>
    <cellStyle name="Currency 4 2 4 2 2 2" xfId="22986"/>
    <cellStyle name="Currency 4 2 4 2 2 2 2" xfId="22987"/>
    <cellStyle name="Currency 4 2 4 2 2 3" xfId="22988"/>
    <cellStyle name="Currency 4 2 4 2 2 3 2" xfId="22989"/>
    <cellStyle name="Currency 4 2 4 2 2 4" xfId="22990"/>
    <cellStyle name="Currency 4 2 4 2 2 4 2" xfId="22991"/>
    <cellStyle name="Currency 4 2 4 2 2 5" xfId="22992"/>
    <cellStyle name="Currency 4 2 4 2 2 6" xfId="22993"/>
    <cellStyle name="Currency 4 2 4 2 3" xfId="22994"/>
    <cellStyle name="Currency 4 2 4 2 3 2" xfId="22995"/>
    <cellStyle name="Currency 4 2 4 2 3 2 2" xfId="22996"/>
    <cellStyle name="Currency 4 2 4 2 3 3" xfId="22997"/>
    <cellStyle name="Currency 4 2 4 2 3 3 2" xfId="22998"/>
    <cellStyle name="Currency 4 2 4 2 3 4" xfId="22999"/>
    <cellStyle name="Currency 4 2 4 2 3 4 2" xfId="23000"/>
    <cellStyle name="Currency 4 2 4 2 3 5" xfId="23001"/>
    <cellStyle name="Currency 4 2 4 2 3 6" xfId="23002"/>
    <cellStyle name="Currency 4 2 4 2 4" xfId="23003"/>
    <cellStyle name="Currency 4 2 4 2 4 2" xfId="23004"/>
    <cellStyle name="Currency 4 2 4 2 4 2 2" xfId="23005"/>
    <cellStyle name="Currency 4 2 4 2 4 3" xfId="23006"/>
    <cellStyle name="Currency 4 2 4 2 4 3 2" xfId="23007"/>
    <cellStyle name="Currency 4 2 4 2 4 4" xfId="23008"/>
    <cellStyle name="Currency 4 2 4 2 4 4 2" xfId="23009"/>
    <cellStyle name="Currency 4 2 4 2 4 5" xfId="23010"/>
    <cellStyle name="Currency 4 2 4 2 4 6" xfId="23011"/>
    <cellStyle name="Currency 4 2 4 2 5" xfId="23012"/>
    <cellStyle name="Currency 4 2 4 2 5 2" xfId="23013"/>
    <cellStyle name="Currency 4 2 4 2 5 2 2" xfId="23014"/>
    <cellStyle name="Currency 4 2 4 2 5 3" xfId="23015"/>
    <cellStyle name="Currency 4 2 4 2 5 3 2" xfId="23016"/>
    <cellStyle name="Currency 4 2 4 2 5 4" xfId="23017"/>
    <cellStyle name="Currency 4 2 4 2 5 4 2" xfId="23018"/>
    <cellStyle name="Currency 4 2 4 2 5 5" xfId="23019"/>
    <cellStyle name="Currency 4 2 4 2 5 6" xfId="23020"/>
    <cellStyle name="Currency 4 2 4 2 6" xfId="23021"/>
    <cellStyle name="Currency 4 2 4 2 6 2" xfId="23022"/>
    <cellStyle name="Currency 4 2 4 2 6 2 2" xfId="23023"/>
    <cellStyle name="Currency 4 2 4 2 6 3" xfId="23024"/>
    <cellStyle name="Currency 4 2 4 2 6 3 2" xfId="23025"/>
    <cellStyle name="Currency 4 2 4 2 6 4" xfId="23026"/>
    <cellStyle name="Currency 4 2 4 2 6 5" xfId="23027"/>
    <cellStyle name="Currency 4 2 4 2 7" xfId="23028"/>
    <cellStyle name="Currency 4 2 4 2 7 2" xfId="23029"/>
    <cellStyle name="Currency 4 2 4 2 8" xfId="23030"/>
    <cellStyle name="Currency 4 2 4 2 8 2" xfId="23031"/>
    <cellStyle name="Currency 4 2 4 2 9" xfId="23032"/>
    <cellStyle name="Currency 4 2 4 2 9 2" xfId="23033"/>
    <cellStyle name="Currency 4 2 4 3" xfId="23034"/>
    <cellStyle name="Currency 4 2 4 3 10" xfId="23035"/>
    <cellStyle name="Currency 4 2 4 3 2" xfId="23036"/>
    <cellStyle name="Currency 4 2 4 3 2 2" xfId="23037"/>
    <cellStyle name="Currency 4 2 4 3 2 2 2" xfId="23038"/>
    <cellStyle name="Currency 4 2 4 3 2 3" xfId="23039"/>
    <cellStyle name="Currency 4 2 4 3 2 3 2" xfId="23040"/>
    <cellStyle name="Currency 4 2 4 3 2 4" xfId="23041"/>
    <cellStyle name="Currency 4 2 4 3 2 4 2" xfId="23042"/>
    <cellStyle name="Currency 4 2 4 3 2 5" xfId="23043"/>
    <cellStyle name="Currency 4 2 4 3 2 6" xfId="23044"/>
    <cellStyle name="Currency 4 2 4 3 3" xfId="23045"/>
    <cellStyle name="Currency 4 2 4 3 3 2" xfId="23046"/>
    <cellStyle name="Currency 4 2 4 3 3 2 2" xfId="23047"/>
    <cellStyle name="Currency 4 2 4 3 3 3" xfId="23048"/>
    <cellStyle name="Currency 4 2 4 3 3 3 2" xfId="23049"/>
    <cellStyle name="Currency 4 2 4 3 3 4" xfId="23050"/>
    <cellStyle name="Currency 4 2 4 3 3 4 2" xfId="23051"/>
    <cellStyle name="Currency 4 2 4 3 3 5" xfId="23052"/>
    <cellStyle name="Currency 4 2 4 3 3 6" xfId="23053"/>
    <cellStyle name="Currency 4 2 4 3 4" xfId="23054"/>
    <cellStyle name="Currency 4 2 4 3 4 2" xfId="23055"/>
    <cellStyle name="Currency 4 2 4 3 4 2 2" xfId="23056"/>
    <cellStyle name="Currency 4 2 4 3 4 3" xfId="23057"/>
    <cellStyle name="Currency 4 2 4 3 4 3 2" xfId="23058"/>
    <cellStyle name="Currency 4 2 4 3 4 4" xfId="23059"/>
    <cellStyle name="Currency 4 2 4 3 4 4 2" xfId="23060"/>
    <cellStyle name="Currency 4 2 4 3 4 5" xfId="23061"/>
    <cellStyle name="Currency 4 2 4 3 4 6" xfId="23062"/>
    <cellStyle name="Currency 4 2 4 3 5" xfId="23063"/>
    <cellStyle name="Currency 4 2 4 3 5 2" xfId="23064"/>
    <cellStyle name="Currency 4 2 4 3 5 2 2" xfId="23065"/>
    <cellStyle name="Currency 4 2 4 3 5 3" xfId="23066"/>
    <cellStyle name="Currency 4 2 4 3 5 3 2" xfId="23067"/>
    <cellStyle name="Currency 4 2 4 3 5 4" xfId="23068"/>
    <cellStyle name="Currency 4 2 4 3 5 5" xfId="23069"/>
    <cellStyle name="Currency 4 2 4 3 6" xfId="23070"/>
    <cellStyle name="Currency 4 2 4 3 6 2" xfId="23071"/>
    <cellStyle name="Currency 4 2 4 3 7" xfId="23072"/>
    <cellStyle name="Currency 4 2 4 3 7 2" xfId="23073"/>
    <cellStyle name="Currency 4 2 4 3 8" xfId="23074"/>
    <cellStyle name="Currency 4 2 4 3 8 2" xfId="23075"/>
    <cellStyle name="Currency 4 2 4 3 9" xfId="23076"/>
    <cellStyle name="Currency 4 2 4 4" xfId="23077"/>
    <cellStyle name="Currency 4 2 4 4 10" xfId="23078"/>
    <cellStyle name="Currency 4 2 4 4 2" xfId="23079"/>
    <cellStyle name="Currency 4 2 4 4 2 2" xfId="23080"/>
    <cellStyle name="Currency 4 2 4 4 2 2 2" xfId="23081"/>
    <cellStyle name="Currency 4 2 4 4 2 3" xfId="23082"/>
    <cellStyle name="Currency 4 2 4 4 2 3 2" xfId="23083"/>
    <cellStyle name="Currency 4 2 4 4 2 4" xfId="23084"/>
    <cellStyle name="Currency 4 2 4 4 2 4 2" xfId="23085"/>
    <cellStyle name="Currency 4 2 4 4 2 5" xfId="23086"/>
    <cellStyle name="Currency 4 2 4 4 2 6" xfId="23087"/>
    <cellStyle name="Currency 4 2 4 4 3" xfId="23088"/>
    <cellStyle name="Currency 4 2 4 4 3 2" xfId="23089"/>
    <cellStyle name="Currency 4 2 4 4 3 2 2" xfId="23090"/>
    <cellStyle name="Currency 4 2 4 4 3 3" xfId="23091"/>
    <cellStyle name="Currency 4 2 4 4 3 3 2" xfId="23092"/>
    <cellStyle name="Currency 4 2 4 4 3 4" xfId="23093"/>
    <cellStyle name="Currency 4 2 4 4 3 4 2" xfId="23094"/>
    <cellStyle name="Currency 4 2 4 4 3 5" xfId="23095"/>
    <cellStyle name="Currency 4 2 4 4 3 6" xfId="23096"/>
    <cellStyle name="Currency 4 2 4 4 4" xfId="23097"/>
    <cellStyle name="Currency 4 2 4 4 4 2" xfId="23098"/>
    <cellStyle name="Currency 4 2 4 4 4 2 2" xfId="23099"/>
    <cellStyle name="Currency 4 2 4 4 4 3" xfId="23100"/>
    <cellStyle name="Currency 4 2 4 4 4 3 2" xfId="23101"/>
    <cellStyle name="Currency 4 2 4 4 4 4" xfId="23102"/>
    <cellStyle name="Currency 4 2 4 4 4 4 2" xfId="23103"/>
    <cellStyle name="Currency 4 2 4 4 4 5" xfId="23104"/>
    <cellStyle name="Currency 4 2 4 4 4 6" xfId="23105"/>
    <cellStyle name="Currency 4 2 4 4 5" xfId="23106"/>
    <cellStyle name="Currency 4 2 4 4 5 2" xfId="23107"/>
    <cellStyle name="Currency 4 2 4 4 5 2 2" xfId="23108"/>
    <cellStyle name="Currency 4 2 4 4 5 3" xfId="23109"/>
    <cellStyle name="Currency 4 2 4 4 5 3 2" xfId="23110"/>
    <cellStyle name="Currency 4 2 4 4 5 4" xfId="23111"/>
    <cellStyle name="Currency 4 2 4 4 5 5" xfId="23112"/>
    <cellStyle name="Currency 4 2 4 4 6" xfId="23113"/>
    <cellStyle name="Currency 4 2 4 4 6 2" xfId="23114"/>
    <cellStyle name="Currency 4 2 4 4 7" xfId="23115"/>
    <cellStyle name="Currency 4 2 4 4 7 2" xfId="23116"/>
    <cellStyle name="Currency 4 2 4 4 8" xfId="23117"/>
    <cellStyle name="Currency 4 2 4 4 8 2" xfId="23118"/>
    <cellStyle name="Currency 4 2 4 4 9" xfId="23119"/>
    <cellStyle name="Currency 4 2 4 5" xfId="23120"/>
    <cellStyle name="Currency 4 2 4 5 2" xfId="23121"/>
    <cellStyle name="Currency 4 2 4 5 2 2" xfId="23122"/>
    <cellStyle name="Currency 4 2 4 5 3" xfId="23123"/>
    <cellStyle name="Currency 4 2 4 5 3 2" xfId="23124"/>
    <cellStyle name="Currency 4 2 4 5 4" xfId="23125"/>
    <cellStyle name="Currency 4 2 4 5 4 2" xfId="23126"/>
    <cellStyle name="Currency 4 2 4 5 5" xfId="23127"/>
    <cellStyle name="Currency 4 2 4 5 6" xfId="23128"/>
    <cellStyle name="Currency 4 2 4 6" xfId="23129"/>
    <cellStyle name="Currency 4 2 4 6 2" xfId="23130"/>
    <cellStyle name="Currency 4 2 4 6 2 2" xfId="23131"/>
    <cellStyle name="Currency 4 2 4 6 3" xfId="23132"/>
    <cellStyle name="Currency 4 2 4 6 3 2" xfId="23133"/>
    <cellStyle name="Currency 4 2 4 6 4" xfId="23134"/>
    <cellStyle name="Currency 4 2 4 6 4 2" xfId="23135"/>
    <cellStyle name="Currency 4 2 4 6 5" xfId="23136"/>
    <cellStyle name="Currency 4 2 4 6 6" xfId="23137"/>
    <cellStyle name="Currency 4 2 4 7" xfId="23138"/>
    <cellStyle name="Currency 4 2 4 7 2" xfId="23139"/>
    <cellStyle name="Currency 4 2 4 7 2 2" xfId="23140"/>
    <cellStyle name="Currency 4 2 4 7 3" xfId="23141"/>
    <cellStyle name="Currency 4 2 4 7 3 2" xfId="23142"/>
    <cellStyle name="Currency 4 2 4 7 4" xfId="23143"/>
    <cellStyle name="Currency 4 2 4 7 4 2" xfId="23144"/>
    <cellStyle name="Currency 4 2 4 7 5" xfId="23145"/>
    <cellStyle name="Currency 4 2 4 7 6" xfId="23146"/>
    <cellStyle name="Currency 4 2 4 8" xfId="23147"/>
    <cellStyle name="Currency 4 2 4 8 2" xfId="23148"/>
    <cellStyle name="Currency 4 2 4 8 2 2" xfId="23149"/>
    <cellStyle name="Currency 4 2 4 8 3" xfId="23150"/>
    <cellStyle name="Currency 4 2 4 8 3 2" xfId="23151"/>
    <cellStyle name="Currency 4 2 4 8 4" xfId="23152"/>
    <cellStyle name="Currency 4 2 4 8 5" xfId="23153"/>
    <cellStyle name="Currency 4 2 4 9" xfId="23154"/>
    <cellStyle name="Currency 4 2 4 9 2" xfId="23155"/>
    <cellStyle name="Currency 4 2 5" xfId="23156"/>
    <cellStyle name="Currency 4 2 5 10" xfId="23157"/>
    <cellStyle name="Currency 4 2 5 10 2" xfId="23158"/>
    <cellStyle name="Currency 4 2 5 11" xfId="23159"/>
    <cellStyle name="Currency 4 2 5 12" xfId="23160"/>
    <cellStyle name="Currency 4 2 5 2" xfId="23161"/>
    <cellStyle name="Currency 4 2 5 2 10" xfId="23162"/>
    <cellStyle name="Currency 4 2 5 2 2" xfId="23163"/>
    <cellStyle name="Currency 4 2 5 2 2 2" xfId="23164"/>
    <cellStyle name="Currency 4 2 5 2 2 2 2" xfId="23165"/>
    <cellStyle name="Currency 4 2 5 2 2 3" xfId="23166"/>
    <cellStyle name="Currency 4 2 5 2 2 3 2" xfId="23167"/>
    <cellStyle name="Currency 4 2 5 2 2 4" xfId="23168"/>
    <cellStyle name="Currency 4 2 5 2 2 4 2" xfId="23169"/>
    <cellStyle name="Currency 4 2 5 2 2 5" xfId="23170"/>
    <cellStyle name="Currency 4 2 5 2 2 6" xfId="23171"/>
    <cellStyle name="Currency 4 2 5 2 3" xfId="23172"/>
    <cellStyle name="Currency 4 2 5 2 3 2" xfId="23173"/>
    <cellStyle name="Currency 4 2 5 2 3 2 2" xfId="23174"/>
    <cellStyle name="Currency 4 2 5 2 3 3" xfId="23175"/>
    <cellStyle name="Currency 4 2 5 2 3 3 2" xfId="23176"/>
    <cellStyle name="Currency 4 2 5 2 3 4" xfId="23177"/>
    <cellStyle name="Currency 4 2 5 2 3 4 2" xfId="23178"/>
    <cellStyle name="Currency 4 2 5 2 3 5" xfId="23179"/>
    <cellStyle name="Currency 4 2 5 2 3 6" xfId="23180"/>
    <cellStyle name="Currency 4 2 5 2 4" xfId="23181"/>
    <cellStyle name="Currency 4 2 5 2 4 2" xfId="23182"/>
    <cellStyle name="Currency 4 2 5 2 4 2 2" xfId="23183"/>
    <cellStyle name="Currency 4 2 5 2 4 3" xfId="23184"/>
    <cellStyle name="Currency 4 2 5 2 4 3 2" xfId="23185"/>
    <cellStyle name="Currency 4 2 5 2 4 4" xfId="23186"/>
    <cellStyle name="Currency 4 2 5 2 4 4 2" xfId="23187"/>
    <cellStyle name="Currency 4 2 5 2 4 5" xfId="23188"/>
    <cellStyle name="Currency 4 2 5 2 4 6" xfId="23189"/>
    <cellStyle name="Currency 4 2 5 2 5" xfId="23190"/>
    <cellStyle name="Currency 4 2 5 2 5 2" xfId="23191"/>
    <cellStyle name="Currency 4 2 5 2 5 2 2" xfId="23192"/>
    <cellStyle name="Currency 4 2 5 2 5 3" xfId="23193"/>
    <cellStyle name="Currency 4 2 5 2 5 3 2" xfId="23194"/>
    <cellStyle name="Currency 4 2 5 2 5 4" xfId="23195"/>
    <cellStyle name="Currency 4 2 5 2 5 5" xfId="23196"/>
    <cellStyle name="Currency 4 2 5 2 6" xfId="23197"/>
    <cellStyle name="Currency 4 2 5 2 6 2" xfId="23198"/>
    <cellStyle name="Currency 4 2 5 2 7" xfId="23199"/>
    <cellStyle name="Currency 4 2 5 2 7 2" xfId="23200"/>
    <cellStyle name="Currency 4 2 5 2 8" xfId="23201"/>
    <cellStyle name="Currency 4 2 5 2 8 2" xfId="23202"/>
    <cellStyle name="Currency 4 2 5 2 9" xfId="23203"/>
    <cellStyle name="Currency 4 2 5 3" xfId="23204"/>
    <cellStyle name="Currency 4 2 5 3 10" xfId="23205"/>
    <cellStyle name="Currency 4 2 5 3 2" xfId="23206"/>
    <cellStyle name="Currency 4 2 5 3 2 2" xfId="23207"/>
    <cellStyle name="Currency 4 2 5 3 2 2 2" xfId="23208"/>
    <cellStyle name="Currency 4 2 5 3 2 3" xfId="23209"/>
    <cellStyle name="Currency 4 2 5 3 2 3 2" xfId="23210"/>
    <cellStyle name="Currency 4 2 5 3 2 4" xfId="23211"/>
    <cellStyle name="Currency 4 2 5 3 2 4 2" xfId="23212"/>
    <cellStyle name="Currency 4 2 5 3 2 5" xfId="23213"/>
    <cellStyle name="Currency 4 2 5 3 2 6" xfId="23214"/>
    <cellStyle name="Currency 4 2 5 3 3" xfId="23215"/>
    <cellStyle name="Currency 4 2 5 3 3 2" xfId="23216"/>
    <cellStyle name="Currency 4 2 5 3 3 2 2" xfId="23217"/>
    <cellStyle name="Currency 4 2 5 3 3 3" xfId="23218"/>
    <cellStyle name="Currency 4 2 5 3 3 3 2" xfId="23219"/>
    <cellStyle name="Currency 4 2 5 3 3 4" xfId="23220"/>
    <cellStyle name="Currency 4 2 5 3 3 4 2" xfId="23221"/>
    <cellStyle name="Currency 4 2 5 3 3 5" xfId="23222"/>
    <cellStyle name="Currency 4 2 5 3 3 6" xfId="23223"/>
    <cellStyle name="Currency 4 2 5 3 4" xfId="23224"/>
    <cellStyle name="Currency 4 2 5 3 4 2" xfId="23225"/>
    <cellStyle name="Currency 4 2 5 3 4 2 2" xfId="23226"/>
    <cellStyle name="Currency 4 2 5 3 4 3" xfId="23227"/>
    <cellStyle name="Currency 4 2 5 3 4 3 2" xfId="23228"/>
    <cellStyle name="Currency 4 2 5 3 4 4" xfId="23229"/>
    <cellStyle name="Currency 4 2 5 3 4 4 2" xfId="23230"/>
    <cellStyle name="Currency 4 2 5 3 4 5" xfId="23231"/>
    <cellStyle name="Currency 4 2 5 3 4 6" xfId="23232"/>
    <cellStyle name="Currency 4 2 5 3 5" xfId="23233"/>
    <cellStyle name="Currency 4 2 5 3 5 2" xfId="23234"/>
    <cellStyle name="Currency 4 2 5 3 5 2 2" xfId="23235"/>
    <cellStyle name="Currency 4 2 5 3 5 3" xfId="23236"/>
    <cellStyle name="Currency 4 2 5 3 5 3 2" xfId="23237"/>
    <cellStyle name="Currency 4 2 5 3 5 4" xfId="23238"/>
    <cellStyle name="Currency 4 2 5 3 5 5" xfId="23239"/>
    <cellStyle name="Currency 4 2 5 3 6" xfId="23240"/>
    <cellStyle name="Currency 4 2 5 3 6 2" xfId="23241"/>
    <cellStyle name="Currency 4 2 5 3 7" xfId="23242"/>
    <cellStyle name="Currency 4 2 5 3 7 2" xfId="23243"/>
    <cellStyle name="Currency 4 2 5 3 8" xfId="23244"/>
    <cellStyle name="Currency 4 2 5 3 8 2" xfId="23245"/>
    <cellStyle name="Currency 4 2 5 3 9" xfId="23246"/>
    <cellStyle name="Currency 4 2 5 4" xfId="23247"/>
    <cellStyle name="Currency 4 2 5 4 2" xfId="23248"/>
    <cellStyle name="Currency 4 2 5 4 2 2" xfId="23249"/>
    <cellStyle name="Currency 4 2 5 4 3" xfId="23250"/>
    <cellStyle name="Currency 4 2 5 4 3 2" xfId="23251"/>
    <cellStyle name="Currency 4 2 5 4 4" xfId="23252"/>
    <cellStyle name="Currency 4 2 5 4 4 2" xfId="23253"/>
    <cellStyle name="Currency 4 2 5 4 5" xfId="23254"/>
    <cellStyle name="Currency 4 2 5 4 6" xfId="23255"/>
    <cellStyle name="Currency 4 2 5 5" xfId="23256"/>
    <cellStyle name="Currency 4 2 5 5 2" xfId="23257"/>
    <cellStyle name="Currency 4 2 5 5 2 2" xfId="23258"/>
    <cellStyle name="Currency 4 2 5 5 3" xfId="23259"/>
    <cellStyle name="Currency 4 2 5 5 3 2" xfId="23260"/>
    <cellStyle name="Currency 4 2 5 5 4" xfId="23261"/>
    <cellStyle name="Currency 4 2 5 5 4 2" xfId="23262"/>
    <cellStyle name="Currency 4 2 5 5 5" xfId="23263"/>
    <cellStyle name="Currency 4 2 5 5 6" xfId="23264"/>
    <cellStyle name="Currency 4 2 5 6" xfId="23265"/>
    <cellStyle name="Currency 4 2 5 6 2" xfId="23266"/>
    <cellStyle name="Currency 4 2 5 6 2 2" xfId="23267"/>
    <cellStyle name="Currency 4 2 5 6 3" xfId="23268"/>
    <cellStyle name="Currency 4 2 5 6 3 2" xfId="23269"/>
    <cellStyle name="Currency 4 2 5 6 4" xfId="23270"/>
    <cellStyle name="Currency 4 2 5 6 4 2" xfId="23271"/>
    <cellStyle name="Currency 4 2 5 6 5" xfId="23272"/>
    <cellStyle name="Currency 4 2 5 6 6" xfId="23273"/>
    <cellStyle name="Currency 4 2 5 7" xfId="23274"/>
    <cellStyle name="Currency 4 2 5 7 2" xfId="23275"/>
    <cellStyle name="Currency 4 2 5 7 2 2" xfId="23276"/>
    <cellStyle name="Currency 4 2 5 7 3" xfId="23277"/>
    <cellStyle name="Currency 4 2 5 7 3 2" xfId="23278"/>
    <cellStyle name="Currency 4 2 5 7 4" xfId="23279"/>
    <cellStyle name="Currency 4 2 5 7 5" xfId="23280"/>
    <cellStyle name="Currency 4 2 5 8" xfId="23281"/>
    <cellStyle name="Currency 4 2 5 8 2" xfId="23282"/>
    <cellStyle name="Currency 4 2 5 9" xfId="23283"/>
    <cellStyle name="Currency 4 2 5 9 2" xfId="23284"/>
    <cellStyle name="Currency 4 2 6" xfId="23285"/>
    <cellStyle name="Currency 4 2 6 10" xfId="23286"/>
    <cellStyle name="Currency 4 2 6 11" xfId="23287"/>
    <cellStyle name="Currency 4 2 6 2" xfId="23288"/>
    <cellStyle name="Currency 4 2 6 2 2" xfId="23289"/>
    <cellStyle name="Currency 4 2 6 2 2 2" xfId="23290"/>
    <cellStyle name="Currency 4 2 6 2 3" xfId="23291"/>
    <cellStyle name="Currency 4 2 6 2 3 2" xfId="23292"/>
    <cellStyle name="Currency 4 2 6 2 4" xfId="23293"/>
    <cellStyle name="Currency 4 2 6 2 4 2" xfId="23294"/>
    <cellStyle name="Currency 4 2 6 2 5" xfId="23295"/>
    <cellStyle name="Currency 4 2 6 2 6" xfId="23296"/>
    <cellStyle name="Currency 4 2 6 3" xfId="23297"/>
    <cellStyle name="Currency 4 2 6 3 2" xfId="23298"/>
    <cellStyle name="Currency 4 2 6 3 2 2" xfId="23299"/>
    <cellStyle name="Currency 4 2 6 3 3" xfId="23300"/>
    <cellStyle name="Currency 4 2 6 3 3 2" xfId="23301"/>
    <cellStyle name="Currency 4 2 6 3 4" xfId="23302"/>
    <cellStyle name="Currency 4 2 6 3 4 2" xfId="23303"/>
    <cellStyle name="Currency 4 2 6 3 5" xfId="23304"/>
    <cellStyle name="Currency 4 2 6 3 6" xfId="23305"/>
    <cellStyle name="Currency 4 2 6 4" xfId="23306"/>
    <cellStyle name="Currency 4 2 6 4 2" xfId="23307"/>
    <cellStyle name="Currency 4 2 6 4 2 2" xfId="23308"/>
    <cellStyle name="Currency 4 2 6 4 3" xfId="23309"/>
    <cellStyle name="Currency 4 2 6 4 3 2" xfId="23310"/>
    <cellStyle name="Currency 4 2 6 4 4" xfId="23311"/>
    <cellStyle name="Currency 4 2 6 4 4 2" xfId="23312"/>
    <cellStyle name="Currency 4 2 6 4 5" xfId="23313"/>
    <cellStyle name="Currency 4 2 6 4 6" xfId="23314"/>
    <cellStyle name="Currency 4 2 6 5" xfId="23315"/>
    <cellStyle name="Currency 4 2 6 5 2" xfId="23316"/>
    <cellStyle name="Currency 4 2 6 5 2 2" xfId="23317"/>
    <cellStyle name="Currency 4 2 6 5 3" xfId="23318"/>
    <cellStyle name="Currency 4 2 6 5 3 2" xfId="23319"/>
    <cellStyle name="Currency 4 2 6 5 4" xfId="23320"/>
    <cellStyle name="Currency 4 2 6 5 4 2" xfId="23321"/>
    <cellStyle name="Currency 4 2 6 5 5" xfId="23322"/>
    <cellStyle name="Currency 4 2 6 5 6" xfId="23323"/>
    <cellStyle name="Currency 4 2 6 6" xfId="23324"/>
    <cellStyle name="Currency 4 2 6 6 2" xfId="23325"/>
    <cellStyle name="Currency 4 2 6 6 2 2" xfId="23326"/>
    <cellStyle name="Currency 4 2 6 6 3" xfId="23327"/>
    <cellStyle name="Currency 4 2 6 6 3 2" xfId="23328"/>
    <cellStyle name="Currency 4 2 6 6 4" xfId="23329"/>
    <cellStyle name="Currency 4 2 6 6 5" xfId="23330"/>
    <cellStyle name="Currency 4 2 6 7" xfId="23331"/>
    <cellStyle name="Currency 4 2 6 7 2" xfId="23332"/>
    <cellStyle name="Currency 4 2 6 8" xfId="23333"/>
    <cellStyle name="Currency 4 2 6 8 2" xfId="23334"/>
    <cellStyle name="Currency 4 2 6 9" xfId="23335"/>
    <cellStyle name="Currency 4 2 6 9 2" xfId="23336"/>
    <cellStyle name="Currency 4 2 7" xfId="23337"/>
    <cellStyle name="Currency 4 2 7 10" xfId="23338"/>
    <cellStyle name="Currency 4 2 7 2" xfId="23339"/>
    <cellStyle name="Currency 4 2 7 2 2" xfId="23340"/>
    <cellStyle name="Currency 4 2 7 2 2 2" xfId="23341"/>
    <cellStyle name="Currency 4 2 7 2 3" xfId="23342"/>
    <cellStyle name="Currency 4 2 7 2 3 2" xfId="23343"/>
    <cellStyle name="Currency 4 2 7 2 4" xfId="23344"/>
    <cellStyle name="Currency 4 2 7 2 4 2" xfId="23345"/>
    <cellStyle name="Currency 4 2 7 2 5" xfId="23346"/>
    <cellStyle name="Currency 4 2 7 2 6" xfId="23347"/>
    <cellStyle name="Currency 4 2 7 3" xfId="23348"/>
    <cellStyle name="Currency 4 2 7 3 2" xfId="23349"/>
    <cellStyle name="Currency 4 2 7 3 2 2" xfId="23350"/>
    <cellStyle name="Currency 4 2 7 3 3" xfId="23351"/>
    <cellStyle name="Currency 4 2 7 3 3 2" xfId="23352"/>
    <cellStyle name="Currency 4 2 7 3 4" xfId="23353"/>
    <cellStyle name="Currency 4 2 7 3 4 2" xfId="23354"/>
    <cellStyle name="Currency 4 2 7 3 5" xfId="23355"/>
    <cellStyle name="Currency 4 2 7 3 6" xfId="23356"/>
    <cellStyle name="Currency 4 2 7 4" xfId="23357"/>
    <cellStyle name="Currency 4 2 7 4 2" xfId="23358"/>
    <cellStyle name="Currency 4 2 7 4 2 2" xfId="23359"/>
    <cellStyle name="Currency 4 2 7 4 3" xfId="23360"/>
    <cellStyle name="Currency 4 2 7 4 3 2" xfId="23361"/>
    <cellStyle name="Currency 4 2 7 4 4" xfId="23362"/>
    <cellStyle name="Currency 4 2 7 4 4 2" xfId="23363"/>
    <cellStyle name="Currency 4 2 7 4 5" xfId="23364"/>
    <cellStyle name="Currency 4 2 7 4 6" xfId="23365"/>
    <cellStyle name="Currency 4 2 7 5" xfId="23366"/>
    <cellStyle name="Currency 4 2 7 5 2" xfId="23367"/>
    <cellStyle name="Currency 4 2 7 5 2 2" xfId="23368"/>
    <cellStyle name="Currency 4 2 7 5 3" xfId="23369"/>
    <cellStyle name="Currency 4 2 7 5 3 2" xfId="23370"/>
    <cellStyle name="Currency 4 2 7 5 4" xfId="23371"/>
    <cellStyle name="Currency 4 2 7 5 5" xfId="23372"/>
    <cellStyle name="Currency 4 2 7 6" xfId="23373"/>
    <cellStyle name="Currency 4 2 7 6 2" xfId="23374"/>
    <cellStyle name="Currency 4 2 7 7" xfId="23375"/>
    <cellStyle name="Currency 4 2 7 7 2" xfId="23376"/>
    <cellStyle name="Currency 4 2 7 8" xfId="23377"/>
    <cellStyle name="Currency 4 2 7 8 2" xfId="23378"/>
    <cellStyle name="Currency 4 2 7 9" xfId="23379"/>
    <cellStyle name="Currency 4 2 8" xfId="23380"/>
    <cellStyle name="Currency 4 2 8 10" xfId="23381"/>
    <cellStyle name="Currency 4 2 8 2" xfId="23382"/>
    <cellStyle name="Currency 4 2 8 2 2" xfId="23383"/>
    <cellStyle name="Currency 4 2 8 2 2 2" xfId="23384"/>
    <cellStyle name="Currency 4 2 8 2 3" xfId="23385"/>
    <cellStyle name="Currency 4 2 8 2 3 2" xfId="23386"/>
    <cellStyle name="Currency 4 2 8 2 4" xfId="23387"/>
    <cellStyle name="Currency 4 2 8 2 4 2" xfId="23388"/>
    <cellStyle name="Currency 4 2 8 2 5" xfId="23389"/>
    <cellStyle name="Currency 4 2 8 2 6" xfId="23390"/>
    <cellStyle name="Currency 4 2 8 3" xfId="23391"/>
    <cellStyle name="Currency 4 2 8 3 2" xfId="23392"/>
    <cellStyle name="Currency 4 2 8 3 2 2" xfId="23393"/>
    <cellStyle name="Currency 4 2 8 3 3" xfId="23394"/>
    <cellStyle name="Currency 4 2 8 3 3 2" xfId="23395"/>
    <cellStyle name="Currency 4 2 8 3 4" xfId="23396"/>
    <cellStyle name="Currency 4 2 8 3 4 2" xfId="23397"/>
    <cellStyle name="Currency 4 2 8 3 5" xfId="23398"/>
    <cellStyle name="Currency 4 2 8 3 6" xfId="23399"/>
    <cellStyle name="Currency 4 2 8 4" xfId="23400"/>
    <cellStyle name="Currency 4 2 8 4 2" xfId="23401"/>
    <cellStyle name="Currency 4 2 8 4 2 2" xfId="23402"/>
    <cellStyle name="Currency 4 2 8 4 3" xfId="23403"/>
    <cellStyle name="Currency 4 2 8 4 3 2" xfId="23404"/>
    <cellStyle name="Currency 4 2 8 4 4" xfId="23405"/>
    <cellStyle name="Currency 4 2 8 4 4 2" xfId="23406"/>
    <cellStyle name="Currency 4 2 8 4 5" xfId="23407"/>
    <cellStyle name="Currency 4 2 8 4 6" xfId="23408"/>
    <cellStyle name="Currency 4 2 8 5" xfId="23409"/>
    <cellStyle name="Currency 4 2 8 5 2" xfId="23410"/>
    <cellStyle name="Currency 4 2 8 5 2 2" xfId="23411"/>
    <cellStyle name="Currency 4 2 8 5 3" xfId="23412"/>
    <cellStyle name="Currency 4 2 8 5 3 2" xfId="23413"/>
    <cellStyle name="Currency 4 2 8 5 4" xfId="23414"/>
    <cellStyle name="Currency 4 2 8 5 5" xfId="23415"/>
    <cellStyle name="Currency 4 2 8 6" xfId="23416"/>
    <cellStyle name="Currency 4 2 8 6 2" xfId="23417"/>
    <cellStyle name="Currency 4 2 8 7" xfId="23418"/>
    <cellStyle name="Currency 4 2 8 7 2" xfId="23419"/>
    <cellStyle name="Currency 4 2 8 8" xfId="23420"/>
    <cellStyle name="Currency 4 2 8 8 2" xfId="23421"/>
    <cellStyle name="Currency 4 2 8 9" xfId="23422"/>
    <cellStyle name="Currency 4 2 9" xfId="23423"/>
    <cellStyle name="Currency 4 2 9 2" xfId="23424"/>
    <cellStyle name="Currency 4 2 9 2 2" xfId="23425"/>
    <cellStyle name="Currency 4 2 9 3" xfId="23426"/>
    <cellStyle name="Currency 4 2 9 3 2" xfId="23427"/>
    <cellStyle name="Currency 4 2 9 4" xfId="23428"/>
    <cellStyle name="Currency 4 2 9 4 2" xfId="23429"/>
    <cellStyle name="Currency 4 2 9 5" xfId="23430"/>
    <cellStyle name="Currency 4 2 9 6" xfId="23431"/>
    <cellStyle name="Currency 4 20" xfId="17685"/>
    <cellStyle name="Currency 4 3" xfId="23432"/>
    <cellStyle name="Currency 4 3 10" xfId="23433"/>
    <cellStyle name="Currency 4 3 10 2" xfId="23434"/>
    <cellStyle name="Currency 4 3 10 2 2" xfId="23435"/>
    <cellStyle name="Currency 4 3 10 3" xfId="23436"/>
    <cellStyle name="Currency 4 3 10 3 2" xfId="23437"/>
    <cellStyle name="Currency 4 3 10 4" xfId="23438"/>
    <cellStyle name="Currency 4 3 10 4 2" xfId="23439"/>
    <cellStyle name="Currency 4 3 10 5" xfId="23440"/>
    <cellStyle name="Currency 4 3 10 6" xfId="23441"/>
    <cellStyle name="Currency 4 3 11" xfId="23442"/>
    <cellStyle name="Currency 4 3 11 2" xfId="23443"/>
    <cellStyle name="Currency 4 3 11 2 2" xfId="23444"/>
    <cellStyle name="Currency 4 3 11 3" xfId="23445"/>
    <cellStyle name="Currency 4 3 11 3 2" xfId="23446"/>
    <cellStyle name="Currency 4 3 11 4" xfId="23447"/>
    <cellStyle name="Currency 4 3 11 5" xfId="23448"/>
    <cellStyle name="Currency 4 3 12" xfId="23449"/>
    <cellStyle name="Currency 4 3 12 2" xfId="23450"/>
    <cellStyle name="Currency 4 3 13" xfId="23451"/>
    <cellStyle name="Currency 4 3 13 2" xfId="23452"/>
    <cellStyle name="Currency 4 3 14" xfId="23453"/>
    <cellStyle name="Currency 4 3 14 2" xfId="23454"/>
    <cellStyle name="Currency 4 3 15" xfId="23455"/>
    <cellStyle name="Currency 4 3 16" xfId="23456"/>
    <cellStyle name="Currency 4 3 2" xfId="23457"/>
    <cellStyle name="Currency 4 3 2 10" xfId="23458"/>
    <cellStyle name="Currency 4 3 2 10 2" xfId="23459"/>
    <cellStyle name="Currency 4 3 2 11" xfId="23460"/>
    <cellStyle name="Currency 4 3 2 11 2" xfId="23461"/>
    <cellStyle name="Currency 4 3 2 12" xfId="23462"/>
    <cellStyle name="Currency 4 3 2 13" xfId="23463"/>
    <cellStyle name="Currency 4 3 2 2" xfId="23464"/>
    <cellStyle name="Currency 4 3 2 2 10" xfId="23465"/>
    <cellStyle name="Currency 4 3 2 2 11" xfId="23466"/>
    <cellStyle name="Currency 4 3 2 2 2" xfId="23467"/>
    <cellStyle name="Currency 4 3 2 2 2 2" xfId="23468"/>
    <cellStyle name="Currency 4 3 2 2 2 2 2" xfId="23469"/>
    <cellStyle name="Currency 4 3 2 2 2 3" xfId="23470"/>
    <cellStyle name="Currency 4 3 2 2 2 3 2" xfId="23471"/>
    <cellStyle name="Currency 4 3 2 2 2 4" xfId="23472"/>
    <cellStyle name="Currency 4 3 2 2 2 4 2" xfId="23473"/>
    <cellStyle name="Currency 4 3 2 2 2 5" xfId="23474"/>
    <cellStyle name="Currency 4 3 2 2 2 6" xfId="23475"/>
    <cellStyle name="Currency 4 3 2 2 3" xfId="23476"/>
    <cellStyle name="Currency 4 3 2 2 3 2" xfId="23477"/>
    <cellStyle name="Currency 4 3 2 2 3 2 2" xfId="23478"/>
    <cellStyle name="Currency 4 3 2 2 3 3" xfId="23479"/>
    <cellStyle name="Currency 4 3 2 2 3 3 2" xfId="23480"/>
    <cellStyle name="Currency 4 3 2 2 3 4" xfId="23481"/>
    <cellStyle name="Currency 4 3 2 2 3 4 2" xfId="23482"/>
    <cellStyle name="Currency 4 3 2 2 3 5" xfId="23483"/>
    <cellStyle name="Currency 4 3 2 2 3 6" xfId="23484"/>
    <cellStyle name="Currency 4 3 2 2 4" xfId="23485"/>
    <cellStyle name="Currency 4 3 2 2 4 2" xfId="23486"/>
    <cellStyle name="Currency 4 3 2 2 4 2 2" xfId="23487"/>
    <cellStyle name="Currency 4 3 2 2 4 3" xfId="23488"/>
    <cellStyle name="Currency 4 3 2 2 4 3 2" xfId="23489"/>
    <cellStyle name="Currency 4 3 2 2 4 4" xfId="23490"/>
    <cellStyle name="Currency 4 3 2 2 4 4 2" xfId="23491"/>
    <cellStyle name="Currency 4 3 2 2 4 5" xfId="23492"/>
    <cellStyle name="Currency 4 3 2 2 4 6" xfId="23493"/>
    <cellStyle name="Currency 4 3 2 2 5" xfId="23494"/>
    <cellStyle name="Currency 4 3 2 2 5 2" xfId="23495"/>
    <cellStyle name="Currency 4 3 2 2 5 2 2" xfId="23496"/>
    <cellStyle name="Currency 4 3 2 2 5 3" xfId="23497"/>
    <cellStyle name="Currency 4 3 2 2 5 3 2" xfId="23498"/>
    <cellStyle name="Currency 4 3 2 2 5 4" xfId="23499"/>
    <cellStyle name="Currency 4 3 2 2 5 4 2" xfId="23500"/>
    <cellStyle name="Currency 4 3 2 2 5 5" xfId="23501"/>
    <cellStyle name="Currency 4 3 2 2 5 6" xfId="23502"/>
    <cellStyle name="Currency 4 3 2 2 6" xfId="23503"/>
    <cellStyle name="Currency 4 3 2 2 6 2" xfId="23504"/>
    <cellStyle name="Currency 4 3 2 2 6 2 2" xfId="23505"/>
    <cellStyle name="Currency 4 3 2 2 6 3" xfId="23506"/>
    <cellStyle name="Currency 4 3 2 2 6 3 2" xfId="23507"/>
    <cellStyle name="Currency 4 3 2 2 6 4" xfId="23508"/>
    <cellStyle name="Currency 4 3 2 2 6 5" xfId="23509"/>
    <cellStyle name="Currency 4 3 2 2 7" xfId="23510"/>
    <cellStyle name="Currency 4 3 2 2 7 2" xfId="23511"/>
    <cellStyle name="Currency 4 3 2 2 8" xfId="23512"/>
    <cellStyle name="Currency 4 3 2 2 8 2" xfId="23513"/>
    <cellStyle name="Currency 4 3 2 2 9" xfId="23514"/>
    <cellStyle name="Currency 4 3 2 2 9 2" xfId="23515"/>
    <cellStyle name="Currency 4 3 2 3" xfId="23516"/>
    <cellStyle name="Currency 4 3 2 3 10" xfId="23517"/>
    <cellStyle name="Currency 4 3 2 3 2" xfId="23518"/>
    <cellStyle name="Currency 4 3 2 3 2 2" xfId="23519"/>
    <cellStyle name="Currency 4 3 2 3 2 2 2" xfId="23520"/>
    <cellStyle name="Currency 4 3 2 3 2 3" xfId="23521"/>
    <cellStyle name="Currency 4 3 2 3 2 3 2" xfId="23522"/>
    <cellStyle name="Currency 4 3 2 3 2 4" xfId="23523"/>
    <cellStyle name="Currency 4 3 2 3 2 4 2" xfId="23524"/>
    <cellStyle name="Currency 4 3 2 3 2 5" xfId="23525"/>
    <cellStyle name="Currency 4 3 2 3 2 6" xfId="23526"/>
    <cellStyle name="Currency 4 3 2 3 3" xfId="23527"/>
    <cellStyle name="Currency 4 3 2 3 3 2" xfId="23528"/>
    <cellStyle name="Currency 4 3 2 3 3 2 2" xfId="23529"/>
    <cellStyle name="Currency 4 3 2 3 3 3" xfId="23530"/>
    <cellStyle name="Currency 4 3 2 3 3 3 2" xfId="23531"/>
    <cellStyle name="Currency 4 3 2 3 3 4" xfId="23532"/>
    <cellStyle name="Currency 4 3 2 3 3 4 2" xfId="23533"/>
    <cellStyle name="Currency 4 3 2 3 3 5" xfId="23534"/>
    <cellStyle name="Currency 4 3 2 3 3 6" xfId="23535"/>
    <cellStyle name="Currency 4 3 2 3 4" xfId="23536"/>
    <cellStyle name="Currency 4 3 2 3 4 2" xfId="23537"/>
    <cellStyle name="Currency 4 3 2 3 4 2 2" xfId="23538"/>
    <cellStyle name="Currency 4 3 2 3 4 3" xfId="23539"/>
    <cellStyle name="Currency 4 3 2 3 4 3 2" xfId="23540"/>
    <cellStyle name="Currency 4 3 2 3 4 4" xfId="23541"/>
    <cellStyle name="Currency 4 3 2 3 4 4 2" xfId="23542"/>
    <cellStyle name="Currency 4 3 2 3 4 5" xfId="23543"/>
    <cellStyle name="Currency 4 3 2 3 4 6" xfId="23544"/>
    <cellStyle name="Currency 4 3 2 3 5" xfId="23545"/>
    <cellStyle name="Currency 4 3 2 3 5 2" xfId="23546"/>
    <cellStyle name="Currency 4 3 2 3 5 2 2" xfId="23547"/>
    <cellStyle name="Currency 4 3 2 3 5 3" xfId="23548"/>
    <cellStyle name="Currency 4 3 2 3 5 3 2" xfId="23549"/>
    <cellStyle name="Currency 4 3 2 3 5 4" xfId="23550"/>
    <cellStyle name="Currency 4 3 2 3 5 5" xfId="23551"/>
    <cellStyle name="Currency 4 3 2 3 6" xfId="23552"/>
    <cellStyle name="Currency 4 3 2 3 6 2" xfId="23553"/>
    <cellStyle name="Currency 4 3 2 3 7" xfId="23554"/>
    <cellStyle name="Currency 4 3 2 3 7 2" xfId="23555"/>
    <cellStyle name="Currency 4 3 2 3 8" xfId="23556"/>
    <cellStyle name="Currency 4 3 2 3 8 2" xfId="23557"/>
    <cellStyle name="Currency 4 3 2 3 9" xfId="23558"/>
    <cellStyle name="Currency 4 3 2 4" xfId="23559"/>
    <cellStyle name="Currency 4 3 2 4 10" xfId="23560"/>
    <cellStyle name="Currency 4 3 2 4 2" xfId="23561"/>
    <cellStyle name="Currency 4 3 2 4 2 2" xfId="23562"/>
    <cellStyle name="Currency 4 3 2 4 2 2 2" xfId="23563"/>
    <cellStyle name="Currency 4 3 2 4 2 3" xfId="23564"/>
    <cellStyle name="Currency 4 3 2 4 2 3 2" xfId="23565"/>
    <cellStyle name="Currency 4 3 2 4 2 4" xfId="23566"/>
    <cellStyle name="Currency 4 3 2 4 2 4 2" xfId="23567"/>
    <cellStyle name="Currency 4 3 2 4 2 5" xfId="23568"/>
    <cellStyle name="Currency 4 3 2 4 2 6" xfId="23569"/>
    <cellStyle name="Currency 4 3 2 4 3" xfId="23570"/>
    <cellStyle name="Currency 4 3 2 4 3 2" xfId="23571"/>
    <cellStyle name="Currency 4 3 2 4 3 2 2" xfId="23572"/>
    <cellStyle name="Currency 4 3 2 4 3 3" xfId="23573"/>
    <cellStyle name="Currency 4 3 2 4 3 3 2" xfId="23574"/>
    <cellStyle name="Currency 4 3 2 4 3 4" xfId="23575"/>
    <cellStyle name="Currency 4 3 2 4 3 4 2" xfId="23576"/>
    <cellStyle name="Currency 4 3 2 4 3 5" xfId="23577"/>
    <cellStyle name="Currency 4 3 2 4 3 6" xfId="23578"/>
    <cellStyle name="Currency 4 3 2 4 4" xfId="23579"/>
    <cellStyle name="Currency 4 3 2 4 4 2" xfId="23580"/>
    <cellStyle name="Currency 4 3 2 4 4 2 2" xfId="23581"/>
    <cellStyle name="Currency 4 3 2 4 4 3" xfId="23582"/>
    <cellStyle name="Currency 4 3 2 4 4 3 2" xfId="23583"/>
    <cellStyle name="Currency 4 3 2 4 4 4" xfId="23584"/>
    <cellStyle name="Currency 4 3 2 4 4 4 2" xfId="23585"/>
    <cellStyle name="Currency 4 3 2 4 4 5" xfId="23586"/>
    <cellStyle name="Currency 4 3 2 4 4 6" xfId="23587"/>
    <cellStyle name="Currency 4 3 2 4 5" xfId="23588"/>
    <cellStyle name="Currency 4 3 2 4 5 2" xfId="23589"/>
    <cellStyle name="Currency 4 3 2 4 5 2 2" xfId="23590"/>
    <cellStyle name="Currency 4 3 2 4 5 3" xfId="23591"/>
    <cellStyle name="Currency 4 3 2 4 5 3 2" xfId="23592"/>
    <cellStyle name="Currency 4 3 2 4 5 4" xfId="23593"/>
    <cellStyle name="Currency 4 3 2 4 5 5" xfId="23594"/>
    <cellStyle name="Currency 4 3 2 4 6" xfId="23595"/>
    <cellStyle name="Currency 4 3 2 4 6 2" xfId="23596"/>
    <cellStyle name="Currency 4 3 2 4 7" xfId="23597"/>
    <cellStyle name="Currency 4 3 2 4 7 2" xfId="23598"/>
    <cellStyle name="Currency 4 3 2 4 8" xfId="23599"/>
    <cellStyle name="Currency 4 3 2 4 8 2" xfId="23600"/>
    <cellStyle name="Currency 4 3 2 4 9" xfId="23601"/>
    <cellStyle name="Currency 4 3 2 5" xfId="23602"/>
    <cellStyle name="Currency 4 3 2 5 2" xfId="23603"/>
    <cellStyle name="Currency 4 3 2 5 2 2" xfId="23604"/>
    <cellStyle name="Currency 4 3 2 5 3" xfId="23605"/>
    <cellStyle name="Currency 4 3 2 5 3 2" xfId="23606"/>
    <cellStyle name="Currency 4 3 2 5 4" xfId="23607"/>
    <cellStyle name="Currency 4 3 2 5 4 2" xfId="23608"/>
    <cellStyle name="Currency 4 3 2 5 5" xfId="23609"/>
    <cellStyle name="Currency 4 3 2 5 6" xfId="23610"/>
    <cellStyle name="Currency 4 3 2 6" xfId="23611"/>
    <cellStyle name="Currency 4 3 2 6 2" xfId="23612"/>
    <cellStyle name="Currency 4 3 2 6 2 2" xfId="23613"/>
    <cellStyle name="Currency 4 3 2 6 3" xfId="23614"/>
    <cellStyle name="Currency 4 3 2 6 3 2" xfId="23615"/>
    <cellStyle name="Currency 4 3 2 6 4" xfId="23616"/>
    <cellStyle name="Currency 4 3 2 6 4 2" xfId="23617"/>
    <cellStyle name="Currency 4 3 2 6 5" xfId="23618"/>
    <cellStyle name="Currency 4 3 2 6 6" xfId="23619"/>
    <cellStyle name="Currency 4 3 2 7" xfId="23620"/>
    <cellStyle name="Currency 4 3 2 7 2" xfId="23621"/>
    <cellStyle name="Currency 4 3 2 7 2 2" xfId="23622"/>
    <cellStyle name="Currency 4 3 2 7 3" xfId="23623"/>
    <cellStyle name="Currency 4 3 2 7 3 2" xfId="23624"/>
    <cellStyle name="Currency 4 3 2 7 4" xfId="23625"/>
    <cellStyle name="Currency 4 3 2 7 4 2" xfId="23626"/>
    <cellStyle name="Currency 4 3 2 7 5" xfId="23627"/>
    <cellStyle name="Currency 4 3 2 7 6" xfId="23628"/>
    <cellStyle name="Currency 4 3 2 8" xfId="23629"/>
    <cellStyle name="Currency 4 3 2 8 2" xfId="23630"/>
    <cellStyle name="Currency 4 3 2 8 2 2" xfId="23631"/>
    <cellStyle name="Currency 4 3 2 8 3" xfId="23632"/>
    <cellStyle name="Currency 4 3 2 8 3 2" xfId="23633"/>
    <cellStyle name="Currency 4 3 2 8 4" xfId="23634"/>
    <cellStyle name="Currency 4 3 2 8 5" xfId="23635"/>
    <cellStyle name="Currency 4 3 2 9" xfId="23636"/>
    <cellStyle name="Currency 4 3 2 9 2" xfId="23637"/>
    <cellStyle name="Currency 4 3 3" xfId="23638"/>
    <cellStyle name="Currency 4 3 3 10" xfId="23639"/>
    <cellStyle name="Currency 4 3 3 10 2" xfId="23640"/>
    <cellStyle name="Currency 4 3 3 11" xfId="23641"/>
    <cellStyle name="Currency 4 3 3 11 2" xfId="23642"/>
    <cellStyle name="Currency 4 3 3 12" xfId="23643"/>
    <cellStyle name="Currency 4 3 3 13" xfId="23644"/>
    <cellStyle name="Currency 4 3 3 2" xfId="23645"/>
    <cellStyle name="Currency 4 3 3 2 10" xfId="23646"/>
    <cellStyle name="Currency 4 3 3 2 11" xfId="23647"/>
    <cellStyle name="Currency 4 3 3 2 2" xfId="23648"/>
    <cellStyle name="Currency 4 3 3 2 2 2" xfId="23649"/>
    <cellStyle name="Currency 4 3 3 2 2 2 2" xfId="23650"/>
    <cellStyle name="Currency 4 3 3 2 2 3" xfId="23651"/>
    <cellStyle name="Currency 4 3 3 2 2 3 2" xfId="23652"/>
    <cellStyle name="Currency 4 3 3 2 2 4" xfId="23653"/>
    <cellStyle name="Currency 4 3 3 2 2 4 2" xfId="23654"/>
    <cellStyle name="Currency 4 3 3 2 2 5" xfId="23655"/>
    <cellStyle name="Currency 4 3 3 2 2 6" xfId="23656"/>
    <cellStyle name="Currency 4 3 3 2 3" xfId="23657"/>
    <cellStyle name="Currency 4 3 3 2 3 2" xfId="23658"/>
    <cellStyle name="Currency 4 3 3 2 3 2 2" xfId="23659"/>
    <cellStyle name="Currency 4 3 3 2 3 3" xfId="23660"/>
    <cellStyle name="Currency 4 3 3 2 3 3 2" xfId="23661"/>
    <cellStyle name="Currency 4 3 3 2 3 4" xfId="23662"/>
    <cellStyle name="Currency 4 3 3 2 3 4 2" xfId="23663"/>
    <cellStyle name="Currency 4 3 3 2 3 5" xfId="23664"/>
    <cellStyle name="Currency 4 3 3 2 3 6" xfId="23665"/>
    <cellStyle name="Currency 4 3 3 2 4" xfId="23666"/>
    <cellStyle name="Currency 4 3 3 2 4 2" xfId="23667"/>
    <cellStyle name="Currency 4 3 3 2 4 2 2" xfId="23668"/>
    <cellStyle name="Currency 4 3 3 2 4 3" xfId="23669"/>
    <cellStyle name="Currency 4 3 3 2 4 3 2" xfId="23670"/>
    <cellStyle name="Currency 4 3 3 2 4 4" xfId="23671"/>
    <cellStyle name="Currency 4 3 3 2 4 4 2" xfId="23672"/>
    <cellStyle name="Currency 4 3 3 2 4 5" xfId="23673"/>
    <cellStyle name="Currency 4 3 3 2 4 6" xfId="23674"/>
    <cellStyle name="Currency 4 3 3 2 5" xfId="23675"/>
    <cellStyle name="Currency 4 3 3 2 5 2" xfId="23676"/>
    <cellStyle name="Currency 4 3 3 2 5 2 2" xfId="23677"/>
    <cellStyle name="Currency 4 3 3 2 5 3" xfId="23678"/>
    <cellStyle name="Currency 4 3 3 2 5 3 2" xfId="23679"/>
    <cellStyle name="Currency 4 3 3 2 5 4" xfId="23680"/>
    <cellStyle name="Currency 4 3 3 2 5 4 2" xfId="23681"/>
    <cellStyle name="Currency 4 3 3 2 5 5" xfId="23682"/>
    <cellStyle name="Currency 4 3 3 2 5 6" xfId="23683"/>
    <cellStyle name="Currency 4 3 3 2 6" xfId="23684"/>
    <cellStyle name="Currency 4 3 3 2 6 2" xfId="23685"/>
    <cellStyle name="Currency 4 3 3 2 6 2 2" xfId="23686"/>
    <cellStyle name="Currency 4 3 3 2 6 3" xfId="23687"/>
    <cellStyle name="Currency 4 3 3 2 6 3 2" xfId="23688"/>
    <cellStyle name="Currency 4 3 3 2 6 4" xfId="23689"/>
    <cellStyle name="Currency 4 3 3 2 6 5" xfId="23690"/>
    <cellStyle name="Currency 4 3 3 2 7" xfId="23691"/>
    <cellStyle name="Currency 4 3 3 2 7 2" xfId="23692"/>
    <cellStyle name="Currency 4 3 3 2 8" xfId="23693"/>
    <cellStyle name="Currency 4 3 3 2 8 2" xfId="23694"/>
    <cellStyle name="Currency 4 3 3 2 9" xfId="23695"/>
    <cellStyle name="Currency 4 3 3 2 9 2" xfId="23696"/>
    <cellStyle name="Currency 4 3 3 3" xfId="23697"/>
    <cellStyle name="Currency 4 3 3 3 10" xfId="23698"/>
    <cellStyle name="Currency 4 3 3 3 2" xfId="23699"/>
    <cellStyle name="Currency 4 3 3 3 2 2" xfId="23700"/>
    <cellStyle name="Currency 4 3 3 3 2 2 2" xfId="23701"/>
    <cellStyle name="Currency 4 3 3 3 2 3" xfId="23702"/>
    <cellStyle name="Currency 4 3 3 3 2 3 2" xfId="23703"/>
    <cellStyle name="Currency 4 3 3 3 2 4" xfId="23704"/>
    <cellStyle name="Currency 4 3 3 3 2 4 2" xfId="23705"/>
    <cellStyle name="Currency 4 3 3 3 2 5" xfId="23706"/>
    <cellStyle name="Currency 4 3 3 3 2 6" xfId="23707"/>
    <cellStyle name="Currency 4 3 3 3 3" xfId="23708"/>
    <cellStyle name="Currency 4 3 3 3 3 2" xfId="23709"/>
    <cellStyle name="Currency 4 3 3 3 3 2 2" xfId="23710"/>
    <cellStyle name="Currency 4 3 3 3 3 3" xfId="23711"/>
    <cellStyle name="Currency 4 3 3 3 3 3 2" xfId="23712"/>
    <cellStyle name="Currency 4 3 3 3 3 4" xfId="23713"/>
    <cellStyle name="Currency 4 3 3 3 3 4 2" xfId="23714"/>
    <cellStyle name="Currency 4 3 3 3 3 5" xfId="23715"/>
    <cellStyle name="Currency 4 3 3 3 3 6" xfId="23716"/>
    <cellStyle name="Currency 4 3 3 3 4" xfId="23717"/>
    <cellStyle name="Currency 4 3 3 3 4 2" xfId="23718"/>
    <cellStyle name="Currency 4 3 3 3 4 2 2" xfId="23719"/>
    <cellStyle name="Currency 4 3 3 3 4 3" xfId="23720"/>
    <cellStyle name="Currency 4 3 3 3 4 3 2" xfId="23721"/>
    <cellStyle name="Currency 4 3 3 3 4 4" xfId="23722"/>
    <cellStyle name="Currency 4 3 3 3 4 4 2" xfId="23723"/>
    <cellStyle name="Currency 4 3 3 3 4 5" xfId="23724"/>
    <cellStyle name="Currency 4 3 3 3 4 6" xfId="23725"/>
    <cellStyle name="Currency 4 3 3 3 5" xfId="23726"/>
    <cellStyle name="Currency 4 3 3 3 5 2" xfId="23727"/>
    <cellStyle name="Currency 4 3 3 3 5 2 2" xfId="23728"/>
    <cellStyle name="Currency 4 3 3 3 5 3" xfId="23729"/>
    <cellStyle name="Currency 4 3 3 3 5 3 2" xfId="23730"/>
    <cellStyle name="Currency 4 3 3 3 5 4" xfId="23731"/>
    <cellStyle name="Currency 4 3 3 3 5 5" xfId="23732"/>
    <cellStyle name="Currency 4 3 3 3 6" xfId="23733"/>
    <cellStyle name="Currency 4 3 3 3 6 2" xfId="23734"/>
    <cellStyle name="Currency 4 3 3 3 7" xfId="23735"/>
    <cellStyle name="Currency 4 3 3 3 7 2" xfId="23736"/>
    <cellStyle name="Currency 4 3 3 3 8" xfId="23737"/>
    <cellStyle name="Currency 4 3 3 3 8 2" xfId="23738"/>
    <cellStyle name="Currency 4 3 3 3 9" xfId="23739"/>
    <cellStyle name="Currency 4 3 3 4" xfId="23740"/>
    <cellStyle name="Currency 4 3 3 4 10" xfId="23741"/>
    <cellStyle name="Currency 4 3 3 4 2" xfId="23742"/>
    <cellStyle name="Currency 4 3 3 4 2 2" xfId="23743"/>
    <cellStyle name="Currency 4 3 3 4 2 2 2" xfId="23744"/>
    <cellStyle name="Currency 4 3 3 4 2 3" xfId="23745"/>
    <cellStyle name="Currency 4 3 3 4 2 3 2" xfId="23746"/>
    <cellStyle name="Currency 4 3 3 4 2 4" xfId="23747"/>
    <cellStyle name="Currency 4 3 3 4 2 4 2" xfId="23748"/>
    <cellStyle name="Currency 4 3 3 4 2 5" xfId="23749"/>
    <cellStyle name="Currency 4 3 3 4 2 6" xfId="23750"/>
    <cellStyle name="Currency 4 3 3 4 3" xfId="23751"/>
    <cellStyle name="Currency 4 3 3 4 3 2" xfId="23752"/>
    <cellStyle name="Currency 4 3 3 4 3 2 2" xfId="23753"/>
    <cellStyle name="Currency 4 3 3 4 3 3" xfId="23754"/>
    <cellStyle name="Currency 4 3 3 4 3 3 2" xfId="23755"/>
    <cellStyle name="Currency 4 3 3 4 3 4" xfId="23756"/>
    <cellStyle name="Currency 4 3 3 4 3 4 2" xfId="23757"/>
    <cellStyle name="Currency 4 3 3 4 3 5" xfId="23758"/>
    <cellStyle name="Currency 4 3 3 4 3 6" xfId="23759"/>
    <cellStyle name="Currency 4 3 3 4 4" xfId="23760"/>
    <cellStyle name="Currency 4 3 3 4 4 2" xfId="23761"/>
    <cellStyle name="Currency 4 3 3 4 4 2 2" xfId="23762"/>
    <cellStyle name="Currency 4 3 3 4 4 3" xfId="23763"/>
    <cellStyle name="Currency 4 3 3 4 4 3 2" xfId="23764"/>
    <cellStyle name="Currency 4 3 3 4 4 4" xfId="23765"/>
    <cellStyle name="Currency 4 3 3 4 4 4 2" xfId="23766"/>
    <cellStyle name="Currency 4 3 3 4 4 5" xfId="23767"/>
    <cellStyle name="Currency 4 3 3 4 4 6" xfId="23768"/>
    <cellStyle name="Currency 4 3 3 4 5" xfId="23769"/>
    <cellStyle name="Currency 4 3 3 4 5 2" xfId="23770"/>
    <cellStyle name="Currency 4 3 3 4 5 2 2" xfId="23771"/>
    <cellStyle name="Currency 4 3 3 4 5 3" xfId="23772"/>
    <cellStyle name="Currency 4 3 3 4 5 3 2" xfId="23773"/>
    <cellStyle name="Currency 4 3 3 4 5 4" xfId="23774"/>
    <cellStyle name="Currency 4 3 3 4 5 5" xfId="23775"/>
    <cellStyle name="Currency 4 3 3 4 6" xfId="23776"/>
    <cellStyle name="Currency 4 3 3 4 6 2" xfId="23777"/>
    <cellStyle name="Currency 4 3 3 4 7" xfId="23778"/>
    <cellStyle name="Currency 4 3 3 4 7 2" xfId="23779"/>
    <cellStyle name="Currency 4 3 3 4 8" xfId="23780"/>
    <cellStyle name="Currency 4 3 3 4 8 2" xfId="23781"/>
    <cellStyle name="Currency 4 3 3 4 9" xfId="23782"/>
    <cellStyle name="Currency 4 3 3 5" xfId="23783"/>
    <cellStyle name="Currency 4 3 3 5 2" xfId="23784"/>
    <cellStyle name="Currency 4 3 3 5 2 2" xfId="23785"/>
    <cellStyle name="Currency 4 3 3 5 3" xfId="23786"/>
    <cellStyle name="Currency 4 3 3 5 3 2" xfId="23787"/>
    <cellStyle name="Currency 4 3 3 5 4" xfId="23788"/>
    <cellStyle name="Currency 4 3 3 5 4 2" xfId="23789"/>
    <cellStyle name="Currency 4 3 3 5 5" xfId="23790"/>
    <cellStyle name="Currency 4 3 3 5 6" xfId="23791"/>
    <cellStyle name="Currency 4 3 3 6" xfId="23792"/>
    <cellStyle name="Currency 4 3 3 6 2" xfId="23793"/>
    <cellStyle name="Currency 4 3 3 6 2 2" xfId="23794"/>
    <cellStyle name="Currency 4 3 3 6 3" xfId="23795"/>
    <cellStyle name="Currency 4 3 3 6 3 2" xfId="23796"/>
    <cellStyle name="Currency 4 3 3 6 4" xfId="23797"/>
    <cellStyle name="Currency 4 3 3 6 4 2" xfId="23798"/>
    <cellStyle name="Currency 4 3 3 6 5" xfId="23799"/>
    <cellStyle name="Currency 4 3 3 6 6" xfId="23800"/>
    <cellStyle name="Currency 4 3 3 7" xfId="23801"/>
    <cellStyle name="Currency 4 3 3 7 2" xfId="23802"/>
    <cellStyle name="Currency 4 3 3 7 2 2" xfId="23803"/>
    <cellStyle name="Currency 4 3 3 7 3" xfId="23804"/>
    <cellStyle name="Currency 4 3 3 7 3 2" xfId="23805"/>
    <cellStyle name="Currency 4 3 3 7 4" xfId="23806"/>
    <cellStyle name="Currency 4 3 3 7 4 2" xfId="23807"/>
    <cellStyle name="Currency 4 3 3 7 5" xfId="23808"/>
    <cellStyle name="Currency 4 3 3 7 6" xfId="23809"/>
    <cellStyle name="Currency 4 3 3 8" xfId="23810"/>
    <cellStyle name="Currency 4 3 3 8 2" xfId="23811"/>
    <cellStyle name="Currency 4 3 3 8 2 2" xfId="23812"/>
    <cellStyle name="Currency 4 3 3 8 3" xfId="23813"/>
    <cellStyle name="Currency 4 3 3 8 3 2" xfId="23814"/>
    <cellStyle name="Currency 4 3 3 8 4" xfId="23815"/>
    <cellStyle name="Currency 4 3 3 8 5" xfId="23816"/>
    <cellStyle name="Currency 4 3 3 9" xfId="23817"/>
    <cellStyle name="Currency 4 3 3 9 2" xfId="23818"/>
    <cellStyle name="Currency 4 3 4" xfId="23819"/>
    <cellStyle name="Currency 4 3 4 10" xfId="23820"/>
    <cellStyle name="Currency 4 3 4 10 2" xfId="23821"/>
    <cellStyle name="Currency 4 3 4 11" xfId="23822"/>
    <cellStyle name="Currency 4 3 4 12" xfId="23823"/>
    <cellStyle name="Currency 4 3 4 2" xfId="23824"/>
    <cellStyle name="Currency 4 3 4 2 10" xfId="23825"/>
    <cellStyle name="Currency 4 3 4 2 2" xfId="23826"/>
    <cellStyle name="Currency 4 3 4 2 2 2" xfId="23827"/>
    <cellStyle name="Currency 4 3 4 2 2 2 2" xfId="23828"/>
    <cellStyle name="Currency 4 3 4 2 2 3" xfId="23829"/>
    <cellStyle name="Currency 4 3 4 2 2 3 2" xfId="23830"/>
    <cellStyle name="Currency 4 3 4 2 2 4" xfId="23831"/>
    <cellStyle name="Currency 4 3 4 2 2 4 2" xfId="23832"/>
    <cellStyle name="Currency 4 3 4 2 2 5" xfId="23833"/>
    <cellStyle name="Currency 4 3 4 2 2 6" xfId="23834"/>
    <cellStyle name="Currency 4 3 4 2 3" xfId="23835"/>
    <cellStyle name="Currency 4 3 4 2 3 2" xfId="23836"/>
    <cellStyle name="Currency 4 3 4 2 3 2 2" xfId="23837"/>
    <cellStyle name="Currency 4 3 4 2 3 3" xfId="23838"/>
    <cellStyle name="Currency 4 3 4 2 3 3 2" xfId="23839"/>
    <cellStyle name="Currency 4 3 4 2 3 4" xfId="23840"/>
    <cellStyle name="Currency 4 3 4 2 3 4 2" xfId="23841"/>
    <cellStyle name="Currency 4 3 4 2 3 5" xfId="23842"/>
    <cellStyle name="Currency 4 3 4 2 3 6" xfId="23843"/>
    <cellStyle name="Currency 4 3 4 2 4" xfId="23844"/>
    <cellStyle name="Currency 4 3 4 2 4 2" xfId="23845"/>
    <cellStyle name="Currency 4 3 4 2 4 2 2" xfId="23846"/>
    <cellStyle name="Currency 4 3 4 2 4 3" xfId="23847"/>
    <cellStyle name="Currency 4 3 4 2 4 3 2" xfId="23848"/>
    <cellStyle name="Currency 4 3 4 2 4 4" xfId="23849"/>
    <cellStyle name="Currency 4 3 4 2 4 4 2" xfId="23850"/>
    <cellStyle name="Currency 4 3 4 2 4 5" xfId="23851"/>
    <cellStyle name="Currency 4 3 4 2 4 6" xfId="23852"/>
    <cellStyle name="Currency 4 3 4 2 5" xfId="23853"/>
    <cellStyle name="Currency 4 3 4 2 5 2" xfId="23854"/>
    <cellStyle name="Currency 4 3 4 2 5 2 2" xfId="23855"/>
    <cellStyle name="Currency 4 3 4 2 5 3" xfId="23856"/>
    <cellStyle name="Currency 4 3 4 2 5 3 2" xfId="23857"/>
    <cellStyle name="Currency 4 3 4 2 5 4" xfId="23858"/>
    <cellStyle name="Currency 4 3 4 2 5 5" xfId="23859"/>
    <cellStyle name="Currency 4 3 4 2 6" xfId="23860"/>
    <cellStyle name="Currency 4 3 4 2 6 2" xfId="23861"/>
    <cellStyle name="Currency 4 3 4 2 7" xfId="23862"/>
    <cellStyle name="Currency 4 3 4 2 7 2" xfId="23863"/>
    <cellStyle name="Currency 4 3 4 2 8" xfId="23864"/>
    <cellStyle name="Currency 4 3 4 2 8 2" xfId="23865"/>
    <cellStyle name="Currency 4 3 4 2 9" xfId="23866"/>
    <cellStyle name="Currency 4 3 4 3" xfId="23867"/>
    <cellStyle name="Currency 4 3 4 3 10" xfId="23868"/>
    <cellStyle name="Currency 4 3 4 3 2" xfId="23869"/>
    <cellStyle name="Currency 4 3 4 3 2 2" xfId="23870"/>
    <cellStyle name="Currency 4 3 4 3 2 2 2" xfId="23871"/>
    <cellStyle name="Currency 4 3 4 3 2 3" xfId="23872"/>
    <cellStyle name="Currency 4 3 4 3 2 3 2" xfId="23873"/>
    <cellStyle name="Currency 4 3 4 3 2 4" xfId="23874"/>
    <cellStyle name="Currency 4 3 4 3 2 4 2" xfId="23875"/>
    <cellStyle name="Currency 4 3 4 3 2 5" xfId="23876"/>
    <cellStyle name="Currency 4 3 4 3 2 6" xfId="23877"/>
    <cellStyle name="Currency 4 3 4 3 3" xfId="23878"/>
    <cellStyle name="Currency 4 3 4 3 3 2" xfId="23879"/>
    <cellStyle name="Currency 4 3 4 3 3 2 2" xfId="23880"/>
    <cellStyle name="Currency 4 3 4 3 3 3" xfId="23881"/>
    <cellStyle name="Currency 4 3 4 3 3 3 2" xfId="23882"/>
    <cellStyle name="Currency 4 3 4 3 3 4" xfId="23883"/>
    <cellStyle name="Currency 4 3 4 3 3 4 2" xfId="23884"/>
    <cellStyle name="Currency 4 3 4 3 3 5" xfId="23885"/>
    <cellStyle name="Currency 4 3 4 3 3 6" xfId="23886"/>
    <cellStyle name="Currency 4 3 4 3 4" xfId="23887"/>
    <cellStyle name="Currency 4 3 4 3 4 2" xfId="23888"/>
    <cellStyle name="Currency 4 3 4 3 4 2 2" xfId="23889"/>
    <cellStyle name="Currency 4 3 4 3 4 3" xfId="23890"/>
    <cellStyle name="Currency 4 3 4 3 4 3 2" xfId="23891"/>
    <cellStyle name="Currency 4 3 4 3 4 4" xfId="23892"/>
    <cellStyle name="Currency 4 3 4 3 4 4 2" xfId="23893"/>
    <cellStyle name="Currency 4 3 4 3 4 5" xfId="23894"/>
    <cellStyle name="Currency 4 3 4 3 4 6" xfId="23895"/>
    <cellStyle name="Currency 4 3 4 3 5" xfId="23896"/>
    <cellStyle name="Currency 4 3 4 3 5 2" xfId="23897"/>
    <cellStyle name="Currency 4 3 4 3 5 2 2" xfId="23898"/>
    <cellStyle name="Currency 4 3 4 3 5 3" xfId="23899"/>
    <cellStyle name="Currency 4 3 4 3 5 3 2" xfId="23900"/>
    <cellStyle name="Currency 4 3 4 3 5 4" xfId="23901"/>
    <cellStyle name="Currency 4 3 4 3 5 5" xfId="23902"/>
    <cellStyle name="Currency 4 3 4 3 6" xfId="23903"/>
    <cellStyle name="Currency 4 3 4 3 6 2" xfId="23904"/>
    <cellStyle name="Currency 4 3 4 3 7" xfId="23905"/>
    <cellStyle name="Currency 4 3 4 3 7 2" xfId="23906"/>
    <cellStyle name="Currency 4 3 4 3 8" xfId="23907"/>
    <cellStyle name="Currency 4 3 4 3 8 2" xfId="23908"/>
    <cellStyle name="Currency 4 3 4 3 9" xfId="23909"/>
    <cellStyle name="Currency 4 3 4 4" xfId="23910"/>
    <cellStyle name="Currency 4 3 4 4 2" xfId="23911"/>
    <cellStyle name="Currency 4 3 4 4 2 2" xfId="23912"/>
    <cellStyle name="Currency 4 3 4 4 3" xfId="23913"/>
    <cellStyle name="Currency 4 3 4 4 3 2" xfId="23914"/>
    <cellStyle name="Currency 4 3 4 4 4" xfId="23915"/>
    <cellStyle name="Currency 4 3 4 4 4 2" xfId="23916"/>
    <cellStyle name="Currency 4 3 4 4 5" xfId="23917"/>
    <cellStyle name="Currency 4 3 4 4 6" xfId="23918"/>
    <cellStyle name="Currency 4 3 4 5" xfId="23919"/>
    <cellStyle name="Currency 4 3 4 5 2" xfId="23920"/>
    <cellStyle name="Currency 4 3 4 5 2 2" xfId="23921"/>
    <cellStyle name="Currency 4 3 4 5 3" xfId="23922"/>
    <cellStyle name="Currency 4 3 4 5 3 2" xfId="23923"/>
    <cellStyle name="Currency 4 3 4 5 4" xfId="23924"/>
    <cellStyle name="Currency 4 3 4 5 4 2" xfId="23925"/>
    <cellStyle name="Currency 4 3 4 5 5" xfId="23926"/>
    <cellStyle name="Currency 4 3 4 5 6" xfId="23927"/>
    <cellStyle name="Currency 4 3 4 6" xfId="23928"/>
    <cellStyle name="Currency 4 3 4 6 2" xfId="23929"/>
    <cellStyle name="Currency 4 3 4 6 2 2" xfId="23930"/>
    <cellStyle name="Currency 4 3 4 6 3" xfId="23931"/>
    <cellStyle name="Currency 4 3 4 6 3 2" xfId="23932"/>
    <cellStyle name="Currency 4 3 4 6 4" xfId="23933"/>
    <cellStyle name="Currency 4 3 4 6 4 2" xfId="23934"/>
    <cellStyle name="Currency 4 3 4 6 5" xfId="23935"/>
    <cellStyle name="Currency 4 3 4 6 6" xfId="23936"/>
    <cellStyle name="Currency 4 3 4 7" xfId="23937"/>
    <cellStyle name="Currency 4 3 4 7 2" xfId="23938"/>
    <cellStyle name="Currency 4 3 4 7 2 2" xfId="23939"/>
    <cellStyle name="Currency 4 3 4 7 3" xfId="23940"/>
    <cellStyle name="Currency 4 3 4 7 3 2" xfId="23941"/>
    <cellStyle name="Currency 4 3 4 7 4" xfId="23942"/>
    <cellStyle name="Currency 4 3 4 7 5" xfId="23943"/>
    <cellStyle name="Currency 4 3 4 8" xfId="23944"/>
    <cellStyle name="Currency 4 3 4 8 2" xfId="23945"/>
    <cellStyle name="Currency 4 3 4 9" xfId="23946"/>
    <cellStyle name="Currency 4 3 4 9 2" xfId="23947"/>
    <cellStyle name="Currency 4 3 5" xfId="23948"/>
    <cellStyle name="Currency 4 3 5 10" xfId="23949"/>
    <cellStyle name="Currency 4 3 5 11" xfId="23950"/>
    <cellStyle name="Currency 4 3 5 2" xfId="23951"/>
    <cellStyle name="Currency 4 3 5 2 2" xfId="23952"/>
    <cellStyle name="Currency 4 3 5 2 2 2" xfId="23953"/>
    <cellStyle name="Currency 4 3 5 2 3" xfId="23954"/>
    <cellStyle name="Currency 4 3 5 2 3 2" xfId="23955"/>
    <cellStyle name="Currency 4 3 5 2 4" xfId="23956"/>
    <cellStyle name="Currency 4 3 5 2 4 2" xfId="23957"/>
    <cellStyle name="Currency 4 3 5 2 5" xfId="23958"/>
    <cellStyle name="Currency 4 3 5 2 6" xfId="23959"/>
    <cellStyle name="Currency 4 3 5 3" xfId="23960"/>
    <cellStyle name="Currency 4 3 5 3 2" xfId="23961"/>
    <cellStyle name="Currency 4 3 5 3 2 2" xfId="23962"/>
    <cellStyle name="Currency 4 3 5 3 3" xfId="23963"/>
    <cellStyle name="Currency 4 3 5 3 3 2" xfId="23964"/>
    <cellStyle name="Currency 4 3 5 3 4" xfId="23965"/>
    <cellStyle name="Currency 4 3 5 3 4 2" xfId="23966"/>
    <cellStyle name="Currency 4 3 5 3 5" xfId="23967"/>
    <cellStyle name="Currency 4 3 5 3 6" xfId="23968"/>
    <cellStyle name="Currency 4 3 5 4" xfId="23969"/>
    <cellStyle name="Currency 4 3 5 4 2" xfId="23970"/>
    <cellStyle name="Currency 4 3 5 4 2 2" xfId="23971"/>
    <cellStyle name="Currency 4 3 5 4 3" xfId="23972"/>
    <cellStyle name="Currency 4 3 5 4 3 2" xfId="23973"/>
    <cellStyle name="Currency 4 3 5 4 4" xfId="23974"/>
    <cellStyle name="Currency 4 3 5 4 4 2" xfId="23975"/>
    <cellStyle name="Currency 4 3 5 4 5" xfId="23976"/>
    <cellStyle name="Currency 4 3 5 4 6" xfId="23977"/>
    <cellStyle name="Currency 4 3 5 5" xfId="23978"/>
    <cellStyle name="Currency 4 3 5 5 2" xfId="23979"/>
    <cellStyle name="Currency 4 3 5 5 2 2" xfId="23980"/>
    <cellStyle name="Currency 4 3 5 5 3" xfId="23981"/>
    <cellStyle name="Currency 4 3 5 5 3 2" xfId="23982"/>
    <cellStyle name="Currency 4 3 5 5 4" xfId="23983"/>
    <cellStyle name="Currency 4 3 5 5 4 2" xfId="23984"/>
    <cellStyle name="Currency 4 3 5 5 5" xfId="23985"/>
    <cellStyle name="Currency 4 3 5 5 6" xfId="23986"/>
    <cellStyle name="Currency 4 3 5 6" xfId="23987"/>
    <cellStyle name="Currency 4 3 5 6 2" xfId="23988"/>
    <cellStyle name="Currency 4 3 5 6 2 2" xfId="23989"/>
    <cellStyle name="Currency 4 3 5 6 3" xfId="23990"/>
    <cellStyle name="Currency 4 3 5 6 3 2" xfId="23991"/>
    <cellStyle name="Currency 4 3 5 6 4" xfId="23992"/>
    <cellStyle name="Currency 4 3 5 6 5" xfId="23993"/>
    <cellStyle name="Currency 4 3 5 7" xfId="23994"/>
    <cellStyle name="Currency 4 3 5 7 2" xfId="23995"/>
    <cellStyle name="Currency 4 3 5 8" xfId="23996"/>
    <cellStyle name="Currency 4 3 5 8 2" xfId="23997"/>
    <cellStyle name="Currency 4 3 5 9" xfId="23998"/>
    <cellStyle name="Currency 4 3 5 9 2" xfId="23999"/>
    <cellStyle name="Currency 4 3 6" xfId="24000"/>
    <cellStyle name="Currency 4 3 6 10" xfId="24001"/>
    <cellStyle name="Currency 4 3 6 2" xfId="24002"/>
    <cellStyle name="Currency 4 3 6 2 2" xfId="24003"/>
    <cellStyle name="Currency 4 3 6 2 2 2" xfId="24004"/>
    <cellStyle name="Currency 4 3 6 2 3" xfId="24005"/>
    <cellStyle name="Currency 4 3 6 2 3 2" xfId="24006"/>
    <cellStyle name="Currency 4 3 6 2 4" xfId="24007"/>
    <cellStyle name="Currency 4 3 6 2 4 2" xfId="24008"/>
    <cellStyle name="Currency 4 3 6 2 5" xfId="24009"/>
    <cellStyle name="Currency 4 3 6 2 6" xfId="24010"/>
    <cellStyle name="Currency 4 3 6 3" xfId="24011"/>
    <cellStyle name="Currency 4 3 6 3 2" xfId="24012"/>
    <cellStyle name="Currency 4 3 6 3 2 2" xfId="24013"/>
    <cellStyle name="Currency 4 3 6 3 3" xfId="24014"/>
    <cellStyle name="Currency 4 3 6 3 3 2" xfId="24015"/>
    <cellStyle name="Currency 4 3 6 3 4" xfId="24016"/>
    <cellStyle name="Currency 4 3 6 3 4 2" xfId="24017"/>
    <cellStyle name="Currency 4 3 6 3 5" xfId="24018"/>
    <cellStyle name="Currency 4 3 6 3 6" xfId="24019"/>
    <cellStyle name="Currency 4 3 6 4" xfId="24020"/>
    <cellStyle name="Currency 4 3 6 4 2" xfId="24021"/>
    <cellStyle name="Currency 4 3 6 4 2 2" xfId="24022"/>
    <cellStyle name="Currency 4 3 6 4 3" xfId="24023"/>
    <cellStyle name="Currency 4 3 6 4 3 2" xfId="24024"/>
    <cellStyle name="Currency 4 3 6 4 4" xfId="24025"/>
    <cellStyle name="Currency 4 3 6 4 4 2" xfId="24026"/>
    <cellStyle name="Currency 4 3 6 4 5" xfId="24027"/>
    <cellStyle name="Currency 4 3 6 4 6" xfId="24028"/>
    <cellStyle name="Currency 4 3 6 5" xfId="24029"/>
    <cellStyle name="Currency 4 3 6 5 2" xfId="24030"/>
    <cellStyle name="Currency 4 3 6 5 2 2" xfId="24031"/>
    <cellStyle name="Currency 4 3 6 5 3" xfId="24032"/>
    <cellStyle name="Currency 4 3 6 5 3 2" xfId="24033"/>
    <cellStyle name="Currency 4 3 6 5 4" xfId="24034"/>
    <cellStyle name="Currency 4 3 6 5 5" xfId="24035"/>
    <cellStyle name="Currency 4 3 6 6" xfId="24036"/>
    <cellStyle name="Currency 4 3 6 6 2" xfId="24037"/>
    <cellStyle name="Currency 4 3 6 7" xfId="24038"/>
    <cellStyle name="Currency 4 3 6 7 2" xfId="24039"/>
    <cellStyle name="Currency 4 3 6 8" xfId="24040"/>
    <cellStyle name="Currency 4 3 6 8 2" xfId="24041"/>
    <cellStyle name="Currency 4 3 6 9" xfId="24042"/>
    <cellStyle name="Currency 4 3 7" xfId="24043"/>
    <cellStyle name="Currency 4 3 7 10" xfId="24044"/>
    <cellStyle name="Currency 4 3 7 2" xfId="24045"/>
    <cellStyle name="Currency 4 3 7 2 2" xfId="24046"/>
    <cellStyle name="Currency 4 3 7 2 2 2" xfId="24047"/>
    <cellStyle name="Currency 4 3 7 2 3" xfId="24048"/>
    <cellStyle name="Currency 4 3 7 2 3 2" xfId="24049"/>
    <cellStyle name="Currency 4 3 7 2 4" xfId="24050"/>
    <cellStyle name="Currency 4 3 7 2 4 2" xfId="24051"/>
    <cellStyle name="Currency 4 3 7 2 5" xfId="24052"/>
    <cellStyle name="Currency 4 3 7 2 6" xfId="24053"/>
    <cellStyle name="Currency 4 3 7 3" xfId="24054"/>
    <cellStyle name="Currency 4 3 7 3 2" xfId="24055"/>
    <cellStyle name="Currency 4 3 7 3 2 2" xfId="24056"/>
    <cellStyle name="Currency 4 3 7 3 3" xfId="24057"/>
    <cellStyle name="Currency 4 3 7 3 3 2" xfId="24058"/>
    <cellStyle name="Currency 4 3 7 3 4" xfId="24059"/>
    <cellStyle name="Currency 4 3 7 3 4 2" xfId="24060"/>
    <cellStyle name="Currency 4 3 7 3 5" xfId="24061"/>
    <cellStyle name="Currency 4 3 7 3 6" xfId="24062"/>
    <cellStyle name="Currency 4 3 7 4" xfId="24063"/>
    <cellStyle name="Currency 4 3 7 4 2" xfId="24064"/>
    <cellStyle name="Currency 4 3 7 4 2 2" xfId="24065"/>
    <cellStyle name="Currency 4 3 7 4 3" xfId="24066"/>
    <cellStyle name="Currency 4 3 7 4 3 2" xfId="24067"/>
    <cellStyle name="Currency 4 3 7 4 4" xfId="24068"/>
    <cellStyle name="Currency 4 3 7 4 4 2" xfId="24069"/>
    <cellStyle name="Currency 4 3 7 4 5" xfId="24070"/>
    <cellStyle name="Currency 4 3 7 4 6" xfId="24071"/>
    <cellStyle name="Currency 4 3 7 5" xfId="24072"/>
    <cellStyle name="Currency 4 3 7 5 2" xfId="24073"/>
    <cellStyle name="Currency 4 3 7 5 2 2" xfId="24074"/>
    <cellStyle name="Currency 4 3 7 5 3" xfId="24075"/>
    <cellStyle name="Currency 4 3 7 5 3 2" xfId="24076"/>
    <cellStyle name="Currency 4 3 7 5 4" xfId="24077"/>
    <cellStyle name="Currency 4 3 7 5 5" xfId="24078"/>
    <cellStyle name="Currency 4 3 7 6" xfId="24079"/>
    <cellStyle name="Currency 4 3 7 6 2" xfId="24080"/>
    <cellStyle name="Currency 4 3 7 7" xfId="24081"/>
    <cellStyle name="Currency 4 3 7 7 2" xfId="24082"/>
    <cellStyle name="Currency 4 3 7 8" xfId="24083"/>
    <cellStyle name="Currency 4 3 7 8 2" xfId="24084"/>
    <cellStyle name="Currency 4 3 7 9" xfId="24085"/>
    <cellStyle name="Currency 4 3 8" xfId="24086"/>
    <cellStyle name="Currency 4 3 8 2" xfId="24087"/>
    <cellStyle name="Currency 4 3 8 2 2" xfId="24088"/>
    <cellStyle name="Currency 4 3 8 3" xfId="24089"/>
    <cellStyle name="Currency 4 3 8 3 2" xfId="24090"/>
    <cellStyle name="Currency 4 3 8 4" xfId="24091"/>
    <cellStyle name="Currency 4 3 8 4 2" xfId="24092"/>
    <cellStyle name="Currency 4 3 8 5" xfId="24093"/>
    <cellStyle name="Currency 4 3 8 6" xfId="24094"/>
    <cellStyle name="Currency 4 3 9" xfId="24095"/>
    <cellStyle name="Currency 4 3 9 2" xfId="24096"/>
    <cellStyle name="Currency 4 3 9 2 2" xfId="24097"/>
    <cellStyle name="Currency 4 3 9 3" xfId="24098"/>
    <cellStyle name="Currency 4 3 9 3 2" xfId="24099"/>
    <cellStyle name="Currency 4 3 9 4" xfId="24100"/>
    <cellStyle name="Currency 4 3 9 4 2" xfId="24101"/>
    <cellStyle name="Currency 4 3 9 5" xfId="24102"/>
    <cellStyle name="Currency 4 3 9 6" xfId="24103"/>
    <cellStyle name="Currency 4 4" xfId="24104"/>
    <cellStyle name="Currency 4 4 10" xfId="24105"/>
    <cellStyle name="Currency 4 4 10 2" xfId="24106"/>
    <cellStyle name="Currency 4 4 11" xfId="24107"/>
    <cellStyle name="Currency 4 4 11 2" xfId="24108"/>
    <cellStyle name="Currency 4 4 12" xfId="24109"/>
    <cellStyle name="Currency 4 4 13" xfId="24110"/>
    <cellStyle name="Currency 4 4 2" xfId="24111"/>
    <cellStyle name="Currency 4 4 2 10" xfId="24112"/>
    <cellStyle name="Currency 4 4 2 11" xfId="24113"/>
    <cellStyle name="Currency 4 4 2 2" xfId="24114"/>
    <cellStyle name="Currency 4 4 2 2 2" xfId="24115"/>
    <cellStyle name="Currency 4 4 2 2 2 2" xfId="24116"/>
    <cellStyle name="Currency 4 4 2 2 3" xfId="24117"/>
    <cellStyle name="Currency 4 4 2 2 3 2" xfId="24118"/>
    <cellStyle name="Currency 4 4 2 2 4" xfId="24119"/>
    <cellStyle name="Currency 4 4 2 2 4 2" xfId="24120"/>
    <cellStyle name="Currency 4 4 2 2 5" xfId="24121"/>
    <cellStyle name="Currency 4 4 2 2 6" xfId="24122"/>
    <cellStyle name="Currency 4 4 2 3" xfId="24123"/>
    <cellStyle name="Currency 4 4 2 3 2" xfId="24124"/>
    <cellStyle name="Currency 4 4 2 3 2 2" xfId="24125"/>
    <cellStyle name="Currency 4 4 2 3 3" xfId="24126"/>
    <cellStyle name="Currency 4 4 2 3 3 2" xfId="24127"/>
    <cellStyle name="Currency 4 4 2 3 4" xfId="24128"/>
    <cellStyle name="Currency 4 4 2 3 4 2" xfId="24129"/>
    <cellStyle name="Currency 4 4 2 3 5" xfId="24130"/>
    <cellStyle name="Currency 4 4 2 3 6" xfId="24131"/>
    <cellStyle name="Currency 4 4 2 4" xfId="24132"/>
    <cellStyle name="Currency 4 4 2 4 2" xfId="24133"/>
    <cellStyle name="Currency 4 4 2 4 2 2" xfId="24134"/>
    <cellStyle name="Currency 4 4 2 4 3" xfId="24135"/>
    <cellStyle name="Currency 4 4 2 4 3 2" xfId="24136"/>
    <cellStyle name="Currency 4 4 2 4 4" xfId="24137"/>
    <cellStyle name="Currency 4 4 2 4 4 2" xfId="24138"/>
    <cellStyle name="Currency 4 4 2 4 5" xfId="24139"/>
    <cellStyle name="Currency 4 4 2 4 6" xfId="24140"/>
    <cellStyle name="Currency 4 4 2 5" xfId="24141"/>
    <cellStyle name="Currency 4 4 2 5 2" xfId="24142"/>
    <cellStyle name="Currency 4 4 2 5 2 2" xfId="24143"/>
    <cellStyle name="Currency 4 4 2 5 3" xfId="24144"/>
    <cellStyle name="Currency 4 4 2 5 3 2" xfId="24145"/>
    <cellStyle name="Currency 4 4 2 5 4" xfId="24146"/>
    <cellStyle name="Currency 4 4 2 5 4 2" xfId="24147"/>
    <cellStyle name="Currency 4 4 2 5 5" xfId="24148"/>
    <cellStyle name="Currency 4 4 2 5 6" xfId="24149"/>
    <cellStyle name="Currency 4 4 2 6" xfId="24150"/>
    <cellStyle name="Currency 4 4 2 6 2" xfId="24151"/>
    <cellStyle name="Currency 4 4 2 6 2 2" xfId="24152"/>
    <cellStyle name="Currency 4 4 2 6 3" xfId="24153"/>
    <cellStyle name="Currency 4 4 2 6 3 2" xfId="24154"/>
    <cellStyle name="Currency 4 4 2 6 4" xfId="24155"/>
    <cellStyle name="Currency 4 4 2 6 5" xfId="24156"/>
    <cellStyle name="Currency 4 4 2 7" xfId="24157"/>
    <cellStyle name="Currency 4 4 2 7 2" xfId="24158"/>
    <cellStyle name="Currency 4 4 2 8" xfId="24159"/>
    <cellStyle name="Currency 4 4 2 8 2" xfId="24160"/>
    <cellStyle name="Currency 4 4 2 9" xfId="24161"/>
    <cellStyle name="Currency 4 4 2 9 2" xfId="24162"/>
    <cellStyle name="Currency 4 4 3" xfId="24163"/>
    <cellStyle name="Currency 4 4 3 10" xfId="24164"/>
    <cellStyle name="Currency 4 4 3 2" xfId="24165"/>
    <cellStyle name="Currency 4 4 3 2 2" xfId="24166"/>
    <cellStyle name="Currency 4 4 3 2 2 2" xfId="24167"/>
    <cellStyle name="Currency 4 4 3 2 3" xfId="24168"/>
    <cellStyle name="Currency 4 4 3 2 3 2" xfId="24169"/>
    <cellStyle name="Currency 4 4 3 2 4" xfId="24170"/>
    <cellStyle name="Currency 4 4 3 2 4 2" xfId="24171"/>
    <cellStyle name="Currency 4 4 3 2 5" xfId="24172"/>
    <cellStyle name="Currency 4 4 3 2 6" xfId="24173"/>
    <cellStyle name="Currency 4 4 3 3" xfId="24174"/>
    <cellStyle name="Currency 4 4 3 3 2" xfId="24175"/>
    <cellStyle name="Currency 4 4 3 3 2 2" xfId="24176"/>
    <cellStyle name="Currency 4 4 3 3 3" xfId="24177"/>
    <cellStyle name="Currency 4 4 3 3 3 2" xfId="24178"/>
    <cellStyle name="Currency 4 4 3 3 4" xfId="24179"/>
    <cellStyle name="Currency 4 4 3 3 4 2" xfId="24180"/>
    <cellStyle name="Currency 4 4 3 3 5" xfId="24181"/>
    <cellStyle name="Currency 4 4 3 3 6" xfId="24182"/>
    <cellStyle name="Currency 4 4 3 4" xfId="24183"/>
    <cellStyle name="Currency 4 4 3 4 2" xfId="24184"/>
    <cellStyle name="Currency 4 4 3 4 2 2" xfId="24185"/>
    <cellStyle name="Currency 4 4 3 4 3" xfId="24186"/>
    <cellStyle name="Currency 4 4 3 4 3 2" xfId="24187"/>
    <cellStyle name="Currency 4 4 3 4 4" xfId="24188"/>
    <cellStyle name="Currency 4 4 3 4 4 2" xfId="24189"/>
    <cellStyle name="Currency 4 4 3 4 5" xfId="24190"/>
    <cellStyle name="Currency 4 4 3 4 6" xfId="24191"/>
    <cellStyle name="Currency 4 4 3 5" xfId="24192"/>
    <cellStyle name="Currency 4 4 3 5 2" xfId="24193"/>
    <cellStyle name="Currency 4 4 3 5 2 2" xfId="24194"/>
    <cellStyle name="Currency 4 4 3 5 3" xfId="24195"/>
    <cellStyle name="Currency 4 4 3 5 3 2" xfId="24196"/>
    <cellStyle name="Currency 4 4 3 5 4" xfId="24197"/>
    <cellStyle name="Currency 4 4 3 5 5" xfId="24198"/>
    <cellStyle name="Currency 4 4 3 6" xfId="24199"/>
    <cellStyle name="Currency 4 4 3 6 2" xfId="24200"/>
    <cellStyle name="Currency 4 4 3 7" xfId="24201"/>
    <cellStyle name="Currency 4 4 3 7 2" xfId="24202"/>
    <cellStyle name="Currency 4 4 3 8" xfId="24203"/>
    <cellStyle name="Currency 4 4 3 8 2" xfId="24204"/>
    <cellStyle name="Currency 4 4 3 9" xfId="24205"/>
    <cellStyle name="Currency 4 4 4" xfId="24206"/>
    <cellStyle name="Currency 4 4 4 10" xfId="24207"/>
    <cellStyle name="Currency 4 4 4 2" xfId="24208"/>
    <cellStyle name="Currency 4 4 4 2 2" xfId="24209"/>
    <cellStyle name="Currency 4 4 4 2 2 2" xfId="24210"/>
    <cellStyle name="Currency 4 4 4 2 3" xfId="24211"/>
    <cellStyle name="Currency 4 4 4 2 3 2" xfId="24212"/>
    <cellStyle name="Currency 4 4 4 2 4" xfId="24213"/>
    <cellStyle name="Currency 4 4 4 2 4 2" xfId="24214"/>
    <cellStyle name="Currency 4 4 4 2 5" xfId="24215"/>
    <cellStyle name="Currency 4 4 4 2 6" xfId="24216"/>
    <cellStyle name="Currency 4 4 4 3" xfId="24217"/>
    <cellStyle name="Currency 4 4 4 3 2" xfId="24218"/>
    <cellStyle name="Currency 4 4 4 3 2 2" xfId="24219"/>
    <cellStyle name="Currency 4 4 4 3 3" xfId="24220"/>
    <cellStyle name="Currency 4 4 4 3 3 2" xfId="24221"/>
    <cellStyle name="Currency 4 4 4 3 4" xfId="24222"/>
    <cellStyle name="Currency 4 4 4 3 4 2" xfId="24223"/>
    <cellStyle name="Currency 4 4 4 3 5" xfId="24224"/>
    <cellStyle name="Currency 4 4 4 3 6" xfId="24225"/>
    <cellStyle name="Currency 4 4 4 4" xfId="24226"/>
    <cellStyle name="Currency 4 4 4 4 2" xfId="24227"/>
    <cellStyle name="Currency 4 4 4 4 2 2" xfId="24228"/>
    <cellStyle name="Currency 4 4 4 4 3" xfId="24229"/>
    <cellStyle name="Currency 4 4 4 4 3 2" xfId="24230"/>
    <cellStyle name="Currency 4 4 4 4 4" xfId="24231"/>
    <cellStyle name="Currency 4 4 4 4 4 2" xfId="24232"/>
    <cellStyle name="Currency 4 4 4 4 5" xfId="24233"/>
    <cellStyle name="Currency 4 4 4 4 6" xfId="24234"/>
    <cellStyle name="Currency 4 4 4 5" xfId="24235"/>
    <cellStyle name="Currency 4 4 4 5 2" xfId="24236"/>
    <cellStyle name="Currency 4 4 4 5 2 2" xfId="24237"/>
    <cellStyle name="Currency 4 4 4 5 3" xfId="24238"/>
    <cellStyle name="Currency 4 4 4 5 3 2" xfId="24239"/>
    <cellStyle name="Currency 4 4 4 5 4" xfId="24240"/>
    <cellStyle name="Currency 4 4 4 5 5" xfId="24241"/>
    <cellStyle name="Currency 4 4 4 6" xfId="24242"/>
    <cellStyle name="Currency 4 4 4 6 2" xfId="24243"/>
    <cellStyle name="Currency 4 4 4 7" xfId="24244"/>
    <cellStyle name="Currency 4 4 4 7 2" xfId="24245"/>
    <cellStyle name="Currency 4 4 4 8" xfId="24246"/>
    <cellStyle name="Currency 4 4 4 8 2" xfId="24247"/>
    <cellStyle name="Currency 4 4 4 9" xfId="24248"/>
    <cellStyle name="Currency 4 4 5" xfId="24249"/>
    <cellStyle name="Currency 4 4 5 2" xfId="24250"/>
    <cellStyle name="Currency 4 4 5 2 2" xfId="24251"/>
    <cellStyle name="Currency 4 4 5 3" xfId="24252"/>
    <cellStyle name="Currency 4 4 5 3 2" xfId="24253"/>
    <cellStyle name="Currency 4 4 5 4" xfId="24254"/>
    <cellStyle name="Currency 4 4 5 4 2" xfId="24255"/>
    <cellStyle name="Currency 4 4 5 5" xfId="24256"/>
    <cellStyle name="Currency 4 4 5 6" xfId="24257"/>
    <cellStyle name="Currency 4 4 6" xfId="24258"/>
    <cellStyle name="Currency 4 4 6 2" xfId="24259"/>
    <cellStyle name="Currency 4 4 6 2 2" xfId="24260"/>
    <cellStyle name="Currency 4 4 6 3" xfId="24261"/>
    <cellStyle name="Currency 4 4 6 3 2" xfId="24262"/>
    <cellStyle name="Currency 4 4 6 4" xfId="24263"/>
    <cellStyle name="Currency 4 4 6 4 2" xfId="24264"/>
    <cellStyle name="Currency 4 4 6 5" xfId="24265"/>
    <cellStyle name="Currency 4 4 6 6" xfId="24266"/>
    <cellStyle name="Currency 4 4 7" xfId="24267"/>
    <cellStyle name="Currency 4 4 7 2" xfId="24268"/>
    <cellStyle name="Currency 4 4 7 2 2" xfId="24269"/>
    <cellStyle name="Currency 4 4 7 3" xfId="24270"/>
    <cellStyle name="Currency 4 4 7 3 2" xfId="24271"/>
    <cellStyle name="Currency 4 4 7 4" xfId="24272"/>
    <cellStyle name="Currency 4 4 7 4 2" xfId="24273"/>
    <cellStyle name="Currency 4 4 7 5" xfId="24274"/>
    <cellStyle name="Currency 4 4 7 6" xfId="24275"/>
    <cellStyle name="Currency 4 4 8" xfId="24276"/>
    <cellStyle name="Currency 4 4 8 2" xfId="24277"/>
    <cellStyle name="Currency 4 4 8 2 2" xfId="24278"/>
    <cellStyle name="Currency 4 4 8 3" xfId="24279"/>
    <cellStyle name="Currency 4 4 8 3 2" xfId="24280"/>
    <cellStyle name="Currency 4 4 8 4" xfId="24281"/>
    <cellStyle name="Currency 4 4 8 5" xfId="24282"/>
    <cellStyle name="Currency 4 4 9" xfId="24283"/>
    <cellStyle name="Currency 4 4 9 2" xfId="24284"/>
    <cellStyle name="Currency 4 5" xfId="24285"/>
    <cellStyle name="Currency 4 5 10" xfId="24286"/>
    <cellStyle name="Currency 4 5 10 2" xfId="24287"/>
    <cellStyle name="Currency 4 5 11" xfId="24288"/>
    <cellStyle name="Currency 4 5 11 2" xfId="24289"/>
    <cellStyle name="Currency 4 5 12" xfId="24290"/>
    <cellStyle name="Currency 4 5 13" xfId="24291"/>
    <cellStyle name="Currency 4 5 2" xfId="24292"/>
    <cellStyle name="Currency 4 5 2 10" xfId="24293"/>
    <cellStyle name="Currency 4 5 2 11" xfId="24294"/>
    <cellStyle name="Currency 4 5 2 2" xfId="24295"/>
    <cellStyle name="Currency 4 5 2 2 2" xfId="24296"/>
    <cellStyle name="Currency 4 5 2 2 2 2" xfId="24297"/>
    <cellStyle name="Currency 4 5 2 2 3" xfId="24298"/>
    <cellStyle name="Currency 4 5 2 2 3 2" xfId="24299"/>
    <cellStyle name="Currency 4 5 2 2 4" xfId="24300"/>
    <cellStyle name="Currency 4 5 2 2 4 2" xfId="24301"/>
    <cellStyle name="Currency 4 5 2 2 5" xfId="24302"/>
    <cellStyle name="Currency 4 5 2 2 6" xfId="24303"/>
    <cellStyle name="Currency 4 5 2 3" xfId="24304"/>
    <cellStyle name="Currency 4 5 2 3 2" xfId="24305"/>
    <cellStyle name="Currency 4 5 2 3 2 2" xfId="24306"/>
    <cellStyle name="Currency 4 5 2 3 3" xfId="24307"/>
    <cellStyle name="Currency 4 5 2 3 3 2" xfId="24308"/>
    <cellStyle name="Currency 4 5 2 3 4" xfId="24309"/>
    <cellStyle name="Currency 4 5 2 3 4 2" xfId="24310"/>
    <cellStyle name="Currency 4 5 2 3 5" xfId="24311"/>
    <cellStyle name="Currency 4 5 2 3 6" xfId="24312"/>
    <cellStyle name="Currency 4 5 2 4" xfId="24313"/>
    <cellStyle name="Currency 4 5 2 4 2" xfId="24314"/>
    <cellStyle name="Currency 4 5 2 4 2 2" xfId="24315"/>
    <cellStyle name="Currency 4 5 2 4 3" xfId="24316"/>
    <cellStyle name="Currency 4 5 2 4 3 2" xfId="24317"/>
    <cellStyle name="Currency 4 5 2 4 4" xfId="24318"/>
    <cellStyle name="Currency 4 5 2 4 4 2" xfId="24319"/>
    <cellStyle name="Currency 4 5 2 4 5" xfId="24320"/>
    <cellStyle name="Currency 4 5 2 4 6" xfId="24321"/>
    <cellStyle name="Currency 4 5 2 5" xfId="24322"/>
    <cellStyle name="Currency 4 5 2 5 2" xfId="24323"/>
    <cellStyle name="Currency 4 5 2 5 2 2" xfId="24324"/>
    <cellStyle name="Currency 4 5 2 5 3" xfId="24325"/>
    <cellStyle name="Currency 4 5 2 5 3 2" xfId="24326"/>
    <cellStyle name="Currency 4 5 2 5 4" xfId="24327"/>
    <cellStyle name="Currency 4 5 2 5 4 2" xfId="24328"/>
    <cellStyle name="Currency 4 5 2 5 5" xfId="24329"/>
    <cellStyle name="Currency 4 5 2 5 6" xfId="24330"/>
    <cellStyle name="Currency 4 5 2 6" xfId="24331"/>
    <cellStyle name="Currency 4 5 2 6 2" xfId="24332"/>
    <cellStyle name="Currency 4 5 2 6 2 2" xfId="24333"/>
    <cellStyle name="Currency 4 5 2 6 3" xfId="24334"/>
    <cellStyle name="Currency 4 5 2 6 3 2" xfId="24335"/>
    <cellStyle name="Currency 4 5 2 6 4" xfId="24336"/>
    <cellStyle name="Currency 4 5 2 6 5" xfId="24337"/>
    <cellStyle name="Currency 4 5 2 7" xfId="24338"/>
    <cellStyle name="Currency 4 5 2 7 2" xfId="24339"/>
    <cellStyle name="Currency 4 5 2 8" xfId="24340"/>
    <cellStyle name="Currency 4 5 2 8 2" xfId="24341"/>
    <cellStyle name="Currency 4 5 2 9" xfId="24342"/>
    <cellStyle name="Currency 4 5 2 9 2" xfId="24343"/>
    <cellStyle name="Currency 4 5 3" xfId="24344"/>
    <cellStyle name="Currency 4 5 3 10" xfId="24345"/>
    <cellStyle name="Currency 4 5 3 2" xfId="24346"/>
    <cellStyle name="Currency 4 5 3 2 2" xfId="24347"/>
    <cellStyle name="Currency 4 5 3 2 2 2" xfId="24348"/>
    <cellStyle name="Currency 4 5 3 2 3" xfId="24349"/>
    <cellStyle name="Currency 4 5 3 2 3 2" xfId="24350"/>
    <cellStyle name="Currency 4 5 3 2 4" xfId="24351"/>
    <cellStyle name="Currency 4 5 3 2 4 2" xfId="24352"/>
    <cellStyle name="Currency 4 5 3 2 5" xfId="24353"/>
    <cellStyle name="Currency 4 5 3 2 6" xfId="24354"/>
    <cellStyle name="Currency 4 5 3 3" xfId="24355"/>
    <cellStyle name="Currency 4 5 3 3 2" xfId="24356"/>
    <cellStyle name="Currency 4 5 3 3 2 2" xfId="24357"/>
    <cellStyle name="Currency 4 5 3 3 3" xfId="24358"/>
    <cellStyle name="Currency 4 5 3 3 3 2" xfId="24359"/>
    <cellStyle name="Currency 4 5 3 3 4" xfId="24360"/>
    <cellStyle name="Currency 4 5 3 3 4 2" xfId="24361"/>
    <cellStyle name="Currency 4 5 3 3 5" xfId="24362"/>
    <cellStyle name="Currency 4 5 3 3 6" xfId="24363"/>
    <cellStyle name="Currency 4 5 3 4" xfId="24364"/>
    <cellStyle name="Currency 4 5 3 4 2" xfId="24365"/>
    <cellStyle name="Currency 4 5 3 4 2 2" xfId="24366"/>
    <cellStyle name="Currency 4 5 3 4 3" xfId="24367"/>
    <cellStyle name="Currency 4 5 3 4 3 2" xfId="24368"/>
    <cellStyle name="Currency 4 5 3 4 4" xfId="24369"/>
    <cellStyle name="Currency 4 5 3 4 4 2" xfId="24370"/>
    <cellStyle name="Currency 4 5 3 4 5" xfId="24371"/>
    <cellStyle name="Currency 4 5 3 4 6" xfId="24372"/>
    <cellStyle name="Currency 4 5 3 5" xfId="24373"/>
    <cellStyle name="Currency 4 5 3 5 2" xfId="24374"/>
    <cellStyle name="Currency 4 5 3 5 2 2" xfId="24375"/>
    <cellStyle name="Currency 4 5 3 5 3" xfId="24376"/>
    <cellStyle name="Currency 4 5 3 5 3 2" xfId="24377"/>
    <cellStyle name="Currency 4 5 3 5 4" xfId="24378"/>
    <cellStyle name="Currency 4 5 3 5 5" xfId="24379"/>
    <cellStyle name="Currency 4 5 3 6" xfId="24380"/>
    <cellStyle name="Currency 4 5 3 6 2" xfId="24381"/>
    <cellStyle name="Currency 4 5 3 7" xfId="24382"/>
    <cellStyle name="Currency 4 5 3 7 2" xfId="24383"/>
    <cellStyle name="Currency 4 5 3 8" xfId="24384"/>
    <cellStyle name="Currency 4 5 3 8 2" xfId="24385"/>
    <cellStyle name="Currency 4 5 3 9" xfId="24386"/>
    <cellStyle name="Currency 4 5 4" xfId="24387"/>
    <cellStyle name="Currency 4 5 4 10" xfId="24388"/>
    <cellStyle name="Currency 4 5 4 2" xfId="24389"/>
    <cellStyle name="Currency 4 5 4 2 2" xfId="24390"/>
    <cellStyle name="Currency 4 5 4 2 2 2" xfId="24391"/>
    <cellStyle name="Currency 4 5 4 2 3" xfId="24392"/>
    <cellStyle name="Currency 4 5 4 2 3 2" xfId="24393"/>
    <cellStyle name="Currency 4 5 4 2 4" xfId="24394"/>
    <cellStyle name="Currency 4 5 4 2 4 2" xfId="24395"/>
    <cellStyle name="Currency 4 5 4 2 5" xfId="24396"/>
    <cellStyle name="Currency 4 5 4 2 6" xfId="24397"/>
    <cellStyle name="Currency 4 5 4 3" xfId="24398"/>
    <cellStyle name="Currency 4 5 4 3 2" xfId="24399"/>
    <cellStyle name="Currency 4 5 4 3 2 2" xfId="24400"/>
    <cellStyle name="Currency 4 5 4 3 3" xfId="24401"/>
    <cellStyle name="Currency 4 5 4 3 3 2" xfId="24402"/>
    <cellStyle name="Currency 4 5 4 3 4" xfId="24403"/>
    <cellStyle name="Currency 4 5 4 3 4 2" xfId="24404"/>
    <cellStyle name="Currency 4 5 4 3 5" xfId="24405"/>
    <cellStyle name="Currency 4 5 4 3 6" xfId="24406"/>
    <cellStyle name="Currency 4 5 4 4" xfId="24407"/>
    <cellStyle name="Currency 4 5 4 4 2" xfId="24408"/>
    <cellStyle name="Currency 4 5 4 4 2 2" xfId="24409"/>
    <cellStyle name="Currency 4 5 4 4 3" xfId="24410"/>
    <cellStyle name="Currency 4 5 4 4 3 2" xfId="24411"/>
    <cellStyle name="Currency 4 5 4 4 4" xfId="24412"/>
    <cellStyle name="Currency 4 5 4 4 4 2" xfId="24413"/>
    <cellStyle name="Currency 4 5 4 4 5" xfId="24414"/>
    <cellStyle name="Currency 4 5 4 4 6" xfId="24415"/>
    <cellStyle name="Currency 4 5 4 5" xfId="24416"/>
    <cellStyle name="Currency 4 5 4 5 2" xfId="24417"/>
    <cellStyle name="Currency 4 5 4 5 2 2" xfId="24418"/>
    <cellStyle name="Currency 4 5 4 5 3" xfId="24419"/>
    <cellStyle name="Currency 4 5 4 5 3 2" xfId="24420"/>
    <cellStyle name="Currency 4 5 4 5 4" xfId="24421"/>
    <cellStyle name="Currency 4 5 4 5 5" xfId="24422"/>
    <cellStyle name="Currency 4 5 4 6" xfId="24423"/>
    <cellStyle name="Currency 4 5 4 6 2" xfId="24424"/>
    <cellStyle name="Currency 4 5 4 7" xfId="24425"/>
    <cellStyle name="Currency 4 5 4 7 2" xfId="24426"/>
    <cellStyle name="Currency 4 5 4 8" xfId="24427"/>
    <cellStyle name="Currency 4 5 4 8 2" xfId="24428"/>
    <cellStyle name="Currency 4 5 4 9" xfId="24429"/>
    <cellStyle name="Currency 4 5 5" xfId="24430"/>
    <cellStyle name="Currency 4 5 5 2" xfId="24431"/>
    <cellStyle name="Currency 4 5 5 2 2" xfId="24432"/>
    <cellStyle name="Currency 4 5 5 3" xfId="24433"/>
    <cellStyle name="Currency 4 5 5 3 2" xfId="24434"/>
    <cellStyle name="Currency 4 5 5 4" xfId="24435"/>
    <cellStyle name="Currency 4 5 5 4 2" xfId="24436"/>
    <cellStyle name="Currency 4 5 5 5" xfId="24437"/>
    <cellStyle name="Currency 4 5 5 6" xfId="24438"/>
    <cellStyle name="Currency 4 5 6" xfId="24439"/>
    <cellStyle name="Currency 4 5 6 2" xfId="24440"/>
    <cellStyle name="Currency 4 5 6 2 2" xfId="24441"/>
    <cellStyle name="Currency 4 5 6 3" xfId="24442"/>
    <cellStyle name="Currency 4 5 6 3 2" xfId="24443"/>
    <cellStyle name="Currency 4 5 6 4" xfId="24444"/>
    <cellStyle name="Currency 4 5 6 4 2" xfId="24445"/>
    <cellStyle name="Currency 4 5 6 5" xfId="24446"/>
    <cellStyle name="Currency 4 5 6 6" xfId="24447"/>
    <cellStyle name="Currency 4 5 7" xfId="24448"/>
    <cellStyle name="Currency 4 5 7 2" xfId="24449"/>
    <cellStyle name="Currency 4 5 7 2 2" xfId="24450"/>
    <cellStyle name="Currency 4 5 7 3" xfId="24451"/>
    <cellStyle name="Currency 4 5 7 3 2" xfId="24452"/>
    <cellStyle name="Currency 4 5 7 4" xfId="24453"/>
    <cellStyle name="Currency 4 5 7 4 2" xfId="24454"/>
    <cellStyle name="Currency 4 5 7 5" xfId="24455"/>
    <cellStyle name="Currency 4 5 7 6" xfId="24456"/>
    <cellStyle name="Currency 4 5 8" xfId="24457"/>
    <cellStyle name="Currency 4 5 8 2" xfId="24458"/>
    <cellStyle name="Currency 4 5 8 2 2" xfId="24459"/>
    <cellStyle name="Currency 4 5 8 3" xfId="24460"/>
    <cellStyle name="Currency 4 5 8 3 2" xfId="24461"/>
    <cellStyle name="Currency 4 5 8 4" xfId="24462"/>
    <cellStyle name="Currency 4 5 8 5" xfId="24463"/>
    <cellStyle name="Currency 4 5 9" xfId="24464"/>
    <cellStyle name="Currency 4 5 9 2" xfId="24465"/>
    <cellStyle name="Currency 4 6" xfId="24466"/>
    <cellStyle name="Currency 4 6 10" xfId="24467"/>
    <cellStyle name="Currency 4 6 10 2" xfId="24468"/>
    <cellStyle name="Currency 4 6 11" xfId="24469"/>
    <cellStyle name="Currency 4 6 12" xfId="24470"/>
    <cellStyle name="Currency 4 6 2" xfId="24471"/>
    <cellStyle name="Currency 4 6 2 10" xfId="24472"/>
    <cellStyle name="Currency 4 6 2 2" xfId="24473"/>
    <cellStyle name="Currency 4 6 2 2 2" xfId="24474"/>
    <cellStyle name="Currency 4 6 2 2 2 2" xfId="24475"/>
    <cellStyle name="Currency 4 6 2 2 3" xfId="24476"/>
    <cellStyle name="Currency 4 6 2 2 3 2" xfId="24477"/>
    <cellStyle name="Currency 4 6 2 2 4" xfId="24478"/>
    <cellStyle name="Currency 4 6 2 2 4 2" xfId="24479"/>
    <cellStyle name="Currency 4 6 2 2 5" xfId="24480"/>
    <cellStyle name="Currency 4 6 2 2 6" xfId="24481"/>
    <cellStyle name="Currency 4 6 2 3" xfId="24482"/>
    <cellStyle name="Currency 4 6 2 3 2" xfId="24483"/>
    <cellStyle name="Currency 4 6 2 3 2 2" xfId="24484"/>
    <cellStyle name="Currency 4 6 2 3 3" xfId="24485"/>
    <cellStyle name="Currency 4 6 2 3 3 2" xfId="24486"/>
    <cellStyle name="Currency 4 6 2 3 4" xfId="24487"/>
    <cellStyle name="Currency 4 6 2 3 4 2" xfId="24488"/>
    <cellStyle name="Currency 4 6 2 3 5" xfId="24489"/>
    <cellStyle name="Currency 4 6 2 3 6" xfId="24490"/>
    <cellStyle name="Currency 4 6 2 4" xfId="24491"/>
    <cellStyle name="Currency 4 6 2 4 2" xfId="24492"/>
    <cellStyle name="Currency 4 6 2 4 2 2" xfId="24493"/>
    <cellStyle name="Currency 4 6 2 4 3" xfId="24494"/>
    <cellStyle name="Currency 4 6 2 4 3 2" xfId="24495"/>
    <cellStyle name="Currency 4 6 2 4 4" xfId="24496"/>
    <cellStyle name="Currency 4 6 2 4 4 2" xfId="24497"/>
    <cellStyle name="Currency 4 6 2 4 5" xfId="24498"/>
    <cellStyle name="Currency 4 6 2 4 6" xfId="24499"/>
    <cellStyle name="Currency 4 6 2 5" xfId="24500"/>
    <cellStyle name="Currency 4 6 2 5 2" xfId="24501"/>
    <cellStyle name="Currency 4 6 2 5 2 2" xfId="24502"/>
    <cellStyle name="Currency 4 6 2 5 3" xfId="24503"/>
    <cellStyle name="Currency 4 6 2 5 3 2" xfId="24504"/>
    <cellStyle name="Currency 4 6 2 5 4" xfId="24505"/>
    <cellStyle name="Currency 4 6 2 5 5" xfId="24506"/>
    <cellStyle name="Currency 4 6 2 6" xfId="24507"/>
    <cellStyle name="Currency 4 6 2 6 2" xfId="24508"/>
    <cellStyle name="Currency 4 6 2 7" xfId="24509"/>
    <cellStyle name="Currency 4 6 2 7 2" xfId="24510"/>
    <cellStyle name="Currency 4 6 2 8" xfId="24511"/>
    <cellStyle name="Currency 4 6 2 8 2" xfId="24512"/>
    <cellStyle name="Currency 4 6 2 9" xfId="24513"/>
    <cellStyle name="Currency 4 6 3" xfId="24514"/>
    <cellStyle name="Currency 4 6 3 10" xfId="24515"/>
    <cellStyle name="Currency 4 6 3 2" xfId="24516"/>
    <cellStyle name="Currency 4 6 3 2 2" xfId="24517"/>
    <cellStyle name="Currency 4 6 3 2 2 2" xfId="24518"/>
    <cellStyle name="Currency 4 6 3 2 3" xfId="24519"/>
    <cellStyle name="Currency 4 6 3 2 3 2" xfId="24520"/>
    <cellStyle name="Currency 4 6 3 2 4" xfId="24521"/>
    <cellStyle name="Currency 4 6 3 2 4 2" xfId="24522"/>
    <cellStyle name="Currency 4 6 3 2 5" xfId="24523"/>
    <cellStyle name="Currency 4 6 3 2 6" xfId="24524"/>
    <cellStyle name="Currency 4 6 3 3" xfId="24525"/>
    <cellStyle name="Currency 4 6 3 3 2" xfId="24526"/>
    <cellStyle name="Currency 4 6 3 3 2 2" xfId="24527"/>
    <cellStyle name="Currency 4 6 3 3 3" xfId="24528"/>
    <cellStyle name="Currency 4 6 3 3 3 2" xfId="24529"/>
    <cellStyle name="Currency 4 6 3 3 4" xfId="24530"/>
    <cellStyle name="Currency 4 6 3 3 4 2" xfId="24531"/>
    <cellStyle name="Currency 4 6 3 3 5" xfId="24532"/>
    <cellStyle name="Currency 4 6 3 3 6" xfId="24533"/>
    <cellStyle name="Currency 4 6 3 4" xfId="24534"/>
    <cellStyle name="Currency 4 6 3 4 2" xfId="24535"/>
    <cellStyle name="Currency 4 6 3 4 2 2" xfId="24536"/>
    <cellStyle name="Currency 4 6 3 4 3" xfId="24537"/>
    <cellStyle name="Currency 4 6 3 4 3 2" xfId="24538"/>
    <cellStyle name="Currency 4 6 3 4 4" xfId="24539"/>
    <cellStyle name="Currency 4 6 3 4 4 2" xfId="24540"/>
    <cellStyle name="Currency 4 6 3 4 5" xfId="24541"/>
    <cellStyle name="Currency 4 6 3 4 6" xfId="24542"/>
    <cellStyle name="Currency 4 6 3 5" xfId="24543"/>
    <cellStyle name="Currency 4 6 3 5 2" xfId="24544"/>
    <cellStyle name="Currency 4 6 3 5 2 2" xfId="24545"/>
    <cellStyle name="Currency 4 6 3 5 3" xfId="24546"/>
    <cellStyle name="Currency 4 6 3 5 3 2" xfId="24547"/>
    <cellStyle name="Currency 4 6 3 5 4" xfId="24548"/>
    <cellStyle name="Currency 4 6 3 5 5" xfId="24549"/>
    <cellStyle name="Currency 4 6 3 6" xfId="24550"/>
    <cellStyle name="Currency 4 6 3 6 2" xfId="24551"/>
    <cellStyle name="Currency 4 6 3 7" xfId="24552"/>
    <cellStyle name="Currency 4 6 3 7 2" xfId="24553"/>
    <cellStyle name="Currency 4 6 3 8" xfId="24554"/>
    <cellStyle name="Currency 4 6 3 8 2" xfId="24555"/>
    <cellStyle name="Currency 4 6 3 9" xfId="24556"/>
    <cellStyle name="Currency 4 6 4" xfId="24557"/>
    <cellStyle name="Currency 4 6 4 2" xfId="24558"/>
    <cellStyle name="Currency 4 6 4 2 2" xfId="24559"/>
    <cellStyle name="Currency 4 6 4 3" xfId="24560"/>
    <cellStyle name="Currency 4 6 4 3 2" xfId="24561"/>
    <cellStyle name="Currency 4 6 4 4" xfId="24562"/>
    <cellStyle name="Currency 4 6 4 4 2" xfId="24563"/>
    <cellStyle name="Currency 4 6 4 5" xfId="24564"/>
    <cellStyle name="Currency 4 6 4 6" xfId="24565"/>
    <cellStyle name="Currency 4 6 5" xfId="24566"/>
    <cellStyle name="Currency 4 6 5 2" xfId="24567"/>
    <cellStyle name="Currency 4 6 5 2 2" xfId="24568"/>
    <cellStyle name="Currency 4 6 5 3" xfId="24569"/>
    <cellStyle name="Currency 4 6 5 3 2" xfId="24570"/>
    <cellStyle name="Currency 4 6 5 4" xfId="24571"/>
    <cellStyle name="Currency 4 6 5 4 2" xfId="24572"/>
    <cellStyle name="Currency 4 6 5 5" xfId="24573"/>
    <cellStyle name="Currency 4 6 5 6" xfId="24574"/>
    <cellStyle name="Currency 4 6 6" xfId="24575"/>
    <cellStyle name="Currency 4 6 6 2" xfId="24576"/>
    <cellStyle name="Currency 4 6 6 2 2" xfId="24577"/>
    <cellStyle name="Currency 4 6 6 3" xfId="24578"/>
    <cellStyle name="Currency 4 6 6 3 2" xfId="24579"/>
    <cellStyle name="Currency 4 6 6 4" xfId="24580"/>
    <cellStyle name="Currency 4 6 6 4 2" xfId="24581"/>
    <cellStyle name="Currency 4 6 6 5" xfId="24582"/>
    <cellStyle name="Currency 4 6 6 6" xfId="24583"/>
    <cellStyle name="Currency 4 6 7" xfId="24584"/>
    <cellStyle name="Currency 4 6 7 2" xfId="24585"/>
    <cellStyle name="Currency 4 6 7 2 2" xfId="24586"/>
    <cellStyle name="Currency 4 6 7 3" xfId="24587"/>
    <cellStyle name="Currency 4 6 7 3 2" xfId="24588"/>
    <cellStyle name="Currency 4 6 7 4" xfId="24589"/>
    <cellStyle name="Currency 4 6 7 5" xfId="24590"/>
    <cellStyle name="Currency 4 6 8" xfId="24591"/>
    <cellStyle name="Currency 4 6 8 2" xfId="24592"/>
    <cellStyle name="Currency 4 6 9" xfId="24593"/>
    <cellStyle name="Currency 4 6 9 2" xfId="24594"/>
    <cellStyle name="Currency 4 7" xfId="24595"/>
    <cellStyle name="Currency 4 7 10" xfId="24596"/>
    <cellStyle name="Currency 4 7 11" xfId="24597"/>
    <cellStyle name="Currency 4 7 2" xfId="24598"/>
    <cellStyle name="Currency 4 7 2 2" xfId="24599"/>
    <cellStyle name="Currency 4 7 2 2 2" xfId="24600"/>
    <cellStyle name="Currency 4 7 2 3" xfId="24601"/>
    <cellStyle name="Currency 4 7 2 3 2" xfId="24602"/>
    <cellStyle name="Currency 4 7 2 4" xfId="24603"/>
    <cellStyle name="Currency 4 7 2 4 2" xfId="24604"/>
    <cellStyle name="Currency 4 7 2 5" xfId="24605"/>
    <cellStyle name="Currency 4 7 2 6" xfId="24606"/>
    <cellStyle name="Currency 4 7 3" xfId="24607"/>
    <cellStyle name="Currency 4 7 3 2" xfId="24608"/>
    <cellStyle name="Currency 4 7 3 2 2" xfId="24609"/>
    <cellStyle name="Currency 4 7 3 3" xfId="24610"/>
    <cellStyle name="Currency 4 7 3 3 2" xfId="24611"/>
    <cellStyle name="Currency 4 7 3 4" xfId="24612"/>
    <cellStyle name="Currency 4 7 3 4 2" xfId="24613"/>
    <cellStyle name="Currency 4 7 3 5" xfId="24614"/>
    <cellStyle name="Currency 4 7 3 6" xfId="24615"/>
    <cellStyle name="Currency 4 7 4" xfId="24616"/>
    <cellStyle name="Currency 4 7 4 2" xfId="24617"/>
    <cellStyle name="Currency 4 7 4 2 2" xfId="24618"/>
    <cellStyle name="Currency 4 7 4 3" xfId="24619"/>
    <cellStyle name="Currency 4 7 4 3 2" xfId="24620"/>
    <cellStyle name="Currency 4 7 4 4" xfId="24621"/>
    <cellStyle name="Currency 4 7 4 4 2" xfId="24622"/>
    <cellStyle name="Currency 4 7 4 5" xfId="24623"/>
    <cellStyle name="Currency 4 7 4 6" xfId="24624"/>
    <cellStyle name="Currency 4 7 5" xfId="24625"/>
    <cellStyle name="Currency 4 7 5 2" xfId="24626"/>
    <cellStyle name="Currency 4 7 5 2 2" xfId="24627"/>
    <cellStyle name="Currency 4 7 5 3" xfId="24628"/>
    <cellStyle name="Currency 4 7 5 3 2" xfId="24629"/>
    <cellStyle name="Currency 4 7 5 4" xfId="24630"/>
    <cellStyle name="Currency 4 7 5 4 2" xfId="24631"/>
    <cellStyle name="Currency 4 7 5 5" xfId="24632"/>
    <cellStyle name="Currency 4 7 5 6" xfId="24633"/>
    <cellStyle name="Currency 4 7 6" xfId="24634"/>
    <cellStyle name="Currency 4 7 6 2" xfId="24635"/>
    <cellStyle name="Currency 4 7 6 2 2" xfId="24636"/>
    <cellStyle name="Currency 4 7 6 3" xfId="24637"/>
    <cellStyle name="Currency 4 7 6 3 2" xfId="24638"/>
    <cellStyle name="Currency 4 7 6 4" xfId="24639"/>
    <cellStyle name="Currency 4 7 6 5" xfId="24640"/>
    <cellStyle name="Currency 4 7 7" xfId="24641"/>
    <cellStyle name="Currency 4 7 7 2" xfId="24642"/>
    <cellStyle name="Currency 4 7 8" xfId="24643"/>
    <cellStyle name="Currency 4 7 8 2" xfId="24644"/>
    <cellStyle name="Currency 4 7 9" xfId="24645"/>
    <cellStyle name="Currency 4 7 9 2" xfId="24646"/>
    <cellStyle name="Currency 4 8" xfId="24647"/>
    <cellStyle name="Currency 4 8 10" xfId="24648"/>
    <cellStyle name="Currency 4 8 2" xfId="24649"/>
    <cellStyle name="Currency 4 8 2 2" xfId="24650"/>
    <cellStyle name="Currency 4 8 2 2 2" xfId="24651"/>
    <cellStyle name="Currency 4 8 2 3" xfId="24652"/>
    <cellStyle name="Currency 4 8 2 3 2" xfId="24653"/>
    <cellStyle name="Currency 4 8 2 4" xfId="24654"/>
    <cellStyle name="Currency 4 8 2 4 2" xfId="24655"/>
    <cellStyle name="Currency 4 8 2 5" xfId="24656"/>
    <cellStyle name="Currency 4 8 2 6" xfId="24657"/>
    <cellStyle name="Currency 4 8 3" xfId="24658"/>
    <cellStyle name="Currency 4 8 3 2" xfId="24659"/>
    <cellStyle name="Currency 4 8 3 2 2" xfId="24660"/>
    <cellStyle name="Currency 4 8 3 3" xfId="24661"/>
    <cellStyle name="Currency 4 8 3 3 2" xfId="24662"/>
    <cellStyle name="Currency 4 8 3 4" xfId="24663"/>
    <cellStyle name="Currency 4 8 3 4 2" xfId="24664"/>
    <cellStyle name="Currency 4 8 3 5" xfId="24665"/>
    <cellStyle name="Currency 4 8 3 6" xfId="24666"/>
    <cellStyle name="Currency 4 8 4" xfId="24667"/>
    <cellStyle name="Currency 4 8 4 2" xfId="24668"/>
    <cellStyle name="Currency 4 8 4 2 2" xfId="24669"/>
    <cellStyle name="Currency 4 8 4 3" xfId="24670"/>
    <cellStyle name="Currency 4 8 4 3 2" xfId="24671"/>
    <cellStyle name="Currency 4 8 4 4" xfId="24672"/>
    <cellStyle name="Currency 4 8 4 4 2" xfId="24673"/>
    <cellStyle name="Currency 4 8 4 5" xfId="24674"/>
    <cellStyle name="Currency 4 8 4 6" xfId="24675"/>
    <cellStyle name="Currency 4 8 5" xfId="24676"/>
    <cellStyle name="Currency 4 8 5 2" xfId="24677"/>
    <cellStyle name="Currency 4 8 5 2 2" xfId="24678"/>
    <cellStyle name="Currency 4 8 5 3" xfId="24679"/>
    <cellStyle name="Currency 4 8 5 3 2" xfId="24680"/>
    <cellStyle name="Currency 4 8 5 4" xfId="24681"/>
    <cellStyle name="Currency 4 8 5 5" xfId="24682"/>
    <cellStyle name="Currency 4 8 6" xfId="24683"/>
    <cellStyle name="Currency 4 8 6 2" xfId="24684"/>
    <cellStyle name="Currency 4 8 7" xfId="24685"/>
    <cellStyle name="Currency 4 8 7 2" xfId="24686"/>
    <cellStyle name="Currency 4 8 8" xfId="24687"/>
    <cellStyle name="Currency 4 8 8 2" xfId="24688"/>
    <cellStyle name="Currency 4 8 9" xfId="24689"/>
    <cellStyle name="Currency 4 9" xfId="24690"/>
    <cellStyle name="Currency 4 9 10" xfId="24691"/>
    <cellStyle name="Currency 4 9 2" xfId="24692"/>
    <cellStyle name="Currency 4 9 2 2" xfId="24693"/>
    <cellStyle name="Currency 4 9 2 2 2" xfId="24694"/>
    <cellStyle name="Currency 4 9 2 3" xfId="24695"/>
    <cellStyle name="Currency 4 9 2 3 2" xfId="24696"/>
    <cellStyle name="Currency 4 9 2 4" xfId="24697"/>
    <cellStyle name="Currency 4 9 2 4 2" xfId="24698"/>
    <cellStyle name="Currency 4 9 2 5" xfId="24699"/>
    <cellStyle name="Currency 4 9 2 6" xfId="24700"/>
    <cellStyle name="Currency 4 9 3" xfId="24701"/>
    <cellStyle name="Currency 4 9 3 2" xfId="24702"/>
    <cellStyle name="Currency 4 9 3 2 2" xfId="24703"/>
    <cellStyle name="Currency 4 9 3 3" xfId="24704"/>
    <cellStyle name="Currency 4 9 3 3 2" xfId="24705"/>
    <cellStyle name="Currency 4 9 3 4" xfId="24706"/>
    <cellStyle name="Currency 4 9 3 4 2" xfId="24707"/>
    <cellStyle name="Currency 4 9 3 5" xfId="24708"/>
    <cellStyle name="Currency 4 9 3 6" xfId="24709"/>
    <cellStyle name="Currency 4 9 4" xfId="24710"/>
    <cellStyle name="Currency 4 9 4 2" xfId="24711"/>
    <cellStyle name="Currency 4 9 4 2 2" xfId="24712"/>
    <cellStyle name="Currency 4 9 4 3" xfId="24713"/>
    <cellStyle name="Currency 4 9 4 3 2" xfId="24714"/>
    <cellStyle name="Currency 4 9 4 4" xfId="24715"/>
    <cellStyle name="Currency 4 9 4 4 2" xfId="24716"/>
    <cellStyle name="Currency 4 9 4 5" xfId="24717"/>
    <cellStyle name="Currency 4 9 4 6" xfId="24718"/>
    <cellStyle name="Currency 4 9 5" xfId="24719"/>
    <cellStyle name="Currency 4 9 5 2" xfId="24720"/>
    <cellStyle name="Currency 4 9 5 2 2" xfId="24721"/>
    <cellStyle name="Currency 4 9 5 3" xfId="24722"/>
    <cellStyle name="Currency 4 9 5 3 2" xfId="24723"/>
    <cellStyle name="Currency 4 9 5 4" xfId="24724"/>
    <cellStyle name="Currency 4 9 5 5" xfId="24725"/>
    <cellStyle name="Currency 4 9 6" xfId="24726"/>
    <cellStyle name="Currency 4 9 6 2" xfId="24727"/>
    <cellStyle name="Currency 4 9 7" xfId="24728"/>
    <cellStyle name="Currency 4 9 7 2" xfId="24729"/>
    <cellStyle name="Currency 4 9 8" xfId="24730"/>
    <cellStyle name="Currency 4 9 8 2" xfId="24731"/>
    <cellStyle name="Currency 4 9 9" xfId="24732"/>
    <cellStyle name="Currency 5" xfId="1475"/>
    <cellStyle name="Currency0" xfId="11696"/>
    <cellStyle name="Currency0 2" xfId="24733"/>
    <cellStyle name="Currency0 3" xfId="24734"/>
    <cellStyle name="Currency0 4" xfId="24735"/>
    <cellStyle name="Currency0 5" xfId="24736"/>
    <cellStyle name="Currency0 6" xfId="24737"/>
    <cellStyle name="Currency0 7" xfId="17690"/>
    <cellStyle name="Currency2" xfId="11697"/>
    <cellStyle name="Date" xfId="11698"/>
    <cellStyle name="Date 2" xfId="24739"/>
    <cellStyle name="Date 3" xfId="24738"/>
    <cellStyle name="DateHeading" xfId="24740"/>
    <cellStyle name="Dezimal [0]_fee projec" xfId="11699"/>
    <cellStyle name="Dezimal_fee projec" xfId="11700"/>
    <cellStyle name="Error" xfId="11701"/>
    <cellStyle name="Errortest" xfId="11702"/>
    <cellStyle name="Euro" xfId="24741"/>
    <cellStyle name="Euro 2" xfId="24742"/>
    <cellStyle name="Explanatory Text" xfId="9262" builtinId="53" customBuiltin="1"/>
    <cellStyle name="Explanatory Text 2" xfId="1476"/>
    <cellStyle name="Explanatory Text 2 2" xfId="24743"/>
    <cellStyle name="Explanatory Text 3" xfId="24744"/>
    <cellStyle name="f" xfId="11703"/>
    <cellStyle name="f_vlookup" xfId="11704"/>
    <cellStyle name="File Input Cell" xfId="11705"/>
    <cellStyle name="Fixed" xfId="11706"/>
    <cellStyle name="Fixed 2" xfId="24746"/>
    <cellStyle name="Fixed 3" xfId="24745"/>
    <cellStyle name="Fixed Inputs from Catawba Contracts" xfId="11707"/>
    <cellStyle name="Fixed Inputs from Catawba Contracts 2" xfId="14992"/>
    <cellStyle name="Fixed Inputs from Catawba Contracts 3" xfId="15032"/>
    <cellStyle name="Fixed Inputs from Catawba Contracts 4" xfId="12370"/>
    <cellStyle name="Fixed Inputs from Catawba Contracts 5" xfId="15019"/>
    <cellStyle name="Fixed Inputs from Catawba Contracts 6" xfId="12361"/>
    <cellStyle name="Fixed Inputs from Catawba Contracts 7" xfId="15008"/>
    <cellStyle name="Fixed Inputs from Catawba Contracts 8" xfId="15009"/>
    <cellStyle name="Fixed Inputs from Catawba Contracts 9" xfId="15000"/>
    <cellStyle name="Good" xfId="9253" builtinId="26" customBuiltin="1"/>
    <cellStyle name="Good 2" xfId="1477"/>
    <cellStyle name="Good 2 2" xfId="24747"/>
    <cellStyle name="Good 3" xfId="24748"/>
    <cellStyle name="Grey" xfId="11708"/>
    <cellStyle name="Grey 2" xfId="24749"/>
    <cellStyle name="Grey 3" xfId="24750"/>
    <cellStyle name="Grey 4" xfId="24751"/>
    <cellStyle name="Grey 5" xfId="24752"/>
    <cellStyle name="HEADER" xfId="11709"/>
    <cellStyle name="Header1" xfId="11710"/>
    <cellStyle name="Header2" xfId="11711"/>
    <cellStyle name="Header2 2" xfId="14993"/>
    <cellStyle name="Header2 3" xfId="15033"/>
    <cellStyle name="Header2 4" xfId="12371"/>
    <cellStyle name="Header2 5" xfId="15014"/>
    <cellStyle name="Header2 6" xfId="12358"/>
    <cellStyle name="Header2 7" xfId="12332"/>
    <cellStyle name="Header2 8" xfId="12355"/>
    <cellStyle name="Header2 9" xfId="12335"/>
    <cellStyle name="Heading" xfId="24753"/>
    <cellStyle name="Heading 1" xfId="9249" builtinId="16" customBuiltin="1"/>
    <cellStyle name="Heading 1 2" xfId="1478"/>
    <cellStyle name="Heading 1 2 2" xfId="24755"/>
    <cellStyle name="Heading 1 2 3" xfId="24754"/>
    <cellStyle name="Heading 1 3" xfId="24756"/>
    <cellStyle name="Heading 1 3 2" xfId="24757"/>
    <cellStyle name="Heading 2" xfId="9250" builtinId="17" customBuiltin="1"/>
    <cellStyle name="Heading 2 2" xfId="1479"/>
    <cellStyle name="Heading 2 2 2" xfId="24759"/>
    <cellStyle name="Heading 2 2 3" xfId="24758"/>
    <cellStyle name="Heading 2 3" xfId="24760"/>
    <cellStyle name="Heading 2 3 2" xfId="24761"/>
    <cellStyle name="Heading 3" xfId="9251" builtinId="18" customBuiltin="1"/>
    <cellStyle name="Heading 3 2" xfId="1480"/>
    <cellStyle name="Heading 3 2 2" xfId="24762"/>
    <cellStyle name="Heading 3 3" xfId="24763"/>
    <cellStyle name="Heading 4" xfId="9252" builtinId="19" customBuiltin="1"/>
    <cellStyle name="Heading 4 2" xfId="1481"/>
    <cellStyle name="Heading 4 2 2" xfId="24764"/>
    <cellStyle name="Heading 4 3" xfId="24765"/>
    <cellStyle name="Heading1" xfId="11712"/>
    <cellStyle name="Heading2" xfId="11713"/>
    <cellStyle name="HEADINGS" xfId="24766"/>
    <cellStyle name="Highlight" xfId="1482"/>
    <cellStyle name="HIGHLIGHT 2" xfId="24767"/>
    <cellStyle name="Historical Inputs" xfId="11714"/>
    <cellStyle name="Hot Inputs" xfId="11715"/>
    <cellStyle name="Hot Inputs 2" xfId="14994"/>
    <cellStyle name="Hot Inputs 3" xfId="15034"/>
    <cellStyle name="Hot Inputs 4" xfId="12372"/>
    <cellStyle name="Hot Inputs 5" xfId="14985"/>
    <cellStyle name="Hot Inputs 6" xfId="15007"/>
    <cellStyle name="Hot Inputs 7" xfId="15013"/>
    <cellStyle name="Hot Inputs 8" xfId="12357"/>
    <cellStyle name="Hot Inputs 9" xfId="15022"/>
    <cellStyle name="Imported data from another worksheet" xfId="11716"/>
    <cellStyle name="Imported data from another worksheet 2" xfId="14995"/>
    <cellStyle name="Imported data from another worksheet 3" xfId="15035"/>
    <cellStyle name="Imported data from another worksheet 4" xfId="12373"/>
    <cellStyle name="Imported data from another worksheet 5" xfId="15017"/>
    <cellStyle name="Imported data from another worksheet 6" xfId="12360"/>
    <cellStyle name="Imported data from another worksheet 7" xfId="12331"/>
    <cellStyle name="Imported data from another worksheet 8" xfId="12356"/>
    <cellStyle name="Imported data from another worksheet 9" xfId="14990"/>
    <cellStyle name="inc/dec" xfId="11717"/>
    <cellStyle name="IndirectReference" xfId="11718"/>
    <cellStyle name="Input" xfId="9256" builtinId="20" customBuiltin="1"/>
    <cellStyle name="Input [yellow]" xfId="11719"/>
    <cellStyle name="Input [yellow] 10" xfId="15094"/>
    <cellStyle name="Input [yellow] 2" xfId="14996"/>
    <cellStyle name="Input [yellow] 2 2" xfId="24769"/>
    <cellStyle name="Input [yellow] 3" xfId="15036"/>
    <cellStyle name="Input [yellow] 3 2" xfId="24770"/>
    <cellStyle name="Input [yellow] 4" xfId="12374"/>
    <cellStyle name="Input [yellow] 5" xfId="12323"/>
    <cellStyle name="Input [yellow] 5 2" xfId="24771"/>
    <cellStyle name="Input [yellow] 6" xfId="12324"/>
    <cellStyle name="Input [yellow] 6 2" xfId="24768"/>
    <cellStyle name="Input [yellow] 7" xfId="14986"/>
    <cellStyle name="Input [yellow] 8" xfId="15011"/>
    <cellStyle name="Input [yellow] 9" xfId="12336"/>
    <cellStyle name="Input 10" xfId="24772"/>
    <cellStyle name="Input 11" xfId="24773"/>
    <cellStyle name="Input 12" xfId="24774"/>
    <cellStyle name="Input 13" xfId="24775"/>
    <cellStyle name="Input 14" xfId="24776"/>
    <cellStyle name="Input 15" xfId="24777"/>
    <cellStyle name="Input 16" xfId="24778"/>
    <cellStyle name="Input 17" xfId="24779"/>
    <cellStyle name="Input 18" xfId="24780"/>
    <cellStyle name="Input 19" xfId="24781"/>
    <cellStyle name="Input 2" xfId="1483"/>
    <cellStyle name="Input 2 2" xfId="24782"/>
    <cellStyle name="Input 20" xfId="24783"/>
    <cellStyle name="Input 21" xfId="24784"/>
    <cellStyle name="Input 22" xfId="17668"/>
    <cellStyle name="Input 3" xfId="11720"/>
    <cellStyle name="Input 3 2" xfId="24785"/>
    <cellStyle name="Input 4" xfId="11721"/>
    <cellStyle name="Input 4 2" xfId="24786"/>
    <cellStyle name="Input 5" xfId="11722"/>
    <cellStyle name="Input 5 2" xfId="24787"/>
    <cellStyle name="Input 6" xfId="11723"/>
    <cellStyle name="Input 6 2" xfId="24788"/>
    <cellStyle name="Input 7" xfId="24789"/>
    <cellStyle name="Input 8" xfId="24790"/>
    <cellStyle name="Input 9" xfId="24791"/>
    <cellStyle name="Input Percent" xfId="11724"/>
    <cellStyle name="Input Percent 2" xfId="14997"/>
    <cellStyle name="Input Percent 3" xfId="15037"/>
    <cellStyle name="Input Percent 4" xfId="12375"/>
    <cellStyle name="Input Percent 5" xfId="12330"/>
    <cellStyle name="Input Percent 6" xfId="15001"/>
    <cellStyle name="Input Percent 7" xfId="12334"/>
    <cellStyle name="Input Percent 8" xfId="12353"/>
    <cellStyle name="Input Percent 9" xfId="15026"/>
    <cellStyle name="inputarea" xfId="11725"/>
    <cellStyle name="INPUTS" xfId="24792"/>
    <cellStyle name="INPUTS 2" xfId="24793"/>
    <cellStyle name="INPUTS 3" xfId="24794"/>
    <cellStyle name="Inputs2" xfId="24795"/>
    <cellStyle name="Lines" xfId="11726"/>
    <cellStyle name="Linked Cell" xfId="9259" builtinId="24" customBuiltin="1"/>
    <cellStyle name="Linked Cell 2" xfId="1484"/>
    <cellStyle name="Linked Cell 2 2" xfId="24796"/>
    <cellStyle name="Linked Cell 3" xfId="24797"/>
    <cellStyle name="Manual Input" xfId="11727"/>
    <cellStyle name="Manual Input Cell" xfId="11728"/>
    <cellStyle name="Manual Input Cell 2" xfId="14998"/>
    <cellStyle name="Manual Input Cell 3" xfId="15038"/>
    <cellStyle name="Manual Input Cell 4" xfId="12376"/>
    <cellStyle name="Manual Input Cell 5" xfId="15020"/>
    <cellStyle name="Manual Input Cell 6" xfId="12362"/>
    <cellStyle name="Manual Input Cell 7" xfId="12322"/>
    <cellStyle name="Manual Input Cell 8" xfId="12325"/>
    <cellStyle name="Manual Input Cell 9" xfId="12354"/>
    <cellStyle name="mennu bar" xfId="11729"/>
    <cellStyle name="mennu bar 2" xfId="14999"/>
    <cellStyle name="mennu bar 3" xfId="15039"/>
    <cellStyle name="mennu bar 4" xfId="12377"/>
    <cellStyle name="mennu bar 5" xfId="15012"/>
    <cellStyle name="mennu bar 6" xfId="15016"/>
    <cellStyle name="mennu bar 7" xfId="12359"/>
    <cellStyle name="mennu bar 8" xfId="15040"/>
    <cellStyle name="mennu bar 9" xfId="12328"/>
    <cellStyle name="Millares_prectav00" xfId="24798"/>
    <cellStyle name="Model Generated Cell" xfId="11730"/>
    <cellStyle name="ModGen" xfId="11731"/>
    <cellStyle name="Moneda [0]_prehcc00" xfId="24799"/>
    <cellStyle name="Moneda_prectav00" xfId="24800"/>
    <cellStyle name="Names" xfId="11732"/>
    <cellStyle name="Neutral" xfId="9255" builtinId="28" customBuiltin="1"/>
    <cellStyle name="Neutral 2" xfId="1485"/>
    <cellStyle name="Neutral 2 2" xfId="24801"/>
    <cellStyle name="Neutral 3" xfId="24802"/>
    <cellStyle name="no dec" xfId="11733"/>
    <cellStyle name="Normal" xfId="0" builtinId="0"/>
    <cellStyle name="Normal - Style1" xfId="11734"/>
    <cellStyle name="Normal 10" xfId="1486"/>
    <cellStyle name="Normal 10 10" xfId="24804"/>
    <cellStyle name="Normal 10 10 2" xfId="24805"/>
    <cellStyle name="Normal 10 10 2 2" xfId="24806"/>
    <cellStyle name="Normal 10 10 3" xfId="24807"/>
    <cellStyle name="Normal 10 10 3 2" xfId="24808"/>
    <cellStyle name="Normal 10 10 4" xfId="24809"/>
    <cellStyle name="Normal 10 10 4 2" xfId="24810"/>
    <cellStyle name="Normal 10 10 5" xfId="24811"/>
    <cellStyle name="Normal 10 10 6" xfId="24812"/>
    <cellStyle name="Normal 10 11" xfId="24813"/>
    <cellStyle name="Normal 10 11 2" xfId="24814"/>
    <cellStyle name="Normal 10 11 2 2" xfId="24815"/>
    <cellStyle name="Normal 10 11 3" xfId="24816"/>
    <cellStyle name="Normal 10 11 3 2" xfId="24817"/>
    <cellStyle name="Normal 10 11 4" xfId="24818"/>
    <cellStyle name="Normal 10 11 5" xfId="24819"/>
    <cellStyle name="Normal 10 12" xfId="24820"/>
    <cellStyle name="Normal 10 12 2" xfId="24821"/>
    <cellStyle name="Normal 10 13" xfId="24822"/>
    <cellStyle name="Normal 10 13 2" xfId="24823"/>
    <cellStyle name="Normal 10 14" xfId="24824"/>
    <cellStyle name="Normal 10 14 2" xfId="24825"/>
    <cellStyle name="Normal 10 15" xfId="24826"/>
    <cellStyle name="Normal 10 16" xfId="24827"/>
    <cellStyle name="Normal 10 17" xfId="24828"/>
    <cellStyle name="Normal 10 18" xfId="24803"/>
    <cellStyle name="Normal 10 2" xfId="11735"/>
    <cellStyle name="Normal 10 2 10" xfId="24830"/>
    <cellStyle name="Normal 10 2 10 2" xfId="24831"/>
    <cellStyle name="Normal 10 2 11" xfId="24832"/>
    <cellStyle name="Normal 10 2 11 2" xfId="24833"/>
    <cellStyle name="Normal 10 2 12" xfId="24834"/>
    <cellStyle name="Normal 10 2 13" xfId="24835"/>
    <cellStyle name="Normal 10 2 14" xfId="24836"/>
    <cellStyle name="Normal 10 2 15" xfId="24829"/>
    <cellStyle name="Normal 10 2 2" xfId="11736"/>
    <cellStyle name="Normal 10 2 2 10" xfId="24838"/>
    <cellStyle name="Normal 10 2 2 11" xfId="24839"/>
    <cellStyle name="Normal 10 2 2 12" xfId="24837"/>
    <cellStyle name="Normal 10 2 2 2" xfId="11737"/>
    <cellStyle name="Normal 10 2 2 2 2" xfId="11738"/>
    <cellStyle name="Normal 10 2 2 2 2 2" xfId="24842"/>
    <cellStyle name="Normal 10 2 2 2 2 3" xfId="24841"/>
    <cellStyle name="Normal 10 2 2 2 3" xfId="24843"/>
    <cellStyle name="Normal 10 2 2 2 3 2" xfId="24844"/>
    <cellStyle name="Normal 10 2 2 2 4" xfId="24845"/>
    <cellStyle name="Normal 10 2 2 2 4 2" xfId="24846"/>
    <cellStyle name="Normal 10 2 2 2 5" xfId="24847"/>
    <cellStyle name="Normal 10 2 2 2 6" xfId="24848"/>
    <cellStyle name="Normal 10 2 2 2 7" xfId="24840"/>
    <cellStyle name="Normal 10 2 2 3" xfId="11739"/>
    <cellStyle name="Normal 10 2 2 3 2" xfId="24850"/>
    <cellStyle name="Normal 10 2 2 3 2 2" xfId="24851"/>
    <cellStyle name="Normal 10 2 2 3 3" xfId="24852"/>
    <cellStyle name="Normal 10 2 2 3 3 2" xfId="24853"/>
    <cellStyle name="Normal 10 2 2 3 4" xfId="24854"/>
    <cellStyle name="Normal 10 2 2 3 4 2" xfId="24855"/>
    <cellStyle name="Normal 10 2 2 3 5" xfId="24856"/>
    <cellStyle name="Normal 10 2 2 3 6" xfId="24857"/>
    <cellStyle name="Normal 10 2 2 3 7" xfId="24849"/>
    <cellStyle name="Normal 10 2 2 4" xfId="11740"/>
    <cellStyle name="Normal 10 2 2 4 2" xfId="24859"/>
    <cellStyle name="Normal 10 2 2 4 2 2" xfId="24860"/>
    <cellStyle name="Normal 10 2 2 4 3" xfId="24861"/>
    <cellStyle name="Normal 10 2 2 4 3 2" xfId="24862"/>
    <cellStyle name="Normal 10 2 2 4 4" xfId="24863"/>
    <cellStyle name="Normal 10 2 2 4 4 2" xfId="24864"/>
    <cellStyle name="Normal 10 2 2 4 5" xfId="24865"/>
    <cellStyle name="Normal 10 2 2 4 6" xfId="24866"/>
    <cellStyle name="Normal 10 2 2 4 7" xfId="24858"/>
    <cellStyle name="Normal 10 2 2 5" xfId="24867"/>
    <cellStyle name="Normal 10 2 2 5 2" xfId="24868"/>
    <cellStyle name="Normal 10 2 2 5 2 2" xfId="24869"/>
    <cellStyle name="Normal 10 2 2 5 3" xfId="24870"/>
    <cellStyle name="Normal 10 2 2 5 3 2" xfId="24871"/>
    <cellStyle name="Normal 10 2 2 5 4" xfId="24872"/>
    <cellStyle name="Normal 10 2 2 5 4 2" xfId="24873"/>
    <cellStyle name="Normal 10 2 2 5 5" xfId="24874"/>
    <cellStyle name="Normal 10 2 2 5 6" xfId="24875"/>
    <cellStyle name="Normal 10 2 2 6" xfId="24876"/>
    <cellStyle name="Normal 10 2 2 6 2" xfId="24877"/>
    <cellStyle name="Normal 10 2 2 6 2 2" xfId="24878"/>
    <cellStyle name="Normal 10 2 2 6 3" xfId="24879"/>
    <cellStyle name="Normal 10 2 2 6 3 2" xfId="24880"/>
    <cellStyle name="Normal 10 2 2 6 4" xfId="24881"/>
    <cellStyle name="Normal 10 2 2 6 5" xfId="24882"/>
    <cellStyle name="Normal 10 2 2 7" xfId="24883"/>
    <cellStyle name="Normal 10 2 2 7 2" xfId="24884"/>
    <cellStyle name="Normal 10 2 2 8" xfId="24885"/>
    <cellStyle name="Normal 10 2 2 8 2" xfId="24886"/>
    <cellStyle name="Normal 10 2 2 9" xfId="24887"/>
    <cellStyle name="Normal 10 2 2 9 2" xfId="24888"/>
    <cellStyle name="Normal 10 2 3" xfId="11741"/>
    <cellStyle name="Normal 10 2 3 10" xfId="24890"/>
    <cellStyle name="Normal 10 2 3 11" xfId="24889"/>
    <cellStyle name="Normal 10 2 3 2" xfId="11742"/>
    <cellStyle name="Normal 10 2 3 2 2" xfId="24892"/>
    <cellStyle name="Normal 10 2 3 2 2 2" xfId="24893"/>
    <cellStyle name="Normal 10 2 3 2 3" xfId="24894"/>
    <cellStyle name="Normal 10 2 3 2 3 2" xfId="24895"/>
    <cellStyle name="Normal 10 2 3 2 4" xfId="24896"/>
    <cellStyle name="Normal 10 2 3 2 4 2" xfId="24897"/>
    <cellStyle name="Normal 10 2 3 2 5" xfId="24898"/>
    <cellStyle name="Normal 10 2 3 2 6" xfId="24899"/>
    <cellStyle name="Normal 10 2 3 2 7" xfId="24891"/>
    <cellStyle name="Normal 10 2 3 3" xfId="24900"/>
    <cellStyle name="Normal 10 2 3 3 2" xfId="24901"/>
    <cellStyle name="Normal 10 2 3 3 2 2" xfId="24902"/>
    <cellStyle name="Normal 10 2 3 3 3" xfId="24903"/>
    <cellStyle name="Normal 10 2 3 3 3 2" xfId="24904"/>
    <cellStyle name="Normal 10 2 3 3 4" xfId="24905"/>
    <cellStyle name="Normal 10 2 3 3 4 2" xfId="24906"/>
    <cellStyle name="Normal 10 2 3 3 5" xfId="24907"/>
    <cellStyle name="Normal 10 2 3 3 6" xfId="24908"/>
    <cellStyle name="Normal 10 2 3 4" xfId="24909"/>
    <cellStyle name="Normal 10 2 3 4 2" xfId="24910"/>
    <cellStyle name="Normal 10 2 3 4 2 2" xfId="24911"/>
    <cellStyle name="Normal 10 2 3 4 3" xfId="24912"/>
    <cellStyle name="Normal 10 2 3 4 3 2" xfId="24913"/>
    <cellStyle name="Normal 10 2 3 4 4" xfId="24914"/>
    <cellStyle name="Normal 10 2 3 4 4 2" xfId="24915"/>
    <cellStyle name="Normal 10 2 3 4 5" xfId="24916"/>
    <cellStyle name="Normal 10 2 3 4 6" xfId="24917"/>
    <cellStyle name="Normal 10 2 3 5" xfId="24918"/>
    <cellStyle name="Normal 10 2 3 5 2" xfId="24919"/>
    <cellStyle name="Normal 10 2 3 5 2 2" xfId="24920"/>
    <cellStyle name="Normal 10 2 3 5 3" xfId="24921"/>
    <cellStyle name="Normal 10 2 3 5 3 2" xfId="24922"/>
    <cellStyle name="Normal 10 2 3 5 4" xfId="24923"/>
    <cellStyle name="Normal 10 2 3 5 5" xfId="24924"/>
    <cellStyle name="Normal 10 2 3 6" xfId="24925"/>
    <cellStyle name="Normal 10 2 3 6 2" xfId="24926"/>
    <cellStyle name="Normal 10 2 3 7" xfId="24927"/>
    <cellStyle name="Normal 10 2 3 7 2" xfId="24928"/>
    <cellStyle name="Normal 10 2 3 8" xfId="24929"/>
    <cellStyle name="Normal 10 2 3 8 2" xfId="24930"/>
    <cellStyle name="Normal 10 2 3 9" xfId="24931"/>
    <cellStyle name="Normal 10 2 4" xfId="11743"/>
    <cellStyle name="Normal 10 2 4 10" xfId="24933"/>
    <cellStyle name="Normal 10 2 4 11" xfId="24932"/>
    <cellStyle name="Normal 10 2 4 2" xfId="24934"/>
    <cellStyle name="Normal 10 2 4 2 2" xfId="24935"/>
    <cellStyle name="Normal 10 2 4 2 2 2" xfId="24936"/>
    <cellStyle name="Normal 10 2 4 2 3" xfId="24937"/>
    <cellStyle name="Normal 10 2 4 2 3 2" xfId="24938"/>
    <cellStyle name="Normal 10 2 4 2 4" xfId="24939"/>
    <cellStyle name="Normal 10 2 4 2 4 2" xfId="24940"/>
    <cellStyle name="Normal 10 2 4 2 5" xfId="24941"/>
    <cellStyle name="Normal 10 2 4 2 6" xfId="24942"/>
    <cellStyle name="Normal 10 2 4 3" xfId="24943"/>
    <cellStyle name="Normal 10 2 4 3 2" xfId="24944"/>
    <cellStyle name="Normal 10 2 4 3 2 2" xfId="24945"/>
    <cellStyle name="Normal 10 2 4 3 3" xfId="24946"/>
    <cellStyle name="Normal 10 2 4 3 3 2" xfId="24947"/>
    <cellStyle name="Normal 10 2 4 3 4" xfId="24948"/>
    <cellStyle name="Normal 10 2 4 3 4 2" xfId="24949"/>
    <cellStyle name="Normal 10 2 4 3 5" xfId="24950"/>
    <cellStyle name="Normal 10 2 4 3 6" xfId="24951"/>
    <cellStyle name="Normal 10 2 4 4" xfId="24952"/>
    <cellStyle name="Normal 10 2 4 4 2" xfId="24953"/>
    <cellStyle name="Normal 10 2 4 4 2 2" xfId="24954"/>
    <cellStyle name="Normal 10 2 4 4 3" xfId="24955"/>
    <cellStyle name="Normal 10 2 4 4 3 2" xfId="24956"/>
    <cellStyle name="Normal 10 2 4 4 4" xfId="24957"/>
    <cellStyle name="Normal 10 2 4 4 4 2" xfId="24958"/>
    <cellStyle name="Normal 10 2 4 4 5" xfId="24959"/>
    <cellStyle name="Normal 10 2 4 4 6" xfId="24960"/>
    <cellStyle name="Normal 10 2 4 5" xfId="24961"/>
    <cellStyle name="Normal 10 2 4 5 2" xfId="24962"/>
    <cellStyle name="Normal 10 2 4 5 2 2" xfId="24963"/>
    <cellStyle name="Normal 10 2 4 5 3" xfId="24964"/>
    <cellStyle name="Normal 10 2 4 5 3 2" xfId="24965"/>
    <cellStyle name="Normal 10 2 4 5 4" xfId="24966"/>
    <cellStyle name="Normal 10 2 4 5 5" xfId="24967"/>
    <cellStyle name="Normal 10 2 4 6" xfId="24968"/>
    <cellStyle name="Normal 10 2 4 6 2" xfId="24969"/>
    <cellStyle name="Normal 10 2 4 7" xfId="24970"/>
    <cellStyle name="Normal 10 2 4 7 2" xfId="24971"/>
    <cellStyle name="Normal 10 2 4 8" xfId="24972"/>
    <cellStyle name="Normal 10 2 4 8 2" xfId="24973"/>
    <cellStyle name="Normal 10 2 4 9" xfId="24974"/>
    <cellStyle name="Normal 10 2 5" xfId="11744"/>
    <cellStyle name="Normal 10 2 5 2" xfId="24976"/>
    <cellStyle name="Normal 10 2 5 2 2" xfId="24977"/>
    <cellStyle name="Normal 10 2 5 3" xfId="24978"/>
    <cellStyle name="Normal 10 2 5 3 2" xfId="24979"/>
    <cellStyle name="Normal 10 2 5 4" xfId="24980"/>
    <cellStyle name="Normal 10 2 5 4 2" xfId="24981"/>
    <cellStyle name="Normal 10 2 5 5" xfId="24982"/>
    <cellStyle name="Normal 10 2 5 6" xfId="24983"/>
    <cellStyle name="Normal 10 2 5 7" xfId="24975"/>
    <cellStyle name="Normal 10 2 6" xfId="24984"/>
    <cellStyle name="Normal 10 2 6 2" xfId="24985"/>
    <cellStyle name="Normal 10 2 6 2 2" xfId="24986"/>
    <cellStyle name="Normal 10 2 6 3" xfId="24987"/>
    <cellStyle name="Normal 10 2 6 3 2" xfId="24988"/>
    <cellStyle name="Normal 10 2 6 4" xfId="24989"/>
    <cellStyle name="Normal 10 2 6 4 2" xfId="24990"/>
    <cellStyle name="Normal 10 2 6 5" xfId="24991"/>
    <cellStyle name="Normal 10 2 6 6" xfId="24992"/>
    <cellStyle name="Normal 10 2 7" xfId="24993"/>
    <cellStyle name="Normal 10 2 7 2" xfId="24994"/>
    <cellStyle name="Normal 10 2 7 2 2" xfId="24995"/>
    <cellStyle name="Normal 10 2 7 3" xfId="24996"/>
    <cellStyle name="Normal 10 2 7 3 2" xfId="24997"/>
    <cellStyle name="Normal 10 2 7 4" xfId="24998"/>
    <cellStyle name="Normal 10 2 7 4 2" xfId="24999"/>
    <cellStyle name="Normal 10 2 7 5" xfId="25000"/>
    <cellStyle name="Normal 10 2 7 6" xfId="25001"/>
    <cellStyle name="Normal 10 2 8" xfId="25002"/>
    <cellStyle name="Normal 10 2 8 2" xfId="25003"/>
    <cellStyle name="Normal 10 2 8 2 2" xfId="25004"/>
    <cellStyle name="Normal 10 2 8 3" xfId="25005"/>
    <cellStyle name="Normal 10 2 8 3 2" xfId="25006"/>
    <cellStyle name="Normal 10 2 8 4" xfId="25007"/>
    <cellStyle name="Normal 10 2 8 5" xfId="25008"/>
    <cellStyle name="Normal 10 2 9" xfId="25009"/>
    <cellStyle name="Normal 10 2 9 2" xfId="25010"/>
    <cellStyle name="Normal 10 3" xfId="11745"/>
    <cellStyle name="Normal 10 3 10" xfId="25012"/>
    <cellStyle name="Normal 10 3 10 2" xfId="25013"/>
    <cellStyle name="Normal 10 3 11" xfId="25014"/>
    <cellStyle name="Normal 10 3 11 2" xfId="25015"/>
    <cellStyle name="Normal 10 3 12" xfId="25016"/>
    <cellStyle name="Normal 10 3 13" xfId="25017"/>
    <cellStyle name="Normal 10 3 14" xfId="25011"/>
    <cellStyle name="Normal 10 3 2" xfId="11746"/>
    <cellStyle name="Normal 10 3 2 10" xfId="25019"/>
    <cellStyle name="Normal 10 3 2 11" xfId="25020"/>
    <cellStyle name="Normal 10 3 2 12" xfId="25018"/>
    <cellStyle name="Normal 10 3 2 2" xfId="11747"/>
    <cellStyle name="Normal 10 3 2 2 2" xfId="25022"/>
    <cellStyle name="Normal 10 3 2 2 2 2" xfId="25023"/>
    <cellStyle name="Normal 10 3 2 2 3" xfId="25024"/>
    <cellStyle name="Normal 10 3 2 2 3 2" xfId="25025"/>
    <cellStyle name="Normal 10 3 2 2 4" xfId="25026"/>
    <cellStyle name="Normal 10 3 2 2 4 2" xfId="25027"/>
    <cellStyle name="Normal 10 3 2 2 5" xfId="25028"/>
    <cellStyle name="Normal 10 3 2 2 6" xfId="25029"/>
    <cellStyle name="Normal 10 3 2 2 7" xfId="25021"/>
    <cellStyle name="Normal 10 3 2 3" xfId="25030"/>
    <cellStyle name="Normal 10 3 2 3 2" xfId="25031"/>
    <cellStyle name="Normal 10 3 2 3 2 2" xfId="25032"/>
    <cellStyle name="Normal 10 3 2 3 3" xfId="25033"/>
    <cellStyle name="Normal 10 3 2 3 3 2" xfId="25034"/>
    <cellStyle name="Normal 10 3 2 3 4" xfId="25035"/>
    <cellStyle name="Normal 10 3 2 3 4 2" xfId="25036"/>
    <cellStyle name="Normal 10 3 2 3 5" xfId="25037"/>
    <cellStyle name="Normal 10 3 2 3 6" xfId="25038"/>
    <cellStyle name="Normal 10 3 2 4" xfId="25039"/>
    <cellStyle name="Normal 10 3 2 4 2" xfId="25040"/>
    <cellStyle name="Normal 10 3 2 4 2 2" xfId="25041"/>
    <cellStyle name="Normal 10 3 2 4 3" xfId="25042"/>
    <cellStyle name="Normal 10 3 2 4 3 2" xfId="25043"/>
    <cellStyle name="Normal 10 3 2 4 4" xfId="25044"/>
    <cellStyle name="Normal 10 3 2 4 4 2" xfId="25045"/>
    <cellStyle name="Normal 10 3 2 4 5" xfId="25046"/>
    <cellStyle name="Normal 10 3 2 4 6" xfId="25047"/>
    <cellStyle name="Normal 10 3 2 5" xfId="25048"/>
    <cellStyle name="Normal 10 3 2 5 2" xfId="25049"/>
    <cellStyle name="Normal 10 3 2 5 2 2" xfId="25050"/>
    <cellStyle name="Normal 10 3 2 5 3" xfId="25051"/>
    <cellStyle name="Normal 10 3 2 5 3 2" xfId="25052"/>
    <cellStyle name="Normal 10 3 2 5 4" xfId="25053"/>
    <cellStyle name="Normal 10 3 2 5 4 2" xfId="25054"/>
    <cellStyle name="Normal 10 3 2 5 5" xfId="25055"/>
    <cellStyle name="Normal 10 3 2 5 6" xfId="25056"/>
    <cellStyle name="Normal 10 3 2 6" xfId="25057"/>
    <cellStyle name="Normal 10 3 2 6 2" xfId="25058"/>
    <cellStyle name="Normal 10 3 2 6 2 2" xfId="25059"/>
    <cellStyle name="Normal 10 3 2 6 3" xfId="25060"/>
    <cellStyle name="Normal 10 3 2 6 3 2" xfId="25061"/>
    <cellStyle name="Normal 10 3 2 6 4" xfId="25062"/>
    <cellStyle name="Normal 10 3 2 6 5" xfId="25063"/>
    <cellStyle name="Normal 10 3 2 7" xfId="25064"/>
    <cellStyle name="Normal 10 3 2 7 2" xfId="25065"/>
    <cellStyle name="Normal 10 3 2 8" xfId="25066"/>
    <cellStyle name="Normal 10 3 2 8 2" xfId="25067"/>
    <cellStyle name="Normal 10 3 2 9" xfId="25068"/>
    <cellStyle name="Normal 10 3 2 9 2" xfId="25069"/>
    <cellStyle name="Normal 10 3 3" xfId="11748"/>
    <cellStyle name="Normal 10 3 3 10" xfId="25071"/>
    <cellStyle name="Normal 10 3 3 11" xfId="25070"/>
    <cellStyle name="Normal 10 3 3 2" xfId="25072"/>
    <cellStyle name="Normal 10 3 3 2 2" xfId="25073"/>
    <cellStyle name="Normal 10 3 3 2 2 2" xfId="25074"/>
    <cellStyle name="Normal 10 3 3 2 3" xfId="25075"/>
    <cellStyle name="Normal 10 3 3 2 3 2" xfId="25076"/>
    <cellStyle name="Normal 10 3 3 2 4" xfId="25077"/>
    <cellStyle name="Normal 10 3 3 2 4 2" xfId="25078"/>
    <cellStyle name="Normal 10 3 3 2 5" xfId="25079"/>
    <cellStyle name="Normal 10 3 3 2 6" xfId="25080"/>
    <cellStyle name="Normal 10 3 3 3" xfId="25081"/>
    <cellStyle name="Normal 10 3 3 3 2" xfId="25082"/>
    <cellStyle name="Normal 10 3 3 3 2 2" xfId="25083"/>
    <cellStyle name="Normal 10 3 3 3 3" xfId="25084"/>
    <cellStyle name="Normal 10 3 3 3 3 2" xfId="25085"/>
    <cellStyle name="Normal 10 3 3 3 4" xfId="25086"/>
    <cellStyle name="Normal 10 3 3 3 4 2" xfId="25087"/>
    <cellStyle name="Normal 10 3 3 3 5" xfId="25088"/>
    <cellStyle name="Normal 10 3 3 3 6" xfId="25089"/>
    <cellStyle name="Normal 10 3 3 4" xfId="25090"/>
    <cellStyle name="Normal 10 3 3 4 2" xfId="25091"/>
    <cellStyle name="Normal 10 3 3 4 2 2" xfId="25092"/>
    <cellStyle name="Normal 10 3 3 4 3" xfId="25093"/>
    <cellStyle name="Normal 10 3 3 4 3 2" xfId="25094"/>
    <cellStyle name="Normal 10 3 3 4 4" xfId="25095"/>
    <cellStyle name="Normal 10 3 3 4 4 2" xfId="25096"/>
    <cellStyle name="Normal 10 3 3 4 5" xfId="25097"/>
    <cellStyle name="Normal 10 3 3 4 6" xfId="25098"/>
    <cellStyle name="Normal 10 3 3 5" xfId="25099"/>
    <cellStyle name="Normal 10 3 3 5 2" xfId="25100"/>
    <cellStyle name="Normal 10 3 3 5 2 2" xfId="25101"/>
    <cellStyle name="Normal 10 3 3 5 3" xfId="25102"/>
    <cellStyle name="Normal 10 3 3 5 3 2" xfId="25103"/>
    <cellStyle name="Normal 10 3 3 5 4" xfId="25104"/>
    <cellStyle name="Normal 10 3 3 5 5" xfId="25105"/>
    <cellStyle name="Normal 10 3 3 6" xfId="25106"/>
    <cellStyle name="Normal 10 3 3 6 2" xfId="25107"/>
    <cellStyle name="Normal 10 3 3 7" xfId="25108"/>
    <cellStyle name="Normal 10 3 3 7 2" xfId="25109"/>
    <cellStyle name="Normal 10 3 3 8" xfId="25110"/>
    <cellStyle name="Normal 10 3 3 8 2" xfId="25111"/>
    <cellStyle name="Normal 10 3 3 9" xfId="25112"/>
    <cellStyle name="Normal 10 3 4" xfId="11749"/>
    <cellStyle name="Normal 10 3 4 10" xfId="25114"/>
    <cellStyle name="Normal 10 3 4 11" xfId="25113"/>
    <cellStyle name="Normal 10 3 4 2" xfId="25115"/>
    <cellStyle name="Normal 10 3 4 2 2" xfId="25116"/>
    <cellStyle name="Normal 10 3 4 2 2 2" xfId="25117"/>
    <cellStyle name="Normal 10 3 4 2 3" xfId="25118"/>
    <cellStyle name="Normal 10 3 4 2 3 2" xfId="25119"/>
    <cellStyle name="Normal 10 3 4 2 4" xfId="25120"/>
    <cellStyle name="Normal 10 3 4 2 4 2" xfId="25121"/>
    <cellStyle name="Normal 10 3 4 2 5" xfId="25122"/>
    <cellStyle name="Normal 10 3 4 2 6" xfId="25123"/>
    <cellStyle name="Normal 10 3 4 3" xfId="25124"/>
    <cellStyle name="Normal 10 3 4 3 2" xfId="25125"/>
    <cellStyle name="Normal 10 3 4 3 2 2" xfId="25126"/>
    <cellStyle name="Normal 10 3 4 3 3" xfId="25127"/>
    <cellStyle name="Normal 10 3 4 3 3 2" xfId="25128"/>
    <cellStyle name="Normal 10 3 4 3 4" xfId="25129"/>
    <cellStyle name="Normal 10 3 4 3 4 2" xfId="25130"/>
    <cellStyle name="Normal 10 3 4 3 5" xfId="25131"/>
    <cellStyle name="Normal 10 3 4 3 6" xfId="25132"/>
    <cellStyle name="Normal 10 3 4 4" xfId="25133"/>
    <cellStyle name="Normal 10 3 4 4 2" xfId="25134"/>
    <cellStyle name="Normal 10 3 4 4 2 2" xfId="25135"/>
    <cellStyle name="Normal 10 3 4 4 3" xfId="25136"/>
    <cellStyle name="Normal 10 3 4 4 3 2" xfId="25137"/>
    <cellStyle name="Normal 10 3 4 4 4" xfId="25138"/>
    <cellStyle name="Normal 10 3 4 4 4 2" xfId="25139"/>
    <cellStyle name="Normal 10 3 4 4 5" xfId="25140"/>
    <cellStyle name="Normal 10 3 4 4 6" xfId="25141"/>
    <cellStyle name="Normal 10 3 4 5" xfId="25142"/>
    <cellStyle name="Normal 10 3 4 5 2" xfId="25143"/>
    <cellStyle name="Normal 10 3 4 5 2 2" xfId="25144"/>
    <cellStyle name="Normal 10 3 4 5 3" xfId="25145"/>
    <cellStyle name="Normal 10 3 4 5 3 2" xfId="25146"/>
    <cellStyle name="Normal 10 3 4 5 4" xfId="25147"/>
    <cellStyle name="Normal 10 3 4 5 5" xfId="25148"/>
    <cellStyle name="Normal 10 3 4 6" xfId="25149"/>
    <cellStyle name="Normal 10 3 4 6 2" xfId="25150"/>
    <cellStyle name="Normal 10 3 4 7" xfId="25151"/>
    <cellStyle name="Normal 10 3 4 7 2" xfId="25152"/>
    <cellStyle name="Normal 10 3 4 8" xfId="25153"/>
    <cellStyle name="Normal 10 3 4 8 2" xfId="25154"/>
    <cellStyle name="Normal 10 3 4 9" xfId="25155"/>
    <cellStyle name="Normal 10 3 5" xfId="25156"/>
    <cellStyle name="Normal 10 3 5 2" xfId="25157"/>
    <cellStyle name="Normal 10 3 5 2 2" xfId="25158"/>
    <cellStyle name="Normal 10 3 5 3" xfId="25159"/>
    <cellStyle name="Normal 10 3 5 3 2" xfId="25160"/>
    <cellStyle name="Normal 10 3 5 4" xfId="25161"/>
    <cellStyle name="Normal 10 3 5 4 2" xfId="25162"/>
    <cellStyle name="Normal 10 3 5 5" xfId="25163"/>
    <cellStyle name="Normal 10 3 5 6" xfId="25164"/>
    <cellStyle name="Normal 10 3 6" xfId="25165"/>
    <cellStyle name="Normal 10 3 6 2" xfId="25166"/>
    <cellStyle name="Normal 10 3 6 2 2" xfId="25167"/>
    <cellStyle name="Normal 10 3 6 3" xfId="25168"/>
    <cellStyle name="Normal 10 3 6 3 2" xfId="25169"/>
    <cellStyle name="Normal 10 3 6 4" xfId="25170"/>
    <cellStyle name="Normal 10 3 6 4 2" xfId="25171"/>
    <cellStyle name="Normal 10 3 6 5" xfId="25172"/>
    <cellStyle name="Normal 10 3 6 6" xfId="25173"/>
    <cellStyle name="Normal 10 3 7" xfId="25174"/>
    <cellStyle name="Normal 10 3 7 2" xfId="25175"/>
    <cellStyle name="Normal 10 3 7 2 2" xfId="25176"/>
    <cellStyle name="Normal 10 3 7 3" xfId="25177"/>
    <cellStyle name="Normal 10 3 7 3 2" xfId="25178"/>
    <cellStyle name="Normal 10 3 7 4" xfId="25179"/>
    <cellStyle name="Normal 10 3 7 4 2" xfId="25180"/>
    <cellStyle name="Normal 10 3 7 5" xfId="25181"/>
    <cellStyle name="Normal 10 3 7 6" xfId="25182"/>
    <cellStyle name="Normal 10 3 8" xfId="25183"/>
    <cellStyle name="Normal 10 3 8 2" xfId="25184"/>
    <cellStyle name="Normal 10 3 8 2 2" xfId="25185"/>
    <cellStyle name="Normal 10 3 8 3" xfId="25186"/>
    <cellStyle name="Normal 10 3 8 3 2" xfId="25187"/>
    <cellStyle name="Normal 10 3 8 4" xfId="25188"/>
    <cellStyle name="Normal 10 3 8 5" xfId="25189"/>
    <cellStyle name="Normal 10 3 9" xfId="25190"/>
    <cellStyle name="Normal 10 3 9 2" xfId="25191"/>
    <cellStyle name="Normal 10 4" xfId="11750"/>
    <cellStyle name="Normal 10 4 10" xfId="25193"/>
    <cellStyle name="Normal 10 4 10 2" xfId="25194"/>
    <cellStyle name="Normal 10 4 11" xfId="25195"/>
    <cellStyle name="Normal 10 4 12" xfId="25196"/>
    <cellStyle name="Normal 10 4 13" xfId="25192"/>
    <cellStyle name="Normal 10 4 2" xfId="11751"/>
    <cellStyle name="Normal 10 4 2 10" xfId="25198"/>
    <cellStyle name="Normal 10 4 2 11" xfId="25197"/>
    <cellStyle name="Normal 10 4 2 2" xfId="11752"/>
    <cellStyle name="Normal 10 4 2 2 2" xfId="25200"/>
    <cellStyle name="Normal 10 4 2 2 2 2" xfId="25201"/>
    <cellStyle name="Normal 10 4 2 2 3" xfId="25202"/>
    <cellStyle name="Normal 10 4 2 2 3 2" xfId="25203"/>
    <cellStyle name="Normal 10 4 2 2 4" xfId="25204"/>
    <cellStyle name="Normal 10 4 2 2 4 2" xfId="25205"/>
    <cellStyle name="Normal 10 4 2 2 5" xfId="25206"/>
    <cellStyle name="Normal 10 4 2 2 6" xfId="25207"/>
    <cellStyle name="Normal 10 4 2 2 7" xfId="25199"/>
    <cellStyle name="Normal 10 4 2 3" xfId="25208"/>
    <cellStyle name="Normal 10 4 2 3 2" xfId="25209"/>
    <cellStyle name="Normal 10 4 2 3 2 2" xfId="25210"/>
    <cellStyle name="Normal 10 4 2 3 3" xfId="25211"/>
    <cellStyle name="Normal 10 4 2 3 3 2" xfId="25212"/>
    <cellStyle name="Normal 10 4 2 3 4" xfId="25213"/>
    <cellStyle name="Normal 10 4 2 3 4 2" xfId="25214"/>
    <cellStyle name="Normal 10 4 2 3 5" xfId="25215"/>
    <cellStyle name="Normal 10 4 2 3 6" xfId="25216"/>
    <cellStyle name="Normal 10 4 2 4" xfId="25217"/>
    <cellStyle name="Normal 10 4 2 4 2" xfId="25218"/>
    <cellStyle name="Normal 10 4 2 4 2 2" xfId="25219"/>
    <cellStyle name="Normal 10 4 2 4 3" xfId="25220"/>
    <cellStyle name="Normal 10 4 2 4 3 2" xfId="25221"/>
    <cellStyle name="Normal 10 4 2 4 4" xfId="25222"/>
    <cellStyle name="Normal 10 4 2 4 4 2" xfId="25223"/>
    <cellStyle name="Normal 10 4 2 4 5" xfId="25224"/>
    <cellStyle name="Normal 10 4 2 4 6" xfId="25225"/>
    <cellStyle name="Normal 10 4 2 5" xfId="25226"/>
    <cellStyle name="Normal 10 4 2 5 2" xfId="25227"/>
    <cellStyle name="Normal 10 4 2 5 2 2" xfId="25228"/>
    <cellStyle name="Normal 10 4 2 5 3" xfId="25229"/>
    <cellStyle name="Normal 10 4 2 5 3 2" xfId="25230"/>
    <cellStyle name="Normal 10 4 2 5 4" xfId="25231"/>
    <cellStyle name="Normal 10 4 2 5 5" xfId="25232"/>
    <cellStyle name="Normal 10 4 2 6" xfId="25233"/>
    <cellStyle name="Normal 10 4 2 6 2" xfId="25234"/>
    <cellStyle name="Normal 10 4 2 7" xfId="25235"/>
    <cellStyle name="Normal 10 4 2 7 2" xfId="25236"/>
    <cellStyle name="Normal 10 4 2 8" xfId="25237"/>
    <cellStyle name="Normal 10 4 2 8 2" xfId="25238"/>
    <cellStyle name="Normal 10 4 2 9" xfId="25239"/>
    <cellStyle name="Normal 10 4 3" xfId="11753"/>
    <cellStyle name="Normal 10 4 3 10" xfId="25241"/>
    <cellStyle name="Normal 10 4 3 11" xfId="25240"/>
    <cellStyle name="Normal 10 4 3 2" xfId="25242"/>
    <cellStyle name="Normal 10 4 3 2 2" xfId="25243"/>
    <cellStyle name="Normal 10 4 3 2 2 2" xfId="25244"/>
    <cellStyle name="Normal 10 4 3 2 3" xfId="25245"/>
    <cellStyle name="Normal 10 4 3 2 3 2" xfId="25246"/>
    <cellStyle name="Normal 10 4 3 2 4" xfId="25247"/>
    <cellStyle name="Normal 10 4 3 2 4 2" xfId="25248"/>
    <cellStyle name="Normal 10 4 3 2 5" xfId="25249"/>
    <cellStyle name="Normal 10 4 3 2 6" xfId="25250"/>
    <cellStyle name="Normal 10 4 3 3" xfId="25251"/>
    <cellStyle name="Normal 10 4 3 3 2" xfId="25252"/>
    <cellStyle name="Normal 10 4 3 3 2 2" xfId="25253"/>
    <cellStyle name="Normal 10 4 3 3 3" xfId="25254"/>
    <cellStyle name="Normal 10 4 3 3 3 2" xfId="25255"/>
    <cellStyle name="Normal 10 4 3 3 4" xfId="25256"/>
    <cellStyle name="Normal 10 4 3 3 4 2" xfId="25257"/>
    <cellStyle name="Normal 10 4 3 3 5" xfId="25258"/>
    <cellStyle name="Normal 10 4 3 3 6" xfId="25259"/>
    <cellStyle name="Normal 10 4 3 4" xfId="25260"/>
    <cellStyle name="Normal 10 4 3 4 2" xfId="25261"/>
    <cellStyle name="Normal 10 4 3 4 2 2" xfId="25262"/>
    <cellStyle name="Normal 10 4 3 4 3" xfId="25263"/>
    <cellStyle name="Normal 10 4 3 4 3 2" xfId="25264"/>
    <cellStyle name="Normal 10 4 3 4 4" xfId="25265"/>
    <cellStyle name="Normal 10 4 3 4 4 2" xfId="25266"/>
    <cellStyle name="Normal 10 4 3 4 5" xfId="25267"/>
    <cellStyle name="Normal 10 4 3 4 6" xfId="25268"/>
    <cellStyle name="Normal 10 4 3 5" xfId="25269"/>
    <cellStyle name="Normal 10 4 3 5 2" xfId="25270"/>
    <cellStyle name="Normal 10 4 3 5 2 2" xfId="25271"/>
    <cellStyle name="Normal 10 4 3 5 3" xfId="25272"/>
    <cellStyle name="Normal 10 4 3 5 3 2" xfId="25273"/>
    <cellStyle name="Normal 10 4 3 5 4" xfId="25274"/>
    <cellStyle name="Normal 10 4 3 5 5" xfId="25275"/>
    <cellStyle name="Normal 10 4 3 6" xfId="25276"/>
    <cellStyle name="Normal 10 4 3 6 2" xfId="25277"/>
    <cellStyle name="Normal 10 4 3 7" xfId="25278"/>
    <cellStyle name="Normal 10 4 3 7 2" xfId="25279"/>
    <cellStyle name="Normal 10 4 3 8" xfId="25280"/>
    <cellStyle name="Normal 10 4 3 8 2" xfId="25281"/>
    <cellStyle name="Normal 10 4 3 9" xfId="25282"/>
    <cellStyle name="Normal 10 4 4" xfId="11754"/>
    <cellStyle name="Normal 10 4 4 2" xfId="25284"/>
    <cellStyle name="Normal 10 4 4 2 2" xfId="25285"/>
    <cellStyle name="Normal 10 4 4 3" xfId="25286"/>
    <cellStyle name="Normal 10 4 4 3 2" xfId="25287"/>
    <cellStyle name="Normal 10 4 4 4" xfId="25288"/>
    <cellStyle name="Normal 10 4 4 4 2" xfId="25289"/>
    <cellStyle name="Normal 10 4 4 5" xfId="25290"/>
    <cellStyle name="Normal 10 4 4 6" xfId="25291"/>
    <cellStyle name="Normal 10 4 4 7" xfId="25283"/>
    <cellStyle name="Normal 10 4 5" xfId="25292"/>
    <cellStyle name="Normal 10 4 5 2" xfId="25293"/>
    <cellStyle name="Normal 10 4 5 2 2" xfId="25294"/>
    <cellStyle name="Normal 10 4 5 3" xfId="25295"/>
    <cellStyle name="Normal 10 4 5 3 2" xfId="25296"/>
    <cellStyle name="Normal 10 4 5 4" xfId="25297"/>
    <cellStyle name="Normal 10 4 5 4 2" xfId="25298"/>
    <cellStyle name="Normal 10 4 5 5" xfId="25299"/>
    <cellStyle name="Normal 10 4 5 6" xfId="25300"/>
    <cellStyle name="Normal 10 4 6" xfId="25301"/>
    <cellStyle name="Normal 10 4 6 2" xfId="25302"/>
    <cellStyle name="Normal 10 4 6 2 2" xfId="25303"/>
    <cellStyle name="Normal 10 4 6 3" xfId="25304"/>
    <cellStyle name="Normal 10 4 6 3 2" xfId="25305"/>
    <cellStyle name="Normal 10 4 6 4" xfId="25306"/>
    <cellStyle name="Normal 10 4 6 4 2" xfId="25307"/>
    <cellStyle name="Normal 10 4 6 5" xfId="25308"/>
    <cellStyle name="Normal 10 4 6 6" xfId="25309"/>
    <cellStyle name="Normal 10 4 7" xfId="25310"/>
    <cellStyle name="Normal 10 4 7 2" xfId="25311"/>
    <cellStyle name="Normal 10 4 7 2 2" xfId="25312"/>
    <cellStyle name="Normal 10 4 7 3" xfId="25313"/>
    <cellStyle name="Normal 10 4 7 3 2" xfId="25314"/>
    <cellStyle name="Normal 10 4 7 4" xfId="25315"/>
    <cellStyle name="Normal 10 4 7 5" xfId="25316"/>
    <cellStyle name="Normal 10 4 8" xfId="25317"/>
    <cellStyle name="Normal 10 4 8 2" xfId="25318"/>
    <cellStyle name="Normal 10 4 9" xfId="25319"/>
    <cellStyle name="Normal 10 4 9 2" xfId="25320"/>
    <cellStyle name="Normal 10 5" xfId="11755"/>
    <cellStyle name="Normal 10 5 10" xfId="25322"/>
    <cellStyle name="Normal 10 5 11" xfId="25323"/>
    <cellStyle name="Normal 10 5 12" xfId="25321"/>
    <cellStyle name="Normal 10 5 2" xfId="11756"/>
    <cellStyle name="Normal 10 5 2 2" xfId="11757"/>
    <cellStyle name="Normal 10 5 2 2 2" xfId="25326"/>
    <cellStyle name="Normal 10 5 2 2 3" xfId="25325"/>
    <cellStyle name="Normal 10 5 2 3" xfId="25327"/>
    <cellStyle name="Normal 10 5 2 3 2" xfId="25328"/>
    <cellStyle name="Normal 10 5 2 4" xfId="25329"/>
    <cellStyle name="Normal 10 5 2 4 2" xfId="25330"/>
    <cellStyle name="Normal 10 5 2 5" xfId="25331"/>
    <cellStyle name="Normal 10 5 2 6" xfId="25332"/>
    <cellStyle name="Normal 10 5 2 7" xfId="25324"/>
    <cellStyle name="Normal 10 5 3" xfId="11758"/>
    <cellStyle name="Normal 10 5 3 2" xfId="25334"/>
    <cellStyle name="Normal 10 5 3 2 2" xfId="25335"/>
    <cellStyle name="Normal 10 5 3 3" xfId="25336"/>
    <cellStyle name="Normal 10 5 3 3 2" xfId="25337"/>
    <cellStyle name="Normal 10 5 3 4" xfId="25338"/>
    <cellStyle name="Normal 10 5 3 4 2" xfId="25339"/>
    <cellStyle name="Normal 10 5 3 5" xfId="25340"/>
    <cellStyle name="Normal 10 5 3 6" xfId="25341"/>
    <cellStyle name="Normal 10 5 3 7" xfId="25333"/>
    <cellStyle name="Normal 10 5 4" xfId="11759"/>
    <cellStyle name="Normal 10 5 4 2" xfId="25343"/>
    <cellStyle name="Normal 10 5 4 2 2" xfId="25344"/>
    <cellStyle name="Normal 10 5 4 3" xfId="25345"/>
    <cellStyle name="Normal 10 5 4 3 2" xfId="25346"/>
    <cellStyle name="Normal 10 5 4 4" xfId="25347"/>
    <cellStyle name="Normal 10 5 4 4 2" xfId="25348"/>
    <cellStyle name="Normal 10 5 4 5" xfId="25349"/>
    <cellStyle name="Normal 10 5 4 6" xfId="25350"/>
    <cellStyle name="Normal 10 5 4 7" xfId="25342"/>
    <cellStyle name="Normal 10 5 5" xfId="25351"/>
    <cellStyle name="Normal 10 5 5 2" xfId="25352"/>
    <cellStyle name="Normal 10 5 5 2 2" xfId="25353"/>
    <cellStyle name="Normal 10 5 5 3" xfId="25354"/>
    <cellStyle name="Normal 10 5 5 3 2" xfId="25355"/>
    <cellStyle name="Normal 10 5 5 4" xfId="25356"/>
    <cellStyle name="Normal 10 5 5 4 2" xfId="25357"/>
    <cellStyle name="Normal 10 5 5 5" xfId="25358"/>
    <cellStyle name="Normal 10 5 5 6" xfId="25359"/>
    <cellStyle name="Normal 10 5 6" xfId="25360"/>
    <cellStyle name="Normal 10 5 6 2" xfId="25361"/>
    <cellStyle name="Normal 10 5 6 2 2" xfId="25362"/>
    <cellStyle name="Normal 10 5 6 3" xfId="25363"/>
    <cellStyle name="Normal 10 5 6 3 2" xfId="25364"/>
    <cellStyle name="Normal 10 5 6 4" xfId="25365"/>
    <cellStyle name="Normal 10 5 6 5" xfId="25366"/>
    <cellStyle name="Normal 10 5 7" xfId="25367"/>
    <cellStyle name="Normal 10 5 7 2" xfId="25368"/>
    <cellStyle name="Normal 10 5 8" xfId="25369"/>
    <cellStyle name="Normal 10 5 8 2" xfId="25370"/>
    <cellStyle name="Normal 10 5 9" xfId="25371"/>
    <cellStyle name="Normal 10 5 9 2" xfId="25372"/>
    <cellStyle name="Normal 10 6" xfId="11760"/>
    <cellStyle name="Normal 10 6 10" xfId="25374"/>
    <cellStyle name="Normal 10 6 11" xfId="25373"/>
    <cellStyle name="Normal 10 6 2" xfId="11761"/>
    <cellStyle name="Normal 10 6 2 2" xfId="25376"/>
    <cellStyle name="Normal 10 6 2 2 2" xfId="25377"/>
    <cellStyle name="Normal 10 6 2 3" xfId="25378"/>
    <cellStyle name="Normal 10 6 2 3 2" xfId="25379"/>
    <cellStyle name="Normal 10 6 2 4" xfId="25380"/>
    <cellStyle name="Normal 10 6 2 4 2" xfId="25381"/>
    <cellStyle name="Normal 10 6 2 5" xfId="25382"/>
    <cellStyle name="Normal 10 6 2 6" xfId="25383"/>
    <cellStyle name="Normal 10 6 2 7" xfId="25375"/>
    <cellStyle name="Normal 10 6 3" xfId="25384"/>
    <cellStyle name="Normal 10 6 3 2" xfId="25385"/>
    <cellStyle name="Normal 10 6 3 2 2" xfId="25386"/>
    <cellStyle name="Normal 10 6 3 3" xfId="25387"/>
    <cellStyle name="Normal 10 6 3 3 2" xfId="25388"/>
    <cellStyle name="Normal 10 6 3 4" xfId="25389"/>
    <cellStyle name="Normal 10 6 3 4 2" xfId="25390"/>
    <cellStyle name="Normal 10 6 3 5" xfId="25391"/>
    <cellStyle name="Normal 10 6 3 6" xfId="25392"/>
    <cellStyle name="Normal 10 6 4" xfId="25393"/>
    <cellStyle name="Normal 10 6 4 2" xfId="25394"/>
    <cellStyle name="Normal 10 6 4 2 2" xfId="25395"/>
    <cellStyle name="Normal 10 6 4 3" xfId="25396"/>
    <cellStyle name="Normal 10 6 4 3 2" xfId="25397"/>
    <cellStyle name="Normal 10 6 4 4" xfId="25398"/>
    <cellStyle name="Normal 10 6 4 4 2" xfId="25399"/>
    <cellStyle name="Normal 10 6 4 5" xfId="25400"/>
    <cellStyle name="Normal 10 6 4 6" xfId="25401"/>
    <cellStyle name="Normal 10 6 5" xfId="25402"/>
    <cellStyle name="Normal 10 6 5 2" xfId="25403"/>
    <cellStyle name="Normal 10 6 5 2 2" xfId="25404"/>
    <cellStyle name="Normal 10 6 5 3" xfId="25405"/>
    <cellStyle name="Normal 10 6 5 3 2" xfId="25406"/>
    <cellStyle name="Normal 10 6 5 4" xfId="25407"/>
    <cellStyle name="Normal 10 6 5 5" xfId="25408"/>
    <cellStyle name="Normal 10 6 6" xfId="25409"/>
    <cellStyle name="Normal 10 6 6 2" xfId="25410"/>
    <cellStyle name="Normal 10 6 7" xfId="25411"/>
    <cellStyle name="Normal 10 6 7 2" xfId="25412"/>
    <cellStyle name="Normal 10 6 8" xfId="25413"/>
    <cellStyle name="Normal 10 6 8 2" xfId="25414"/>
    <cellStyle name="Normal 10 6 9" xfId="25415"/>
    <cellStyle name="Normal 10 7" xfId="11762"/>
    <cellStyle name="Normal 10 7 10" xfId="25417"/>
    <cellStyle name="Normal 10 7 11" xfId="25416"/>
    <cellStyle name="Normal 10 7 2" xfId="25418"/>
    <cellStyle name="Normal 10 7 2 2" xfId="25419"/>
    <cellStyle name="Normal 10 7 2 2 2" xfId="25420"/>
    <cellStyle name="Normal 10 7 2 3" xfId="25421"/>
    <cellStyle name="Normal 10 7 2 3 2" xfId="25422"/>
    <cellStyle name="Normal 10 7 2 4" xfId="25423"/>
    <cellStyle name="Normal 10 7 2 4 2" xfId="25424"/>
    <cellStyle name="Normal 10 7 2 5" xfId="25425"/>
    <cellStyle name="Normal 10 7 2 6" xfId="25426"/>
    <cellStyle name="Normal 10 7 3" xfId="25427"/>
    <cellStyle name="Normal 10 7 3 2" xfId="25428"/>
    <cellStyle name="Normal 10 7 3 2 2" xfId="25429"/>
    <cellStyle name="Normal 10 7 3 3" xfId="25430"/>
    <cellStyle name="Normal 10 7 3 3 2" xfId="25431"/>
    <cellStyle name="Normal 10 7 3 4" xfId="25432"/>
    <cellStyle name="Normal 10 7 3 4 2" xfId="25433"/>
    <cellStyle name="Normal 10 7 3 5" xfId="25434"/>
    <cellStyle name="Normal 10 7 3 6" xfId="25435"/>
    <cellStyle name="Normal 10 7 4" xfId="25436"/>
    <cellStyle name="Normal 10 7 4 2" xfId="25437"/>
    <cellStyle name="Normal 10 7 4 2 2" xfId="25438"/>
    <cellStyle name="Normal 10 7 4 3" xfId="25439"/>
    <cellStyle name="Normal 10 7 4 3 2" xfId="25440"/>
    <cellStyle name="Normal 10 7 4 4" xfId="25441"/>
    <cellStyle name="Normal 10 7 4 4 2" xfId="25442"/>
    <cellStyle name="Normal 10 7 4 5" xfId="25443"/>
    <cellStyle name="Normal 10 7 4 6" xfId="25444"/>
    <cellStyle name="Normal 10 7 5" xfId="25445"/>
    <cellStyle name="Normal 10 7 5 2" xfId="25446"/>
    <cellStyle name="Normal 10 7 5 2 2" xfId="25447"/>
    <cellStyle name="Normal 10 7 5 3" xfId="25448"/>
    <cellStyle name="Normal 10 7 5 3 2" xfId="25449"/>
    <cellStyle name="Normal 10 7 5 4" xfId="25450"/>
    <cellStyle name="Normal 10 7 5 5" xfId="25451"/>
    <cellStyle name="Normal 10 7 6" xfId="25452"/>
    <cellStyle name="Normal 10 7 6 2" xfId="25453"/>
    <cellStyle name="Normal 10 7 7" xfId="25454"/>
    <cellStyle name="Normal 10 7 7 2" xfId="25455"/>
    <cellStyle name="Normal 10 7 8" xfId="25456"/>
    <cellStyle name="Normal 10 7 8 2" xfId="25457"/>
    <cellStyle name="Normal 10 7 9" xfId="25458"/>
    <cellStyle name="Normal 10 8" xfId="11763"/>
    <cellStyle name="Normal 10 8 2" xfId="25460"/>
    <cellStyle name="Normal 10 8 2 2" xfId="25461"/>
    <cellStyle name="Normal 10 8 3" xfId="25462"/>
    <cellStyle name="Normal 10 8 3 2" xfId="25463"/>
    <cellStyle name="Normal 10 8 4" xfId="25464"/>
    <cellStyle name="Normal 10 8 4 2" xfId="25465"/>
    <cellStyle name="Normal 10 8 5" xfId="25466"/>
    <cellStyle name="Normal 10 8 6" xfId="25467"/>
    <cellStyle name="Normal 10 8 7" xfId="25459"/>
    <cellStyle name="Normal 10 9" xfId="25468"/>
    <cellStyle name="Normal 10 9 2" xfId="25469"/>
    <cellStyle name="Normal 10 9 2 2" xfId="25470"/>
    <cellStyle name="Normal 10 9 3" xfId="25471"/>
    <cellStyle name="Normal 10 9 3 2" xfId="25472"/>
    <cellStyle name="Normal 10 9 4" xfId="25473"/>
    <cellStyle name="Normal 10 9 4 2" xfId="25474"/>
    <cellStyle name="Normal 10 9 5" xfId="25475"/>
    <cellStyle name="Normal 10 9 6" xfId="25476"/>
    <cellStyle name="Normal 100" xfId="15042"/>
    <cellStyle name="Normal 101" xfId="15044"/>
    <cellStyle name="Normal 102" xfId="15046"/>
    <cellStyle name="Normal 103" xfId="15048"/>
    <cellStyle name="Normal 104" xfId="15050"/>
    <cellStyle name="Normal 105" xfId="15052"/>
    <cellStyle name="Normal 106" xfId="15054"/>
    <cellStyle name="Normal 11" xfId="1487"/>
    <cellStyle name="Normal 11 10" xfId="25477"/>
    <cellStyle name="Normal 11 10 2" xfId="25478"/>
    <cellStyle name="Normal 11 11" xfId="25479"/>
    <cellStyle name="Normal 11 12" xfId="25480"/>
    <cellStyle name="Normal 11 13" xfId="25481"/>
    <cellStyle name="Normal 11 2" xfId="1488"/>
    <cellStyle name="Normal 11 2 10" xfId="25482"/>
    <cellStyle name="Normal 11 2 11" xfId="25483"/>
    <cellStyle name="Normal 11 2 2" xfId="11764"/>
    <cellStyle name="Normal 11 2 2 2" xfId="11765"/>
    <cellStyle name="Normal 11 2 2 2 2" xfId="11766"/>
    <cellStyle name="Normal 11 2 2 2 2 2" xfId="11767"/>
    <cellStyle name="Normal 11 2 2 2 2 3" xfId="25486"/>
    <cellStyle name="Normal 11 2 2 2 3" xfId="11768"/>
    <cellStyle name="Normal 11 2 2 2 4" xfId="11769"/>
    <cellStyle name="Normal 11 2 2 2 5" xfId="25485"/>
    <cellStyle name="Normal 11 2 2 3" xfId="11770"/>
    <cellStyle name="Normal 11 2 2 3 2" xfId="11771"/>
    <cellStyle name="Normal 11 2 2 3 2 2" xfId="25488"/>
    <cellStyle name="Normal 11 2 2 3 3" xfId="25487"/>
    <cellStyle name="Normal 11 2 2 4" xfId="11772"/>
    <cellStyle name="Normal 11 2 2 4 2" xfId="25490"/>
    <cellStyle name="Normal 11 2 2 4 3" xfId="25489"/>
    <cellStyle name="Normal 11 2 2 5" xfId="11773"/>
    <cellStyle name="Normal 11 2 2 5 2" xfId="25491"/>
    <cellStyle name="Normal 11 2 2 6" xfId="25492"/>
    <cellStyle name="Normal 11 2 2 7" xfId="25484"/>
    <cellStyle name="Normal 11 2 3" xfId="11774"/>
    <cellStyle name="Normal 11 2 3 2" xfId="11775"/>
    <cellStyle name="Normal 11 2 3 2 2" xfId="11776"/>
    <cellStyle name="Normal 11 2 3 2 2 2" xfId="25495"/>
    <cellStyle name="Normal 11 2 3 2 3" xfId="25494"/>
    <cellStyle name="Normal 11 2 3 3" xfId="11777"/>
    <cellStyle name="Normal 11 2 3 3 2" xfId="25497"/>
    <cellStyle name="Normal 11 2 3 3 3" xfId="25496"/>
    <cellStyle name="Normal 11 2 3 4" xfId="11778"/>
    <cellStyle name="Normal 11 2 3 4 2" xfId="25499"/>
    <cellStyle name="Normal 11 2 3 4 3" xfId="25498"/>
    <cellStyle name="Normal 11 2 3 5" xfId="25500"/>
    <cellStyle name="Normal 11 2 3 6" xfId="25501"/>
    <cellStyle name="Normal 11 2 3 7" xfId="25493"/>
    <cellStyle name="Normal 11 2 4" xfId="11779"/>
    <cellStyle name="Normal 11 2 4 2" xfId="11780"/>
    <cellStyle name="Normal 11 2 4 2 2" xfId="11781"/>
    <cellStyle name="Normal 11 2 4 2 2 2" xfId="25504"/>
    <cellStyle name="Normal 11 2 4 2 3" xfId="25503"/>
    <cellStyle name="Normal 11 2 4 3" xfId="11782"/>
    <cellStyle name="Normal 11 2 4 3 2" xfId="25506"/>
    <cellStyle name="Normal 11 2 4 3 3" xfId="25505"/>
    <cellStyle name="Normal 11 2 4 4" xfId="11783"/>
    <cellStyle name="Normal 11 2 4 4 2" xfId="25508"/>
    <cellStyle name="Normal 11 2 4 4 3" xfId="25507"/>
    <cellStyle name="Normal 11 2 4 5" xfId="25509"/>
    <cellStyle name="Normal 11 2 4 6" xfId="25510"/>
    <cellStyle name="Normal 11 2 4 7" xfId="25502"/>
    <cellStyle name="Normal 11 2 5" xfId="11784"/>
    <cellStyle name="Normal 11 2 5 2" xfId="11785"/>
    <cellStyle name="Normal 11 2 5 2 2" xfId="11786"/>
    <cellStyle name="Normal 11 2 5 2 2 2" xfId="25513"/>
    <cellStyle name="Normal 11 2 5 2 3" xfId="25512"/>
    <cellStyle name="Normal 11 2 5 3" xfId="11787"/>
    <cellStyle name="Normal 11 2 5 3 2" xfId="25515"/>
    <cellStyle name="Normal 11 2 5 3 3" xfId="25514"/>
    <cellStyle name="Normal 11 2 5 4" xfId="11788"/>
    <cellStyle name="Normal 11 2 5 4 2" xfId="25516"/>
    <cellStyle name="Normal 11 2 5 5" xfId="25517"/>
    <cellStyle name="Normal 11 2 5 6" xfId="25511"/>
    <cellStyle name="Normal 11 2 6" xfId="11789"/>
    <cellStyle name="Normal 11 2 6 2" xfId="11790"/>
    <cellStyle name="Normal 11 2 6 2 2" xfId="25519"/>
    <cellStyle name="Normal 11 2 6 3" xfId="25518"/>
    <cellStyle name="Normal 11 2 7" xfId="11791"/>
    <cellStyle name="Normal 11 2 7 2" xfId="25521"/>
    <cellStyle name="Normal 11 2 7 3" xfId="25520"/>
    <cellStyle name="Normal 11 2 8" xfId="11792"/>
    <cellStyle name="Normal 11 2 8 2" xfId="25523"/>
    <cellStyle name="Normal 11 2 8 3" xfId="25522"/>
    <cellStyle name="Normal 11 2 9" xfId="25524"/>
    <cellStyle name="Normal 11 3" xfId="11793"/>
    <cellStyle name="Normal 11 3 10" xfId="25526"/>
    <cellStyle name="Normal 11 3 11" xfId="25525"/>
    <cellStyle name="Normal 11 3 2" xfId="11794"/>
    <cellStyle name="Normal 11 3 2 2" xfId="11795"/>
    <cellStyle name="Normal 11 3 2 2 2" xfId="11796"/>
    <cellStyle name="Normal 11 3 2 2 2 2" xfId="25529"/>
    <cellStyle name="Normal 11 3 2 2 3" xfId="25528"/>
    <cellStyle name="Normal 11 3 2 3" xfId="11797"/>
    <cellStyle name="Normal 11 3 2 3 2" xfId="25531"/>
    <cellStyle name="Normal 11 3 2 3 3" xfId="25530"/>
    <cellStyle name="Normal 11 3 2 4" xfId="11798"/>
    <cellStyle name="Normal 11 3 2 4 2" xfId="25533"/>
    <cellStyle name="Normal 11 3 2 4 3" xfId="25532"/>
    <cellStyle name="Normal 11 3 2 5" xfId="25534"/>
    <cellStyle name="Normal 11 3 2 6" xfId="25535"/>
    <cellStyle name="Normal 11 3 2 7" xfId="25527"/>
    <cellStyle name="Normal 11 3 3" xfId="11799"/>
    <cellStyle name="Normal 11 3 3 2" xfId="11800"/>
    <cellStyle name="Normal 11 3 3 2 2" xfId="25538"/>
    <cellStyle name="Normal 11 3 3 2 3" xfId="25537"/>
    <cellStyle name="Normal 11 3 3 3" xfId="25539"/>
    <cellStyle name="Normal 11 3 3 3 2" xfId="25540"/>
    <cellStyle name="Normal 11 3 3 4" xfId="25541"/>
    <cellStyle name="Normal 11 3 3 4 2" xfId="25542"/>
    <cellStyle name="Normal 11 3 3 5" xfId="25543"/>
    <cellStyle name="Normal 11 3 3 6" xfId="25544"/>
    <cellStyle name="Normal 11 3 3 7" xfId="25536"/>
    <cellStyle name="Normal 11 3 4" xfId="11801"/>
    <cellStyle name="Normal 11 3 4 2" xfId="25546"/>
    <cellStyle name="Normal 11 3 4 2 2" xfId="25547"/>
    <cellStyle name="Normal 11 3 4 3" xfId="25548"/>
    <cellStyle name="Normal 11 3 4 3 2" xfId="25549"/>
    <cellStyle name="Normal 11 3 4 4" xfId="25550"/>
    <cellStyle name="Normal 11 3 4 4 2" xfId="25551"/>
    <cellStyle name="Normal 11 3 4 5" xfId="25552"/>
    <cellStyle name="Normal 11 3 4 6" xfId="25553"/>
    <cellStyle name="Normal 11 3 4 7" xfId="25545"/>
    <cellStyle name="Normal 11 3 5" xfId="11802"/>
    <cellStyle name="Normal 11 3 5 2" xfId="25555"/>
    <cellStyle name="Normal 11 3 5 2 2" xfId="25556"/>
    <cellStyle name="Normal 11 3 5 3" xfId="25557"/>
    <cellStyle name="Normal 11 3 5 3 2" xfId="25558"/>
    <cellStyle name="Normal 11 3 5 4" xfId="25559"/>
    <cellStyle name="Normal 11 3 5 5" xfId="25560"/>
    <cellStyle name="Normal 11 3 5 6" xfId="25554"/>
    <cellStyle name="Normal 11 3 6" xfId="25561"/>
    <cellStyle name="Normal 11 3 6 2" xfId="25562"/>
    <cellStyle name="Normal 11 3 7" xfId="25563"/>
    <cellStyle name="Normal 11 3 7 2" xfId="25564"/>
    <cellStyle name="Normal 11 3 8" xfId="25565"/>
    <cellStyle name="Normal 11 3 8 2" xfId="25566"/>
    <cellStyle name="Normal 11 3 9" xfId="25567"/>
    <cellStyle name="Normal 11 4" xfId="11803"/>
    <cellStyle name="Normal 11 4 2" xfId="11804"/>
    <cellStyle name="Normal 11 4 2 2" xfId="11805"/>
    <cellStyle name="Normal 11 4 2 2 2" xfId="25570"/>
    <cellStyle name="Normal 11 4 2 3" xfId="25569"/>
    <cellStyle name="Normal 11 4 3" xfId="11806"/>
    <cellStyle name="Normal 11 4 3 2" xfId="25572"/>
    <cellStyle name="Normal 11 4 3 3" xfId="25571"/>
    <cellStyle name="Normal 11 4 4" xfId="11807"/>
    <cellStyle name="Normal 11 4 4 2" xfId="25574"/>
    <cellStyle name="Normal 11 4 4 3" xfId="25573"/>
    <cellStyle name="Normal 11 4 5" xfId="25575"/>
    <cellStyle name="Normal 11 4 6" xfId="25576"/>
    <cellStyle name="Normal 11 4 7" xfId="25568"/>
    <cellStyle name="Normal 11 5" xfId="11808"/>
    <cellStyle name="Normal 11 5 2" xfId="11809"/>
    <cellStyle name="Normal 11 5 2 2" xfId="11810"/>
    <cellStyle name="Normal 11 5 2 2 2" xfId="25579"/>
    <cellStyle name="Normal 11 5 2 3" xfId="25578"/>
    <cellStyle name="Normal 11 5 3" xfId="11811"/>
    <cellStyle name="Normal 11 5 3 2" xfId="25581"/>
    <cellStyle name="Normal 11 5 3 3" xfId="25580"/>
    <cellStyle name="Normal 11 5 4" xfId="11812"/>
    <cellStyle name="Normal 11 5 4 2" xfId="25583"/>
    <cellStyle name="Normal 11 5 4 3" xfId="25582"/>
    <cellStyle name="Normal 11 5 5" xfId="25584"/>
    <cellStyle name="Normal 11 5 6" xfId="25585"/>
    <cellStyle name="Normal 11 5 7" xfId="25577"/>
    <cellStyle name="Normal 11 6" xfId="11813"/>
    <cellStyle name="Normal 11 6 2" xfId="11814"/>
    <cellStyle name="Normal 11 6 2 2" xfId="11815"/>
    <cellStyle name="Normal 11 6 2 2 2" xfId="25588"/>
    <cellStyle name="Normal 11 6 2 3" xfId="25587"/>
    <cellStyle name="Normal 11 6 3" xfId="11816"/>
    <cellStyle name="Normal 11 6 3 2" xfId="25590"/>
    <cellStyle name="Normal 11 6 3 3" xfId="25589"/>
    <cellStyle name="Normal 11 6 4" xfId="11817"/>
    <cellStyle name="Normal 11 6 4 2" xfId="25592"/>
    <cellStyle name="Normal 11 6 4 3" xfId="25591"/>
    <cellStyle name="Normal 11 6 5" xfId="25593"/>
    <cellStyle name="Normal 11 6 6" xfId="25594"/>
    <cellStyle name="Normal 11 6 7" xfId="25586"/>
    <cellStyle name="Normal 11 7" xfId="11818"/>
    <cellStyle name="Normal 11 7 2" xfId="11819"/>
    <cellStyle name="Normal 11 7 2 2" xfId="25597"/>
    <cellStyle name="Normal 11 7 2 3" xfId="25596"/>
    <cellStyle name="Normal 11 7 3" xfId="25598"/>
    <cellStyle name="Normal 11 7 3 2" xfId="25599"/>
    <cellStyle name="Normal 11 7 4" xfId="25600"/>
    <cellStyle name="Normal 11 7 5" xfId="25601"/>
    <cellStyle name="Normal 11 7 6" xfId="25595"/>
    <cellStyle name="Normal 11 8" xfId="11820"/>
    <cellStyle name="Normal 11 8 2" xfId="25603"/>
    <cellStyle name="Normal 11 8 3" xfId="25602"/>
    <cellStyle name="Normal 11 9" xfId="11821"/>
    <cellStyle name="Normal 11 9 2" xfId="25605"/>
    <cellStyle name="Normal 11 9 3" xfId="25604"/>
    <cellStyle name="Normal 12" xfId="1489"/>
    <cellStyle name="Normal 12 2" xfId="11822"/>
    <cellStyle name="Normal 12 2 2" xfId="11823"/>
    <cellStyle name="Normal 12 2 2 2" xfId="11824"/>
    <cellStyle name="Normal 12 2 2 2 2" xfId="11825"/>
    <cellStyle name="Normal 12 2 2 3" xfId="11826"/>
    <cellStyle name="Normal 12 2 2 4" xfId="11827"/>
    <cellStyle name="Normal 12 2 2 5" xfId="25608"/>
    <cellStyle name="Normal 12 2 3" xfId="11828"/>
    <cellStyle name="Normal 12 2 3 2" xfId="11829"/>
    <cellStyle name="Normal 12 2 3 3" xfId="25609"/>
    <cellStyle name="Normal 12 2 4" xfId="11830"/>
    <cellStyle name="Normal 12 2 5" xfId="11831"/>
    <cellStyle name="Normal 12 2 6" xfId="25607"/>
    <cellStyle name="Normal 12 3" xfId="11832"/>
    <cellStyle name="Normal 12 3 2" xfId="11833"/>
    <cellStyle name="Normal 12 3 2 2" xfId="11834"/>
    <cellStyle name="Normal 12 3 2 3" xfId="25611"/>
    <cellStyle name="Normal 12 3 3" xfId="11835"/>
    <cellStyle name="Normal 12 3 4" xfId="11836"/>
    <cellStyle name="Normal 12 3 5" xfId="25610"/>
    <cellStyle name="Normal 12 4" xfId="11837"/>
    <cellStyle name="Normal 12 4 2" xfId="11838"/>
    <cellStyle name="Normal 12 4 2 2" xfId="11839"/>
    <cellStyle name="Normal 12 4 3" xfId="11840"/>
    <cellStyle name="Normal 12 4 4" xfId="11841"/>
    <cellStyle name="Normal 12 4 5" xfId="25612"/>
    <cellStyle name="Normal 12 5" xfId="11842"/>
    <cellStyle name="Normal 12 5 2" xfId="11843"/>
    <cellStyle name="Normal 12 5 2 2" xfId="11844"/>
    <cellStyle name="Normal 12 5 3" xfId="11845"/>
    <cellStyle name="Normal 12 5 4" xfId="11846"/>
    <cellStyle name="Normal 12 5 5" xfId="25613"/>
    <cellStyle name="Normal 12 6" xfId="11847"/>
    <cellStyle name="Normal 12 6 2" xfId="11848"/>
    <cellStyle name="Normal 12 6 3" xfId="25614"/>
    <cellStyle name="Normal 12 7" xfId="11849"/>
    <cellStyle name="Normal 12 8" xfId="11850"/>
    <cellStyle name="Normal 12 9" xfId="25606"/>
    <cellStyle name="Normal 13" xfId="1490"/>
    <cellStyle name="Normal 13 2" xfId="1491"/>
    <cellStyle name="Normal 13 2 2" xfId="11851"/>
    <cellStyle name="Normal 13 2 2 2" xfId="25615"/>
    <cellStyle name="Normal 13 2 3" xfId="11852"/>
    <cellStyle name="Normal 13 2 3 2" xfId="25616"/>
    <cellStyle name="Normal 13 3" xfId="10876"/>
    <cellStyle name="Normal 13 3 2" xfId="25618"/>
    <cellStyle name="Normal 13 3 3" xfId="25617"/>
    <cellStyle name="Normal 13 4" xfId="25619"/>
    <cellStyle name="Normal 13 5" xfId="25620"/>
    <cellStyle name="Normal 14" xfId="1492"/>
    <cellStyle name="Normal 14 2" xfId="11853"/>
    <cellStyle name="Normal 14 2 2" xfId="11854"/>
    <cellStyle name="Normal 14 2 3" xfId="11855"/>
    <cellStyle name="Normal 14 2 4" xfId="11856"/>
    <cellStyle name="Normal 14 2 4 2" xfId="11857"/>
    <cellStyle name="Normal 14 2 5" xfId="11858"/>
    <cellStyle name="Normal 14 2 6" xfId="11859"/>
    <cellStyle name="Normal 14 3" xfId="11860"/>
    <cellStyle name="Normal 14 4" xfId="11861"/>
    <cellStyle name="Normal 14 4 2" xfId="11862"/>
    <cellStyle name="Normal 14 4 2 2" xfId="11863"/>
    <cellStyle name="Normal 14 4 3" xfId="11864"/>
    <cellStyle name="Normal 14 4 4" xfId="11865"/>
    <cellStyle name="Normal 14 5" xfId="11866"/>
    <cellStyle name="Normal 14 5 2" xfId="11867"/>
    <cellStyle name="Normal 14 5 2 2" xfId="11868"/>
    <cellStyle name="Normal 14 5 3" xfId="11869"/>
    <cellStyle name="Normal 14 5 4" xfId="11870"/>
    <cellStyle name="Normal 14_KY NBV" xfId="25621"/>
    <cellStyle name="Normal 15" xfId="9302"/>
    <cellStyle name="Normal 15 2" xfId="11871"/>
    <cellStyle name="Normal 15 2 2" xfId="11872"/>
    <cellStyle name="Normal 15 2 2 2" xfId="11873"/>
    <cellStyle name="Normal 15 2 2 2 2" xfId="11874"/>
    <cellStyle name="Normal 15 2 2 3" xfId="11875"/>
    <cellStyle name="Normal 15 2 2 4" xfId="11876"/>
    <cellStyle name="Normal 15 2 2 5" xfId="25623"/>
    <cellStyle name="Normal 15 2 3" xfId="11877"/>
    <cellStyle name="Normal 15 2 3 2" xfId="11878"/>
    <cellStyle name="Normal 15 2 4" xfId="11879"/>
    <cellStyle name="Normal 15 2 5" xfId="11880"/>
    <cellStyle name="Normal 15 2 6" xfId="25622"/>
    <cellStyle name="Normal 15 3" xfId="11881"/>
    <cellStyle name="Normal 15 3 2" xfId="11882"/>
    <cellStyle name="Normal 15 3 2 2" xfId="11883"/>
    <cellStyle name="Normal 15 3 3" xfId="11884"/>
    <cellStyle name="Normal 15 3 4" xfId="11885"/>
    <cellStyle name="Normal 15 4" xfId="11886"/>
    <cellStyle name="Normal 15 4 2" xfId="11887"/>
    <cellStyle name="Normal 15 4 2 2" xfId="11888"/>
    <cellStyle name="Normal 15 4 3" xfId="11889"/>
    <cellStyle name="Normal 15 4 4" xfId="11890"/>
    <cellStyle name="Normal 15 5" xfId="11891"/>
    <cellStyle name="Normal 15 5 2" xfId="11892"/>
    <cellStyle name="Normal 15 5 2 2" xfId="11893"/>
    <cellStyle name="Normal 15 5 3" xfId="11894"/>
    <cellStyle name="Normal 15 5 4" xfId="11895"/>
    <cellStyle name="Normal 15 6" xfId="11896"/>
    <cellStyle name="Normal 15 6 2" xfId="11897"/>
    <cellStyle name="Normal 15 7" xfId="11898"/>
    <cellStyle name="Normal 15 8" xfId="11899"/>
    <cellStyle name="Normal 15 9" xfId="11394"/>
    <cellStyle name="Normal 15_KY NBV" xfId="25624"/>
    <cellStyle name="Normal 150" xfId="11900"/>
    <cellStyle name="Normal 16" xfId="9819"/>
    <cellStyle name="Normal 16 2" xfId="11902"/>
    <cellStyle name="Normal 16 2 2" xfId="11903"/>
    <cellStyle name="Normal 16 2 2 2" xfId="11904"/>
    <cellStyle name="Normal 16 2 2 3" xfId="11905"/>
    <cellStyle name="Normal 16 2 3" xfId="11906"/>
    <cellStyle name="Normal 16 2 4" xfId="11907"/>
    <cellStyle name="Normal 16 2 5" xfId="25626"/>
    <cellStyle name="Normal 16 3" xfId="11908"/>
    <cellStyle name="Normal 16 3 2" xfId="11909"/>
    <cellStyle name="Normal 16 3 2 2" xfId="11910"/>
    <cellStyle name="Normal 16 3 2 3" xfId="11911"/>
    <cellStyle name="Normal 16 3 3" xfId="11912"/>
    <cellStyle name="Normal 16 4" xfId="11913"/>
    <cellStyle name="Normal 16 4 2" xfId="11914"/>
    <cellStyle name="Normal 16 4 2 2" xfId="11915"/>
    <cellStyle name="Normal 16 4 3" xfId="11916"/>
    <cellStyle name="Normal 16 4 4" xfId="11917"/>
    <cellStyle name="Normal 16 5" xfId="11918"/>
    <cellStyle name="Normal 16 6" xfId="11901"/>
    <cellStyle name="Normal 16 7" xfId="25625"/>
    <cellStyle name="Normal 17" xfId="9820"/>
    <cellStyle name="Normal 17 2" xfId="10873"/>
    <cellStyle name="Normal 17 2 2" xfId="11921"/>
    <cellStyle name="Normal 17 2 2 2" xfId="11922"/>
    <cellStyle name="Normal 17 2 2 3" xfId="11923"/>
    <cellStyle name="Normal 17 2 3" xfId="11924"/>
    <cellStyle name="Normal 17 2 4" xfId="11920"/>
    <cellStyle name="Normal 17 2 5" xfId="14467"/>
    <cellStyle name="Normal 17 2 6" xfId="15096"/>
    <cellStyle name="Normal 17 3" xfId="11925"/>
    <cellStyle name="Normal 17 3 2" xfId="11926"/>
    <cellStyle name="Normal 17 4" xfId="11927"/>
    <cellStyle name="Normal 17 5" xfId="11928"/>
    <cellStyle name="Normal 17 6" xfId="11395"/>
    <cellStyle name="Normal 17 7" xfId="11919"/>
    <cellStyle name="Normal 17 8" xfId="13414"/>
    <cellStyle name="Normal 17 8 2" xfId="25627"/>
    <cellStyle name="Normal 17 9" xfId="15095"/>
    <cellStyle name="Normal 18" xfId="10874"/>
    <cellStyle name="Normal 18 2" xfId="11930"/>
    <cellStyle name="Normal 18 3" xfId="11929"/>
    <cellStyle name="Normal 18 4" xfId="14468"/>
    <cellStyle name="Normal 18 4 2" xfId="25628"/>
    <cellStyle name="Normal 18 5" xfId="15097"/>
    <cellStyle name="Normal 19" xfId="11931"/>
    <cellStyle name="Normal 19 2" xfId="11932"/>
    <cellStyle name="Normal 19 3" xfId="25629"/>
    <cellStyle name="Normal 2" xfId="69"/>
    <cellStyle name="Normal 2 10" xfId="1493"/>
    <cellStyle name="Normal 2 10 2" xfId="1494"/>
    <cellStyle name="Normal 2 11" xfId="1495"/>
    <cellStyle name="Normal 2 12" xfId="9288"/>
    <cellStyle name="Normal 2 12 2" xfId="9817"/>
    <cellStyle name="Normal 2 12 2 2" xfId="10871"/>
    <cellStyle name="Normal 2 12 2 2 2" xfId="14465"/>
    <cellStyle name="Normal 2 12 2 2 3" xfId="15100"/>
    <cellStyle name="Normal 2 12 2 3" xfId="13412"/>
    <cellStyle name="Normal 2 12 2 4" xfId="15099"/>
    <cellStyle name="Normal 2 12 3" xfId="10345"/>
    <cellStyle name="Normal 2 12 3 2" xfId="13939"/>
    <cellStyle name="Normal 2 12 3 3" xfId="15101"/>
    <cellStyle name="Normal 2 12 4" xfId="10877"/>
    <cellStyle name="Normal 2 12 4 2" xfId="14470"/>
    <cellStyle name="Normal 2 12 4 3" xfId="15102"/>
    <cellStyle name="Normal 2 12 5" xfId="12886"/>
    <cellStyle name="Normal 2 12 6" xfId="15098"/>
    <cellStyle name="Normal 2 2" xfId="1496"/>
    <cellStyle name="Normal 2 2 2" xfId="11933"/>
    <cellStyle name="Normal 2 2 2 10" xfId="25630"/>
    <cellStyle name="Normal 2 2 2 10 2" xfId="25631"/>
    <cellStyle name="Normal 2 2 2 10 2 2" xfId="25632"/>
    <cellStyle name="Normal 2 2 2 10 3" xfId="25633"/>
    <cellStyle name="Normal 2 2 2 10 3 2" xfId="25634"/>
    <cellStyle name="Normal 2 2 2 10 4" xfId="25635"/>
    <cellStyle name="Normal 2 2 2 10 4 2" xfId="25636"/>
    <cellStyle name="Normal 2 2 2 10 5" xfId="25637"/>
    <cellStyle name="Normal 2 2 2 10 6" xfId="25638"/>
    <cellStyle name="Normal 2 2 2 11" xfId="25639"/>
    <cellStyle name="Normal 2 2 2 11 2" xfId="25640"/>
    <cellStyle name="Normal 2 2 2 11 2 2" xfId="25641"/>
    <cellStyle name="Normal 2 2 2 11 3" xfId="25642"/>
    <cellStyle name="Normal 2 2 2 11 3 2" xfId="25643"/>
    <cellStyle name="Normal 2 2 2 11 4" xfId="25644"/>
    <cellStyle name="Normal 2 2 2 11 4 2" xfId="25645"/>
    <cellStyle name="Normal 2 2 2 11 5" xfId="25646"/>
    <cellStyle name="Normal 2 2 2 11 6" xfId="25647"/>
    <cellStyle name="Normal 2 2 2 12" xfId="25648"/>
    <cellStyle name="Normal 2 2 2 12 2" xfId="25649"/>
    <cellStyle name="Normal 2 2 2 12 2 2" xfId="25650"/>
    <cellStyle name="Normal 2 2 2 12 3" xfId="25651"/>
    <cellStyle name="Normal 2 2 2 12 3 2" xfId="25652"/>
    <cellStyle name="Normal 2 2 2 12 4" xfId="25653"/>
    <cellStyle name="Normal 2 2 2 12 5" xfId="25654"/>
    <cellStyle name="Normal 2 2 2 13" xfId="25655"/>
    <cellStyle name="Normal 2 2 2 13 2" xfId="25656"/>
    <cellStyle name="Normal 2 2 2 14" xfId="25657"/>
    <cellStyle name="Normal 2 2 2 14 2" xfId="25658"/>
    <cellStyle name="Normal 2 2 2 15" xfId="25659"/>
    <cellStyle name="Normal 2 2 2 15 2" xfId="25660"/>
    <cellStyle name="Normal 2 2 2 16" xfId="25661"/>
    <cellStyle name="Normal 2 2 2 17" xfId="25662"/>
    <cellStyle name="Normal 2 2 2 18" xfId="17682"/>
    <cellStyle name="Normal 2 2 2 2" xfId="25663"/>
    <cellStyle name="Normal 2 2 2 3" xfId="25664"/>
    <cellStyle name="Normal 2 2 2 3 10" xfId="25665"/>
    <cellStyle name="Normal 2 2 2 3 10 2" xfId="25666"/>
    <cellStyle name="Normal 2 2 2 3 11" xfId="25667"/>
    <cellStyle name="Normal 2 2 2 3 11 2" xfId="25668"/>
    <cellStyle name="Normal 2 2 2 3 12" xfId="25669"/>
    <cellStyle name="Normal 2 2 2 3 13" xfId="25670"/>
    <cellStyle name="Normal 2 2 2 3 2" xfId="25671"/>
    <cellStyle name="Normal 2 2 2 3 2 10" xfId="25672"/>
    <cellStyle name="Normal 2 2 2 3 2 11" xfId="25673"/>
    <cellStyle name="Normal 2 2 2 3 2 2" xfId="25674"/>
    <cellStyle name="Normal 2 2 2 3 2 2 2" xfId="25675"/>
    <cellStyle name="Normal 2 2 2 3 2 2 2 2" xfId="25676"/>
    <cellStyle name="Normal 2 2 2 3 2 2 3" xfId="25677"/>
    <cellStyle name="Normal 2 2 2 3 2 2 3 2" xfId="25678"/>
    <cellStyle name="Normal 2 2 2 3 2 2 4" xfId="25679"/>
    <cellStyle name="Normal 2 2 2 3 2 2 4 2" xfId="25680"/>
    <cellStyle name="Normal 2 2 2 3 2 2 5" xfId="25681"/>
    <cellStyle name="Normal 2 2 2 3 2 2 6" xfId="25682"/>
    <cellStyle name="Normal 2 2 2 3 2 3" xfId="25683"/>
    <cellStyle name="Normal 2 2 2 3 2 3 2" xfId="25684"/>
    <cellStyle name="Normal 2 2 2 3 2 3 2 2" xfId="25685"/>
    <cellStyle name="Normal 2 2 2 3 2 3 3" xfId="25686"/>
    <cellStyle name="Normal 2 2 2 3 2 3 3 2" xfId="25687"/>
    <cellStyle name="Normal 2 2 2 3 2 3 4" xfId="25688"/>
    <cellStyle name="Normal 2 2 2 3 2 3 4 2" xfId="25689"/>
    <cellStyle name="Normal 2 2 2 3 2 3 5" xfId="25690"/>
    <cellStyle name="Normal 2 2 2 3 2 3 6" xfId="25691"/>
    <cellStyle name="Normal 2 2 2 3 2 4" xfId="25692"/>
    <cellStyle name="Normal 2 2 2 3 2 4 2" xfId="25693"/>
    <cellStyle name="Normal 2 2 2 3 2 4 2 2" xfId="25694"/>
    <cellStyle name="Normal 2 2 2 3 2 4 3" xfId="25695"/>
    <cellStyle name="Normal 2 2 2 3 2 4 3 2" xfId="25696"/>
    <cellStyle name="Normal 2 2 2 3 2 4 4" xfId="25697"/>
    <cellStyle name="Normal 2 2 2 3 2 4 4 2" xfId="25698"/>
    <cellStyle name="Normal 2 2 2 3 2 4 5" xfId="25699"/>
    <cellStyle name="Normal 2 2 2 3 2 4 6" xfId="25700"/>
    <cellStyle name="Normal 2 2 2 3 2 5" xfId="25701"/>
    <cellStyle name="Normal 2 2 2 3 2 5 2" xfId="25702"/>
    <cellStyle name="Normal 2 2 2 3 2 5 2 2" xfId="25703"/>
    <cellStyle name="Normal 2 2 2 3 2 5 3" xfId="25704"/>
    <cellStyle name="Normal 2 2 2 3 2 5 3 2" xfId="25705"/>
    <cellStyle name="Normal 2 2 2 3 2 5 4" xfId="25706"/>
    <cellStyle name="Normal 2 2 2 3 2 5 4 2" xfId="25707"/>
    <cellStyle name="Normal 2 2 2 3 2 5 5" xfId="25708"/>
    <cellStyle name="Normal 2 2 2 3 2 5 6" xfId="25709"/>
    <cellStyle name="Normal 2 2 2 3 2 6" xfId="25710"/>
    <cellStyle name="Normal 2 2 2 3 2 6 2" xfId="25711"/>
    <cellStyle name="Normal 2 2 2 3 2 6 2 2" xfId="25712"/>
    <cellStyle name="Normal 2 2 2 3 2 6 3" xfId="25713"/>
    <cellStyle name="Normal 2 2 2 3 2 6 3 2" xfId="25714"/>
    <cellStyle name="Normal 2 2 2 3 2 6 4" xfId="25715"/>
    <cellStyle name="Normal 2 2 2 3 2 6 5" xfId="25716"/>
    <cellStyle name="Normal 2 2 2 3 2 7" xfId="25717"/>
    <cellStyle name="Normal 2 2 2 3 2 7 2" xfId="25718"/>
    <cellStyle name="Normal 2 2 2 3 2 8" xfId="25719"/>
    <cellStyle name="Normal 2 2 2 3 2 8 2" xfId="25720"/>
    <cellStyle name="Normal 2 2 2 3 2 9" xfId="25721"/>
    <cellStyle name="Normal 2 2 2 3 2 9 2" xfId="25722"/>
    <cellStyle name="Normal 2 2 2 3 3" xfId="25723"/>
    <cellStyle name="Normal 2 2 2 3 3 10" xfId="25724"/>
    <cellStyle name="Normal 2 2 2 3 3 2" xfId="25725"/>
    <cellStyle name="Normal 2 2 2 3 3 2 2" xfId="25726"/>
    <cellStyle name="Normal 2 2 2 3 3 2 2 2" xfId="25727"/>
    <cellStyle name="Normal 2 2 2 3 3 2 3" xfId="25728"/>
    <cellStyle name="Normal 2 2 2 3 3 2 3 2" xfId="25729"/>
    <cellStyle name="Normal 2 2 2 3 3 2 4" xfId="25730"/>
    <cellStyle name="Normal 2 2 2 3 3 2 4 2" xfId="25731"/>
    <cellStyle name="Normal 2 2 2 3 3 2 5" xfId="25732"/>
    <cellStyle name="Normal 2 2 2 3 3 2 6" xfId="25733"/>
    <cellStyle name="Normal 2 2 2 3 3 3" xfId="25734"/>
    <cellStyle name="Normal 2 2 2 3 3 3 2" xfId="25735"/>
    <cellStyle name="Normal 2 2 2 3 3 3 2 2" xfId="25736"/>
    <cellStyle name="Normal 2 2 2 3 3 3 3" xfId="25737"/>
    <cellStyle name="Normal 2 2 2 3 3 3 3 2" xfId="25738"/>
    <cellStyle name="Normal 2 2 2 3 3 3 4" xfId="25739"/>
    <cellStyle name="Normal 2 2 2 3 3 3 4 2" xfId="25740"/>
    <cellStyle name="Normal 2 2 2 3 3 3 5" xfId="25741"/>
    <cellStyle name="Normal 2 2 2 3 3 3 6" xfId="25742"/>
    <cellStyle name="Normal 2 2 2 3 3 4" xfId="25743"/>
    <cellStyle name="Normal 2 2 2 3 3 4 2" xfId="25744"/>
    <cellStyle name="Normal 2 2 2 3 3 4 2 2" xfId="25745"/>
    <cellStyle name="Normal 2 2 2 3 3 4 3" xfId="25746"/>
    <cellStyle name="Normal 2 2 2 3 3 4 3 2" xfId="25747"/>
    <cellStyle name="Normal 2 2 2 3 3 4 4" xfId="25748"/>
    <cellStyle name="Normal 2 2 2 3 3 4 4 2" xfId="25749"/>
    <cellStyle name="Normal 2 2 2 3 3 4 5" xfId="25750"/>
    <cellStyle name="Normal 2 2 2 3 3 4 6" xfId="25751"/>
    <cellStyle name="Normal 2 2 2 3 3 5" xfId="25752"/>
    <cellStyle name="Normal 2 2 2 3 3 5 2" xfId="25753"/>
    <cellStyle name="Normal 2 2 2 3 3 5 2 2" xfId="25754"/>
    <cellStyle name="Normal 2 2 2 3 3 5 3" xfId="25755"/>
    <cellStyle name="Normal 2 2 2 3 3 5 3 2" xfId="25756"/>
    <cellStyle name="Normal 2 2 2 3 3 5 4" xfId="25757"/>
    <cellStyle name="Normal 2 2 2 3 3 5 5" xfId="25758"/>
    <cellStyle name="Normal 2 2 2 3 3 6" xfId="25759"/>
    <cellStyle name="Normal 2 2 2 3 3 6 2" xfId="25760"/>
    <cellStyle name="Normal 2 2 2 3 3 7" xfId="25761"/>
    <cellStyle name="Normal 2 2 2 3 3 7 2" xfId="25762"/>
    <cellStyle name="Normal 2 2 2 3 3 8" xfId="25763"/>
    <cellStyle name="Normal 2 2 2 3 3 8 2" xfId="25764"/>
    <cellStyle name="Normal 2 2 2 3 3 9" xfId="25765"/>
    <cellStyle name="Normal 2 2 2 3 4" xfId="25766"/>
    <cellStyle name="Normal 2 2 2 3 4 10" xfId="25767"/>
    <cellStyle name="Normal 2 2 2 3 4 2" xfId="25768"/>
    <cellStyle name="Normal 2 2 2 3 4 2 2" xfId="25769"/>
    <cellStyle name="Normal 2 2 2 3 4 2 2 2" xfId="25770"/>
    <cellStyle name="Normal 2 2 2 3 4 2 3" xfId="25771"/>
    <cellStyle name="Normal 2 2 2 3 4 2 3 2" xfId="25772"/>
    <cellStyle name="Normal 2 2 2 3 4 2 4" xfId="25773"/>
    <cellStyle name="Normal 2 2 2 3 4 2 4 2" xfId="25774"/>
    <cellStyle name="Normal 2 2 2 3 4 2 5" xfId="25775"/>
    <cellStyle name="Normal 2 2 2 3 4 2 6" xfId="25776"/>
    <cellStyle name="Normal 2 2 2 3 4 3" xfId="25777"/>
    <cellStyle name="Normal 2 2 2 3 4 3 2" xfId="25778"/>
    <cellStyle name="Normal 2 2 2 3 4 3 2 2" xfId="25779"/>
    <cellStyle name="Normal 2 2 2 3 4 3 3" xfId="25780"/>
    <cellStyle name="Normal 2 2 2 3 4 3 3 2" xfId="25781"/>
    <cellStyle name="Normal 2 2 2 3 4 3 4" xfId="25782"/>
    <cellStyle name="Normal 2 2 2 3 4 3 4 2" xfId="25783"/>
    <cellStyle name="Normal 2 2 2 3 4 3 5" xfId="25784"/>
    <cellStyle name="Normal 2 2 2 3 4 3 6" xfId="25785"/>
    <cellStyle name="Normal 2 2 2 3 4 4" xfId="25786"/>
    <cellStyle name="Normal 2 2 2 3 4 4 2" xfId="25787"/>
    <cellStyle name="Normal 2 2 2 3 4 4 2 2" xfId="25788"/>
    <cellStyle name="Normal 2 2 2 3 4 4 3" xfId="25789"/>
    <cellStyle name="Normal 2 2 2 3 4 4 3 2" xfId="25790"/>
    <cellStyle name="Normal 2 2 2 3 4 4 4" xfId="25791"/>
    <cellStyle name="Normal 2 2 2 3 4 4 4 2" xfId="25792"/>
    <cellStyle name="Normal 2 2 2 3 4 4 5" xfId="25793"/>
    <cellStyle name="Normal 2 2 2 3 4 4 6" xfId="25794"/>
    <cellStyle name="Normal 2 2 2 3 4 5" xfId="25795"/>
    <cellStyle name="Normal 2 2 2 3 4 5 2" xfId="25796"/>
    <cellStyle name="Normal 2 2 2 3 4 5 2 2" xfId="25797"/>
    <cellStyle name="Normal 2 2 2 3 4 5 3" xfId="25798"/>
    <cellStyle name="Normal 2 2 2 3 4 5 3 2" xfId="25799"/>
    <cellStyle name="Normal 2 2 2 3 4 5 4" xfId="25800"/>
    <cellStyle name="Normal 2 2 2 3 4 5 5" xfId="25801"/>
    <cellStyle name="Normal 2 2 2 3 4 6" xfId="25802"/>
    <cellStyle name="Normal 2 2 2 3 4 6 2" xfId="25803"/>
    <cellStyle name="Normal 2 2 2 3 4 7" xfId="25804"/>
    <cellStyle name="Normal 2 2 2 3 4 7 2" xfId="25805"/>
    <cellStyle name="Normal 2 2 2 3 4 8" xfId="25806"/>
    <cellStyle name="Normal 2 2 2 3 4 8 2" xfId="25807"/>
    <cellStyle name="Normal 2 2 2 3 4 9" xfId="25808"/>
    <cellStyle name="Normal 2 2 2 3 5" xfId="25809"/>
    <cellStyle name="Normal 2 2 2 3 5 2" xfId="25810"/>
    <cellStyle name="Normal 2 2 2 3 5 2 2" xfId="25811"/>
    <cellStyle name="Normal 2 2 2 3 5 3" xfId="25812"/>
    <cellStyle name="Normal 2 2 2 3 5 3 2" xfId="25813"/>
    <cellStyle name="Normal 2 2 2 3 5 4" xfId="25814"/>
    <cellStyle name="Normal 2 2 2 3 5 4 2" xfId="25815"/>
    <cellStyle name="Normal 2 2 2 3 5 5" xfId="25816"/>
    <cellStyle name="Normal 2 2 2 3 5 6" xfId="25817"/>
    <cellStyle name="Normal 2 2 2 3 6" xfId="25818"/>
    <cellStyle name="Normal 2 2 2 3 6 2" xfId="25819"/>
    <cellStyle name="Normal 2 2 2 3 6 2 2" xfId="25820"/>
    <cellStyle name="Normal 2 2 2 3 6 3" xfId="25821"/>
    <cellStyle name="Normal 2 2 2 3 6 3 2" xfId="25822"/>
    <cellStyle name="Normal 2 2 2 3 6 4" xfId="25823"/>
    <cellStyle name="Normal 2 2 2 3 6 4 2" xfId="25824"/>
    <cellStyle name="Normal 2 2 2 3 6 5" xfId="25825"/>
    <cellStyle name="Normal 2 2 2 3 6 6" xfId="25826"/>
    <cellStyle name="Normal 2 2 2 3 7" xfId="25827"/>
    <cellStyle name="Normal 2 2 2 3 7 2" xfId="25828"/>
    <cellStyle name="Normal 2 2 2 3 7 2 2" xfId="25829"/>
    <cellStyle name="Normal 2 2 2 3 7 3" xfId="25830"/>
    <cellStyle name="Normal 2 2 2 3 7 3 2" xfId="25831"/>
    <cellStyle name="Normal 2 2 2 3 7 4" xfId="25832"/>
    <cellStyle name="Normal 2 2 2 3 7 4 2" xfId="25833"/>
    <cellStyle name="Normal 2 2 2 3 7 5" xfId="25834"/>
    <cellStyle name="Normal 2 2 2 3 7 6" xfId="25835"/>
    <cellStyle name="Normal 2 2 2 3 8" xfId="25836"/>
    <cellStyle name="Normal 2 2 2 3 8 2" xfId="25837"/>
    <cellStyle name="Normal 2 2 2 3 8 2 2" xfId="25838"/>
    <cellStyle name="Normal 2 2 2 3 8 3" xfId="25839"/>
    <cellStyle name="Normal 2 2 2 3 8 3 2" xfId="25840"/>
    <cellStyle name="Normal 2 2 2 3 8 4" xfId="25841"/>
    <cellStyle name="Normal 2 2 2 3 8 5" xfId="25842"/>
    <cellStyle name="Normal 2 2 2 3 9" xfId="25843"/>
    <cellStyle name="Normal 2 2 2 3 9 2" xfId="25844"/>
    <cellStyle name="Normal 2 2 2 4" xfId="25845"/>
    <cellStyle name="Normal 2 2 2 4 10" xfId="25846"/>
    <cellStyle name="Normal 2 2 2 4 10 2" xfId="25847"/>
    <cellStyle name="Normal 2 2 2 4 11" xfId="25848"/>
    <cellStyle name="Normal 2 2 2 4 11 2" xfId="25849"/>
    <cellStyle name="Normal 2 2 2 4 12" xfId="25850"/>
    <cellStyle name="Normal 2 2 2 4 13" xfId="25851"/>
    <cellStyle name="Normal 2 2 2 4 2" xfId="25852"/>
    <cellStyle name="Normal 2 2 2 4 2 10" xfId="25853"/>
    <cellStyle name="Normal 2 2 2 4 2 11" xfId="25854"/>
    <cellStyle name="Normal 2 2 2 4 2 2" xfId="25855"/>
    <cellStyle name="Normal 2 2 2 4 2 2 2" xfId="25856"/>
    <cellStyle name="Normal 2 2 2 4 2 2 2 2" xfId="25857"/>
    <cellStyle name="Normal 2 2 2 4 2 2 3" xfId="25858"/>
    <cellStyle name="Normal 2 2 2 4 2 2 3 2" xfId="25859"/>
    <cellStyle name="Normal 2 2 2 4 2 2 4" xfId="25860"/>
    <cellStyle name="Normal 2 2 2 4 2 2 4 2" xfId="25861"/>
    <cellStyle name="Normal 2 2 2 4 2 2 5" xfId="25862"/>
    <cellStyle name="Normal 2 2 2 4 2 2 6" xfId="25863"/>
    <cellStyle name="Normal 2 2 2 4 2 3" xfId="25864"/>
    <cellStyle name="Normal 2 2 2 4 2 3 2" xfId="25865"/>
    <cellStyle name="Normal 2 2 2 4 2 3 2 2" xfId="25866"/>
    <cellStyle name="Normal 2 2 2 4 2 3 3" xfId="25867"/>
    <cellStyle name="Normal 2 2 2 4 2 3 3 2" xfId="25868"/>
    <cellStyle name="Normal 2 2 2 4 2 3 4" xfId="25869"/>
    <cellStyle name="Normal 2 2 2 4 2 3 4 2" xfId="25870"/>
    <cellStyle name="Normal 2 2 2 4 2 3 5" xfId="25871"/>
    <cellStyle name="Normal 2 2 2 4 2 3 6" xfId="25872"/>
    <cellStyle name="Normal 2 2 2 4 2 4" xfId="25873"/>
    <cellStyle name="Normal 2 2 2 4 2 4 2" xfId="25874"/>
    <cellStyle name="Normal 2 2 2 4 2 4 2 2" xfId="25875"/>
    <cellStyle name="Normal 2 2 2 4 2 4 3" xfId="25876"/>
    <cellStyle name="Normal 2 2 2 4 2 4 3 2" xfId="25877"/>
    <cellStyle name="Normal 2 2 2 4 2 4 4" xfId="25878"/>
    <cellStyle name="Normal 2 2 2 4 2 4 4 2" xfId="25879"/>
    <cellStyle name="Normal 2 2 2 4 2 4 5" xfId="25880"/>
    <cellStyle name="Normal 2 2 2 4 2 4 6" xfId="25881"/>
    <cellStyle name="Normal 2 2 2 4 2 5" xfId="25882"/>
    <cellStyle name="Normal 2 2 2 4 2 5 2" xfId="25883"/>
    <cellStyle name="Normal 2 2 2 4 2 5 2 2" xfId="25884"/>
    <cellStyle name="Normal 2 2 2 4 2 5 3" xfId="25885"/>
    <cellStyle name="Normal 2 2 2 4 2 5 3 2" xfId="25886"/>
    <cellStyle name="Normal 2 2 2 4 2 5 4" xfId="25887"/>
    <cellStyle name="Normal 2 2 2 4 2 5 4 2" xfId="25888"/>
    <cellStyle name="Normal 2 2 2 4 2 5 5" xfId="25889"/>
    <cellStyle name="Normal 2 2 2 4 2 5 6" xfId="25890"/>
    <cellStyle name="Normal 2 2 2 4 2 6" xfId="25891"/>
    <cellStyle name="Normal 2 2 2 4 2 6 2" xfId="25892"/>
    <cellStyle name="Normal 2 2 2 4 2 6 2 2" xfId="25893"/>
    <cellStyle name="Normal 2 2 2 4 2 6 3" xfId="25894"/>
    <cellStyle name="Normal 2 2 2 4 2 6 3 2" xfId="25895"/>
    <cellStyle name="Normal 2 2 2 4 2 6 4" xfId="25896"/>
    <cellStyle name="Normal 2 2 2 4 2 6 5" xfId="25897"/>
    <cellStyle name="Normal 2 2 2 4 2 7" xfId="25898"/>
    <cellStyle name="Normal 2 2 2 4 2 7 2" xfId="25899"/>
    <cellStyle name="Normal 2 2 2 4 2 8" xfId="25900"/>
    <cellStyle name="Normal 2 2 2 4 2 8 2" xfId="25901"/>
    <cellStyle name="Normal 2 2 2 4 2 9" xfId="25902"/>
    <cellStyle name="Normal 2 2 2 4 2 9 2" xfId="25903"/>
    <cellStyle name="Normal 2 2 2 4 3" xfId="25904"/>
    <cellStyle name="Normal 2 2 2 4 3 10" xfId="25905"/>
    <cellStyle name="Normal 2 2 2 4 3 2" xfId="25906"/>
    <cellStyle name="Normal 2 2 2 4 3 2 2" xfId="25907"/>
    <cellStyle name="Normal 2 2 2 4 3 2 2 2" xfId="25908"/>
    <cellStyle name="Normal 2 2 2 4 3 2 3" xfId="25909"/>
    <cellStyle name="Normal 2 2 2 4 3 2 3 2" xfId="25910"/>
    <cellStyle name="Normal 2 2 2 4 3 2 4" xfId="25911"/>
    <cellStyle name="Normal 2 2 2 4 3 2 4 2" xfId="25912"/>
    <cellStyle name="Normal 2 2 2 4 3 2 5" xfId="25913"/>
    <cellStyle name="Normal 2 2 2 4 3 2 6" xfId="25914"/>
    <cellStyle name="Normal 2 2 2 4 3 3" xfId="25915"/>
    <cellStyle name="Normal 2 2 2 4 3 3 2" xfId="25916"/>
    <cellStyle name="Normal 2 2 2 4 3 3 2 2" xfId="25917"/>
    <cellStyle name="Normal 2 2 2 4 3 3 3" xfId="25918"/>
    <cellStyle name="Normal 2 2 2 4 3 3 3 2" xfId="25919"/>
    <cellStyle name="Normal 2 2 2 4 3 3 4" xfId="25920"/>
    <cellStyle name="Normal 2 2 2 4 3 3 4 2" xfId="25921"/>
    <cellStyle name="Normal 2 2 2 4 3 3 5" xfId="25922"/>
    <cellStyle name="Normal 2 2 2 4 3 3 6" xfId="25923"/>
    <cellStyle name="Normal 2 2 2 4 3 4" xfId="25924"/>
    <cellStyle name="Normal 2 2 2 4 3 4 2" xfId="25925"/>
    <cellStyle name="Normal 2 2 2 4 3 4 2 2" xfId="25926"/>
    <cellStyle name="Normal 2 2 2 4 3 4 3" xfId="25927"/>
    <cellStyle name="Normal 2 2 2 4 3 4 3 2" xfId="25928"/>
    <cellStyle name="Normal 2 2 2 4 3 4 4" xfId="25929"/>
    <cellStyle name="Normal 2 2 2 4 3 4 4 2" xfId="25930"/>
    <cellStyle name="Normal 2 2 2 4 3 4 5" xfId="25931"/>
    <cellStyle name="Normal 2 2 2 4 3 4 6" xfId="25932"/>
    <cellStyle name="Normal 2 2 2 4 3 5" xfId="25933"/>
    <cellStyle name="Normal 2 2 2 4 3 5 2" xfId="25934"/>
    <cellStyle name="Normal 2 2 2 4 3 5 2 2" xfId="25935"/>
    <cellStyle name="Normal 2 2 2 4 3 5 3" xfId="25936"/>
    <cellStyle name="Normal 2 2 2 4 3 5 3 2" xfId="25937"/>
    <cellStyle name="Normal 2 2 2 4 3 5 4" xfId="25938"/>
    <cellStyle name="Normal 2 2 2 4 3 5 5" xfId="25939"/>
    <cellStyle name="Normal 2 2 2 4 3 6" xfId="25940"/>
    <cellStyle name="Normal 2 2 2 4 3 6 2" xfId="25941"/>
    <cellStyle name="Normal 2 2 2 4 3 7" xfId="25942"/>
    <cellStyle name="Normal 2 2 2 4 3 7 2" xfId="25943"/>
    <cellStyle name="Normal 2 2 2 4 3 8" xfId="25944"/>
    <cellStyle name="Normal 2 2 2 4 3 8 2" xfId="25945"/>
    <cellStyle name="Normal 2 2 2 4 3 9" xfId="25946"/>
    <cellStyle name="Normal 2 2 2 4 4" xfId="25947"/>
    <cellStyle name="Normal 2 2 2 4 4 10" xfId="25948"/>
    <cellStyle name="Normal 2 2 2 4 4 2" xfId="25949"/>
    <cellStyle name="Normal 2 2 2 4 4 2 2" xfId="25950"/>
    <cellStyle name="Normal 2 2 2 4 4 2 2 2" xfId="25951"/>
    <cellStyle name="Normal 2 2 2 4 4 2 3" xfId="25952"/>
    <cellStyle name="Normal 2 2 2 4 4 2 3 2" xfId="25953"/>
    <cellStyle name="Normal 2 2 2 4 4 2 4" xfId="25954"/>
    <cellStyle name="Normal 2 2 2 4 4 2 4 2" xfId="25955"/>
    <cellStyle name="Normal 2 2 2 4 4 2 5" xfId="25956"/>
    <cellStyle name="Normal 2 2 2 4 4 2 6" xfId="25957"/>
    <cellStyle name="Normal 2 2 2 4 4 3" xfId="25958"/>
    <cellStyle name="Normal 2 2 2 4 4 3 2" xfId="25959"/>
    <cellStyle name="Normal 2 2 2 4 4 3 2 2" xfId="25960"/>
    <cellStyle name="Normal 2 2 2 4 4 3 3" xfId="25961"/>
    <cellStyle name="Normal 2 2 2 4 4 3 3 2" xfId="25962"/>
    <cellStyle name="Normal 2 2 2 4 4 3 4" xfId="25963"/>
    <cellStyle name="Normal 2 2 2 4 4 3 4 2" xfId="25964"/>
    <cellStyle name="Normal 2 2 2 4 4 3 5" xfId="25965"/>
    <cellStyle name="Normal 2 2 2 4 4 3 6" xfId="25966"/>
    <cellStyle name="Normal 2 2 2 4 4 4" xfId="25967"/>
    <cellStyle name="Normal 2 2 2 4 4 4 2" xfId="25968"/>
    <cellStyle name="Normal 2 2 2 4 4 4 2 2" xfId="25969"/>
    <cellStyle name="Normal 2 2 2 4 4 4 3" xfId="25970"/>
    <cellStyle name="Normal 2 2 2 4 4 4 3 2" xfId="25971"/>
    <cellStyle name="Normal 2 2 2 4 4 4 4" xfId="25972"/>
    <cellStyle name="Normal 2 2 2 4 4 4 4 2" xfId="25973"/>
    <cellStyle name="Normal 2 2 2 4 4 4 5" xfId="25974"/>
    <cellStyle name="Normal 2 2 2 4 4 4 6" xfId="25975"/>
    <cellStyle name="Normal 2 2 2 4 4 5" xfId="25976"/>
    <cellStyle name="Normal 2 2 2 4 4 5 2" xfId="25977"/>
    <cellStyle name="Normal 2 2 2 4 4 5 2 2" xfId="25978"/>
    <cellStyle name="Normal 2 2 2 4 4 5 3" xfId="25979"/>
    <cellStyle name="Normal 2 2 2 4 4 5 3 2" xfId="25980"/>
    <cellStyle name="Normal 2 2 2 4 4 5 4" xfId="25981"/>
    <cellStyle name="Normal 2 2 2 4 4 5 5" xfId="25982"/>
    <cellStyle name="Normal 2 2 2 4 4 6" xfId="25983"/>
    <cellStyle name="Normal 2 2 2 4 4 6 2" xfId="25984"/>
    <cellStyle name="Normal 2 2 2 4 4 7" xfId="25985"/>
    <cellStyle name="Normal 2 2 2 4 4 7 2" xfId="25986"/>
    <cellStyle name="Normal 2 2 2 4 4 8" xfId="25987"/>
    <cellStyle name="Normal 2 2 2 4 4 8 2" xfId="25988"/>
    <cellStyle name="Normal 2 2 2 4 4 9" xfId="25989"/>
    <cellStyle name="Normal 2 2 2 4 5" xfId="25990"/>
    <cellStyle name="Normal 2 2 2 4 5 2" xfId="25991"/>
    <cellStyle name="Normal 2 2 2 4 5 2 2" xfId="25992"/>
    <cellStyle name="Normal 2 2 2 4 5 3" xfId="25993"/>
    <cellStyle name="Normal 2 2 2 4 5 3 2" xfId="25994"/>
    <cellStyle name="Normal 2 2 2 4 5 4" xfId="25995"/>
    <cellStyle name="Normal 2 2 2 4 5 4 2" xfId="25996"/>
    <cellStyle name="Normal 2 2 2 4 5 5" xfId="25997"/>
    <cellStyle name="Normal 2 2 2 4 5 6" xfId="25998"/>
    <cellStyle name="Normal 2 2 2 4 6" xfId="25999"/>
    <cellStyle name="Normal 2 2 2 4 6 2" xfId="26000"/>
    <cellStyle name="Normal 2 2 2 4 6 2 2" xfId="26001"/>
    <cellStyle name="Normal 2 2 2 4 6 3" xfId="26002"/>
    <cellStyle name="Normal 2 2 2 4 6 3 2" xfId="26003"/>
    <cellStyle name="Normal 2 2 2 4 6 4" xfId="26004"/>
    <cellStyle name="Normal 2 2 2 4 6 4 2" xfId="26005"/>
    <cellStyle name="Normal 2 2 2 4 6 5" xfId="26006"/>
    <cellStyle name="Normal 2 2 2 4 6 6" xfId="26007"/>
    <cellStyle name="Normal 2 2 2 4 7" xfId="26008"/>
    <cellStyle name="Normal 2 2 2 4 7 2" xfId="26009"/>
    <cellStyle name="Normal 2 2 2 4 7 2 2" xfId="26010"/>
    <cellStyle name="Normal 2 2 2 4 7 3" xfId="26011"/>
    <cellStyle name="Normal 2 2 2 4 7 3 2" xfId="26012"/>
    <cellStyle name="Normal 2 2 2 4 7 4" xfId="26013"/>
    <cellStyle name="Normal 2 2 2 4 7 4 2" xfId="26014"/>
    <cellStyle name="Normal 2 2 2 4 7 5" xfId="26015"/>
    <cellStyle name="Normal 2 2 2 4 7 6" xfId="26016"/>
    <cellStyle name="Normal 2 2 2 4 8" xfId="26017"/>
    <cellStyle name="Normal 2 2 2 4 8 2" xfId="26018"/>
    <cellStyle name="Normal 2 2 2 4 8 2 2" xfId="26019"/>
    <cellStyle name="Normal 2 2 2 4 8 3" xfId="26020"/>
    <cellStyle name="Normal 2 2 2 4 8 3 2" xfId="26021"/>
    <cellStyle name="Normal 2 2 2 4 8 4" xfId="26022"/>
    <cellStyle name="Normal 2 2 2 4 8 5" xfId="26023"/>
    <cellStyle name="Normal 2 2 2 4 9" xfId="26024"/>
    <cellStyle name="Normal 2 2 2 4 9 2" xfId="26025"/>
    <cellStyle name="Normal 2 2 2 5" xfId="26026"/>
    <cellStyle name="Normal 2 2 2 5 10" xfId="26027"/>
    <cellStyle name="Normal 2 2 2 5 10 2" xfId="26028"/>
    <cellStyle name="Normal 2 2 2 5 11" xfId="26029"/>
    <cellStyle name="Normal 2 2 2 5 12" xfId="26030"/>
    <cellStyle name="Normal 2 2 2 5 2" xfId="26031"/>
    <cellStyle name="Normal 2 2 2 5 2 10" xfId="26032"/>
    <cellStyle name="Normal 2 2 2 5 2 2" xfId="26033"/>
    <cellStyle name="Normal 2 2 2 5 2 2 2" xfId="26034"/>
    <cellStyle name="Normal 2 2 2 5 2 2 2 2" xfId="26035"/>
    <cellStyle name="Normal 2 2 2 5 2 2 3" xfId="26036"/>
    <cellStyle name="Normal 2 2 2 5 2 2 3 2" xfId="26037"/>
    <cellStyle name="Normal 2 2 2 5 2 2 4" xfId="26038"/>
    <cellStyle name="Normal 2 2 2 5 2 2 4 2" xfId="26039"/>
    <cellStyle name="Normal 2 2 2 5 2 2 5" xfId="26040"/>
    <cellStyle name="Normal 2 2 2 5 2 2 6" xfId="26041"/>
    <cellStyle name="Normal 2 2 2 5 2 3" xfId="26042"/>
    <cellStyle name="Normal 2 2 2 5 2 3 2" xfId="26043"/>
    <cellStyle name="Normal 2 2 2 5 2 3 2 2" xfId="26044"/>
    <cellStyle name="Normal 2 2 2 5 2 3 3" xfId="26045"/>
    <cellStyle name="Normal 2 2 2 5 2 3 3 2" xfId="26046"/>
    <cellStyle name="Normal 2 2 2 5 2 3 4" xfId="26047"/>
    <cellStyle name="Normal 2 2 2 5 2 3 4 2" xfId="26048"/>
    <cellStyle name="Normal 2 2 2 5 2 3 5" xfId="26049"/>
    <cellStyle name="Normal 2 2 2 5 2 3 6" xfId="26050"/>
    <cellStyle name="Normal 2 2 2 5 2 4" xfId="26051"/>
    <cellStyle name="Normal 2 2 2 5 2 4 2" xfId="26052"/>
    <cellStyle name="Normal 2 2 2 5 2 4 2 2" xfId="26053"/>
    <cellStyle name="Normal 2 2 2 5 2 4 3" xfId="26054"/>
    <cellStyle name="Normal 2 2 2 5 2 4 3 2" xfId="26055"/>
    <cellStyle name="Normal 2 2 2 5 2 4 4" xfId="26056"/>
    <cellStyle name="Normal 2 2 2 5 2 4 4 2" xfId="26057"/>
    <cellStyle name="Normal 2 2 2 5 2 4 5" xfId="26058"/>
    <cellStyle name="Normal 2 2 2 5 2 4 6" xfId="26059"/>
    <cellStyle name="Normal 2 2 2 5 2 5" xfId="26060"/>
    <cellStyle name="Normal 2 2 2 5 2 5 2" xfId="26061"/>
    <cellStyle name="Normal 2 2 2 5 2 5 2 2" xfId="26062"/>
    <cellStyle name="Normal 2 2 2 5 2 5 3" xfId="26063"/>
    <cellStyle name="Normal 2 2 2 5 2 5 3 2" xfId="26064"/>
    <cellStyle name="Normal 2 2 2 5 2 5 4" xfId="26065"/>
    <cellStyle name="Normal 2 2 2 5 2 5 5" xfId="26066"/>
    <cellStyle name="Normal 2 2 2 5 2 6" xfId="26067"/>
    <cellStyle name="Normal 2 2 2 5 2 6 2" xfId="26068"/>
    <cellStyle name="Normal 2 2 2 5 2 7" xfId="26069"/>
    <cellStyle name="Normal 2 2 2 5 2 7 2" xfId="26070"/>
    <cellStyle name="Normal 2 2 2 5 2 8" xfId="26071"/>
    <cellStyle name="Normal 2 2 2 5 2 8 2" xfId="26072"/>
    <cellStyle name="Normal 2 2 2 5 2 9" xfId="26073"/>
    <cellStyle name="Normal 2 2 2 5 3" xfId="26074"/>
    <cellStyle name="Normal 2 2 2 5 3 10" xfId="26075"/>
    <cellStyle name="Normal 2 2 2 5 3 2" xfId="26076"/>
    <cellStyle name="Normal 2 2 2 5 3 2 2" xfId="26077"/>
    <cellStyle name="Normal 2 2 2 5 3 2 2 2" xfId="26078"/>
    <cellStyle name="Normal 2 2 2 5 3 2 3" xfId="26079"/>
    <cellStyle name="Normal 2 2 2 5 3 2 3 2" xfId="26080"/>
    <cellStyle name="Normal 2 2 2 5 3 2 4" xfId="26081"/>
    <cellStyle name="Normal 2 2 2 5 3 2 4 2" xfId="26082"/>
    <cellStyle name="Normal 2 2 2 5 3 2 5" xfId="26083"/>
    <cellStyle name="Normal 2 2 2 5 3 2 6" xfId="26084"/>
    <cellStyle name="Normal 2 2 2 5 3 3" xfId="26085"/>
    <cellStyle name="Normal 2 2 2 5 3 3 2" xfId="26086"/>
    <cellStyle name="Normal 2 2 2 5 3 3 2 2" xfId="26087"/>
    <cellStyle name="Normal 2 2 2 5 3 3 3" xfId="26088"/>
    <cellStyle name="Normal 2 2 2 5 3 3 3 2" xfId="26089"/>
    <cellStyle name="Normal 2 2 2 5 3 3 4" xfId="26090"/>
    <cellStyle name="Normal 2 2 2 5 3 3 4 2" xfId="26091"/>
    <cellStyle name="Normal 2 2 2 5 3 3 5" xfId="26092"/>
    <cellStyle name="Normal 2 2 2 5 3 3 6" xfId="26093"/>
    <cellStyle name="Normal 2 2 2 5 3 4" xfId="26094"/>
    <cellStyle name="Normal 2 2 2 5 3 4 2" xfId="26095"/>
    <cellStyle name="Normal 2 2 2 5 3 4 2 2" xfId="26096"/>
    <cellStyle name="Normal 2 2 2 5 3 4 3" xfId="26097"/>
    <cellStyle name="Normal 2 2 2 5 3 4 3 2" xfId="26098"/>
    <cellStyle name="Normal 2 2 2 5 3 4 4" xfId="26099"/>
    <cellStyle name="Normal 2 2 2 5 3 4 4 2" xfId="26100"/>
    <cellStyle name="Normal 2 2 2 5 3 4 5" xfId="26101"/>
    <cellStyle name="Normal 2 2 2 5 3 4 6" xfId="26102"/>
    <cellStyle name="Normal 2 2 2 5 3 5" xfId="26103"/>
    <cellStyle name="Normal 2 2 2 5 3 5 2" xfId="26104"/>
    <cellStyle name="Normal 2 2 2 5 3 5 2 2" xfId="26105"/>
    <cellStyle name="Normal 2 2 2 5 3 5 3" xfId="26106"/>
    <cellStyle name="Normal 2 2 2 5 3 5 3 2" xfId="26107"/>
    <cellStyle name="Normal 2 2 2 5 3 5 4" xfId="26108"/>
    <cellStyle name="Normal 2 2 2 5 3 5 5" xfId="26109"/>
    <cellStyle name="Normal 2 2 2 5 3 6" xfId="26110"/>
    <cellStyle name="Normal 2 2 2 5 3 6 2" xfId="26111"/>
    <cellStyle name="Normal 2 2 2 5 3 7" xfId="26112"/>
    <cellStyle name="Normal 2 2 2 5 3 7 2" xfId="26113"/>
    <cellStyle name="Normal 2 2 2 5 3 8" xfId="26114"/>
    <cellStyle name="Normal 2 2 2 5 3 8 2" xfId="26115"/>
    <cellStyle name="Normal 2 2 2 5 3 9" xfId="26116"/>
    <cellStyle name="Normal 2 2 2 5 4" xfId="26117"/>
    <cellStyle name="Normal 2 2 2 5 4 2" xfId="26118"/>
    <cellStyle name="Normal 2 2 2 5 4 2 2" xfId="26119"/>
    <cellStyle name="Normal 2 2 2 5 4 3" xfId="26120"/>
    <cellStyle name="Normal 2 2 2 5 4 3 2" xfId="26121"/>
    <cellStyle name="Normal 2 2 2 5 4 4" xfId="26122"/>
    <cellStyle name="Normal 2 2 2 5 4 4 2" xfId="26123"/>
    <cellStyle name="Normal 2 2 2 5 4 5" xfId="26124"/>
    <cellStyle name="Normal 2 2 2 5 4 6" xfId="26125"/>
    <cellStyle name="Normal 2 2 2 5 5" xfId="26126"/>
    <cellStyle name="Normal 2 2 2 5 5 2" xfId="26127"/>
    <cellStyle name="Normal 2 2 2 5 5 2 2" xfId="26128"/>
    <cellStyle name="Normal 2 2 2 5 5 3" xfId="26129"/>
    <cellStyle name="Normal 2 2 2 5 5 3 2" xfId="26130"/>
    <cellStyle name="Normal 2 2 2 5 5 4" xfId="26131"/>
    <cellStyle name="Normal 2 2 2 5 5 4 2" xfId="26132"/>
    <cellStyle name="Normal 2 2 2 5 5 5" xfId="26133"/>
    <cellStyle name="Normal 2 2 2 5 5 6" xfId="26134"/>
    <cellStyle name="Normal 2 2 2 5 6" xfId="26135"/>
    <cellStyle name="Normal 2 2 2 5 6 2" xfId="26136"/>
    <cellStyle name="Normal 2 2 2 5 6 2 2" xfId="26137"/>
    <cellStyle name="Normal 2 2 2 5 6 3" xfId="26138"/>
    <cellStyle name="Normal 2 2 2 5 6 3 2" xfId="26139"/>
    <cellStyle name="Normal 2 2 2 5 6 4" xfId="26140"/>
    <cellStyle name="Normal 2 2 2 5 6 4 2" xfId="26141"/>
    <cellStyle name="Normal 2 2 2 5 6 5" xfId="26142"/>
    <cellStyle name="Normal 2 2 2 5 6 6" xfId="26143"/>
    <cellStyle name="Normal 2 2 2 5 7" xfId="26144"/>
    <cellStyle name="Normal 2 2 2 5 7 2" xfId="26145"/>
    <cellStyle name="Normal 2 2 2 5 7 2 2" xfId="26146"/>
    <cellStyle name="Normal 2 2 2 5 7 3" xfId="26147"/>
    <cellStyle name="Normal 2 2 2 5 7 3 2" xfId="26148"/>
    <cellStyle name="Normal 2 2 2 5 7 4" xfId="26149"/>
    <cellStyle name="Normal 2 2 2 5 7 5" xfId="26150"/>
    <cellStyle name="Normal 2 2 2 5 8" xfId="26151"/>
    <cellStyle name="Normal 2 2 2 5 8 2" xfId="26152"/>
    <cellStyle name="Normal 2 2 2 5 9" xfId="26153"/>
    <cellStyle name="Normal 2 2 2 5 9 2" xfId="26154"/>
    <cellStyle name="Normal 2 2 2 6" xfId="26155"/>
    <cellStyle name="Normal 2 2 2 6 10" xfId="26156"/>
    <cellStyle name="Normal 2 2 2 6 11" xfId="26157"/>
    <cellStyle name="Normal 2 2 2 6 2" xfId="26158"/>
    <cellStyle name="Normal 2 2 2 6 2 2" xfId="26159"/>
    <cellStyle name="Normal 2 2 2 6 2 2 2" xfId="26160"/>
    <cellStyle name="Normal 2 2 2 6 2 3" xfId="26161"/>
    <cellStyle name="Normal 2 2 2 6 2 3 2" xfId="26162"/>
    <cellStyle name="Normal 2 2 2 6 2 4" xfId="26163"/>
    <cellStyle name="Normal 2 2 2 6 2 4 2" xfId="26164"/>
    <cellStyle name="Normal 2 2 2 6 2 5" xfId="26165"/>
    <cellStyle name="Normal 2 2 2 6 2 6" xfId="26166"/>
    <cellStyle name="Normal 2 2 2 6 3" xfId="26167"/>
    <cellStyle name="Normal 2 2 2 6 3 2" xfId="26168"/>
    <cellStyle name="Normal 2 2 2 6 3 2 2" xfId="26169"/>
    <cellStyle name="Normal 2 2 2 6 3 3" xfId="26170"/>
    <cellStyle name="Normal 2 2 2 6 3 3 2" xfId="26171"/>
    <cellStyle name="Normal 2 2 2 6 3 4" xfId="26172"/>
    <cellStyle name="Normal 2 2 2 6 3 4 2" xfId="26173"/>
    <cellStyle name="Normal 2 2 2 6 3 5" xfId="26174"/>
    <cellStyle name="Normal 2 2 2 6 3 6" xfId="26175"/>
    <cellStyle name="Normal 2 2 2 6 4" xfId="26176"/>
    <cellStyle name="Normal 2 2 2 6 4 2" xfId="26177"/>
    <cellStyle name="Normal 2 2 2 6 4 2 2" xfId="26178"/>
    <cellStyle name="Normal 2 2 2 6 4 3" xfId="26179"/>
    <cellStyle name="Normal 2 2 2 6 4 3 2" xfId="26180"/>
    <cellStyle name="Normal 2 2 2 6 4 4" xfId="26181"/>
    <cellStyle name="Normal 2 2 2 6 4 4 2" xfId="26182"/>
    <cellStyle name="Normal 2 2 2 6 4 5" xfId="26183"/>
    <cellStyle name="Normal 2 2 2 6 4 6" xfId="26184"/>
    <cellStyle name="Normal 2 2 2 6 5" xfId="26185"/>
    <cellStyle name="Normal 2 2 2 6 5 2" xfId="26186"/>
    <cellStyle name="Normal 2 2 2 6 5 2 2" xfId="26187"/>
    <cellStyle name="Normal 2 2 2 6 5 3" xfId="26188"/>
    <cellStyle name="Normal 2 2 2 6 5 3 2" xfId="26189"/>
    <cellStyle name="Normal 2 2 2 6 5 4" xfId="26190"/>
    <cellStyle name="Normal 2 2 2 6 5 4 2" xfId="26191"/>
    <cellStyle name="Normal 2 2 2 6 5 5" xfId="26192"/>
    <cellStyle name="Normal 2 2 2 6 5 6" xfId="26193"/>
    <cellStyle name="Normal 2 2 2 6 6" xfId="26194"/>
    <cellStyle name="Normal 2 2 2 6 6 2" xfId="26195"/>
    <cellStyle name="Normal 2 2 2 6 6 2 2" xfId="26196"/>
    <cellStyle name="Normal 2 2 2 6 6 3" xfId="26197"/>
    <cellStyle name="Normal 2 2 2 6 6 3 2" xfId="26198"/>
    <cellStyle name="Normal 2 2 2 6 6 4" xfId="26199"/>
    <cellStyle name="Normal 2 2 2 6 6 5" xfId="26200"/>
    <cellStyle name="Normal 2 2 2 6 7" xfId="26201"/>
    <cellStyle name="Normal 2 2 2 6 7 2" xfId="26202"/>
    <cellStyle name="Normal 2 2 2 6 8" xfId="26203"/>
    <cellStyle name="Normal 2 2 2 6 8 2" xfId="26204"/>
    <cellStyle name="Normal 2 2 2 6 9" xfId="26205"/>
    <cellStyle name="Normal 2 2 2 6 9 2" xfId="26206"/>
    <cellStyle name="Normal 2 2 2 7" xfId="26207"/>
    <cellStyle name="Normal 2 2 2 7 10" xfId="26208"/>
    <cellStyle name="Normal 2 2 2 7 2" xfId="26209"/>
    <cellStyle name="Normal 2 2 2 7 2 2" xfId="26210"/>
    <cellStyle name="Normal 2 2 2 7 2 2 2" xfId="26211"/>
    <cellStyle name="Normal 2 2 2 7 2 3" xfId="26212"/>
    <cellStyle name="Normal 2 2 2 7 2 3 2" xfId="26213"/>
    <cellStyle name="Normal 2 2 2 7 2 4" xfId="26214"/>
    <cellStyle name="Normal 2 2 2 7 2 4 2" xfId="26215"/>
    <cellStyle name="Normal 2 2 2 7 2 5" xfId="26216"/>
    <cellStyle name="Normal 2 2 2 7 2 6" xfId="26217"/>
    <cellStyle name="Normal 2 2 2 7 3" xfId="26218"/>
    <cellStyle name="Normal 2 2 2 7 3 2" xfId="26219"/>
    <cellStyle name="Normal 2 2 2 7 3 2 2" xfId="26220"/>
    <cellStyle name="Normal 2 2 2 7 3 3" xfId="26221"/>
    <cellStyle name="Normal 2 2 2 7 3 3 2" xfId="26222"/>
    <cellStyle name="Normal 2 2 2 7 3 4" xfId="26223"/>
    <cellStyle name="Normal 2 2 2 7 3 4 2" xfId="26224"/>
    <cellStyle name="Normal 2 2 2 7 3 5" xfId="26225"/>
    <cellStyle name="Normal 2 2 2 7 3 6" xfId="26226"/>
    <cellStyle name="Normal 2 2 2 7 4" xfId="26227"/>
    <cellStyle name="Normal 2 2 2 7 4 2" xfId="26228"/>
    <cellStyle name="Normal 2 2 2 7 4 2 2" xfId="26229"/>
    <cellStyle name="Normal 2 2 2 7 4 3" xfId="26230"/>
    <cellStyle name="Normal 2 2 2 7 4 3 2" xfId="26231"/>
    <cellStyle name="Normal 2 2 2 7 4 4" xfId="26232"/>
    <cellStyle name="Normal 2 2 2 7 4 4 2" xfId="26233"/>
    <cellStyle name="Normal 2 2 2 7 4 5" xfId="26234"/>
    <cellStyle name="Normal 2 2 2 7 4 6" xfId="26235"/>
    <cellStyle name="Normal 2 2 2 7 5" xfId="26236"/>
    <cellStyle name="Normal 2 2 2 7 5 2" xfId="26237"/>
    <cellStyle name="Normal 2 2 2 7 5 2 2" xfId="26238"/>
    <cellStyle name="Normal 2 2 2 7 5 3" xfId="26239"/>
    <cellStyle name="Normal 2 2 2 7 5 3 2" xfId="26240"/>
    <cellStyle name="Normal 2 2 2 7 5 4" xfId="26241"/>
    <cellStyle name="Normal 2 2 2 7 5 5" xfId="26242"/>
    <cellStyle name="Normal 2 2 2 7 6" xfId="26243"/>
    <cellStyle name="Normal 2 2 2 7 6 2" xfId="26244"/>
    <cellStyle name="Normal 2 2 2 7 7" xfId="26245"/>
    <cellStyle name="Normal 2 2 2 7 7 2" xfId="26246"/>
    <cellStyle name="Normal 2 2 2 7 8" xfId="26247"/>
    <cellStyle name="Normal 2 2 2 7 8 2" xfId="26248"/>
    <cellStyle name="Normal 2 2 2 7 9" xfId="26249"/>
    <cellStyle name="Normal 2 2 2 8" xfId="26250"/>
    <cellStyle name="Normal 2 2 2 8 10" xfId="26251"/>
    <cellStyle name="Normal 2 2 2 8 2" xfId="26252"/>
    <cellStyle name="Normal 2 2 2 8 2 2" xfId="26253"/>
    <cellStyle name="Normal 2 2 2 8 2 2 2" xfId="26254"/>
    <cellStyle name="Normal 2 2 2 8 2 3" xfId="26255"/>
    <cellStyle name="Normal 2 2 2 8 2 3 2" xfId="26256"/>
    <cellStyle name="Normal 2 2 2 8 2 4" xfId="26257"/>
    <cellStyle name="Normal 2 2 2 8 2 4 2" xfId="26258"/>
    <cellStyle name="Normal 2 2 2 8 2 5" xfId="26259"/>
    <cellStyle name="Normal 2 2 2 8 2 6" xfId="26260"/>
    <cellStyle name="Normal 2 2 2 8 3" xfId="26261"/>
    <cellStyle name="Normal 2 2 2 8 3 2" xfId="26262"/>
    <cellStyle name="Normal 2 2 2 8 3 2 2" xfId="26263"/>
    <cellStyle name="Normal 2 2 2 8 3 3" xfId="26264"/>
    <cellStyle name="Normal 2 2 2 8 3 3 2" xfId="26265"/>
    <cellStyle name="Normal 2 2 2 8 3 4" xfId="26266"/>
    <cellStyle name="Normal 2 2 2 8 3 4 2" xfId="26267"/>
    <cellStyle name="Normal 2 2 2 8 3 5" xfId="26268"/>
    <cellStyle name="Normal 2 2 2 8 3 6" xfId="26269"/>
    <cellStyle name="Normal 2 2 2 8 4" xfId="26270"/>
    <cellStyle name="Normal 2 2 2 8 4 2" xfId="26271"/>
    <cellStyle name="Normal 2 2 2 8 4 2 2" xfId="26272"/>
    <cellStyle name="Normal 2 2 2 8 4 3" xfId="26273"/>
    <cellStyle name="Normal 2 2 2 8 4 3 2" xfId="26274"/>
    <cellStyle name="Normal 2 2 2 8 4 4" xfId="26275"/>
    <cellStyle name="Normal 2 2 2 8 4 4 2" xfId="26276"/>
    <cellStyle name="Normal 2 2 2 8 4 5" xfId="26277"/>
    <cellStyle name="Normal 2 2 2 8 4 6" xfId="26278"/>
    <cellStyle name="Normal 2 2 2 8 5" xfId="26279"/>
    <cellStyle name="Normal 2 2 2 8 5 2" xfId="26280"/>
    <cellStyle name="Normal 2 2 2 8 5 2 2" xfId="26281"/>
    <cellStyle name="Normal 2 2 2 8 5 3" xfId="26282"/>
    <cellStyle name="Normal 2 2 2 8 5 3 2" xfId="26283"/>
    <cellStyle name="Normal 2 2 2 8 5 4" xfId="26284"/>
    <cellStyle name="Normal 2 2 2 8 5 5" xfId="26285"/>
    <cellStyle name="Normal 2 2 2 8 6" xfId="26286"/>
    <cellStyle name="Normal 2 2 2 8 6 2" xfId="26287"/>
    <cellStyle name="Normal 2 2 2 8 7" xfId="26288"/>
    <cellStyle name="Normal 2 2 2 8 7 2" xfId="26289"/>
    <cellStyle name="Normal 2 2 2 8 8" xfId="26290"/>
    <cellStyle name="Normal 2 2 2 8 8 2" xfId="26291"/>
    <cellStyle name="Normal 2 2 2 8 9" xfId="26292"/>
    <cellStyle name="Normal 2 2 2 9" xfId="26293"/>
    <cellStyle name="Normal 2 2 2 9 2" xfId="26294"/>
    <cellStyle name="Normal 2 2 2 9 2 2" xfId="26295"/>
    <cellStyle name="Normal 2 2 2 9 3" xfId="26296"/>
    <cellStyle name="Normal 2 2 2 9 3 2" xfId="26297"/>
    <cellStyle name="Normal 2 2 2 9 4" xfId="26298"/>
    <cellStyle name="Normal 2 2 2 9 4 2" xfId="26299"/>
    <cellStyle name="Normal 2 2 2 9 5" xfId="26300"/>
    <cellStyle name="Normal 2 2 2 9 6" xfId="26301"/>
    <cellStyle name="Normal 2 2 3" xfId="11934"/>
    <cellStyle name="Normal 2 2 3 2" xfId="17687"/>
    <cellStyle name="Normal 2 2 4" xfId="26302"/>
    <cellStyle name="Normal 2 2 5" xfId="17672"/>
    <cellStyle name="Normal 2 3" xfId="1497"/>
    <cellStyle name="Normal 2 3 10" xfId="8993"/>
    <cellStyle name="Normal 2 3 10 2" xfId="9561"/>
    <cellStyle name="Normal 2 3 10 2 2" xfId="10615"/>
    <cellStyle name="Normal 2 3 10 2 2 2" xfId="14209"/>
    <cellStyle name="Normal 2 3 10 2 2 3" xfId="15106"/>
    <cellStyle name="Normal 2 3 10 2 3" xfId="13156"/>
    <cellStyle name="Normal 2 3 10 2 4" xfId="15105"/>
    <cellStyle name="Normal 2 3 10 3" xfId="10077"/>
    <cellStyle name="Normal 2 3 10 3 2" xfId="13671"/>
    <cellStyle name="Normal 2 3 10 3 3" xfId="15107"/>
    <cellStyle name="Normal 2 3 10 4" xfId="10879"/>
    <cellStyle name="Normal 2 3 10 4 2" xfId="14472"/>
    <cellStyle name="Normal 2 3 10 4 3" xfId="15108"/>
    <cellStyle name="Normal 2 3 10 5" xfId="12618"/>
    <cellStyle name="Normal 2 3 10 6" xfId="15104"/>
    <cellStyle name="Normal 2 3 11" xfId="9305"/>
    <cellStyle name="Normal 2 3 11 2" xfId="10359"/>
    <cellStyle name="Normal 2 3 11 2 2" xfId="13953"/>
    <cellStyle name="Normal 2 3 11 2 3" xfId="15110"/>
    <cellStyle name="Normal 2 3 11 3" xfId="12900"/>
    <cellStyle name="Normal 2 3 11 4" xfId="15109"/>
    <cellStyle name="Normal 2 3 12" xfId="9821"/>
    <cellStyle name="Normal 2 3 12 2" xfId="13415"/>
    <cellStyle name="Normal 2 3 12 3" xfId="15111"/>
    <cellStyle name="Normal 2 3 13" xfId="10878"/>
    <cellStyle name="Normal 2 3 13 2" xfId="14471"/>
    <cellStyle name="Normal 2 3 13 3" xfId="15112"/>
    <cellStyle name="Normal 2 3 14" xfId="12337"/>
    <cellStyle name="Normal 2 3 14 2" xfId="17673"/>
    <cellStyle name="Normal 2 3 15" xfId="15103"/>
    <cellStyle name="Normal 2 3 2" xfId="1498"/>
    <cellStyle name="Normal 2 3 2 10" xfId="9306"/>
    <cellStyle name="Normal 2 3 2 10 2" xfId="10360"/>
    <cellStyle name="Normal 2 3 2 10 2 2" xfId="13954"/>
    <cellStyle name="Normal 2 3 2 10 2 2 2" xfId="26306"/>
    <cellStyle name="Normal 2 3 2 10 2 3" xfId="26305"/>
    <cellStyle name="Normal 2 3 2 10 2 4" xfId="15115"/>
    <cellStyle name="Normal 2 3 2 10 3" xfId="12901"/>
    <cellStyle name="Normal 2 3 2 10 3 2" xfId="26308"/>
    <cellStyle name="Normal 2 3 2 10 3 3" xfId="26307"/>
    <cellStyle name="Normal 2 3 2 10 4" xfId="26309"/>
    <cellStyle name="Normal 2 3 2 10 4 2" xfId="26310"/>
    <cellStyle name="Normal 2 3 2 10 5" xfId="26311"/>
    <cellStyle name="Normal 2 3 2 10 6" xfId="26312"/>
    <cellStyle name="Normal 2 3 2 10 7" xfId="26304"/>
    <cellStyle name="Normal 2 3 2 10 8" xfId="15114"/>
    <cellStyle name="Normal 2 3 2 11" xfId="9822"/>
    <cellStyle name="Normal 2 3 2 11 2" xfId="13416"/>
    <cellStyle name="Normal 2 3 2 11 2 2" xfId="26315"/>
    <cellStyle name="Normal 2 3 2 11 2 3" xfId="26314"/>
    <cellStyle name="Normal 2 3 2 11 3" xfId="26316"/>
    <cellStyle name="Normal 2 3 2 11 3 2" xfId="26317"/>
    <cellStyle name="Normal 2 3 2 11 4" xfId="26318"/>
    <cellStyle name="Normal 2 3 2 11 4 2" xfId="26319"/>
    <cellStyle name="Normal 2 3 2 11 5" xfId="26320"/>
    <cellStyle name="Normal 2 3 2 11 6" xfId="26321"/>
    <cellStyle name="Normal 2 3 2 11 7" xfId="26313"/>
    <cellStyle name="Normal 2 3 2 11 8" xfId="15116"/>
    <cellStyle name="Normal 2 3 2 12" xfId="10880"/>
    <cellStyle name="Normal 2 3 2 12 2" xfId="14473"/>
    <cellStyle name="Normal 2 3 2 12 2 2" xfId="26324"/>
    <cellStyle name="Normal 2 3 2 12 2 3" xfId="26323"/>
    <cellStyle name="Normal 2 3 2 12 3" xfId="26325"/>
    <cellStyle name="Normal 2 3 2 12 3 2" xfId="26326"/>
    <cellStyle name="Normal 2 3 2 12 4" xfId="26327"/>
    <cellStyle name="Normal 2 3 2 12 5" xfId="26328"/>
    <cellStyle name="Normal 2 3 2 12 6" xfId="26322"/>
    <cellStyle name="Normal 2 3 2 12 7" xfId="15117"/>
    <cellStyle name="Normal 2 3 2 13" xfId="12338"/>
    <cellStyle name="Normal 2 3 2 13 2" xfId="26330"/>
    <cellStyle name="Normal 2 3 2 13 3" xfId="26329"/>
    <cellStyle name="Normal 2 3 2 14" xfId="26331"/>
    <cellStyle name="Normal 2 3 2 14 2" xfId="26332"/>
    <cellStyle name="Normal 2 3 2 15" xfId="26333"/>
    <cellStyle name="Normal 2 3 2 15 2" xfId="26334"/>
    <cellStyle name="Normal 2 3 2 16" xfId="26335"/>
    <cellStyle name="Normal 2 3 2 17" xfId="26336"/>
    <cellStyle name="Normal 2 3 2 18" xfId="26303"/>
    <cellStyle name="Normal 2 3 2 19" xfId="15113"/>
    <cellStyle name="Normal 2 3 2 2" xfId="1499"/>
    <cellStyle name="Normal 2 3 2 2 10" xfId="9823"/>
    <cellStyle name="Normal 2 3 2 2 10 2" xfId="13417"/>
    <cellStyle name="Normal 2 3 2 2 10 3" xfId="15119"/>
    <cellStyle name="Normal 2 3 2 2 11" xfId="10881"/>
    <cellStyle name="Normal 2 3 2 2 11 2" xfId="14474"/>
    <cellStyle name="Normal 2 3 2 2 11 3" xfId="15120"/>
    <cellStyle name="Normal 2 3 2 2 12" xfId="12339"/>
    <cellStyle name="Normal 2 3 2 2 12 2" xfId="26337"/>
    <cellStyle name="Normal 2 3 2 2 13" xfId="15118"/>
    <cellStyle name="Normal 2 3 2 2 2" xfId="1500"/>
    <cellStyle name="Normal 2 3 2 2 2 10" xfId="10882"/>
    <cellStyle name="Normal 2 3 2 2 2 10 2" xfId="14475"/>
    <cellStyle name="Normal 2 3 2 2 2 10 3" xfId="15122"/>
    <cellStyle name="Normal 2 3 2 2 2 11" xfId="12340"/>
    <cellStyle name="Normal 2 3 2 2 2 12" xfId="15121"/>
    <cellStyle name="Normal 2 3 2 2 2 2" xfId="1501"/>
    <cellStyle name="Normal 2 3 2 2 2 2 10" xfId="12341"/>
    <cellStyle name="Normal 2 3 2 2 2 2 11" xfId="15123"/>
    <cellStyle name="Normal 2 3 2 2 2 2 2" xfId="8799"/>
    <cellStyle name="Normal 2 3 2 2 2 2 2 2" xfId="8927"/>
    <cellStyle name="Normal 2 3 2 2 2 2 2 2 2" xfId="9183"/>
    <cellStyle name="Normal 2 3 2 2 2 2 2 2 2 2" xfId="9751"/>
    <cellStyle name="Normal 2 3 2 2 2 2 2 2 2 2 2" xfId="10805"/>
    <cellStyle name="Normal 2 3 2 2 2 2 2 2 2 2 2 2" xfId="14399"/>
    <cellStyle name="Normal 2 3 2 2 2 2 2 2 2 2 2 3" xfId="15128"/>
    <cellStyle name="Normal 2 3 2 2 2 2 2 2 2 2 3" xfId="13346"/>
    <cellStyle name="Normal 2 3 2 2 2 2 2 2 2 2 4" xfId="15127"/>
    <cellStyle name="Normal 2 3 2 2 2 2 2 2 2 3" xfId="10267"/>
    <cellStyle name="Normal 2 3 2 2 2 2 2 2 2 3 2" xfId="13861"/>
    <cellStyle name="Normal 2 3 2 2 2 2 2 2 2 3 3" xfId="15129"/>
    <cellStyle name="Normal 2 3 2 2 2 2 2 2 2 4" xfId="10886"/>
    <cellStyle name="Normal 2 3 2 2 2 2 2 2 2 4 2" xfId="14479"/>
    <cellStyle name="Normal 2 3 2 2 2 2 2 2 2 4 3" xfId="15130"/>
    <cellStyle name="Normal 2 3 2 2 2 2 2 2 2 5" xfId="12808"/>
    <cellStyle name="Normal 2 3 2 2 2 2 2 2 2 6" xfId="15126"/>
    <cellStyle name="Normal 2 3 2 2 2 2 2 2 3" xfId="9495"/>
    <cellStyle name="Normal 2 3 2 2 2 2 2 2 3 2" xfId="10549"/>
    <cellStyle name="Normal 2 3 2 2 2 2 2 2 3 2 2" xfId="14143"/>
    <cellStyle name="Normal 2 3 2 2 2 2 2 2 3 2 3" xfId="15132"/>
    <cellStyle name="Normal 2 3 2 2 2 2 2 2 3 3" xfId="13090"/>
    <cellStyle name="Normal 2 3 2 2 2 2 2 2 3 4" xfId="15131"/>
    <cellStyle name="Normal 2 3 2 2 2 2 2 2 4" xfId="10011"/>
    <cellStyle name="Normal 2 3 2 2 2 2 2 2 4 2" xfId="13605"/>
    <cellStyle name="Normal 2 3 2 2 2 2 2 2 4 3" xfId="15133"/>
    <cellStyle name="Normal 2 3 2 2 2 2 2 2 5" xfId="10885"/>
    <cellStyle name="Normal 2 3 2 2 2 2 2 2 5 2" xfId="14478"/>
    <cellStyle name="Normal 2 3 2 2 2 2 2 2 5 3" xfId="15134"/>
    <cellStyle name="Normal 2 3 2 2 2 2 2 2 6" xfId="12552"/>
    <cellStyle name="Normal 2 3 2 2 2 2 2 2 7" xfId="15125"/>
    <cellStyle name="Normal 2 3 2 2 2 2 2 3" xfId="9055"/>
    <cellStyle name="Normal 2 3 2 2 2 2 2 3 2" xfId="9623"/>
    <cellStyle name="Normal 2 3 2 2 2 2 2 3 2 2" xfId="10677"/>
    <cellStyle name="Normal 2 3 2 2 2 2 2 3 2 2 2" xfId="14271"/>
    <cellStyle name="Normal 2 3 2 2 2 2 2 3 2 2 3" xfId="15137"/>
    <cellStyle name="Normal 2 3 2 2 2 2 2 3 2 3" xfId="13218"/>
    <cellStyle name="Normal 2 3 2 2 2 2 2 3 2 4" xfId="15136"/>
    <cellStyle name="Normal 2 3 2 2 2 2 2 3 3" xfId="10139"/>
    <cellStyle name="Normal 2 3 2 2 2 2 2 3 3 2" xfId="13733"/>
    <cellStyle name="Normal 2 3 2 2 2 2 2 3 3 3" xfId="15138"/>
    <cellStyle name="Normal 2 3 2 2 2 2 2 3 4" xfId="10887"/>
    <cellStyle name="Normal 2 3 2 2 2 2 2 3 4 2" xfId="14480"/>
    <cellStyle name="Normal 2 3 2 2 2 2 2 3 4 3" xfId="15139"/>
    <cellStyle name="Normal 2 3 2 2 2 2 2 3 5" xfId="12680"/>
    <cellStyle name="Normal 2 3 2 2 2 2 2 3 6" xfId="15135"/>
    <cellStyle name="Normal 2 3 2 2 2 2 2 4" xfId="9367"/>
    <cellStyle name="Normal 2 3 2 2 2 2 2 4 2" xfId="10421"/>
    <cellStyle name="Normal 2 3 2 2 2 2 2 4 2 2" xfId="14015"/>
    <cellStyle name="Normal 2 3 2 2 2 2 2 4 2 3" xfId="15141"/>
    <cellStyle name="Normal 2 3 2 2 2 2 2 4 3" xfId="12962"/>
    <cellStyle name="Normal 2 3 2 2 2 2 2 4 4" xfId="15140"/>
    <cellStyle name="Normal 2 3 2 2 2 2 2 5" xfId="9883"/>
    <cellStyle name="Normal 2 3 2 2 2 2 2 5 2" xfId="13477"/>
    <cellStyle name="Normal 2 3 2 2 2 2 2 5 3" xfId="15142"/>
    <cellStyle name="Normal 2 3 2 2 2 2 2 6" xfId="10884"/>
    <cellStyle name="Normal 2 3 2 2 2 2 2 6 2" xfId="14477"/>
    <cellStyle name="Normal 2 3 2 2 2 2 2 6 3" xfId="15143"/>
    <cellStyle name="Normal 2 3 2 2 2 2 2 7" xfId="12424"/>
    <cellStyle name="Normal 2 3 2 2 2 2 2 8" xfId="15124"/>
    <cellStyle name="Normal 2 3 2 2 2 2 3" xfId="8831"/>
    <cellStyle name="Normal 2 3 2 2 2 2 3 2" xfId="8959"/>
    <cellStyle name="Normal 2 3 2 2 2 2 3 2 2" xfId="9215"/>
    <cellStyle name="Normal 2 3 2 2 2 2 3 2 2 2" xfId="9783"/>
    <cellStyle name="Normal 2 3 2 2 2 2 3 2 2 2 2" xfId="10837"/>
    <cellStyle name="Normal 2 3 2 2 2 2 3 2 2 2 2 2" xfId="14431"/>
    <cellStyle name="Normal 2 3 2 2 2 2 3 2 2 2 2 3" xfId="15148"/>
    <cellStyle name="Normal 2 3 2 2 2 2 3 2 2 2 3" xfId="13378"/>
    <cellStyle name="Normal 2 3 2 2 2 2 3 2 2 2 4" xfId="15147"/>
    <cellStyle name="Normal 2 3 2 2 2 2 3 2 2 3" xfId="10299"/>
    <cellStyle name="Normal 2 3 2 2 2 2 3 2 2 3 2" xfId="13893"/>
    <cellStyle name="Normal 2 3 2 2 2 2 3 2 2 3 3" xfId="15149"/>
    <cellStyle name="Normal 2 3 2 2 2 2 3 2 2 4" xfId="10890"/>
    <cellStyle name="Normal 2 3 2 2 2 2 3 2 2 4 2" xfId="14483"/>
    <cellStyle name="Normal 2 3 2 2 2 2 3 2 2 4 3" xfId="15150"/>
    <cellStyle name="Normal 2 3 2 2 2 2 3 2 2 5" xfId="12840"/>
    <cellStyle name="Normal 2 3 2 2 2 2 3 2 2 6" xfId="15146"/>
    <cellStyle name="Normal 2 3 2 2 2 2 3 2 3" xfId="9527"/>
    <cellStyle name="Normal 2 3 2 2 2 2 3 2 3 2" xfId="10581"/>
    <cellStyle name="Normal 2 3 2 2 2 2 3 2 3 2 2" xfId="14175"/>
    <cellStyle name="Normal 2 3 2 2 2 2 3 2 3 2 3" xfId="15152"/>
    <cellStyle name="Normal 2 3 2 2 2 2 3 2 3 3" xfId="13122"/>
    <cellStyle name="Normal 2 3 2 2 2 2 3 2 3 4" xfId="15151"/>
    <cellStyle name="Normal 2 3 2 2 2 2 3 2 4" xfId="10043"/>
    <cellStyle name="Normal 2 3 2 2 2 2 3 2 4 2" xfId="13637"/>
    <cellStyle name="Normal 2 3 2 2 2 2 3 2 4 3" xfId="15153"/>
    <cellStyle name="Normal 2 3 2 2 2 2 3 2 5" xfId="10889"/>
    <cellStyle name="Normal 2 3 2 2 2 2 3 2 5 2" xfId="14482"/>
    <cellStyle name="Normal 2 3 2 2 2 2 3 2 5 3" xfId="15154"/>
    <cellStyle name="Normal 2 3 2 2 2 2 3 2 6" xfId="12584"/>
    <cellStyle name="Normal 2 3 2 2 2 2 3 2 7" xfId="15145"/>
    <cellStyle name="Normal 2 3 2 2 2 2 3 3" xfId="9087"/>
    <cellStyle name="Normal 2 3 2 2 2 2 3 3 2" xfId="9655"/>
    <cellStyle name="Normal 2 3 2 2 2 2 3 3 2 2" xfId="10709"/>
    <cellStyle name="Normal 2 3 2 2 2 2 3 3 2 2 2" xfId="14303"/>
    <cellStyle name="Normal 2 3 2 2 2 2 3 3 2 2 3" xfId="15157"/>
    <cellStyle name="Normal 2 3 2 2 2 2 3 3 2 3" xfId="13250"/>
    <cellStyle name="Normal 2 3 2 2 2 2 3 3 2 4" xfId="15156"/>
    <cellStyle name="Normal 2 3 2 2 2 2 3 3 3" xfId="10171"/>
    <cellStyle name="Normal 2 3 2 2 2 2 3 3 3 2" xfId="13765"/>
    <cellStyle name="Normal 2 3 2 2 2 2 3 3 3 3" xfId="15158"/>
    <cellStyle name="Normal 2 3 2 2 2 2 3 3 4" xfId="10891"/>
    <cellStyle name="Normal 2 3 2 2 2 2 3 3 4 2" xfId="14484"/>
    <cellStyle name="Normal 2 3 2 2 2 2 3 3 4 3" xfId="15159"/>
    <cellStyle name="Normal 2 3 2 2 2 2 3 3 5" xfId="12712"/>
    <cellStyle name="Normal 2 3 2 2 2 2 3 3 6" xfId="15155"/>
    <cellStyle name="Normal 2 3 2 2 2 2 3 4" xfId="9399"/>
    <cellStyle name="Normal 2 3 2 2 2 2 3 4 2" xfId="10453"/>
    <cellStyle name="Normal 2 3 2 2 2 2 3 4 2 2" xfId="14047"/>
    <cellStyle name="Normal 2 3 2 2 2 2 3 4 2 3" xfId="15161"/>
    <cellStyle name="Normal 2 3 2 2 2 2 3 4 3" xfId="12994"/>
    <cellStyle name="Normal 2 3 2 2 2 2 3 4 4" xfId="15160"/>
    <cellStyle name="Normal 2 3 2 2 2 2 3 5" xfId="9915"/>
    <cellStyle name="Normal 2 3 2 2 2 2 3 5 2" xfId="13509"/>
    <cellStyle name="Normal 2 3 2 2 2 2 3 5 3" xfId="15162"/>
    <cellStyle name="Normal 2 3 2 2 2 2 3 6" xfId="10888"/>
    <cellStyle name="Normal 2 3 2 2 2 2 3 6 2" xfId="14481"/>
    <cellStyle name="Normal 2 3 2 2 2 2 3 6 3" xfId="15163"/>
    <cellStyle name="Normal 2 3 2 2 2 2 3 7" xfId="12456"/>
    <cellStyle name="Normal 2 3 2 2 2 2 3 8" xfId="15144"/>
    <cellStyle name="Normal 2 3 2 2 2 2 4" xfId="8863"/>
    <cellStyle name="Normal 2 3 2 2 2 2 4 2" xfId="8991"/>
    <cellStyle name="Normal 2 3 2 2 2 2 4 2 2" xfId="9247"/>
    <cellStyle name="Normal 2 3 2 2 2 2 4 2 2 2" xfId="9815"/>
    <cellStyle name="Normal 2 3 2 2 2 2 4 2 2 2 2" xfId="10869"/>
    <cellStyle name="Normal 2 3 2 2 2 2 4 2 2 2 2 2" xfId="14463"/>
    <cellStyle name="Normal 2 3 2 2 2 2 4 2 2 2 2 3" xfId="15168"/>
    <cellStyle name="Normal 2 3 2 2 2 2 4 2 2 2 3" xfId="13410"/>
    <cellStyle name="Normal 2 3 2 2 2 2 4 2 2 2 4" xfId="15167"/>
    <cellStyle name="Normal 2 3 2 2 2 2 4 2 2 3" xfId="10331"/>
    <cellStyle name="Normal 2 3 2 2 2 2 4 2 2 3 2" xfId="13925"/>
    <cellStyle name="Normal 2 3 2 2 2 2 4 2 2 3 3" xfId="15169"/>
    <cellStyle name="Normal 2 3 2 2 2 2 4 2 2 4" xfId="10894"/>
    <cellStyle name="Normal 2 3 2 2 2 2 4 2 2 4 2" xfId="14487"/>
    <cellStyle name="Normal 2 3 2 2 2 2 4 2 2 4 3" xfId="15170"/>
    <cellStyle name="Normal 2 3 2 2 2 2 4 2 2 5" xfId="12872"/>
    <cellStyle name="Normal 2 3 2 2 2 2 4 2 2 6" xfId="15166"/>
    <cellStyle name="Normal 2 3 2 2 2 2 4 2 3" xfId="9559"/>
    <cellStyle name="Normal 2 3 2 2 2 2 4 2 3 2" xfId="10613"/>
    <cellStyle name="Normal 2 3 2 2 2 2 4 2 3 2 2" xfId="14207"/>
    <cellStyle name="Normal 2 3 2 2 2 2 4 2 3 2 3" xfId="15172"/>
    <cellStyle name="Normal 2 3 2 2 2 2 4 2 3 3" xfId="13154"/>
    <cellStyle name="Normal 2 3 2 2 2 2 4 2 3 4" xfId="15171"/>
    <cellStyle name="Normal 2 3 2 2 2 2 4 2 4" xfId="10075"/>
    <cellStyle name="Normal 2 3 2 2 2 2 4 2 4 2" xfId="13669"/>
    <cellStyle name="Normal 2 3 2 2 2 2 4 2 4 3" xfId="15173"/>
    <cellStyle name="Normal 2 3 2 2 2 2 4 2 5" xfId="10893"/>
    <cellStyle name="Normal 2 3 2 2 2 2 4 2 5 2" xfId="14486"/>
    <cellStyle name="Normal 2 3 2 2 2 2 4 2 5 3" xfId="15174"/>
    <cellStyle name="Normal 2 3 2 2 2 2 4 2 6" xfId="12616"/>
    <cellStyle name="Normal 2 3 2 2 2 2 4 2 7" xfId="15165"/>
    <cellStyle name="Normal 2 3 2 2 2 2 4 3" xfId="9119"/>
    <cellStyle name="Normal 2 3 2 2 2 2 4 3 2" xfId="9687"/>
    <cellStyle name="Normal 2 3 2 2 2 2 4 3 2 2" xfId="10741"/>
    <cellStyle name="Normal 2 3 2 2 2 2 4 3 2 2 2" xfId="14335"/>
    <cellStyle name="Normal 2 3 2 2 2 2 4 3 2 2 3" xfId="15177"/>
    <cellStyle name="Normal 2 3 2 2 2 2 4 3 2 3" xfId="13282"/>
    <cellStyle name="Normal 2 3 2 2 2 2 4 3 2 4" xfId="15176"/>
    <cellStyle name="Normal 2 3 2 2 2 2 4 3 3" xfId="10203"/>
    <cellStyle name="Normal 2 3 2 2 2 2 4 3 3 2" xfId="13797"/>
    <cellStyle name="Normal 2 3 2 2 2 2 4 3 3 3" xfId="15178"/>
    <cellStyle name="Normal 2 3 2 2 2 2 4 3 4" xfId="10895"/>
    <cellStyle name="Normal 2 3 2 2 2 2 4 3 4 2" xfId="14488"/>
    <cellStyle name="Normal 2 3 2 2 2 2 4 3 4 3" xfId="15179"/>
    <cellStyle name="Normal 2 3 2 2 2 2 4 3 5" xfId="12744"/>
    <cellStyle name="Normal 2 3 2 2 2 2 4 3 6" xfId="15175"/>
    <cellStyle name="Normal 2 3 2 2 2 2 4 4" xfId="9431"/>
    <cellStyle name="Normal 2 3 2 2 2 2 4 4 2" xfId="10485"/>
    <cellStyle name="Normal 2 3 2 2 2 2 4 4 2 2" xfId="14079"/>
    <cellStyle name="Normal 2 3 2 2 2 2 4 4 2 3" xfId="15181"/>
    <cellStyle name="Normal 2 3 2 2 2 2 4 4 3" xfId="13026"/>
    <cellStyle name="Normal 2 3 2 2 2 2 4 4 4" xfId="15180"/>
    <cellStyle name="Normal 2 3 2 2 2 2 4 5" xfId="9947"/>
    <cellStyle name="Normal 2 3 2 2 2 2 4 5 2" xfId="13541"/>
    <cellStyle name="Normal 2 3 2 2 2 2 4 5 3" xfId="15182"/>
    <cellStyle name="Normal 2 3 2 2 2 2 4 6" xfId="10892"/>
    <cellStyle name="Normal 2 3 2 2 2 2 4 6 2" xfId="14485"/>
    <cellStyle name="Normal 2 3 2 2 2 2 4 6 3" xfId="15183"/>
    <cellStyle name="Normal 2 3 2 2 2 2 4 7" xfId="12488"/>
    <cellStyle name="Normal 2 3 2 2 2 2 4 8" xfId="15164"/>
    <cellStyle name="Normal 2 3 2 2 2 2 5" xfId="8869"/>
    <cellStyle name="Normal 2 3 2 2 2 2 5 2" xfId="9125"/>
    <cellStyle name="Normal 2 3 2 2 2 2 5 2 2" xfId="9693"/>
    <cellStyle name="Normal 2 3 2 2 2 2 5 2 2 2" xfId="10747"/>
    <cellStyle name="Normal 2 3 2 2 2 2 5 2 2 2 2" xfId="14341"/>
    <cellStyle name="Normal 2 3 2 2 2 2 5 2 2 2 3" xfId="15187"/>
    <cellStyle name="Normal 2 3 2 2 2 2 5 2 2 3" xfId="13288"/>
    <cellStyle name="Normal 2 3 2 2 2 2 5 2 2 4" xfId="15186"/>
    <cellStyle name="Normal 2 3 2 2 2 2 5 2 3" xfId="10209"/>
    <cellStyle name="Normal 2 3 2 2 2 2 5 2 3 2" xfId="13803"/>
    <cellStyle name="Normal 2 3 2 2 2 2 5 2 3 3" xfId="15188"/>
    <cellStyle name="Normal 2 3 2 2 2 2 5 2 4" xfId="10897"/>
    <cellStyle name="Normal 2 3 2 2 2 2 5 2 4 2" xfId="14490"/>
    <cellStyle name="Normal 2 3 2 2 2 2 5 2 4 3" xfId="15189"/>
    <cellStyle name="Normal 2 3 2 2 2 2 5 2 5" xfId="12750"/>
    <cellStyle name="Normal 2 3 2 2 2 2 5 2 6" xfId="15185"/>
    <cellStyle name="Normal 2 3 2 2 2 2 5 3" xfId="9437"/>
    <cellStyle name="Normal 2 3 2 2 2 2 5 3 2" xfId="10491"/>
    <cellStyle name="Normal 2 3 2 2 2 2 5 3 2 2" xfId="14085"/>
    <cellStyle name="Normal 2 3 2 2 2 2 5 3 2 3" xfId="15191"/>
    <cellStyle name="Normal 2 3 2 2 2 2 5 3 3" xfId="13032"/>
    <cellStyle name="Normal 2 3 2 2 2 2 5 3 4" xfId="15190"/>
    <cellStyle name="Normal 2 3 2 2 2 2 5 4" xfId="9953"/>
    <cellStyle name="Normal 2 3 2 2 2 2 5 4 2" xfId="13547"/>
    <cellStyle name="Normal 2 3 2 2 2 2 5 4 3" xfId="15192"/>
    <cellStyle name="Normal 2 3 2 2 2 2 5 5" xfId="10896"/>
    <cellStyle name="Normal 2 3 2 2 2 2 5 5 2" xfId="14489"/>
    <cellStyle name="Normal 2 3 2 2 2 2 5 5 3" xfId="15193"/>
    <cellStyle name="Normal 2 3 2 2 2 2 5 6" xfId="12494"/>
    <cellStyle name="Normal 2 3 2 2 2 2 5 7" xfId="15184"/>
    <cellStyle name="Normal 2 3 2 2 2 2 6" xfId="8997"/>
    <cellStyle name="Normal 2 3 2 2 2 2 6 2" xfId="9565"/>
    <cellStyle name="Normal 2 3 2 2 2 2 6 2 2" xfId="10619"/>
    <cellStyle name="Normal 2 3 2 2 2 2 6 2 2 2" xfId="14213"/>
    <cellStyle name="Normal 2 3 2 2 2 2 6 2 2 3" xfId="15196"/>
    <cellStyle name="Normal 2 3 2 2 2 2 6 2 3" xfId="13160"/>
    <cellStyle name="Normal 2 3 2 2 2 2 6 2 4" xfId="15195"/>
    <cellStyle name="Normal 2 3 2 2 2 2 6 3" xfId="10081"/>
    <cellStyle name="Normal 2 3 2 2 2 2 6 3 2" xfId="13675"/>
    <cellStyle name="Normal 2 3 2 2 2 2 6 3 3" xfId="15197"/>
    <cellStyle name="Normal 2 3 2 2 2 2 6 4" xfId="10898"/>
    <cellStyle name="Normal 2 3 2 2 2 2 6 4 2" xfId="14491"/>
    <cellStyle name="Normal 2 3 2 2 2 2 6 4 3" xfId="15198"/>
    <cellStyle name="Normal 2 3 2 2 2 2 6 5" xfId="12622"/>
    <cellStyle name="Normal 2 3 2 2 2 2 6 6" xfId="15194"/>
    <cellStyle name="Normal 2 3 2 2 2 2 7" xfId="9309"/>
    <cellStyle name="Normal 2 3 2 2 2 2 7 2" xfId="10363"/>
    <cellStyle name="Normal 2 3 2 2 2 2 7 2 2" xfId="13957"/>
    <cellStyle name="Normal 2 3 2 2 2 2 7 2 3" xfId="15200"/>
    <cellStyle name="Normal 2 3 2 2 2 2 7 3" xfId="12904"/>
    <cellStyle name="Normal 2 3 2 2 2 2 7 4" xfId="15199"/>
    <cellStyle name="Normal 2 3 2 2 2 2 8" xfId="9825"/>
    <cellStyle name="Normal 2 3 2 2 2 2 8 2" xfId="13419"/>
    <cellStyle name="Normal 2 3 2 2 2 2 8 3" xfId="15201"/>
    <cellStyle name="Normal 2 3 2 2 2 2 9" xfId="10883"/>
    <cellStyle name="Normal 2 3 2 2 2 2 9 2" xfId="14476"/>
    <cellStyle name="Normal 2 3 2 2 2 2 9 3" xfId="15202"/>
    <cellStyle name="Normal 2 3 2 2 2 3" xfId="8783"/>
    <cellStyle name="Normal 2 3 2 2 2 3 2" xfId="8911"/>
    <cellStyle name="Normal 2 3 2 2 2 3 2 2" xfId="9167"/>
    <cellStyle name="Normal 2 3 2 2 2 3 2 2 2" xfId="9735"/>
    <cellStyle name="Normal 2 3 2 2 2 3 2 2 2 2" xfId="10789"/>
    <cellStyle name="Normal 2 3 2 2 2 3 2 2 2 2 2" xfId="14383"/>
    <cellStyle name="Normal 2 3 2 2 2 3 2 2 2 2 3" xfId="15207"/>
    <cellStyle name="Normal 2 3 2 2 2 3 2 2 2 3" xfId="13330"/>
    <cellStyle name="Normal 2 3 2 2 2 3 2 2 2 4" xfId="15206"/>
    <cellStyle name="Normal 2 3 2 2 2 3 2 2 3" xfId="10251"/>
    <cellStyle name="Normal 2 3 2 2 2 3 2 2 3 2" xfId="13845"/>
    <cellStyle name="Normal 2 3 2 2 2 3 2 2 3 3" xfId="15208"/>
    <cellStyle name="Normal 2 3 2 2 2 3 2 2 4" xfId="10901"/>
    <cellStyle name="Normal 2 3 2 2 2 3 2 2 4 2" xfId="14494"/>
    <cellStyle name="Normal 2 3 2 2 2 3 2 2 4 3" xfId="15209"/>
    <cellStyle name="Normal 2 3 2 2 2 3 2 2 5" xfId="12792"/>
    <cellStyle name="Normal 2 3 2 2 2 3 2 2 6" xfId="15205"/>
    <cellStyle name="Normal 2 3 2 2 2 3 2 3" xfId="9479"/>
    <cellStyle name="Normal 2 3 2 2 2 3 2 3 2" xfId="10533"/>
    <cellStyle name="Normal 2 3 2 2 2 3 2 3 2 2" xfId="14127"/>
    <cellStyle name="Normal 2 3 2 2 2 3 2 3 2 3" xfId="15211"/>
    <cellStyle name="Normal 2 3 2 2 2 3 2 3 3" xfId="13074"/>
    <cellStyle name="Normal 2 3 2 2 2 3 2 3 4" xfId="15210"/>
    <cellStyle name="Normal 2 3 2 2 2 3 2 4" xfId="9995"/>
    <cellStyle name="Normal 2 3 2 2 2 3 2 4 2" xfId="13589"/>
    <cellStyle name="Normal 2 3 2 2 2 3 2 4 3" xfId="15212"/>
    <cellStyle name="Normal 2 3 2 2 2 3 2 5" xfId="10900"/>
    <cellStyle name="Normal 2 3 2 2 2 3 2 5 2" xfId="14493"/>
    <cellStyle name="Normal 2 3 2 2 2 3 2 5 3" xfId="15213"/>
    <cellStyle name="Normal 2 3 2 2 2 3 2 6" xfId="12536"/>
    <cellStyle name="Normal 2 3 2 2 2 3 2 7" xfId="15204"/>
    <cellStyle name="Normal 2 3 2 2 2 3 3" xfId="9039"/>
    <cellStyle name="Normal 2 3 2 2 2 3 3 2" xfId="9607"/>
    <cellStyle name="Normal 2 3 2 2 2 3 3 2 2" xfId="10661"/>
    <cellStyle name="Normal 2 3 2 2 2 3 3 2 2 2" xfId="14255"/>
    <cellStyle name="Normal 2 3 2 2 2 3 3 2 2 3" xfId="15216"/>
    <cellStyle name="Normal 2 3 2 2 2 3 3 2 3" xfId="13202"/>
    <cellStyle name="Normal 2 3 2 2 2 3 3 2 4" xfId="15215"/>
    <cellStyle name="Normal 2 3 2 2 2 3 3 3" xfId="10123"/>
    <cellStyle name="Normal 2 3 2 2 2 3 3 3 2" xfId="13717"/>
    <cellStyle name="Normal 2 3 2 2 2 3 3 3 3" xfId="15217"/>
    <cellStyle name="Normal 2 3 2 2 2 3 3 4" xfId="10902"/>
    <cellStyle name="Normal 2 3 2 2 2 3 3 4 2" xfId="14495"/>
    <cellStyle name="Normal 2 3 2 2 2 3 3 4 3" xfId="15218"/>
    <cellStyle name="Normal 2 3 2 2 2 3 3 5" xfId="12664"/>
    <cellStyle name="Normal 2 3 2 2 2 3 3 6" xfId="15214"/>
    <cellStyle name="Normal 2 3 2 2 2 3 4" xfId="9351"/>
    <cellStyle name="Normal 2 3 2 2 2 3 4 2" xfId="10405"/>
    <cellStyle name="Normal 2 3 2 2 2 3 4 2 2" xfId="13999"/>
    <cellStyle name="Normal 2 3 2 2 2 3 4 2 3" xfId="15220"/>
    <cellStyle name="Normal 2 3 2 2 2 3 4 3" xfId="12946"/>
    <cellStyle name="Normal 2 3 2 2 2 3 4 4" xfId="15219"/>
    <cellStyle name="Normal 2 3 2 2 2 3 5" xfId="9867"/>
    <cellStyle name="Normal 2 3 2 2 2 3 5 2" xfId="13461"/>
    <cellStyle name="Normal 2 3 2 2 2 3 5 3" xfId="15221"/>
    <cellStyle name="Normal 2 3 2 2 2 3 6" xfId="10899"/>
    <cellStyle name="Normal 2 3 2 2 2 3 6 2" xfId="14492"/>
    <cellStyle name="Normal 2 3 2 2 2 3 6 3" xfId="15222"/>
    <cellStyle name="Normal 2 3 2 2 2 3 7" xfId="12408"/>
    <cellStyle name="Normal 2 3 2 2 2 3 8" xfId="15203"/>
    <cellStyle name="Normal 2 3 2 2 2 4" xfId="8815"/>
    <cellStyle name="Normal 2 3 2 2 2 4 2" xfId="8943"/>
    <cellStyle name="Normal 2 3 2 2 2 4 2 2" xfId="9199"/>
    <cellStyle name="Normal 2 3 2 2 2 4 2 2 2" xfId="9767"/>
    <cellStyle name="Normal 2 3 2 2 2 4 2 2 2 2" xfId="10821"/>
    <cellStyle name="Normal 2 3 2 2 2 4 2 2 2 2 2" xfId="14415"/>
    <cellStyle name="Normal 2 3 2 2 2 4 2 2 2 2 3" xfId="15227"/>
    <cellStyle name="Normal 2 3 2 2 2 4 2 2 2 3" xfId="13362"/>
    <cellStyle name="Normal 2 3 2 2 2 4 2 2 2 4" xfId="15226"/>
    <cellStyle name="Normal 2 3 2 2 2 4 2 2 3" xfId="10283"/>
    <cellStyle name="Normal 2 3 2 2 2 4 2 2 3 2" xfId="13877"/>
    <cellStyle name="Normal 2 3 2 2 2 4 2 2 3 3" xfId="15228"/>
    <cellStyle name="Normal 2 3 2 2 2 4 2 2 4" xfId="10905"/>
    <cellStyle name="Normal 2 3 2 2 2 4 2 2 4 2" xfId="14498"/>
    <cellStyle name="Normal 2 3 2 2 2 4 2 2 4 3" xfId="15229"/>
    <cellStyle name="Normal 2 3 2 2 2 4 2 2 5" xfId="12824"/>
    <cellStyle name="Normal 2 3 2 2 2 4 2 2 6" xfId="15225"/>
    <cellStyle name="Normal 2 3 2 2 2 4 2 3" xfId="9511"/>
    <cellStyle name="Normal 2 3 2 2 2 4 2 3 2" xfId="10565"/>
    <cellStyle name="Normal 2 3 2 2 2 4 2 3 2 2" xfId="14159"/>
    <cellStyle name="Normal 2 3 2 2 2 4 2 3 2 3" xfId="15231"/>
    <cellStyle name="Normal 2 3 2 2 2 4 2 3 3" xfId="13106"/>
    <cellStyle name="Normal 2 3 2 2 2 4 2 3 4" xfId="15230"/>
    <cellStyle name="Normal 2 3 2 2 2 4 2 4" xfId="10027"/>
    <cellStyle name="Normal 2 3 2 2 2 4 2 4 2" xfId="13621"/>
    <cellStyle name="Normal 2 3 2 2 2 4 2 4 3" xfId="15232"/>
    <cellStyle name="Normal 2 3 2 2 2 4 2 5" xfId="10904"/>
    <cellStyle name="Normal 2 3 2 2 2 4 2 5 2" xfId="14497"/>
    <cellStyle name="Normal 2 3 2 2 2 4 2 5 3" xfId="15233"/>
    <cellStyle name="Normal 2 3 2 2 2 4 2 6" xfId="12568"/>
    <cellStyle name="Normal 2 3 2 2 2 4 2 7" xfId="15224"/>
    <cellStyle name="Normal 2 3 2 2 2 4 3" xfId="9071"/>
    <cellStyle name="Normal 2 3 2 2 2 4 3 2" xfId="9639"/>
    <cellStyle name="Normal 2 3 2 2 2 4 3 2 2" xfId="10693"/>
    <cellStyle name="Normal 2 3 2 2 2 4 3 2 2 2" xfId="14287"/>
    <cellStyle name="Normal 2 3 2 2 2 4 3 2 2 3" xfId="15236"/>
    <cellStyle name="Normal 2 3 2 2 2 4 3 2 3" xfId="13234"/>
    <cellStyle name="Normal 2 3 2 2 2 4 3 2 4" xfId="15235"/>
    <cellStyle name="Normal 2 3 2 2 2 4 3 3" xfId="10155"/>
    <cellStyle name="Normal 2 3 2 2 2 4 3 3 2" xfId="13749"/>
    <cellStyle name="Normal 2 3 2 2 2 4 3 3 3" xfId="15237"/>
    <cellStyle name="Normal 2 3 2 2 2 4 3 4" xfId="10906"/>
    <cellStyle name="Normal 2 3 2 2 2 4 3 4 2" xfId="14499"/>
    <cellStyle name="Normal 2 3 2 2 2 4 3 4 3" xfId="15238"/>
    <cellStyle name="Normal 2 3 2 2 2 4 3 5" xfId="12696"/>
    <cellStyle name="Normal 2 3 2 2 2 4 3 6" xfId="15234"/>
    <cellStyle name="Normal 2 3 2 2 2 4 4" xfId="9383"/>
    <cellStyle name="Normal 2 3 2 2 2 4 4 2" xfId="10437"/>
    <cellStyle name="Normal 2 3 2 2 2 4 4 2 2" xfId="14031"/>
    <cellStyle name="Normal 2 3 2 2 2 4 4 2 3" xfId="15240"/>
    <cellStyle name="Normal 2 3 2 2 2 4 4 3" xfId="12978"/>
    <cellStyle name="Normal 2 3 2 2 2 4 4 4" xfId="15239"/>
    <cellStyle name="Normal 2 3 2 2 2 4 5" xfId="9899"/>
    <cellStyle name="Normal 2 3 2 2 2 4 5 2" xfId="13493"/>
    <cellStyle name="Normal 2 3 2 2 2 4 5 3" xfId="15241"/>
    <cellStyle name="Normal 2 3 2 2 2 4 6" xfId="10903"/>
    <cellStyle name="Normal 2 3 2 2 2 4 6 2" xfId="14496"/>
    <cellStyle name="Normal 2 3 2 2 2 4 6 3" xfId="15242"/>
    <cellStyle name="Normal 2 3 2 2 2 4 7" xfId="12440"/>
    <cellStyle name="Normal 2 3 2 2 2 4 8" xfId="15223"/>
    <cellStyle name="Normal 2 3 2 2 2 5" xfId="8847"/>
    <cellStyle name="Normal 2 3 2 2 2 5 2" xfId="8975"/>
    <cellStyle name="Normal 2 3 2 2 2 5 2 2" xfId="9231"/>
    <cellStyle name="Normal 2 3 2 2 2 5 2 2 2" xfId="9799"/>
    <cellStyle name="Normal 2 3 2 2 2 5 2 2 2 2" xfId="10853"/>
    <cellStyle name="Normal 2 3 2 2 2 5 2 2 2 2 2" xfId="14447"/>
    <cellStyle name="Normal 2 3 2 2 2 5 2 2 2 2 3" xfId="15247"/>
    <cellStyle name="Normal 2 3 2 2 2 5 2 2 2 3" xfId="13394"/>
    <cellStyle name="Normal 2 3 2 2 2 5 2 2 2 4" xfId="15246"/>
    <cellStyle name="Normal 2 3 2 2 2 5 2 2 3" xfId="10315"/>
    <cellStyle name="Normal 2 3 2 2 2 5 2 2 3 2" xfId="13909"/>
    <cellStyle name="Normal 2 3 2 2 2 5 2 2 3 3" xfId="15248"/>
    <cellStyle name="Normal 2 3 2 2 2 5 2 2 4" xfId="10909"/>
    <cellStyle name="Normal 2 3 2 2 2 5 2 2 4 2" xfId="14502"/>
    <cellStyle name="Normal 2 3 2 2 2 5 2 2 4 3" xfId="15249"/>
    <cellStyle name="Normal 2 3 2 2 2 5 2 2 5" xfId="12856"/>
    <cellStyle name="Normal 2 3 2 2 2 5 2 2 6" xfId="15245"/>
    <cellStyle name="Normal 2 3 2 2 2 5 2 3" xfId="9543"/>
    <cellStyle name="Normal 2 3 2 2 2 5 2 3 2" xfId="10597"/>
    <cellStyle name="Normal 2 3 2 2 2 5 2 3 2 2" xfId="14191"/>
    <cellStyle name="Normal 2 3 2 2 2 5 2 3 2 3" xfId="15251"/>
    <cellStyle name="Normal 2 3 2 2 2 5 2 3 3" xfId="13138"/>
    <cellStyle name="Normal 2 3 2 2 2 5 2 3 4" xfId="15250"/>
    <cellStyle name="Normal 2 3 2 2 2 5 2 4" xfId="10059"/>
    <cellStyle name="Normal 2 3 2 2 2 5 2 4 2" xfId="13653"/>
    <cellStyle name="Normal 2 3 2 2 2 5 2 4 3" xfId="15252"/>
    <cellStyle name="Normal 2 3 2 2 2 5 2 5" xfId="10908"/>
    <cellStyle name="Normal 2 3 2 2 2 5 2 5 2" xfId="14501"/>
    <cellStyle name="Normal 2 3 2 2 2 5 2 5 3" xfId="15253"/>
    <cellStyle name="Normal 2 3 2 2 2 5 2 6" xfId="12600"/>
    <cellStyle name="Normal 2 3 2 2 2 5 2 7" xfId="15244"/>
    <cellStyle name="Normal 2 3 2 2 2 5 3" xfId="9103"/>
    <cellStyle name="Normal 2 3 2 2 2 5 3 2" xfId="9671"/>
    <cellStyle name="Normal 2 3 2 2 2 5 3 2 2" xfId="10725"/>
    <cellStyle name="Normal 2 3 2 2 2 5 3 2 2 2" xfId="14319"/>
    <cellStyle name="Normal 2 3 2 2 2 5 3 2 2 3" xfId="15256"/>
    <cellStyle name="Normal 2 3 2 2 2 5 3 2 3" xfId="13266"/>
    <cellStyle name="Normal 2 3 2 2 2 5 3 2 4" xfId="15255"/>
    <cellStyle name="Normal 2 3 2 2 2 5 3 3" xfId="10187"/>
    <cellStyle name="Normal 2 3 2 2 2 5 3 3 2" xfId="13781"/>
    <cellStyle name="Normal 2 3 2 2 2 5 3 3 3" xfId="15257"/>
    <cellStyle name="Normal 2 3 2 2 2 5 3 4" xfId="10910"/>
    <cellStyle name="Normal 2 3 2 2 2 5 3 4 2" xfId="14503"/>
    <cellStyle name="Normal 2 3 2 2 2 5 3 4 3" xfId="15258"/>
    <cellStyle name="Normal 2 3 2 2 2 5 3 5" xfId="12728"/>
    <cellStyle name="Normal 2 3 2 2 2 5 3 6" xfId="15254"/>
    <cellStyle name="Normal 2 3 2 2 2 5 4" xfId="9415"/>
    <cellStyle name="Normal 2 3 2 2 2 5 4 2" xfId="10469"/>
    <cellStyle name="Normal 2 3 2 2 2 5 4 2 2" xfId="14063"/>
    <cellStyle name="Normal 2 3 2 2 2 5 4 2 3" xfId="15260"/>
    <cellStyle name="Normal 2 3 2 2 2 5 4 3" xfId="13010"/>
    <cellStyle name="Normal 2 3 2 2 2 5 4 4" xfId="15259"/>
    <cellStyle name="Normal 2 3 2 2 2 5 5" xfId="9931"/>
    <cellStyle name="Normal 2 3 2 2 2 5 5 2" xfId="13525"/>
    <cellStyle name="Normal 2 3 2 2 2 5 5 3" xfId="15261"/>
    <cellStyle name="Normal 2 3 2 2 2 5 6" xfId="10907"/>
    <cellStyle name="Normal 2 3 2 2 2 5 6 2" xfId="14500"/>
    <cellStyle name="Normal 2 3 2 2 2 5 6 3" xfId="15262"/>
    <cellStyle name="Normal 2 3 2 2 2 5 7" xfId="12472"/>
    <cellStyle name="Normal 2 3 2 2 2 5 8" xfId="15243"/>
    <cellStyle name="Normal 2 3 2 2 2 6" xfId="8868"/>
    <cellStyle name="Normal 2 3 2 2 2 6 2" xfId="9124"/>
    <cellStyle name="Normal 2 3 2 2 2 6 2 2" xfId="9692"/>
    <cellStyle name="Normal 2 3 2 2 2 6 2 2 2" xfId="10746"/>
    <cellStyle name="Normal 2 3 2 2 2 6 2 2 2 2" xfId="14340"/>
    <cellStyle name="Normal 2 3 2 2 2 6 2 2 2 3" xfId="15266"/>
    <cellStyle name="Normal 2 3 2 2 2 6 2 2 3" xfId="13287"/>
    <cellStyle name="Normal 2 3 2 2 2 6 2 2 4" xfId="15265"/>
    <cellStyle name="Normal 2 3 2 2 2 6 2 3" xfId="10208"/>
    <cellStyle name="Normal 2 3 2 2 2 6 2 3 2" xfId="13802"/>
    <cellStyle name="Normal 2 3 2 2 2 6 2 3 3" xfId="15267"/>
    <cellStyle name="Normal 2 3 2 2 2 6 2 4" xfId="10912"/>
    <cellStyle name="Normal 2 3 2 2 2 6 2 4 2" xfId="14505"/>
    <cellStyle name="Normal 2 3 2 2 2 6 2 4 3" xfId="15268"/>
    <cellStyle name="Normal 2 3 2 2 2 6 2 5" xfId="12749"/>
    <cellStyle name="Normal 2 3 2 2 2 6 2 6" xfId="15264"/>
    <cellStyle name="Normal 2 3 2 2 2 6 3" xfId="9436"/>
    <cellStyle name="Normal 2 3 2 2 2 6 3 2" xfId="10490"/>
    <cellStyle name="Normal 2 3 2 2 2 6 3 2 2" xfId="14084"/>
    <cellStyle name="Normal 2 3 2 2 2 6 3 2 3" xfId="15270"/>
    <cellStyle name="Normal 2 3 2 2 2 6 3 3" xfId="13031"/>
    <cellStyle name="Normal 2 3 2 2 2 6 3 4" xfId="15269"/>
    <cellStyle name="Normal 2 3 2 2 2 6 4" xfId="9952"/>
    <cellStyle name="Normal 2 3 2 2 2 6 4 2" xfId="13546"/>
    <cellStyle name="Normal 2 3 2 2 2 6 4 3" xfId="15271"/>
    <cellStyle name="Normal 2 3 2 2 2 6 5" xfId="10911"/>
    <cellStyle name="Normal 2 3 2 2 2 6 5 2" xfId="14504"/>
    <cellStyle name="Normal 2 3 2 2 2 6 5 3" xfId="15272"/>
    <cellStyle name="Normal 2 3 2 2 2 6 6" xfId="12493"/>
    <cellStyle name="Normal 2 3 2 2 2 6 7" xfId="15263"/>
    <cellStyle name="Normal 2 3 2 2 2 7" xfId="8996"/>
    <cellStyle name="Normal 2 3 2 2 2 7 2" xfId="9564"/>
    <cellStyle name="Normal 2 3 2 2 2 7 2 2" xfId="10618"/>
    <cellStyle name="Normal 2 3 2 2 2 7 2 2 2" xfId="14212"/>
    <cellStyle name="Normal 2 3 2 2 2 7 2 2 3" xfId="15275"/>
    <cellStyle name="Normal 2 3 2 2 2 7 2 3" xfId="13159"/>
    <cellStyle name="Normal 2 3 2 2 2 7 2 4" xfId="15274"/>
    <cellStyle name="Normal 2 3 2 2 2 7 3" xfId="10080"/>
    <cellStyle name="Normal 2 3 2 2 2 7 3 2" xfId="13674"/>
    <cellStyle name="Normal 2 3 2 2 2 7 3 3" xfId="15276"/>
    <cellStyle name="Normal 2 3 2 2 2 7 4" xfId="10913"/>
    <cellStyle name="Normal 2 3 2 2 2 7 4 2" xfId="14506"/>
    <cellStyle name="Normal 2 3 2 2 2 7 4 3" xfId="15277"/>
    <cellStyle name="Normal 2 3 2 2 2 7 5" xfId="12621"/>
    <cellStyle name="Normal 2 3 2 2 2 7 6" xfId="15273"/>
    <cellStyle name="Normal 2 3 2 2 2 8" xfId="9308"/>
    <cellStyle name="Normal 2 3 2 2 2 8 2" xfId="10362"/>
    <cellStyle name="Normal 2 3 2 2 2 8 2 2" xfId="13956"/>
    <cellStyle name="Normal 2 3 2 2 2 8 2 3" xfId="15279"/>
    <cellStyle name="Normal 2 3 2 2 2 8 3" xfId="12903"/>
    <cellStyle name="Normal 2 3 2 2 2 8 4" xfId="15278"/>
    <cellStyle name="Normal 2 3 2 2 2 9" xfId="9824"/>
    <cellStyle name="Normal 2 3 2 2 2 9 2" xfId="13418"/>
    <cellStyle name="Normal 2 3 2 2 2 9 3" xfId="15280"/>
    <cellStyle name="Normal 2 3 2 2 3" xfId="1502"/>
    <cellStyle name="Normal 2 3 2 2 3 10" xfId="12342"/>
    <cellStyle name="Normal 2 3 2 2 3 11" xfId="15281"/>
    <cellStyle name="Normal 2 3 2 2 3 2" xfId="8791"/>
    <cellStyle name="Normal 2 3 2 2 3 2 2" xfId="8919"/>
    <cellStyle name="Normal 2 3 2 2 3 2 2 2" xfId="9175"/>
    <cellStyle name="Normal 2 3 2 2 3 2 2 2 2" xfId="9743"/>
    <cellStyle name="Normal 2 3 2 2 3 2 2 2 2 2" xfId="10797"/>
    <cellStyle name="Normal 2 3 2 2 3 2 2 2 2 2 2" xfId="14391"/>
    <cellStyle name="Normal 2 3 2 2 3 2 2 2 2 2 3" xfId="15286"/>
    <cellStyle name="Normal 2 3 2 2 3 2 2 2 2 3" xfId="13338"/>
    <cellStyle name="Normal 2 3 2 2 3 2 2 2 2 4" xfId="15285"/>
    <cellStyle name="Normal 2 3 2 2 3 2 2 2 3" xfId="10259"/>
    <cellStyle name="Normal 2 3 2 2 3 2 2 2 3 2" xfId="13853"/>
    <cellStyle name="Normal 2 3 2 2 3 2 2 2 3 3" xfId="15287"/>
    <cellStyle name="Normal 2 3 2 2 3 2 2 2 4" xfId="10917"/>
    <cellStyle name="Normal 2 3 2 2 3 2 2 2 4 2" xfId="14510"/>
    <cellStyle name="Normal 2 3 2 2 3 2 2 2 4 3" xfId="15288"/>
    <cellStyle name="Normal 2 3 2 2 3 2 2 2 5" xfId="12800"/>
    <cellStyle name="Normal 2 3 2 2 3 2 2 2 6" xfId="15284"/>
    <cellStyle name="Normal 2 3 2 2 3 2 2 3" xfId="9487"/>
    <cellStyle name="Normal 2 3 2 2 3 2 2 3 2" xfId="10541"/>
    <cellStyle name="Normal 2 3 2 2 3 2 2 3 2 2" xfId="14135"/>
    <cellStyle name="Normal 2 3 2 2 3 2 2 3 2 3" xfId="15290"/>
    <cellStyle name="Normal 2 3 2 2 3 2 2 3 3" xfId="13082"/>
    <cellStyle name="Normal 2 3 2 2 3 2 2 3 4" xfId="15289"/>
    <cellStyle name="Normal 2 3 2 2 3 2 2 4" xfId="10003"/>
    <cellStyle name="Normal 2 3 2 2 3 2 2 4 2" xfId="13597"/>
    <cellStyle name="Normal 2 3 2 2 3 2 2 4 3" xfId="15291"/>
    <cellStyle name="Normal 2 3 2 2 3 2 2 5" xfId="10916"/>
    <cellStyle name="Normal 2 3 2 2 3 2 2 5 2" xfId="14509"/>
    <cellStyle name="Normal 2 3 2 2 3 2 2 5 3" xfId="15292"/>
    <cellStyle name="Normal 2 3 2 2 3 2 2 6" xfId="12544"/>
    <cellStyle name="Normal 2 3 2 2 3 2 2 7" xfId="15283"/>
    <cellStyle name="Normal 2 3 2 2 3 2 3" xfId="9047"/>
    <cellStyle name="Normal 2 3 2 2 3 2 3 2" xfId="9615"/>
    <cellStyle name="Normal 2 3 2 2 3 2 3 2 2" xfId="10669"/>
    <cellStyle name="Normal 2 3 2 2 3 2 3 2 2 2" xfId="14263"/>
    <cellStyle name="Normal 2 3 2 2 3 2 3 2 2 3" xfId="15295"/>
    <cellStyle name="Normal 2 3 2 2 3 2 3 2 3" xfId="13210"/>
    <cellStyle name="Normal 2 3 2 2 3 2 3 2 4" xfId="15294"/>
    <cellStyle name="Normal 2 3 2 2 3 2 3 3" xfId="10131"/>
    <cellStyle name="Normal 2 3 2 2 3 2 3 3 2" xfId="13725"/>
    <cellStyle name="Normal 2 3 2 2 3 2 3 3 3" xfId="15296"/>
    <cellStyle name="Normal 2 3 2 2 3 2 3 4" xfId="10918"/>
    <cellStyle name="Normal 2 3 2 2 3 2 3 4 2" xfId="14511"/>
    <cellStyle name="Normal 2 3 2 2 3 2 3 4 3" xfId="15297"/>
    <cellStyle name="Normal 2 3 2 2 3 2 3 5" xfId="12672"/>
    <cellStyle name="Normal 2 3 2 2 3 2 3 6" xfId="15293"/>
    <cellStyle name="Normal 2 3 2 2 3 2 4" xfId="9359"/>
    <cellStyle name="Normal 2 3 2 2 3 2 4 2" xfId="10413"/>
    <cellStyle name="Normal 2 3 2 2 3 2 4 2 2" xfId="14007"/>
    <cellStyle name="Normal 2 3 2 2 3 2 4 2 3" xfId="15299"/>
    <cellStyle name="Normal 2 3 2 2 3 2 4 3" xfId="12954"/>
    <cellStyle name="Normal 2 3 2 2 3 2 4 4" xfId="15298"/>
    <cellStyle name="Normal 2 3 2 2 3 2 5" xfId="9875"/>
    <cellStyle name="Normal 2 3 2 2 3 2 5 2" xfId="13469"/>
    <cellStyle name="Normal 2 3 2 2 3 2 5 3" xfId="15300"/>
    <cellStyle name="Normal 2 3 2 2 3 2 6" xfId="10915"/>
    <cellStyle name="Normal 2 3 2 2 3 2 6 2" xfId="14508"/>
    <cellStyle name="Normal 2 3 2 2 3 2 6 3" xfId="15301"/>
    <cellStyle name="Normal 2 3 2 2 3 2 7" xfId="12416"/>
    <cellStyle name="Normal 2 3 2 2 3 2 8" xfId="15282"/>
    <cellStyle name="Normal 2 3 2 2 3 3" xfId="8823"/>
    <cellStyle name="Normal 2 3 2 2 3 3 2" xfId="8951"/>
    <cellStyle name="Normal 2 3 2 2 3 3 2 2" xfId="9207"/>
    <cellStyle name="Normal 2 3 2 2 3 3 2 2 2" xfId="9775"/>
    <cellStyle name="Normal 2 3 2 2 3 3 2 2 2 2" xfId="10829"/>
    <cellStyle name="Normal 2 3 2 2 3 3 2 2 2 2 2" xfId="14423"/>
    <cellStyle name="Normal 2 3 2 2 3 3 2 2 2 2 3" xfId="15306"/>
    <cellStyle name="Normal 2 3 2 2 3 3 2 2 2 3" xfId="13370"/>
    <cellStyle name="Normal 2 3 2 2 3 3 2 2 2 4" xfId="15305"/>
    <cellStyle name="Normal 2 3 2 2 3 3 2 2 3" xfId="10291"/>
    <cellStyle name="Normal 2 3 2 2 3 3 2 2 3 2" xfId="13885"/>
    <cellStyle name="Normal 2 3 2 2 3 3 2 2 3 3" xfId="15307"/>
    <cellStyle name="Normal 2 3 2 2 3 3 2 2 4" xfId="10921"/>
    <cellStyle name="Normal 2 3 2 2 3 3 2 2 4 2" xfId="14514"/>
    <cellStyle name="Normal 2 3 2 2 3 3 2 2 4 3" xfId="15308"/>
    <cellStyle name="Normal 2 3 2 2 3 3 2 2 5" xfId="12832"/>
    <cellStyle name="Normal 2 3 2 2 3 3 2 2 6" xfId="15304"/>
    <cellStyle name="Normal 2 3 2 2 3 3 2 3" xfId="9519"/>
    <cellStyle name="Normal 2 3 2 2 3 3 2 3 2" xfId="10573"/>
    <cellStyle name="Normal 2 3 2 2 3 3 2 3 2 2" xfId="14167"/>
    <cellStyle name="Normal 2 3 2 2 3 3 2 3 2 3" xfId="15310"/>
    <cellStyle name="Normal 2 3 2 2 3 3 2 3 3" xfId="13114"/>
    <cellStyle name="Normal 2 3 2 2 3 3 2 3 4" xfId="15309"/>
    <cellStyle name="Normal 2 3 2 2 3 3 2 4" xfId="10035"/>
    <cellStyle name="Normal 2 3 2 2 3 3 2 4 2" xfId="13629"/>
    <cellStyle name="Normal 2 3 2 2 3 3 2 4 3" xfId="15311"/>
    <cellStyle name="Normal 2 3 2 2 3 3 2 5" xfId="10920"/>
    <cellStyle name="Normal 2 3 2 2 3 3 2 5 2" xfId="14513"/>
    <cellStyle name="Normal 2 3 2 2 3 3 2 5 3" xfId="15312"/>
    <cellStyle name="Normal 2 3 2 2 3 3 2 6" xfId="12576"/>
    <cellStyle name="Normal 2 3 2 2 3 3 2 7" xfId="15303"/>
    <cellStyle name="Normal 2 3 2 2 3 3 3" xfId="9079"/>
    <cellStyle name="Normal 2 3 2 2 3 3 3 2" xfId="9647"/>
    <cellStyle name="Normal 2 3 2 2 3 3 3 2 2" xfId="10701"/>
    <cellStyle name="Normal 2 3 2 2 3 3 3 2 2 2" xfId="14295"/>
    <cellStyle name="Normal 2 3 2 2 3 3 3 2 2 3" xfId="15315"/>
    <cellStyle name="Normal 2 3 2 2 3 3 3 2 3" xfId="13242"/>
    <cellStyle name="Normal 2 3 2 2 3 3 3 2 4" xfId="15314"/>
    <cellStyle name="Normal 2 3 2 2 3 3 3 3" xfId="10163"/>
    <cellStyle name="Normal 2 3 2 2 3 3 3 3 2" xfId="13757"/>
    <cellStyle name="Normal 2 3 2 2 3 3 3 3 3" xfId="15316"/>
    <cellStyle name="Normal 2 3 2 2 3 3 3 4" xfId="10922"/>
    <cellStyle name="Normal 2 3 2 2 3 3 3 4 2" xfId="14515"/>
    <cellStyle name="Normal 2 3 2 2 3 3 3 4 3" xfId="15317"/>
    <cellStyle name="Normal 2 3 2 2 3 3 3 5" xfId="12704"/>
    <cellStyle name="Normal 2 3 2 2 3 3 3 6" xfId="15313"/>
    <cellStyle name="Normal 2 3 2 2 3 3 4" xfId="9391"/>
    <cellStyle name="Normal 2 3 2 2 3 3 4 2" xfId="10445"/>
    <cellStyle name="Normal 2 3 2 2 3 3 4 2 2" xfId="14039"/>
    <cellStyle name="Normal 2 3 2 2 3 3 4 2 3" xfId="15319"/>
    <cellStyle name="Normal 2 3 2 2 3 3 4 3" xfId="12986"/>
    <cellStyle name="Normal 2 3 2 2 3 3 4 4" xfId="15318"/>
    <cellStyle name="Normal 2 3 2 2 3 3 5" xfId="9907"/>
    <cellStyle name="Normal 2 3 2 2 3 3 5 2" xfId="13501"/>
    <cellStyle name="Normal 2 3 2 2 3 3 5 3" xfId="15320"/>
    <cellStyle name="Normal 2 3 2 2 3 3 6" xfId="10919"/>
    <cellStyle name="Normal 2 3 2 2 3 3 6 2" xfId="14512"/>
    <cellStyle name="Normal 2 3 2 2 3 3 6 3" xfId="15321"/>
    <cellStyle name="Normal 2 3 2 2 3 3 7" xfId="12448"/>
    <cellStyle name="Normal 2 3 2 2 3 3 8" xfId="15302"/>
    <cellStyle name="Normal 2 3 2 2 3 4" xfId="8855"/>
    <cellStyle name="Normal 2 3 2 2 3 4 2" xfId="8983"/>
    <cellStyle name="Normal 2 3 2 2 3 4 2 2" xfId="9239"/>
    <cellStyle name="Normal 2 3 2 2 3 4 2 2 2" xfId="9807"/>
    <cellStyle name="Normal 2 3 2 2 3 4 2 2 2 2" xfId="10861"/>
    <cellStyle name="Normal 2 3 2 2 3 4 2 2 2 2 2" xfId="14455"/>
    <cellStyle name="Normal 2 3 2 2 3 4 2 2 2 2 3" xfId="15326"/>
    <cellStyle name="Normal 2 3 2 2 3 4 2 2 2 3" xfId="13402"/>
    <cellStyle name="Normal 2 3 2 2 3 4 2 2 2 4" xfId="15325"/>
    <cellStyle name="Normal 2 3 2 2 3 4 2 2 3" xfId="10323"/>
    <cellStyle name="Normal 2 3 2 2 3 4 2 2 3 2" xfId="13917"/>
    <cellStyle name="Normal 2 3 2 2 3 4 2 2 3 3" xfId="15327"/>
    <cellStyle name="Normal 2 3 2 2 3 4 2 2 4" xfId="10925"/>
    <cellStyle name="Normal 2 3 2 2 3 4 2 2 4 2" xfId="14518"/>
    <cellStyle name="Normal 2 3 2 2 3 4 2 2 4 3" xfId="15328"/>
    <cellStyle name="Normal 2 3 2 2 3 4 2 2 5" xfId="12864"/>
    <cellStyle name="Normal 2 3 2 2 3 4 2 2 6" xfId="15324"/>
    <cellStyle name="Normal 2 3 2 2 3 4 2 3" xfId="9551"/>
    <cellStyle name="Normal 2 3 2 2 3 4 2 3 2" xfId="10605"/>
    <cellStyle name="Normal 2 3 2 2 3 4 2 3 2 2" xfId="14199"/>
    <cellStyle name="Normal 2 3 2 2 3 4 2 3 2 3" xfId="15330"/>
    <cellStyle name="Normal 2 3 2 2 3 4 2 3 3" xfId="13146"/>
    <cellStyle name="Normal 2 3 2 2 3 4 2 3 4" xfId="15329"/>
    <cellStyle name="Normal 2 3 2 2 3 4 2 4" xfId="10067"/>
    <cellStyle name="Normal 2 3 2 2 3 4 2 4 2" xfId="13661"/>
    <cellStyle name="Normal 2 3 2 2 3 4 2 4 3" xfId="15331"/>
    <cellStyle name="Normal 2 3 2 2 3 4 2 5" xfId="10924"/>
    <cellStyle name="Normal 2 3 2 2 3 4 2 5 2" xfId="14517"/>
    <cellStyle name="Normal 2 3 2 2 3 4 2 5 3" xfId="15332"/>
    <cellStyle name="Normal 2 3 2 2 3 4 2 6" xfId="12608"/>
    <cellStyle name="Normal 2 3 2 2 3 4 2 7" xfId="15323"/>
    <cellStyle name="Normal 2 3 2 2 3 4 3" xfId="9111"/>
    <cellStyle name="Normal 2 3 2 2 3 4 3 2" xfId="9679"/>
    <cellStyle name="Normal 2 3 2 2 3 4 3 2 2" xfId="10733"/>
    <cellStyle name="Normal 2 3 2 2 3 4 3 2 2 2" xfId="14327"/>
    <cellStyle name="Normal 2 3 2 2 3 4 3 2 2 3" xfId="15335"/>
    <cellStyle name="Normal 2 3 2 2 3 4 3 2 3" xfId="13274"/>
    <cellStyle name="Normal 2 3 2 2 3 4 3 2 4" xfId="15334"/>
    <cellStyle name="Normal 2 3 2 2 3 4 3 3" xfId="10195"/>
    <cellStyle name="Normal 2 3 2 2 3 4 3 3 2" xfId="13789"/>
    <cellStyle name="Normal 2 3 2 2 3 4 3 3 3" xfId="15336"/>
    <cellStyle name="Normal 2 3 2 2 3 4 3 4" xfId="10926"/>
    <cellStyle name="Normal 2 3 2 2 3 4 3 4 2" xfId="14519"/>
    <cellStyle name="Normal 2 3 2 2 3 4 3 4 3" xfId="15337"/>
    <cellStyle name="Normal 2 3 2 2 3 4 3 5" xfId="12736"/>
    <cellStyle name="Normal 2 3 2 2 3 4 3 6" xfId="15333"/>
    <cellStyle name="Normal 2 3 2 2 3 4 4" xfId="9423"/>
    <cellStyle name="Normal 2 3 2 2 3 4 4 2" xfId="10477"/>
    <cellStyle name="Normal 2 3 2 2 3 4 4 2 2" xfId="14071"/>
    <cellStyle name="Normal 2 3 2 2 3 4 4 2 3" xfId="15339"/>
    <cellStyle name="Normal 2 3 2 2 3 4 4 3" xfId="13018"/>
    <cellStyle name="Normal 2 3 2 2 3 4 4 4" xfId="15338"/>
    <cellStyle name="Normal 2 3 2 2 3 4 5" xfId="9939"/>
    <cellStyle name="Normal 2 3 2 2 3 4 5 2" xfId="13533"/>
    <cellStyle name="Normal 2 3 2 2 3 4 5 3" xfId="15340"/>
    <cellStyle name="Normal 2 3 2 2 3 4 6" xfId="10923"/>
    <cellStyle name="Normal 2 3 2 2 3 4 6 2" xfId="14516"/>
    <cellStyle name="Normal 2 3 2 2 3 4 6 3" xfId="15341"/>
    <cellStyle name="Normal 2 3 2 2 3 4 7" xfId="12480"/>
    <cellStyle name="Normal 2 3 2 2 3 4 8" xfId="15322"/>
    <cellStyle name="Normal 2 3 2 2 3 5" xfId="8870"/>
    <cellStyle name="Normal 2 3 2 2 3 5 2" xfId="9126"/>
    <cellStyle name="Normal 2 3 2 2 3 5 2 2" xfId="9694"/>
    <cellStyle name="Normal 2 3 2 2 3 5 2 2 2" xfId="10748"/>
    <cellStyle name="Normal 2 3 2 2 3 5 2 2 2 2" xfId="14342"/>
    <cellStyle name="Normal 2 3 2 2 3 5 2 2 2 3" xfId="15345"/>
    <cellStyle name="Normal 2 3 2 2 3 5 2 2 3" xfId="13289"/>
    <cellStyle name="Normal 2 3 2 2 3 5 2 2 4" xfId="15344"/>
    <cellStyle name="Normal 2 3 2 2 3 5 2 3" xfId="10210"/>
    <cellStyle name="Normal 2 3 2 2 3 5 2 3 2" xfId="13804"/>
    <cellStyle name="Normal 2 3 2 2 3 5 2 3 3" xfId="15346"/>
    <cellStyle name="Normal 2 3 2 2 3 5 2 4" xfId="10928"/>
    <cellStyle name="Normal 2 3 2 2 3 5 2 4 2" xfId="14521"/>
    <cellStyle name="Normal 2 3 2 2 3 5 2 4 3" xfId="15347"/>
    <cellStyle name="Normal 2 3 2 2 3 5 2 5" xfId="12751"/>
    <cellStyle name="Normal 2 3 2 2 3 5 2 6" xfId="15343"/>
    <cellStyle name="Normal 2 3 2 2 3 5 3" xfId="9438"/>
    <cellStyle name="Normal 2 3 2 2 3 5 3 2" xfId="10492"/>
    <cellStyle name="Normal 2 3 2 2 3 5 3 2 2" xfId="14086"/>
    <cellStyle name="Normal 2 3 2 2 3 5 3 2 3" xfId="15349"/>
    <cellStyle name="Normal 2 3 2 2 3 5 3 3" xfId="13033"/>
    <cellStyle name="Normal 2 3 2 2 3 5 3 4" xfId="15348"/>
    <cellStyle name="Normal 2 3 2 2 3 5 4" xfId="9954"/>
    <cellStyle name="Normal 2 3 2 2 3 5 4 2" xfId="13548"/>
    <cellStyle name="Normal 2 3 2 2 3 5 4 3" xfId="15350"/>
    <cellStyle name="Normal 2 3 2 2 3 5 5" xfId="10927"/>
    <cellStyle name="Normal 2 3 2 2 3 5 5 2" xfId="14520"/>
    <cellStyle name="Normal 2 3 2 2 3 5 5 3" xfId="15351"/>
    <cellStyle name="Normal 2 3 2 2 3 5 6" xfId="12495"/>
    <cellStyle name="Normal 2 3 2 2 3 5 7" xfId="15342"/>
    <cellStyle name="Normal 2 3 2 2 3 6" xfId="8998"/>
    <cellStyle name="Normal 2 3 2 2 3 6 2" xfId="9566"/>
    <cellStyle name="Normal 2 3 2 2 3 6 2 2" xfId="10620"/>
    <cellStyle name="Normal 2 3 2 2 3 6 2 2 2" xfId="14214"/>
    <cellStyle name="Normal 2 3 2 2 3 6 2 2 3" xfId="15354"/>
    <cellStyle name="Normal 2 3 2 2 3 6 2 3" xfId="13161"/>
    <cellStyle name="Normal 2 3 2 2 3 6 2 4" xfId="15353"/>
    <cellStyle name="Normal 2 3 2 2 3 6 3" xfId="10082"/>
    <cellStyle name="Normal 2 3 2 2 3 6 3 2" xfId="13676"/>
    <cellStyle name="Normal 2 3 2 2 3 6 3 3" xfId="15355"/>
    <cellStyle name="Normal 2 3 2 2 3 6 4" xfId="10929"/>
    <cellStyle name="Normal 2 3 2 2 3 6 4 2" xfId="14522"/>
    <cellStyle name="Normal 2 3 2 2 3 6 4 3" xfId="15356"/>
    <cellStyle name="Normal 2 3 2 2 3 6 5" xfId="12623"/>
    <cellStyle name="Normal 2 3 2 2 3 6 6" xfId="15352"/>
    <cellStyle name="Normal 2 3 2 2 3 7" xfId="9310"/>
    <cellStyle name="Normal 2 3 2 2 3 7 2" xfId="10364"/>
    <cellStyle name="Normal 2 3 2 2 3 7 2 2" xfId="13958"/>
    <cellStyle name="Normal 2 3 2 2 3 7 2 3" xfId="15358"/>
    <cellStyle name="Normal 2 3 2 2 3 7 3" xfId="12905"/>
    <cellStyle name="Normal 2 3 2 2 3 7 4" xfId="15357"/>
    <cellStyle name="Normal 2 3 2 2 3 8" xfId="9826"/>
    <cellStyle name="Normal 2 3 2 2 3 8 2" xfId="13420"/>
    <cellStyle name="Normal 2 3 2 2 3 8 3" xfId="15359"/>
    <cellStyle name="Normal 2 3 2 2 3 9" xfId="10914"/>
    <cellStyle name="Normal 2 3 2 2 3 9 2" xfId="14507"/>
    <cellStyle name="Normal 2 3 2 2 3 9 3" xfId="15360"/>
    <cellStyle name="Normal 2 3 2 2 4" xfId="8775"/>
    <cellStyle name="Normal 2 3 2 2 4 2" xfId="8903"/>
    <cellStyle name="Normal 2 3 2 2 4 2 2" xfId="9159"/>
    <cellStyle name="Normal 2 3 2 2 4 2 2 2" xfId="9727"/>
    <cellStyle name="Normal 2 3 2 2 4 2 2 2 2" xfId="10781"/>
    <cellStyle name="Normal 2 3 2 2 4 2 2 2 2 2" xfId="14375"/>
    <cellStyle name="Normal 2 3 2 2 4 2 2 2 2 3" xfId="15365"/>
    <cellStyle name="Normal 2 3 2 2 4 2 2 2 3" xfId="13322"/>
    <cellStyle name="Normal 2 3 2 2 4 2 2 2 4" xfId="15364"/>
    <cellStyle name="Normal 2 3 2 2 4 2 2 3" xfId="10243"/>
    <cellStyle name="Normal 2 3 2 2 4 2 2 3 2" xfId="13837"/>
    <cellStyle name="Normal 2 3 2 2 4 2 2 3 3" xfId="15366"/>
    <cellStyle name="Normal 2 3 2 2 4 2 2 4" xfId="10932"/>
    <cellStyle name="Normal 2 3 2 2 4 2 2 4 2" xfId="14525"/>
    <cellStyle name="Normal 2 3 2 2 4 2 2 4 3" xfId="15367"/>
    <cellStyle name="Normal 2 3 2 2 4 2 2 5" xfId="12784"/>
    <cellStyle name="Normal 2 3 2 2 4 2 2 6" xfId="15363"/>
    <cellStyle name="Normal 2 3 2 2 4 2 3" xfId="9471"/>
    <cellStyle name="Normal 2 3 2 2 4 2 3 2" xfId="10525"/>
    <cellStyle name="Normal 2 3 2 2 4 2 3 2 2" xfId="14119"/>
    <cellStyle name="Normal 2 3 2 2 4 2 3 2 3" xfId="15369"/>
    <cellStyle name="Normal 2 3 2 2 4 2 3 3" xfId="13066"/>
    <cellStyle name="Normal 2 3 2 2 4 2 3 4" xfId="15368"/>
    <cellStyle name="Normal 2 3 2 2 4 2 4" xfId="9987"/>
    <cellStyle name="Normal 2 3 2 2 4 2 4 2" xfId="13581"/>
    <cellStyle name="Normal 2 3 2 2 4 2 4 3" xfId="15370"/>
    <cellStyle name="Normal 2 3 2 2 4 2 5" xfId="10931"/>
    <cellStyle name="Normal 2 3 2 2 4 2 5 2" xfId="14524"/>
    <cellStyle name="Normal 2 3 2 2 4 2 5 3" xfId="15371"/>
    <cellStyle name="Normal 2 3 2 2 4 2 6" xfId="12528"/>
    <cellStyle name="Normal 2 3 2 2 4 2 7" xfId="15362"/>
    <cellStyle name="Normal 2 3 2 2 4 3" xfId="9031"/>
    <cellStyle name="Normal 2 3 2 2 4 3 2" xfId="9599"/>
    <cellStyle name="Normal 2 3 2 2 4 3 2 2" xfId="10653"/>
    <cellStyle name="Normal 2 3 2 2 4 3 2 2 2" xfId="14247"/>
    <cellStyle name="Normal 2 3 2 2 4 3 2 2 3" xfId="15374"/>
    <cellStyle name="Normal 2 3 2 2 4 3 2 3" xfId="13194"/>
    <cellStyle name="Normal 2 3 2 2 4 3 2 4" xfId="15373"/>
    <cellStyle name="Normal 2 3 2 2 4 3 3" xfId="10115"/>
    <cellStyle name="Normal 2 3 2 2 4 3 3 2" xfId="13709"/>
    <cellStyle name="Normal 2 3 2 2 4 3 3 3" xfId="15375"/>
    <cellStyle name="Normal 2 3 2 2 4 3 4" xfId="10933"/>
    <cellStyle name="Normal 2 3 2 2 4 3 4 2" xfId="14526"/>
    <cellStyle name="Normal 2 3 2 2 4 3 4 3" xfId="15376"/>
    <cellStyle name="Normal 2 3 2 2 4 3 5" xfId="12656"/>
    <cellStyle name="Normal 2 3 2 2 4 3 6" xfId="15372"/>
    <cellStyle name="Normal 2 3 2 2 4 4" xfId="9343"/>
    <cellStyle name="Normal 2 3 2 2 4 4 2" xfId="10397"/>
    <cellStyle name="Normal 2 3 2 2 4 4 2 2" xfId="13991"/>
    <cellStyle name="Normal 2 3 2 2 4 4 2 3" xfId="15378"/>
    <cellStyle name="Normal 2 3 2 2 4 4 3" xfId="12938"/>
    <cellStyle name="Normal 2 3 2 2 4 4 4" xfId="15377"/>
    <cellStyle name="Normal 2 3 2 2 4 5" xfId="9859"/>
    <cellStyle name="Normal 2 3 2 2 4 5 2" xfId="13453"/>
    <cellStyle name="Normal 2 3 2 2 4 5 3" xfId="15379"/>
    <cellStyle name="Normal 2 3 2 2 4 6" xfId="10930"/>
    <cellStyle name="Normal 2 3 2 2 4 6 2" xfId="14523"/>
    <cellStyle name="Normal 2 3 2 2 4 6 3" xfId="15380"/>
    <cellStyle name="Normal 2 3 2 2 4 7" xfId="12400"/>
    <cellStyle name="Normal 2 3 2 2 4 8" xfId="15361"/>
    <cellStyle name="Normal 2 3 2 2 5" xfId="8807"/>
    <cellStyle name="Normal 2 3 2 2 5 2" xfId="8935"/>
    <cellStyle name="Normal 2 3 2 2 5 2 2" xfId="9191"/>
    <cellStyle name="Normal 2 3 2 2 5 2 2 2" xfId="9759"/>
    <cellStyle name="Normal 2 3 2 2 5 2 2 2 2" xfId="10813"/>
    <cellStyle name="Normal 2 3 2 2 5 2 2 2 2 2" xfId="14407"/>
    <cellStyle name="Normal 2 3 2 2 5 2 2 2 2 3" xfId="15385"/>
    <cellStyle name="Normal 2 3 2 2 5 2 2 2 3" xfId="13354"/>
    <cellStyle name="Normal 2 3 2 2 5 2 2 2 4" xfId="15384"/>
    <cellStyle name="Normal 2 3 2 2 5 2 2 3" xfId="10275"/>
    <cellStyle name="Normal 2 3 2 2 5 2 2 3 2" xfId="13869"/>
    <cellStyle name="Normal 2 3 2 2 5 2 2 3 3" xfId="15386"/>
    <cellStyle name="Normal 2 3 2 2 5 2 2 4" xfId="10936"/>
    <cellStyle name="Normal 2 3 2 2 5 2 2 4 2" xfId="14529"/>
    <cellStyle name="Normal 2 3 2 2 5 2 2 4 3" xfId="15387"/>
    <cellStyle name="Normal 2 3 2 2 5 2 2 5" xfId="12816"/>
    <cellStyle name="Normal 2 3 2 2 5 2 2 6" xfId="15383"/>
    <cellStyle name="Normal 2 3 2 2 5 2 3" xfId="9503"/>
    <cellStyle name="Normal 2 3 2 2 5 2 3 2" xfId="10557"/>
    <cellStyle name="Normal 2 3 2 2 5 2 3 2 2" xfId="14151"/>
    <cellStyle name="Normal 2 3 2 2 5 2 3 2 3" xfId="15389"/>
    <cellStyle name="Normal 2 3 2 2 5 2 3 3" xfId="13098"/>
    <cellStyle name="Normal 2 3 2 2 5 2 3 4" xfId="15388"/>
    <cellStyle name="Normal 2 3 2 2 5 2 4" xfId="10019"/>
    <cellStyle name="Normal 2 3 2 2 5 2 4 2" xfId="13613"/>
    <cellStyle name="Normal 2 3 2 2 5 2 4 3" xfId="15390"/>
    <cellStyle name="Normal 2 3 2 2 5 2 5" xfId="10935"/>
    <cellStyle name="Normal 2 3 2 2 5 2 5 2" xfId="14528"/>
    <cellStyle name="Normal 2 3 2 2 5 2 5 3" xfId="15391"/>
    <cellStyle name="Normal 2 3 2 2 5 2 6" xfId="12560"/>
    <cellStyle name="Normal 2 3 2 2 5 2 7" xfId="15382"/>
    <cellStyle name="Normal 2 3 2 2 5 3" xfId="9063"/>
    <cellStyle name="Normal 2 3 2 2 5 3 2" xfId="9631"/>
    <cellStyle name="Normal 2 3 2 2 5 3 2 2" xfId="10685"/>
    <cellStyle name="Normal 2 3 2 2 5 3 2 2 2" xfId="14279"/>
    <cellStyle name="Normal 2 3 2 2 5 3 2 2 3" xfId="15394"/>
    <cellStyle name="Normal 2 3 2 2 5 3 2 3" xfId="13226"/>
    <cellStyle name="Normal 2 3 2 2 5 3 2 4" xfId="15393"/>
    <cellStyle name="Normal 2 3 2 2 5 3 3" xfId="10147"/>
    <cellStyle name="Normal 2 3 2 2 5 3 3 2" xfId="13741"/>
    <cellStyle name="Normal 2 3 2 2 5 3 3 3" xfId="15395"/>
    <cellStyle name="Normal 2 3 2 2 5 3 4" xfId="10937"/>
    <cellStyle name="Normal 2 3 2 2 5 3 4 2" xfId="14530"/>
    <cellStyle name="Normal 2 3 2 2 5 3 4 3" xfId="15396"/>
    <cellStyle name="Normal 2 3 2 2 5 3 5" xfId="12688"/>
    <cellStyle name="Normal 2 3 2 2 5 3 6" xfId="15392"/>
    <cellStyle name="Normal 2 3 2 2 5 4" xfId="9375"/>
    <cellStyle name="Normal 2 3 2 2 5 4 2" xfId="10429"/>
    <cellStyle name="Normal 2 3 2 2 5 4 2 2" xfId="14023"/>
    <cellStyle name="Normal 2 3 2 2 5 4 2 3" xfId="15398"/>
    <cellStyle name="Normal 2 3 2 2 5 4 3" xfId="12970"/>
    <cellStyle name="Normal 2 3 2 2 5 4 4" xfId="15397"/>
    <cellStyle name="Normal 2 3 2 2 5 5" xfId="9891"/>
    <cellStyle name="Normal 2 3 2 2 5 5 2" xfId="13485"/>
    <cellStyle name="Normal 2 3 2 2 5 5 3" xfId="15399"/>
    <cellStyle name="Normal 2 3 2 2 5 6" xfId="10934"/>
    <cellStyle name="Normal 2 3 2 2 5 6 2" xfId="14527"/>
    <cellStyle name="Normal 2 3 2 2 5 6 3" xfId="15400"/>
    <cellStyle name="Normal 2 3 2 2 5 7" xfId="12432"/>
    <cellStyle name="Normal 2 3 2 2 5 8" xfId="15381"/>
    <cellStyle name="Normal 2 3 2 2 6" xfId="8839"/>
    <cellStyle name="Normal 2 3 2 2 6 2" xfId="8967"/>
    <cellStyle name="Normal 2 3 2 2 6 2 2" xfId="9223"/>
    <cellStyle name="Normal 2 3 2 2 6 2 2 2" xfId="9791"/>
    <cellStyle name="Normal 2 3 2 2 6 2 2 2 2" xfId="10845"/>
    <cellStyle name="Normal 2 3 2 2 6 2 2 2 2 2" xfId="14439"/>
    <cellStyle name="Normal 2 3 2 2 6 2 2 2 2 3" xfId="15405"/>
    <cellStyle name="Normal 2 3 2 2 6 2 2 2 3" xfId="13386"/>
    <cellStyle name="Normal 2 3 2 2 6 2 2 2 4" xfId="15404"/>
    <cellStyle name="Normal 2 3 2 2 6 2 2 3" xfId="10307"/>
    <cellStyle name="Normal 2 3 2 2 6 2 2 3 2" xfId="13901"/>
    <cellStyle name="Normal 2 3 2 2 6 2 2 3 3" xfId="15406"/>
    <cellStyle name="Normal 2 3 2 2 6 2 2 4" xfId="10940"/>
    <cellStyle name="Normal 2 3 2 2 6 2 2 4 2" xfId="14533"/>
    <cellStyle name="Normal 2 3 2 2 6 2 2 4 3" xfId="15407"/>
    <cellStyle name="Normal 2 3 2 2 6 2 2 5" xfId="12848"/>
    <cellStyle name="Normal 2 3 2 2 6 2 2 6" xfId="15403"/>
    <cellStyle name="Normal 2 3 2 2 6 2 3" xfId="9535"/>
    <cellStyle name="Normal 2 3 2 2 6 2 3 2" xfId="10589"/>
    <cellStyle name="Normal 2 3 2 2 6 2 3 2 2" xfId="14183"/>
    <cellStyle name="Normal 2 3 2 2 6 2 3 2 3" xfId="15409"/>
    <cellStyle name="Normal 2 3 2 2 6 2 3 3" xfId="13130"/>
    <cellStyle name="Normal 2 3 2 2 6 2 3 4" xfId="15408"/>
    <cellStyle name="Normal 2 3 2 2 6 2 4" xfId="10051"/>
    <cellStyle name="Normal 2 3 2 2 6 2 4 2" xfId="13645"/>
    <cellStyle name="Normal 2 3 2 2 6 2 4 3" xfId="15410"/>
    <cellStyle name="Normal 2 3 2 2 6 2 5" xfId="10939"/>
    <cellStyle name="Normal 2 3 2 2 6 2 5 2" xfId="14532"/>
    <cellStyle name="Normal 2 3 2 2 6 2 5 3" xfId="15411"/>
    <cellStyle name="Normal 2 3 2 2 6 2 6" xfId="12592"/>
    <cellStyle name="Normal 2 3 2 2 6 2 7" xfId="15402"/>
    <cellStyle name="Normal 2 3 2 2 6 3" xfId="9095"/>
    <cellStyle name="Normal 2 3 2 2 6 3 2" xfId="9663"/>
    <cellStyle name="Normal 2 3 2 2 6 3 2 2" xfId="10717"/>
    <cellStyle name="Normal 2 3 2 2 6 3 2 2 2" xfId="14311"/>
    <cellStyle name="Normal 2 3 2 2 6 3 2 2 3" xfId="15414"/>
    <cellStyle name="Normal 2 3 2 2 6 3 2 3" xfId="13258"/>
    <cellStyle name="Normal 2 3 2 2 6 3 2 4" xfId="15413"/>
    <cellStyle name="Normal 2 3 2 2 6 3 3" xfId="10179"/>
    <cellStyle name="Normal 2 3 2 2 6 3 3 2" xfId="13773"/>
    <cellStyle name="Normal 2 3 2 2 6 3 3 3" xfId="15415"/>
    <cellStyle name="Normal 2 3 2 2 6 3 4" xfId="10941"/>
    <cellStyle name="Normal 2 3 2 2 6 3 4 2" xfId="14534"/>
    <cellStyle name="Normal 2 3 2 2 6 3 4 3" xfId="15416"/>
    <cellStyle name="Normal 2 3 2 2 6 3 5" xfId="12720"/>
    <cellStyle name="Normal 2 3 2 2 6 3 6" xfId="15412"/>
    <cellStyle name="Normal 2 3 2 2 6 4" xfId="9407"/>
    <cellStyle name="Normal 2 3 2 2 6 4 2" xfId="10461"/>
    <cellStyle name="Normal 2 3 2 2 6 4 2 2" xfId="14055"/>
    <cellStyle name="Normal 2 3 2 2 6 4 2 3" xfId="15418"/>
    <cellStyle name="Normal 2 3 2 2 6 4 3" xfId="13002"/>
    <cellStyle name="Normal 2 3 2 2 6 4 4" xfId="15417"/>
    <cellStyle name="Normal 2 3 2 2 6 5" xfId="9923"/>
    <cellStyle name="Normal 2 3 2 2 6 5 2" xfId="13517"/>
    <cellStyle name="Normal 2 3 2 2 6 5 3" xfId="15419"/>
    <cellStyle name="Normal 2 3 2 2 6 6" xfId="10938"/>
    <cellStyle name="Normal 2 3 2 2 6 6 2" xfId="14531"/>
    <cellStyle name="Normal 2 3 2 2 6 6 3" xfId="15420"/>
    <cellStyle name="Normal 2 3 2 2 6 7" xfId="12464"/>
    <cellStyle name="Normal 2 3 2 2 6 8" xfId="15401"/>
    <cellStyle name="Normal 2 3 2 2 7" xfId="8867"/>
    <cellStyle name="Normal 2 3 2 2 7 2" xfId="9123"/>
    <cellStyle name="Normal 2 3 2 2 7 2 2" xfId="9691"/>
    <cellStyle name="Normal 2 3 2 2 7 2 2 2" xfId="10745"/>
    <cellStyle name="Normal 2 3 2 2 7 2 2 2 2" xfId="14339"/>
    <cellStyle name="Normal 2 3 2 2 7 2 2 2 3" xfId="15424"/>
    <cellStyle name="Normal 2 3 2 2 7 2 2 3" xfId="13286"/>
    <cellStyle name="Normal 2 3 2 2 7 2 2 4" xfId="15423"/>
    <cellStyle name="Normal 2 3 2 2 7 2 3" xfId="10207"/>
    <cellStyle name="Normal 2 3 2 2 7 2 3 2" xfId="13801"/>
    <cellStyle name="Normal 2 3 2 2 7 2 3 3" xfId="15425"/>
    <cellStyle name="Normal 2 3 2 2 7 2 4" xfId="10943"/>
    <cellStyle name="Normal 2 3 2 2 7 2 4 2" xfId="14536"/>
    <cellStyle name="Normal 2 3 2 2 7 2 4 3" xfId="15426"/>
    <cellStyle name="Normal 2 3 2 2 7 2 5" xfId="12748"/>
    <cellStyle name="Normal 2 3 2 2 7 2 6" xfId="15422"/>
    <cellStyle name="Normal 2 3 2 2 7 3" xfId="9435"/>
    <cellStyle name="Normal 2 3 2 2 7 3 2" xfId="10489"/>
    <cellStyle name="Normal 2 3 2 2 7 3 2 2" xfId="14083"/>
    <cellStyle name="Normal 2 3 2 2 7 3 2 3" xfId="15428"/>
    <cellStyle name="Normal 2 3 2 2 7 3 3" xfId="13030"/>
    <cellStyle name="Normal 2 3 2 2 7 3 4" xfId="15427"/>
    <cellStyle name="Normal 2 3 2 2 7 4" xfId="9951"/>
    <cellStyle name="Normal 2 3 2 2 7 4 2" xfId="13545"/>
    <cellStyle name="Normal 2 3 2 2 7 4 3" xfId="15429"/>
    <cellStyle name="Normal 2 3 2 2 7 5" xfId="10942"/>
    <cellStyle name="Normal 2 3 2 2 7 5 2" xfId="14535"/>
    <cellStyle name="Normal 2 3 2 2 7 5 3" xfId="15430"/>
    <cellStyle name="Normal 2 3 2 2 7 6" xfId="12492"/>
    <cellStyle name="Normal 2 3 2 2 7 7" xfId="15421"/>
    <cellStyle name="Normal 2 3 2 2 8" xfId="8995"/>
    <cellStyle name="Normal 2 3 2 2 8 2" xfId="9563"/>
    <cellStyle name="Normal 2 3 2 2 8 2 2" xfId="10617"/>
    <cellStyle name="Normal 2 3 2 2 8 2 2 2" xfId="14211"/>
    <cellStyle name="Normal 2 3 2 2 8 2 2 3" xfId="15433"/>
    <cellStyle name="Normal 2 3 2 2 8 2 3" xfId="13158"/>
    <cellStyle name="Normal 2 3 2 2 8 2 4" xfId="15432"/>
    <cellStyle name="Normal 2 3 2 2 8 3" xfId="10079"/>
    <cellStyle name="Normal 2 3 2 2 8 3 2" xfId="13673"/>
    <cellStyle name="Normal 2 3 2 2 8 3 3" xfId="15434"/>
    <cellStyle name="Normal 2 3 2 2 8 4" xfId="10944"/>
    <cellStyle name="Normal 2 3 2 2 8 4 2" xfId="14537"/>
    <cellStyle name="Normal 2 3 2 2 8 4 3" xfId="15435"/>
    <cellStyle name="Normal 2 3 2 2 8 5" xfId="12620"/>
    <cellStyle name="Normal 2 3 2 2 8 6" xfId="15431"/>
    <cellStyle name="Normal 2 3 2 2 9" xfId="9307"/>
    <cellStyle name="Normal 2 3 2 2 9 2" xfId="10361"/>
    <cellStyle name="Normal 2 3 2 2 9 2 2" xfId="13955"/>
    <cellStyle name="Normal 2 3 2 2 9 2 3" xfId="15437"/>
    <cellStyle name="Normal 2 3 2 2 9 3" xfId="12902"/>
    <cellStyle name="Normal 2 3 2 2 9 4" xfId="15436"/>
    <cellStyle name="Normal 2 3 2 3" xfId="1503"/>
    <cellStyle name="Normal 2 3 2 3 10" xfId="10945"/>
    <cellStyle name="Normal 2 3 2 3 10 2" xfId="14538"/>
    <cellStyle name="Normal 2 3 2 3 10 2 2" xfId="26340"/>
    <cellStyle name="Normal 2 3 2 3 10 3" xfId="26339"/>
    <cellStyle name="Normal 2 3 2 3 10 4" xfId="15439"/>
    <cellStyle name="Normal 2 3 2 3 11" xfId="12343"/>
    <cellStyle name="Normal 2 3 2 3 11 2" xfId="26342"/>
    <cellStyle name="Normal 2 3 2 3 11 3" xfId="26341"/>
    <cellStyle name="Normal 2 3 2 3 12" xfId="26343"/>
    <cellStyle name="Normal 2 3 2 3 13" xfId="26344"/>
    <cellStyle name="Normal 2 3 2 3 14" xfId="26338"/>
    <cellStyle name="Normal 2 3 2 3 15" xfId="15438"/>
    <cellStyle name="Normal 2 3 2 3 2" xfId="1504"/>
    <cellStyle name="Normal 2 3 2 3 2 10" xfId="12344"/>
    <cellStyle name="Normal 2 3 2 3 2 10 2" xfId="26346"/>
    <cellStyle name="Normal 2 3 2 3 2 11" xfId="26347"/>
    <cellStyle name="Normal 2 3 2 3 2 12" xfId="26345"/>
    <cellStyle name="Normal 2 3 2 3 2 13" xfId="15440"/>
    <cellStyle name="Normal 2 3 2 3 2 2" xfId="8795"/>
    <cellStyle name="Normal 2 3 2 3 2 2 2" xfId="8923"/>
    <cellStyle name="Normal 2 3 2 3 2 2 2 2" xfId="9179"/>
    <cellStyle name="Normal 2 3 2 3 2 2 2 2 2" xfId="9747"/>
    <cellStyle name="Normal 2 3 2 3 2 2 2 2 2 2" xfId="10801"/>
    <cellStyle name="Normal 2 3 2 3 2 2 2 2 2 2 2" xfId="14395"/>
    <cellStyle name="Normal 2 3 2 3 2 2 2 2 2 2 3" xfId="15445"/>
    <cellStyle name="Normal 2 3 2 3 2 2 2 2 2 3" xfId="13342"/>
    <cellStyle name="Normal 2 3 2 3 2 2 2 2 2 4" xfId="15444"/>
    <cellStyle name="Normal 2 3 2 3 2 2 2 2 3" xfId="10263"/>
    <cellStyle name="Normal 2 3 2 3 2 2 2 2 3 2" xfId="13857"/>
    <cellStyle name="Normal 2 3 2 3 2 2 2 2 3 3" xfId="15446"/>
    <cellStyle name="Normal 2 3 2 3 2 2 2 2 4" xfId="10949"/>
    <cellStyle name="Normal 2 3 2 3 2 2 2 2 4 2" xfId="14542"/>
    <cellStyle name="Normal 2 3 2 3 2 2 2 2 4 3" xfId="15447"/>
    <cellStyle name="Normal 2 3 2 3 2 2 2 2 5" xfId="12804"/>
    <cellStyle name="Normal 2 3 2 3 2 2 2 2 5 2" xfId="26350"/>
    <cellStyle name="Normal 2 3 2 3 2 2 2 2 6" xfId="15443"/>
    <cellStyle name="Normal 2 3 2 3 2 2 2 3" xfId="9491"/>
    <cellStyle name="Normal 2 3 2 3 2 2 2 3 2" xfId="10545"/>
    <cellStyle name="Normal 2 3 2 3 2 2 2 3 2 2" xfId="14139"/>
    <cellStyle name="Normal 2 3 2 3 2 2 2 3 2 3" xfId="15449"/>
    <cellStyle name="Normal 2 3 2 3 2 2 2 3 3" xfId="13086"/>
    <cellStyle name="Normal 2 3 2 3 2 2 2 3 4" xfId="15448"/>
    <cellStyle name="Normal 2 3 2 3 2 2 2 4" xfId="10007"/>
    <cellStyle name="Normal 2 3 2 3 2 2 2 4 2" xfId="13601"/>
    <cellStyle name="Normal 2 3 2 3 2 2 2 4 3" xfId="15450"/>
    <cellStyle name="Normal 2 3 2 3 2 2 2 5" xfId="10948"/>
    <cellStyle name="Normal 2 3 2 3 2 2 2 5 2" xfId="14541"/>
    <cellStyle name="Normal 2 3 2 3 2 2 2 5 3" xfId="15451"/>
    <cellStyle name="Normal 2 3 2 3 2 2 2 6" xfId="12548"/>
    <cellStyle name="Normal 2 3 2 3 2 2 2 6 2" xfId="26349"/>
    <cellStyle name="Normal 2 3 2 3 2 2 2 7" xfId="15442"/>
    <cellStyle name="Normal 2 3 2 3 2 2 3" xfId="9051"/>
    <cellStyle name="Normal 2 3 2 3 2 2 3 2" xfId="9619"/>
    <cellStyle name="Normal 2 3 2 3 2 2 3 2 2" xfId="10673"/>
    <cellStyle name="Normal 2 3 2 3 2 2 3 2 2 2" xfId="14267"/>
    <cellStyle name="Normal 2 3 2 3 2 2 3 2 2 3" xfId="15454"/>
    <cellStyle name="Normal 2 3 2 3 2 2 3 2 3" xfId="13214"/>
    <cellStyle name="Normal 2 3 2 3 2 2 3 2 3 2" xfId="26352"/>
    <cellStyle name="Normal 2 3 2 3 2 2 3 2 4" xfId="15453"/>
    <cellStyle name="Normal 2 3 2 3 2 2 3 3" xfId="10135"/>
    <cellStyle name="Normal 2 3 2 3 2 2 3 3 2" xfId="13729"/>
    <cellStyle name="Normal 2 3 2 3 2 2 3 3 3" xfId="15455"/>
    <cellStyle name="Normal 2 3 2 3 2 2 3 4" xfId="10950"/>
    <cellStyle name="Normal 2 3 2 3 2 2 3 4 2" xfId="14543"/>
    <cellStyle name="Normal 2 3 2 3 2 2 3 4 3" xfId="15456"/>
    <cellStyle name="Normal 2 3 2 3 2 2 3 5" xfId="12676"/>
    <cellStyle name="Normal 2 3 2 3 2 2 3 5 2" xfId="26351"/>
    <cellStyle name="Normal 2 3 2 3 2 2 3 6" xfId="15452"/>
    <cellStyle name="Normal 2 3 2 3 2 2 4" xfId="9363"/>
    <cellStyle name="Normal 2 3 2 3 2 2 4 2" xfId="10417"/>
    <cellStyle name="Normal 2 3 2 3 2 2 4 2 2" xfId="14011"/>
    <cellStyle name="Normal 2 3 2 3 2 2 4 2 2 2" xfId="26354"/>
    <cellStyle name="Normal 2 3 2 3 2 2 4 2 3" xfId="15458"/>
    <cellStyle name="Normal 2 3 2 3 2 2 4 3" xfId="12958"/>
    <cellStyle name="Normal 2 3 2 3 2 2 4 3 2" xfId="26353"/>
    <cellStyle name="Normal 2 3 2 3 2 2 4 4" xfId="15457"/>
    <cellStyle name="Normal 2 3 2 3 2 2 5" xfId="9879"/>
    <cellStyle name="Normal 2 3 2 3 2 2 5 2" xfId="13473"/>
    <cellStyle name="Normal 2 3 2 3 2 2 5 2 2" xfId="26355"/>
    <cellStyle name="Normal 2 3 2 3 2 2 5 3" xfId="15459"/>
    <cellStyle name="Normal 2 3 2 3 2 2 6" xfId="10947"/>
    <cellStyle name="Normal 2 3 2 3 2 2 6 2" xfId="14540"/>
    <cellStyle name="Normal 2 3 2 3 2 2 6 2 2" xfId="26356"/>
    <cellStyle name="Normal 2 3 2 3 2 2 6 3" xfId="15460"/>
    <cellStyle name="Normal 2 3 2 3 2 2 7" xfId="12420"/>
    <cellStyle name="Normal 2 3 2 3 2 2 7 2" xfId="26348"/>
    <cellStyle name="Normal 2 3 2 3 2 2 8" xfId="15441"/>
    <cellStyle name="Normal 2 3 2 3 2 3" xfId="8827"/>
    <cellStyle name="Normal 2 3 2 3 2 3 2" xfId="8955"/>
    <cellStyle name="Normal 2 3 2 3 2 3 2 2" xfId="9211"/>
    <cellStyle name="Normal 2 3 2 3 2 3 2 2 2" xfId="9779"/>
    <cellStyle name="Normal 2 3 2 3 2 3 2 2 2 2" xfId="10833"/>
    <cellStyle name="Normal 2 3 2 3 2 3 2 2 2 2 2" xfId="14427"/>
    <cellStyle name="Normal 2 3 2 3 2 3 2 2 2 2 3" xfId="15465"/>
    <cellStyle name="Normal 2 3 2 3 2 3 2 2 2 3" xfId="13374"/>
    <cellStyle name="Normal 2 3 2 3 2 3 2 2 2 4" xfId="15464"/>
    <cellStyle name="Normal 2 3 2 3 2 3 2 2 3" xfId="10295"/>
    <cellStyle name="Normal 2 3 2 3 2 3 2 2 3 2" xfId="13889"/>
    <cellStyle name="Normal 2 3 2 3 2 3 2 2 3 3" xfId="15466"/>
    <cellStyle name="Normal 2 3 2 3 2 3 2 2 4" xfId="10953"/>
    <cellStyle name="Normal 2 3 2 3 2 3 2 2 4 2" xfId="14546"/>
    <cellStyle name="Normal 2 3 2 3 2 3 2 2 4 3" xfId="15467"/>
    <cellStyle name="Normal 2 3 2 3 2 3 2 2 5" xfId="12836"/>
    <cellStyle name="Normal 2 3 2 3 2 3 2 2 5 2" xfId="26359"/>
    <cellStyle name="Normal 2 3 2 3 2 3 2 2 6" xfId="15463"/>
    <cellStyle name="Normal 2 3 2 3 2 3 2 3" xfId="9523"/>
    <cellStyle name="Normal 2 3 2 3 2 3 2 3 2" xfId="10577"/>
    <cellStyle name="Normal 2 3 2 3 2 3 2 3 2 2" xfId="14171"/>
    <cellStyle name="Normal 2 3 2 3 2 3 2 3 2 3" xfId="15469"/>
    <cellStyle name="Normal 2 3 2 3 2 3 2 3 3" xfId="13118"/>
    <cellStyle name="Normal 2 3 2 3 2 3 2 3 4" xfId="15468"/>
    <cellStyle name="Normal 2 3 2 3 2 3 2 4" xfId="10039"/>
    <cellStyle name="Normal 2 3 2 3 2 3 2 4 2" xfId="13633"/>
    <cellStyle name="Normal 2 3 2 3 2 3 2 4 3" xfId="15470"/>
    <cellStyle name="Normal 2 3 2 3 2 3 2 5" xfId="10952"/>
    <cellStyle name="Normal 2 3 2 3 2 3 2 5 2" xfId="14545"/>
    <cellStyle name="Normal 2 3 2 3 2 3 2 5 3" xfId="15471"/>
    <cellStyle name="Normal 2 3 2 3 2 3 2 6" xfId="12580"/>
    <cellStyle name="Normal 2 3 2 3 2 3 2 6 2" xfId="26358"/>
    <cellStyle name="Normal 2 3 2 3 2 3 2 7" xfId="15462"/>
    <cellStyle name="Normal 2 3 2 3 2 3 3" xfId="9083"/>
    <cellStyle name="Normal 2 3 2 3 2 3 3 2" xfId="9651"/>
    <cellStyle name="Normal 2 3 2 3 2 3 3 2 2" xfId="10705"/>
    <cellStyle name="Normal 2 3 2 3 2 3 3 2 2 2" xfId="14299"/>
    <cellStyle name="Normal 2 3 2 3 2 3 3 2 2 3" xfId="15474"/>
    <cellStyle name="Normal 2 3 2 3 2 3 3 2 3" xfId="13246"/>
    <cellStyle name="Normal 2 3 2 3 2 3 3 2 3 2" xfId="26361"/>
    <cellStyle name="Normal 2 3 2 3 2 3 3 2 4" xfId="15473"/>
    <cellStyle name="Normal 2 3 2 3 2 3 3 3" xfId="10167"/>
    <cellStyle name="Normal 2 3 2 3 2 3 3 3 2" xfId="13761"/>
    <cellStyle name="Normal 2 3 2 3 2 3 3 3 3" xfId="15475"/>
    <cellStyle name="Normal 2 3 2 3 2 3 3 4" xfId="10954"/>
    <cellStyle name="Normal 2 3 2 3 2 3 3 4 2" xfId="14547"/>
    <cellStyle name="Normal 2 3 2 3 2 3 3 4 3" xfId="15476"/>
    <cellStyle name="Normal 2 3 2 3 2 3 3 5" xfId="12708"/>
    <cellStyle name="Normal 2 3 2 3 2 3 3 5 2" xfId="26360"/>
    <cellStyle name="Normal 2 3 2 3 2 3 3 6" xfId="15472"/>
    <cellStyle name="Normal 2 3 2 3 2 3 4" xfId="9395"/>
    <cellStyle name="Normal 2 3 2 3 2 3 4 2" xfId="10449"/>
    <cellStyle name="Normal 2 3 2 3 2 3 4 2 2" xfId="14043"/>
    <cellStyle name="Normal 2 3 2 3 2 3 4 2 2 2" xfId="26363"/>
    <cellStyle name="Normal 2 3 2 3 2 3 4 2 3" xfId="15478"/>
    <cellStyle name="Normal 2 3 2 3 2 3 4 3" xfId="12990"/>
    <cellStyle name="Normal 2 3 2 3 2 3 4 3 2" xfId="26362"/>
    <cellStyle name="Normal 2 3 2 3 2 3 4 4" xfId="15477"/>
    <cellStyle name="Normal 2 3 2 3 2 3 5" xfId="9911"/>
    <cellStyle name="Normal 2 3 2 3 2 3 5 2" xfId="13505"/>
    <cellStyle name="Normal 2 3 2 3 2 3 5 2 2" xfId="26364"/>
    <cellStyle name="Normal 2 3 2 3 2 3 5 3" xfId="15479"/>
    <cellStyle name="Normal 2 3 2 3 2 3 6" xfId="10951"/>
    <cellStyle name="Normal 2 3 2 3 2 3 6 2" xfId="14544"/>
    <cellStyle name="Normal 2 3 2 3 2 3 6 2 2" xfId="26365"/>
    <cellStyle name="Normal 2 3 2 3 2 3 6 3" xfId="15480"/>
    <cellStyle name="Normal 2 3 2 3 2 3 7" xfId="12452"/>
    <cellStyle name="Normal 2 3 2 3 2 3 7 2" xfId="26357"/>
    <cellStyle name="Normal 2 3 2 3 2 3 8" xfId="15461"/>
    <cellStyle name="Normal 2 3 2 3 2 4" xfId="8859"/>
    <cellStyle name="Normal 2 3 2 3 2 4 2" xfId="8987"/>
    <cellStyle name="Normal 2 3 2 3 2 4 2 2" xfId="9243"/>
    <cellStyle name="Normal 2 3 2 3 2 4 2 2 2" xfId="9811"/>
    <cellStyle name="Normal 2 3 2 3 2 4 2 2 2 2" xfId="10865"/>
    <cellStyle name="Normal 2 3 2 3 2 4 2 2 2 2 2" xfId="14459"/>
    <cellStyle name="Normal 2 3 2 3 2 4 2 2 2 2 3" xfId="15485"/>
    <cellStyle name="Normal 2 3 2 3 2 4 2 2 2 3" xfId="13406"/>
    <cellStyle name="Normal 2 3 2 3 2 4 2 2 2 4" xfId="15484"/>
    <cellStyle name="Normal 2 3 2 3 2 4 2 2 3" xfId="10327"/>
    <cellStyle name="Normal 2 3 2 3 2 4 2 2 3 2" xfId="13921"/>
    <cellStyle name="Normal 2 3 2 3 2 4 2 2 3 3" xfId="15486"/>
    <cellStyle name="Normal 2 3 2 3 2 4 2 2 4" xfId="10957"/>
    <cellStyle name="Normal 2 3 2 3 2 4 2 2 4 2" xfId="14550"/>
    <cellStyle name="Normal 2 3 2 3 2 4 2 2 4 3" xfId="15487"/>
    <cellStyle name="Normal 2 3 2 3 2 4 2 2 5" xfId="12868"/>
    <cellStyle name="Normal 2 3 2 3 2 4 2 2 5 2" xfId="26368"/>
    <cellStyle name="Normal 2 3 2 3 2 4 2 2 6" xfId="15483"/>
    <cellStyle name="Normal 2 3 2 3 2 4 2 3" xfId="9555"/>
    <cellStyle name="Normal 2 3 2 3 2 4 2 3 2" xfId="10609"/>
    <cellStyle name="Normal 2 3 2 3 2 4 2 3 2 2" xfId="14203"/>
    <cellStyle name="Normal 2 3 2 3 2 4 2 3 2 3" xfId="15489"/>
    <cellStyle name="Normal 2 3 2 3 2 4 2 3 3" xfId="13150"/>
    <cellStyle name="Normal 2 3 2 3 2 4 2 3 4" xfId="15488"/>
    <cellStyle name="Normal 2 3 2 3 2 4 2 4" xfId="10071"/>
    <cellStyle name="Normal 2 3 2 3 2 4 2 4 2" xfId="13665"/>
    <cellStyle name="Normal 2 3 2 3 2 4 2 4 3" xfId="15490"/>
    <cellStyle name="Normal 2 3 2 3 2 4 2 5" xfId="10956"/>
    <cellStyle name="Normal 2 3 2 3 2 4 2 5 2" xfId="14549"/>
    <cellStyle name="Normal 2 3 2 3 2 4 2 5 3" xfId="15491"/>
    <cellStyle name="Normal 2 3 2 3 2 4 2 6" xfId="12612"/>
    <cellStyle name="Normal 2 3 2 3 2 4 2 6 2" xfId="26367"/>
    <cellStyle name="Normal 2 3 2 3 2 4 2 7" xfId="15482"/>
    <cellStyle name="Normal 2 3 2 3 2 4 3" xfId="9115"/>
    <cellStyle name="Normal 2 3 2 3 2 4 3 2" xfId="9683"/>
    <cellStyle name="Normal 2 3 2 3 2 4 3 2 2" xfId="10737"/>
    <cellStyle name="Normal 2 3 2 3 2 4 3 2 2 2" xfId="14331"/>
    <cellStyle name="Normal 2 3 2 3 2 4 3 2 2 3" xfId="15494"/>
    <cellStyle name="Normal 2 3 2 3 2 4 3 2 3" xfId="13278"/>
    <cellStyle name="Normal 2 3 2 3 2 4 3 2 3 2" xfId="26370"/>
    <cellStyle name="Normal 2 3 2 3 2 4 3 2 4" xfId="15493"/>
    <cellStyle name="Normal 2 3 2 3 2 4 3 3" xfId="10199"/>
    <cellStyle name="Normal 2 3 2 3 2 4 3 3 2" xfId="13793"/>
    <cellStyle name="Normal 2 3 2 3 2 4 3 3 3" xfId="15495"/>
    <cellStyle name="Normal 2 3 2 3 2 4 3 4" xfId="10958"/>
    <cellStyle name="Normal 2 3 2 3 2 4 3 4 2" xfId="14551"/>
    <cellStyle name="Normal 2 3 2 3 2 4 3 4 3" xfId="15496"/>
    <cellStyle name="Normal 2 3 2 3 2 4 3 5" xfId="12740"/>
    <cellStyle name="Normal 2 3 2 3 2 4 3 5 2" xfId="26369"/>
    <cellStyle name="Normal 2 3 2 3 2 4 3 6" xfId="15492"/>
    <cellStyle name="Normal 2 3 2 3 2 4 4" xfId="9427"/>
    <cellStyle name="Normal 2 3 2 3 2 4 4 2" xfId="10481"/>
    <cellStyle name="Normal 2 3 2 3 2 4 4 2 2" xfId="14075"/>
    <cellStyle name="Normal 2 3 2 3 2 4 4 2 2 2" xfId="26372"/>
    <cellStyle name="Normal 2 3 2 3 2 4 4 2 3" xfId="15498"/>
    <cellStyle name="Normal 2 3 2 3 2 4 4 3" xfId="13022"/>
    <cellStyle name="Normal 2 3 2 3 2 4 4 3 2" xfId="26371"/>
    <cellStyle name="Normal 2 3 2 3 2 4 4 4" xfId="15497"/>
    <cellStyle name="Normal 2 3 2 3 2 4 5" xfId="9943"/>
    <cellStyle name="Normal 2 3 2 3 2 4 5 2" xfId="13537"/>
    <cellStyle name="Normal 2 3 2 3 2 4 5 2 2" xfId="26373"/>
    <cellStyle name="Normal 2 3 2 3 2 4 5 3" xfId="15499"/>
    <cellStyle name="Normal 2 3 2 3 2 4 6" xfId="10955"/>
    <cellStyle name="Normal 2 3 2 3 2 4 6 2" xfId="14548"/>
    <cellStyle name="Normal 2 3 2 3 2 4 6 2 2" xfId="26374"/>
    <cellStyle name="Normal 2 3 2 3 2 4 6 3" xfId="15500"/>
    <cellStyle name="Normal 2 3 2 3 2 4 7" xfId="12484"/>
    <cellStyle name="Normal 2 3 2 3 2 4 7 2" xfId="26366"/>
    <cellStyle name="Normal 2 3 2 3 2 4 8" xfId="15481"/>
    <cellStyle name="Normal 2 3 2 3 2 5" xfId="8872"/>
    <cellStyle name="Normal 2 3 2 3 2 5 2" xfId="9128"/>
    <cellStyle name="Normal 2 3 2 3 2 5 2 2" xfId="9696"/>
    <cellStyle name="Normal 2 3 2 3 2 5 2 2 2" xfId="10750"/>
    <cellStyle name="Normal 2 3 2 3 2 5 2 2 2 2" xfId="14344"/>
    <cellStyle name="Normal 2 3 2 3 2 5 2 2 2 3" xfId="15504"/>
    <cellStyle name="Normal 2 3 2 3 2 5 2 2 3" xfId="13291"/>
    <cellStyle name="Normal 2 3 2 3 2 5 2 2 3 2" xfId="26377"/>
    <cellStyle name="Normal 2 3 2 3 2 5 2 2 4" xfId="15503"/>
    <cellStyle name="Normal 2 3 2 3 2 5 2 3" xfId="10212"/>
    <cellStyle name="Normal 2 3 2 3 2 5 2 3 2" xfId="13806"/>
    <cellStyle name="Normal 2 3 2 3 2 5 2 3 3" xfId="15505"/>
    <cellStyle name="Normal 2 3 2 3 2 5 2 4" xfId="10960"/>
    <cellStyle name="Normal 2 3 2 3 2 5 2 4 2" xfId="14553"/>
    <cellStyle name="Normal 2 3 2 3 2 5 2 4 3" xfId="15506"/>
    <cellStyle name="Normal 2 3 2 3 2 5 2 5" xfId="12753"/>
    <cellStyle name="Normal 2 3 2 3 2 5 2 5 2" xfId="26376"/>
    <cellStyle name="Normal 2 3 2 3 2 5 2 6" xfId="15502"/>
    <cellStyle name="Normal 2 3 2 3 2 5 3" xfId="9440"/>
    <cellStyle name="Normal 2 3 2 3 2 5 3 2" xfId="10494"/>
    <cellStyle name="Normal 2 3 2 3 2 5 3 2 2" xfId="14088"/>
    <cellStyle name="Normal 2 3 2 3 2 5 3 2 2 2" xfId="26379"/>
    <cellStyle name="Normal 2 3 2 3 2 5 3 2 3" xfId="15508"/>
    <cellStyle name="Normal 2 3 2 3 2 5 3 3" xfId="13035"/>
    <cellStyle name="Normal 2 3 2 3 2 5 3 3 2" xfId="26378"/>
    <cellStyle name="Normal 2 3 2 3 2 5 3 4" xfId="15507"/>
    <cellStyle name="Normal 2 3 2 3 2 5 4" xfId="9956"/>
    <cellStyle name="Normal 2 3 2 3 2 5 4 2" xfId="13550"/>
    <cellStyle name="Normal 2 3 2 3 2 5 4 2 2" xfId="26381"/>
    <cellStyle name="Normal 2 3 2 3 2 5 4 3" xfId="26380"/>
    <cellStyle name="Normal 2 3 2 3 2 5 4 4" xfId="15509"/>
    <cellStyle name="Normal 2 3 2 3 2 5 5" xfId="10959"/>
    <cellStyle name="Normal 2 3 2 3 2 5 5 2" xfId="14552"/>
    <cellStyle name="Normal 2 3 2 3 2 5 5 2 2" xfId="26382"/>
    <cellStyle name="Normal 2 3 2 3 2 5 5 3" xfId="15510"/>
    <cellStyle name="Normal 2 3 2 3 2 5 6" xfId="12497"/>
    <cellStyle name="Normal 2 3 2 3 2 5 6 2" xfId="26383"/>
    <cellStyle name="Normal 2 3 2 3 2 5 7" xfId="26375"/>
    <cellStyle name="Normal 2 3 2 3 2 5 8" xfId="15501"/>
    <cellStyle name="Normal 2 3 2 3 2 6" xfId="9000"/>
    <cellStyle name="Normal 2 3 2 3 2 6 2" xfId="9568"/>
    <cellStyle name="Normal 2 3 2 3 2 6 2 2" xfId="10622"/>
    <cellStyle name="Normal 2 3 2 3 2 6 2 2 2" xfId="14216"/>
    <cellStyle name="Normal 2 3 2 3 2 6 2 2 2 2" xfId="26386"/>
    <cellStyle name="Normal 2 3 2 3 2 6 2 2 3" xfId="15513"/>
    <cellStyle name="Normal 2 3 2 3 2 6 2 3" xfId="13163"/>
    <cellStyle name="Normal 2 3 2 3 2 6 2 3 2" xfId="26385"/>
    <cellStyle name="Normal 2 3 2 3 2 6 2 4" xfId="15512"/>
    <cellStyle name="Normal 2 3 2 3 2 6 3" xfId="10084"/>
    <cellStyle name="Normal 2 3 2 3 2 6 3 2" xfId="13678"/>
    <cellStyle name="Normal 2 3 2 3 2 6 3 2 2" xfId="26388"/>
    <cellStyle name="Normal 2 3 2 3 2 6 3 3" xfId="26387"/>
    <cellStyle name="Normal 2 3 2 3 2 6 3 4" xfId="15514"/>
    <cellStyle name="Normal 2 3 2 3 2 6 4" xfId="10961"/>
    <cellStyle name="Normal 2 3 2 3 2 6 4 2" xfId="14554"/>
    <cellStyle name="Normal 2 3 2 3 2 6 4 2 2" xfId="26389"/>
    <cellStyle name="Normal 2 3 2 3 2 6 4 3" xfId="15515"/>
    <cellStyle name="Normal 2 3 2 3 2 6 5" xfId="12625"/>
    <cellStyle name="Normal 2 3 2 3 2 6 5 2" xfId="26390"/>
    <cellStyle name="Normal 2 3 2 3 2 6 6" xfId="26384"/>
    <cellStyle name="Normal 2 3 2 3 2 6 7" xfId="15511"/>
    <cellStyle name="Normal 2 3 2 3 2 7" xfId="9312"/>
    <cellStyle name="Normal 2 3 2 3 2 7 2" xfId="10366"/>
    <cellStyle name="Normal 2 3 2 3 2 7 2 2" xfId="13960"/>
    <cellStyle name="Normal 2 3 2 3 2 7 2 2 2" xfId="26392"/>
    <cellStyle name="Normal 2 3 2 3 2 7 2 3" xfId="15517"/>
    <cellStyle name="Normal 2 3 2 3 2 7 3" xfId="12907"/>
    <cellStyle name="Normal 2 3 2 3 2 7 3 2" xfId="26391"/>
    <cellStyle name="Normal 2 3 2 3 2 7 4" xfId="15516"/>
    <cellStyle name="Normal 2 3 2 3 2 8" xfId="9828"/>
    <cellStyle name="Normal 2 3 2 3 2 8 2" xfId="13422"/>
    <cellStyle name="Normal 2 3 2 3 2 8 2 2" xfId="26394"/>
    <cellStyle name="Normal 2 3 2 3 2 8 3" xfId="26393"/>
    <cellStyle name="Normal 2 3 2 3 2 8 4" xfId="15518"/>
    <cellStyle name="Normal 2 3 2 3 2 9" xfId="10946"/>
    <cellStyle name="Normal 2 3 2 3 2 9 2" xfId="14539"/>
    <cellStyle name="Normal 2 3 2 3 2 9 2 2" xfId="26396"/>
    <cellStyle name="Normal 2 3 2 3 2 9 3" xfId="26395"/>
    <cellStyle name="Normal 2 3 2 3 2 9 4" xfId="15519"/>
    <cellStyle name="Normal 2 3 2 3 3" xfId="8779"/>
    <cellStyle name="Normal 2 3 2 3 3 10" xfId="26398"/>
    <cellStyle name="Normal 2 3 2 3 3 11" xfId="26397"/>
    <cellStyle name="Normal 2 3 2 3 3 12" xfId="15520"/>
    <cellStyle name="Normal 2 3 2 3 3 2" xfId="8907"/>
    <cellStyle name="Normal 2 3 2 3 3 2 2" xfId="9163"/>
    <cellStyle name="Normal 2 3 2 3 3 2 2 2" xfId="9731"/>
    <cellStyle name="Normal 2 3 2 3 3 2 2 2 2" xfId="10785"/>
    <cellStyle name="Normal 2 3 2 3 3 2 2 2 2 2" xfId="14379"/>
    <cellStyle name="Normal 2 3 2 3 3 2 2 2 2 3" xfId="15524"/>
    <cellStyle name="Normal 2 3 2 3 3 2 2 2 3" xfId="13326"/>
    <cellStyle name="Normal 2 3 2 3 3 2 2 2 3 2" xfId="26401"/>
    <cellStyle name="Normal 2 3 2 3 3 2 2 2 4" xfId="15523"/>
    <cellStyle name="Normal 2 3 2 3 3 2 2 3" xfId="10247"/>
    <cellStyle name="Normal 2 3 2 3 3 2 2 3 2" xfId="13841"/>
    <cellStyle name="Normal 2 3 2 3 3 2 2 3 3" xfId="15525"/>
    <cellStyle name="Normal 2 3 2 3 3 2 2 4" xfId="10964"/>
    <cellStyle name="Normal 2 3 2 3 3 2 2 4 2" xfId="14557"/>
    <cellStyle name="Normal 2 3 2 3 3 2 2 4 3" xfId="15526"/>
    <cellStyle name="Normal 2 3 2 3 3 2 2 5" xfId="12788"/>
    <cellStyle name="Normal 2 3 2 3 3 2 2 5 2" xfId="26400"/>
    <cellStyle name="Normal 2 3 2 3 3 2 2 6" xfId="15522"/>
    <cellStyle name="Normal 2 3 2 3 3 2 3" xfId="9475"/>
    <cellStyle name="Normal 2 3 2 3 3 2 3 2" xfId="10529"/>
    <cellStyle name="Normal 2 3 2 3 3 2 3 2 2" xfId="14123"/>
    <cellStyle name="Normal 2 3 2 3 3 2 3 2 2 2" xfId="26403"/>
    <cellStyle name="Normal 2 3 2 3 3 2 3 2 3" xfId="15528"/>
    <cellStyle name="Normal 2 3 2 3 3 2 3 3" xfId="13070"/>
    <cellStyle name="Normal 2 3 2 3 3 2 3 3 2" xfId="26402"/>
    <cellStyle name="Normal 2 3 2 3 3 2 3 4" xfId="15527"/>
    <cellStyle name="Normal 2 3 2 3 3 2 4" xfId="9991"/>
    <cellStyle name="Normal 2 3 2 3 3 2 4 2" xfId="13585"/>
    <cellStyle name="Normal 2 3 2 3 3 2 4 2 2" xfId="26405"/>
    <cellStyle name="Normal 2 3 2 3 3 2 4 3" xfId="26404"/>
    <cellStyle name="Normal 2 3 2 3 3 2 4 4" xfId="15529"/>
    <cellStyle name="Normal 2 3 2 3 3 2 5" xfId="10963"/>
    <cellStyle name="Normal 2 3 2 3 3 2 5 2" xfId="14556"/>
    <cellStyle name="Normal 2 3 2 3 3 2 5 2 2" xfId="26406"/>
    <cellStyle name="Normal 2 3 2 3 3 2 5 3" xfId="15530"/>
    <cellStyle name="Normal 2 3 2 3 3 2 6" xfId="12532"/>
    <cellStyle name="Normal 2 3 2 3 3 2 6 2" xfId="26407"/>
    <cellStyle name="Normal 2 3 2 3 3 2 7" xfId="26399"/>
    <cellStyle name="Normal 2 3 2 3 3 2 8" xfId="15521"/>
    <cellStyle name="Normal 2 3 2 3 3 3" xfId="9035"/>
    <cellStyle name="Normal 2 3 2 3 3 3 2" xfId="9603"/>
    <cellStyle name="Normal 2 3 2 3 3 3 2 2" xfId="10657"/>
    <cellStyle name="Normal 2 3 2 3 3 3 2 2 2" xfId="14251"/>
    <cellStyle name="Normal 2 3 2 3 3 3 2 2 2 2" xfId="26410"/>
    <cellStyle name="Normal 2 3 2 3 3 3 2 2 3" xfId="15533"/>
    <cellStyle name="Normal 2 3 2 3 3 3 2 3" xfId="13198"/>
    <cellStyle name="Normal 2 3 2 3 3 3 2 3 2" xfId="26409"/>
    <cellStyle name="Normal 2 3 2 3 3 3 2 4" xfId="15532"/>
    <cellStyle name="Normal 2 3 2 3 3 3 3" xfId="10119"/>
    <cellStyle name="Normal 2 3 2 3 3 3 3 2" xfId="13713"/>
    <cellStyle name="Normal 2 3 2 3 3 3 3 2 2" xfId="26412"/>
    <cellStyle name="Normal 2 3 2 3 3 3 3 3" xfId="26411"/>
    <cellStyle name="Normal 2 3 2 3 3 3 3 4" xfId="15534"/>
    <cellStyle name="Normal 2 3 2 3 3 3 4" xfId="10965"/>
    <cellStyle name="Normal 2 3 2 3 3 3 4 2" xfId="14558"/>
    <cellStyle name="Normal 2 3 2 3 3 3 4 2 2" xfId="26414"/>
    <cellStyle name="Normal 2 3 2 3 3 3 4 3" xfId="26413"/>
    <cellStyle name="Normal 2 3 2 3 3 3 4 4" xfId="15535"/>
    <cellStyle name="Normal 2 3 2 3 3 3 5" xfId="12660"/>
    <cellStyle name="Normal 2 3 2 3 3 3 5 2" xfId="26415"/>
    <cellStyle name="Normal 2 3 2 3 3 3 6" xfId="26416"/>
    <cellStyle name="Normal 2 3 2 3 3 3 7" xfId="26408"/>
    <cellStyle name="Normal 2 3 2 3 3 3 8" xfId="15531"/>
    <cellStyle name="Normal 2 3 2 3 3 4" xfId="9347"/>
    <cellStyle name="Normal 2 3 2 3 3 4 2" xfId="10401"/>
    <cellStyle name="Normal 2 3 2 3 3 4 2 2" xfId="13995"/>
    <cellStyle name="Normal 2 3 2 3 3 4 2 2 2" xfId="26419"/>
    <cellStyle name="Normal 2 3 2 3 3 4 2 3" xfId="26418"/>
    <cellStyle name="Normal 2 3 2 3 3 4 2 4" xfId="15537"/>
    <cellStyle name="Normal 2 3 2 3 3 4 3" xfId="12942"/>
    <cellStyle name="Normal 2 3 2 3 3 4 3 2" xfId="26421"/>
    <cellStyle name="Normal 2 3 2 3 3 4 3 3" xfId="26420"/>
    <cellStyle name="Normal 2 3 2 3 3 4 4" xfId="26422"/>
    <cellStyle name="Normal 2 3 2 3 3 4 4 2" xfId="26423"/>
    <cellStyle name="Normal 2 3 2 3 3 4 5" xfId="26424"/>
    <cellStyle name="Normal 2 3 2 3 3 4 6" xfId="26425"/>
    <cellStyle name="Normal 2 3 2 3 3 4 7" xfId="26417"/>
    <cellStyle name="Normal 2 3 2 3 3 4 8" xfId="15536"/>
    <cellStyle name="Normal 2 3 2 3 3 5" xfId="9863"/>
    <cellStyle name="Normal 2 3 2 3 3 5 2" xfId="13457"/>
    <cellStyle name="Normal 2 3 2 3 3 5 2 2" xfId="26428"/>
    <cellStyle name="Normal 2 3 2 3 3 5 2 3" xfId="26427"/>
    <cellStyle name="Normal 2 3 2 3 3 5 3" xfId="26429"/>
    <cellStyle name="Normal 2 3 2 3 3 5 3 2" xfId="26430"/>
    <cellStyle name="Normal 2 3 2 3 3 5 4" xfId="26431"/>
    <cellStyle name="Normal 2 3 2 3 3 5 5" xfId="26432"/>
    <cellStyle name="Normal 2 3 2 3 3 5 6" xfId="26426"/>
    <cellStyle name="Normal 2 3 2 3 3 5 7" xfId="15538"/>
    <cellStyle name="Normal 2 3 2 3 3 6" xfId="10962"/>
    <cellStyle name="Normal 2 3 2 3 3 6 2" xfId="14555"/>
    <cellStyle name="Normal 2 3 2 3 3 6 2 2" xfId="26434"/>
    <cellStyle name="Normal 2 3 2 3 3 6 3" xfId="26433"/>
    <cellStyle name="Normal 2 3 2 3 3 6 4" xfId="15539"/>
    <cellStyle name="Normal 2 3 2 3 3 7" xfId="12404"/>
    <cellStyle name="Normal 2 3 2 3 3 7 2" xfId="26436"/>
    <cellStyle name="Normal 2 3 2 3 3 7 3" xfId="26435"/>
    <cellStyle name="Normal 2 3 2 3 3 8" xfId="26437"/>
    <cellStyle name="Normal 2 3 2 3 3 8 2" xfId="26438"/>
    <cellStyle name="Normal 2 3 2 3 3 9" xfId="26439"/>
    <cellStyle name="Normal 2 3 2 3 4" xfId="8811"/>
    <cellStyle name="Normal 2 3 2 3 4 10" xfId="26441"/>
    <cellStyle name="Normal 2 3 2 3 4 11" xfId="26440"/>
    <cellStyle name="Normal 2 3 2 3 4 12" xfId="15540"/>
    <cellStyle name="Normal 2 3 2 3 4 2" xfId="8939"/>
    <cellStyle name="Normal 2 3 2 3 4 2 2" xfId="9195"/>
    <cellStyle name="Normal 2 3 2 3 4 2 2 2" xfId="9763"/>
    <cellStyle name="Normal 2 3 2 3 4 2 2 2 2" xfId="10817"/>
    <cellStyle name="Normal 2 3 2 3 4 2 2 2 2 2" xfId="14411"/>
    <cellStyle name="Normal 2 3 2 3 4 2 2 2 2 3" xfId="15544"/>
    <cellStyle name="Normal 2 3 2 3 4 2 2 2 3" xfId="13358"/>
    <cellStyle name="Normal 2 3 2 3 4 2 2 2 3 2" xfId="26444"/>
    <cellStyle name="Normal 2 3 2 3 4 2 2 2 4" xfId="15543"/>
    <cellStyle name="Normal 2 3 2 3 4 2 2 3" xfId="10279"/>
    <cellStyle name="Normal 2 3 2 3 4 2 2 3 2" xfId="13873"/>
    <cellStyle name="Normal 2 3 2 3 4 2 2 3 3" xfId="15545"/>
    <cellStyle name="Normal 2 3 2 3 4 2 2 4" xfId="10968"/>
    <cellStyle name="Normal 2 3 2 3 4 2 2 4 2" xfId="14561"/>
    <cellStyle name="Normal 2 3 2 3 4 2 2 4 3" xfId="15546"/>
    <cellStyle name="Normal 2 3 2 3 4 2 2 5" xfId="12820"/>
    <cellStyle name="Normal 2 3 2 3 4 2 2 5 2" xfId="26443"/>
    <cellStyle name="Normal 2 3 2 3 4 2 2 6" xfId="15542"/>
    <cellStyle name="Normal 2 3 2 3 4 2 3" xfId="9507"/>
    <cellStyle name="Normal 2 3 2 3 4 2 3 2" xfId="10561"/>
    <cellStyle name="Normal 2 3 2 3 4 2 3 2 2" xfId="14155"/>
    <cellStyle name="Normal 2 3 2 3 4 2 3 2 2 2" xfId="26446"/>
    <cellStyle name="Normal 2 3 2 3 4 2 3 2 3" xfId="15548"/>
    <cellStyle name="Normal 2 3 2 3 4 2 3 3" xfId="13102"/>
    <cellStyle name="Normal 2 3 2 3 4 2 3 3 2" xfId="26445"/>
    <cellStyle name="Normal 2 3 2 3 4 2 3 4" xfId="15547"/>
    <cellStyle name="Normal 2 3 2 3 4 2 4" xfId="10023"/>
    <cellStyle name="Normal 2 3 2 3 4 2 4 2" xfId="13617"/>
    <cellStyle name="Normal 2 3 2 3 4 2 4 2 2" xfId="26448"/>
    <cellStyle name="Normal 2 3 2 3 4 2 4 3" xfId="26447"/>
    <cellStyle name="Normal 2 3 2 3 4 2 4 4" xfId="15549"/>
    <cellStyle name="Normal 2 3 2 3 4 2 5" xfId="10967"/>
    <cellStyle name="Normal 2 3 2 3 4 2 5 2" xfId="14560"/>
    <cellStyle name="Normal 2 3 2 3 4 2 5 2 2" xfId="26449"/>
    <cellStyle name="Normal 2 3 2 3 4 2 5 3" xfId="15550"/>
    <cellStyle name="Normal 2 3 2 3 4 2 6" xfId="12564"/>
    <cellStyle name="Normal 2 3 2 3 4 2 6 2" xfId="26450"/>
    <cellStyle name="Normal 2 3 2 3 4 2 7" xfId="26442"/>
    <cellStyle name="Normal 2 3 2 3 4 2 8" xfId="15541"/>
    <cellStyle name="Normal 2 3 2 3 4 3" xfId="9067"/>
    <cellStyle name="Normal 2 3 2 3 4 3 2" xfId="9635"/>
    <cellStyle name="Normal 2 3 2 3 4 3 2 2" xfId="10689"/>
    <cellStyle name="Normal 2 3 2 3 4 3 2 2 2" xfId="14283"/>
    <cellStyle name="Normal 2 3 2 3 4 3 2 2 2 2" xfId="26453"/>
    <cellStyle name="Normal 2 3 2 3 4 3 2 2 3" xfId="15553"/>
    <cellStyle name="Normal 2 3 2 3 4 3 2 3" xfId="13230"/>
    <cellStyle name="Normal 2 3 2 3 4 3 2 3 2" xfId="26452"/>
    <cellStyle name="Normal 2 3 2 3 4 3 2 4" xfId="15552"/>
    <cellStyle name="Normal 2 3 2 3 4 3 3" xfId="10151"/>
    <cellStyle name="Normal 2 3 2 3 4 3 3 2" xfId="13745"/>
    <cellStyle name="Normal 2 3 2 3 4 3 3 2 2" xfId="26455"/>
    <cellStyle name="Normal 2 3 2 3 4 3 3 3" xfId="26454"/>
    <cellStyle name="Normal 2 3 2 3 4 3 3 4" xfId="15554"/>
    <cellStyle name="Normal 2 3 2 3 4 3 4" xfId="10969"/>
    <cellStyle name="Normal 2 3 2 3 4 3 4 2" xfId="14562"/>
    <cellStyle name="Normal 2 3 2 3 4 3 4 2 2" xfId="26457"/>
    <cellStyle name="Normal 2 3 2 3 4 3 4 3" xfId="26456"/>
    <cellStyle name="Normal 2 3 2 3 4 3 4 4" xfId="15555"/>
    <cellStyle name="Normal 2 3 2 3 4 3 5" xfId="12692"/>
    <cellStyle name="Normal 2 3 2 3 4 3 5 2" xfId="26458"/>
    <cellStyle name="Normal 2 3 2 3 4 3 6" xfId="26459"/>
    <cellStyle name="Normal 2 3 2 3 4 3 7" xfId="26451"/>
    <cellStyle name="Normal 2 3 2 3 4 3 8" xfId="15551"/>
    <cellStyle name="Normal 2 3 2 3 4 4" xfId="9379"/>
    <cellStyle name="Normal 2 3 2 3 4 4 2" xfId="10433"/>
    <cellStyle name="Normal 2 3 2 3 4 4 2 2" xfId="14027"/>
    <cellStyle name="Normal 2 3 2 3 4 4 2 2 2" xfId="26462"/>
    <cellStyle name="Normal 2 3 2 3 4 4 2 3" xfId="26461"/>
    <cellStyle name="Normal 2 3 2 3 4 4 2 4" xfId="15557"/>
    <cellStyle name="Normal 2 3 2 3 4 4 3" xfId="12974"/>
    <cellStyle name="Normal 2 3 2 3 4 4 3 2" xfId="26464"/>
    <cellStyle name="Normal 2 3 2 3 4 4 3 3" xfId="26463"/>
    <cellStyle name="Normal 2 3 2 3 4 4 4" xfId="26465"/>
    <cellStyle name="Normal 2 3 2 3 4 4 4 2" xfId="26466"/>
    <cellStyle name="Normal 2 3 2 3 4 4 5" xfId="26467"/>
    <cellStyle name="Normal 2 3 2 3 4 4 6" xfId="26468"/>
    <cellStyle name="Normal 2 3 2 3 4 4 7" xfId="26460"/>
    <cellStyle name="Normal 2 3 2 3 4 4 8" xfId="15556"/>
    <cellStyle name="Normal 2 3 2 3 4 5" xfId="9895"/>
    <cellStyle name="Normal 2 3 2 3 4 5 2" xfId="13489"/>
    <cellStyle name="Normal 2 3 2 3 4 5 2 2" xfId="26471"/>
    <cellStyle name="Normal 2 3 2 3 4 5 2 3" xfId="26470"/>
    <cellStyle name="Normal 2 3 2 3 4 5 3" xfId="26472"/>
    <cellStyle name="Normal 2 3 2 3 4 5 3 2" xfId="26473"/>
    <cellStyle name="Normal 2 3 2 3 4 5 4" xfId="26474"/>
    <cellStyle name="Normal 2 3 2 3 4 5 5" xfId="26475"/>
    <cellStyle name="Normal 2 3 2 3 4 5 6" xfId="26469"/>
    <cellStyle name="Normal 2 3 2 3 4 5 7" xfId="15558"/>
    <cellStyle name="Normal 2 3 2 3 4 6" xfId="10966"/>
    <cellStyle name="Normal 2 3 2 3 4 6 2" xfId="14559"/>
    <cellStyle name="Normal 2 3 2 3 4 6 2 2" xfId="26477"/>
    <cellStyle name="Normal 2 3 2 3 4 6 3" xfId="26476"/>
    <cellStyle name="Normal 2 3 2 3 4 6 4" xfId="15559"/>
    <cellStyle name="Normal 2 3 2 3 4 7" xfId="12436"/>
    <cellStyle name="Normal 2 3 2 3 4 7 2" xfId="26479"/>
    <cellStyle name="Normal 2 3 2 3 4 7 3" xfId="26478"/>
    <cellStyle name="Normal 2 3 2 3 4 8" xfId="26480"/>
    <cellStyle name="Normal 2 3 2 3 4 8 2" xfId="26481"/>
    <cellStyle name="Normal 2 3 2 3 4 9" xfId="26482"/>
    <cellStyle name="Normal 2 3 2 3 5" xfId="8843"/>
    <cellStyle name="Normal 2 3 2 3 5 2" xfId="8971"/>
    <cellStyle name="Normal 2 3 2 3 5 2 2" xfId="9227"/>
    <cellStyle name="Normal 2 3 2 3 5 2 2 2" xfId="9795"/>
    <cellStyle name="Normal 2 3 2 3 5 2 2 2 2" xfId="10849"/>
    <cellStyle name="Normal 2 3 2 3 5 2 2 2 2 2" xfId="14443"/>
    <cellStyle name="Normal 2 3 2 3 5 2 2 2 2 3" xfId="15564"/>
    <cellStyle name="Normal 2 3 2 3 5 2 2 2 3" xfId="13390"/>
    <cellStyle name="Normal 2 3 2 3 5 2 2 2 4" xfId="15563"/>
    <cellStyle name="Normal 2 3 2 3 5 2 2 3" xfId="10311"/>
    <cellStyle name="Normal 2 3 2 3 5 2 2 3 2" xfId="13905"/>
    <cellStyle name="Normal 2 3 2 3 5 2 2 3 3" xfId="15565"/>
    <cellStyle name="Normal 2 3 2 3 5 2 2 4" xfId="10972"/>
    <cellStyle name="Normal 2 3 2 3 5 2 2 4 2" xfId="14565"/>
    <cellStyle name="Normal 2 3 2 3 5 2 2 4 3" xfId="15566"/>
    <cellStyle name="Normal 2 3 2 3 5 2 2 5" xfId="12852"/>
    <cellStyle name="Normal 2 3 2 3 5 2 2 5 2" xfId="26485"/>
    <cellStyle name="Normal 2 3 2 3 5 2 2 6" xfId="15562"/>
    <cellStyle name="Normal 2 3 2 3 5 2 3" xfId="9539"/>
    <cellStyle name="Normal 2 3 2 3 5 2 3 2" xfId="10593"/>
    <cellStyle name="Normal 2 3 2 3 5 2 3 2 2" xfId="14187"/>
    <cellStyle name="Normal 2 3 2 3 5 2 3 2 3" xfId="15568"/>
    <cellStyle name="Normal 2 3 2 3 5 2 3 3" xfId="13134"/>
    <cellStyle name="Normal 2 3 2 3 5 2 3 4" xfId="15567"/>
    <cellStyle name="Normal 2 3 2 3 5 2 4" xfId="10055"/>
    <cellStyle name="Normal 2 3 2 3 5 2 4 2" xfId="13649"/>
    <cellStyle name="Normal 2 3 2 3 5 2 4 3" xfId="15569"/>
    <cellStyle name="Normal 2 3 2 3 5 2 5" xfId="10971"/>
    <cellStyle name="Normal 2 3 2 3 5 2 5 2" xfId="14564"/>
    <cellStyle name="Normal 2 3 2 3 5 2 5 3" xfId="15570"/>
    <cellStyle name="Normal 2 3 2 3 5 2 6" xfId="12596"/>
    <cellStyle name="Normal 2 3 2 3 5 2 6 2" xfId="26484"/>
    <cellStyle name="Normal 2 3 2 3 5 2 7" xfId="15561"/>
    <cellStyle name="Normal 2 3 2 3 5 3" xfId="9099"/>
    <cellStyle name="Normal 2 3 2 3 5 3 2" xfId="9667"/>
    <cellStyle name="Normal 2 3 2 3 5 3 2 2" xfId="10721"/>
    <cellStyle name="Normal 2 3 2 3 5 3 2 2 2" xfId="14315"/>
    <cellStyle name="Normal 2 3 2 3 5 3 2 2 3" xfId="15573"/>
    <cellStyle name="Normal 2 3 2 3 5 3 2 3" xfId="13262"/>
    <cellStyle name="Normal 2 3 2 3 5 3 2 3 2" xfId="26487"/>
    <cellStyle name="Normal 2 3 2 3 5 3 2 4" xfId="15572"/>
    <cellStyle name="Normal 2 3 2 3 5 3 3" xfId="10183"/>
    <cellStyle name="Normal 2 3 2 3 5 3 3 2" xfId="13777"/>
    <cellStyle name="Normal 2 3 2 3 5 3 3 3" xfId="15574"/>
    <cellStyle name="Normal 2 3 2 3 5 3 4" xfId="10973"/>
    <cellStyle name="Normal 2 3 2 3 5 3 4 2" xfId="14566"/>
    <cellStyle name="Normal 2 3 2 3 5 3 4 3" xfId="15575"/>
    <cellStyle name="Normal 2 3 2 3 5 3 5" xfId="12724"/>
    <cellStyle name="Normal 2 3 2 3 5 3 5 2" xfId="26486"/>
    <cellStyle name="Normal 2 3 2 3 5 3 6" xfId="15571"/>
    <cellStyle name="Normal 2 3 2 3 5 4" xfId="9411"/>
    <cellStyle name="Normal 2 3 2 3 5 4 2" xfId="10465"/>
    <cellStyle name="Normal 2 3 2 3 5 4 2 2" xfId="14059"/>
    <cellStyle name="Normal 2 3 2 3 5 4 2 2 2" xfId="26489"/>
    <cellStyle name="Normal 2 3 2 3 5 4 2 3" xfId="15577"/>
    <cellStyle name="Normal 2 3 2 3 5 4 3" xfId="13006"/>
    <cellStyle name="Normal 2 3 2 3 5 4 3 2" xfId="26488"/>
    <cellStyle name="Normal 2 3 2 3 5 4 4" xfId="15576"/>
    <cellStyle name="Normal 2 3 2 3 5 5" xfId="9927"/>
    <cellStyle name="Normal 2 3 2 3 5 5 2" xfId="13521"/>
    <cellStyle name="Normal 2 3 2 3 5 5 2 2" xfId="26490"/>
    <cellStyle name="Normal 2 3 2 3 5 5 3" xfId="15578"/>
    <cellStyle name="Normal 2 3 2 3 5 6" xfId="10970"/>
    <cellStyle name="Normal 2 3 2 3 5 6 2" xfId="14563"/>
    <cellStyle name="Normal 2 3 2 3 5 6 2 2" xfId="26491"/>
    <cellStyle name="Normal 2 3 2 3 5 6 3" xfId="15579"/>
    <cellStyle name="Normal 2 3 2 3 5 7" xfId="12468"/>
    <cellStyle name="Normal 2 3 2 3 5 7 2" xfId="26483"/>
    <cellStyle name="Normal 2 3 2 3 5 8" xfId="15560"/>
    <cellStyle name="Normal 2 3 2 3 6" xfId="8871"/>
    <cellStyle name="Normal 2 3 2 3 6 2" xfId="9127"/>
    <cellStyle name="Normal 2 3 2 3 6 2 2" xfId="9695"/>
    <cellStyle name="Normal 2 3 2 3 6 2 2 2" xfId="10749"/>
    <cellStyle name="Normal 2 3 2 3 6 2 2 2 2" xfId="14343"/>
    <cellStyle name="Normal 2 3 2 3 6 2 2 2 3" xfId="15583"/>
    <cellStyle name="Normal 2 3 2 3 6 2 2 3" xfId="13290"/>
    <cellStyle name="Normal 2 3 2 3 6 2 2 3 2" xfId="26494"/>
    <cellStyle name="Normal 2 3 2 3 6 2 2 4" xfId="15582"/>
    <cellStyle name="Normal 2 3 2 3 6 2 3" xfId="10211"/>
    <cellStyle name="Normal 2 3 2 3 6 2 3 2" xfId="13805"/>
    <cellStyle name="Normal 2 3 2 3 6 2 3 3" xfId="15584"/>
    <cellStyle name="Normal 2 3 2 3 6 2 4" xfId="10975"/>
    <cellStyle name="Normal 2 3 2 3 6 2 4 2" xfId="14568"/>
    <cellStyle name="Normal 2 3 2 3 6 2 4 3" xfId="15585"/>
    <cellStyle name="Normal 2 3 2 3 6 2 5" xfId="12752"/>
    <cellStyle name="Normal 2 3 2 3 6 2 5 2" xfId="26493"/>
    <cellStyle name="Normal 2 3 2 3 6 2 6" xfId="15581"/>
    <cellStyle name="Normal 2 3 2 3 6 3" xfId="9439"/>
    <cellStyle name="Normal 2 3 2 3 6 3 2" xfId="10493"/>
    <cellStyle name="Normal 2 3 2 3 6 3 2 2" xfId="14087"/>
    <cellStyle name="Normal 2 3 2 3 6 3 2 2 2" xfId="26496"/>
    <cellStyle name="Normal 2 3 2 3 6 3 2 3" xfId="15587"/>
    <cellStyle name="Normal 2 3 2 3 6 3 3" xfId="13034"/>
    <cellStyle name="Normal 2 3 2 3 6 3 3 2" xfId="26495"/>
    <cellStyle name="Normal 2 3 2 3 6 3 4" xfId="15586"/>
    <cellStyle name="Normal 2 3 2 3 6 4" xfId="9955"/>
    <cellStyle name="Normal 2 3 2 3 6 4 2" xfId="13549"/>
    <cellStyle name="Normal 2 3 2 3 6 4 2 2" xfId="26498"/>
    <cellStyle name="Normal 2 3 2 3 6 4 3" xfId="26497"/>
    <cellStyle name="Normal 2 3 2 3 6 4 4" xfId="15588"/>
    <cellStyle name="Normal 2 3 2 3 6 5" xfId="10974"/>
    <cellStyle name="Normal 2 3 2 3 6 5 2" xfId="14567"/>
    <cellStyle name="Normal 2 3 2 3 6 5 2 2" xfId="26499"/>
    <cellStyle name="Normal 2 3 2 3 6 5 3" xfId="15589"/>
    <cellStyle name="Normal 2 3 2 3 6 6" xfId="12496"/>
    <cellStyle name="Normal 2 3 2 3 6 6 2" xfId="26500"/>
    <cellStyle name="Normal 2 3 2 3 6 7" xfId="26492"/>
    <cellStyle name="Normal 2 3 2 3 6 8" xfId="15580"/>
    <cellStyle name="Normal 2 3 2 3 7" xfId="8999"/>
    <cellStyle name="Normal 2 3 2 3 7 2" xfId="9567"/>
    <cellStyle name="Normal 2 3 2 3 7 2 2" xfId="10621"/>
    <cellStyle name="Normal 2 3 2 3 7 2 2 2" xfId="14215"/>
    <cellStyle name="Normal 2 3 2 3 7 2 2 2 2" xfId="26503"/>
    <cellStyle name="Normal 2 3 2 3 7 2 2 3" xfId="15592"/>
    <cellStyle name="Normal 2 3 2 3 7 2 3" xfId="13162"/>
    <cellStyle name="Normal 2 3 2 3 7 2 3 2" xfId="26502"/>
    <cellStyle name="Normal 2 3 2 3 7 2 4" xfId="15591"/>
    <cellStyle name="Normal 2 3 2 3 7 3" xfId="10083"/>
    <cellStyle name="Normal 2 3 2 3 7 3 2" xfId="13677"/>
    <cellStyle name="Normal 2 3 2 3 7 3 2 2" xfId="26505"/>
    <cellStyle name="Normal 2 3 2 3 7 3 3" xfId="26504"/>
    <cellStyle name="Normal 2 3 2 3 7 3 4" xfId="15593"/>
    <cellStyle name="Normal 2 3 2 3 7 4" xfId="10976"/>
    <cellStyle name="Normal 2 3 2 3 7 4 2" xfId="14569"/>
    <cellStyle name="Normal 2 3 2 3 7 4 2 2" xfId="26507"/>
    <cellStyle name="Normal 2 3 2 3 7 4 3" xfId="26506"/>
    <cellStyle name="Normal 2 3 2 3 7 4 4" xfId="15594"/>
    <cellStyle name="Normal 2 3 2 3 7 5" xfId="12624"/>
    <cellStyle name="Normal 2 3 2 3 7 5 2" xfId="26508"/>
    <cellStyle name="Normal 2 3 2 3 7 6" xfId="26509"/>
    <cellStyle name="Normal 2 3 2 3 7 7" xfId="26501"/>
    <cellStyle name="Normal 2 3 2 3 7 8" xfId="15590"/>
    <cellStyle name="Normal 2 3 2 3 8" xfId="9311"/>
    <cellStyle name="Normal 2 3 2 3 8 2" xfId="10365"/>
    <cellStyle name="Normal 2 3 2 3 8 2 2" xfId="13959"/>
    <cellStyle name="Normal 2 3 2 3 8 2 2 2" xfId="26512"/>
    <cellStyle name="Normal 2 3 2 3 8 2 3" xfId="26511"/>
    <cellStyle name="Normal 2 3 2 3 8 2 4" xfId="15596"/>
    <cellStyle name="Normal 2 3 2 3 8 3" xfId="12906"/>
    <cellStyle name="Normal 2 3 2 3 8 3 2" xfId="26514"/>
    <cellStyle name="Normal 2 3 2 3 8 3 3" xfId="26513"/>
    <cellStyle name="Normal 2 3 2 3 8 4" xfId="26515"/>
    <cellStyle name="Normal 2 3 2 3 8 5" xfId="26516"/>
    <cellStyle name="Normal 2 3 2 3 8 6" xfId="26510"/>
    <cellStyle name="Normal 2 3 2 3 8 7" xfId="15595"/>
    <cellStyle name="Normal 2 3 2 3 9" xfId="9827"/>
    <cellStyle name="Normal 2 3 2 3 9 2" xfId="13421"/>
    <cellStyle name="Normal 2 3 2 3 9 2 2" xfId="26518"/>
    <cellStyle name="Normal 2 3 2 3 9 3" xfId="26517"/>
    <cellStyle name="Normal 2 3 2 3 9 4" xfId="15597"/>
    <cellStyle name="Normal 2 3 2 4" xfId="1505"/>
    <cellStyle name="Normal 2 3 2 4 10" xfId="12345"/>
    <cellStyle name="Normal 2 3 2 4 10 2" xfId="26521"/>
    <cellStyle name="Normal 2 3 2 4 10 3" xfId="26520"/>
    <cellStyle name="Normal 2 3 2 4 11" xfId="26522"/>
    <cellStyle name="Normal 2 3 2 4 11 2" xfId="26523"/>
    <cellStyle name="Normal 2 3 2 4 12" xfId="26524"/>
    <cellStyle name="Normal 2 3 2 4 13" xfId="26525"/>
    <cellStyle name="Normal 2 3 2 4 14" xfId="26519"/>
    <cellStyle name="Normal 2 3 2 4 15" xfId="15598"/>
    <cellStyle name="Normal 2 3 2 4 2" xfId="8787"/>
    <cellStyle name="Normal 2 3 2 4 2 10" xfId="26527"/>
    <cellStyle name="Normal 2 3 2 4 2 11" xfId="26528"/>
    <cellStyle name="Normal 2 3 2 4 2 12" xfId="26526"/>
    <cellStyle name="Normal 2 3 2 4 2 13" xfId="15599"/>
    <cellStyle name="Normal 2 3 2 4 2 2" xfId="8915"/>
    <cellStyle name="Normal 2 3 2 4 2 2 2" xfId="9171"/>
    <cellStyle name="Normal 2 3 2 4 2 2 2 2" xfId="9739"/>
    <cellStyle name="Normal 2 3 2 4 2 2 2 2 2" xfId="10793"/>
    <cellStyle name="Normal 2 3 2 4 2 2 2 2 2 2" xfId="14387"/>
    <cellStyle name="Normal 2 3 2 4 2 2 2 2 2 3" xfId="15603"/>
    <cellStyle name="Normal 2 3 2 4 2 2 2 2 3" xfId="13334"/>
    <cellStyle name="Normal 2 3 2 4 2 2 2 2 3 2" xfId="26531"/>
    <cellStyle name="Normal 2 3 2 4 2 2 2 2 4" xfId="15602"/>
    <cellStyle name="Normal 2 3 2 4 2 2 2 3" xfId="10255"/>
    <cellStyle name="Normal 2 3 2 4 2 2 2 3 2" xfId="13849"/>
    <cellStyle name="Normal 2 3 2 4 2 2 2 3 3" xfId="15604"/>
    <cellStyle name="Normal 2 3 2 4 2 2 2 4" xfId="10980"/>
    <cellStyle name="Normal 2 3 2 4 2 2 2 4 2" xfId="14573"/>
    <cellStyle name="Normal 2 3 2 4 2 2 2 4 3" xfId="15605"/>
    <cellStyle name="Normal 2 3 2 4 2 2 2 5" xfId="12796"/>
    <cellStyle name="Normal 2 3 2 4 2 2 2 5 2" xfId="26530"/>
    <cellStyle name="Normal 2 3 2 4 2 2 2 6" xfId="15601"/>
    <cellStyle name="Normal 2 3 2 4 2 2 3" xfId="9483"/>
    <cellStyle name="Normal 2 3 2 4 2 2 3 2" xfId="10537"/>
    <cellStyle name="Normal 2 3 2 4 2 2 3 2 2" xfId="14131"/>
    <cellStyle name="Normal 2 3 2 4 2 2 3 2 2 2" xfId="26533"/>
    <cellStyle name="Normal 2 3 2 4 2 2 3 2 3" xfId="15607"/>
    <cellStyle name="Normal 2 3 2 4 2 2 3 3" xfId="13078"/>
    <cellStyle name="Normal 2 3 2 4 2 2 3 3 2" xfId="26532"/>
    <cellStyle name="Normal 2 3 2 4 2 2 3 4" xfId="15606"/>
    <cellStyle name="Normal 2 3 2 4 2 2 4" xfId="9999"/>
    <cellStyle name="Normal 2 3 2 4 2 2 4 2" xfId="13593"/>
    <cellStyle name="Normal 2 3 2 4 2 2 4 2 2" xfId="26535"/>
    <cellStyle name="Normal 2 3 2 4 2 2 4 3" xfId="26534"/>
    <cellStyle name="Normal 2 3 2 4 2 2 4 4" xfId="15608"/>
    <cellStyle name="Normal 2 3 2 4 2 2 5" xfId="10979"/>
    <cellStyle name="Normal 2 3 2 4 2 2 5 2" xfId="14572"/>
    <cellStyle name="Normal 2 3 2 4 2 2 5 2 2" xfId="26536"/>
    <cellStyle name="Normal 2 3 2 4 2 2 5 3" xfId="15609"/>
    <cellStyle name="Normal 2 3 2 4 2 2 6" xfId="12540"/>
    <cellStyle name="Normal 2 3 2 4 2 2 6 2" xfId="26537"/>
    <cellStyle name="Normal 2 3 2 4 2 2 7" xfId="26529"/>
    <cellStyle name="Normal 2 3 2 4 2 2 8" xfId="15600"/>
    <cellStyle name="Normal 2 3 2 4 2 3" xfId="9043"/>
    <cellStyle name="Normal 2 3 2 4 2 3 2" xfId="9611"/>
    <cellStyle name="Normal 2 3 2 4 2 3 2 2" xfId="10665"/>
    <cellStyle name="Normal 2 3 2 4 2 3 2 2 2" xfId="14259"/>
    <cellStyle name="Normal 2 3 2 4 2 3 2 2 2 2" xfId="26540"/>
    <cellStyle name="Normal 2 3 2 4 2 3 2 2 3" xfId="15612"/>
    <cellStyle name="Normal 2 3 2 4 2 3 2 3" xfId="13206"/>
    <cellStyle name="Normal 2 3 2 4 2 3 2 3 2" xfId="26539"/>
    <cellStyle name="Normal 2 3 2 4 2 3 2 4" xfId="15611"/>
    <cellStyle name="Normal 2 3 2 4 2 3 3" xfId="10127"/>
    <cellStyle name="Normal 2 3 2 4 2 3 3 2" xfId="13721"/>
    <cellStyle name="Normal 2 3 2 4 2 3 3 2 2" xfId="26542"/>
    <cellStyle name="Normal 2 3 2 4 2 3 3 3" xfId="26541"/>
    <cellStyle name="Normal 2 3 2 4 2 3 3 4" xfId="15613"/>
    <cellStyle name="Normal 2 3 2 4 2 3 4" xfId="10981"/>
    <cellStyle name="Normal 2 3 2 4 2 3 4 2" xfId="14574"/>
    <cellStyle name="Normal 2 3 2 4 2 3 4 2 2" xfId="26544"/>
    <cellStyle name="Normal 2 3 2 4 2 3 4 3" xfId="26543"/>
    <cellStyle name="Normal 2 3 2 4 2 3 4 4" xfId="15614"/>
    <cellStyle name="Normal 2 3 2 4 2 3 5" xfId="12668"/>
    <cellStyle name="Normal 2 3 2 4 2 3 5 2" xfId="26545"/>
    <cellStyle name="Normal 2 3 2 4 2 3 6" xfId="26546"/>
    <cellStyle name="Normal 2 3 2 4 2 3 7" xfId="26538"/>
    <cellStyle name="Normal 2 3 2 4 2 3 8" xfId="15610"/>
    <cellStyle name="Normal 2 3 2 4 2 4" xfId="9355"/>
    <cellStyle name="Normal 2 3 2 4 2 4 2" xfId="10409"/>
    <cellStyle name="Normal 2 3 2 4 2 4 2 2" xfId="14003"/>
    <cellStyle name="Normal 2 3 2 4 2 4 2 2 2" xfId="26549"/>
    <cellStyle name="Normal 2 3 2 4 2 4 2 3" xfId="26548"/>
    <cellStyle name="Normal 2 3 2 4 2 4 2 4" xfId="15616"/>
    <cellStyle name="Normal 2 3 2 4 2 4 3" xfId="12950"/>
    <cellStyle name="Normal 2 3 2 4 2 4 3 2" xfId="26551"/>
    <cellStyle name="Normal 2 3 2 4 2 4 3 3" xfId="26550"/>
    <cellStyle name="Normal 2 3 2 4 2 4 4" xfId="26552"/>
    <cellStyle name="Normal 2 3 2 4 2 4 4 2" xfId="26553"/>
    <cellStyle name="Normal 2 3 2 4 2 4 5" xfId="26554"/>
    <cellStyle name="Normal 2 3 2 4 2 4 6" xfId="26555"/>
    <cellStyle name="Normal 2 3 2 4 2 4 7" xfId="26547"/>
    <cellStyle name="Normal 2 3 2 4 2 4 8" xfId="15615"/>
    <cellStyle name="Normal 2 3 2 4 2 5" xfId="9871"/>
    <cellStyle name="Normal 2 3 2 4 2 5 2" xfId="13465"/>
    <cellStyle name="Normal 2 3 2 4 2 5 2 2" xfId="26558"/>
    <cellStyle name="Normal 2 3 2 4 2 5 2 3" xfId="26557"/>
    <cellStyle name="Normal 2 3 2 4 2 5 3" xfId="26559"/>
    <cellStyle name="Normal 2 3 2 4 2 5 3 2" xfId="26560"/>
    <cellStyle name="Normal 2 3 2 4 2 5 4" xfId="26561"/>
    <cellStyle name="Normal 2 3 2 4 2 5 4 2" xfId="26562"/>
    <cellStyle name="Normal 2 3 2 4 2 5 5" xfId="26563"/>
    <cellStyle name="Normal 2 3 2 4 2 5 6" xfId="26564"/>
    <cellStyle name="Normal 2 3 2 4 2 5 7" xfId="26556"/>
    <cellStyle name="Normal 2 3 2 4 2 5 8" xfId="15617"/>
    <cellStyle name="Normal 2 3 2 4 2 6" xfId="10978"/>
    <cellStyle name="Normal 2 3 2 4 2 6 2" xfId="14571"/>
    <cellStyle name="Normal 2 3 2 4 2 6 2 2" xfId="26567"/>
    <cellStyle name="Normal 2 3 2 4 2 6 2 3" xfId="26566"/>
    <cellStyle name="Normal 2 3 2 4 2 6 3" xfId="26568"/>
    <cellStyle name="Normal 2 3 2 4 2 6 3 2" xfId="26569"/>
    <cellStyle name="Normal 2 3 2 4 2 6 4" xfId="26570"/>
    <cellStyle name="Normal 2 3 2 4 2 6 5" xfId="26571"/>
    <cellStyle name="Normal 2 3 2 4 2 6 6" xfId="26565"/>
    <cellStyle name="Normal 2 3 2 4 2 6 7" xfId="15618"/>
    <cellStyle name="Normal 2 3 2 4 2 7" xfId="12412"/>
    <cellStyle name="Normal 2 3 2 4 2 7 2" xfId="26573"/>
    <cellStyle name="Normal 2 3 2 4 2 7 3" xfId="26572"/>
    <cellStyle name="Normal 2 3 2 4 2 8" xfId="26574"/>
    <cellStyle name="Normal 2 3 2 4 2 8 2" xfId="26575"/>
    <cellStyle name="Normal 2 3 2 4 2 9" xfId="26576"/>
    <cellStyle name="Normal 2 3 2 4 2 9 2" xfId="26577"/>
    <cellStyle name="Normal 2 3 2 4 3" xfId="8819"/>
    <cellStyle name="Normal 2 3 2 4 3 10" xfId="26579"/>
    <cellStyle name="Normal 2 3 2 4 3 11" xfId="26578"/>
    <cellStyle name="Normal 2 3 2 4 3 12" xfId="15619"/>
    <cellStyle name="Normal 2 3 2 4 3 2" xfId="8947"/>
    <cellStyle name="Normal 2 3 2 4 3 2 2" xfId="9203"/>
    <cellStyle name="Normal 2 3 2 4 3 2 2 2" xfId="9771"/>
    <cellStyle name="Normal 2 3 2 4 3 2 2 2 2" xfId="10825"/>
    <cellStyle name="Normal 2 3 2 4 3 2 2 2 2 2" xfId="14419"/>
    <cellStyle name="Normal 2 3 2 4 3 2 2 2 2 3" xfId="15623"/>
    <cellStyle name="Normal 2 3 2 4 3 2 2 2 3" xfId="13366"/>
    <cellStyle name="Normal 2 3 2 4 3 2 2 2 3 2" xfId="26582"/>
    <cellStyle name="Normal 2 3 2 4 3 2 2 2 4" xfId="15622"/>
    <cellStyle name="Normal 2 3 2 4 3 2 2 3" xfId="10287"/>
    <cellStyle name="Normal 2 3 2 4 3 2 2 3 2" xfId="13881"/>
    <cellStyle name="Normal 2 3 2 4 3 2 2 3 3" xfId="15624"/>
    <cellStyle name="Normal 2 3 2 4 3 2 2 4" xfId="10984"/>
    <cellStyle name="Normal 2 3 2 4 3 2 2 4 2" xfId="14577"/>
    <cellStyle name="Normal 2 3 2 4 3 2 2 4 3" xfId="15625"/>
    <cellStyle name="Normal 2 3 2 4 3 2 2 5" xfId="12828"/>
    <cellStyle name="Normal 2 3 2 4 3 2 2 5 2" xfId="26581"/>
    <cellStyle name="Normal 2 3 2 4 3 2 2 6" xfId="15621"/>
    <cellStyle name="Normal 2 3 2 4 3 2 3" xfId="9515"/>
    <cellStyle name="Normal 2 3 2 4 3 2 3 2" xfId="10569"/>
    <cellStyle name="Normal 2 3 2 4 3 2 3 2 2" xfId="14163"/>
    <cellStyle name="Normal 2 3 2 4 3 2 3 2 2 2" xfId="26584"/>
    <cellStyle name="Normal 2 3 2 4 3 2 3 2 3" xfId="15627"/>
    <cellStyle name="Normal 2 3 2 4 3 2 3 3" xfId="13110"/>
    <cellStyle name="Normal 2 3 2 4 3 2 3 3 2" xfId="26583"/>
    <cellStyle name="Normal 2 3 2 4 3 2 3 4" xfId="15626"/>
    <cellStyle name="Normal 2 3 2 4 3 2 4" xfId="10031"/>
    <cellStyle name="Normal 2 3 2 4 3 2 4 2" xfId="13625"/>
    <cellStyle name="Normal 2 3 2 4 3 2 4 2 2" xfId="26586"/>
    <cellStyle name="Normal 2 3 2 4 3 2 4 3" xfId="26585"/>
    <cellStyle name="Normal 2 3 2 4 3 2 4 4" xfId="15628"/>
    <cellStyle name="Normal 2 3 2 4 3 2 5" xfId="10983"/>
    <cellStyle name="Normal 2 3 2 4 3 2 5 2" xfId="14576"/>
    <cellStyle name="Normal 2 3 2 4 3 2 5 2 2" xfId="26587"/>
    <cellStyle name="Normal 2 3 2 4 3 2 5 3" xfId="15629"/>
    <cellStyle name="Normal 2 3 2 4 3 2 6" xfId="12572"/>
    <cellStyle name="Normal 2 3 2 4 3 2 6 2" xfId="26588"/>
    <cellStyle name="Normal 2 3 2 4 3 2 7" xfId="26580"/>
    <cellStyle name="Normal 2 3 2 4 3 2 8" xfId="15620"/>
    <cellStyle name="Normal 2 3 2 4 3 3" xfId="9075"/>
    <cellStyle name="Normal 2 3 2 4 3 3 2" xfId="9643"/>
    <cellStyle name="Normal 2 3 2 4 3 3 2 2" xfId="10697"/>
    <cellStyle name="Normal 2 3 2 4 3 3 2 2 2" xfId="14291"/>
    <cellStyle name="Normal 2 3 2 4 3 3 2 2 2 2" xfId="26591"/>
    <cellStyle name="Normal 2 3 2 4 3 3 2 2 3" xfId="15632"/>
    <cellStyle name="Normal 2 3 2 4 3 3 2 3" xfId="13238"/>
    <cellStyle name="Normal 2 3 2 4 3 3 2 3 2" xfId="26590"/>
    <cellStyle name="Normal 2 3 2 4 3 3 2 4" xfId="15631"/>
    <cellStyle name="Normal 2 3 2 4 3 3 3" xfId="10159"/>
    <cellStyle name="Normal 2 3 2 4 3 3 3 2" xfId="13753"/>
    <cellStyle name="Normal 2 3 2 4 3 3 3 2 2" xfId="26593"/>
    <cellStyle name="Normal 2 3 2 4 3 3 3 3" xfId="26592"/>
    <cellStyle name="Normal 2 3 2 4 3 3 3 4" xfId="15633"/>
    <cellStyle name="Normal 2 3 2 4 3 3 4" xfId="10985"/>
    <cellStyle name="Normal 2 3 2 4 3 3 4 2" xfId="14578"/>
    <cellStyle name="Normal 2 3 2 4 3 3 4 2 2" xfId="26595"/>
    <cellStyle name="Normal 2 3 2 4 3 3 4 3" xfId="26594"/>
    <cellStyle name="Normal 2 3 2 4 3 3 4 4" xfId="15634"/>
    <cellStyle name="Normal 2 3 2 4 3 3 5" xfId="12700"/>
    <cellStyle name="Normal 2 3 2 4 3 3 5 2" xfId="26596"/>
    <cellStyle name="Normal 2 3 2 4 3 3 6" xfId="26597"/>
    <cellStyle name="Normal 2 3 2 4 3 3 7" xfId="26589"/>
    <cellStyle name="Normal 2 3 2 4 3 3 8" xfId="15630"/>
    <cellStyle name="Normal 2 3 2 4 3 4" xfId="9387"/>
    <cellStyle name="Normal 2 3 2 4 3 4 2" xfId="10441"/>
    <cellStyle name="Normal 2 3 2 4 3 4 2 2" xfId="14035"/>
    <cellStyle name="Normal 2 3 2 4 3 4 2 2 2" xfId="26600"/>
    <cellStyle name="Normal 2 3 2 4 3 4 2 3" xfId="26599"/>
    <cellStyle name="Normal 2 3 2 4 3 4 2 4" xfId="15636"/>
    <cellStyle name="Normal 2 3 2 4 3 4 3" xfId="12982"/>
    <cellStyle name="Normal 2 3 2 4 3 4 3 2" xfId="26602"/>
    <cellStyle name="Normal 2 3 2 4 3 4 3 3" xfId="26601"/>
    <cellStyle name="Normal 2 3 2 4 3 4 4" xfId="26603"/>
    <cellStyle name="Normal 2 3 2 4 3 4 4 2" xfId="26604"/>
    <cellStyle name="Normal 2 3 2 4 3 4 5" xfId="26605"/>
    <cellStyle name="Normal 2 3 2 4 3 4 6" xfId="26606"/>
    <cellStyle name="Normal 2 3 2 4 3 4 7" xfId="26598"/>
    <cellStyle name="Normal 2 3 2 4 3 4 8" xfId="15635"/>
    <cellStyle name="Normal 2 3 2 4 3 5" xfId="9903"/>
    <cellStyle name="Normal 2 3 2 4 3 5 2" xfId="13497"/>
    <cellStyle name="Normal 2 3 2 4 3 5 2 2" xfId="26609"/>
    <cellStyle name="Normal 2 3 2 4 3 5 2 3" xfId="26608"/>
    <cellStyle name="Normal 2 3 2 4 3 5 3" xfId="26610"/>
    <cellStyle name="Normal 2 3 2 4 3 5 3 2" xfId="26611"/>
    <cellStyle name="Normal 2 3 2 4 3 5 4" xfId="26612"/>
    <cellStyle name="Normal 2 3 2 4 3 5 5" xfId="26613"/>
    <cellStyle name="Normal 2 3 2 4 3 5 6" xfId="26607"/>
    <cellStyle name="Normal 2 3 2 4 3 5 7" xfId="15637"/>
    <cellStyle name="Normal 2 3 2 4 3 6" xfId="10982"/>
    <cellStyle name="Normal 2 3 2 4 3 6 2" xfId="14575"/>
    <cellStyle name="Normal 2 3 2 4 3 6 2 2" xfId="26615"/>
    <cellStyle name="Normal 2 3 2 4 3 6 3" xfId="26614"/>
    <cellStyle name="Normal 2 3 2 4 3 6 4" xfId="15638"/>
    <cellStyle name="Normal 2 3 2 4 3 7" xfId="12444"/>
    <cellStyle name="Normal 2 3 2 4 3 7 2" xfId="26617"/>
    <cellStyle name="Normal 2 3 2 4 3 7 3" xfId="26616"/>
    <cellStyle name="Normal 2 3 2 4 3 8" xfId="26618"/>
    <cellStyle name="Normal 2 3 2 4 3 8 2" xfId="26619"/>
    <cellStyle name="Normal 2 3 2 4 3 9" xfId="26620"/>
    <cellStyle name="Normal 2 3 2 4 4" xfId="8851"/>
    <cellStyle name="Normal 2 3 2 4 4 10" xfId="26622"/>
    <cellStyle name="Normal 2 3 2 4 4 11" xfId="26621"/>
    <cellStyle name="Normal 2 3 2 4 4 12" xfId="15639"/>
    <cellStyle name="Normal 2 3 2 4 4 2" xfId="8979"/>
    <cellStyle name="Normal 2 3 2 4 4 2 2" xfId="9235"/>
    <cellStyle name="Normal 2 3 2 4 4 2 2 2" xfId="9803"/>
    <cellStyle name="Normal 2 3 2 4 4 2 2 2 2" xfId="10857"/>
    <cellStyle name="Normal 2 3 2 4 4 2 2 2 2 2" xfId="14451"/>
    <cellStyle name="Normal 2 3 2 4 4 2 2 2 2 3" xfId="15643"/>
    <cellStyle name="Normal 2 3 2 4 4 2 2 2 3" xfId="13398"/>
    <cellStyle name="Normal 2 3 2 4 4 2 2 2 3 2" xfId="26625"/>
    <cellStyle name="Normal 2 3 2 4 4 2 2 2 4" xfId="15642"/>
    <cellStyle name="Normal 2 3 2 4 4 2 2 3" xfId="10319"/>
    <cellStyle name="Normal 2 3 2 4 4 2 2 3 2" xfId="13913"/>
    <cellStyle name="Normal 2 3 2 4 4 2 2 3 3" xfId="15644"/>
    <cellStyle name="Normal 2 3 2 4 4 2 2 4" xfId="10988"/>
    <cellStyle name="Normal 2 3 2 4 4 2 2 4 2" xfId="14581"/>
    <cellStyle name="Normal 2 3 2 4 4 2 2 4 3" xfId="15645"/>
    <cellStyle name="Normal 2 3 2 4 4 2 2 5" xfId="12860"/>
    <cellStyle name="Normal 2 3 2 4 4 2 2 5 2" xfId="26624"/>
    <cellStyle name="Normal 2 3 2 4 4 2 2 6" xfId="15641"/>
    <cellStyle name="Normal 2 3 2 4 4 2 3" xfId="9547"/>
    <cellStyle name="Normal 2 3 2 4 4 2 3 2" xfId="10601"/>
    <cellStyle name="Normal 2 3 2 4 4 2 3 2 2" xfId="14195"/>
    <cellStyle name="Normal 2 3 2 4 4 2 3 2 2 2" xfId="26627"/>
    <cellStyle name="Normal 2 3 2 4 4 2 3 2 3" xfId="15647"/>
    <cellStyle name="Normal 2 3 2 4 4 2 3 3" xfId="13142"/>
    <cellStyle name="Normal 2 3 2 4 4 2 3 3 2" xfId="26626"/>
    <cellStyle name="Normal 2 3 2 4 4 2 3 4" xfId="15646"/>
    <cellStyle name="Normal 2 3 2 4 4 2 4" xfId="10063"/>
    <cellStyle name="Normal 2 3 2 4 4 2 4 2" xfId="13657"/>
    <cellStyle name="Normal 2 3 2 4 4 2 4 2 2" xfId="26629"/>
    <cellStyle name="Normal 2 3 2 4 4 2 4 3" xfId="26628"/>
    <cellStyle name="Normal 2 3 2 4 4 2 4 4" xfId="15648"/>
    <cellStyle name="Normal 2 3 2 4 4 2 5" xfId="10987"/>
    <cellStyle name="Normal 2 3 2 4 4 2 5 2" xfId="14580"/>
    <cellStyle name="Normal 2 3 2 4 4 2 5 2 2" xfId="26630"/>
    <cellStyle name="Normal 2 3 2 4 4 2 5 3" xfId="15649"/>
    <cellStyle name="Normal 2 3 2 4 4 2 6" xfId="12604"/>
    <cellStyle name="Normal 2 3 2 4 4 2 6 2" xfId="26631"/>
    <cellStyle name="Normal 2 3 2 4 4 2 7" xfId="26623"/>
    <cellStyle name="Normal 2 3 2 4 4 2 8" xfId="15640"/>
    <cellStyle name="Normal 2 3 2 4 4 3" xfId="9107"/>
    <cellStyle name="Normal 2 3 2 4 4 3 2" xfId="9675"/>
    <cellStyle name="Normal 2 3 2 4 4 3 2 2" xfId="10729"/>
    <cellStyle name="Normal 2 3 2 4 4 3 2 2 2" xfId="14323"/>
    <cellStyle name="Normal 2 3 2 4 4 3 2 2 2 2" xfId="26634"/>
    <cellStyle name="Normal 2 3 2 4 4 3 2 2 3" xfId="15652"/>
    <cellStyle name="Normal 2 3 2 4 4 3 2 3" xfId="13270"/>
    <cellStyle name="Normal 2 3 2 4 4 3 2 3 2" xfId="26633"/>
    <cellStyle name="Normal 2 3 2 4 4 3 2 4" xfId="15651"/>
    <cellStyle name="Normal 2 3 2 4 4 3 3" xfId="10191"/>
    <cellStyle name="Normal 2 3 2 4 4 3 3 2" xfId="13785"/>
    <cellStyle name="Normal 2 3 2 4 4 3 3 2 2" xfId="26636"/>
    <cellStyle name="Normal 2 3 2 4 4 3 3 3" xfId="26635"/>
    <cellStyle name="Normal 2 3 2 4 4 3 3 4" xfId="15653"/>
    <cellStyle name="Normal 2 3 2 4 4 3 4" xfId="10989"/>
    <cellStyle name="Normal 2 3 2 4 4 3 4 2" xfId="14582"/>
    <cellStyle name="Normal 2 3 2 4 4 3 4 2 2" xfId="26638"/>
    <cellStyle name="Normal 2 3 2 4 4 3 4 3" xfId="26637"/>
    <cellStyle name="Normal 2 3 2 4 4 3 4 4" xfId="15654"/>
    <cellStyle name="Normal 2 3 2 4 4 3 5" xfId="12732"/>
    <cellStyle name="Normal 2 3 2 4 4 3 5 2" xfId="26639"/>
    <cellStyle name="Normal 2 3 2 4 4 3 6" xfId="26640"/>
    <cellStyle name="Normal 2 3 2 4 4 3 7" xfId="26632"/>
    <cellStyle name="Normal 2 3 2 4 4 3 8" xfId="15650"/>
    <cellStyle name="Normal 2 3 2 4 4 4" xfId="9419"/>
    <cellStyle name="Normal 2 3 2 4 4 4 2" xfId="10473"/>
    <cellStyle name="Normal 2 3 2 4 4 4 2 2" xfId="14067"/>
    <cellStyle name="Normal 2 3 2 4 4 4 2 2 2" xfId="26643"/>
    <cellStyle name="Normal 2 3 2 4 4 4 2 3" xfId="26642"/>
    <cellStyle name="Normal 2 3 2 4 4 4 2 4" xfId="15656"/>
    <cellStyle name="Normal 2 3 2 4 4 4 3" xfId="13014"/>
    <cellStyle name="Normal 2 3 2 4 4 4 3 2" xfId="26645"/>
    <cellStyle name="Normal 2 3 2 4 4 4 3 3" xfId="26644"/>
    <cellStyle name="Normal 2 3 2 4 4 4 4" xfId="26646"/>
    <cellStyle name="Normal 2 3 2 4 4 4 4 2" xfId="26647"/>
    <cellStyle name="Normal 2 3 2 4 4 4 5" xfId="26648"/>
    <cellStyle name="Normal 2 3 2 4 4 4 6" xfId="26649"/>
    <cellStyle name="Normal 2 3 2 4 4 4 7" xfId="26641"/>
    <cellStyle name="Normal 2 3 2 4 4 4 8" xfId="15655"/>
    <cellStyle name="Normal 2 3 2 4 4 5" xfId="9935"/>
    <cellStyle name="Normal 2 3 2 4 4 5 2" xfId="13529"/>
    <cellStyle name="Normal 2 3 2 4 4 5 2 2" xfId="26652"/>
    <cellStyle name="Normal 2 3 2 4 4 5 2 3" xfId="26651"/>
    <cellStyle name="Normal 2 3 2 4 4 5 3" xfId="26653"/>
    <cellStyle name="Normal 2 3 2 4 4 5 3 2" xfId="26654"/>
    <cellStyle name="Normal 2 3 2 4 4 5 4" xfId="26655"/>
    <cellStyle name="Normal 2 3 2 4 4 5 5" xfId="26656"/>
    <cellStyle name="Normal 2 3 2 4 4 5 6" xfId="26650"/>
    <cellStyle name="Normal 2 3 2 4 4 5 7" xfId="15657"/>
    <cellStyle name="Normal 2 3 2 4 4 6" xfId="10986"/>
    <cellStyle name="Normal 2 3 2 4 4 6 2" xfId="14579"/>
    <cellStyle name="Normal 2 3 2 4 4 6 2 2" xfId="26658"/>
    <cellStyle name="Normal 2 3 2 4 4 6 3" xfId="26657"/>
    <cellStyle name="Normal 2 3 2 4 4 6 4" xfId="15658"/>
    <cellStyle name="Normal 2 3 2 4 4 7" xfId="12476"/>
    <cellStyle name="Normal 2 3 2 4 4 7 2" xfId="26660"/>
    <cellStyle name="Normal 2 3 2 4 4 7 3" xfId="26659"/>
    <cellStyle name="Normal 2 3 2 4 4 8" xfId="26661"/>
    <cellStyle name="Normal 2 3 2 4 4 8 2" xfId="26662"/>
    <cellStyle name="Normal 2 3 2 4 4 9" xfId="26663"/>
    <cellStyle name="Normal 2 3 2 4 5" xfId="8873"/>
    <cellStyle name="Normal 2 3 2 4 5 2" xfId="9129"/>
    <cellStyle name="Normal 2 3 2 4 5 2 2" xfId="9697"/>
    <cellStyle name="Normal 2 3 2 4 5 2 2 2" xfId="10751"/>
    <cellStyle name="Normal 2 3 2 4 5 2 2 2 2" xfId="14345"/>
    <cellStyle name="Normal 2 3 2 4 5 2 2 2 3" xfId="15662"/>
    <cellStyle name="Normal 2 3 2 4 5 2 2 3" xfId="13292"/>
    <cellStyle name="Normal 2 3 2 4 5 2 2 3 2" xfId="26666"/>
    <cellStyle name="Normal 2 3 2 4 5 2 2 4" xfId="15661"/>
    <cellStyle name="Normal 2 3 2 4 5 2 3" xfId="10213"/>
    <cellStyle name="Normal 2 3 2 4 5 2 3 2" xfId="13807"/>
    <cellStyle name="Normal 2 3 2 4 5 2 3 3" xfId="15663"/>
    <cellStyle name="Normal 2 3 2 4 5 2 4" xfId="10991"/>
    <cellStyle name="Normal 2 3 2 4 5 2 4 2" xfId="14584"/>
    <cellStyle name="Normal 2 3 2 4 5 2 4 3" xfId="15664"/>
    <cellStyle name="Normal 2 3 2 4 5 2 5" xfId="12754"/>
    <cellStyle name="Normal 2 3 2 4 5 2 5 2" xfId="26665"/>
    <cellStyle name="Normal 2 3 2 4 5 2 6" xfId="15660"/>
    <cellStyle name="Normal 2 3 2 4 5 3" xfId="9441"/>
    <cellStyle name="Normal 2 3 2 4 5 3 2" xfId="10495"/>
    <cellStyle name="Normal 2 3 2 4 5 3 2 2" xfId="14089"/>
    <cellStyle name="Normal 2 3 2 4 5 3 2 2 2" xfId="26668"/>
    <cellStyle name="Normal 2 3 2 4 5 3 2 3" xfId="15666"/>
    <cellStyle name="Normal 2 3 2 4 5 3 3" xfId="13036"/>
    <cellStyle name="Normal 2 3 2 4 5 3 3 2" xfId="26667"/>
    <cellStyle name="Normal 2 3 2 4 5 3 4" xfId="15665"/>
    <cellStyle name="Normal 2 3 2 4 5 4" xfId="9957"/>
    <cellStyle name="Normal 2 3 2 4 5 4 2" xfId="13551"/>
    <cellStyle name="Normal 2 3 2 4 5 4 2 2" xfId="26670"/>
    <cellStyle name="Normal 2 3 2 4 5 4 3" xfId="26669"/>
    <cellStyle name="Normal 2 3 2 4 5 4 4" xfId="15667"/>
    <cellStyle name="Normal 2 3 2 4 5 5" xfId="10990"/>
    <cellStyle name="Normal 2 3 2 4 5 5 2" xfId="14583"/>
    <cellStyle name="Normal 2 3 2 4 5 5 2 2" xfId="26671"/>
    <cellStyle name="Normal 2 3 2 4 5 5 3" xfId="15668"/>
    <cellStyle name="Normal 2 3 2 4 5 6" xfId="12498"/>
    <cellStyle name="Normal 2 3 2 4 5 6 2" xfId="26672"/>
    <cellStyle name="Normal 2 3 2 4 5 7" xfId="26664"/>
    <cellStyle name="Normal 2 3 2 4 5 8" xfId="15659"/>
    <cellStyle name="Normal 2 3 2 4 6" xfId="9001"/>
    <cellStyle name="Normal 2 3 2 4 6 2" xfId="9569"/>
    <cellStyle name="Normal 2 3 2 4 6 2 2" xfId="10623"/>
    <cellStyle name="Normal 2 3 2 4 6 2 2 2" xfId="14217"/>
    <cellStyle name="Normal 2 3 2 4 6 2 2 2 2" xfId="26675"/>
    <cellStyle name="Normal 2 3 2 4 6 2 2 3" xfId="15671"/>
    <cellStyle name="Normal 2 3 2 4 6 2 3" xfId="13164"/>
    <cellStyle name="Normal 2 3 2 4 6 2 3 2" xfId="26674"/>
    <cellStyle name="Normal 2 3 2 4 6 2 4" xfId="15670"/>
    <cellStyle name="Normal 2 3 2 4 6 3" xfId="10085"/>
    <cellStyle name="Normal 2 3 2 4 6 3 2" xfId="13679"/>
    <cellStyle name="Normal 2 3 2 4 6 3 2 2" xfId="26677"/>
    <cellStyle name="Normal 2 3 2 4 6 3 3" xfId="26676"/>
    <cellStyle name="Normal 2 3 2 4 6 3 4" xfId="15672"/>
    <cellStyle name="Normal 2 3 2 4 6 4" xfId="10992"/>
    <cellStyle name="Normal 2 3 2 4 6 4 2" xfId="14585"/>
    <cellStyle name="Normal 2 3 2 4 6 4 2 2" xfId="26679"/>
    <cellStyle name="Normal 2 3 2 4 6 4 3" xfId="26678"/>
    <cellStyle name="Normal 2 3 2 4 6 4 4" xfId="15673"/>
    <cellStyle name="Normal 2 3 2 4 6 5" xfId="12626"/>
    <cellStyle name="Normal 2 3 2 4 6 5 2" xfId="26680"/>
    <cellStyle name="Normal 2 3 2 4 6 6" xfId="26681"/>
    <cellStyle name="Normal 2 3 2 4 6 7" xfId="26673"/>
    <cellStyle name="Normal 2 3 2 4 6 8" xfId="15669"/>
    <cellStyle name="Normal 2 3 2 4 7" xfId="9313"/>
    <cellStyle name="Normal 2 3 2 4 7 2" xfId="10367"/>
    <cellStyle name="Normal 2 3 2 4 7 2 2" xfId="13961"/>
    <cellStyle name="Normal 2 3 2 4 7 2 2 2" xfId="26684"/>
    <cellStyle name="Normal 2 3 2 4 7 2 3" xfId="26683"/>
    <cellStyle name="Normal 2 3 2 4 7 2 4" xfId="15675"/>
    <cellStyle name="Normal 2 3 2 4 7 3" xfId="12908"/>
    <cellStyle name="Normal 2 3 2 4 7 3 2" xfId="26686"/>
    <cellStyle name="Normal 2 3 2 4 7 3 3" xfId="26685"/>
    <cellStyle name="Normal 2 3 2 4 7 4" xfId="26687"/>
    <cellStyle name="Normal 2 3 2 4 7 4 2" xfId="26688"/>
    <cellStyle name="Normal 2 3 2 4 7 5" xfId="26689"/>
    <cellStyle name="Normal 2 3 2 4 7 6" xfId="26690"/>
    <cellStyle name="Normal 2 3 2 4 7 7" xfId="26682"/>
    <cellStyle name="Normal 2 3 2 4 7 8" xfId="15674"/>
    <cellStyle name="Normal 2 3 2 4 8" xfId="9829"/>
    <cellStyle name="Normal 2 3 2 4 8 2" xfId="13423"/>
    <cellStyle name="Normal 2 3 2 4 8 2 2" xfId="26693"/>
    <cellStyle name="Normal 2 3 2 4 8 2 3" xfId="26692"/>
    <cellStyle name="Normal 2 3 2 4 8 3" xfId="26694"/>
    <cellStyle name="Normal 2 3 2 4 8 3 2" xfId="26695"/>
    <cellStyle name="Normal 2 3 2 4 8 4" xfId="26696"/>
    <cellStyle name="Normal 2 3 2 4 8 5" xfId="26697"/>
    <cellStyle name="Normal 2 3 2 4 8 6" xfId="26691"/>
    <cellStyle name="Normal 2 3 2 4 8 7" xfId="15676"/>
    <cellStyle name="Normal 2 3 2 4 9" xfId="10977"/>
    <cellStyle name="Normal 2 3 2 4 9 2" xfId="14570"/>
    <cellStyle name="Normal 2 3 2 4 9 2 2" xfId="26699"/>
    <cellStyle name="Normal 2 3 2 4 9 3" xfId="26698"/>
    <cellStyle name="Normal 2 3 2 4 9 4" xfId="15677"/>
    <cellStyle name="Normal 2 3 2 5" xfId="8771"/>
    <cellStyle name="Normal 2 3 2 5 10" xfId="26701"/>
    <cellStyle name="Normal 2 3 2 5 10 2" xfId="26702"/>
    <cellStyle name="Normal 2 3 2 5 11" xfId="26703"/>
    <cellStyle name="Normal 2 3 2 5 12" xfId="26704"/>
    <cellStyle name="Normal 2 3 2 5 13" xfId="26700"/>
    <cellStyle name="Normal 2 3 2 5 14" xfId="15678"/>
    <cellStyle name="Normal 2 3 2 5 2" xfId="8899"/>
    <cellStyle name="Normal 2 3 2 5 2 10" xfId="26706"/>
    <cellStyle name="Normal 2 3 2 5 2 11" xfId="26705"/>
    <cellStyle name="Normal 2 3 2 5 2 12" xfId="15679"/>
    <cellStyle name="Normal 2 3 2 5 2 2" xfId="9155"/>
    <cellStyle name="Normal 2 3 2 5 2 2 2" xfId="9723"/>
    <cellStyle name="Normal 2 3 2 5 2 2 2 2" xfId="10777"/>
    <cellStyle name="Normal 2 3 2 5 2 2 2 2 2" xfId="14371"/>
    <cellStyle name="Normal 2 3 2 5 2 2 2 2 2 2" xfId="26709"/>
    <cellStyle name="Normal 2 3 2 5 2 2 2 2 3" xfId="15682"/>
    <cellStyle name="Normal 2 3 2 5 2 2 2 3" xfId="13318"/>
    <cellStyle name="Normal 2 3 2 5 2 2 2 3 2" xfId="26708"/>
    <cellStyle name="Normal 2 3 2 5 2 2 2 4" xfId="15681"/>
    <cellStyle name="Normal 2 3 2 5 2 2 3" xfId="10239"/>
    <cellStyle name="Normal 2 3 2 5 2 2 3 2" xfId="13833"/>
    <cellStyle name="Normal 2 3 2 5 2 2 3 2 2" xfId="26711"/>
    <cellStyle name="Normal 2 3 2 5 2 2 3 3" xfId="26710"/>
    <cellStyle name="Normal 2 3 2 5 2 2 3 4" xfId="15683"/>
    <cellStyle name="Normal 2 3 2 5 2 2 4" xfId="10995"/>
    <cellStyle name="Normal 2 3 2 5 2 2 4 2" xfId="14588"/>
    <cellStyle name="Normal 2 3 2 5 2 2 4 2 2" xfId="26713"/>
    <cellStyle name="Normal 2 3 2 5 2 2 4 3" xfId="26712"/>
    <cellStyle name="Normal 2 3 2 5 2 2 4 4" xfId="15684"/>
    <cellStyle name="Normal 2 3 2 5 2 2 5" xfId="12780"/>
    <cellStyle name="Normal 2 3 2 5 2 2 5 2" xfId="26714"/>
    <cellStyle name="Normal 2 3 2 5 2 2 6" xfId="26715"/>
    <cellStyle name="Normal 2 3 2 5 2 2 7" xfId="26707"/>
    <cellStyle name="Normal 2 3 2 5 2 2 8" xfId="15680"/>
    <cellStyle name="Normal 2 3 2 5 2 3" xfId="9467"/>
    <cellStyle name="Normal 2 3 2 5 2 3 2" xfId="10521"/>
    <cellStyle name="Normal 2 3 2 5 2 3 2 2" xfId="14115"/>
    <cellStyle name="Normal 2 3 2 5 2 3 2 2 2" xfId="26718"/>
    <cellStyle name="Normal 2 3 2 5 2 3 2 3" xfId="26717"/>
    <cellStyle name="Normal 2 3 2 5 2 3 2 4" xfId="15686"/>
    <cellStyle name="Normal 2 3 2 5 2 3 3" xfId="13062"/>
    <cellStyle name="Normal 2 3 2 5 2 3 3 2" xfId="26720"/>
    <cellStyle name="Normal 2 3 2 5 2 3 3 3" xfId="26719"/>
    <cellStyle name="Normal 2 3 2 5 2 3 4" xfId="26721"/>
    <cellStyle name="Normal 2 3 2 5 2 3 4 2" xfId="26722"/>
    <cellStyle name="Normal 2 3 2 5 2 3 5" xfId="26723"/>
    <cellStyle name="Normal 2 3 2 5 2 3 6" xfId="26724"/>
    <cellStyle name="Normal 2 3 2 5 2 3 7" xfId="26716"/>
    <cellStyle name="Normal 2 3 2 5 2 3 8" xfId="15685"/>
    <cellStyle name="Normal 2 3 2 5 2 4" xfId="9983"/>
    <cellStyle name="Normal 2 3 2 5 2 4 2" xfId="13577"/>
    <cellStyle name="Normal 2 3 2 5 2 4 2 2" xfId="26727"/>
    <cellStyle name="Normal 2 3 2 5 2 4 2 3" xfId="26726"/>
    <cellStyle name="Normal 2 3 2 5 2 4 3" xfId="26728"/>
    <cellStyle name="Normal 2 3 2 5 2 4 3 2" xfId="26729"/>
    <cellStyle name="Normal 2 3 2 5 2 4 4" xfId="26730"/>
    <cellStyle name="Normal 2 3 2 5 2 4 4 2" xfId="26731"/>
    <cellStyle name="Normal 2 3 2 5 2 4 5" xfId="26732"/>
    <cellStyle name="Normal 2 3 2 5 2 4 6" xfId="26733"/>
    <cellStyle name="Normal 2 3 2 5 2 4 7" xfId="26725"/>
    <cellStyle name="Normal 2 3 2 5 2 4 8" xfId="15687"/>
    <cellStyle name="Normal 2 3 2 5 2 5" xfId="10994"/>
    <cellStyle name="Normal 2 3 2 5 2 5 2" xfId="14587"/>
    <cellStyle name="Normal 2 3 2 5 2 5 2 2" xfId="26736"/>
    <cellStyle name="Normal 2 3 2 5 2 5 2 3" xfId="26735"/>
    <cellStyle name="Normal 2 3 2 5 2 5 3" xfId="26737"/>
    <cellStyle name="Normal 2 3 2 5 2 5 3 2" xfId="26738"/>
    <cellStyle name="Normal 2 3 2 5 2 5 4" xfId="26739"/>
    <cellStyle name="Normal 2 3 2 5 2 5 5" xfId="26740"/>
    <cellStyle name="Normal 2 3 2 5 2 5 6" xfId="26734"/>
    <cellStyle name="Normal 2 3 2 5 2 5 7" xfId="15688"/>
    <cellStyle name="Normal 2 3 2 5 2 6" xfId="12524"/>
    <cellStyle name="Normal 2 3 2 5 2 6 2" xfId="26742"/>
    <cellStyle name="Normal 2 3 2 5 2 6 3" xfId="26741"/>
    <cellStyle name="Normal 2 3 2 5 2 7" xfId="26743"/>
    <cellStyle name="Normal 2 3 2 5 2 7 2" xfId="26744"/>
    <cellStyle name="Normal 2 3 2 5 2 8" xfId="26745"/>
    <cellStyle name="Normal 2 3 2 5 2 8 2" xfId="26746"/>
    <cellStyle name="Normal 2 3 2 5 2 9" xfId="26747"/>
    <cellStyle name="Normal 2 3 2 5 3" xfId="9027"/>
    <cellStyle name="Normal 2 3 2 5 3 10" xfId="26749"/>
    <cellStyle name="Normal 2 3 2 5 3 11" xfId="26748"/>
    <cellStyle name="Normal 2 3 2 5 3 12" xfId="15689"/>
    <cellStyle name="Normal 2 3 2 5 3 2" xfId="9595"/>
    <cellStyle name="Normal 2 3 2 5 3 2 2" xfId="10649"/>
    <cellStyle name="Normal 2 3 2 5 3 2 2 2" xfId="14243"/>
    <cellStyle name="Normal 2 3 2 5 3 2 2 2 2" xfId="26752"/>
    <cellStyle name="Normal 2 3 2 5 3 2 2 3" xfId="26751"/>
    <cellStyle name="Normal 2 3 2 5 3 2 2 4" xfId="15691"/>
    <cellStyle name="Normal 2 3 2 5 3 2 3" xfId="13190"/>
    <cellStyle name="Normal 2 3 2 5 3 2 3 2" xfId="26754"/>
    <cellStyle name="Normal 2 3 2 5 3 2 3 3" xfId="26753"/>
    <cellStyle name="Normal 2 3 2 5 3 2 4" xfId="26755"/>
    <cellStyle name="Normal 2 3 2 5 3 2 4 2" xfId="26756"/>
    <cellStyle name="Normal 2 3 2 5 3 2 5" xfId="26757"/>
    <cellStyle name="Normal 2 3 2 5 3 2 6" xfId="26758"/>
    <cellStyle name="Normal 2 3 2 5 3 2 7" xfId="26750"/>
    <cellStyle name="Normal 2 3 2 5 3 2 8" xfId="15690"/>
    <cellStyle name="Normal 2 3 2 5 3 3" xfId="10111"/>
    <cellStyle name="Normal 2 3 2 5 3 3 2" xfId="13705"/>
    <cellStyle name="Normal 2 3 2 5 3 3 2 2" xfId="26761"/>
    <cellStyle name="Normal 2 3 2 5 3 3 2 3" xfId="26760"/>
    <cellStyle name="Normal 2 3 2 5 3 3 3" xfId="26762"/>
    <cellStyle name="Normal 2 3 2 5 3 3 3 2" xfId="26763"/>
    <cellStyle name="Normal 2 3 2 5 3 3 4" xfId="26764"/>
    <cellStyle name="Normal 2 3 2 5 3 3 4 2" xfId="26765"/>
    <cellStyle name="Normal 2 3 2 5 3 3 5" xfId="26766"/>
    <cellStyle name="Normal 2 3 2 5 3 3 6" xfId="26767"/>
    <cellStyle name="Normal 2 3 2 5 3 3 7" xfId="26759"/>
    <cellStyle name="Normal 2 3 2 5 3 3 8" xfId="15692"/>
    <cellStyle name="Normal 2 3 2 5 3 4" xfId="10996"/>
    <cellStyle name="Normal 2 3 2 5 3 4 2" xfId="14589"/>
    <cellStyle name="Normal 2 3 2 5 3 4 2 2" xfId="26770"/>
    <cellStyle name="Normal 2 3 2 5 3 4 2 3" xfId="26769"/>
    <cellStyle name="Normal 2 3 2 5 3 4 3" xfId="26771"/>
    <cellStyle name="Normal 2 3 2 5 3 4 3 2" xfId="26772"/>
    <cellStyle name="Normal 2 3 2 5 3 4 4" xfId="26773"/>
    <cellStyle name="Normal 2 3 2 5 3 4 4 2" xfId="26774"/>
    <cellStyle name="Normal 2 3 2 5 3 4 5" xfId="26775"/>
    <cellStyle name="Normal 2 3 2 5 3 4 6" xfId="26776"/>
    <cellStyle name="Normal 2 3 2 5 3 4 7" xfId="26768"/>
    <cellStyle name="Normal 2 3 2 5 3 4 8" xfId="15693"/>
    <cellStyle name="Normal 2 3 2 5 3 5" xfId="12652"/>
    <cellStyle name="Normal 2 3 2 5 3 5 2" xfId="26778"/>
    <cellStyle name="Normal 2 3 2 5 3 5 2 2" xfId="26779"/>
    <cellStyle name="Normal 2 3 2 5 3 5 3" xfId="26780"/>
    <cellStyle name="Normal 2 3 2 5 3 5 3 2" xfId="26781"/>
    <cellStyle name="Normal 2 3 2 5 3 5 4" xfId="26782"/>
    <cellStyle name="Normal 2 3 2 5 3 5 5" xfId="26783"/>
    <cellStyle name="Normal 2 3 2 5 3 5 6" xfId="26777"/>
    <cellStyle name="Normal 2 3 2 5 3 6" xfId="26784"/>
    <cellStyle name="Normal 2 3 2 5 3 6 2" xfId="26785"/>
    <cellStyle name="Normal 2 3 2 5 3 7" xfId="26786"/>
    <cellStyle name="Normal 2 3 2 5 3 7 2" xfId="26787"/>
    <cellStyle name="Normal 2 3 2 5 3 8" xfId="26788"/>
    <cellStyle name="Normal 2 3 2 5 3 8 2" xfId="26789"/>
    <cellStyle name="Normal 2 3 2 5 3 9" xfId="26790"/>
    <cellStyle name="Normal 2 3 2 5 4" xfId="9339"/>
    <cellStyle name="Normal 2 3 2 5 4 2" xfId="10393"/>
    <cellStyle name="Normal 2 3 2 5 4 2 2" xfId="13987"/>
    <cellStyle name="Normal 2 3 2 5 4 2 2 2" xfId="26793"/>
    <cellStyle name="Normal 2 3 2 5 4 2 3" xfId="26792"/>
    <cellStyle name="Normal 2 3 2 5 4 2 4" xfId="15695"/>
    <cellStyle name="Normal 2 3 2 5 4 3" xfId="12934"/>
    <cellStyle name="Normal 2 3 2 5 4 3 2" xfId="26795"/>
    <cellStyle name="Normal 2 3 2 5 4 3 3" xfId="26794"/>
    <cellStyle name="Normal 2 3 2 5 4 4" xfId="26796"/>
    <cellStyle name="Normal 2 3 2 5 4 4 2" xfId="26797"/>
    <cellStyle name="Normal 2 3 2 5 4 5" xfId="26798"/>
    <cellStyle name="Normal 2 3 2 5 4 6" xfId="26799"/>
    <cellStyle name="Normal 2 3 2 5 4 7" xfId="26791"/>
    <cellStyle name="Normal 2 3 2 5 4 8" xfId="15694"/>
    <cellStyle name="Normal 2 3 2 5 5" xfId="9855"/>
    <cellStyle name="Normal 2 3 2 5 5 2" xfId="13449"/>
    <cellStyle name="Normal 2 3 2 5 5 2 2" xfId="26802"/>
    <cellStyle name="Normal 2 3 2 5 5 2 3" xfId="26801"/>
    <cellStyle name="Normal 2 3 2 5 5 3" xfId="26803"/>
    <cellStyle name="Normal 2 3 2 5 5 3 2" xfId="26804"/>
    <cellStyle name="Normal 2 3 2 5 5 4" xfId="26805"/>
    <cellStyle name="Normal 2 3 2 5 5 4 2" xfId="26806"/>
    <cellStyle name="Normal 2 3 2 5 5 5" xfId="26807"/>
    <cellStyle name="Normal 2 3 2 5 5 6" xfId="26808"/>
    <cellStyle name="Normal 2 3 2 5 5 7" xfId="26800"/>
    <cellStyle name="Normal 2 3 2 5 5 8" xfId="15696"/>
    <cellStyle name="Normal 2 3 2 5 6" xfId="10993"/>
    <cellStyle name="Normal 2 3 2 5 6 2" xfId="14586"/>
    <cellStyle name="Normal 2 3 2 5 6 2 2" xfId="26811"/>
    <cellStyle name="Normal 2 3 2 5 6 2 3" xfId="26810"/>
    <cellStyle name="Normal 2 3 2 5 6 3" xfId="26812"/>
    <cellStyle name="Normal 2 3 2 5 6 3 2" xfId="26813"/>
    <cellStyle name="Normal 2 3 2 5 6 4" xfId="26814"/>
    <cellStyle name="Normal 2 3 2 5 6 4 2" xfId="26815"/>
    <cellStyle name="Normal 2 3 2 5 6 5" xfId="26816"/>
    <cellStyle name="Normal 2 3 2 5 6 6" xfId="26817"/>
    <cellStyle name="Normal 2 3 2 5 6 7" xfId="26809"/>
    <cellStyle name="Normal 2 3 2 5 6 8" xfId="15697"/>
    <cellStyle name="Normal 2 3 2 5 7" xfId="12396"/>
    <cellStyle name="Normal 2 3 2 5 7 2" xfId="26819"/>
    <cellStyle name="Normal 2 3 2 5 7 2 2" xfId="26820"/>
    <cellStyle name="Normal 2 3 2 5 7 3" xfId="26821"/>
    <cellStyle name="Normal 2 3 2 5 7 3 2" xfId="26822"/>
    <cellStyle name="Normal 2 3 2 5 7 4" xfId="26823"/>
    <cellStyle name="Normal 2 3 2 5 7 5" xfId="26824"/>
    <cellStyle name="Normal 2 3 2 5 7 6" xfId="26818"/>
    <cellStyle name="Normal 2 3 2 5 8" xfId="26825"/>
    <cellStyle name="Normal 2 3 2 5 8 2" xfId="26826"/>
    <cellStyle name="Normal 2 3 2 5 9" xfId="26827"/>
    <cellStyle name="Normal 2 3 2 5 9 2" xfId="26828"/>
    <cellStyle name="Normal 2 3 2 6" xfId="8803"/>
    <cellStyle name="Normal 2 3 2 6 10" xfId="26830"/>
    <cellStyle name="Normal 2 3 2 6 11" xfId="26831"/>
    <cellStyle name="Normal 2 3 2 6 12" xfId="26829"/>
    <cellStyle name="Normal 2 3 2 6 13" xfId="15698"/>
    <cellStyle name="Normal 2 3 2 6 2" xfId="8931"/>
    <cellStyle name="Normal 2 3 2 6 2 2" xfId="9187"/>
    <cellStyle name="Normal 2 3 2 6 2 2 2" xfId="9755"/>
    <cellStyle name="Normal 2 3 2 6 2 2 2 2" xfId="10809"/>
    <cellStyle name="Normal 2 3 2 6 2 2 2 2 2" xfId="14403"/>
    <cellStyle name="Normal 2 3 2 6 2 2 2 2 3" xfId="15702"/>
    <cellStyle name="Normal 2 3 2 6 2 2 2 3" xfId="13350"/>
    <cellStyle name="Normal 2 3 2 6 2 2 2 3 2" xfId="26834"/>
    <cellStyle name="Normal 2 3 2 6 2 2 2 4" xfId="15701"/>
    <cellStyle name="Normal 2 3 2 6 2 2 3" xfId="10271"/>
    <cellStyle name="Normal 2 3 2 6 2 2 3 2" xfId="13865"/>
    <cellStyle name="Normal 2 3 2 6 2 2 3 3" xfId="15703"/>
    <cellStyle name="Normal 2 3 2 6 2 2 4" xfId="10999"/>
    <cellStyle name="Normal 2 3 2 6 2 2 4 2" xfId="14592"/>
    <cellStyle name="Normal 2 3 2 6 2 2 4 3" xfId="15704"/>
    <cellStyle name="Normal 2 3 2 6 2 2 5" xfId="12812"/>
    <cellStyle name="Normal 2 3 2 6 2 2 5 2" xfId="26833"/>
    <cellStyle name="Normal 2 3 2 6 2 2 6" xfId="15700"/>
    <cellStyle name="Normal 2 3 2 6 2 3" xfId="9499"/>
    <cellStyle name="Normal 2 3 2 6 2 3 2" xfId="10553"/>
    <cellStyle name="Normal 2 3 2 6 2 3 2 2" xfId="14147"/>
    <cellStyle name="Normal 2 3 2 6 2 3 2 2 2" xfId="26836"/>
    <cellStyle name="Normal 2 3 2 6 2 3 2 3" xfId="15706"/>
    <cellStyle name="Normal 2 3 2 6 2 3 3" xfId="13094"/>
    <cellStyle name="Normal 2 3 2 6 2 3 3 2" xfId="26835"/>
    <cellStyle name="Normal 2 3 2 6 2 3 4" xfId="15705"/>
    <cellStyle name="Normal 2 3 2 6 2 4" xfId="10015"/>
    <cellStyle name="Normal 2 3 2 6 2 4 2" xfId="13609"/>
    <cellStyle name="Normal 2 3 2 6 2 4 2 2" xfId="26838"/>
    <cellStyle name="Normal 2 3 2 6 2 4 3" xfId="26837"/>
    <cellStyle name="Normal 2 3 2 6 2 4 4" xfId="15707"/>
    <cellStyle name="Normal 2 3 2 6 2 5" xfId="10998"/>
    <cellStyle name="Normal 2 3 2 6 2 5 2" xfId="14591"/>
    <cellStyle name="Normal 2 3 2 6 2 5 2 2" xfId="26839"/>
    <cellStyle name="Normal 2 3 2 6 2 5 3" xfId="15708"/>
    <cellStyle name="Normal 2 3 2 6 2 6" xfId="12556"/>
    <cellStyle name="Normal 2 3 2 6 2 6 2" xfId="26840"/>
    <cellStyle name="Normal 2 3 2 6 2 7" xfId="26832"/>
    <cellStyle name="Normal 2 3 2 6 2 8" xfId="15699"/>
    <cellStyle name="Normal 2 3 2 6 3" xfId="9059"/>
    <cellStyle name="Normal 2 3 2 6 3 2" xfId="9627"/>
    <cellStyle name="Normal 2 3 2 6 3 2 2" xfId="10681"/>
    <cellStyle name="Normal 2 3 2 6 3 2 2 2" xfId="14275"/>
    <cellStyle name="Normal 2 3 2 6 3 2 2 2 2" xfId="26843"/>
    <cellStyle name="Normal 2 3 2 6 3 2 2 3" xfId="15711"/>
    <cellStyle name="Normal 2 3 2 6 3 2 3" xfId="13222"/>
    <cellStyle name="Normal 2 3 2 6 3 2 3 2" xfId="26842"/>
    <cellStyle name="Normal 2 3 2 6 3 2 4" xfId="15710"/>
    <cellStyle name="Normal 2 3 2 6 3 3" xfId="10143"/>
    <cellStyle name="Normal 2 3 2 6 3 3 2" xfId="13737"/>
    <cellStyle name="Normal 2 3 2 6 3 3 2 2" xfId="26845"/>
    <cellStyle name="Normal 2 3 2 6 3 3 3" xfId="26844"/>
    <cellStyle name="Normal 2 3 2 6 3 3 4" xfId="15712"/>
    <cellStyle name="Normal 2 3 2 6 3 4" xfId="11000"/>
    <cellStyle name="Normal 2 3 2 6 3 4 2" xfId="14593"/>
    <cellStyle name="Normal 2 3 2 6 3 4 2 2" xfId="26847"/>
    <cellStyle name="Normal 2 3 2 6 3 4 3" xfId="26846"/>
    <cellStyle name="Normal 2 3 2 6 3 4 4" xfId="15713"/>
    <cellStyle name="Normal 2 3 2 6 3 5" xfId="12684"/>
    <cellStyle name="Normal 2 3 2 6 3 5 2" xfId="26848"/>
    <cellStyle name="Normal 2 3 2 6 3 6" xfId="26849"/>
    <cellStyle name="Normal 2 3 2 6 3 7" xfId="26841"/>
    <cellStyle name="Normal 2 3 2 6 3 8" xfId="15709"/>
    <cellStyle name="Normal 2 3 2 6 4" xfId="9371"/>
    <cellStyle name="Normal 2 3 2 6 4 2" xfId="10425"/>
    <cellStyle name="Normal 2 3 2 6 4 2 2" xfId="14019"/>
    <cellStyle name="Normal 2 3 2 6 4 2 2 2" xfId="26852"/>
    <cellStyle name="Normal 2 3 2 6 4 2 3" xfId="26851"/>
    <cellStyle name="Normal 2 3 2 6 4 2 4" xfId="15715"/>
    <cellStyle name="Normal 2 3 2 6 4 3" xfId="12966"/>
    <cellStyle name="Normal 2 3 2 6 4 3 2" xfId="26854"/>
    <cellStyle name="Normal 2 3 2 6 4 3 3" xfId="26853"/>
    <cellStyle name="Normal 2 3 2 6 4 4" xfId="26855"/>
    <cellStyle name="Normal 2 3 2 6 4 4 2" xfId="26856"/>
    <cellStyle name="Normal 2 3 2 6 4 5" xfId="26857"/>
    <cellStyle name="Normal 2 3 2 6 4 6" xfId="26858"/>
    <cellStyle name="Normal 2 3 2 6 4 7" xfId="26850"/>
    <cellStyle name="Normal 2 3 2 6 4 8" xfId="15714"/>
    <cellStyle name="Normal 2 3 2 6 5" xfId="9887"/>
    <cellStyle name="Normal 2 3 2 6 5 2" xfId="13481"/>
    <cellStyle name="Normal 2 3 2 6 5 2 2" xfId="26861"/>
    <cellStyle name="Normal 2 3 2 6 5 2 3" xfId="26860"/>
    <cellStyle name="Normal 2 3 2 6 5 3" xfId="26862"/>
    <cellStyle name="Normal 2 3 2 6 5 3 2" xfId="26863"/>
    <cellStyle name="Normal 2 3 2 6 5 4" xfId="26864"/>
    <cellStyle name="Normal 2 3 2 6 5 4 2" xfId="26865"/>
    <cellStyle name="Normal 2 3 2 6 5 5" xfId="26866"/>
    <cellStyle name="Normal 2 3 2 6 5 6" xfId="26867"/>
    <cellStyle name="Normal 2 3 2 6 5 7" xfId="26859"/>
    <cellStyle name="Normal 2 3 2 6 5 8" xfId="15716"/>
    <cellStyle name="Normal 2 3 2 6 6" xfId="10997"/>
    <cellStyle name="Normal 2 3 2 6 6 2" xfId="14590"/>
    <cellStyle name="Normal 2 3 2 6 6 2 2" xfId="26870"/>
    <cellStyle name="Normal 2 3 2 6 6 2 3" xfId="26869"/>
    <cellStyle name="Normal 2 3 2 6 6 3" xfId="26871"/>
    <cellStyle name="Normal 2 3 2 6 6 3 2" xfId="26872"/>
    <cellStyle name="Normal 2 3 2 6 6 4" xfId="26873"/>
    <cellStyle name="Normal 2 3 2 6 6 5" xfId="26874"/>
    <cellStyle name="Normal 2 3 2 6 6 6" xfId="26868"/>
    <cellStyle name="Normal 2 3 2 6 6 7" xfId="15717"/>
    <cellStyle name="Normal 2 3 2 6 7" xfId="12428"/>
    <cellStyle name="Normal 2 3 2 6 7 2" xfId="26876"/>
    <cellStyle name="Normal 2 3 2 6 7 3" xfId="26875"/>
    <cellStyle name="Normal 2 3 2 6 8" xfId="26877"/>
    <cellStyle name="Normal 2 3 2 6 8 2" xfId="26878"/>
    <cellStyle name="Normal 2 3 2 6 9" xfId="26879"/>
    <cellStyle name="Normal 2 3 2 6 9 2" xfId="26880"/>
    <cellStyle name="Normal 2 3 2 7" xfId="8835"/>
    <cellStyle name="Normal 2 3 2 7 10" xfId="26882"/>
    <cellStyle name="Normal 2 3 2 7 11" xfId="26881"/>
    <cellStyle name="Normal 2 3 2 7 12" xfId="15718"/>
    <cellStyle name="Normal 2 3 2 7 2" xfId="8963"/>
    <cellStyle name="Normal 2 3 2 7 2 2" xfId="9219"/>
    <cellStyle name="Normal 2 3 2 7 2 2 2" xfId="9787"/>
    <cellStyle name="Normal 2 3 2 7 2 2 2 2" xfId="10841"/>
    <cellStyle name="Normal 2 3 2 7 2 2 2 2 2" xfId="14435"/>
    <cellStyle name="Normal 2 3 2 7 2 2 2 2 3" xfId="15722"/>
    <cellStyle name="Normal 2 3 2 7 2 2 2 3" xfId="13382"/>
    <cellStyle name="Normal 2 3 2 7 2 2 2 3 2" xfId="26885"/>
    <cellStyle name="Normal 2 3 2 7 2 2 2 4" xfId="15721"/>
    <cellStyle name="Normal 2 3 2 7 2 2 3" xfId="10303"/>
    <cellStyle name="Normal 2 3 2 7 2 2 3 2" xfId="13897"/>
    <cellStyle name="Normal 2 3 2 7 2 2 3 3" xfId="15723"/>
    <cellStyle name="Normal 2 3 2 7 2 2 4" xfId="11003"/>
    <cellStyle name="Normal 2 3 2 7 2 2 4 2" xfId="14596"/>
    <cellStyle name="Normal 2 3 2 7 2 2 4 3" xfId="15724"/>
    <cellStyle name="Normal 2 3 2 7 2 2 5" xfId="12844"/>
    <cellStyle name="Normal 2 3 2 7 2 2 5 2" xfId="26884"/>
    <cellStyle name="Normal 2 3 2 7 2 2 6" xfId="15720"/>
    <cellStyle name="Normal 2 3 2 7 2 3" xfId="9531"/>
    <cellStyle name="Normal 2 3 2 7 2 3 2" xfId="10585"/>
    <cellStyle name="Normal 2 3 2 7 2 3 2 2" xfId="14179"/>
    <cellStyle name="Normal 2 3 2 7 2 3 2 2 2" xfId="26887"/>
    <cellStyle name="Normal 2 3 2 7 2 3 2 3" xfId="15726"/>
    <cellStyle name="Normal 2 3 2 7 2 3 3" xfId="13126"/>
    <cellStyle name="Normal 2 3 2 7 2 3 3 2" xfId="26886"/>
    <cellStyle name="Normal 2 3 2 7 2 3 4" xfId="15725"/>
    <cellStyle name="Normal 2 3 2 7 2 4" xfId="10047"/>
    <cellStyle name="Normal 2 3 2 7 2 4 2" xfId="13641"/>
    <cellStyle name="Normal 2 3 2 7 2 4 2 2" xfId="26889"/>
    <cellStyle name="Normal 2 3 2 7 2 4 3" xfId="26888"/>
    <cellStyle name="Normal 2 3 2 7 2 4 4" xfId="15727"/>
    <cellStyle name="Normal 2 3 2 7 2 5" xfId="11002"/>
    <cellStyle name="Normal 2 3 2 7 2 5 2" xfId="14595"/>
    <cellStyle name="Normal 2 3 2 7 2 5 2 2" xfId="26890"/>
    <cellStyle name="Normal 2 3 2 7 2 5 3" xfId="15728"/>
    <cellStyle name="Normal 2 3 2 7 2 6" xfId="12588"/>
    <cellStyle name="Normal 2 3 2 7 2 6 2" xfId="26891"/>
    <cellStyle name="Normal 2 3 2 7 2 7" xfId="26883"/>
    <cellStyle name="Normal 2 3 2 7 2 8" xfId="15719"/>
    <cellStyle name="Normal 2 3 2 7 3" xfId="9091"/>
    <cellStyle name="Normal 2 3 2 7 3 2" xfId="9659"/>
    <cellStyle name="Normal 2 3 2 7 3 2 2" xfId="10713"/>
    <cellStyle name="Normal 2 3 2 7 3 2 2 2" xfId="14307"/>
    <cellStyle name="Normal 2 3 2 7 3 2 2 2 2" xfId="26894"/>
    <cellStyle name="Normal 2 3 2 7 3 2 2 3" xfId="15731"/>
    <cellStyle name="Normal 2 3 2 7 3 2 3" xfId="13254"/>
    <cellStyle name="Normal 2 3 2 7 3 2 3 2" xfId="26893"/>
    <cellStyle name="Normal 2 3 2 7 3 2 4" xfId="15730"/>
    <cellStyle name="Normal 2 3 2 7 3 3" xfId="10175"/>
    <cellStyle name="Normal 2 3 2 7 3 3 2" xfId="13769"/>
    <cellStyle name="Normal 2 3 2 7 3 3 2 2" xfId="26896"/>
    <cellStyle name="Normal 2 3 2 7 3 3 3" xfId="26895"/>
    <cellStyle name="Normal 2 3 2 7 3 3 4" xfId="15732"/>
    <cellStyle name="Normal 2 3 2 7 3 4" xfId="11004"/>
    <cellStyle name="Normal 2 3 2 7 3 4 2" xfId="14597"/>
    <cellStyle name="Normal 2 3 2 7 3 4 2 2" xfId="26898"/>
    <cellStyle name="Normal 2 3 2 7 3 4 3" xfId="26897"/>
    <cellStyle name="Normal 2 3 2 7 3 4 4" xfId="15733"/>
    <cellStyle name="Normal 2 3 2 7 3 5" xfId="12716"/>
    <cellStyle name="Normal 2 3 2 7 3 5 2" xfId="26899"/>
    <cellStyle name="Normal 2 3 2 7 3 6" xfId="26900"/>
    <cellStyle name="Normal 2 3 2 7 3 7" xfId="26892"/>
    <cellStyle name="Normal 2 3 2 7 3 8" xfId="15729"/>
    <cellStyle name="Normal 2 3 2 7 4" xfId="9403"/>
    <cellStyle name="Normal 2 3 2 7 4 2" xfId="10457"/>
    <cellStyle name="Normal 2 3 2 7 4 2 2" xfId="14051"/>
    <cellStyle name="Normal 2 3 2 7 4 2 2 2" xfId="26903"/>
    <cellStyle name="Normal 2 3 2 7 4 2 3" xfId="26902"/>
    <cellStyle name="Normal 2 3 2 7 4 2 4" xfId="15735"/>
    <cellStyle name="Normal 2 3 2 7 4 3" xfId="12998"/>
    <cellStyle name="Normal 2 3 2 7 4 3 2" xfId="26905"/>
    <cellStyle name="Normal 2 3 2 7 4 3 3" xfId="26904"/>
    <cellStyle name="Normal 2 3 2 7 4 4" xfId="26906"/>
    <cellStyle name="Normal 2 3 2 7 4 4 2" xfId="26907"/>
    <cellStyle name="Normal 2 3 2 7 4 5" xfId="26908"/>
    <cellStyle name="Normal 2 3 2 7 4 6" xfId="26909"/>
    <cellStyle name="Normal 2 3 2 7 4 7" xfId="26901"/>
    <cellStyle name="Normal 2 3 2 7 4 8" xfId="15734"/>
    <cellStyle name="Normal 2 3 2 7 5" xfId="9919"/>
    <cellStyle name="Normal 2 3 2 7 5 2" xfId="13513"/>
    <cellStyle name="Normal 2 3 2 7 5 2 2" xfId="26912"/>
    <cellStyle name="Normal 2 3 2 7 5 2 3" xfId="26911"/>
    <cellStyle name="Normal 2 3 2 7 5 3" xfId="26913"/>
    <cellStyle name="Normal 2 3 2 7 5 3 2" xfId="26914"/>
    <cellStyle name="Normal 2 3 2 7 5 4" xfId="26915"/>
    <cellStyle name="Normal 2 3 2 7 5 5" xfId="26916"/>
    <cellStyle name="Normal 2 3 2 7 5 6" xfId="26910"/>
    <cellStyle name="Normal 2 3 2 7 5 7" xfId="15736"/>
    <cellStyle name="Normal 2 3 2 7 6" xfId="11001"/>
    <cellStyle name="Normal 2 3 2 7 6 2" xfId="14594"/>
    <cellStyle name="Normal 2 3 2 7 6 2 2" xfId="26918"/>
    <cellStyle name="Normal 2 3 2 7 6 3" xfId="26917"/>
    <cellStyle name="Normal 2 3 2 7 6 4" xfId="15737"/>
    <cellStyle name="Normal 2 3 2 7 7" xfId="12460"/>
    <cellStyle name="Normal 2 3 2 7 7 2" xfId="26920"/>
    <cellStyle name="Normal 2 3 2 7 7 3" xfId="26919"/>
    <cellStyle name="Normal 2 3 2 7 8" xfId="26921"/>
    <cellStyle name="Normal 2 3 2 7 8 2" xfId="26922"/>
    <cellStyle name="Normal 2 3 2 7 9" xfId="26923"/>
    <cellStyle name="Normal 2 3 2 8" xfId="8866"/>
    <cellStyle name="Normal 2 3 2 8 10" xfId="26925"/>
    <cellStyle name="Normal 2 3 2 8 11" xfId="26924"/>
    <cellStyle name="Normal 2 3 2 8 12" xfId="15738"/>
    <cellStyle name="Normal 2 3 2 8 2" xfId="9122"/>
    <cellStyle name="Normal 2 3 2 8 2 2" xfId="9690"/>
    <cellStyle name="Normal 2 3 2 8 2 2 2" xfId="10744"/>
    <cellStyle name="Normal 2 3 2 8 2 2 2 2" xfId="14338"/>
    <cellStyle name="Normal 2 3 2 8 2 2 2 2 2" xfId="26928"/>
    <cellStyle name="Normal 2 3 2 8 2 2 2 3" xfId="15741"/>
    <cellStyle name="Normal 2 3 2 8 2 2 3" xfId="13285"/>
    <cellStyle name="Normal 2 3 2 8 2 2 3 2" xfId="26927"/>
    <cellStyle name="Normal 2 3 2 8 2 2 4" xfId="15740"/>
    <cellStyle name="Normal 2 3 2 8 2 3" xfId="10206"/>
    <cellStyle name="Normal 2 3 2 8 2 3 2" xfId="13800"/>
    <cellStyle name="Normal 2 3 2 8 2 3 2 2" xfId="26930"/>
    <cellStyle name="Normal 2 3 2 8 2 3 3" xfId="26929"/>
    <cellStyle name="Normal 2 3 2 8 2 3 4" xfId="15742"/>
    <cellStyle name="Normal 2 3 2 8 2 4" xfId="11006"/>
    <cellStyle name="Normal 2 3 2 8 2 4 2" xfId="14599"/>
    <cellStyle name="Normal 2 3 2 8 2 4 2 2" xfId="26932"/>
    <cellStyle name="Normal 2 3 2 8 2 4 3" xfId="26931"/>
    <cellStyle name="Normal 2 3 2 8 2 4 4" xfId="15743"/>
    <cellStyle name="Normal 2 3 2 8 2 5" xfId="12747"/>
    <cellStyle name="Normal 2 3 2 8 2 5 2" xfId="26933"/>
    <cellStyle name="Normal 2 3 2 8 2 6" xfId="26934"/>
    <cellStyle name="Normal 2 3 2 8 2 7" xfId="26926"/>
    <cellStyle name="Normal 2 3 2 8 2 8" xfId="15739"/>
    <cellStyle name="Normal 2 3 2 8 3" xfId="9434"/>
    <cellStyle name="Normal 2 3 2 8 3 2" xfId="10488"/>
    <cellStyle name="Normal 2 3 2 8 3 2 2" xfId="14082"/>
    <cellStyle name="Normal 2 3 2 8 3 2 2 2" xfId="26937"/>
    <cellStyle name="Normal 2 3 2 8 3 2 3" xfId="26936"/>
    <cellStyle name="Normal 2 3 2 8 3 2 4" xfId="15745"/>
    <cellStyle name="Normal 2 3 2 8 3 3" xfId="13029"/>
    <cellStyle name="Normal 2 3 2 8 3 3 2" xfId="26939"/>
    <cellStyle name="Normal 2 3 2 8 3 3 3" xfId="26938"/>
    <cellStyle name="Normal 2 3 2 8 3 4" xfId="26940"/>
    <cellStyle name="Normal 2 3 2 8 3 4 2" xfId="26941"/>
    <cellStyle name="Normal 2 3 2 8 3 5" xfId="26942"/>
    <cellStyle name="Normal 2 3 2 8 3 6" xfId="26943"/>
    <cellStyle name="Normal 2 3 2 8 3 7" xfId="26935"/>
    <cellStyle name="Normal 2 3 2 8 3 8" xfId="15744"/>
    <cellStyle name="Normal 2 3 2 8 4" xfId="9950"/>
    <cellStyle name="Normal 2 3 2 8 4 2" xfId="13544"/>
    <cellStyle name="Normal 2 3 2 8 4 2 2" xfId="26946"/>
    <cellStyle name="Normal 2 3 2 8 4 2 3" xfId="26945"/>
    <cellStyle name="Normal 2 3 2 8 4 3" xfId="26947"/>
    <cellStyle name="Normal 2 3 2 8 4 3 2" xfId="26948"/>
    <cellStyle name="Normal 2 3 2 8 4 4" xfId="26949"/>
    <cellStyle name="Normal 2 3 2 8 4 4 2" xfId="26950"/>
    <cellStyle name="Normal 2 3 2 8 4 5" xfId="26951"/>
    <cellStyle name="Normal 2 3 2 8 4 6" xfId="26952"/>
    <cellStyle name="Normal 2 3 2 8 4 7" xfId="26944"/>
    <cellStyle name="Normal 2 3 2 8 4 8" xfId="15746"/>
    <cellStyle name="Normal 2 3 2 8 5" xfId="11005"/>
    <cellStyle name="Normal 2 3 2 8 5 2" xfId="14598"/>
    <cellStyle name="Normal 2 3 2 8 5 2 2" xfId="26955"/>
    <cellStyle name="Normal 2 3 2 8 5 2 3" xfId="26954"/>
    <cellStyle name="Normal 2 3 2 8 5 3" xfId="26956"/>
    <cellStyle name="Normal 2 3 2 8 5 3 2" xfId="26957"/>
    <cellStyle name="Normal 2 3 2 8 5 4" xfId="26958"/>
    <cellStyle name="Normal 2 3 2 8 5 5" xfId="26959"/>
    <cellStyle name="Normal 2 3 2 8 5 6" xfId="26953"/>
    <cellStyle name="Normal 2 3 2 8 5 7" xfId="15747"/>
    <cellStyle name="Normal 2 3 2 8 6" xfId="12491"/>
    <cellStyle name="Normal 2 3 2 8 6 2" xfId="26961"/>
    <cellStyle name="Normal 2 3 2 8 6 3" xfId="26960"/>
    <cellStyle name="Normal 2 3 2 8 7" xfId="26962"/>
    <cellStyle name="Normal 2 3 2 8 7 2" xfId="26963"/>
    <cellStyle name="Normal 2 3 2 8 8" xfId="26964"/>
    <cellStyle name="Normal 2 3 2 8 8 2" xfId="26965"/>
    <cellStyle name="Normal 2 3 2 8 9" xfId="26966"/>
    <cellStyle name="Normal 2 3 2 9" xfId="8994"/>
    <cellStyle name="Normal 2 3 2 9 2" xfId="9562"/>
    <cellStyle name="Normal 2 3 2 9 2 2" xfId="10616"/>
    <cellStyle name="Normal 2 3 2 9 2 2 2" xfId="14210"/>
    <cellStyle name="Normal 2 3 2 9 2 2 2 2" xfId="26969"/>
    <cellStyle name="Normal 2 3 2 9 2 2 3" xfId="15750"/>
    <cellStyle name="Normal 2 3 2 9 2 3" xfId="13157"/>
    <cellStyle name="Normal 2 3 2 9 2 3 2" xfId="26968"/>
    <cellStyle name="Normal 2 3 2 9 2 4" xfId="15749"/>
    <cellStyle name="Normal 2 3 2 9 3" xfId="10078"/>
    <cellStyle name="Normal 2 3 2 9 3 2" xfId="13672"/>
    <cellStyle name="Normal 2 3 2 9 3 2 2" xfId="26971"/>
    <cellStyle name="Normal 2 3 2 9 3 3" xfId="26970"/>
    <cellStyle name="Normal 2 3 2 9 3 4" xfId="15751"/>
    <cellStyle name="Normal 2 3 2 9 4" xfId="11007"/>
    <cellStyle name="Normal 2 3 2 9 4 2" xfId="14600"/>
    <cellStyle name="Normal 2 3 2 9 4 2 2" xfId="26973"/>
    <cellStyle name="Normal 2 3 2 9 4 3" xfId="26972"/>
    <cellStyle name="Normal 2 3 2 9 4 4" xfId="15752"/>
    <cellStyle name="Normal 2 3 2 9 5" xfId="12619"/>
    <cellStyle name="Normal 2 3 2 9 5 2" xfId="26974"/>
    <cellStyle name="Normal 2 3 2 9 6" xfId="26975"/>
    <cellStyle name="Normal 2 3 2 9 7" xfId="26967"/>
    <cellStyle name="Normal 2 3 2 9 8" xfId="15748"/>
    <cellStyle name="Normal 2 3 3" xfId="1506"/>
    <cellStyle name="Normal 2 3 3 10" xfId="9830"/>
    <cellStyle name="Normal 2 3 3 10 2" xfId="13424"/>
    <cellStyle name="Normal 2 3 3 10 3" xfId="15754"/>
    <cellStyle name="Normal 2 3 3 11" xfId="11008"/>
    <cellStyle name="Normal 2 3 3 11 2" xfId="14601"/>
    <cellStyle name="Normal 2 3 3 11 3" xfId="15755"/>
    <cellStyle name="Normal 2 3 3 12" xfId="12346"/>
    <cellStyle name="Normal 2 3 3 12 2" xfId="26976"/>
    <cellStyle name="Normal 2 3 3 13" xfId="15753"/>
    <cellStyle name="Normal 2 3 3 2" xfId="1507"/>
    <cellStyle name="Normal 2 3 3 2 10" xfId="11009"/>
    <cellStyle name="Normal 2 3 3 2 10 2" xfId="14602"/>
    <cellStyle name="Normal 2 3 3 2 10 3" xfId="15757"/>
    <cellStyle name="Normal 2 3 3 2 11" xfId="12347"/>
    <cellStyle name="Normal 2 3 3 2 12" xfId="15756"/>
    <cellStyle name="Normal 2 3 3 2 2" xfId="1508"/>
    <cellStyle name="Normal 2 3 3 2 2 10" xfId="12348"/>
    <cellStyle name="Normal 2 3 3 2 2 11" xfId="15758"/>
    <cellStyle name="Normal 2 3 3 2 2 2" xfId="8797"/>
    <cellStyle name="Normal 2 3 3 2 2 2 2" xfId="8925"/>
    <cellStyle name="Normal 2 3 3 2 2 2 2 2" xfId="9181"/>
    <cellStyle name="Normal 2 3 3 2 2 2 2 2 2" xfId="9749"/>
    <cellStyle name="Normal 2 3 3 2 2 2 2 2 2 2" xfId="10803"/>
    <cellStyle name="Normal 2 3 3 2 2 2 2 2 2 2 2" xfId="14397"/>
    <cellStyle name="Normal 2 3 3 2 2 2 2 2 2 2 3" xfId="15763"/>
    <cellStyle name="Normal 2 3 3 2 2 2 2 2 2 3" xfId="13344"/>
    <cellStyle name="Normal 2 3 3 2 2 2 2 2 2 4" xfId="15762"/>
    <cellStyle name="Normal 2 3 3 2 2 2 2 2 3" xfId="10265"/>
    <cellStyle name="Normal 2 3 3 2 2 2 2 2 3 2" xfId="13859"/>
    <cellStyle name="Normal 2 3 3 2 2 2 2 2 3 3" xfId="15764"/>
    <cellStyle name="Normal 2 3 3 2 2 2 2 2 4" xfId="11013"/>
    <cellStyle name="Normal 2 3 3 2 2 2 2 2 4 2" xfId="14606"/>
    <cellStyle name="Normal 2 3 3 2 2 2 2 2 4 3" xfId="15765"/>
    <cellStyle name="Normal 2 3 3 2 2 2 2 2 5" xfId="12806"/>
    <cellStyle name="Normal 2 3 3 2 2 2 2 2 6" xfId="15761"/>
    <cellStyle name="Normal 2 3 3 2 2 2 2 3" xfId="9493"/>
    <cellStyle name="Normal 2 3 3 2 2 2 2 3 2" xfId="10547"/>
    <cellStyle name="Normal 2 3 3 2 2 2 2 3 2 2" xfId="14141"/>
    <cellStyle name="Normal 2 3 3 2 2 2 2 3 2 3" xfId="15767"/>
    <cellStyle name="Normal 2 3 3 2 2 2 2 3 3" xfId="13088"/>
    <cellStyle name="Normal 2 3 3 2 2 2 2 3 4" xfId="15766"/>
    <cellStyle name="Normal 2 3 3 2 2 2 2 4" xfId="10009"/>
    <cellStyle name="Normal 2 3 3 2 2 2 2 4 2" xfId="13603"/>
    <cellStyle name="Normal 2 3 3 2 2 2 2 4 3" xfId="15768"/>
    <cellStyle name="Normal 2 3 3 2 2 2 2 5" xfId="11012"/>
    <cellStyle name="Normal 2 3 3 2 2 2 2 5 2" xfId="14605"/>
    <cellStyle name="Normal 2 3 3 2 2 2 2 5 3" xfId="15769"/>
    <cellStyle name="Normal 2 3 3 2 2 2 2 6" xfId="12550"/>
    <cellStyle name="Normal 2 3 3 2 2 2 2 7" xfId="15760"/>
    <cellStyle name="Normal 2 3 3 2 2 2 3" xfId="9053"/>
    <cellStyle name="Normal 2 3 3 2 2 2 3 2" xfId="9621"/>
    <cellStyle name="Normal 2 3 3 2 2 2 3 2 2" xfId="10675"/>
    <cellStyle name="Normal 2 3 3 2 2 2 3 2 2 2" xfId="14269"/>
    <cellStyle name="Normal 2 3 3 2 2 2 3 2 2 3" xfId="15772"/>
    <cellStyle name="Normal 2 3 3 2 2 2 3 2 3" xfId="13216"/>
    <cellStyle name="Normal 2 3 3 2 2 2 3 2 4" xfId="15771"/>
    <cellStyle name="Normal 2 3 3 2 2 2 3 3" xfId="10137"/>
    <cellStyle name="Normal 2 3 3 2 2 2 3 3 2" xfId="13731"/>
    <cellStyle name="Normal 2 3 3 2 2 2 3 3 3" xfId="15773"/>
    <cellStyle name="Normal 2 3 3 2 2 2 3 4" xfId="11014"/>
    <cellStyle name="Normal 2 3 3 2 2 2 3 4 2" xfId="14607"/>
    <cellStyle name="Normal 2 3 3 2 2 2 3 4 3" xfId="15774"/>
    <cellStyle name="Normal 2 3 3 2 2 2 3 5" xfId="12678"/>
    <cellStyle name="Normal 2 3 3 2 2 2 3 6" xfId="15770"/>
    <cellStyle name="Normal 2 3 3 2 2 2 4" xfId="9365"/>
    <cellStyle name="Normal 2 3 3 2 2 2 4 2" xfId="10419"/>
    <cellStyle name="Normal 2 3 3 2 2 2 4 2 2" xfId="14013"/>
    <cellStyle name="Normal 2 3 3 2 2 2 4 2 3" xfId="15776"/>
    <cellStyle name="Normal 2 3 3 2 2 2 4 3" xfId="12960"/>
    <cellStyle name="Normal 2 3 3 2 2 2 4 4" xfId="15775"/>
    <cellStyle name="Normal 2 3 3 2 2 2 5" xfId="9881"/>
    <cellStyle name="Normal 2 3 3 2 2 2 5 2" xfId="13475"/>
    <cellStyle name="Normal 2 3 3 2 2 2 5 3" xfId="15777"/>
    <cellStyle name="Normal 2 3 3 2 2 2 6" xfId="11011"/>
    <cellStyle name="Normal 2 3 3 2 2 2 6 2" xfId="14604"/>
    <cellStyle name="Normal 2 3 3 2 2 2 6 3" xfId="15778"/>
    <cellStyle name="Normal 2 3 3 2 2 2 7" xfId="12422"/>
    <cellStyle name="Normal 2 3 3 2 2 2 8" xfId="15759"/>
    <cellStyle name="Normal 2 3 3 2 2 3" xfId="8829"/>
    <cellStyle name="Normal 2 3 3 2 2 3 2" xfId="8957"/>
    <cellStyle name="Normal 2 3 3 2 2 3 2 2" xfId="9213"/>
    <cellStyle name="Normal 2 3 3 2 2 3 2 2 2" xfId="9781"/>
    <cellStyle name="Normal 2 3 3 2 2 3 2 2 2 2" xfId="10835"/>
    <cellStyle name="Normal 2 3 3 2 2 3 2 2 2 2 2" xfId="14429"/>
    <cellStyle name="Normal 2 3 3 2 2 3 2 2 2 2 3" xfId="15783"/>
    <cellStyle name="Normal 2 3 3 2 2 3 2 2 2 3" xfId="13376"/>
    <cellStyle name="Normal 2 3 3 2 2 3 2 2 2 4" xfId="15782"/>
    <cellStyle name="Normal 2 3 3 2 2 3 2 2 3" xfId="10297"/>
    <cellStyle name="Normal 2 3 3 2 2 3 2 2 3 2" xfId="13891"/>
    <cellStyle name="Normal 2 3 3 2 2 3 2 2 3 3" xfId="15784"/>
    <cellStyle name="Normal 2 3 3 2 2 3 2 2 4" xfId="11017"/>
    <cellStyle name="Normal 2 3 3 2 2 3 2 2 4 2" xfId="14610"/>
    <cellStyle name="Normal 2 3 3 2 2 3 2 2 4 3" xfId="15785"/>
    <cellStyle name="Normal 2 3 3 2 2 3 2 2 5" xfId="12838"/>
    <cellStyle name="Normal 2 3 3 2 2 3 2 2 6" xfId="15781"/>
    <cellStyle name="Normal 2 3 3 2 2 3 2 3" xfId="9525"/>
    <cellStyle name="Normal 2 3 3 2 2 3 2 3 2" xfId="10579"/>
    <cellStyle name="Normal 2 3 3 2 2 3 2 3 2 2" xfId="14173"/>
    <cellStyle name="Normal 2 3 3 2 2 3 2 3 2 3" xfId="15787"/>
    <cellStyle name="Normal 2 3 3 2 2 3 2 3 3" xfId="13120"/>
    <cellStyle name="Normal 2 3 3 2 2 3 2 3 4" xfId="15786"/>
    <cellStyle name="Normal 2 3 3 2 2 3 2 4" xfId="10041"/>
    <cellStyle name="Normal 2 3 3 2 2 3 2 4 2" xfId="13635"/>
    <cellStyle name="Normal 2 3 3 2 2 3 2 4 3" xfId="15788"/>
    <cellStyle name="Normal 2 3 3 2 2 3 2 5" xfId="11016"/>
    <cellStyle name="Normal 2 3 3 2 2 3 2 5 2" xfId="14609"/>
    <cellStyle name="Normal 2 3 3 2 2 3 2 5 3" xfId="15789"/>
    <cellStyle name="Normal 2 3 3 2 2 3 2 6" xfId="12582"/>
    <cellStyle name="Normal 2 3 3 2 2 3 2 7" xfId="15780"/>
    <cellStyle name="Normal 2 3 3 2 2 3 3" xfId="9085"/>
    <cellStyle name="Normal 2 3 3 2 2 3 3 2" xfId="9653"/>
    <cellStyle name="Normal 2 3 3 2 2 3 3 2 2" xfId="10707"/>
    <cellStyle name="Normal 2 3 3 2 2 3 3 2 2 2" xfId="14301"/>
    <cellStyle name="Normal 2 3 3 2 2 3 3 2 2 3" xfId="15792"/>
    <cellStyle name="Normal 2 3 3 2 2 3 3 2 3" xfId="13248"/>
    <cellStyle name="Normal 2 3 3 2 2 3 3 2 4" xfId="15791"/>
    <cellStyle name="Normal 2 3 3 2 2 3 3 3" xfId="10169"/>
    <cellStyle name="Normal 2 3 3 2 2 3 3 3 2" xfId="13763"/>
    <cellStyle name="Normal 2 3 3 2 2 3 3 3 3" xfId="15793"/>
    <cellStyle name="Normal 2 3 3 2 2 3 3 4" xfId="11018"/>
    <cellStyle name="Normal 2 3 3 2 2 3 3 4 2" xfId="14611"/>
    <cellStyle name="Normal 2 3 3 2 2 3 3 4 3" xfId="15794"/>
    <cellStyle name="Normal 2 3 3 2 2 3 3 5" xfId="12710"/>
    <cellStyle name="Normal 2 3 3 2 2 3 3 6" xfId="15790"/>
    <cellStyle name="Normal 2 3 3 2 2 3 4" xfId="9397"/>
    <cellStyle name="Normal 2 3 3 2 2 3 4 2" xfId="10451"/>
    <cellStyle name="Normal 2 3 3 2 2 3 4 2 2" xfId="14045"/>
    <cellStyle name="Normal 2 3 3 2 2 3 4 2 3" xfId="15796"/>
    <cellStyle name="Normal 2 3 3 2 2 3 4 3" xfId="12992"/>
    <cellStyle name="Normal 2 3 3 2 2 3 4 4" xfId="15795"/>
    <cellStyle name="Normal 2 3 3 2 2 3 5" xfId="9913"/>
    <cellStyle name="Normal 2 3 3 2 2 3 5 2" xfId="13507"/>
    <cellStyle name="Normal 2 3 3 2 2 3 5 3" xfId="15797"/>
    <cellStyle name="Normal 2 3 3 2 2 3 6" xfId="11015"/>
    <cellStyle name="Normal 2 3 3 2 2 3 6 2" xfId="14608"/>
    <cellStyle name="Normal 2 3 3 2 2 3 6 3" xfId="15798"/>
    <cellStyle name="Normal 2 3 3 2 2 3 7" xfId="12454"/>
    <cellStyle name="Normal 2 3 3 2 2 3 8" xfId="15779"/>
    <cellStyle name="Normal 2 3 3 2 2 4" xfId="8861"/>
    <cellStyle name="Normal 2 3 3 2 2 4 2" xfId="8989"/>
    <cellStyle name="Normal 2 3 3 2 2 4 2 2" xfId="9245"/>
    <cellStyle name="Normal 2 3 3 2 2 4 2 2 2" xfId="9813"/>
    <cellStyle name="Normal 2 3 3 2 2 4 2 2 2 2" xfId="10867"/>
    <cellStyle name="Normal 2 3 3 2 2 4 2 2 2 2 2" xfId="14461"/>
    <cellStyle name="Normal 2 3 3 2 2 4 2 2 2 2 3" xfId="15803"/>
    <cellStyle name="Normal 2 3 3 2 2 4 2 2 2 3" xfId="13408"/>
    <cellStyle name="Normal 2 3 3 2 2 4 2 2 2 4" xfId="15802"/>
    <cellStyle name="Normal 2 3 3 2 2 4 2 2 3" xfId="10329"/>
    <cellStyle name="Normal 2 3 3 2 2 4 2 2 3 2" xfId="13923"/>
    <cellStyle name="Normal 2 3 3 2 2 4 2 2 3 3" xfId="15804"/>
    <cellStyle name="Normal 2 3 3 2 2 4 2 2 4" xfId="11021"/>
    <cellStyle name="Normal 2 3 3 2 2 4 2 2 4 2" xfId="14614"/>
    <cellStyle name="Normal 2 3 3 2 2 4 2 2 4 3" xfId="15805"/>
    <cellStyle name="Normal 2 3 3 2 2 4 2 2 5" xfId="12870"/>
    <cellStyle name="Normal 2 3 3 2 2 4 2 2 6" xfId="15801"/>
    <cellStyle name="Normal 2 3 3 2 2 4 2 3" xfId="9557"/>
    <cellStyle name="Normal 2 3 3 2 2 4 2 3 2" xfId="10611"/>
    <cellStyle name="Normal 2 3 3 2 2 4 2 3 2 2" xfId="14205"/>
    <cellStyle name="Normal 2 3 3 2 2 4 2 3 2 3" xfId="15807"/>
    <cellStyle name="Normal 2 3 3 2 2 4 2 3 3" xfId="13152"/>
    <cellStyle name="Normal 2 3 3 2 2 4 2 3 4" xfId="15806"/>
    <cellStyle name="Normal 2 3 3 2 2 4 2 4" xfId="10073"/>
    <cellStyle name="Normal 2 3 3 2 2 4 2 4 2" xfId="13667"/>
    <cellStyle name="Normal 2 3 3 2 2 4 2 4 3" xfId="15808"/>
    <cellStyle name="Normal 2 3 3 2 2 4 2 5" xfId="11020"/>
    <cellStyle name="Normal 2 3 3 2 2 4 2 5 2" xfId="14613"/>
    <cellStyle name="Normal 2 3 3 2 2 4 2 5 3" xfId="15809"/>
    <cellStyle name="Normal 2 3 3 2 2 4 2 6" xfId="12614"/>
    <cellStyle name="Normal 2 3 3 2 2 4 2 7" xfId="15800"/>
    <cellStyle name="Normal 2 3 3 2 2 4 3" xfId="9117"/>
    <cellStyle name="Normal 2 3 3 2 2 4 3 2" xfId="9685"/>
    <cellStyle name="Normal 2 3 3 2 2 4 3 2 2" xfId="10739"/>
    <cellStyle name="Normal 2 3 3 2 2 4 3 2 2 2" xfId="14333"/>
    <cellStyle name="Normal 2 3 3 2 2 4 3 2 2 3" xfId="15812"/>
    <cellStyle name="Normal 2 3 3 2 2 4 3 2 3" xfId="13280"/>
    <cellStyle name="Normal 2 3 3 2 2 4 3 2 4" xfId="15811"/>
    <cellStyle name="Normal 2 3 3 2 2 4 3 3" xfId="10201"/>
    <cellStyle name="Normal 2 3 3 2 2 4 3 3 2" xfId="13795"/>
    <cellStyle name="Normal 2 3 3 2 2 4 3 3 3" xfId="15813"/>
    <cellStyle name="Normal 2 3 3 2 2 4 3 4" xfId="11022"/>
    <cellStyle name="Normal 2 3 3 2 2 4 3 4 2" xfId="14615"/>
    <cellStyle name="Normal 2 3 3 2 2 4 3 4 3" xfId="15814"/>
    <cellStyle name="Normal 2 3 3 2 2 4 3 5" xfId="12742"/>
    <cellStyle name="Normal 2 3 3 2 2 4 3 6" xfId="15810"/>
    <cellStyle name="Normal 2 3 3 2 2 4 4" xfId="9429"/>
    <cellStyle name="Normal 2 3 3 2 2 4 4 2" xfId="10483"/>
    <cellStyle name="Normal 2 3 3 2 2 4 4 2 2" xfId="14077"/>
    <cellStyle name="Normal 2 3 3 2 2 4 4 2 3" xfId="15816"/>
    <cellStyle name="Normal 2 3 3 2 2 4 4 3" xfId="13024"/>
    <cellStyle name="Normal 2 3 3 2 2 4 4 4" xfId="15815"/>
    <cellStyle name="Normal 2 3 3 2 2 4 5" xfId="9945"/>
    <cellStyle name="Normal 2 3 3 2 2 4 5 2" xfId="13539"/>
    <cellStyle name="Normal 2 3 3 2 2 4 5 3" xfId="15817"/>
    <cellStyle name="Normal 2 3 3 2 2 4 6" xfId="11019"/>
    <cellStyle name="Normal 2 3 3 2 2 4 6 2" xfId="14612"/>
    <cellStyle name="Normal 2 3 3 2 2 4 6 3" xfId="15818"/>
    <cellStyle name="Normal 2 3 3 2 2 4 7" xfId="12486"/>
    <cellStyle name="Normal 2 3 3 2 2 4 8" xfId="15799"/>
    <cellStyle name="Normal 2 3 3 2 2 5" xfId="8876"/>
    <cellStyle name="Normal 2 3 3 2 2 5 2" xfId="9132"/>
    <cellStyle name="Normal 2 3 3 2 2 5 2 2" xfId="9700"/>
    <cellStyle name="Normal 2 3 3 2 2 5 2 2 2" xfId="10754"/>
    <cellStyle name="Normal 2 3 3 2 2 5 2 2 2 2" xfId="14348"/>
    <cellStyle name="Normal 2 3 3 2 2 5 2 2 2 3" xfId="15822"/>
    <cellStyle name="Normal 2 3 3 2 2 5 2 2 3" xfId="13295"/>
    <cellStyle name="Normal 2 3 3 2 2 5 2 2 4" xfId="15821"/>
    <cellStyle name="Normal 2 3 3 2 2 5 2 3" xfId="10216"/>
    <cellStyle name="Normal 2 3 3 2 2 5 2 3 2" xfId="13810"/>
    <cellStyle name="Normal 2 3 3 2 2 5 2 3 3" xfId="15823"/>
    <cellStyle name="Normal 2 3 3 2 2 5 2 4" xfId="11024"/>
    <cellStyle name="Normal 2 3 3 2 2 5 2 4 2" xfId="14617"/>
    <cellStyle name="Normal 2 3 3 2 2 5 2 4 3" xfId="15824"/>
    <cellStyle name="Normal 2 3 3 2 2 5 2 5" xfId="12757"/>
    <cellStyle name="Normal 2 3 3 2 2 5 2 6" xfId="15820"/>
    <cellStyle name="Normal 2 3 3 2 2 5 3" xfId="9444"/>
    <cellStyle name="Normal 2 3 3 2 2 5 3 2" xfId="10498"/>
    <cellStyle name="Normal 2 3 3 2 2 5 3 2 2" xfId="14092"/>
    <cellStyle name="Normal 2 3 3 2 2 5 3 2 3" xfId="15826"/>
    <cellStyle name="Normal 2 3 3 2 2 5 3 3" xfId="13039"/>
    <cellStyle name="Normal 2 3 3 2 2 5 3 4" xfId="15825"/>
    <cellStyle name="Normal 2 3 3 2 2 5 4" xfId="9960"/>
    <cellStyle name="Normal 2 3 3 2 2 5 4 2" xfId="13554"/>
    <cellStyle name="Normal 2 3 3 2 2 5 4 3" xfId="15827"/>
    <cellStyle name="Normal 2 3 3 2 2 5 5" xfId="11023"/>
    <cellStyle name="Normal 2 3 3 2 2 5 5 2" xfId="14616"/>
    <cellStyle name="Normal 2 3 3 2 2 5 5 3" xfId="15828"/>
    <cellStyle name="Normal 2 3 3 2 2 5 6" xfId="12501"/>
    <cellStyle name="Normal 2 3 3 2 2 5 7" xfId="15819"/>
    <cellStyle name="Normal 2 3 3 2 2 6" xfId="9004"/>
    <cellStyle name="Normal 2 3 3 2 2 6 2" xfId="9572"/>
    <cellStyle name="Normal 2 3 3 2 2 6 2 2" xfId="10626"/>
    <cellStyle name="Normal 2 3 3 2 2 6 2 2 2" xfId="14220"/>
    <cellStyle name="Normal 2 3 3 2 2 6 2 2 3" xfId="15831"/>
    <cellStyle name="Normal 2 3 3 2 2 6 2 3" xfId="13167"/>
    <cellStyle name="Normal 2 3 3 2 2 6 2 4" xfId="15830"/>
    <cellStyle name="Normal 2 3 3 2 2 6 3" xfId="10088"/>
    <cellStyle name="Normal 2 3 3 2 2 6 3 2" xfId="13682"/>
    <cellStyle name="Normal 2 3 3 2 2 6 3 3" xfId="15832"/>
    <cellStyle name="Normal 2 3 3 2 2 6 4" xfId="11025"/>
    <cellStyle name="Normal 2 3 3 2 2 6 4 2" xfId="14618"/>
    <cellStyle name="Normal 2 3 3 2 2 6 4 3" xfId="15833"/>
    <cellStyle name="Normal 2 3 3 2 2 6 5" xfId="12629"/>
    <cellStyle name="Normal 2 3 3 2 2 6 6" xfId="15829"/>
    <cellStyle name="Normal 2 3 3 2 2 7" xfId="9316"/>
    <cellStyle name="Normal 2 3 3 2 2 7 2" xfId="10370"/>
    <cellStyle name="Normal 2 3 3 2 2 7 2 2" xfId="13964"/>
    <cellStyle name="Normal 2 3 3 2 2 7 2 3" xfId="15835"/>
    <cellStyle name="Normal 2 3 3 2 2 7 3" xfId="12911"/>
    <cellStyle name="Normal 2 3 3 2 2 7 4" xfId="15834"/>
    <cellStyle name="Normal 2 3 3 2 2 8" xfId="9832"/>
    <cellStyle name="Normal 2 3 3 2 2 8 2" xfId="13426"/>
    <cellStyle name="Normal 2 3 3 2 2 8 3" xfId="15836"/>
    <cellStyle name="Normal 2 3 3 2 2 9" xfId="11010"/>
    <cellStyle name="Normal 2 3 3 2 2 9 2" xfId="14603"/>
    <cellStyle name="Normal 2 3 3 2 2 9 3" xfId="15837"/>
    <cellStyle name="Normal 2 3 3 2 3" xfId="8781"/>
    <cellStyle name="Normal 2 3 3 2 3 2" xfId="8909"/>
    <cellStyle name="Normal 2 3 3 2 3 2 2" xfId="9165"/>
    <cellStyle name="Normal 2 3 3 2 3 2 2 2" xfId="9733"/>
    <cellStyle name="Normal 2 3 3 2 3 2 2 2 2" xfId="10787"/>
    <cellStyle name="Normal 2 3 3 2 3 2 2 2 2 2" xfId="14381"/>
    <cellStyle name="Normal 2 3 3 2 3 2 2 2 2 3" xfId="15842"/>
    <cellStyle name="Normal 2 3 3 2 3 2 2 2 3" xfId="13328"/>
    <cellStyle name="Normal 2 3 3 2 3 2 2 2 4" xfId="15841"/>
    <cellStyle name="Normal 2 3 3 2 3 2 2 3" xfId="10249"/>
    <cellStyle name="Normal 2 3 3 2 3 2 2 3 2" xfId="13843"/>
    <cellStyle name="Normal 2 3 3 2 3 2 2 3 3" xfId="15843"/>
    <cellStyle name="Normal 2 3 3 2 3 2 2 4" xfId="11028"/>
    <cellStyle name="Normal 2 3 3 2 3 2 2 4 2" xfId="14621"/>
    <cellStyle name="Normal 2 3 3 2 3 2 2 4 3" xfId="15844"/>
    <cellStyle name="Normal 2 3 3 2 3 2 2 5" xfId="12790"/>
    <cellStyle name="Normal 2 3 3 2 3 2 2 6" xfId="15840"/>
    <cellStyle name="Normal 2 3 3 2 3 2 3" xfId="9477"/>
    <cellStyle name="Normal 2 3 3 2 3 2 3 2" xfId="10531"/>
    <cellStyle name="Normal 2 3 3 2 3 2 3 2 2" xfId="14125"/>
    <cellStyle name="Normal 2 3 3 2 3 2 3 2 3" xfId="15846"/>
    <cellStyle name="Normal 2 3 3 2 3 2 3 3" xfId="13072"/>
    <cellStyle name="Normal 2 3 3 2 3 2 3 4" xfId="15845"/>
    <cellStyle name="Normal 2 3 3 2 3 2 4" xfId="9993"/>
    <cellStyle name="Normal 2 3 3 2 3 2 4 2" xfId="13587"/>
    <cellStyle name="Normal 2 3 3 2 3 2 4 3" xfId="15847"/>
    <cellStyle name="Normal 2 3 3 2 3 2 5" xfId="11027"/>
    <cellStyle name="Normal 2 3 3 2 3 2 5 2" xfId="14620"/>
    <cellStyle name="Normal 2 3 3 2 3 2 5 3" xfId="15848"/>
    <cellStyle name="Normal 2 3 3 2 3 2 6" xfId="12534"/>
    <cellStyle name="Normal 2 3 3 2 3 2 7" xfId="15839"/>
    <cellStyle name="Normal 2 3 3 2 3 3" xfId="9037"/>
    <cellStyle name="Normal 2 3 3 2 3 3 2" xfId="9605"/>
    <cellStyle name="Normal 2 3 3 2 3 3 2 2" xfId="10659"/>
    <cellStyle name="Normal 2 3 3 2 3 3 2 2 2" xfId="14253"/>
    <cellStyle name="Normal 2 3 3 2 3 3 2 2 3" xfId="15851"/>
    <cellStyle name="Normal 2 3 3 2 3 3 2 3" xfId="13200"/>
    <cellStyle name="Normal 2 3 3 2 3 3 2 4" xfId="15850"/>
    <cellStyle name="Normal 2 3 3 2 3 3 3" xfId="10121"/>
    <cellStyle name="Normal 2 3 3 2 3 3 3 2" xfId="13715"/>
    <cellStyle name="Normal 2 3 3 2 3 3 3 3" xfId="15852"/>
    <cellStyle name="Normal 2 3 3 2 3 3 4" xfId="11029"/>
    <cellStyle name="Normal 2 3 3 2 3 3 4 2" xfId="14622"/>
    <cellStyle name="Normal 2 3 3 2 3 3 4 3" xfId="15853"/>
    <cellStyle name="Normal 2 3 3 2 3 3 5" xfId="12662"/>
    <cellStyle name="Normal 2 3 3 2 3 3 6" xfId="15849"/>
    <cellStyle name="Normal 2 3 3 2 3 4" xfId="9349"/>
    <cellStyle name="Normal 2 3 3 2 3 4 2" xfId="10403"/>
    <cellStyle name="Normal 2 3 3 2 3 4 2 2" xfId="13997"/>
    <cellStyle name="Normal 2 3 3 2 3 4 2 3" xfId="15855"/>
    <cellStyle name="Normal 2 3 3 2 3 4 3" xfId="12944"/>
    <cellStyle name="Normal 2 3 3 2 3 4 4" xfId="15854"/>
    <cellStyle name="Normal 2 3 3 2 3 5" xfId="9865"/>
    <cellStyle name="Normal 2 3 3 2 3 5 2" xfId="13459"/>
    <cellStyle name="Normal 2 3 3 2 3 5 3" xfId="15856"/>
    <cellStyle name="Normal 2 3 3 2 3 6" xfId="11026"/>
    <cellStyle name="Normal 2 3 3 2 3 6 2" xfId="14619"/>
    <cellStyle name="Normal 2 3 3 2 3 6 3" xfId="15857"/>
    <cellStyle name="Normal 2 3 3 2 3 7" xfId="12406"/>
    <cellStyle name="Normal 2 3 3 2 3 8" xfId="15838"/>
    <cellStyle name="Normal 2 3 3 2 4" xfId="8813"/>
    <cellStyle name="Normal 2 3 3 2 4 2" xfId="8941"/>
    <cellStyle name="Normal 2 3 3 2 4 2 2" xfId="9197"/>
    <cellStyle name="Normal 2 3 3 2 4 2 2 2" xfId="9765"/>
    <cellStyle name="Normal 2 3 3 2 4 2 2 2 2" xfId="10819"/>
    <cellStyle name="Normal 2 3 3 2 4 2 2 2 2 2" xfId="14413"/>
    <cellStyle name="Normal 2 3 3 2 4 2 2 2 2 3" xfId="15862"/>
    <cellStyle name="Normal 2 3 3 2 4 2 2 2 3" xfId="13360"/>
    <cellStyle name="Normal 2 3 3 2 4 2 2 2 4" xfId="15861"/>
    <cellStyle name="Normal 2 3 3 2 4 2 2 3" xfId="10281"/>
    <cellStyle name="Normal 2 3 3 2 4 2 2 3 2" xfId="13875"/>
    <cellStyle name="Normal 2 3 3 2 4 2 2 3 3" xfId="15863"/>
    <cellStyle name="Normal 2 3 3 2 4 2 2 4" xfId="11032"/>
    <cellStyle name="Normal 2 3 3 2 4 2 2 4 2" xfId="14625"/>
    <cellStyle name="Normal 2 3 3 2 4 2 2 4 3" xfId="15864"/>
    <cellStyle name="Normal 2 3 3 2 4 2 2 5" xfId="12822"/>
    <cellStyle name="Normal 2 3 3 2 4 2 2 6" xfId="15860"/>
    <cellStyle name="Normal 2 3 3 2 4 2 3" xfId="9509"/>
    <cellStyle name="Normal 2 3 3 2 4 2 3 2" xfId="10563"/>
    <cellStyle name="Normal 2 3 3 2 4 2 3 2 2" xfId="14157"/>
    <cellStyle name="Normal 2 3 3 2 4 2 3 2 3" xfId="15866"/>
    <cellStyle name="Normal 2 3 3 2 4 2 3 3" xfId="13104"/>
    <cellStyle name="Normal 2 3 3 2 4 2 3 4" xfId="15865"/>
    <cellStyle name="Normal 2 3 3 2 4 2 4" xfId="10025"/>
    <cellStyle name="Normal 2 3 3 2 4 2 4 2" xfId="13619"/>
    <cellStyle name="Normal 2 3 3 2 4 2 4 3" xfId="15867"/>
    <cellStyle name="Normal 2 3 3 2 4 2 5" xfId="11031"/>
    <cellStyle name="Normal 2 3 3 2 4 2 5 2" xfId="14624"/>
    <cellStyle name="Normal 2 3 3 2 4 2 5 3" xfId="15868"/>
    <cellStyle name="Normal 2 3 3 2 4 2 6" xfId="12566"/>
    <cellStyle name="Normal 2 3 3 2 4 2 7" xfId="15859"/>
    <cellStyle name="Normal 2 3 3 2 4 3" xfId="9069"/>
    <cellStyle name="Normal 2 3 3 2 4 3 2" xfId="9637"/>
    <cellStyle name="Normal 2 3 3 2 4 3 2 2" xfId="10691"/>
    <cellStyle name="Normal 2 3 3 2 4 3 2 2 2" xfId="14285"/>
    <cellStyle name="Normal 2 3 3 2 4 3 2 2 3" xfId="15871"/>
    <cellStyle name="Normal 2 3 3 2 4 3 2 3" xfId="13232"/>
    <cellStyle name="Normal 2 3 3 2 4 3 2 4" xfId="15870"/>
    <cellStyle name="Normal 2 3 3 2 4 3 3" xfId="10153"/>
    <cellStyle name="Normal 2 3 3 2 4 3 3 2" xfId="13747"/>
    <cellStyle name="Normal 2 3 3 2 4 3 3 3" xfId="15872"/>
    <cellStyle name="Normal 2 3 3 2 4 3 4" xfId="11033"/>
    <cellStyle name="Normal 2 3 3 2 4 3 4 2" xfId="14626"/>
    <cellStyle name="Normal 2 3 3 2 4 3 4 3" xfId="15873"/>
    <cellStyle name="Normal 2 3 3 2 4 3 5" xfId="12694"/>
    <cellStyle name="Normal 2 3 3 2 4 3 6" xfId="15869"/>
    <cellStyle name="Normal 2 3 3 2 4 4" xfId="9381"/>
    <cellStyle name="Normal 2 3 3 2 4 4 2" xfId="10435"/>
    <cellStyle name="Normal 2 3 3 2 4 4 2 2" xfId="14029"/>
    <cellStyle name="Normal 2 3 3 2 4 4 2 3" xfId="15875"/>
    <cellStyle name="Normal 2 3 3 2 4 4 3" xfId="12976"/>
    <cellStyle name="Normal 2 3 3 2 4 4 4" xfId="15874"/>
    <cellStyle name="Normal 2 3 3 2 4 5" xfId="9897"/>
    <cellStyle name="Normal 2 3 3 2 4 5 2" xfId="13491"/>
    <cellStyle name="Normal 2 3 3 2 4 5 3" xfId="15876"/>
    <cellStyle name="Normal 2 3 3 2 4 6" xfId="11030"/>
    <cellStyle name="Normal 2 3 3 2 4 6 2" xfId="14623"/>
    <cellStyle name="Normal 2 3 3 2 4 6 3" xfId="15877"/>
    <cellStyle name="Normal 2 3 3 2 4 7" xfId="12438"/>
    <cellStyle name="Normal 2 3 3 2 4 8" xfId="15858"/>
    <cellStyle name="Normal 2 3 3 2 5" xfId="8845"/>
    <cellStyle name="Normal 2 3 3 2 5 2" xfId="8973"/>
    <cellStyle name="Normal 2 3 3 2 5 2 2" xfId="9229"/>
    <cellStyle name="Normal 2 3 3 2 5 2 2 2" xfId="9797"/>
    <cellStyle name="Normal 2 3 3 2 5 2 2 2 2" xfId="10851"/>
    <cellStyle name="Normal 2 3 3 2 5 2 2 2 2 2" xfId="14445"/>
    <cellStyle name="Normal 2 3 3 2 5 2 2 2 2 3" xfId="15882"/>
    <cellStyle name="Normal 2 3 3 2 5 2 2 2 3" xfId="13392"/>
    <cellStyle name="Normal 2 3 3 2 5 2 2 2 4" xfId="15881"/>
    <cellStyle name="Normal 2 3 3 2 5 2 2 3" xfId="10313"/>
    <cellStyle name="Normal 2 3 3 2 5 2 2 3 2" xfId="13907"/>
    <cellStyle name="Normal 2 3 3 2 5 2 2 3 3" xfId="15883"/>
    <cellStyle name="Normal 2 3 3 2 5 2 2 4" xfId="11036"/>
    <cellStyle name="Normal 2 3 3 2 5 2 2 4 2" xfId="14629"/>
    <cellStyle name="Normal 2 3 3 2 5 2 2 4 3" xfId="15884"/>
    <cellStyle name="Normal 2 3 3 2 5 2 2 5" xfId="12854"/>
    <cellStyle name="Normal 2 3 3 2 5 2 2 6" xfId="15880"/>
    <cellStyle name="Normal 2 3 3 2 5 2 3" xfId="9541"/>
    <cellStyle name="Normal 2 3 3 2 5 2 3 2" xfId="10595"/>
    <cellStyle name="Normal 2 3 3 2 5 2 3 2 2" xfId="14189"/>
    <cellStyle name="Normal 2 3 3 2 5 2 3 2 3" xfId="15886"/>
    <cellStyle name="Normal 2 3 3 2 5 2 3 3" xfId="13136"/>
    <cellStyle name="Normal 2 3 3 2 5 2 3 4" xfId="15885"/>
    <cellStyle name="Normal 2 3 3 2 5 2 4" xfId="10057"/>
    <cellStyle name="Normal 2 3 3 2 5 2 4 2" xfId="13651"/>
    <cellStyle name="Normal 2 3 3 2 5 2 4 3" xfId="15887"/>
    <cellStyle name="Normal 2 3 3 2 5 2 5" xfId="11035"/>
    <cellStyle name="Normal 2 3 3 2 5 2 5 2" xfId="14628"/>
    <cellStyle name="Normal 2 3 3 2 5 2 5 3" xfId="15888"/>
    <cellStyle name="Normal 2 3 3 2 5 2 6" xfId="12598"/>
    <cellStyle name="Normal 2 3 3 2 5 2 7" xfId="15879"/>
    <cellStyle name="Normal 2 3 3 2 5 3" xfId="9101"/>
    <cellStyle name="Normal 2 3 3 2 5 3 2" xfId="9669"/>
    <cellStyle name="Normal 2 3 3 2 5 3 2 2" xfId="10723"/>
    <cellStyle name="Normal 2 3 3 2 5 3 2 2 2" xfId="14317"/>
    <cellStyle name="Normal 2 3 3 2 5 3 2 2 3" xfId="15891"/>
    <cellStyle name="Normal 2 3 3 2 5 3 2 3" xfId="13264"/>
    <cellStyle name="Normal 2 3 3 2 5 3 2 4" xfId="15890"/>
    <cellStyle name="Normal 2 3 3 2 5 3 3" xfId="10185"/>
    <cellStyle name="Normal 2 3 3 2 5 3 3 2" xfId="13779"/>
    <cellStyle name="Normal 2 3 3 2 5 3 3 3" xfId="15892"/>
    <cellStyle name="Normal 2 3 3 2 5 3 4" xfId="11037"/>
    <cellStyle name="Normal 2 3 3 2 5 3 4 2" xfId="14630"/>
    <cellStyle name="Normal 2 3 3 2 5 3 4 3" xfId="15893"/>
    <cellStyle name="Normal 2 3 3 2 5 3 5" xfId="12726"/>
    <cellStyle name="Normal 2 3 3 2 5 3 6" xfId="15889"/>
    <cellStyle name="Normal 2 3 3 2 5 4" xfId="9413"/>
    <cellStyle name="Normal 2 3 3 2 5 4 2" xfId="10467"/>
    <cellStyle name="Normal 2 3 3 2 5 4 2 2" xfId="14061"/>
    <cellStyle name="Normal 2 3 3 2 5 4 2 3" xfId="15895"/>
    <cellStyle name="Normal 2 3 3 2 5 4 3" xfId="13008"/>
    <cellStyle name="Normal 2 3 3 2 5 4 4" xfId="15894"/>
    <cellStyle name="Normal 2 3 3 2 5 5" xfId="9929"/>
    <cellStyle name="Normal 2 3 3 2 5 5 2" xfId="13523"/>
    <cellStyle name="Normal 2 3 3 2 5 5 3" xfId="15896"/>
    <cellStyle name="Normal 2 3 3 2 5 6" xfId="11034"/>
    <cellStyle name="Normal 2 3 3 2 5 6 2" xfId="14627"/>
    <cellStyle name="Normal 2 3 3 2 5 6 3" xfId="15897"/>
    <cellStyle name="Normal 2 3 3 2 5 7" xfId="12470"/>
    <cellStyle name="Normal 2 3 3 2 5 8" xfId="15878"/>
    <cellStyle name="Normal 2 3 3 2 6" xfId="8875"/>
    <cellStyle name="Normal 2 3 3 2 6 2" xfId="9131"/>
    <cellStyle name="Normal 2 3 3 2 6 2 2" xfId="9699"/>
    <cellStyle name="Normal 2 3 3 2 6 2 2 2" xfId="10753"/>
    <cellStyle name="Normal 2 3 3 2 6 2 2 2 2" xfId="14347"/>
    <cellStyle name="Normal 2 3 3 2 6 2 2 2 3" xfId="15901"/>
    <cellStyle name="Normal 2 3 3 2 6 2 2 3" xfId="13294"/>
    <cellStyle name="Normal 2 3 3 2 6 2 2 4" xfId="15900"/>
    <cellStyle name="Normal 2 3 3 2 6 2 3" xfId="10215"/>
    <cellStyle name="Normal 2 3 3 2 6 2 3 2" xfId="13809"/>
    <cellStyle name="Normal 2 3 3 2 6 2 3 3" xfId="15902"/>
    <cellStyle name="Normal 2 3 3 2 6 2 4" xfId="11039"/>
    <cellStyle name="Normal 2 3 3 2 6 2 4 2" xfId="14632"/>
    <cellStyle name="Normal 2 3 3 2 6 2 4 3" xfId="15903"/>
    <cellStyle name="Normal 2 3 3 2 6 2 5" xfId="12756"/>
    <cellStyle name="Normal 2 3 3 2 6 2 6" xfId="15899"/>
    <cellStyle name="Normal 2 3 3 2 6 3" xfId="9443"/>
    <cellStyle name="Normal 2 3 3 2 6 3 2" xfId="10497"/>
    <cellStyle name="Normal 2 3 3 2 6 3 2 2" xfId="14091"/>
    <cellStyle name="Normal 2 3 3 2 6 3 2 3" xfId="15905"/>
    <cellStyle name="Normal 2 3 3 2 6 3 3" xfId="13038"/>
    <cellStyle name="Normal 2 3 3 2 6 3 4" xfId="15904"/>
    <cellStyle name="Normal 2 3 3 2 6 4" xfId="9959"/>
    <cellStyle name="Normal 2 3 3 2 6 4 2" xfId="13553"/>
    <cellStyle name="Normal 2 3 3 2 6 4 3" xfId="15906"/>
    <cellStyle name="Normal 2 3 3 2 6 5" xfId="11038"/>
    <cellStyle name="Normal 2 3 3 2 6 5 2" xfId="14631"/>
    <cellStyle name="Normal 2 3 3 2 6 5 3" xfId="15907"/>
    <cellStyle name="Normal 2 3 3 2 6 6" xfId="12500"/>
    <cellStyle name="Normal 2 3 3 2 6 7" xfId="15898"/>
    <cellStyle name="Normal 2 3 3 2 7" xfId="9003"/>
    <cellStyle name="Normal 2 3 3 2 7 2" xfId="9571"/>
    <cellStyle name="Normal 2 3 3 2 7 2 2" xfId="10625"/>
    <cellStyle name="Normal 2 3 3 2 7 2 2 2" xfId="14219"/>
    <cellStyle name="Normal 2 3 3 2 7 2 2 3" xfId="15910"/>
    <cellStyle name="Normal 2 3 3 2 7 2 3" xfId="13166"/>
    <cellStyle name="Normal 2 3 3 2 7 2 4" xfId="15909"/>
    <cellStyle name="Normal 2 3 3 2 7 3" xfId="10087"/>
    <cellStyle name="Normal 2 3 3 2 7 3 2" xfId="13681"/>
    <cellStyle name="Normal 2 3 3 2 7 3 3" xfId="15911"/>
    <cellStyle name="Normal 2 3 3 2 7 4" xfId="11040"/>
    <cellStyle name="Normal 2 3 3 2 7 4 2" xfId="14633"/>
    <cellStyle name="Normal 2 3 3 2 7 4 3" xfId="15912"/>
    <cellStyle name="Normal 2 3 3 2 7 5" xfId="12628"/>
    <cellStyle name="Normal 2 3 3 2 7 6" xfId="15908"/>
    <cellStyle name="Normal 2 3 3 2 8" xfId="9315"/>
    <cellStyle name="Normal 2 3 3 2 8 2" xfId="10369"/>
    <cellStyle name="Normal 2 3 3 2 8 2 2" xfId="13963"/>
    <cellStyle name="Normal 2 3 3 2 8 2 3" xfId="15914"/>
    <cellStyle name="Normal 2 3 3 2 8 3" xfId="12910"/>
    <cellStyle name="Normal 2 3 3 2 8 4" xfId="15913"/>
    <cellStyle name="Normal 2 3 3 2 9" xfId="9831"/>
    <cellStyle name="Normal 2 3 3 2 9 2" xfId="13425"/>
    <cellStyle name="Normal 2 3 3 2 9 3" xfId="15915"/>
    <cellStyle name="Normal 2 3 3 3" xfId="1509"/>
    <cellStyle name="Normal 2 3 3 3 10" xfId="12349"/>
    <cellStyle name="Normal 2 3 3 3 11" xfId="15916"/>
    <cellStyle name="Normal 2 3 3 3 2" xfId="8789"/>
    <cellStyle name="Normal 2 3 3 3 2 2" xfId="8917"/>
    <cellStyle name="Normal 2 3 3 3 2 2 2" xfId="9173"/>
    <cellStyle name="Normal 2 3 3 3 2 2 2 2" xfId="9741"/>
    <cellStyle name="Normal 2 3 3 3 2 2 2 2 2" xfId="10795"/>
    <cellStyle name="Normal 2 3 3 3 2 2 2 2 2 2" xfId="14389"/>
    <cellStyle name="Normal 2 3 3 3 2 2 2 2 2 3" xfId="15921"/>
    <cellStyle name="Normal 2 3 3 3 2 2 2 2 3" xfId="13336"/>
    <cellStyle name="Normal 2 3 3 3 2 2 2 2 4" xfId="15920"/>
    <cellStyle name="Normal 2 3 3 3 2 2 2 3" xfId="10257"/>
    <cellStyle name="Normal 2 3 3 3 2 2 2 3 2" xfId="13851"/>
    <cellStyle name="Normal 2 3 3 3 2 2 2 3 3" xfId="15922"/>
    <cellStyle name="Normal 2 3 3 3 2 2 2 4" xfId="11044"/>
    <cellStyle name="Normal 2 3 3 3 2 2 2 4 2" xfId="14637"/>
    <cellStyle name="Normal 2 3 3 3 2 2 2 4 3" xfId="15923"/>
    <cellStyle name="Normal 2 3 3 3 2 2 2 5" xfId="12798"/>
    <cellStyle name="Normal 2 3 3 3 2 2 2 6" xfId="15919"/>
    <cellStyle name="Normal 2 3 3 3 2 2 3" xfId="9485"/>
    <cellStyle name="Normal 2 3 3 3 2 2 3 2" xfId="10539"/>
    <cellStyle name="Normal 2 3 3 3 2 2 3 2 2" xfId="14133"/>
    <cellStyle name="Normal 2 3 3 3 2 2 3 2 3" xfId="15925"/>
    <cellStyle name="Normal 2 3 3 3 2 2 3 3" xfId="13080"/>
    <cellStyle name="Normal 2 3 3 3 2 2 3 4" xfId="15924"/>
    <cellStyle name="Normal 2 3 3 3 2 2 4" xfId="10001"/>
    <cellStyle name="Normal 2 3 3 3 2 2 4 2" xfId="13595"/>
    <cellStyle name="Normal 2 3 3 3 2 2 4 3" xfId="15926"/>
    <cellStyle name="Normal 2 3 3 3 2 2 5" xfId="11043"/>
    <cellStyle name="Normal 2 3 3 3 2 2 5 2" xfId="14636"/>
    <cellStyle name="Normal 2 3 3 3 2 2 5 3" xfId="15927"/>
    <cellStyle name="Normal 2 3 3 3 2 2 6" xfId="12542"/>
    <cellStyle name="Normal 2 3 3 3 2 2 7" xfId="15918"/>
    <cellStyle name="Normal 2 3 3 3 2 3" xfId="9045"/>
    <cellStyle name="Normal 2 3 3 3 2 3 2" xfId="9613"/>
    <cellStyle name="Normal 2 3 3 3 2 3 2 2" xfId="10667"/>
    <cellStyle name="Normal 2 3 3 3 2 3 2 2 2" xfId="14261"/>
    <cellStyle name="Normal 2 3 3 3 2 3 2 2 3" xfId="15930"/>
    <cellStyle name="Normal 2 3 3 3 2 3 2 3" xfId="13208"/>
    <cellStyle name="Normal 2 3 3 3 2 3 2 4" xfId="15929"/>
    <cellStyle name="Normal 2 3 3 3 2 3 3" xfId="10129"/>
    <cellStyle name="Normal 2 3 3 3 2 3 3 2" xfId="13723"/>
    <cellStyle name="Normal 2 3 3 3 2 3 3 3" xfId="15931"/>
    <cellStyle name="Normal 2 3 3 3 2 3 4" xfId="11045"/>
    <cellStyle name="Normal 2 3 3 3 2 3 4 2" xfId="14638"/>
    <cellStyle name="Normal 2 3 3 3 2 3 4 3" xfId="15932"/>
    <cellStyle name="Normal 2 3 3 3 2 3 5" xfId="12670"/>
    <cellStyle name="Normal 2 3 3 3 2 3 6" xfId="15928"/>
    <cellStyle name="Normal 2 3 3 3 2 4" xfId="9357"/>
    <cellStyle name="Normal 2 3 3 3 2 4 2" xfId="10411"/>
    <cellStyle name="Normal 2 3 3 3 2 4 2 2" xfId="14005"/>
    <cellStyle name="Normal 2 3 3 3 2 4 2 3" xfId="15934"/>
    <cellStyle name="Normal 2 3 3 3 2 4 3" xfId="12952"/>
    <cellStyle name="Normal 2 3 3 3 2 4 4" xfId="15933"/>
    <cellStyle name="Normal 2 3 3 3 2 5" xfId="9873"/>
    <cellStyle name="Normal 2 3 3 3 2 5 2" xfId="13467"/>
    <cellStyle name="Normal 2 3 3 3 2 5 3" xfId="15935"/>
    <cellStyle name="Normal 2 3 3 3 2 6" xfId="11042"/>
    <cellStyle name="Normal 2 3 3 3 2 6 2" xfId="14635"/>
    <cellStyle name="Normal 2 3 3 3 2 6 3" xfId="15936"/>
    <cellStyle name="Normal 2 3 3 3 2 7" xfId="12414"/>
    <cellStyle name="Normal 2 3 3 3 2 8" xfId="15917"/>
    <cellStyle name="Normal 2 3 3 3 3" xfId="8821"/>
    <cellStyle name="Normal 2 3 3 3 3 2" xfId="8949"/>
    <cellStyle name="Normal 2 3 3 3 3 2 2" xfId="9205"/>
    <cellStyle name="Normal 2 3 3 3 3 2 2 2" xfId="9773"/>
    <cellStyle name="Normal 2 3 3 3 3 2 2 2 2" xfId="10827"/>
    <cellStyle name="Normal 2 3 3 3 3 2 2 2 2 2" xfId="14421"/>
    <cellStyle name="Normal 2 3 3 3 3 2 2 2 2 3" xfId="15941"/>
    <cellStyle name="Normal 2 3 3 3 3 2 2 2 3" xfId="13368"/>
    <cellStyle name="Normal 2 3 3 3 3 2 2 2 4" xfId="15940"/>
    <cellStyle name="Normal 2 3 3 3 3 2 2 3" xfId="10289"/>
    <cellStyle name="Normal 2 3 3 3 3 2 2 3 2" xfId="13883"/>
    <cellStyle name="Normal 2 3 3 3 3 2 2 3 3" xfId="15942"/>
    <cellStyle name="Normal 2 3 3 3 3 2 2 4" xfId="11048"/>
    <cellStyle name="Normal 2 3 3 3 3 2 2 4 2" xfId="14641"/>
    <cellStyle name="Normal 2 3 3 3 3 2 2 4 3" xfId="15943"/>
    <cellStyle name="Normal 2 3 3 3 3 2 2 5" xfId="12830"/>
    <cellStyle name="Normal 2 3 3 3 3 2 2 6" xfId="15939"/>
    <cellStyle name="Normal 2 3 3 3 3 2 3" xfId="9517"/>
    <cellStyle name="Normal 2 3 3 3 3 2 3 2" xfId="10571"/>
    <cellStyle name="Normal 2 3 3 3 3 2 3 2 2" xfId="14165"/>
    <cellStyle name="Normal 2 3 3 3 3 2 3 2 3" xfId="15945"/>
    <cellStyle name="Normal 2 3 3 3 3 2 3 3" xfId="13112"/>
    <cellStyle name="Normal 2 3 3 3 3 2 3 4" xfId="15944"/>
    <cellStyle name="Normal 2 3 3 3 3 2 4" xfId="10033"/>
    <cellStyle name="Normal 2 3 3 3 3 2 4 2" xfId="13627"/>
    <cellStyle name="Normal 2 3 3 3 3 2 4 3" xfId="15946"/>
    <cellStyle name="Normal 2 3 3 3 3 2 5" xfId="11047"/>
    <cellStyle name="Normal 2 3 3 3 3 2 5 2" xfId="14640"/>
    <cellStyle name="Normal 2 3 3 3 3 2 5 3" xfId="15947"/>
    <cellStyle name="Normal 2 3 3 3 3 2 6" xfId="12574"/>
    <cellStyle name="Normal 2 3 3 3 3 2 7" xfId="15938"/>
    <cellStyle name="Normal 2 3 3 3 3 3" xfId="9077"/>
    <cellStyle name="Normal 2 3 3 3 3 3 2" xfId="9645"/>
    <cellStyle name="Normal 2 3 3 3 3 3 2 2" xfId="10699"/>
    <cellStyle name="Normal 2 3 3 3 3 3 2 2 2" xfId="14293"/>
    <cellStyle name="Normal 2 3 3 3 3 3 2 2 3" xfId="15950"/>
    <cellStyle name="Normal 2 3 3 3 3 3 2 3" xfId="13240"/>
    <cellStyle name="Normal 2 3 3 3 3 3 2 4" xfId="15949"/>
    <cellStyle name="Normal 2 3 3 3 3 3 3" xfId="10161"/>
    <cellStyle name="Normal 2 3 3 3 3 3 3 2" xfId="13755"/>
    <cellStyle name="Normal 2 3 3 3 3 3 3 3" xfId="15951"/>
    <cellStyle name="Normal 2 3 3 3 3 3 4" xfId="11049"/>
    <cellStyle name="Normal 2 3 3 3 3 3 4 2" xfId="14642"/>
    <cellStyle name="Normal 2 3 3 3 3 3 4 3" xfId="15952"/>
    <cellStyle name="Normal 2 3 3 3 3 3 5" xfId="12702"/>
    <cellStyle name="Normal 2 3 3 3 3 3 6" xfId="15948"/>
    <cellStyle name="Normal 2 3 3 3 3 4" xfId="9389"/>
    <cellStyle name="Normal 2 3 3 3 3 4 2" xfId="10443"/>
    <cellStyle name="Normal 2 3 3 3 3 4 2 2" xfId="14037"/>
    <cellStyle name="Normal 2 3 3 3 3 4 2 3" xfId="15954"/>
    <cellStyle name="Normal 2 3 3 3 3 4 3" xfId="12984"/>
    <cellStyle name="Normal 2 3 3 3 3 4 4" xfId="15953"/>
    <cellStyle name="Normal 2 3 3 3 3 5" xfId="9905"/>
    <cellStyle name="Normal 2 3 3 3 3 5 2" xfId="13499"/>
    <cellStyle name="Normal 2 3 3 3 3 5 3" xfId="15955"/>
    <cellStyle name="Normal 2 3 3 3 3 6" xfId="11046"/>
    <cellStyle name="Normal 2 3 3 3 3 6 2" xfId="14639"/>
    <cellStyle name="Normal 2 3 3 3 3 6 3" xfId="15956"/>
    <cellStyle name="Normal 2 3 3 3 3 7" xfId="12446"/>
    <cellStyle name="Normal 2 3 3 3 3 8" xfId="15937"/>
    <cellStyle name="Normal 2 3 3 3 4" xfId="8853"/>
    <cellStyle name="Normal 2 3 3 3 4 2" xfId="8981"/>
    <cellStyle name="Normal 2 3 3 3 4 2 2" xfId="9237"/>
    <cellStyle name="Normal 2 3 3 3 4 2 2 2" xfId="9805"/>
    <cellStyle name="Normal 2 3 3 3 4 2 2 2 2" xfId="10859"/>
    <cellStyle name="Normal 2 3 3 3 4 2 2 2 2 2" xfId="14453"/>
    <cellStyle name="Normal 2 3 3 3 4 2 2 2 2 3" xfId="15961"/>
    <cellStyle name="Normal 2 3 3 3 4 2 2 2 3" xfId="13400"/>
    <cellStyle name="Normal 2 3 3 3 4 2 2 2 4" xfId="15960"/>
    <cellStyle name="Normal 2 3 3 3 4 2 2 3" xfId="10321"/>
    <cellStyle name="Normal 2 3 3 3 4 2 2 3 2" xfId="13915"/>
    <cellStyle name="Normal 2 3 3 3 4 2 2 3 3" xfId="15962"/>
    <cellStyle name="Normal 2 3 3 3 4 2 2 4" xfId="11052"/>
    <cellStyle name="Normal 2 3 3 3 4 2 2 4 2" xfId="14645"/>
    <cellStyle name="Normal 2 3 3 3 4 2 2 4 3" xfId="15963"/>
    <cellStyle name="Normal 2 3 3 3 4 2 2 5" xfId="12862"/>
    <cellStyle name="Normal 2 3 3 3 4 2 2 6" xfId="15959"/>
    <cellStyle name="Normal 2 3 3 3 4 2 3" xfId="9549"/>
    <cellStyle name="Normal 2 3 3 3 4 2 3 2" xfId="10603"/>
    <cellStyle name="Normal 2 3 3 3 4 2 3 2 2" xfId="14197"/>
    <cellStyle name="Normal 2 3 3 3 4 2 3 2 3" xfId="15965"/>
    <cellStyle name="Normal 2 3 3 3 4 2 3 3" xfId="13144"/>
    <cellStyle name="Normal 2 3 3 3 4 2 3 4" xfId="15964"/>
    <cellStyle name="Normal 2 3 3 3 4 2 4" xfId="10065"/>
    <cellStyle name="Normal 2 3 3 3 4 2 4 2" xfId="13659"/>
    <cellStyle name="Normal 2 3 3 3 4 2 4 3" xfId="15966"/>
    <cellStyle name="Normal 2 3 3 3 4 2 5" xfId="11051"/>
    <cellStyle name="Normal 2 3 3 3 4 2 5 2" xfId="14644"/>
    <cellStyle name="Normal 2 3 3 3 4 2 5 3" xfId="15967"/>
    <cellStyle name="Normal 2 3 3 3 4 2 6" xfId="12606"/>
    <cellStyle name="Normal 2 3 3 3 4 2 7" xfId="15958"/>
    <cellStyle name="Normal 2 3 3 3 4 3" xfId="9109"/>
    <cellStyle name="Normal 2 3 3 3 4 3 2" xfId="9677"/>
    <cellStyle name="Normal 2 3 3 3 4 3 2 2" xfId="10731"/>
    <cellStyle name="Normal 2 3 3 3 4 3 2 2 2" xfId="14325"/>
    <cellStyle name="Normal 2 3 3 3 4 3 2 2 3" xfId="15970"/>
    <cellStyle name="Normal 2 3 3 3 4 3 2 3" xfId="13272"/>
    <cellStyle name="Normal 2 3 3 3 4 3 2 4" xfId="15969"/>
    <cellStyle name="Normal 2 3 3 3 4 3 3" xfId="10193"/>
    <cellStyle name="Normal 2 3 3 3 4 3 3 2" xfId="13787"/>
    <cellStyle name="Normal 2 3 3 3 4 3 3 3" xfId="15971"/>
    <cellStyle name="Normal 2 3 3 3 4 3 4" xfId="11053"/>
    <cellStyle name="Normal 2 3 3 3 4 3 4 2" xfId="14646"/>
    <cellStyle name="Normal 2 3 3 3 4 3 4 3" xfId="15972"/>
    <cellStyle name="Normal 2 3 3 3 4 3 5" xfId="12734"/>
    <cellStyle name="Normal 2 3 3 3 4 3 6" xfId="15968"/>
    <cellStyle name="Normal 2 3 3 3 4 4" xfId="9421"/>
    <cellStyle name="Normal 2 3 3 3 4 4 2" xfId="10475"/>
    <cellStyle name="Normal 2 3 3 3 4 4 2 2" xfId="14069"/>
    <cellStyle name="Normal 2 3 3 3 4 4 2 3" xfId="15974"/>
    <cellStyle name="Normal 2 3 3 3 4 4 3" xfId="13016"/>
    <cellStyle name="Normal 2 3 3 3 4 4 4" xfId="15973"/>
    <cellStyle name="Normal 2 3 3 3 4 5" xfId="9937"/>
    <cellStyle name="Normal 2 3 3 3 4 5 2" xfId="13531"/>
    <cellStyle name="Normal 2 3 3 3 4 5 3" xfId="15975"/>
    <cellStyle name="Normal 2 3 3 3 4 6" xfId="11050"/>
    <cellStyle name="Normal 2 3 3 3 4 6 2" xfId="14643"/>
    <cellStyle name="Normal 2 3 3 3 4 6 3" xfId="15976"/>
    <cellStyle name="Normal 2 3 3 3 4 7" xfId="12478"/>
    <cellStyle name="Normal 2 3 3 3 4 8" xfId="15957"/>
    <cellStyle name="Normal 2 3 3 3 5" xfId="8877"/>
    <cellStyle name="Normal 2 3 3 3 5 2" xfId="9133"/>
    <cellStyle name="Normal 2 3 3 3 5 2 2" xfId="9701"/>
    <cellStyle name="Normal 2 3 3 3 5 2 2 2" xfId="10755"/>
    <cellStyle name="Normal 2 3 3 3 5 2 2 2 2" xfId="14349"/>
    <cellStyle name="Normal 2 3 3 3 5 2 2 2 3" xfId="15980"/>
    <cellStyle name="Normal 2 3 3 3 5 2 2 3" xfId="13296"/>
    <cellStyle name="Normal 2 3 3 3 5 2 2 4" xfId="15979"/>
    <cellStyle name="Normal 2 3 3 3 5 2 3" xfId="10217"/>
    <cellStyle name="Normal 2 3 3 3 5 2 3 2" xfId="13811"/>
    <cellStyle name="Normal 2 3 3 3 5 2 3 3" xfId="15981"/>
    <cellStyle name="Normal 2 3 3 3 5 2 4" xfId="11055"/>
    <cellStyle name="Normal 2 3 3 3 5 2 4 2" xfId="14648"/>
    <cellStyle name="Normal 2 3 3 3 5 2 4 3" xfId="15982"/>
    <cellStyle name="Normal 2 3 3 3 5 2 5" xfId="12758"/>
    <cellStyle name="Normal 2 3 3 3 5 2 6" xfId="15978"/>
    <cellStyle name="Normal 2 3 3 3 5 3" xfId="9445"/>
    <cellStyle name="Normal 2 3 3 3 5 3 2" xfId="10499"/>
    <cellStyle name="Normal 2 3 3 3 5 3 2 2" xfId="14093"/>
    <cellStyle name="Normal 2 3 3 3 5 3 2 3" xfId="15984"/>
    <cellStyle name="Normal 2 3 3 3 5 3 3" xfId="13040"/>
    <cellStyle name="Normal 2 3 3 3 5 3 4" xfId="15983"/>
    <cellStyle name="Normal 2 3 3 3 5 4" xfId="9961"/>
    <cellStyle name="Normal 2 3 3 3 5 4 2" xfId="13555"/>
    <cellStyle name="Normal 2 3 3 3 5 4 3" xfId="15985"/>
    <cellStyle name="Normal 2 3 3 3 5 5" xfId="11054"/>
    <cellStyle name="Normal 2 3 3 3 5 5 2" xfId="14647"/>
    <cellStyle name="Normal 2 3 3 3 5 5 3" xfId="15986"/>
    <cellStyle name="Normal 2 3 3 3 5 6" xfId="12502"/>
    <cellStyle name="Normal 2 3 3 3 5 7" xfId="15977"/>
    <cellStyle name="Normal 2 3 3 3 6" xfId="9005"/>
    <cellStyle name="Normal 2 3 3 3 6 2" xfId="9573"/>
    <cellStyle name="Normal 2 3 3 3 6 2 2" xfId="10627"/>
    <cellStyle name="Normal 2 3 3 3 6 2 2 2" xfId="14221"/>
    <cellStyle name="Normal 2 3 3 3 6 2 2 3" xfId="15989"/>
    <cellStyle name="Normal 2 3 3 3 6 2 3" xfId="13168"/>
    <cellStyle name="Normal 2 3 3 3 6 2 4" xfId="15988"/>
    <cellStyle name="Normal 2 3 3 3 6 3" xfId="10089"/>
    <cellStyle name="Normal 2 3 3 3 6 3 2" xfId="13683"/>
    <cellStyle name="Normal 2 3 3 3 6 3 3" xfId="15990"/>
    <cellStyle name="Normal 2 3 3 3 6 4" xfId="11056"/>
    <cellStyle name="Normal 2 3 3 3 6 4 2" xfId="14649"/>
    <cellStyle name="Normal 2 3 3 3 6 4 3" xfId="15991"/>
    <cellStyle name="Normal 2 3 3 3 6 5" xfId="12630"/>
    <cellStyle name="Normal 2 3 3 3 6 6" xfId="15987"/>
    <cellStyle name="Normal 2 3 3 3 7" xfId="9317"/>
    <cellStyle name="Normal 2 3 3 3 7 2" xfId="10371"/>
    <cellStyle name="Normal 2 3 3 3 7 2 2" xfId="13965"/>
    <cellStyle name="Normal 2 3 3 3 7 2 3" xfId="15993"/>
    <cellStyle name="Normal 2 3 3 3 7 3" xfId="12912"/>
    <cellStyle name="Normal 2 3 3 3 7 4" xfId="15992"/>
    <cellStyle name="Normal 2 3 3 3 8" xfId="9833"/>
    <cellStyle name="Normal 2 3 3 3 8 2" xfId="13427"/>
    <cellStyle name="Normal 2 3 3 3 8 3" xfId="15994"/>
    <cellStyle name="Normal 2 3 3 3 9" xfId="11041"/>
    <cellStyle name="Normal 2 3 3 3 9 2" xfId="14634"/>
    <cellStyle name="Normal 2 3 3 3 9 3" xfId="15995"/>
    <cellStyle name="Normal 2 3 3 4" xfId="8773"/>
    <cellStyle name="Normal 2 3 3 4 2" xfId="8901"/>
    <cellStyle name="Normal 2 3 3 4 2 2" xfId="9157"/>
    <cellStyle name="Normal 2 3 3 4 2 2 2" xfId="9725"/>
    <cellStyle name="Normal 2 3 3 4 2 2 2 2" xfId="10779"/>
    <cellStyle name="Normal 2 3 3 4 2 2 2 2 2" xfId="14373"/>
    <cellStyle name="Normal 2 3 3 4 2 2 2 2 3" xfId="16000"/>
    <cellStyle name="Normal 2 3 3 4 2 2 2 3" xfId="13320"/>
    <cellStyle name="Normal 2 3 3 4 2 2 2 4" xfId="15999"/>
    <cellStyle name="Normal 2 3 3 4 2 2 3" xfId="10241"/>
    <cellStyle name="Normal 2 3 3 4 2 2 3 2" xfId="13835"/>
    <cellStyle name="Normal 2 3 3 4 2 2 3 3" xfId="16001"/>
    <cellStyle name="Normal 2 3 3 4 2 2 4" xfId="11059"/>
    <cellStyle name="Normal 2 3 3 4 2 2 4 2" xfId="14652"/>
    <cellStyle name="Normal 2 3 3 4 2 2 4 3" xfId="16002"/>
    <cellStyle name="Normal 2 3 3 4 2 2 5" xfId="12782"/>
    <cellStyle name="Normal 2 3 3 4 2 2 6" xfId="15998"/>
    <cellStyle name="Normal 2 3 3 4 2 3" xfId="9469"/>
    <cellStyle name="Normal 2 3 3 4 2 3 2" xfId="10523"/>
    <cellStyle name="Normal 2 3 3 4 2 3 2 2" xfId="14117"/>
    <cellStyle name="Normal 2 3 3 4 2 3 2 3" xfId="16004"/>
    <cellStyle name="Normal 2 3 3 4 2 3 3" xfId="13064"/>
    <cellStyle name="Normal 2 3 3 4 2 3 4" xfId="16003"/>
    <cellStyle name="Normal 2 3 3 4 2 4" xfId="9985"/>
    <cellStyle name="Normal 2 3 3 4 2 4 2" xfId="13579"/>
    <cellStyle name="Normal 2 3 3 4 2 4 3" xfId="16005"/>
    <cellStyle name="Normal 2 3 3 4 2 5" xfId="11058"/>
    <cellStyle name="Normal 2 3 3 4 2 5 2" xfId="14651"/>
    <cellStyle name="Normal 2 3 3 4 2 5 3" xfId="16006"/>
    <cellStyle name="Normal 2 3 3 4 2 6" xfId="12526"/>
    <cellStyle name="Normal 2 3 3 4 2 7" xfId="15997"/>
    <cellStyle name="Normal 2 3 3 4 3" xfId="9029"/>
    <cellStyle name="Normal 2 3 3 4 3 2" xfId="9597"/>
    <cellStyle name="Normal 2 3 3 4 3 2 2" xfId="10651"/>
    <cellStyle name="Normal 2 3 3 4 3 2 2 2" xfId="14245"/>
    <cellStyle name="Normal 2 3 3 4 3 2 2 3" xfId="16009"/>
    <cellStyle name="Normal 2 3 3 4 3 2 3" xfId="13192"/>
    <cellStyle name="Normal 2 3 3 4 3 2 4" xfId="16008"/>
    <cellStyle name="Normal 2 3 3 4 3 3" xfId="10113"/>
    <cellStyle name="Normal 2 3 3 4 3 3 2" xfId="13707"/>
    <cellStyle name="Normal 2 3 3 4 3 3 3" xfId="16010"/>
    <cellStyle name="Normal 2 3 3 4 3 4" xfId="11060"/>
    <cellStyle name="Normal 2 3 3 4 3 4 2" xfId="14653"/>
    <cellStyle name="Normal 2 3 3 4 3 4 3" xfId="16011"/>
    <cellStyle name="Normal 2 3 3 4 3 5" xfId="12654"/>
    <cellStyle name="Normal 2 3 3 4 3 6" xfId="16007"/>
    <cellStyle name="Normal 2 3 3 4 4" xfId="9341"/>
    <cellStyle name="Normal 2 3 3 4 4 2" xfId="10395"/>
    <cellStyle name="Normal 2 3 3 4 4 2 2" xfId="13989"/>
    <cellStyle name="Normal 2 3 3 4 4 2 3" xfId="16013"/>
    <cellStyle name="Normal 2 3 3 4 4 3" xfId="12936"/>
    <cellStyle name="Normal 2 3 3 4 4 4" xfId="16012"/>
    <cellStyle name="Normal 2 3 3 4 5" xfId="9857"/>
    <cellStyle name="Normal 2 3 3 4 5 2" xfId="13451"/>
    <cellStyle name="Normal 2 3 3 4 5 3" xfId="16014"/>
    <cellStyle name="Normal 2 3 3 4 6" xfId="11057"/>
    <cellStyle name="Normal 2 3 3 4 6 2" xfId="14650"/>
    <cellStyle name="Normal 2 3 3 4 6 3" xfId="16015"/>
    <cellStyle name="Normal 2 3 3 4 7" xfId="12398"/>
    <cellStyle name="Normal 2 3 3 4 8" xfId="15996"/>
    <cellStyle name="Normal 2 3 3 5" xfId="8805"/>
    <cellStyle name="Normal 2 3 3 5 2" xfId="8933"/>
    <cellStyle name="Normal 2 3 3 5 2 2" xfId="9189"/>
    <cellStyle name="Normal 2 3 3 5 2 2 2" xfId="9757"/>
    <cellStyle name="Normal 2 3 3 5 2 2 2 2" xfId="10811"/>
    <cellStyle name="Normal 2 3 3 5 2 2 2 2 2" xfId="14405"/>
    <cellStyle name="Normal 2 3 3 5 2 2 2 2 3" xfId="16020"/>
    <cellStyle name="Normal 2 3 3 5 2 2 2 3" xfId="13352"/>
    <cellStyle name="Normal 2 3 3 5 2 2 2 4" xfId="16019"/>
    <cellStyle name="Normal 2 3 3 5 2 2 3" xfId="10273"/>
    <cellStyle name="Normal 2 3 3 5 2 2 3 2" xfId="13867"/>
    <cellStyle name="Normal 2 3 3 5 2 2 3 3" xfId="16021"/>
    <cellStyle name="Normal 2 3 3 5 2 2 4" xfId="11063"/>
    <cellStyle name="Normal 2 3 3 5 2 2 4 2" xfId="14656"/>
    <cellStyle name="Normal 2 3 3 5 2 2 4 3" xfId="16022"/>
    <cellStyle name="Normal 2 3 3 5 2 2 5" xfId="12814"/>
    <cellStyle name="Normal 2 3 3 5 2 2 6" xfId="16018"/>
    <cellStyle name="Normal 2 3 3 5 2 3" xfId="9501"/>
    <cellStyle name="Normal 2 3 3 5 2 3 2" xfId="10555"/>
    <cellStyle name="Normal 2 3 3 5 2 3 2 2" xfId="14149"/>
    <cellStyle name="Normal 2 3 3 5 2 3 2 3" xfId="16024"/>
    <cellStyle name="Normal 2 3 3 5 2 3 3" xfId="13096"/>
    <cellStyle name="Normal 2 3 3 5 2 3 4" xfId="16023"/>
    <cellStyle name="Normal 2 3 3 5 2 4" xfId="10017"/>
    <cellStyle name="Normal 2 3 3 5 2 4 2" xfId="13611"/>
    <cellStyle name="Normal 2 3 3 5 2 4 3" xfId="16025"/>
    <cellStyle name="Normal 2 3 3 5 2 5" xfId="11062"/>
    <cellStyle name="Normal 2 3 3 5 2 5 2" xfId="14655"/>
    <cellStyle name="Normal 2 3 3 5 2 5 3" xfId="16026"/>
    <cellStyle name="Normal 2 3 3 5 2 6" xfId="12558"/>
    <cellStyle name="Normal 2 3 3 5 2 7" xfId="16017"/>
    <cellStyle name="Normal 2 3 3 5 3" xfId="9061"/>
    <cellStyle name="Normal 2 3 3 5 3 2" xfId="9629"/>
    <cellStyle name="Normal 2 3 3 5 3 2 2" xfId="10683"/>
    <cellStyle name="Normal 2 3 3 5 3 2 2 2" xfId="14277"/>
    <cellStyle name="Normal 2 3 3 5 3 2 2 3" xfId="16029"/>
    <cellStyle name="Normal 2 3 3 5 3 2 3" xfId="13224"/>
    <cellStyle name="Normal 2 3 3 5 3 2 4" xfId="16028"/>
    <cellStyle name="Normal 2 3 3 5 3 3" xfId="10145"/>
    <cellStyle name="Normal 2 3 3 5 3 3 2" xfId="13739"/>
    <cellStyle name="Normal 2 3 3 5 3 3 3" xfId="16030"/>
    <cellStyle name="Normal 2 3 3 5 3 4" xfId="11064"/>
    <cellStyle name="Normal 2 3 3 5 3 4 2" xfId="14657"/>
    <cellStyle name="Normal 2 3 3 5 3 4 3" xfId="16031"/>
    <cellStyle name="Normal 2 3 3 5 3 5" xfId="12686"/>
    <cellStyle name="Normal 2 3 3 5 3 6" xfId="16027"/>
    <cellStyle name="Normal 2 3 3 5 4" xfId="9373"/>
    <cellStyle name="Normal 2 3 3 5 4 2" xfId="10427"/>
    <cellStyle name="Normal 2 3 3 5 4 2 2" xfId="14021"/>
    <cellStyle name="Normal 2 3 3 5 4 2 3" xfId="16033"/>
    <cellStyle name="Normal 2 3 3 5 4 3" xfId="12968"/>
    <cellStyle name="Normal 2 3 3 5 4 4" xfId="16032"/>
    <cellStyle name="Normal 2 3 3 5 5" xfId="9889"/>
    <cellStyle name="Normal 2 3 3 5 5 2" xfId="13483"/>
    <cellStyle name="Normal 2 3 3 5 5 3" xfId="16034"/>
    <cellStyle name="Normal 2 3 3 5 6" xfId="11061"/>
    <cellStyle name="Normal 2 3 3 5 6 2" xfId="14654"/>
    <cellStyle name="Normal 2 3 3 5 6 3" xfId="16035"/>
    <cellStyle name="Normal 2 3 3 5 7" xfId="12430"/>
    <cellStyle name="Normal 2 3 3 5 8" xfId="16016"/>
    <cellStyle name="Normal 2 3 3 6" xfId="8837"/>
    <cellStyle name="Normal 2 3 3 6 2" xfId="8965"/>
    <cellStyle name="Normal 2 3 3 6 2 2" xfId="9221"/>
    <cellStyle name="Normal 2 3 3 6 2 2 2" xfId="9789"/>
    <cellStyle name="Normal 2 3 3 6 2 2 2 2" xfId="10843"/>
    <cellStyle name="Normal 2 3 3 6 2 2 2 2 2" xfId="14437"/>
    <cellStyle name="Normal 2 3 3 6 2 2 2 2 3" xfId="16040"/>
    <cellStyle name="Normal 2 3 3 6 2 2 2 3" xfId="13384"/>
    <cellStyle name="Normal 2 3 3 6 2 2 2 4" xfId="16039"/>
    <cellStyle name="Normal 2 3 3 6 2 2 3" xfId="10305"/>
    <cellStyle name="Normal 2 3 3 6 2 2 3 2" xfId="13899"/>
    <cellStyle name="Normal 2 3 3 6 2 2 3 3" xfId="16041"/>
    <cellStyle name="Normal 2 3 3 6 2 2 4" xfId="11067"/>
    <cellStyle name="Normal 2 3 3 6 2 2 4 2" xfId="14660"/>
    <cellStyle name="Normal 2 3 3 6 2 2 4 3" xfId="16042"/>
    <cellStyle name="Normal 2 3 3 6 2 2 5" xfId="12846"/>
    <cellStyle name="Normal 2 3 3 6 2 2 6" xfId="16038"/>
    <cellStyle name="Normal 2 3 3 6 2 3" xfId="9533"/>
    <cellStyle name="Normal 2 3 3 6 2 3 2" xfId="10587"/>
    <cellStyle name="Normal 2 3 3 6 2 3 2 2" xfId="14181"/>
    <cellStyle name="Normal 2 3 3 6 2 3 2 3" xfId="16044"/>
    <cellStyle name="Normal 2 3 3 6 2 3 3" xfId="13128"/>
    <cellStyle name="Normal 2 3 3 6 2 3 4" xfId="16043"/>
    <cellStyle name="Normal 2 3 3 6 2 4" xfId="10049"/>
    <cellStyle name="Normal 2 3 3 6 2 4 2" xfId="13643"/>
    <cellStyle name="Normal 2 3 3 6 2 4 3" xfId="16045"/>
    <cellStyle name="Normal 2 3 3 6 2 5" xfId="11066"/>
    <cellStyle name="Normal 2 3 3 6 2 5 2" xfId="14659"/>
    <cellStyle name="Normal 2 3 3 6 2 5 3" xfId="16046"/>
    <cellStyle name="Normal 2 3 3 6 2 6" xfId="12590"/>
    <cellStyle name="Normal 2 3 3 6 2 7" xfId="16037"/>
    <cellStyle name="Normal 2 3 3 6 3" xfId="9093"/>
    <cellStyle name="Normal 2 3 3 6 3 2" xfId="9661"/>
    <cellStyle name="Normal 2 3 3 6 3 2 2" xfId="10715"/>
    <cellStyle name="Normal 2 3 3 6 3 2 2 2" xfId="14309"/>
    <cellStyle name="Normal 2 3 3 6 3 2 2 3" xfId="16049"/>
    <cellStyle name="Normal 2 3 3 6 3 2 3" xfId="13256"/>
    <cellStyle name="Normal 2 3 3 6 3 2 4" xfId="16048"/>
    <cellStyle name="Normal 2 3 3 6 3 3" xfId="10177"/>
    <cellStyle name="Normal 2 3 3 6 3 3 2" xfId="13771"/>
    <cellStyle name="Normal 2 3 3 6 3 3 3" xfId="16050"/>
    <cellStyle name="Normal 2 3 3 6 3 4" xfId="11068"/>
    <cellStyle name="Normal 2 3 3 6 3 4 2" xfId="14661"/>
    <cellStyle name="Normal 2 3 3 6 3 4 3" xfId="16051"/>
    <cellStyle name="Normal 2 3 3 6 3 5" xfId="12718"/>
    <cellStyle name="Normal 2 3 3 6 3 6" xfId="16047"/>
    <cellStyle name="Normal 2 3 3 6 4" xfId="9405"/>
    <cellStyle name="Normal 2 3 3 6 4 2" xfId="10459"/>
    <cellStyle name="Normal 2 3 3 6 4 2 2" xfId="14053"/>
    <cellStyle name="Normal 2 3 3 6 4 2 3" xfId="16053"/>
    <cellStyle name="Normal 2 3 3 6 4 3" xfId="13000"/>
    <cellStyle name="Normal 2 3 3 6 4 4" xfId="16052"/>
    <cellStyle name="Normal 2 3 3 6 5" xfId="9921"/>
    <cellStyle name="Normal 2 3 3 6 5 2" xfId="13515"/>
    <cellStyle name="Normal 2 3 3 6 5 3" xfId="16054"/>
    <cellStyle name="Normal 2 3 3 6 6" xfId="11065"/>
    <cellStyle name="Normal 2 3 3 6 6 2" xfId="14658"/>
    <cellStyle name="Normal 2 3 3 6 6 3" xfId="16055"/>
    <cellStyle name="Normal 2 3 3 6 7" xfId="12462"/>
    <cellStyle name="Normal 2 3 3 6 8" xfId="16036"/>
    <cellStyle name="Normal 2 3 3 7" xfId="8874"/>
    <cellStyle name="Normal 2 3 3 7 2" xfId="9130"/>
    <cellStyle name="Normal 2 3 3 7 2 2" xfId="9698"/>
    <cellStyle name="Normal 2 3 3 7 2 2 2" xfId="10752"/>
    <cellStyle name="Normal 2 3 3 7 2 2 2 2" xfId="14346"/>
    <cellStyle name="Normal 2 3 3 7 2 2 2 3" xfId="16059"/>
    <cellStyle name="Normal 2 3 3 7 2 2 3" xfId="13293"/>
    <cellStyle name="Normal 2 3 3 7 2 2 4" xfId="16058"/>
    <cellStyle name="Normal 2 3 3 7 2 3" xfId="10214"/>
    <cellStyle name="Normal 2 3 3 7 2 3 2" xfId="13808"/>
    <cellStyle name="Normal 2 3 3 7 2 3 3" xfId="16060"/>
    <cellStyle name="Normal 2 3 3 7 2 4" xfId="11070"/>
    <cellStyle name="Normal 2 3 3 7 2 4 2" xfId="14663"/>
    <cellStyle name="Normal 2 3 3 7 2 4 3" xfId="16061"/>
    <cellStyle name="Normal 2 3 3 7 2 5" xfId="12755"/>
    <cellStyle name="Normal 2 3 3 7 2 6" xfId="16057"/>
    <cellStyle name="Normal 2 3 3 7 3" xfId="9442"/>
    <cellStyle name="Normal 2 3 3 7 3 2" xfId="10496"/>
    <cellStyle name="Normal 2 3 3 7 3 2 2" xfId="14090"/>
    <cellStyle name="Normal 2 3 3 7 3 2 3" xfId="16063"/>
    <cellStyle name="Normal 2 3 3 7 3 3" xfId="13037"/>
    <cellStyle name="Normal 2 3 3 7 3 4" xfId="16062"/>
    <cellStyle name="Normal 2 3 3 7 4" xfId="9958"/>
    <cellStyle name="Normal 2 3 3 7 4 2" xfId="13552"/>
    <cellStyle name="Normal 2 3 3 7 4 3" xfId="16064"/>
    <cellStyle name="Normal 2 3 3 7 5" xfId="11069"/>
    <cellStyle name="Normal 2 3 3 7 5 2" xfId="14662"/>
    <cellStyle name="Normal 2 3 3 7 5 3" xfId="16065"/>
    <cellStyle name="Normal 2 3 3 7 6" xfId="12499"/>
    <cellStyle name="Normal 2 3 3 7 7" xfId="16056"/>
    <cellStyle name="Normal 2 3 3 8" xfId="9002"/>
    <cellStyle name="Normal 2 3 3 8 2" xfId="9570"/>
    <cellStyle name="Normal 2 3 3 8 2 2" xfId="10624"/>
    <cellStyle name="Normal 2 3 3 8 2 2 2" xfId="14218"/>
    <cellStyle name="Normal 2 3 3 8 2 2 3" xfId="16068"/>
    <cellStyle name="Normal 2 3 3 8 2 3" xfId="13165"/>
    <cellStyle name="Normal 2 3 3 8 2 4" xfId="16067"/>
    <cellStyle name="Normal 2 3 3 8 3" xfId="10086"/>
    <cellStyle name="Normal 2 3 3 8 3 2" xfId="13680"/>
    <cellStyle name="Normal 2 3 3 8 3 3" xfId="16069"/>
    <cellStyle name="Normal 2 3 3 8 4" xfId="11071"/>
    <cellStyle name="Normal 2 3 3 8 4 2" xfId="14664"/>
    <cellStyle name="Normal 2 3 3 8 4 3" xfId="16070"/>
    <cellStyle name="Normal 2 3 3 8 5" xfId="12627"/>
    <cellStyle name="Normal 2 3 3 8 6" xfId="16066"/>
    <cellStyle name="Normal 2 3 3 9" xfId="9314"/>
    <cellStyle name="Normal 2 3 3 9 2" xfId="10368"/>
    <cellStyle name="Normal 2 3 3 9 2 2" xfId="13962"/>
    <cellStyle name="Normal 2 3 3 9 2 3" xfId="16072"/>
    <cellStyle name="Normal 2 3 3 9 3" xfId="12909"/>
    <cellStyle name="Normal 2 3 3 9 4" xfId="16071"/>
    <cellStyle name="Normal 2 3 4" xfId="1510"/>
    <cellStyle name="Normal 2 3 4 10" xfId="11072"/>
    <cellStyle name="Normal 2 3 4 10 2" xfId="14665"/>
    <cellStyle name="Normal 2 3 4 10 3" xfId="16074"/>
    <cellStyle name="Normal 2 3 4 11" xfId="12350"/>
    <cellStyle name="Normal 2 3 4 11 2" xfId="26977"/>
    <cellStyle name="Normal 2 3 4 12" xfId="16073"/>
    <cellStyle name="Normal 2 3 4 2" xfId="1511"/>
    <cellStyle name="Normal 2 3 4 2 10" xfId="12351"/>
    <cellStyle name="Normal 2 3 4 2 11" xfId="16075"/>
    <cellStyle name="Normal 2 3 4 2 2" xfId="8793"/>
    <cellStyle name="Normal 2 3 4 2 2 2" xfId="8921"/>
    <cellStyle name="Normal 2 3 4 2 2 2 2" xfId="9177"/>
    <cellStyle name="Normal 2 3 4 2 2 2 2 2" xfId="9745"/>
    <cellStyle name="Normal 2 3 4 2 2 2 2 2 2" xfId="10799"/>
    <cellStyle name="Normal 2 3 4 2 2 2 2 2 2 2" xfId="14393"/>
    <cellStyle name="Normal 2 3 4 2 2 2 2 2 2 3" xfId="16080"/>
    <cellStyle name="Normal 2 3 4 2 2 2 2 2 3" xfId="13340"/>
    <cellStyle name="Normal 2 3 4 2 2 2 2 2 4" xfId="16079"/>
    <cellStyle name="Normal 2 3 4 2 2 2 2 3" xfId="10261"/>
    <cellStyle name="Normal 2 3 4 2 2 2 2 3 2" xfId="13855"/>
    <cellStyle name="Normal 2 3 4 2 2 2 2 3 3" xfId="16081"/>
    <cellStyle name="Normal 2 3 4 2 2 2 2 4" xfId="11076"/>
    <cellStyle name="Normal 2 3 4 2 2 2 2 4 2" xfId="14669"/>
    <cellStyle name="Normal 2 3 4 2 2 2 2 4 3" xfId="16082"/>
    <cellStyle name="Normal 2 3 4 2 2 2 2 5" xfId="12802"/>
    <cellStyle name="Normal 2 3 4 2 2 2 2 6" xfId="16078"/>
    <cellStyle name="Normal 2 3 4 2 2 2 3" xfId="9489"/>
    <cellStyle name="Normal 2 3 4 2 2 2 3 2" xfId="10543"/>
    <cellStyle name="Normal 2 3 4 2 2 2 3 2 2" xfId="14137"/>
    <cellStyle name="Normal 2 3 4 2 2 2 3 2 3" xfId="16084"/>
    <cellStyle name="Normal 2 3 4 2 2 2 3 3" xfId="13084"/>
    <cellStyle name="Normal 2 3 4 2 2 2 3 4" xfId="16083"/>
    <cellStyle name="Normal 2 3 4 2 2 2 4" xfId="10005"/>
    <cellStyle name="Normal 2 3 4 2 2 2 4 2" xfId="13599"/>
    <cellStyle name="Normal 2 3 4 2 2 2 4 3" xfId="16085"/>
    <cellStyle name="Normal 2 3 4 2 2 2 5" xfId="11075"/>
    <cellStyle name="Normal 2 3 4 2 2 2 5 2" xfId="14668"/>
    <cellStyle name="Normal 2 3 4 2 2 2 5 3" xfId="16086"/>
    <cellStyle name="Normal 2 3 4 2 2 2 6" xfId="12546"/>
    <cellStyle name="Normal 2 3 4 2 2 2 7" xfId="16077"/>
    <cellStyle name="Normal 2 3 4 2 2 3" xfId="9049"/>
    <cellStyle name="Normal 2 3 4 2 2 3 2" xfId="9617"/>
    <cellStyle name="Normal 2 3 4 2 2 3 2 2" xfId="10671"/>
    <cellStyle name="Normal 2 3 4 2 2 3 2 2 2" xfId="14265"/>
    <cellStyle name="Normal 2 3 4 2 2 3 2 2 3" xfId="16089"/>
    <cellStyle name="Normal 2 3 4 2 2 3 2 3" xfId="13212"/>
    <cellStyle name="Normal 2 3 4 2 2 3 2 4" xfId="16088"/>
    <cellStyle name="Normal 2 3 4 2 2 3 3" xfId="10133"/>
    <cellStyle name="Normal 2 3 4 2 2 3 3 2" xfId="13727"/>
    <cellStyle name="Normal 2 3 4 2 2 3 3 3" xfId="16090"/>
    <cellStyle name="Normal 2 3 4 2 2 3 4" xfId="11077"/>
    <cellStyle name="Normal 2 3 4 2 2 3 4 2" xfId="14670"/>
    <cellStyle name="Normal 2 3 4 2 2 3 4 3" xfId="16091"/>
    <cellStyle name="Normal 2 3 4 2 2 3 5" xfId="12674"/>
    <cellStyle name="Normal 2 3 4 2 2 3 6" xfId="16087"/>
    <cellStyle name="Normal 2 3 4 2 2 4" xfId="9361"/>
    <cellStyle name="Normal 2 3 4 2 2 4 2" xfId="10415"/>
    <cellStyle name="Normal 2 3 4 2 2 4 2 2" xfId="14009"/>
    <cellStyle name="Normal 2 3 4 2 2 4 2 3" xfId="16093"/>
    <cellStyle name="Normal 2 3 4 2 2 4 3" xfId="12956"/>
    <cellStyle name="Normal 2 3 4 2 2 4 4" xfId="16092"/>
    <cellStyle name="Normal 2 3 4 2 2 5" xfId="9877"/>
    <cellStyle name="Normal 2 3 4 2 2 5 2" xfId="13471"/>
    <cellStyle name="Normal 2 3 4 2 2 5 3" xfId="16094"/>
    <cellStyle name="Normal 2 3 4 2 2 6" xfId="11074"/>
    <cellStyle name="Normal 2 3 4 2 2 6 2" xfId="14667"/>
    <cellStyle name="Normal 2 3 4 2 2 6 3" xfId="16095"/>
    <cellStyle name="Normal 2 3 4 2 2 7" xfId="12418"/>
    <cellStyle name="Normal 2 3 4 2 2 8" xfId="16076"/>
    <cellStyle name="Normal 2 3 4 2 3" xfId="8825"/>
    <cellStyle name="Normal 2 3 4 2 3 2" xfId="8953"/>
    <cellStyle name="Normal 2 3 4 2 3 2 2" xfId="9209"/>
    <cellStyle name="Normal 2 3 4 2 3 2 2 2" xfId="9777"/>
    <cellStyle name="Normal 2 3 4 2 3 2 2 2 2" xfId="10831"/>
    <cellStyle name="Normal 2 3 4 2 3 2 2 2 2 2" xfId="14425"/>
    <cellStyle name="Normal 2 3 4 2 3 2 2 2 2 3" xfId="16100"/>
    <cellStyle name="Normal 2 3 4 2 3 2 2 2 3" xfId="13372"/>
    <cellStyle name="Normal 2 3 4 2 3 2 2 2 4" xfId="16099"/>
    <cellStyle name="Normal 2 3 4 2 3 2 2 3" xfId="10293"/>
    <cellStyle name="Normal 2 3 4 2 3 2 2 3 2" xfId="13887"/>
    <cellStyle name="Normal 2 3 4 2 3 2 2 3 3" xfId="16101"/>
    <cellStyle name="Normal 2 3 4 2 3 2 2 4" xfId="11080"/>
    <cellStyle name="Normal 2 3 4 2 3 2 2 4 2" xfId="14673"/>
    <cellStyle name="Normal 2 3 4 2 3 2 2 4 3" xfId="16102"/>
    <cellStyle name="Normal 2 3 4 2 3 2 2 5" xfId="12834"/>
    <cellStyle name="Normal 2 3 4 2 3 2 2 6" xfId="16098"/>
    <cellStyle name="Normal 2 3 4 2 3 2 3" xfId="9521"/>
    <cellStyle name="Normal 2 3 4 2 3 2 3 2" xfId="10575"/>
    <cellStyle name="Normal 2 3 4 2 3 2 3 2 2" xfId="14169"/>
    <cellStyle name="Normal 2 3 4 2 3 2 3 2 3" xfId="16104"/>
    <cellStyle name="Normal 2 3 4 2 3 2 3 3" xfId="13116"/>
    <cellStyle name="Normal 2 3 4 2 3 2 3 4" xfId="16103"/>
    <cellStyle name="Normal 2 3 4 2 3 2 4" xfId="10037"/>
    <cellStyle name="Normal 2 3 4 2 3 2 4 2" xfId="13631"/>
    <cellStyle name="Normal 2 3 4 2 3 2 4 3" xfId="16105"/>
    <cellStyle name="Normal 2 3 4 2 3 2 5" xfId="11079"/>
    <cellStyle name="Normal 2 3 4 2 3 2 5 2" xfId="14672"/>
    <cellStyle name="Normal 2 3 4 2 3 2 5 3" xfId="16106"/>
    <cellStyle name="Normal 2 3 4 2 3 2 6" xfId="12578"/>
    <cellStyle name="Normal 2 3 4 2 3 2 7" xfId="16097"/>
    <cellStyle name="Normal 2 3 4 2 3 3" xfId="9081"/>
    <cellStyle name="Normal 2 3 4 2 3 3 2" xfId="9649"/>
    <cellStyle name="Normal 2 3 4 2 3 3 2 2" xfId="10703"/>
    <cellStyle name="Normal 2 3 4 2 3 3 2 2 2" xfId="14297"/>
    <cellStyle name="Normal 2 3 4 2 3 3 2 2 3" xfId="16109"/>
    <cellStyle name="Normal 2 3 4 2 3 3 2 3" xfId="13244"/>
    <cellStyle name="Normal 2 3 4 2 3 3 2 4" xfId="16108"/>
    <cellStyle name="Normal 2 3 4 2 3 3 3" xfId="10165"/>
    <cellStyle name="Normal 2 3 4 2 3 3 3 2" xfId="13759"/>
    <cellStyle name="Normal 2 3 4 2 3 3 3 3" xfId="16110"/>
    <cellStyle name="Normal 2 3 4 2 3 3 4" xfId="11081"/>
    <cellStyle name="Normal 2 3 4 2 3 3 4 2" xfId="14674"/>
    <cellStyle name="Normal 2 3 4 2 3 3 4 3" xfId="16111"/>
    <cellStyle name="Normal 2 3 4 2 3 3 5" xfId="12706"/>
    <cellStyle name="Normal 2 3 4 2 3 3 6" xfId="16107"/>
    <cellStyle name="Normal 2 3 4 2 3 4" xfId="9393"/>
    <cellStyle name="Normal 2 3 4 2 3 4 2" xfId="10447"/>
    <cellStyle name="Normal 2 3 4 2 3 4 2 2" xfId="14041"/>
    <cellStyle name="Normal 2 3 4 2 3 4 2 3" xfId="16113"/>
    <cellStyle name="Normal 2 3 4 2 3 4 3" xfId="12988"/>
    <cellStyle name="Normal 2 3 4 2 3 4 4" xfId="16112"/>
    <cellStyle name="Normal 2 3 4 2 3 5" xfId="9909"/>
    <cellStyle name="Normal 2 3 4 2 3 5 2" xfId="13503"/>
    <cellStyle name="Normal 2 3 4 2 3 5 3" xfId="16114"/>
    <cellStyle name="Normal 2 3 4 2 3 6" xfId="11078"/>
    <cellStyle name="Normal 2 3 4 2 3 6 2" xfId="14671"/>
    <cellStyle name="Normal 2 3 4 2 3 6 3" xfId="16115"/>
    <cellStyle name="Normal 2 3 4 2 3 7" xfId="12450"/>
    <cellStyle name="Normal 2 3 4 2 3 8" xfId="16096"/>
    <cellStyle name="Normal 2 3 4 2 4" xfId="8857"/>
    <cellStyle name="Normal 2 3 4 2 4 2" xfId="8985"/>
    <cellStyle name="Normal 2 3 4 2 4 2 2" xfId="9241"/>
    <cellStyle name="Normal 2 3 4 2 4 2 2 2" xfId="9809"/>
    <cellStyle name="Normal 2 3 4 2 4 2 2 2 2" xfId="10863"/>
    <cellStyle name="Normal 2 3 4 2 4 2 2 2 2 2" xfId="14457"/>
    <cellStyle name="Normal 2 3 4 2 4 2 2 2 2 3" xfId="16120"/>
    <cellStyle name="Normal 2 3 4 2 4 2 2 2 3" xfId="13404"/>
    <cellStyle name="Normal 2 3 4 2 4 2 2 2 4" xfId="16119"/>
    <cellStyle name="Normal 2 3 4 2 4 2 2 3" xfId="10325"/>
    <cellStyle name="Normal 2 3 4 2 4 2 2 3 2" xfId="13919"/>
    <cellStyle name="Normal 2 3 4 2 4 2 2 3 3" xfId="16121"/>
    <cellStyle name="Normal 2 3 4 2 4 2 2 4" xfId="11084"/>
    <cellStyle name="Normal 2 3 4 2 4 2 2 4 2" xfId="14677"/>
    <cellStyle name="Normal 2 3 4 2 4 2 2 4 3" xfId="16122"/>
    <cellStyle name="Normal 2 3 4 2 4 2 2 5" xfId="12866"/>
    <cellStyle name="Normal 2 3 4 2 4 2 2 6" xfId="16118"/>
    <cellStyle name="Normal 2 3 4 2 4 2 3" xfId="9553"/>
    <cellStyle name="Normal 2 3 4 2 4 2 3 2" xfId="10607"/>
    <cellStyle name="Normal 2 3 4 2 4 2 3 2 2" xfId="14201"/>
    <cellStyle name="Normal 2 3 4 2 4 2 3 2 3" xfId="16124"/>
    <cellStyle name="Normal 2 3 4 2 4 2 3 3" xfId="13148"/>
    <cellStyle name="Normal 2 3 4 2 4 2 3 4" xfId="16123"/>
    <cellStyle name="Normal 2 3 4 2 4 2 4" xfId="10069"/>
    <cellStyle name="Normal 2 3 4 2 4 2 4 2" xfId="13663"/>
    <cellStyle name="Normal 2 3 4 2 4 2 4 3" xfId="16125"/>
    <cellStyle name="Normal 2 3 4 2 4 2 5" xfId="11083"/>
    <cellStyle name="Normal 2 3 4 2 4 2 5 2" xfId="14676"/>
    <cellStyle name="Normal 2 3 4 2 4 2 5 3" xfId="16126"/>
    <cellStyle name="Normal 2 3 4 2 4 2 6" xfId="12610"/>
    <cellStyle name="Normal 2 3 4 2 4 2 7" xfId="16117"/>
    <cellStyle name="Normal 2 3 4 2 4 3" xfId="9113"/>
    <cellStyle name="Normal 2 3 4 2 4 3 2" xfId="9681"/>
    <cellStyle name="Normal 2 3 4 2 4 3 2 2" xfId="10735"/>
    <cellStyle name="Normal 2 3 4 2 4 3 2 2 2" xfId="14329"/>
    <cellStyle name="Normal 2 3 4 2 4 3 2 2 3" xfId="16129"/>
    <cellStyle name="Normal 2 3 4 2 4 3 2 3" xfId="13276"/>
    <cellStyle name="Normal 2 3 4 2 4 3 2 4" xfId="16128"/>
    <cellStyle name="Normal 2 3 4 2 4 3 3" xfId="10197"/>
    <cellStyle name="Normal 2 3 4 2 4 3 3 2" xfId="13791"/>
    <cellStyle name="Normal 2 3 4 2 4 3 3 3" xfId="16130"/>
    <cellStyle name="Normal 2 3 4 2 4 3 4" xfId="11085"/>
    <cellStyle name="Normal 2 3 4 2 4 3 4 2" xfId="14678"/>
    <cellStyle name="Normal 2 3 4 2 4 3 4 3" xfId="16131"/>
    <cellStyle name="Normal 2 3 4 2 4 3 5" xfId="12738"/>
    <cellStyle name="Normal 2 3 4 2 4 3 6" xfId="16127"/>
    <cellStyle name="Normal 2 3 4 2 4 4" xfId="9425"/>
    <cellStyle name="Normal 2 3 4 2 4 4 2" xfId="10479"/>
    <cellStyle name="Normal 2 3 4 2 4 4 2 2" xfId="14073"/>
    <cellStyle name="Normal 2 3 4 2 4 4 2 3" xfId="16133"/>
    <cellStyle name="Normal 2 3 4 2 4 4 3" xfId="13020"/>
    <cellStyle name="Normal 2 3 4 2 4 4 4" xfId="16132"/>
    <cellStyle name="Normal 2 3 4 2 4 5" xfId="9941"/>
    <cellStyle name="Normal 2 3 4 2 4 5 2" xfId="13535"/>
    <cellStyle name="Normal 2 3 4 2 4 5 3" xfId="16134"/>
    <cellStyle name="Normal 2 3 4 2 4 6" xfId="11082"/>
    <cellStyle name="Normal 2 3 4 2 4 6 2" xfId="14675"/>
    <cellStyle name="Normal 2 3 4 2 4 6 3" xfId="16135"/>
    <cellStyle name="Normal 2 3 4 2 4 7" xfId="12482"/>
    <cellStyle name="Normal 2 3 4 2 4 8" xfId="16116"/>
    <cellStyle name="Normal 2 3 4 2 5" xfId="8879"/>
    <cellStyle name="Normal 2 3 4 2 5 2" xfId="9135"/>
    <cellStyle name="Normal 2 3 4 2 5 2 2" xfId="9703"/>
    <cellStyle name="Normal 2 3 4 2 5 2 2 2" xfId="10757"/>
    <cellStyle name="Normal 2 3 4 2 5 2 2 2 2" xfId="14351"/>
    <cellStyle name="Normal 2 3 4 2 5 2 2 2 3" xfId="16139"/>
    <cellStyle name="Normal 2 3 4 2 5 2 2 3" xfId="13298"/>
    <cellStyle name="Normal 2 3 4 2 5 2 2 4" xfId="16138"/>
    <cellStyle name="Normal 2 3 4 2 5 2 3" xfId="10219"/>
    <cellStyle name="Normal 2 3 4 2 5 2 3 2" xfId="13813"/>
    <cellStyle name="Normal 2 3 4 2 5 2 3 3" xfId="16140"/>
    <cellStyle name="Normal 2 3 4 2 5 2 4" xfId="11087"/>
    <cellStyle name="Normal 2 3 4 2 5 2 4 2" xfId="14680"/>
    <cellStyle name="Normal 2 3 4 2 5 2 4 3" xfId="16141"/>
    <cellStyle name="Normal 2 3 4 2 5 2 5" xfId="12760"/>
    <cellStyle name="Normal 2 3 4 2 5 2 6" xfId="16137"/>
    <cellStyle name="Normal 2 3 4 2 5 3" xfId="9447"/>
    <cellStyle name="Normal 2 3 4 2 5 3 2" xfId="10501"/>
    <cellStyle name="Normal 2 3 4 2 5 3 2 2" xfId="14095"/>
    <cellStyle name="Normal 2 3 4 2 5 3 2 3" xfId="16143"/>
    <cellStyle name="Normal 2 3 4 2 5 3 3" xfId="13042"/>
    <cellStyle name="Normal 2 3 4 2 5 3 4" xfId="16142"/>
    <cellStyle name="Normal 2 3 4 2 5 4" xfId="9963"/>
    <cellStyle name="Normal 2 3 4 2 5 4 2" xfId="13557"/>
    <cellStyle name="Normal 2 3 4 2 5 4 3" xfId="16144"/>
    <cellStyle name="Normal 2 3 4 2 5 5" xfId="11086"/>
    <cellStyle name="Normal 2 3 4 2 5 5 2" xfId="14679"/>
    <cellStyle name="Normal 2 3 4 2 5 5 3" xfId="16145"/>
    <cellStyle name="Normal 2 3 4 2 5 6" xfId="12504"/>
    <cellStyle name="Normal 2 3 4 2 5 7" xfId="16136"/>
    <cellStyle name="Normal 2 3 4 2 6" xfId="9007"/>
    <cellStyle name="Normal 2 3 4 2 6 2" xfId="9575"/>
    <cellStyle name="Normal 2 3 4 2 6 2 2" xfId="10629"/>
    <cellStyle name="Normal 2 3 4 2 6 2 2 2" xfId="14223"/>
    <cellStyle name="Normal 2 3 4 2 6 2 2 3" xfId="16148"/>
    <cellStyle name="Normal 2 3 4 2 6 2 3" xfId="13170"/>
    <cellStyle name="Normal 2 3 4 2 6 2 4" xfId="16147"/>
    <cellStyle name="Normal 2 3 4 2 6 3" xfId="10091"/>
    <cellStyle name="Normal 2 3 4 2 6 3 2" xfId="13685"/>
    <cellStyle name="Normal 2 3 4 2 6 3 3" xfId="16149"/>
    <cellStyle name="Normal 2 3 4 2 6 4" xfId="11088"/>
    <cellStyle name="Normal 2 3 4 2 6 4 2" xfId="14681"/>
    <cellStyle name="Normal 2 3 4 2 6 4 3" xfId="16150"/>
    <cellStyle name="Normal 2 3 4 2 6 5" xfId="12632"/>
    <cellStyle name="Normal 2 3 4 2 6 6" xfId="16146"/>
    <cellStyle name="Normal 2 3 4 2 7" xfId="9319"/>
    <cellStyle name="Normal 2 3 4 2 7 2" xfId="10373"/>
    <cellStyle name="Normal 2 3 4 2 7 2 2" xfId="13967"/>
    <cellStyle name="Normal 2 3 4 2 7 2 3" xfId="16152"/>
    <cellStyle name="Normal 2 3 4 2 7 3" xfId="12914"/>
    <cellStyle name="Normal 2 3 4 2 7 4" xfId="16151"/>
    <cellStyle name="Normal 2 3 4 2 8" xfId="9835"/>
    <cellStyle name="Normal 2 3 4 2 8 2" xfId="13429"/>
    <cellStyle name="Normal 2 3 4 2 8 3" xfId="16153"/>
    <cellStyle name="Normal 2 3 4 2 9" xfId="11073"/>
    <cellStyle name="Normal 2 3 4 2 9 2" xfId="14666"/>
    <cellStyle name="Normal 2 3 4 2 9 3" xfId="16154"/>
    <cellStyle name="Normal 2 3 4 3" xfId="8777"/>
    <cellStyle name="Normal 2 3 4 3 2" xfId="8905"/>
    <cellStyle name="Normal 2 3 4 3 2 2" xfId="9161"/>
    <cellStyle name="Normal 2 3 4 3 2 2 2" xfId="9729"/>
    <cellStyle name="Normal 2 3 4 3 2 2 2 2" xfId="10783"/>
    <cellStyle name="Normal 2 3 4 3 2 2 2 2 2" xfId="14377"/>
    <cellStyle name="Normal 2 3 4 3 2 2 2 2 3" xfId="16159"/>
    <cellStyle name="Normal 2 3 4 3 2 2 2 3" xfId="13324"/>
    <cellStyle name="Normal 2 3 4 3 2 2 2 4" xfId="16158"/>
    <cellStyle name="Normal 2 3 4 3 2 2 3" xfId="10245"/>
    <cellStyle name="Normal 2 3 4 3 2 2 3 2" xfId="13839"/>
    <cellStyle name="Normal 2 3 4 3 2 2 3 3" xfId="16160"/>
    <cellStyle name="Normal 2 3 4 3 2 2 4" xfId="11091"/>
    <cellStyle name="Normal 2 3 4 3 2 2 4 2" xfId="14684"/>
    <cellStyle name="Normal 2 3 4 3 2 2 4 3" xfId="16161"/>
    <cellStyle name="Normal 2 3 4 3 2 2 5" xfId="12786"/>
    <cellStyle name="Normal 2 3 4 3 2 2 6" xfId="16157"/>
    <cellStyle name="Normal 2 3 4 3 2 3" xfId="9473"/>
    <cellStyle name="Normal 2 3 4 3 2 3 2" xfId="10527"/>
    <cellStyle name="Normal 2 3 4 3 2 3 2 2" xfId="14121"/>
    <cellStyle name="Normal 2 3 4 3 2 3 2 3" xfId="16163"/>
    <cellStyle name="Normal 2 3 4 3 2 3 3" xfId="13068"/>
    <cellStyle name="Normal 2 3 4 3 2 3 4" xfId="16162"/>
    <cellStyle name="Normal 2 3 4 3 2 4" xfId="9989"/>
    <cellStyle name="Normal 2 3 4 3 2 4 2" xfId="13583"/>
    <cellStyle name="Normal 2 3 4 3 2 4 3" xfId="16164"/>
    <cellStyle name="Normal 2 3 4 3 2 5" xfId="11090"/>
    <cellStyle name="Normal 2 3 4 3 2 5 2" xfId="14683"/>
    <cellStyle name="Normal 2 3 4 3 2 5 3" xfId="16165"/>
    <cellStyle name="Normal 2 3 4 3 2 6" xfId="12530"/>
    <cellStyle name="Normal 2 3 4 3 2 7" xfId="16156"/>
    <cellStyle name="Normal 2 3 4 3 3" xfId="9033"/>
    <cellStyle name="Normal 2 3 4 3 3 2" xfId="9601"/>
    <cellStyle name="Normal 2 3 4 3 3 2 2" xfId="10655"/>
    <cellStyle name="Normal 2 3 4 3 3 2 2 2" xfId="14249"/>
    <cellStyle name="Normal 2 3 4 3 3 2 2 3" xfId="16168"/>
    <cellStyle name="Normal 2 3 4 3 3 2 3" xfId="13196"/>
    <cellStyle name="Normal 2 3 4 3 3 2 4" xfId="16167"/>
    <cellStyle name="Normal 2 3 4 3 3 3" xfId="10117"/>
    <cellStyle name="Normal 2 3 4 3 3 3 2" xfId="13711"/>
    <cellStyle name="Normal 2 3 4 3 3 3 3" xfId="16169"/>
    <cellStyle name="Normal 2 3 4 3 3 4" xfId="11092"/>
    <cellStyle name="Normal 2 3 4 3 3 4 2" xfId="14685"/>
    <cellStyle name="Normal 2 3 4 3 3 4 3" xfId="16170"/>
    <cellStyle name="Normal 2 3 4 3 3 5" xfId="12658"/>
    <cellStyle name="Normal 2 3 4 3 3 6" xfId="16166"/>
    <cellStyle name="Normal 2 3 4 3 4" xfId="9345"/>
    <cellStyle name="Normal 2 3 4 3 4 2" xfId="10399"/>
    <cellStyle name="Normal 2 3 4 3 4 2 2" xfId="13993"/>
    <cellStyle name="Normal 2 3 4 3 4 2 3" xfId="16172"/>
    <cellStyle name="Normal 2 3 4 3 4 3" xfId="12940"/>
    <cellStyle name="Normal 2 3 4 3 4 4" xfId="16171"/>
    <cellStyle name="Normal 2 3 4 3 5" xfId="9861"/>
    <cellStyle name="Normal 2 3 4 3 5 2" xfId="13455"/>
    <cellStyle name="Normal 2 3 4 3 5 3" xfId="16173"/>
    <cellStyle name="Normal 2 3 4 3 6" xfId="11089"/>
    <cellStyle name="Normal 2 3 4 3 6 2" xfId="14682"/>
    <cellStyle name="Normal 2 3 4 3 6 3" xfId="16174"/>
    <cellStyle name="Normal 2 3 4 3 7" xfId="12402"/>
    <cellStyle name="Normal 2 3 4 3 8" xfId="16155"/>
    <cellStyle name="Normal 2 3 4 4" xfId="8809"/>
    <cellStyle name="Normal 2 3 4 4 2" xfId="8937"/>
    <cellStyle name="Normal 2 3 4 4 2 2" xfId="9193"/>
    <cellStyle name="Normal 2 3 4 4 2 2 2" xfId="9761"/>
    <cellStyle name="Normal 2 3 4 4 2 2 2 2" xfId="10815"/>
    <cellStyle name="Normal 2 3 4 4 2 2 2 2 2" xfId="14409"/>
    <cellStyle name="Normal 2 3 4 4 2 2 2 2 3" xfId="16179"/>
    <cellStyle name="Normal 2 3 4 4 2 2 2 3" xfId="13356"/>
    <cellStyle name="Normal 2 3 4 4 2 2 2 4" xfId="16178"/>
    <cellStyle name="Normal 2 3 4 4 2 2 3" xfId="10277"/>
    <cellStyle name="Normal 2 3 4 4 2 2 3 2" xfId="13871"/>
    <cellStyle name="Normal 2 3 4 4 2 2 3 3" xfId="16180"/>
    <cellStyle name="Normal 2 3 4 4 2 2 4" xfId="11095"/>
    <cellStyle name="Normal 2 3 4 4 2 2 4 2" xfId="14688"/>
    <cellStyle name="Normal 2 3 4 4 2 2 4 3" xfId="16181"/>
    <cellStyle name="Normal 2 3 4 4 2 2 5" xfId="12818"/>
    <cellStyle name="Normal 2 3 4 4 2 2 6" xfId="16177"/>
    <cellStyle name="Normal 2 3 4 4 2 3" xfId="9505"/>
    <cellStyle name="Normal 2 3 4 4 2 3 2" xfId="10559"/>
    <cellStyle name="Normal 2 3 4 4 2 3 2 2" xfId="14153"/>
    <cellStyle name="Normal 2 3 4 4 2 3 2 3" xfId="16183"/>
    <cellStyle name="Normal 2 3 4 4 2 3 3" xfId="13100"/>
    <cellStyle name="Normal 2 3 4 4 2 3 4" xfId="16182"/>
    <cellStyle name="Normal 2 3 4 4 2 4" xfId="10021"/>
    <cellStyle name="Normal 2 3 4 4 2 4 2" xfId="13615"/>
    <cellStyle name="Normal 2 3 4 4 2 4 3" xfId="16184"/>
    <cellStyle name="Normal 2 3 4 4 2 5" xfId="11094"/>
    <cellStyle name="Normal 2 3 4 4 2 5 2" xfId="14687"/>
    <cellStyle name="Normal 2 3 4 4 2 5 3" xfId="16185"/>
    <cellStyle name="Normal 2 3 4 4 2 6" xfId="12562"/>
    <cellStyle name="Normal 2 3 4 4 2 7" xfId="16176"/>
    <cellStyle name="Normal 2 3 4 4 3" xfId="9065"/>
    <cellStyle name="Normal 2 3 4 4 3 2" xfId="9633"/>
    <cellStyle name="Normal 2 3 4 4 3 2 2" xfId="10687"/>
    <cellStyle name="Normal 2 3 4 4 3 2 2 2" xfId="14281"/>
    <cellStyle name="Normal 2 3 4 4 3 2 2 3" xfId="16188"/>
    <cellStyle name="Normal 2 3 4 4 3 2 3" xfId="13228"/>
    <cellStyle name="Normal 2 3 4 4 3 2 4" xfId="16187"/>
    <cellStyle name="Normal 2 3 4 4 3 3" xfId="10149"/>
    <cellStyle name="Normal 2 3 4 4 3 3 2" xfId="13743"/>
    <cellStyle name="Normal 2 3 4 4 3 3 3" xfId="16189"/>
    <cellStyle name="Normal 2 3 4 4 3 4" xfId="11096"/>
    <cellStyle name="Normal 2 3 4 4 3 4 2" xfId="14689"/>
    <cellStyle name="Normal 2 3 4 4 3 4 3" xfId="16190"/>
    <cellStyle name="Normal 2 3 4 4 3 5" xfId="12690"/>
    <cellStyle name="Normal 2 3 4 4 3 6" xfId="16186"/>
    <cellStyle name="Normal 2 3 4 4 4" xfId="9377"/>
    <cellStyle name="Normal 2 3 4 4 4 2" xfId="10431"/>
    <cellStyle name="Normal 2 3 4 4 4 2 2" xfId="14025"/>
    <cellStyle name="Normal 2 3 4 4 4 2 3" xfId="16192"/>
    <cellStyle name="Normal 2 3 4 4 4 3" xfId="12972"/>
    <cellStyle name="Normal 2 3 4 4 4 4" xfId="16191"/>
    <cellStyle name="Normal 2 3 4 4 5" xfId="9893"/>
    <cellStyle name="Normal 2 3 4 4 5 2" xfId="13487"/>
    <cellStyle name="Normal 2 3 4 4 5 3" xfId="16193"/>
    <cellStyle name="Normal 2 3 4 4 6" xfId="11093"/>
    <cellStyle name="Normal 2 3 4 4 6 2" xfId="14686"/>
    <cellStyle name="Normal 2 3 4 4 6 3" xfId="16194"/>
    <cellStyle name="Normal 2 3 4 4 7" xfId="12434"/>
    <cellStyle name="Normal 2 3 4 4 8" xfId="16175"/>
    <cellStyle name="Normal 2 3 4 5" xfId="8841"/>
    <cellStyle name="Normal 2 3 4 5 2" xfId="8969"/>
    <cellStyle name="Normal 2 3 4 5 2 2" xfId="9225"/>
    <cellStyle name="Normal 2 3 4 5 2 2 2" xfId="9793"/>
    <cellStyle name="Normal 2 3 4 5 2 2 2 2" xfId="10847"/>
    <cellStyle name="Normal 2 3 4 5 2 2 2 2 2" xfId="14441"/>
    <cellStyle name="Normal 2 3 4 5 2 2 2 2 3" xfId="16199"/>
    <cellStyle name="Normal 2 3 4 5 2 2 2 3" xfId="13388"/>
    <cellStyle name="Normal 2 3 4 5 2 2 2 4" xfId="16198"/>
    <cellStyle name="Normal 2 3 4 5 2 2 3" xfId="10309"/>
    <cellStyle name="Normal 2 3 4 5 2 2 3 2" xfId="13903"/>
    <cellStyle name="Normal 2 3 4 5 2 2 3 3" xfId="16200"/>
    <cellStyle name="Normal 2 3 4 5 2 2 4" xfId="11099"/>
    <cellStyle name="Normal 2 3 4 5 2 2 4 2" xfId="14692"/>
    <cellStyle name="Normal 2 3 4 5 2 2 4 3" xfId="16201"/>
    <cellStyle name="Normal 2 3 4 5 2 2 5" xfId="12850"/>
    <cellStyle name="Normal 2 3 4 5 2 2 6" xfId="16197"/>
    <cellStyle name="Normal 2 3 4 5 2 3" xfId="9537"/>
    <cellStyle name="Normal 2 3 4 5 2 3 2" xfId="10591"/>
    <cellStyle name="Normal 2 3 4 5 2 3 2 2" xfId="14185"/>
    <cellStyle name="Normal 2 3 4 5 2 3 2 3" xfId="16203"/>
    <cellStyle name="Normal 2 3 4 5 2 3 3" xfId="13132"/>
    <cellStyle name="Normal 2 3 4 5 2 3 4" xfId="16202"/>
    <cellStyle name="Normal 2 3 4 5 2 4" xfId="10053"/>
    <cellStyle name="Normal 2 3 4 5 2 4 2" xfId="13647"/>
    <cellStyle name="Normal 2 3 4 5 2 4 3" xfId="16204"/>
    <cellStyle name="Normal 2 3 4 5 2 5" xfId="11098"/>
    <cellStyle name="Normal 2 3 4 5 2 5 2" xfId="14691"/>
    <cellStyle name="Normal 2 3 4 5 2 5 3" xfId="16205"/>
    <cellStyle name="Normal 2 3 4 5 2 6" xfId="12594"/>
    <cellStyle name="Normal 2 3 4 5 2 7" xfId="16196"/>
    <cellStyle name="Normal 2 3 4 5 3" xfId="9097"/>
    <cellStyle name="Normal 2 3 4 5 3 2" xfId="9665"/>
    <cellStyle name="Normal 2 3 4 5 3 2 2" xfId="10719"/>
    <cellStyle name="Normal 2 3 4 5 3 2 2 2" xfId="14313"/>
    <cellStyle name="Normal 2 3 4 5 3 2 2 3" xfId="16208"/>
    <cellStyle name="Normal 2 3 4 5 3 2 3" xfId="13260"/>
    <cellStyle name="Normal 2 3 4 5 3 2 4" xfId="16207"/>
    <cellStyle name="Normal 2 3 4 5 3 3" xfId="10181"/>
    <cellStyle name="Normal 2 3 4 5 3 3 2" xfId="13775"/>
    <cellStyle name="Normal 2 3 4 5 3 3 3" xfId="16209"/>
    <cellStyle name="Normal 2 3 4 5 3 4" xfId="11100"/>
    <cellStyle name="Normal 2 3 4 5 3 4 2" xfId="14693"/>
    <cellStyle name="Normal 2 3 4 5 3 4 3" xfId="16210"/>
    <cellStyle name="Normal 2 3 4 5 3 5" xfId="12722"/>
    <cellStyle name="Normal 2 3 4 5 3 6" xfId="16206"/>
    <cellStyle name="Normal 2 3 4 5 4" xfId="9409"/>
    <cellStyle name="Normal 2 3 4 5 4 2" xfId="10463"/>
    <cellStyle name="Normal 2 3 4 5 4 2 2" xfId="14057"/>
    <cellStyle name="Normal 2 3 4 5 4 2 3" xfId="16212"/>
    <cellStyle name="Normal 2 3 4 5 4 3" xfId="13004"/>
    <cellStyle name="Normal 2 3 4 5 4 4" xfId="16211"/>
    <cellStyle name="Normal 2 3 4 5 5" xfId="9925"/>
    <cellStyle name="Normal 2 3 4 5 5 2" xfId="13519"/>
    <cellStyle name="Normal 2 3 4 5 5 3" xfId="16213"/>
    <cellStyle name="Normal 2 3 4 5 6" xfId="11097"/>
    <cellStyle name="Normal 2 3 4 5 6 2" xfId="14690"/>
    <cellStyle name="Normal 2 3 4 5 6 3" xfId="16214"/>
    <cellStyle name="Normal 2 3 4 5 7" xfId="12466"/>
    <cellStyle name="Normal 2 3 4 5 8" xfId="16195"/>
    <cellStyle name="Normal 2 3 4 6" xfId="8878"/>
    <cellStyle name="Normal 2 3 4 6 2" xfId="9134"/>
    <cellStyle name="Normal 2 3 4 6 2 2" xfId="9702"/>
    <cellStyle name="Normal 2 3 4 6 2 2 2" xfId="10756"/>
    <cellStyle name="Normal 2 3 4 6 2 2 2 2" xfId="14350"/>
    <cellStyle name="Normal 2 3 4 6 2 2 2 3" xfId="16218"/>
    <cellStyle name="Normal 2 3 4 6 2 2 3" xfId="13297"/>
    <cellStyle name="Normal 2 3 4 6 2 2 4" xfId="16217"/>
    <cellStyle name="Normal 2 3 4 6 2 3" xfId="10218"/>
    <cellStyle name="Normal 2 3 4 6 2 3 2" xfId="13812"/>
    <cellStyle name="Normal 2 3 4 6 2 3 3" xfId="16219"/>
    <cellStyle name="Normal 2 3 4 6 2 4" xfId="11102"/>
    <cellStyle name="Normal 2 3 4 6 2 4 2" xfId="14695"/>
    <cellStyle name="Normal 2 3 4 6 2 4 3" xfId="16220"/>
    <cellStyle name="Normal 2 3 4 6 2 5" xfId="12759"/>
    <cellStyle name="Normal 2 3 4 6 2 6" xfId="16216"/>
    <cellStyle name="Normal 2 3 4 6 3" xfId="9446"/>
    <cellStyle name="Normal 2 3 4 6 3 2" xfId="10500"/>
    <cellStyle name="Normal 2 3 4 6 3 2 2" xfId="14094"/>
    <cellStyle name="Normal 2 3 4 6 3 2 3" xfId="16222"/>
    <cellStyle name="Normal 2 3 4 6 3 3" xfId="13041"/>
    <cellStyle name="Normal 2 3 4 6 3 4" xfId="16221"/>
    <cellStyle name="Normal 2 3 4 6 4" xfId="9962"/>
    <cellStyle name="Normal 2 3 4 6 4 2" xfId="13556"/>
    <cellStyle name="Normal 2 3 4 6 4 3" xfId="16223"/>
    <cellStyle name="Normal 2 3 4 6 5" xfId="11101"/>
    <cellStyle name="Normal 2 3 4 6 5 2" xfId="14694"/>
    <cellStyle name="Normal 2 3 4 6 5 3" xfId="16224"/>
    <cellStyle name="Normal 2 3 4 6 6" xfId="12503"/>
    <cellStyle name="Normal 2 3 4 6 7" xfId="16215"/>
    <cellStyle name="Normal 2 3 4 7" xfId="9006"/>
    <cellStyle name="Normal 2 3 4 7 2" xfId="9574"/>
    <cellStyle name="Normal 2 3 4 7 2 2" xfId="10628"/>
    <cellStyle name="Normal 2 3 4 7 2 2 2" xfId="14222"/>
    <cellStyle name="Normal 2 3 4 7 2 2 3" xfId="16227"/>
    <cellStyle name="Normal 2 3 4 7 2 3" xfId="13169"/>
    <cellStyle name="Normal 2 3 4 7 2 4" xfId="16226"/>
    <cellStyle name="Normal 2 3 4 7 3" xfId="10090"/>
    <cellStyle name="Normal 2 3 4 7 3 2" xfId="13684"/>
    <cellStyle name="Normal 2 3 4 7 3 3" xfId="16228"/>
    <cellStyle name="Normal 2 3 4 7 4" xfId="11103"/>
    <cellStyle name="Normal 2 3 4 7 4 2" xfId="14696"/>
    <cellStyle name="Normal 2 3 4 7 4 3" xfId="16229"/>
    <cellStyle name="Normal 2 3 4 7 5" xfId="12631"/>
    <cellStyle name="Normal 2 3 4 7 6" xfId="16225"/>
    <cellStyle name="Normal 2 3 4 8" xfId="9318"/>
    <cellStyle name="Normal 2 3 4 8 2" xfId="10372"/>
    <cellStyle name="Normal 2 3 4 8 2 2" xfId="13966"/>
    <cellStyle name="Normal 2 3 4 8 2 3" xfId="16231"/>
    <cellStyle name="Normal 2 3 4 8 3" xfId="12913"/>
    <cellStyle name="Normal 2 3 4 8 4" xfId="16230"/>
    <cellStyle name="Normal 2 3 4 9" xfId="9834"/>
    <cellStyle name="Normal 2 3 4 9 2" xfId="13428"/>
    <cellStyle name="Normal 2 3 4 9 3" xfId="16232"/>
    <cellStyle name="Normal 2 3 5" xfId="1512"/>
    <cellStyle name="Normal 2 3 5 10" xfId="12352"/>
    <cellStyle name="Normal 2 3 5 11" xfId="16233"/>
    <cellStyle name="Normal 2 3 5 2" xfId="8785"/>
    <cellStyle name="Normal 2 3 5 2 2" xfId="8913"/>
    <cellStyle name="Normal 2 3 5 2 2 2" xfId="9169"/>
    <cellStyle name="Normal 2 3 5 2 2 2 2" xfId="9737"/>
    <cellStyle name="Normal 2 3 5 2 2 2 2 2" xfId="10791"/>
    <cellStyle name="Normal 2 3 5 2 2 2 2 2 2" xfId="14385"/>
    <cellStyle name="Normal 2 3 5 2 2 2 2 2 3" xfId="16238"/>
    <cellStyle name="Normal 2 3 5 2 2 2 2 3" xfId="13332"/>
    <cellStyle name="Normal 2 3 5 2 2 2 2 4" xfId="16237"/>
    <cellStyle name="Normal 2 3 5 2 2 2 3" xfId="10253"/>
    <cellStyle name="Normal 2 3 5 2 2 2 3 2" xfId="13847"/>
    <cellStyle name="Normal 2 3 5 2 2 2 3 3" xfId="16239"/>
    <cellStyle name="Normal 2 3 5 2 2 2 4" xfId="11107"/>
    <cellStyle name="Normal 2 3 5 2 2 2 4 2" xfId="14700"/>
    <cellStyle name="Normal 2 3 5 2 2 2 4 3" xfId="16240"/>
    <cellStyle name="Normal 2 3 5 2 2 2 5" xfId="12794"/>
    <cellStyle name="Normal 2 3 5 2 2 2 6" xfId="16236"/>
    <cellStyle name="Normal 2 3 5 2 2 3" xfId="9481"/>
    <cellStyle name="Normal 2 3 5 2 2 3 2" xfId="10535"/>
    <cellStyle name="Normal 2 3 5 2 2 3 2 2" xfId="14129"/>
    <cellStyle name="Normal 2 3 5 2 2 3 2 3" xfId="16242"/>
    <cellStyle name="Normal 2 3 5 2 2 3 3" xfId="13076"/>
    <cellStyle name="Normal 2 3 5 2 2 3 4" xfId="16241"/>
    <cellStyle name="Normal 2 3 5 2 2 4" xfId="9997"/>
    <cellStyle name="Normal 2 3 5 2 2 4 2" xfId="13591"/>
    <cellStyle name="Normal 2 3 5 2 2 4 3" xfId="16243"/>
    <cellStyle name="Normal 2 3 5 2 2 5" xfId="11106"/>
    <cellStyle name="Normal 2 3 5 2 2 5 2" xfId="14699"/>
    <cellStyle name="Normal 2 3 5 2 2 5 3" xfId="16244"/>
    <cellStyle name="Normal 2 3 5 2 2 6" xfId="12538"/>
    <cellStyle name="Normal 2 3 5 2 2 7" xfId="16235"/>
    <cellStyle name="Normal 2 3 5 2 3" xfId="9041"/>
    <cellStyle name="Normal 2 3 5 2 3 2" xfId="9609"/>
    <cellStyle name="Normal 2 3 5 2 3 2 2" xfId="10663"/>
    <cellStyle name="Normal 2 3 5 2 3 2 2 2" xfId="14257"/>
    <cellStyle name="Normal 2 3 5 2 3 2 2 3" xfId="16247"/>
    <cellStyle name="Normal 2 3 5 2 3 2 3" xfId="13204"/>
    <cellStyle name="Normal 2 3 5 2 3 2 4" xfId="16246"/>
    <cellStyle name="Normal 2 3 5 2 3 3" xfId="10125"/>
    <cellStyle name="Normal 2 3 5 2 3 3 2" xfId="13719"/>
    <cellStyle name="Normal 2 3 5 2 3 3 3" xfId="16248"/>
    <cellStyle name="Normal 2 3 5 2 3 4" xfId="11108"/>
    <cellStyle name="Normal 2 3 5 2 3 4 2" xfId="14701"/>
    <cellStyle name="Normal 2 3 5 2 3 4 3" xfId="16249"/>
    <cellStyle name="Normal 2 3 5 2 3 5" xfId="12666"/>
    <cellStyle name="Normal 2 3 5 2 3 6" xfId="16245"/>
    <cellStyle name="Normal 2 3 5 2 4" xfId="9353"/>
    <cellStyle name="Normal 2 3 5 2 4 2" xfId="10407"/>
    <cellStyle name="Normal 2 3 5 2 4 2 2" xfId="14001"/>
    <cellStyle name="Normal 2 3 5 2 4 2 3" xfId="16251"/>
    <cellStyle name="Normal 2 3 5 2 4 3" xfId="12948"/>
    <cellStyle name="Normal 2 3 5 2 4 4" xfId="16250"/>
    <cellStyle name="Normal 2 3 5 2 5" xfId="9869"/>
    <cellStyle name="Normal 2 3 5 2 5 2" xfId="13463"/>
    <cellStyle name="Normal 2 3 5 2 5 3" xfId="16252"/>
    <cellStyle name="Normal 2 3 5 2 6" xfId="11105"/>
    <cellStyle name="Normal 2 3 5 2 6 2" xfId="14698"/>
    <cellStyle name="Normal 2 3 5 2 6 3" xfId="16253"/>
    <cellStyle name="Normal 2 3 5 2 7" xfId="12410"/>
    <cellStyle name="Normal 2 3 5 2 8" xfId="16234"/>
    <cellStyle name="Normal 2 3 5 3" xfId="8817"/>
    <cellStyle name="Normal 2 3 5 3 2" xfId="8945"/>
    <cellStyle name="Normal 2 3 5 3 2 2" xfId="9201"/>
    <cellStyle name="Normal 2 3 5 3 2 2 2" xfId="9769"/>
    <cellStyle name="Normal 2 3 5 3 2 2 2 2" xfId="10823"/>
    <cellStyle name="Normal 2 3 5 3 2 2 2 2 2" xfId="14417"/>
    <cellStyle name="Normal 2 3 5 3 2 2 2 2 3" xfId="16258"/>
    <cellStyle name="Normal 2 3 5 3 2 2 2 3" xfId="13364"/>
    <cellStyle name="Normal 2 3 5 3 2 2 2 4" xfId="16257"/>
    <cellStyle name="Normal 2 3 5 3 2 2 3" xfId="10285"/>
    <cellStyle name="Normal 2 3 5 3 2 2 3 2" xfId="13879"/>
    <cellStyle name="Normal 2 3 5 3 2 2 3 3" xfId="16259"/>
    <cellStyle name="Normal 2 3 5 3 2 2 4" xfId="11111"/>
    <cellStyle name="Normal 2 3 5 3 2 2 4 2" xfId="14704"/>
    <cellStyle name="Normal 2 3 5 3 2 2 4 3" xfId="16260"/>
    <cellStyle name="Normal 2 3 5 3 2 2 5" xfId="12826"/>
    <cellStyle name="Normal 2 3 5 3 2 2 6" xfId="16256"/>
    <cellStyle name="Normal 2 3 5 3 2 3" xfId="9513"/>
    <cellStyle name="Normal 2 3 5 3 2 3 2" xfId="10567"/>
    <cellStyle name="Normal 2 3 5 3 2 3 2 2" xfId="14161"/>
    <cellStyle name="Normal 2 3 5 3 2 3 2 3" xfId="16262"/>
    <cellStyle name="Normal 2 3 5 3 2 3 3" xfId="13108"/>
    <cellStyle name="Normal 2 3 5 3 2 3 4" xfId="16261"/>
    <cellStyle name="Normal 2 3 5 3 2 4" xfId="10029"/>
    <cellStyle name="Normal 2 3 5 3 2 4 2" xfId="13623"/>
    <cellStyle name="Normal 2 3 5 3 2 4 3" xfId="16263"/>
    <cellStyle name="Normal 2 3 5 3 2 5" xfId="11110"/>
    <cellStyle name="Normal 2 3 5 3 2 5 2" xfId="14703"/>
    <cellStyle name="Normal 2 3 5 3 2 5 3" xfId="16264"/>
    <cellStyle name="Normal 2 3 5 3 2 6" xfId="12570"/>
    <cellStyle name="Normal 2 3 5 3 2 7" xfId="16255"/>
    <cellStyle name="Normal 2 3 5 3 3" xfId="9073"/>
    <cellStyle name="Normal 2 3 5 3 3 2" xfId="9641"/>
    <cellStyle name="Normal 2 3 5 3 3 2 2" xfId="10695"/>
    <cellStyle name="Normal 2 3 5 3 3 2 2 2" xfId="14289"/>
    <cellStyle name="Normal 2 3 5 3 3 2 2 3" xfId="16267"/>
    <cellStyle name="Normal 2 3 5 3 3 2 3" xfId="13236"/>
    <cellStyle name="Normal 2 3 5 3 3 2 4" xfId="16266"/>
    <cellStyle name="Normal 2 3 5 3 3 3" xfId="10157"/>
    <cellStyle name="Normal 2 3 5 3 3 3 2" xfId="13751"/>
    <cellStyle name="Normal 2 3 5 3 3 3 3" xfId="16268"/>
    <cellStyle name="Normal 2 3 5 3 3 4" xfId="11112"/>
    <cellStyle name="Normal 2 3 5 3 3 4 2" xfId="14705"/>
    <cellStyle name="Normal 2 3 5 3 3 4 3" xfId="16269"/>
    <cellStyle name="Normal 2 3 5 3 3 5" xfId="12698"/>
    <cellStyle name="Normal 2 3 5 3 3 6" xfId="16265"/>
    <cellStyle name="Normal 2 3 5 3 4" xfId="9385"/>
    <cellStyle name="Normal 2 3 5 3 4 2" xfId="10439"/>
    <cellStyle name="Normal 2 3 5 3 4 2 2" xfId="14033"/>
    <cellStyle name="Normal 2 3 5 3 4 2 3" xfId="16271"/>
    <cellStyle name="Normal 2 3 5 3 4 3" xfId="12980"/>
    <cellStyle name="Normal 2 3 5 3 4 4" xfId="16270"/>
    <cellStyle name="Normal 2 3 5 3 5" xfId="9901"/>
    <cellStyle name="Normal 2 3 5 3 5 2" xfId="13495"/>
    <cellStyle name="Normal 2 3 5 3 5 3" xfId="16272"/>
    <cellStyle name="Normal 2 3 5 3 6" xfId="11109"/>
    <cellStyle name="Normal 2 3 5 3 6 2" xfId="14702"/>
    <cellStyle name="Normal 2 3 5 3 6 3" xfId="16273"/>
    <cellStyle name="Normal 2 3 5 3 7" xfId="12442"/>
    <cellStyle name="Normal 2 3 5 3 8" xfId="16254"/>
    <cellStyle name="Normal 2 3 5 4" xfId="8849"/>
    <cellStyle name="Normal 2 3 5 4 2" xfId="8977"/>
    <cellStyle name="Normal 2 3 5 4 2 2" xfId="9233"/>
    <cellStyle name="Normal 2 3 5 4 2 2 2" xfId="9801"/>
    <cellStyle name="Normal 2 3 5 4 2 2 2 2" xfId="10855"/>
    <cellStyle name="Normal 2 3 5 4 2 2 2 2 2" xfId="14449"/>
    <cellStyle name="Normal 2 3 5 4 2 2 2 2 3" xfId="16278"/>
    <cellStyle name="Normal 2 3 5 4 2 2 2 3" xfId="13396"/>
    <cellStyle name="Normal 2 3 5 4 2 2 2 4" xfId="16277"/>
    <cellStyle name="Normal 2 3 5 4 2 2 3" xfId="10317"/>
    <cellStyle name="Normal 2 3 5 4 2 2 3 2" xfId="13911"/>
    <cellStyle name="Normal 2 3 5 4 2 2 3 3" xfId="16279"/>
    <cellStyle name="Normal 2 3 5 4 2 2 4" xfId="11115"/>
    <cellStyle name="Normal 2 3 5 4 2 2 4 2" xfId="14708"/>
    <cellStyle name="Normal 2 3 5 4 2 2 4 3" xfId="16280"/>
    <cellStyle name="Normal 2 3 5 4 2 2 5" xfId="12858"/>
    <cellStyle name="Normal 2 3 5 4 2 2 6" xfId="16276"/>
    <cellStyle name="Normal 2 3 5 4 2 3" xfId="9545"/>
    <cellStyle name="Normal 2 3 5 4 2 3 2" xfId="10599"/>
    <cellStyle name="Normal 2 3 5 4 2 3 2 2" xfId="14193"/>
    <cellStyle name="Normal 2 3 5 4 2 3 2 3" xfId="16282"/>
    <cellStyle name="Normal 2 3 5 4 2 3 3" xfId="13140"/>
    <cellStyle name="Normal 2 3 5 4 2 3 4" xfId="16281"/>
    <cellStyle name="Normal 2 3 5 4 2 4" xfId="10061"/>
    <cellStyle name="Normal 2 3 5 4 2 4 2" xfId="13655"/>
    <cellStyle name="Normal 2 3 5 4 2 4 3" xfId="16283"/>
    <cellStyle name="Normal 2 3 5 4 2 5" xfId="11114"/>
    <cellStyle name="Normal 2 3 5 4 2 5 2" xfId="14707"/>
    <cellStyle name="Normal 2 3 5 4 2 5 3" xfId="16284"/>
    <cellStyle name="Normal 2 3 5 4 2 6" xfId="12602"/>
    <cellStyle name="Normal 2 3 5 4 2 7" xfId="16275"/>
    <cellStyle name="Normal 2 3 5 4 3" xfId="9105"/>
    <cellStyle name="Normal 2 3 5 4 3 2" xfId="9673"/>
    <cellStyle name="Normal 2 3 5 4 3 2 2" xfId="10727"/>
    <cellStyle name="Normal 2 3 5 4 3 2 2 2" xfId="14321"/>
    <cellStyle name="Normal 2 3 5 4 3 2 2 3" xfId="16287"/>
    <cellStyle name="Normal 2 3 5 4 3 2 3" xfId="13268"/>
    <cellStyle name="Normal 2 3 5 4 3 2 4" xfId="16286"/>
    <cellStyle name="Normal 2 3 5 4 3 3" xfId="10189"/>
    <cellStyle name="Normal 2 3 5 4 3 3 2" xfId="13783"/>
    <cellStyle name="Normal 2 3 5 4 3 3 3" xfId="16288"/>
    <cellStyle name="Normal 2 3 5 4 3 4" xfId="11116"/>
    <cellStyle name="Normal 2 3 5 4 3 4 2" xfId="14709"/>
    <cellStyle name="Normal 2 3 5 4 3 4 3" xfId="16289"/>
    <cellStyle name="Normal 2 3 5 4 3 5" xfId="12730"/>
    <cellStyle name="Normal 2 3 5 4 3 6" xfId="16285"/>
    <cellStyle name="Normal 2 3 5 4 4" xfId="9417"/>
    <cellStyle name="Normal 2 3 5 4 4 2" xfId="10471"/>
    <cellStyle name="Normal 2 3 5 4 4 2 2" xfId="14065"/>
    <cellStyle name="Normal 2 3 5 4 4 2 3" xfId="16291"/>
    <cellStyle name="Normal 2 3 5 4 4 3" xfId="13012"/>
    <cellStyle name="Normal 2 3 5 4 4 4" xfId="16290"/>
    <cellStyle name="Normal 2 3 5 4 5" xfId="9933"/>
    <cellStyle name="Normal 2 3 5 4 5 2" xfId="13527"/>
    <cellStyle name="Normal 2 3 5 4 5 3" xfId="16292"/>
    <cellStyle name="Normal 2 3 5 4 6" xfId="11113"/>
    <cellStyle name="Normal 2 3 5 4 6 2" xfId="14706"/>
    <cellStyle name="Normal 2 3 5 4 6 3" xfId="16293"/>
    <cellStyle name="Normal 2 3 5 4 7" xfId="12474"/>
    <cellStyle name="Normal 2 3 5 4 8" xfId="16274"/>
    <cellStyle name="Normal 2 3 5 5" xfId="8880"/>
    <cellStyle name="Normal 2 3 5 5 2" xfId="9136"/>
    <cellStyle name="Normal 2 3 5 5 2 2" xfId="9704"/>
    <cellStyle name="Normal 2 3 5 5 2 2 2" xfId="10758"/>
    <cellStyle name="Normal 2 3 5 5 2 2 2 2" xfId="14352"/>
    <cellStyle name="Normal 2 3 5 5 2 2 2 3" xfId="16297"/>
    <cellStyle name="Normal 2 3 5 5 2 2 3" xfId="13299"/>
    <cellStyle name="Normal 2 3 5 5 2 2 4" xfId="16296"/>
    <cellStyle name="Normal 2 3 5 5 2 3" xfId="10220"/>
    <cellStyle name="Normal 2 3 5 5 2 3 2" xfId="13814"/>
    <cellStyle name="Normal 2 3 5 5 2 3 3" xfId="16298"/>
    <cellStyle name="Normal 2 3 5 5 2 4" xfId="11118"/>
    <cellStyle name="Normal 2 3 5 5 2 4 2" xfId="14711"/>
    <cellStyle name="Normal 2 3 5 5 2 4 3" xfId="16299"/>
    <cellStyle name="Normal 2 3 5 5 2 5" xfId="12761"/>
    <cellStyle name="Normal 2 3 5 5 2 6" xfId="16295"/>
    <cellStyle name="Normal 2 3 5 5 3" xfId="9448"/>
    <cellStyle name="Normal 2 3 5 5 3 2" xfId="10502"/>
    <cellStyle name="Normal 2 3 5 5 3 2 2" xfId="14096"/>
    <cellStyle name="Normal 2 3 5 5 3 2 3" xfId="16301"/>
    <cellStyle name="Normal 2 3 5 5 3 3" xfId="13043"/>
    <cellStyle name="Normal 2 3 5 5 3 4" xfId="16300"/>
    <cellStyle name="Normal 2 3 5 5 4" xfId="9964"/>
    <cellStyle name="Normal 2 3 5 5 4 2" xfId="13558"/>
    <cellStyle name="Normal 2 3 5 5 4 3" xfId="16302"/>
    <cellStyle name="Normal 2 3 5 5 5" xfId="11117"/>
    <cellStyle name="Normal 2 3 5 5 5 2" xfId="14710"/>
    <cellStyle name="Normal 2 3 5 5 5 3" xfId="16303"/>
    <cellStyle name="Normal 2 3 5 5 6" xfId="12505"/>
    <cellStyle name="Normal 2 3 5 5 7" xfId="16294"/>
    <cellStyle name="Normal 2 3 5 6" xfId="9008"/>
    <cellStyle name="Normal 2 3 5 6 2" xfId="9576"/>
    <cellStyle name="Normal 2 3 5 6 2 2" xfId="10630"/>
    <cellStyle name="Normal 2 3 5 6 2 2 2" xfId="14224"/>
    <cellStyle name="Normal 2 3 5 6 2 2 3" xfId="16306"/>
    <cellStyle name="Normal 2 3 5 6 2 3" xfId="13171"/>
    <cellStyle name="Normal 2 3 5 6 2 4" xfId="16305"/>
    <cellStyle name="Normal 2 3 5 6 3" xfId="10092"/>
    <cellStyle name="Normal 2 3 5 6 3 2" xfId="13686"/>
    <cellStyle name="Normal 2 3 5 6 3 3" xfId="16307"/>
    <cellStyle name="Normal 2 3 5 6 4" xfId="11119"/>
    <cellStyle name="Normal 2 3 5 6 4 2" xfId="14712"/>
    <cellStyle name="Normal 2 3 5 6 4 3" xfId="16308"/>
    <cellStyle name="Normal 2 3 5 6 5" xfId="12633"/>
    <cellStyle name="Normal 2 3 5 6 6" xfId="16304"/>
    <cellStyle name="Normal 2 3 5 7" xfId="9320"/>
    <cellStyle name="Normal 2 3 5 7 2" xfId="10374"/>
    <cellStyle name="Normal 2 3 5 7 2 2" xfId="13968"/>
    <cellStyle name="Normal 2 3 5 7 2 3" xfId="16310"/>
    <cellStyle name="Normal 2 3 5 7 3" xfId="12915"/>
    <cellStyle name="Normal 2 3 5 7 4" xfId="16309"/>
    <cellStyle name="Normal 2 3 5 8" xfId="9836"/>
    <cellStyle name="Normal 2 3 5 8 2" xfId="13430"/>
    <cellStyle name="Normal 2 3 5 8 3" xfId="16311"/>
    <cellStyle name="Normal 2 3 5 9" xfId="11104"/>
    <cellStyle name="Normal 2 3 5 9 2" xfId="14697"/>
    <cellStyle name="Normal 2 3 5 9 3" xfId="16312"/>
    <cellStyle name="Normal 2 3 6" xfId="8769"/>
    <cellStyle name="Normal 2 3 6 2" xfId="8897"/>
    <cellStyle name="Normal 2 3 6 2 2" xfId="9153"/>
    <cellStyle name="Normal 2 3 6 2 2 2" xfId="9721"/>
    <cellStyle name="Normal 2 3 6 2 2 2 2" xfId="10775"/>
    <cellStyle name="Normal 2 3 6 2 2 2 2 2" xfId="14369"/>
    <cellStyle name="Normal 2 3 6 2 2 2 2 3" xfId="16317"/>
    <cellStyle name="Normal 2 3 6 2 2 2 3" xfId="13316"/>
    <cellStyle name="Normal 2 3 6 2 2 2 4" xfId="16316"/>
    <cellStyle name="Normal 2 3 6 2 2 3" xfId="10237"/>
    <cellStyle name="Normal 2 3 6 2 2 3 2" xfId="13831"/>
    <cellStyle name="Normal 2 3 6 2 2 3 3" xfId="16318"/>
    <cellStyle name="Normal 2 3 6 2 2 4" xfId="11122"/>
    <cellStyle name="Normal 2 3 6 2 2 4 2" xfId="14715"/>
    <cellStyle name="Normal 2 3 6 2 2 4 3" xfId="16319"/>
    <cellStyle name="Normal 2 3 6 2 2 5" xfId="12778"/>
    <cellStyle name="Normal 2 3 6 2 2 6" xfId="16315"/>
    <cellStyle name="Normal 2 3 6 2 3" xfId="9465"/>
    <cellStyle name="Normal 2 3 6 2 3 2" xfId="10519"/>
    <cellStyle name="Normal 2 3 6 2 3 2 2" xfId="14113"/>
    <cellStyle name="Normal 2 3 6 2 3 2 3" xfId="16321"/>
    <cellStyle name="Normal 2 3 6 2 3 3" xfId="13060"/>
    <cellStyle name="Normal 2 3 6 2 3 4" xfId="16320"/>
    <cellStyle name="Normal 2 3 6 2 4" xfId="9981"/>
    <cellStyle name="Normal 2 3 6 2 4 2" xfId="13575"/>
    <cellStyle name="Normal 2 3 6 2 4 3" xfId="16322"/>
    <cellStyle name="Normal 2 3 6 2 5" xfId="11121"/>
    <cellStyle name="Normal 2 3 6 2 5 2" xfId="14714"/>
    <cellStyle name="Normal 2 3 6 2 5 3" xfId="16323"/>
    <cellStyle name="Normal 2 3 6 2 6" xfId="12522"/>
    <cellStyle name="Normal 2 3 6 2 7" xfId="16314"/>
    <cellStyle name="Normal 2 3 6 3" xfId="9025"/>
    <cellStyle name="Normal 2 3 6 3 2" xfId="9593"/>
    <cellStyle name="Normal 2 3 6 3 2 2" xfId="10647"/>
    <cellStyle name="Normal 2 3 6 3 2 2 2" xfId="14241"/>
    <cellStyle name="Normal 2 3 6 3 2 2 3" xfId="16326"/>
    <cellStyle name="Normal 2 3 6 3 2 3" xfId="13188"/>
    <cellStyle name="Normal 2 3 6 3 2 4" xfId="16325"/>
    <cellStyle name="Normal 2 3 6 3 3" xfId="10109"/>
    <cellStyle name="Normal 2 3 6 3 3 2" xfId="13703"/>
    <cellStyle name="Normal 2 3 6 3 3 3" xfId="16327"/>
    <cellStyle name="Normal 2 3 6 3 4" xfId="11123"/>
    <cellStyle name="Normal 2 3 6 3 4 2" xfId="14716"/>
    <cellStyle name="Normal 2 3 6 3 4 3" xfId="16328"/>
    <cellStyle name="Normal 2 3 6 3 5" xfId="12650"/>
    <cellStyle name="Normal 2 3 6 3 6" xfId="16324"/>
    <cellStyle name="Normal 2 3 6 4" xfId="9337"/>
    <cellStyle name="Normal 2 3 6 4 2" xfId="10391"/>
    <cellStyle name="Normal 2 3 6 4 2 2" xfId="13985"/>
    <cellStyle name="Normal 2 3 6 4 2 3" xfId="16330"/>
    <cellStyle name="Normal 2 3 6 4 3" xfId="12932"/>
    <cellStyle name="Normal 2 3 6 4 4" xfId="16329"/>
    <cellStyle name="Normal 2 3 6 5" xfId="9853"/>
    <cellStyle name="Normal 2 3 6 5 2" xfId="13447"/>
    <cellStyle name="Normal 2 3 6 5 3" xfId="16331"/>
    <cellStyle name="Normal 2 3 6 6" xfId="11120"/>
    <cellStyle name="Normal 2 3 6 6 2" xfId="14713"/>
    <cellStyle name="Normal 2 3 6 6 3" xfId="16332"/>
    <cellStyle name="Normal 2 3 6 7" xfId="12394"/>
    <cellStyle name="Normal 2 3 6 8" xfId="16313"/>
    <cellStyle name="Normal 2 3 7" xfId="8801"/>
    <cellStyle name="Normal 2 3 7 2" xfId="8929"/>
    <cellStyle name="Normal 2 3 7 2 2" xfId="9185"/>
    <cellStyle name="Normal 2 3 7 2 2 2" xfId="9753"/>
    <cellStyle name="Normal 2 3 7 2 2 2 2" xfId="10807"/>
    <cellStyle name="Normal 2 3 7 2 2 2 2 2" xfId="14401"/>
    <cellStyle name="Normal 2 3 7 2 2 2 2 3" xfId="16337"/>
    <cellStyle name="Normal 2 3 7 2 2 2 3" xfId="13348"/>
    <cellStyle name="Normal 2 3 7 2 2 2 4" xfId="16336"/>
    <cellStyle name="Normal 2 3 7 2 2 3" xfId="10269"/>
    <cellStyle name="Normal 2 3 7 2 2 3 2" xfId="13863"/>
    <cellStyle name="Normal 2 3 7 2 2 3 3" xfId="16338"/>
    <cellStyle name="Normal 2 3 7 2 2 4" xfId="11126"/>
    <cellStyle name="Normal 2 3 7 2 2 4 2" xfId="14719"/>
    <cellStyle name="Normal 2 3 7 2 2 4 3" xfId="16339"/>
    <cellStyle name="Normal 2 3 7 2 2 5" xfId="12810"/>
    <cellStyle name="Normal 2 3 7 2 2 6" xfId="16335"/>
    <cellStyle name="Normal 2 3 7 2 3" xfId="9497"/>
    <cellStyle name="Normal 2 3 7 2 3 2" xfId="10551"/>
    <cellStyle name="Normal 2 3 7 2 3 2 2" xfId="14145"/>
    <cellStyle name="Normal 2 3 7 2 3 2 3" xfId="16341"/>
    <cellStyle name="Normal 2 3 7 2 3 3" xfId="13092"/>
    <cellStyle name="Normal 2 3 7 2 3 4" xfId="16340"/>
    <cellStyle name="Normal 2 3 7 2 4" xfId="10013"/>
    <cellStyle name="Normal 2 3 7 2 4 2" xfId="13607"/>
    <cellStyle name="Normal 2 3 7 2 4 3" xfId="16342"/>
    <cellStyle name="Normal 2 3 7 2 5" xfId="11125"/>
    <cellStyle name="Normal 2 3 7 2 5 2" xfId="14718"/>
    <cellStyle name="Normal 2 3 7 2 5 3" xfId="16343"/>
    <cellStyle name="Normal 2 3 7 2 6" xfId="12554"/>
    <cellStyle name="Normal 2 3 7 2 7" xfId="16334"/>
    <cellStyle name="Normal 2 3 7 3" xfId="9057"/>
    <cellStyle name="Normal 2 3 7 3 2" xfId="9625"/>
    <cellStyle name="Normal 2 3 7 3 2 2" xfId="10679"/>
    <cellStyle name="Normal 2 3 7 3 2 2 2" xfId="14273"/>
    <cellStyle name="Normal 2 3 7 3 2 2 3" xfId="16346"/>
    <cellStyle name="Normal 2 3 7 3 2 3" xfId="13220"/>
    <cellStyle name="Normal 2 3 7 3 2 4" xfId="16345"/>
    <cellStyle name="Normal 2 3 7 3 3" xfId="10141"/>
    <cellStyle name="Normal 2 3 7 3 3 2" xfId="13735"/>
    <cellStyle name="Normal 2 3 7 3 3 3" xfId="16347"/>
    <cellStyle name="Normal 2 3 7 3 4" xfId="11127"/>
    <cellStyle name="Normal 2 3 7 3 4 2" xfId="14720"/>
    <cellStyle name="Normal 2 3 7 3 4 3" xfId="16348"/>
    <cellStyle name="Normal 2 3 7 3 5" xfId="12682"/>
    <cellStyle name="Normal 2 3 7 3 6" xfId="16344"/>
    <cellStyle name="Normal 2 3 7 4" xfId="9369"/>
    <cellStyle name="Normal 2 3 7 4 2" xfId="10423"/>
    <cellStyle name="Normal 2 3 7 4 2 2" xfId="14017"/>
    <cellStyle name="Normal 2 3 7 4 2 3" xfId="16350"/>
    <cellStyle name="Normal 2 3 7 4 3" xfId="12964"/>
    <cellStyle name="Normal 2 3 7 4 4" xfId="16349"/>
    <cellStyle name="Normal 2 3 7 5" xfId="9885"/>
    <cellStyle name="Normal 2 3 7 5 2" xfId="13479"/>
    <cellStyle name="Normal 2 3 7 5 3" xfId="16351"/>
    <cellStyle name="Normal 2 3 7 6" xfId="11124"/>
    <cellStyle name="Normal 2 3 7 6 2" xfId="14717"/>
    <cellStyle name="Normal 2 3 7 6 3" xfId="16352"/>
    <cellStyle name="Normal 2 3 7 7" xfId="12426"/>
    <cellStyle name="Normal 2 3 7 8" xfId="16333"/>
    <cellStyle name="Normal 2 3 8" xfId="8833"/>
    <cellStyle name="Normal 2 3 8 2" xfId="8961"/>
    <cellStyle name="Normal 2 3 8 2 2" xfId="9217"/>
    <cellStyle name="Normal 2 3 8 2 2 2" xfId="9785"/>
    <cellStyle name="Normal 2 3 8 2 2 2 2" xfId="10839"/>
    <cellStyle name="Normal 2 3 8 2 2 2 2 2" xfId="14433"/>
    <cellStyle name="Normal 2 3 8 2 2 2 2 3" xfId="16357"/>
    <cellStyle name="Normal 2 3 8 2 2 2 3" xfId="13380"/>
    <cellStyle name="Normal 2 3 8 2 2 2 4" xfId="16356"/>
    <cellStyle name="Normal 2 3 8 2 2 3" xfId="10301"/>
    <cellStyle name="Normal 2 3 8 2 2 3 2" xfId="13895"/>
    <cellStyle name="Normal 2 3 8 2 2 3 3" xfId="16358"/>
    <cellStyle name="Normal 2 3 8 2 2 4" xfId="11130"/>
    <cellStyle name="Normal 2 3 8 2 2 4 2" xfId="14723"/>
    <cellStyle name="Normal 2 3 8 2 2 4 3" xfId="16359"/>
    <cellStyle name="Normal 2 3 8 2 2 5" xfId="12842"/>
    <cellStyle name="Normal 2 3 8 2 2 6" xfId="16355"/>
    <cellStyle name="Normal 2 3 8 2 3" xfId="9529"/>
    <cellStyle name="Normal 2 3 8 2 3 2" xfId="10583"/>
    <cellStyle name="Normal 2 3 8 2 3 2 2" xfId="14177"/>
    <cellStyle name="Normal 2 3 8 2 3 2 3" xfId="16361"/>
    <cellStyle name="Normal 2 3 8 2 3 3" xfId="13124"/>
    <cellStyle name="Normal 2 3 8 2 3 4" xfId="16360"/>
    <cellStyle name="Normal 2 3 8 2 4" xfId="10045"/>
    <cellStyle name="Normal 2 3 8 2 4 2" xfId="13639"/>
    <cellStyle name="Normal 2 3 8 2 4 3" xfId="16362"/>
    <cellStyle name="Normal 2 3 8 2 5" xfId="11129"/>
    <cellStyle name="Normal 2 3 8 2 5 2" xfId="14722"/>
    <cellStyle name="Normal 2 3 8 2 5 3" xfId="16363"/>
    <cellStyle name="Normal 2 3 8 2 6" xfId="12586"/>
    <cellStyle name="Normal 2 3 8 2 7" xfId="16354"/>
    <cellStyle name="Normal 2 3 8 3" xfId="9089"/>
    <cellStyle name="Normal 2 3 8 3 2" xfId="9657"/>
    <cellStyle name="Normal 2 3 8 3 2 2" xfId="10711"/>
    <cellStyle name="Normal 2 3 8 3 2 2 2" xfId="14305"/>
    <cellStyle name="Normal 2 3 8 3 2 2 3" xfId="16366"/>
    <cellStyle name="Normal 2 3 8 3 2 3" xfId="13252"/>
    <cellStyle name="Normal 2 3 8 3 2 4" xfId="16365"/>
    <cellStyle name="Normal 2 3 8 3 3" xfId="10173"/>
    <cellStyle name="Normal 2 3 8 3 3 2" xfId="13767"/>
    <cellStyle name="Normal 2 3 8 3 3 3" xfId="16367"/>
    <cellStyle name="Normal 2 3 8 3 4" xfId="11131"/>
    <cellStyle name="Normal 2 3 8 3 4 2" xfId="14724"/>
    <cellStyle name="Normal 2 3 8 3 4 3" xfId="16368"/>
    <cellStyle name="Normal 2 3 8 3 5" xfId="12714"/>
    <cellStyle name="Normal 2 3 8 3 6" xfId="16364"/>
    <cellStyle name="Normal 2 3 8 4" xfId="9401"/>
    <cellStyle name="Normal 2 3 8 4 2" xfId="10455"/>
    <cellStyle name="Normal 2 3 8 4 2 2" xfId="14049"/>
    <cellStyle name="Normal 2 3 8 4 2 3" xfId="16370"/>
    <cellStyle name="Normal 2 3 8 4 3" xfId="12996"/>
    <cellStyle name="Normal 2 3 8 4 4" xfId="16369"/>
    <cellStyle name="Normal 2 3 8 5" xfId="9917"/>
    <cellStyle name="Normal 2 3 8 5 2" xfId="13511"/>
    <cellStyle name="Normal 2 3 8 5 3" xfId="16371"/>
    <cellStyle name="Normal 2 3 8 6" xfId="11128"/>
    <cellStyle name="Normal 2 3 8 6 2" xfId="14721"/>
    <cellStyle name="Normal 2 3 8 6 3" xfId="16372"/>
    <cellStyle name="Normal 2 3 8 7" xfId="12458"/>
    <cellStyle name="Normal 2 3 8 8" xfId="16353"/>
    <cellStyle name="Normal 2 3 9" xfId="8865"/>
    <cellStyle name="Normal 2 3 9 2" xfId="9121"/>
    <cellStyle name="Normal 2 3 9 2 2" xfId="9689"/>
    <cellStyle name="Normal 2 3 9 2 2 2" xfId="10743"/>
    <cellStyle name="Normal 2 3 9 2 2 2 2" xfId="14337"/>
    <cellStyle name="Normal 2 3 9 2 2 2 3" xfId="16376"/>
    <cellStyle name="Normal 2 3 9 2 2 3" xfId="13284"/>
    <cellStyle name="Normal 2 3 9 2 2 4" xfId="16375"/>
    <cellStyle name="Normal 2 3 9 2 3" xfId="10205"/>
    <cellStyle name="Normal 2 3 9 2 3 2" xfId="13799"/>
    <cellStyle name="Normal 2 3 9 2 3 3" xfId="16377"/>
    <cellStyle name="Normal 2 3 9 2 4" xfId="11133"/>
    <cellStyle name="Normal 2 3 9 2 4 2" xfId="14726"/>
    <cellStyle name="Normal 2 3 9 2 4 3" xfId="16378"/>
    <cellStyle name="Normal 2 3 9 2 5" xfId="12746"/>
    <cellStyle name="Normal 2 3 9 2 6" xfId="16374"/>
    <cellStyle name="Normal 2 3 9 3" xfId="9433"/>
    <cellStyle name="Normal 2 3 9 3 2" xfId="10487"/>
    <cellStyle name="Normal 2 3 9 3 2 2" xfId="14081"/>
    <cellStyle name="Normal 2 3 9 3 2 3" xfId="16380"/>
    <cellStyle name="Normal 2 3 9 3 3" xfId="13028"/>
    <cellStyle name="Normal 2 3 9 3 4" xfId="16379"/>
    <cellStyle name="Normal 2 3 9 4" xfId="9949"/>
    <cellStyle name="Normal 2 3 9 4 2" xfId="13543"/>
    <cellStyle name="Normal 2 3 9 4 3" xfId="16381"/>
    <cellStyle name="Normal 2 3 9 5" xfId="11132"/>
    <cellStyle name="Normal 2 3 9 5 2" xfId="14725"/>
    <cellStyle name="Normal 2 3 9 5 3" xfId="16382"/>
    <cellStyle name="Normal 2 3 9 6" xfId="12490"/>
    <cellStyle name="Normal 2 3 9 7" xfId="16373"/>
    <cellStyle name="Normal 2 4" xfId="1513"/>
    <cellStyle name="Normal 2 4 2" xfId="11935"/>
    <cellStyle name="Normal 2 4 2 2" xfId="11936"/>
    <cellStyle name="Normal 2 4 2 2 2" xfId="11937"/>
    <cellStyle name="Normal 2 4 2 2 2 2" xfId="11938"/>
    <cellStyle name="Normal 2 4 2 2 3" xfId="11939"/>
    <cellStyle name="Normal 2 4 2 2 4" xfId="11940"/>
    <cellStyle name="Normal 2 4 2 3" xfId="11941"/>
    <cellStyle name="Normal 2 4 2 3 2" xfId="11942"/>
    <cellStyle name="Normal 2 4 2 4" xfId="11943"/>
    <cellStyle name="Normal 2 4 2 5" xfId="11944"/>
    <cellStyle name="Normal 2 4 3" xfId="11945"/>
    <cellStyle name="Normal 2 4 3 2" xfId="11946"/>
    <cellStyle name="Normal 2 4 3 2 2" xfId="11947"/>
    <cellStyle name="Normal 2 4 3 3" xfId="11948"/>
    <cellStyle name="Normal 2 4 3 4" xfId="11949"/>
    <cellStyle name="Normal 2 4 4" xfId="11950"/>
    <cellStyle name="Normal 2 4 4 2" xfId="11951"/>
    <cellStyle name="Normal 2 4 4 2 2" xfId="11952"/>
    <cellStyle name="Normal 2 4 4 3" xfId="11953"/>
    <cellStyle name="Normal 2 4 4 4" xfId="11954"/>
    <cellStyle name="Normal 2 4 5" xfId="11955"/>
    <cellStyle name="Normal 2 4 5 2" xfId="11956"/>
    <cellStyle name="Normal 2 4 5 2 2" xfId="11957"/>
    <cellStyle name="Normal 2 4 5 3" xfId="11958"/>
    <cellStyle name="Normal 2 4 5 4" xfId="11959"/>
    <cellStyle name="Normal 2 4 6" xfId="11960"/>
    <cellStyle name="Normal 2 4 6 2" xfId="11961"/>
    <cellStyle name="Normal 2 4 7" xfId="11962"/>
    <cellStyle name="Normal 2 4 8" xfId="11963"/>
    <cellStyle name="Normal 2 4 9" xfId="17686"/>
    <cellStyle name="Normal 2 5" xfId="1514"/>
    <cellStyle name="Normal 2 5 10" xfId="1515"/>
    <cellStyle name="Normal 2 5 10 2" xfId="1516"/>
    <cellStyle name="Normal 2 5 10 2 2" xfId="1517"/>
    <cellStyle name="Normal 2 5 10 3" xfId="1518"/>
    <cellStyle name="Normal 2 5 10 3 2" xfId="1519"/>
    <cellStyle name="Normal 2 5 10 4" xfId="1520"/>
    <cellStyle name="Normal 2 5 11" xfId="1521"/>
    <cellStyle name="Normal 2 5 11 2" xfId="1522"/>
    <cellStyle name="Normal 2 5 11 3" xfId="1523"/>
    <cellStyle name="Normal 2 5 12" xfId="1524"/>
    <cellStyle name="Normal 2 5 12 2" xfId="1525"/>
    <cellStyle name="Normal 2 5 13" xfId="1526"/>
    <cellStyle name="Normal 2 5 13 2" xfId="1527"/>
    <cellStyle name="Normal 2 5 14" xfId="1528"/>
    <cellStyle name="Normal 2 5 15" xfId="26978"/>
    <cellStyle name="Normal 2 5 2" xfId="1529"/>
    <cellStyle name="Normal 2 5 2 10" xfId="1530"/>
    <cellStyle name="Normal 2 5 2 10 2" xfId="1531"/>
    <cellStyle name="Normal 2 5 2 11" xfId="1532"/>
    <cellStyle name="Normal 2 5 2 11 2" xfId="1533"/>
    <cellStyle name="Normal 2 5 2 12" xfId="1534"/>
    <cellStyle name="Normal 2 5 2 2" xfId="1535"/>
    <cellStyle name="Normal 2 5 2 2 10" xfId="1536"/>
    <cellStyle name="Normal 2 5 2 2 2" xfId="1537"/>
    <cellStyle name="Normal 2 5 2 2 2 2" xfId="1538"/>
    <cellStyle name="Normal 2 5 2 2 2 2 2" xfId="1539"/>
    <cellStyle name="Normal 2 5 2 2 2 2 2 2" xfId="1540"/>
    <cellStyle name="Normal 2 5 2 2 2 2 2 3" xfId="1541"/>
    <cellStyle name="Normal 2 5 2 2 2 2 3" xfId="1542"/>
    <cellStyle name="Normal 2 5 2 2 2 2 3 2" xfId="1543"/>
    <cellStyle name="Normal 2 5 2 2 2 2 4" xfId="1544"/>
    <cellStyle name="Normal 2 5 2 2 2 2 4 2" xfId="1545"/>
    <cellStyle name="Normal 2 5 2 2 2 2 5" xfId="1546"/>
    <cellStyle name="Normal 2 5 2 2 2 3" xfId="1547"/>
    <cellStyle name="Normal 2 5 2 2 2 3 2" xfId="1548"/>
    <cellStyle name="Normal 2 5 2 2 2 3 2 2" xfId="1549"/>
    <cellStyle name="Normal 2 5 2 2 2 3 3" xfId="1550"/>
    <cellStyle name="Normal 2 5 2 2 2 3 3 2" xfId="1551"/>
    <cellStyle name="Normal 2 5 2 2 2 3 4" xfId="1552"/>
    <cellStyle name="Normal 2 5 2 2 2 4" xfId="1553"/>
    <cellStyle name="Normal 2 5 2 2 2 4 2" xfId="1554"/>
    <cellStyle name="Normal 2 5 2 2 2 4 3" xfId="1555"/>
    <cellStyle name="Normal 2 5 2 2 2 5" xfId="1556"/>
    <cellStyle name="Normal 2 5 2 2 2 5 2" xfId="1557"/>
    <cellStyle name="Normal 2 5 2 2 2 6" xfId="1558"/>
    <cellStyle name="Normal 2 5 2 2 2 6 2" xfId="1559"/>
    <cellStyle name="Normal 2 5 2 2 2 7" xfId="1560"/>
    <cellStyle name="Normal 2 5 2 2 3" xfId="1561"/>
    <cellStyle name="Normal 2 5 2 2 3 2" xfId="1562"/>
    <cellStyle name="Normal 2 5 2 2 3 2 2" xfId="1563"/>
    <cellStyle name="Normal 2 5 2 2 3 2 2 2" xfId="1564"/>
    <cellStyle name="Normal 2 5 2 2 3 2 2 3" xfId="1565"/>
    <cellStyle name="Normal 2 5 2 2 3 2 3" xfId="1566"/>
    <cellStyle name="Normal 2 5 2 2 3 2 3 2" xfId="1567"/>
    <cellStyle name="Normal 2 5 2 2 3 2 4" xfId="1568"/>
    <cellStyle name="Normal 2 5 2 2 3 2 4 2" xfId="1569"/>
    <cellStyle name="Normal 2 5 2 2 3 2 5" xfId="1570"/>
    <cellStyle name="Normal 2 5 2 2 3 3" xfId="1571"/>
    <cellStyle name="Normal 2 5 2 2 3 3 2" xfId="1572"/>
    <cellStyle name="Normal 2 5 2 2 3 3 2 2" xfId="1573"/>
    <cellStyle name="Normal 2 5 2 2 3 3 3" xfId="1574"/>
    <cellStyle name="Normal 2 5 2 2 3 3 3 2" xfId="1575"/>
    <cellStyle name="Normal 2 5 2 2 3 3 4" xfId="1576"/>
    <cellStyle name="Normal 2 5 2 2 3 4" xfId="1577"/>
    <cellStyle name="Normal 2 5 2 2 3 4 2" xfId="1578"/>
    <cellStyle name="Normal 2 5 2 2 3 4 3" xfId="1579"/>
    <cellStyle name="Normal 2 5 2 2 3 5" xfId="1580"/>
    <cellStyle name="Normal 2 5 2 2 3 5 2" xfId="1581"/>
    <cellStyle name="Normal 2 5 2 2 3 6" xfId="1582"/>
    <cellStyle name="Normal 2 5 2 2 3 6 2" xfId="1583"/>
    <cellStyle name="Normal 2 5 2 2 3 7" xfId="1584"/>
    <cellStyle name="Normal 2 5 2 2 4" xfId="1585"/>
    <cellStyle name="Normal 2 5 2 2 4 2" xfId="1586"/>
    <cellStyle name="Normal 2 5 2 2 4 2 2" xfId="1587"/>
    <cellStyle name="Normal 2 5 2 2 4 2 2 2" xfId="1588"/>
    <cellStyle name="Normal 2 5 2 2 4 2 3" xfId="1589"/>
    <cellStyle name="Normal 2 5 2 2 4 2 3 2" xfId="1590"/>
    <cellStyle name="Normal 2 5 2 2 4 2 4" xfId="1591"/>
    <cellStyle name="Normal 2 5 2 2 4 3" xfId="1592"/>
    <cellStyle name="Normal 2 5 2 2 4 3 2" xfId="1593"/>
    <cellStyle name="Normal 2 5 2 2 4 3 3" xfId="1594"/>
    <cellStyle name="Normal 2 5 2 2 4 4" xfId="1595"/>
    <cellStyle name="Normal 2 5 2 2 4 4 2" xfId="1596"/>
    <cellStyle name="Normal 2 5 2 2 4 5" xfId="1597"/>
    <cellStyle name="Normal 2 5 2 2 4 5 2" xfId="1598"/>
    <cellStyle name="Normal 2 5 2 2 4 6" xfId="1599"/>
    <cellStyle name="Normal 2 5 2 2 5" xfId="1600"/>
    <cellStyle name="Normal 2 5 2 2 5 2" xfId="1601"/>
    <cellStyle name="Normal 2 5 2 2 5 2 2" xfId="1602"/>
    <cellStyle name="Normal 2 5 2 2 5 3" xfId="1603"/>
    <cellStyle name="Normal 2 5 2 2 5 3 2" xfId="1604"/>
    <cellStyle name="Normal 2 5 2 2 5 4" xfId="1605"/>
    <cellStyle name="Normal 2 5 2 2 6" xfId="1606"/>
    <cellStyle name="Normal 2 5 2 2 6 2" xfId="1607"/>
    <cellStyle name="Normal 2 5 2 2 6 2 2" xfId="1608"/>
    <cellStyle name="Normal 2 5 2 2 6 3" xfId="1609"/>
    <cellStyle name="Normal 2 5 2 2 6 3 2" xfId="1610"/>
    <cellStyle name="Normal 2 5 2 2 6 4" xfId="1611"/>
    <cellStyle name="Normal 2 5 2 2 7" xfId="1612"/>
    <cellStyle name="Normal 2 5 2 2 7 2" xfId="1613"/>
    <cellStyle name="Normal 2 5 2 2 7 3" xfId="1614"/>
    <cellStyle name="Normal 2 5 2 2 8" xfId="1615"/>
    <cellStyle name="Normal 2 5 2 2 8 2" xfId="1616"/>
    <cellStyle name="Normal 2 5 2 2 9" xfId="1617"/>
    <cellStyle name="Normal 2 5 2 2 9 2" xfId="1618"/>
    <cellStyle name="Normal 2 5 2 3" xfId="1619"/>
    <cellStyle name="Normal 2 5 2 3 2" xfId="1620"/>
    <cellStyle name="Normal 2 5 2 3 2 2" xfId="1621"/>
    <cellStyle name="Normal 2 5 2 3 2 2 2" xfId="1622"/>
    <cellStyle name="Normal 2 5 2 3 2 2 2 2" xfId="1623"/>
    <cellStyle name="Normal 2 5 2 3 2 2 2 3" xfId="1624"/>
    <cellStyle name="Normal 2 5 2 3 2 2 3" xfId="1625"/>
    <cellStyle name="Normal 2 5 2 3 2 2 3 2" xfId="1626"/>
    <cellStyle name="Normal 2 5 2 3 2 2 4" xfId="1627"/>
    <cellStyle name="Normal 2 5 2 3 2 2 4 2" xfId="1628"/>
    <cellStyle name="Normal 2 5 2 3 2 2 5" xfId="1629"/>
    <cellStyle name="Normal 2 5 2 3 2 3" xfId="1630"/>
    <cellStyle name="Normal 2 5 2 3 2 3 2" xfId="1631"/>
    <cellStyle name="Normal 2 5 2 3 2 3 2 2" xfId="1632"/>
    <cellStyle name="Normal 2 5 2 3 2 3 3" xfId="1633"/>
    <cellStyle name="Normal 2 5 2 3 2 3 3 2" xfId="1634"/>
    <cellStyle name="Normal 2 5 2 3 2 3 4" xfId="1635"/>
    <cellStyle name="Normal 2 5 2 3 2 4" xfId="1636"/>
    <cellStyle name="Normal 2 5 2 3 2 4 2" xfId="1637"/>
    <cellStyle name="Normal 2 5 2 3 2 4 3" xfId="1638"/>
    <cellStyle name="Normal 2 5 2 3 2 5" xfId="1639"/>
    <cellStyle name="Normal 2 5 2 3 2 5 2" xfId="1640"/>
    <cellStyle name="Normal 2 5 2 3 2 6" xfId="1641"/>
    <cellStyle name="Normal 2 5 2 3 2 6 2" xfId="1642"/>
    <cellStyle name="Normal 2 5 2 3 2 7" xfId="1643"/>
    <cellStyle name="Normal 2 5 2 3 3" xfId="1644"/>
    <cellStyle name="Normal 2 5 2 3 3 2" xfId="1645"/>
    <cellStyle name="Normal 2 5 2 3 3 2 2" xfId="1646"/>
    <cellStyle name="Normal 2 5 2 3 3 2 3" xfId="1647"/>
    <cellStyle name="Normal 2 5 2 3 3 3" xfId="1648"/>
    <cellStyle name="Normal 2 5 2 3 3 3 2" xfId="1649"/>
    <cellStyle name="Normal 2 5 2 3 3 4" xfId="1650"/>
    <cellStyle name="Normal 2 5 2 3 3 4 2" xfId="1651"/>
    <cellStyle name="Normal 2 5 2 3 3 5" xfId="1652"/>
    <cellStyle name="Normal 2 5 2 3 4" xfId="1653"/>
    <cellStyle name="Normal 2 5 2 3 4 2" xfId="1654"/>
    <cellStyle name="Normal 2 5 2 3 4 2 2" xfId="1655"/>
    <cellStyle name="Normal 2 5 2 3 4 3" xfId="1656"/>
    <cellStyle name="Normal 2 5 2 3 4 3 2" xfId="1657"/>
    <cellStyle name="Normal 2 5 2 3 4 4" xfId="1658"/>
    <cellStyle name="Normal 2 5 2 3 5" xfId="1659"/>
    <cellStyle name="Normal 2 5 2 3 5 2" xfId="1660"/>
    <cellStyle name="Normal 2 5 2 3 5 3" xfId="1661"/>
    <cellStyle name="Normal 2 5 2 3 6" xfId="1662"/>
    <cellStyle name="Normal 2 5 2 3 6 2" xfId="1663"/>
    <cellStyle name="Normal 2 5 2 3 7" xfId="1664"/>
    <cellStyle name="Normal 2 5 2 3 7 2" xfId="1665"/>
    <cellStyle name="Normal 2 5 2 3 8" xfId="1666"/>
    <cellStyle name="Normal 2 5 2 4" xfId="1667"/>
    <cellStyle name="Normal 2 5 2 4 2" xfId="1668"/>
    <cellStyle name="Normal 2 5 2 4 2 2" xfId="1669"/>
    <cellStyle name="Normal 2 5 2 4 2 2 2" xfId="1670"/>
    <cellStyle name="Normal 2 5 2 4 2 2 3" xfId="1671"/>
    <cellStyle name="Normal 2 5 2 4 2 3" xfId="1672"/>
    <cellStyle name="Normal 2 5 2 4 2 3 2" xfId="1673"/>
    <cellStyle name="Normal 2 5 2 4 2 4" xfId="1674"/>
    <cellStyle name="Normal 2 5 2 4 2 4 2" xfId="1675"/>
    <cellStyle name="Normal 2 5 2 4 2 5" xfId="1676"/>
    <cellStyle name="Normal 2 5 2 4 3" xfId="1677"/>
    <cellStyle name="Normal 2 5 2 4 3 2" xfId="1678"/>
    <cellStyle name="Normal 2 5 2 4 3 2 2" xfId="1679"/>
    <cellStyle name="Normal 2 5 2 4 3 3" xfId="1680"/>
    <cellStyle name="Normal 2 5 2 4 3 3 2" xfId="1681"/>
    <cellStyle name="Normal 2 5 2 4 3 4" xfId="1682"/>
    <cellStyle name="Normal 2 5 2 4 4" xfId="1683"/>
    <cellStyle name="Normal 2 5 2 4 4 2" xfId="1684"/>
    <cellStyle name="Normal 2 5 2 4 4 3" xfId="1685"/>
    <cellStyle name="Normal 2 5 2 4 5" xfId="1686"/>
    <cellStyle name="Normal 2 5 2 4 5 2" xfId="1687"/>
    <cellStyle name="Normal 2 5 2 4 6" xfId="1688"/>
    <cellStyle name="Normal 2 5 2 4 6 2" xfId="1689"/>
    <cellStyle name="Normal 2 5 2 4 7" xfId="1690"/>
    <cellStyle name="Normal 2 5 2 5" xfId="1691"/>
    <cellStyle name="Normal 2 5 2 5 2" xfId="1692"/>
    <cellStyle name="Normal 2 5 2 5 2 2" xfId="1693"/>
    <cellStyle name="Normal 2 5 2 5 2 2 2" xfId="1694"/>
    <cellStyle name="Normal 2 5 2 5 2 2 3" xfId="1695"/>
    <cellStyle name="Normal 2 5 2 5 2 3" xfId="1696"/>
    <cellStyle name="Normal 2 5 2 5 2 3 2" xfId="1697"/>
    <cellStyle name="Normal 2 5 2 5 2 4" xfId="1698"/>
    <cellStyle name="Normal 2 5 2 5 2 4 2" xfId="1699"/>
    <cellStyle name="Normal 2 5 2 5 2 5" xfId="1700"/>
    <cellStyle name="Normal 2 5 2 5 3" xfId="1701"/>
    <cellStyle name="Normal 2 5 2 5 3 2" xfId="1702"/>
    <cellStyle name="Normal 2 5 2 5 3 2 2" xfId="1703"/>
    <cellStyle name="Normal 2 5 2 5 3 3" xfId="1704"/>
    <cellStyle name="Normal 2 5 2 5 3 3 2" xfId="1705"/>
    <cellStyle name="Normal 2 5 2 5 3 4" xfId="1706"/>
    <cellStyle name="Normal 2 5 2 5 4" xfId="1707"/>
    <cellStyle name="Normal 2 5 2 5 4 2" xfId="1708"/>
    <cellStyle name="Normal 2 5 2 5 4 3" xfId="1709"/>
    <cellStyle name="Normal 2 5 2 5 5" xfId="1710"/>
    <cellStyle name="Normal 2 5 2 5 5 2" xfId="1711"/>
    <cellStyle name="Normal 2 5 2 5 6" xfId="1712"/>
    <cellStyle name="Normal 2 5 2 5 6 2" xfId="1713"/>
    <cellStyle name="Normal 2 5 2 5 7" xfId="1714"/>
    <cellStyle name="Normal 2 5 2 6" xfId="1715"/>
    <cellStyle name="Normal 2 5 2 6 2" xfId="1716"/>
    <cellStyle name="Normal 2 5 2 6 2 2" xfId="1717"/>
    <cellStyle name="Normal 2 5 2 6 2 2 2" xfId="1718"/>
    <cellStyle name="Normal 2 5 2 6 2 3" xfId="1719"/>
    <cellStyle name="Normal 2 5 2 6 2 3 2" xfId="1720"/>
    <cellStyle name="Normal 2 5 2 6 2 4" xfId="1721"/>
    <cellStyle name="Normal 2 5 2 6 3" xfId="1722"/>
    <cellStyle name="Normal 2 5 2 6 3 2" xfId="1723"/>
    <cellStyle name="Normal 2 5 2 6 3 3" xfId="1724"/>
    <cellStyle name="Normal 2 5 2 6 4" xfId="1725"/>
    <cellStyle name="Normal 2 5 2 6 4 2" xfId="1726"/>
    <cellStyle name="Normal 2 5 2 6 5" xfId="1727"/>
    <cellStyle name="Normal 2 5 2 6 5 2" xfId="1728"/>
    <cellStyle name="Normal 2 5 2 6 6" xfId="1729"/>
    <cellStyle name="Normal 2 5 2 7" xfId="1730"/>
    <cellStyle name="Normal 2 5 2 7 2" xfId="1731"/>
    <cellStyle name="Normal 2 5 2 7 2 2" xfId="1732"/>
    <cellStyle name="Normal 2 5 2 7 3" xfId="1733"/>
    <cellStyle name="Normal 2 5 2 7 3 2" xfId="1734"/>
    <cellStyle name="Normal 2 5 2 7 4" xfId="1735"/>
    <cellStyle name="Normal 2 5 2 8" xfId="1736"/>
    <cellStyle name="Normal 2 5 2 8 2" xfId="1737"/>
    <cellStyle name="Normal 2 5 2 8 2 2" xfId="1738"/>
    <cellStyle name="Normal 2 5 2 8 3" xfId="1739"/>
    <cellStyle name="Normal 2 5 2 8 3 2" xfId="1740"/>
    <cellStyle name="Normal 2 5 2 8 4" xfId="1741"/>
    <cellStyle name="Normal 2 5 2 9" xfId="1742"/>
    <cellStyle name="Normal 2 5 2 9 2" xfId="1743"/>
    <cellStyle name="Normal 2 5 2 9 3" xfId="1744"/>
    <cellStyle name="Normal 2 5 3" xfId="1745"/>
    <cellStyle name="Normal 2 5 3 10" xfId="1746"/>
    <cellStyle name="Normal 2 5 3 10 2" xfId="1747"/>
    <cellStyle name="Normal 2 5 3 11" xfId="1748"/>
    <cellStyle name="Normal 2 5 3 2" xfId="1749"/>
    <cellStyle name="Normal 2 5 3 2 2" xfId="1750"/>
    <cellStyle name="Normal 2 5 3 2 2 2" xfId="1751"/>
    <cellStyle name="Normal 2 5 3 2 2 2 2" xfId="1752"/>
    <cellStyle name="Normal 2 5 3 2 2 2 2 2" xfId="1753"/>
    <cellStyle name="Normal 2 5 3 2 2 2 2 3" xfId="1754"/>
    <cellStyle name="Normal 2 5 3 2 2 2 3" xfId="1755"/>
    <cellStyle name="Normal 2 5 3 2 2 2 3 2" xfId="1756"/>
    <cellStyle name="Normal 2 5 3 2 2 2 4" xfId="1757"/>
    <cellStyle name="Normal 2 5 3 2 2 2 4 2" xfId="1758"/>
    <cellStyle name="Normal 2 5 3 2 2 2 5" xfId="1759"/>
    <cellStyle name="Normal 2 5 3 2 2 3" xfId="1760"/>
    <cellStyle name="Normal 2 5 3 2 2 3 2" xfId="1761"/>
    <cellStyle name="Normal 2 5 3 2 2 3 2 2" xfId="1762"/>
    <cellStyle name="Normal 2 5 3 2 2 3 3" xfId="1763"/>
    <cellStyle name="Normal 2 5 3 2 2 3 3 2" xfId="1764"/>
    <cellStyle name="Normal 2 5 3 2 2 3 4" xfId="1765"/>
    <cellStyle name="Normal 2 5 3 2 2 4" xfId="1766"/>
    <cellStyle name="Normal 2 5 3 2 2 4 2" xfId="1767"/>
    <cellStyle name="Normal 2 5 3 2 2 4 3" xfId="1768"/>
    <cellStyle name="Normal 2 5 3 2 2 5" xfId="1769"/>
    <cellStyle name="Normal 2 5 3 2 2 5 2" xfId="1770"/>
    <cellStyle name="Normal 2 5 3 2 2 6" xfId="1771"/>
    <cellStyle name="Normal 2 5 3 2 2 6 2" xfId="1772"/>
    <cellStyle name="Normal 2 5 3 2 2 7" xfId="1773"/>
    <cellStyle name="Normal 2 5 3 2 3" xfId="1774"/>
    <cellStyle name="Normal 2 5 3 2 3 2" xfId="1775"/>
    <cellStyle name="Normal 2 5 3 2 3 2 2" xfId="1776"/>
    <cellStyle name="Normal 2 5 3 2 3 2 3" xfId="1777"/>
    <cellStyle name="Normal 2 5 3 2 3 3" xfId="1778"/>
    <cellStyle name="Normal 2 5 3 2 3 3 2" xfId="1779"/>
    <cellStyle name="Normal 2 5 3 2 3 4" xfId="1780"/>
    <cellStyle name="Normal 2 5 3 2 3 4 2" xfId="1781"/>
    <cellStyle name="Normal 2 5 3 2 3 5" xfId="1782"/>
    <cellStyle name="Normal 2 5 3 2 4" xfId="1783"/>
    <cellStyle name="Normal 2 5 3 2 4 2" xfId="1784"/>
    <cellStyle name="Normal 2 5 3 2 4 2 2" xfId="1785"/>
    <cellStyle name="Normal 2 5 3 2 4 3" xfId="1786"/>
    <cellStyle name="Normal 2 5 3 2 4 3 2" xfId="1787"/>
    <cellStyle name="Normal 2 5 3 2 4 4" xfId="1788"/>
    <cellStyle name="Normal 2 5 3 2 5" xfId="1789"/>
    <cellStyle name="Normal 2 5 3 2 5 2" xfId="1790"/>
    <cellStyle name="Normal 2 5 3 2 5 3" xfId="1791"/>
    <cellStyle name="Normal 2 5 3 2 6" xfId="1792"/>
    <cellStyle name="Normal 2 5 3 2 6 2" xfId="1793"/>
    <cellStyle name="Normal 2 5 3 2 7" xfId="1794"/>
    <cellStyle name="Normal 2 5 3 2 7 2" xfId="1795"/>
    <cellStyle name="Normal 2 5 3 2 8" xfId="1796"/>
    <cellStyle name="Normal 2 5 3 3" xfId="1797"/>
    <cellStyle name="Normal 2 5 3 3 2" xfId="1798"/>
    <cellStyle name="Normal 2 5 3 3 2 2" xfId="1799"/>
    <cellStyle name="Normal 2 5 3 3 2 2 2" xfId="1800"/>
    <cellStyle name="Normal 2 5 3 3 2 2 3" xfId="1801"/>
    <cellStyle name="Normal 2 5 3 3 2 3" xfId="1802"/>
    <cellStyle name="Normal 2 5 3 3 2 3 2" xfId="1803"/>
    <cellStyle name="Normal 2 5 3 3 2 4" xfId="1804"/>
    <cellStyle name="Normal 2 5 3 3 2 4 2" xfId="1805"/>
    <cellStyle name="Normal 2 5 3 3 2 5" xfId="1806"/>
    <cellStyle name="Normal 2 5 3 3 3" xfId="1807"/>
    <cellStyle name="Normal 2 5 3 3 3 2" xfId="1808"/>
    <cellStyle name="Normal 2 5 3 3 3 2 2" xfId="1809"/>
    <cellStyle name="Normal 2 5 3 3 3 3" xfId="1810"/>
    <cellStyle name="Normal 2 5 3 3 3 3 2" xfId="1811"/>
    <cellStyle name="Normal 2 5 3 3 3 4" xfId="1812"/>
    <cellStyle name="Normal 2 5 3 3 4" xfId="1813"/>
    <cellStyle name="Normal 2 5 3 3 4 2" xfId="1814"/>
    <cellStyle name="Normal 2 5 3 3 4 3" xfId="1815"/>
    <cellStyle name="Normal 2 5 3 3 5" xfId="1816"/>
    <cellStyle name="Normal 2 5 3 3 5 2" xfId="1817"/>
    <cellStyle name="Normal 2 5 3 3 6" xfId="1818"/>
    <cellStyle name="Normal 2 5 3 3 6 2" xfId="1819"/>
    <cellStyle name="Normal 2 5 3 3 7" xfId="1820"/>
    <cellStyle name="Normal 2 5 3 4" xfId="1821"/>
    <cellStyle name="Normal 2 5 3 4 2" xfId="1822"/>
    <cellStyle name="Normal 2 5 3 4 2 2" xfId="1823"/>
    <cellStyle name="Normal 2 5 3 4 2 2 2" xfId="1824"/>
    <cellStyle name="Normal 2 5 3 4 2 2 3" xfId="1825"/>
    <cellStyle name="Normal 2 5 3 4 2 3" xfId="1826"/>
    <cellStyle name="Normal 2 5 3 4 2 3 2" xfId="1827"/>
    <cellStyle name="Normal 2 5 3 4 2 4" xfId="1828"/>
    <cellStyle name="Normal 2 5 3 4 2 4 2" xfId="1829"/>
    <cellStyle name="Normal 2 5 3 4 2 5" xfId="1830"/>
    <cellStyle name="Normal 2 5 3 4 3" xfId="1831"/>
    <cellStyle name="Normal 2 5 3 4 3 2" xfId="1832"/>
    <cellStyle name="Normal 2 5 3 4 3 2 2" xfId="1833"/>
    <cellStyle name="Normal 2 5 3 4 3 3" xfId="1834"/>
    <cellStyle name="Normal 2 5 3 4 3 3 2" xfId="1835"/>
    <cellStyle name="Normal 2 5 3 4 3 4" xfId="1836"/>
    <cellStyle name="Normal 2 5 3 4 4" xfId="1837"/>
    <cellStyle name="Normal 2 5 3 4 4 2" xfId="1838"/>
    <cellStyle name="Normal 2 5 3 4 4 3" xfId="1839"/>
    <cellStyle name="Normal 2 5 3 4 5" xfId="1840"/>
    <cellStyle name="Normal 2 5 3 4 5 2" xfId="1841"/>
    <cellStyle name="Normal 2 5 3 4 6" xfId="1842"/>
    <cellStyle name="Normal 2 5 3 4 6 2" xfId="1843"/>
    <cellStyle name="Normal 2 5 3 4 7" xfId="1844"/>
    <cellStyle name="Normal 2 5 3 5" xfId="1845"/>
    <cellStyle name="Normal 2 5 3 5 2" xfId="1846"/>
    <cellStyle name="Normal 2 5 3 5 2 2" xfId="1847"/>
    <cellStyle name="Normal 2 5 3 5 2 2 2" xfId="1848"/>
    <cellStyle name="Normal 2 5 3 5 2 3" xfId="1849"/>
    <cellStyle name="Normal 2 5 3 5 2 3 2" xfId="1850"/>
    <cellStyle name="Normal 2 5 3 5 2 4" xfId="1851"/>
    <cellStyle name="Normal 2 5 3 5 3" xfId="1852"/>
    <cellStyle name="Normal 2 5 3 5 3 2" xfId="1853"/>
    <cellStyle name="Normal 2 5 3 5 3 3" xfId="1854"/>
    <cellStyle name="Normal 2 5 3 5 4" xfId="1855"/>
    <cellStyle name="Normal 2 5 3 5 4 2" xfId="1856"/>
    <cellStyle name="Normal 2 5 3 5 5" xfId="1857"/>
    <cellStyle name="Normal 2 5 3 5 5 2" xfId="1858"/>
    <cellStyle name="Normal 2 5 3 5 6" xfId="1859"/>
    <cellStyle name="Normal 2 5 3 6" xfId="1860"/>
    <cellStyle name="Normal 2 5 3 6 2" xfId="1861"/>
    <cellStyle name="Normal 2 5 3 6 2 2" xfId="1862"/>
    <cellStyle name="Normal 2 5 3 6 3" xfId="1863"/>
    <cellStyle name="Normal 2 5 3 6 3 2" xfId="1864"/>
    <cellStyle name="Normal 2 5 3 6 4" xfId="1865"/>
    <cellStyle name="Normal 2 5 3 7" xfId="1866"/>
    <cellStyle name="Normal 2 5 3 7 2" xfId="1867"/>
    <cellStyle name="Normal 2 5 3 7 2 2" xfId="1868"/>
    <cellStyle name="Normal 2 5 3 7 3" xfId="1869"/>
    <cellStyle name="Normal 2 5 3 7 3 2" xfId="1870"/>
    <cellStyle name="Normal 2 5 3 7 4" xfId="1871"/>
    <cellStyle name="Normal 2 5 3 8" xfId="1872"/>
    <cellStyle name="Normal 2 5 3 8 2" xfId="1873"/>
    <cellStyle name="Normal 2 5 3 8 3" xfId="1874"/>
    <cellStyle name="Normal 2 5 3 9" xfId="1875"/>
    <cellStyle name="Normal 2 5 3 9 2" xfId="1876"/>
    <cellStyle name="Normal 2 5 4" xfId="1877"/>
    <cellStyle name="Normal 2 5 4 10" xfId="1878"/>
    <cellStyle name="Normal 2 5 4 2" xfId="1879"/>
    <cellStyle name="Normal 2 5 4 2 2" xfId="1880"/>
    <cellStyle name="Normal 2 5 4 2 2 2" xfId="1881"/>
    <cellStyle name="Normal 2 5 4 2 2 2 2" xfId="1882"/>
    <cellStyle name="Normal 2 5 4 2 2 2 3" xfId="1883"/>
    <cellStyle name="Normal 2 5 4 2 2 3" xfId="1884"/>
    <cellStyle name="Normal 2 5 4 2 2 3 2" xfId="1885"/>
    <cellStyle name="Normal 2 5 4 2 2 4" xfId="1886"/>
    <cellStyle name="Normal 2 5 4 2 2 4 2" xfId="1887"/>
    <cellStyle name="Normal 2 5 4 2 2 5" xfId="1888"/>
    <cellStyle name="Normal 2 5 4 2 3" xfId="1889"/>
    <cellStyle name="Normal 2 5 4 2 3 2" xfId="1890"/>
    <cellStyle name="Normal 2 5 4 2 3 2 2" xfId="1891"/>
    <cellStyle name="Normal 2 5 4 2 3 3" xfId="1892"/>
    <cellStyle name="Normal 2 5 4 2 3 3 2" xfId="1893"/>
    <cellStyle name="Normal 2 5 4 2 3 4" xfId="1894"/>
    <cellStyle name="Normal 2 5 4 2 4" xfId="1895"/>
    <cellStyle name="Normal 2 5 4 2 4 2" xfId="1896"/>
    <cellStyle name="Normal 2 5 4 2 4 3" xfId="1897"/>
    <cellStyle name="Normal 2 5 4 2 5" xfId="1898"/>
    <cellStyle name="Normal 2 5 4 2 5 2" xfId="1899"/>
    <cellStyle name="Normal 2 5 4 2 6" xfId="1900"/>
    <cellStyle name="Normal 2 5 4 2 6 2" xfId="1901"/>
    <cellStyle name="Normal 2 5 4 2 7" xfId="1902"/>
    <cellStyle name="Normal 2 5 4 3" xfId="1903"/>
    <cellStyle name="Normal 2 5 4 3 2" xfId="1904"/>
    <cellStyle name="Normal 2 5 4 3 2 2" xfId="1905"/>
    <cellStyle name="Normal 2 5 4 3 2 2 2" xfId="1906"/>
    <cellStyle name="Normal 2 5 4 3 2 2 3" xfId="1907"/>
    <cellStyle name="Normal 2 5 4 3 2 3" xfId="1908"/>
    <cellStyle name="Normal 2 5 4 3 2 3 2" xfId="1909"/>
    <cellStyle name="Normal 2 5 4 3 2 4" xfId="1910"/>
    <cellStyle name="Normal 2 5 4 3 2 4 2" xfId="1911"/>
    <cellStyle name="Normal 2 5 4 3 2 5" xfId="1912"/>
    <cellStyle name="Normal 2 5 4 3 3" xfId="1913"/>
    <cellStyle name="Normal 2 5 4 3 3 2" xfId="1914"/>
    <cellStyle name="Normal 2 5 4 3 3 2 2" xfId="1915"/>
    <cellStyle name="Normal 2 5 4 3 3 3" xfId="1916"/>
    <cellStyle name="Normal 2 5 4 3 3 3 2" xfId="1917"/>
    <cellStyle name="Normal 2 5 4 3 3 4" xfId="1918"/>
    <cellStyle name="Normal 2 5 4 3 4" xfId="1919"/>
    <cellStyle name="Normal 2 5 4 3 4 2" xfId="1920"/>
    <cellStyle name="Normal 2 5 4 3 4 3" xfId="1921"/>
    <cellStyle name="Normal 2 5 4 3 5" xfId="1922"/>
    <cellStyle name="Normal 2 5 4 3 5 2" xfId="1923"/>
    <cellStyle name="Normal 2 5 4 3 6" xfId="1924"/>
    <cellStyle name="Normal 2 5 4 3 6 2" xfId="1925"/>
    <cellStyle name="Normal 2 5 4 3 7" xfId="1926"/>
    <cellStyle name="Normal 2 5 4 4" xfId="1927"/>
    <cellStyle name="Normal 2 5 4 4 2" xfId="1928"/>
    <cellStyle name="Normal 2 5 4 4 2 2" xfId="1929"/>
    <cellStyle name="Normal 2 5 4 4 2 2 2" xfId="1930"/>
    <cellStyle name="Normal 2 5 4 4 2 3" xfId="1931"/>
    <cellStyle name="Normal 2 5 4 4 2 3 2" xfId="1932"/>
    <cellStyle name="Normal 2 5 4 4 2 4" xfId="1933"/>
    <cellStyle name="Normal 2 5 4 4 3" xfId="1934"/>
    <cellStyle name="Normal 2 5 4 4 3 2" xfId="1935"/>
    <cellStyle name="Normal 2 5 4 4 3 3" xfId="1936"/>
    <cellStyle name="Normal 2 5 4 4 4" xfId="1937"/>
    <cellStyle name="Normal 2 5 4 4 4 2" xfId="1938"/>
    <cellStyle name="Normal 2 5 4 4 5" xfId="1939"/>
    <cellStyle name="Normal 2 5 4 4 5 2" xfId="1940"/>
    <cellStyle name="Normal 2 5 4 4 6" xfId="1941"/>
    <cellStyle name="Normal 2 5 4 5" xfId="1942"/>
    <cellStyle name="Normal 2 5 4 5 2" xfId="1943"/>
    <cellStyle name="Normal 2 5 4 5 2 2" xfId="1944"/>
    <cellStyle name="Normal 2 5 4 5 3" xfId="1945"/>
    <cellStyle name="Normal 2 5 4 5 3 2" xfId="1946"/>
    <cellStyle name="Normal 2 5 4 5 4" xfId="1947"/>
    <cellStyle name="Normal 2 5 4 6" xfId="1948"/>
    <cellStyle name="Normal 2 5 4 6 2" xfId="1949"/>
    <cellStyle name="Normal 2 5 4 6 2 2" xfId="1950"/>
    <cellStyle name="Normal 2 5 4 6 3" xfId="1951"/>
    <cellStyle name="Normal 2 5 4 6 3 2" xfId="1952"/>
    <cellStyle name="Normal 2 5 4 6 4" xfId="1953"/>
    <cellStyle name="Normal 2 5 4 7" xfId="1954"/>
    <cellStyle name="Normal 2 5 4 7 2" xfId="1955"/>
    <cellStyle name="Normal 2 5 4 7 3" xfId="1956"/>
    <cellStyle name="Normal 2 5 4 8" xfId="1957"/>
    <cellStyle name="Normal 2 5 4 8 2" xfId="1958"/>
    <cellStyle name="Normal 2 5 4 9" xfId="1959"/>
    <cellStyle name="Normal 2 5 4 9 2" xfId="1960"/>
    <cellStyle name="Normal 2 5 5" xfId="1961"/>
    <cellStyle name="Normal 2 5 5 2" xfId="1962"/>
    <cellStyle name="Normal 2 5 5 2 2" xfId="1963"/>
    <cellStyle name="Normal 2 5 5 2 2 2" xfId="1964"/>
    <cellStyle name="Normal 2 5 5 2 2 2 2" xfId="1965"/>
    <cellStyle name="Normal 2 5 5 2 2 2 3" xfId="1966"/>
    <cellStyle name="Normal 2 5 5 2 2 3" xfId="1967"/>
    <cellStyle name="Normal 2 5 5 2 2 3 2" xfId="1968"/>
    <cellStyle name="Normal 2 5 5 2 2 4" xfId="1969"/>
    <cellStyle name="Normal 2 5 5 2 2 4 2" xfId="1970"/>
    <cellStyle name="Normal 2 5 5 2 2 5" xfId="1971"/>
    <cellStyle name="Normal 2 5 5 2 3" xfId="1972"/>
    <cellStyle name="Normal 2 5 5 2 3 2" xfId="1973"/>
    <cellStyle name="Normal 2 5 5 2 3 2 2" xfId="1974"/>
    <cellStyle name="Normal 2 5 5 2 3 3" xfId="1975"/>
    <cellStyle name="Normal 2 5 5 2 3 3 2" xfId="1976"/>
    <cellStyle name="Normal 2 5 5 2 3 4" xfId="1977"/>
    <cellStyle name="Normal 2 5 5 2 4" xfId="1978"/>
    <cellStyle name="Normal 2 5 5 2 4 2" xfId="1979"/>
    <cellStyle name="Normal 2 5 5 2 4 3" xfId="1980"/>
    <cellStyle name="Normal 2 5 5 2 5" xfId="1981"/>
    <cellStyle name="Normal 2 5 5 2 5 2" xfId="1982"/>
    <cellStyle name="Normal 2 5 5 2 6" xfId="1983"/>
    <cellStyle name="Normal 2 5 5 2 6 2" xfId="1984"/>
    <cellStyle name="Normal 2 5 5 2 7" xfId="1985"/>
    <cellStyle name="Normal 2 5 5 3" xfId="1986"/>
    <cellStyle name="Normal 2 5 5 3 2" xfId="1987"/>
    <cellStyle name="Normal 2 5 5 3 2 2" xfId="1988"/>
    <cellStyle name="Normal 2 5 5 3 2 3" xfId="1989"/>
    <cellStyle name="Normal 2 5 5 3 3" xfId="1990"/>
    <cellStyle name="Normal 2 5 5 3 3 2" xfId="1991"/>
    <cellStyle name="Normal 2 5 5 3 4" xfId="1992"/>
    <cellStyle name="Normal 2 5 5 3 4 2" xfId="1993"/>
    <cellStyle name="Normal 2 5 5 3 5" xfId="1994"/>
    <cellStyle name="Normal 2 5 5 4" xfId="1995"/>
    <cellStyle name="Normal 2 5 5 4 2" xfId="1996"/>
    <cellStyle name="Normal 2 5 5 4 2 2" xfId="1997"/>
    <cellStyle name="Normal 2 5 5 4 3" xfId="1998"/>
    <cellStyle name="Normal 2 5 5 4 3 2" xfId="1999"/>
    <cellStyle name="Normal 2 5 5 4 4" xfId="2000"/>
    <cellStyle name="Normal 2 5 5 5" xfId="2001"/>
    <cellStyle name="Normal 2 5 5 5 2" xfId="2002"/>
    <cellStyle name="Normal 2 5 5 5 3" xfId="2003"/>
    <cellStyle name="Normal 2 5 5 6" xfId="2004"/>
    <cellStyle name="Normal 2 5 5 6 2" xfId="2005"/>
    <cellStyle name="Normal 2 5 5 7" xfId="2006"/>
    <cellStyle name="Normal 2 5 5 7 2" xfId="2007"/>
    <cellStyle name="Normal 2 5 5 8" xfId="2008"/>
    <cellStyle name="Normal 2 5 6" xfId="2009"/>
    <cellStyle name="Normal 2 5 6 2" xfId="2010"/>
    <cellStyle name="Normal 2 5 6 2 2" xfId="2011"/>
    <cellStyle name="Normal 2 5 6 2 2 2" xfId="2012"/>
    <cellStyle name="Normal 2 5 6 2 2 3" xfId="2013"/>
    <cellStyle name="Normal 2 5 6 2 3" xfId="2014"/>
    <cellStyle name="Normal 2 5 6 2 3 2" xfId="2015"/>
    <cellStyle name="Normal 2 5 6 2 4" xfId="2016"/>
    <cellStyle name="Normal 2 5 6 2 4 2" xfId="2017"/>
    <cellStyle name="Normal 2 5 6 2 5" xfId="2018"/>
    <cellStyle name="Normal 2 5 6 3" xfId="2019"/>
    <cellStyle name="Normal 2 5 6 3 2" xfId="2020"/>
    <cellStyle name="Normal 2 5 6 3 2 2" xfId="2021"/>
    <cellStyle name="Normal 2 5 6 3 3" xfId="2022"/>
    <cellStyle name="Normal 2 5 6 3 3 2" xfId="2023"/>
    <cellStyle name="Normal 2 5 6 3 4" xfId="2024"/>
    <cellStyle name="Normal 2 5 6 4" xfId="2025"/>
    <cellStyle name="Normal 2 5 6 4 2" xfId="2026"/>
    <cellStyle name="Normal 2 5 6 4 3" xfId="2027"/>
    <cellStyle name="Normal 2 5 6 5" xfId="2028"/>
    <cellStyle name="Normal 2 5 6 5 2" xfId="2029"/>
    <cellStyle name="Normal 2 5 6 6" xfId="2030"/>
    <cellStyle name="Normal 2 5 6 6 2" xfId="2031"/>
    <cellStyle name="Normal 2 5 6 7" xfId="2032"/>
    <cellStyle name="Normal 2 5 7" xfId="2033"/>
    <cellStyle name="Normal 2 5 7 2" xfId="2034"/>
    <cellStyle name="Normal 2 5 7 2 2" xfId="2035"/>
    <cellStyle name="Normal 2 5 7 2 2 2" xfId="2036"/>
    <cellStyle name="Normal 2 5 7 2 2 3" xfId="2037"/>
    <cellStyle name="Normal 2 5 7 2 3" xfId="2038"/>
    <cellStyle name="Normal 2 5 7 2 3 2" xfId="2039"/>
    <cellStyle name="Normal 2 5 7 2 4" xfId="2040"/>
    <cellStyle name="Normal 2 5 7 2 4 2" xfId="2041"/>
    <cellStyle name="Normal 2 5 7 2 5" xfId="2042"/>
    <cellStyle name="Normal 2 5 7 3" xfId="2043"/>
    <cellStyle name="Normal 2 5 7 3 2" xfId="2044"/>
    <cellStyle name="Normal 2 5 7 3 2 2" xfId="2045"/>
    <cellStyle name="Normal 2 5 7 3 3" xfId="2046"/>
    <cellStyle name="Normal 2 5 7 3 3 2" xfId="2047"/>
    <cellStyle name="Normal 2 5 7 3 4" xfId="2048"/>
    <cellStyle name="Normal 2 5 7 4" xfId="2049"/>
    <cellStyle name="Normal 2 5 7 4 2" xfId="2050"/>
    <cellStyle name="Normal 2 5 7 4 3" xfId="2051"/>
    <cellStyle name="Normal 2 5 7 5" xfId="2052"/>
    <cellStyle name="Normal 2 5 7 5 2" xfId="2053"/>
    <cellStyle name="Normal 2 5 7 6" xfId="2054"/>
    <cellStyle name="Normal 2 5 7 6 2" xfId="2055"/>
    <cellStyle name="Normal 2 5 7 7" xfId="2056"/>
    <cellStyle name="Normal 2 5 8" xfId="2057"/>
    <cellStyle name="Normal 2 5 8 2" xfId="2058"/>
    <cellStyle name="Normal 2 5 8 2 2" xfId="2059"/>
    <cellStyle name="Normal 2 5 8 2 2 2" xfId="2060"/>
    <cellStyle name="Normal 2 5 8 2 3" xfId="2061"/>
    <cellStyle name="Normal 2 5 8 2 3 2" xfId="2062"/>
    <cellStyle name="Normal 2 5 8 2 4" xfId="2063"/>
    <cellStyle name="Normal 2 5 8 3" xfId="2064"/>
    <cellStyle name="Normal 2 5 8 3 2" xfId="2065"/>
    <cellStyle name="Normal 2 5 8 3 3" xfId="2066"/>
    <cellStyle name="Normal 2 5 8 4" xfId="2067"/>
    <cellStyle name="Normal 2 5 8 4 2" xfId="2068"/>
    <cellStyle name="Normal 2 5 8 5" xfId="2069"/>
    <cellStyle name="Normal 2 5 8 5 2" xfId="2070"/>
    <cellStyle name="Normal 2 5 8 6" xfId="2071"/>
    <cellStyle name="Normal 2 5 9" xfId="2072"/>
    <cellStyle name="Normal 2 5 9 2" xfId="2073"/>
    <cellStyle name="Normal 2 5 9 2 2" xfId="2074"/>
    <cellStyle name="Normal 2 5 9 3" xfId="2075"/>
    <cellStyle name="Normal 2 5 9 3 2" xfId="2076"/>
    <cellStyle name="Normal 2 5 9 4" xfId="2077"/>
    <cellStyle name="Normal 2 6" xfId="2078"/>
    <cellStyle name="Normal 2 6 10" xfId="2079"/>
    <cellStyle name="Normal 2 6 10 2" xfId="2080"/>
    <cellStyle name="Normal 2 6 11" xfId="2081"/>
    <cellStyle name="Normal 2 6 12" xfId="26979"/>
    <cellStyle name="Normal 2 6 2" xfId="2082"/>
    <cellStyle name="Normal 2 6 2 2" xfId="2083"/>
    <cellStyle name="Normal 2 6 2 2 2" xfId="2084"/>
    <cellStyle name="Normal 2 6 2 2 2 2" xfId="2085"/>
    <cellStyle name="Normal 2 6 2 2 2 2 2" xfId="2086"/>
    <cellStyle name="Normal 2 6 2 2 2 2 3" xfId="2087"/>
    <cellStyle name="Normal 2 6 2 2 2 3" xfId="2088"/>
    <cellStyle name="Normal 2 6 2 2 2 3 2" xfId="2089"/>
    <cellStyle name="Normal 2 6 2 2 2 4" xfId="2090"/>
    <cellStyle name="Normal 2 6 2 2 2 4 2" xfId="2091"/>
    <cellStyle name="Normal 2 6 2 2 2 5" xfId="2092"/>
    <cellStyle name="Normal 2 6 2 2 3" xfId="2093"/>
    <cellStyle name="Normal 2 6 2 2 3 2" xfId="2094"/>
    <cellStyle name="Normal 2 6 2 2 3 2 2" xfId="2095"/>
    <cellStyle name="Normal 2 6 2 2 3 3" xfId="2096"/>
    <cellStyle name="Normal 2 6 2 2 3 3 2" xfId="2097"/>
    <cellStyle name="Normal 2 6 2 2 3 4" xfId="2098"/>
    <cellStyle name="Normal 2 6 2 2 4" xfId="2099"/>
    <cellStyle name="Normal 2 6 2 2 4 2" xfId="2100"/>
    <cellStyle name="Normal 2 6 2 2 4 3" xfId="2101"/>
    <cellStyle name="Normal 2 6 2 2 5" xfId="2102"/>
    <cellStyle name="Normal 2 6 2 2 5 2" xfId="2103"/>
    <cellStyle name="Normal 2 6 2 2 6" xfId="2104"/>
    <cellStyle name="Normal 2 6 2 2 6 2" xfId="2105"/>
    <cellStyle name="Normal 2 6 2 2 7" xfId="2106"/>
    <cellStyle name="Normal 2 6 2 3" xfId="2107"/>
    <cellStyle name="Normal 2 6 2 3 2" xfId="2108"/>
    <cellStyle name="Normal 2 6 2 3 2 2" xfId="2109"/>
    <cellStyle name="Normal 2 6 2 3 2 3" xfId="2110"/>
    <cellStyle name="Normal 2 6 2 3 3" xfId="2111"/>
    <cellStyle name="Normal 2 6 2 3 3 2" xfId="2112"/>
    <cellStyle name="Normal 2 6 2 3 4" xfId="2113"/>
    <cellStyle name="Normal 2 6 2 3 4 2" xfId="2114"/>
    <cellStyle name="Normal 2 6 2 3 5" xfId="2115"/>
    <cellStyle name="Normal 2 6 2 4" xfId="2116"/>
    <cellStyle name="Normal 2 6 2 4 2" xfId="2117"/>
    <cellStyle name="Normal 2 6 2 4 2 2" xfId="2118"/>
    <cellStyle name="Normal 2 6 2 4 3" xfId="2119"/>
    <cellStyle name="Normal 2 6 2 4 3 2" xfId="2120"/>
    <cellStyle name="Normal 2 6 2 4 4" xfId="2121"/>
    <cellStyle name="Normal 2 6 2 5" xfId="2122"/>
    <cellStyle name="Normal 2 6 2 5 2" xfId="2123"/>
    <cellStyle name="Normal 2 6 2 5 3" xfId="2124"/>
    <cellStyle name="Normal 2 6 2 6" xfId="2125"/>
    <cellStyle name="Normal 2 6 2 6 2" xfId="2126"/>
    <cellStyle name="Normal 2 6 2 7" xfId="2127"/>
    <cellStyle name="Normal 2 6 2 7 2" xfId="2128"/>
    <cellStyle name="Normal 2 6 2 8" xfId="2129"/>
    <cellStyle name="Normal 2 6 3" xfId="2130"/>
    <cellStyle name="Normal 2 6 3 2" xfId="2131"/>
    <cellStyle name="Normal 2 6 3 2 2" xfId="2132"/>
    <cellStyle name="Normal 2 6 3 2 2 2" xfId="2133"/>
    <cellStyle name="Normal 2 6 3 2 2 3" xfId="2134"/>
    <cellStyle name="Normal 2 6 3 2 3" xfId="2135"/>
    <cellStyle name="Normal 2 6 3 2 3 2" xfId="2136"/>
    <cellStyle name="Normal 2 6 3 2 4" xfId="2137"/>
    <cellStyle name="Normal 2 6 3 2 4 2" xfId="2138"/>
    <cellStyle name="Normal 2 6 3 2 5" xfId="2139"/>
    <cellStyle name="Normal 2 6 3 3" xfId="2140"/>
    <cellStyle name="Normal 2 6 3 3 2" xfId="2141"/>
    <cellStyle name="Normal 2 6 3 3 2 2" xfId="2142"/>
    <cellStyle name="Normal 2 6 3 3 3" xfId="2143"/>
    <cellStyle name="Normal 2 6 3 3 3 2" xfId="2144"/>
    <cellStyle name="Normal 2 6 3 3 4" xfId="2145"/>
    <cellStyle name="Normal 2 6 3 4" xfId="2146"/>
    <cellStyle name="Normal 2 6 3 4 2" xfId="2147"/>
    <cellStyle name="Normal 2 6 3 4 3" xfId="2148"/>
    <cellStyle name="Normal 2 6 3 5" xfId="2149"/>
    <cellStyle name="Normal 2 6 3 5 2" xfId="2150"/>
    <cellStyle name="Normal 2 6 3 6" xfId="2151"/>
    <cellStyle name="Normal 2 6 3 6 2" xfId="2152"/>
    <cellStyle name="Normal 2 6 3 7" xfId="2153"/>
    <cellStyle name="Normal 2 6 4" xfId="2154"/>
    <cellStyle name="Normal 2 6 4 2" xfId="2155"/>
    <cellStyle name="Normal 2 6 4 2 2" xfId="2156"/>
    <cellStyle name="Normal 2 6 4 2 2 2" xfId="2157"/>
    <cellStyle name="Normal 2 6 4 2 2 3" xfId="2158"/>
    <cellStyle name="Normal 2 6 4 2 3" xfId="2159"/>
    <cellStyle name="Normal 2 6 4 2 3 2" xfId="2160"/>
    <cellStyle name="Normal 2 6 4 2 4" xfId="2161"/>
    <cellStyle name="Normal 2 6 4 2 4 2" xfId="2162"/>
    <cellStyle name="Normal 2 6 4 2 5" xfId="2163"/>
    <cellStyle name="Normal 2 6 4 3" xfId="2164"/>
    <cellStyle name="Normal 2 6 4 3 2" xfId="2165"/>
    <cellStyle name="Normal 2 6 4 3 2 2" xfId="2166"/>
    <cellStyle name="Normal 2 6 4 3 3" xfId="2167"/>
    <cellStyle name="Normal 2 6 4 3 3 2" xfId="2168"/>
    <cellStyle name="Normal 2 6 4 3 4" xfId="2169"/>
    <cellStyle name="Normal 2 6 4 4" xfId="2170"/>
    <cellStyle name="Normal 2 6 4 4 2" xfId="2171"/>
    <cellStyle name="Normal 2 6 4 4 3" xfId="2172"/>
    <cellStyle name="Normal 2 6 4 5" xfId="2173"/>
    <cellStyle name="Normal 2 6 4 5 2" xfId="2174"/>
    <cellStyle name="Normal 2 6 4 6" xfId="2175"/>
    <cellStyle name="Normal 2 6 4 6 2" xfId="2176"/>
    <cellStyle name="Normal 2 6 4 7" xfId="2177"/>
    <cellStyle name="Normal 2 6 5" xfId="2178"/>
    <cellStyle name="Normal 2 6 5 2" xfId="2179"/>
    <cellStyle name="Normal 2 6 5 2 2" xfId="2180"/>
    <cellStyle name="Normal 2 6 5 2 2 2" xfId="2181"/>
    <cellStyle name="Normal 2 6 5 2 3" xfId="2182"/>
    <cellStyle name="Normal 2 6 5 2 3 2" xfId="2183"/>
    <cellStyle name="Normal 2 6 5 2 4" xfId="2184"/>
    <cellStyle name="Normal 2 6 5 3" xfId="2185"/>
    <cellStyle name="Normal 2 6 5 3 2" xfId="2186"/>
    <cellStyle name="Normal 2 6 5 3 3" xfId="2187"/>
    <cellStyle name="Normal 2 6 5 4" xfId="2188"/>
    <cellStyle name="Normal 2 6 5 4 2" xfId="2189"/>
    <cellStyle name="Normal 2 6 5 5" xfId="2190"/>
    <cellStyle name="Normal 2 6 5 5 2" xfId="2191"/>
    <cellStyle name="Normal 2 6 5 6" xfId="2192"/>
    <cellStyle name="Normal 2 6 6" xfId="2193"/>
    <cellStyle name="Normal 2 6 6 2" xfId="2194"/>
    <cellStyle name="Normal 2 6 6 2 2" xfId="2195"/>
    <cellStyle name="Normal 2 6 6 3" xfId="2196"/>
    <cellStyle name="Normal 2 6 6 3 2" xfId="2197"/>
    <cellStyle name="Normal 2 6 6 4" xfId="2198"/>
    <cellStyle name="Normal 2 6 7" xfId="2199"/>
    <cellStyle name="Normal 2 6 7 2" xfId="2200"/>
    <cellStyle name="Normal 2 6 7 2 2" xfId="2201"/>
    <cellStyle name="Normal 2 6 7 3" xfId="2202"/>
    <cellStyle name="Normal 2 6 7 3 2" xfId="2203"/>
    <cellStyle name="Normal 2 6 7 4" xfId="2204"/>
    <cellStyle name="Normal 2 6 8" xfId="2205"/>
    <cellStyle name="Normal 2 6 8 2" xfId="2206"/>
    <cellStyle name="Normal 2 6 8 3" xfId="2207"/>
    <cellStyle name="Normal 2 6 9" xfId="2208"/>
    <cellStyle name="Normal 2 6 9 2" xfId="2209"/>
    <cellStyle name="Normal 2 7" xfId="2210"/>
    <cellStyle name="Normal 2 7 10" xfId="2211"/>
    <cellStyle name="Normal 2 7 2" xfId="2212"/>
    <cellStyle name="Normal 2 7 2 2" xfId="2213"/>
    <cellStyle name="Normal 2 7 2 2 2" xfId="2214"/>
    <cellStyle name="Normal 2 7 2 2 2 2" xfId="2215"/>
    <cellStyle name="Normal 2 7 2 2 2 3" xfId="2216"/>
    <cellStyle name="Normal 2 7 2 2 3" xfId="2217"/>
    <cellStyle name="Normal 2 7 2 2 3 2" xfId="2218"/>
    <cellStyle name="Normal 2 7 2 2 4" xfId="2219"/>
    <cellStyle name="Normal 2 7 2 2 4 2" xfId="2220"/>
    <cellStyle name="Normal 2 7 2 2 5" xfId="2221"/>
    <cellStyle name="Normal 2 7 2 3" xfId="2222"/>
    <cellStyle name="Normal 2 7 2 3 2" xfId="2223"/>
    <cellStyle name="Normal 2 7 2 3 2 2" xfId="2224"/>
    <cellStyle name="Normal 2 7 2 3 3" xfId="2225"/>
    <cellStyle name="Normal 2 7 2 3 3 2" xfId="2226"/>
    <cellStyle name="Normal 2 7 2 3 4" xfId="2227"/>
    <cellStyle name="Normal 2 7 2 4" xfId="2228"/>
    <cellStyle name="Normal 2 7 2 4 2" xfId="2229"/>
    <cellStyle name="Normal 2 7 2 4 3" xfId="2230"/>
    <cellStyle name="Normal 2 7 2 5" xfId="2231"/>
    <cellStyle name="Normal 2 7 2 5 2" xfId="2232"/>
    <cellStyle name="Normal 2 7 2 6" xfId="2233"/>
    <cellStyle name="Normal 2 7 2 6 2" xfId="2234"/>
    <cellStyle name="Normal 2 7 2 7" xfId="2235"/>
    <cellStyle name="Normal 2 7 3" xfId="2236"/>
    <cellStyle name="Normal 2 7 3 2" xfId="2237"/>
    <cellStyle name="Normal 2 7 3 2 2" xfId="2238"/>
    <cellStyle name="Normal 2 7 3 2 2 2" xfId="2239"/>
    <cellStyle name="Normal 2 7 3 2 2 3" xfId="2240"/>
    <cellStyle name="Normal 2 7 3 2 3" xfId="2241"/>
    <cellStyle name="Normal 2 7 3 2 3 2" xfId="2242"/>
    <cellStyle name="Normal 2 7 3 2 4" xfId="2243"/>
    <cellStyle name="Normal 2 7 3 2 4 2" xfId="2244"/>
    <cellStyle name="Normal 2 7 3 2 5" xfId="2245"/>
    <cellStyle name="Normal 2 7 3 3" xfId="2246"/>
    <cellStyle name="Normal 2 7 3 3 2" xfId="2247"/>
    <cellStyle name="Normal 2 7 3 3 2 2" xfId="2248"/>
    <cellStyle name="Normal 2 7 3 3 3" xfId="2249"/>
    <cellStyle name="Normal 2 7 3 3 3 2" xfId="2250"/>
    <cellStyle name="Normal 2 7 3 3 4" xfId="2251"/>
    <cellStyle name="Normal 2 7 3 4" xfId="2252"/>
    <cellStyle name="Normal 2 7 3 4 2" xfId="2253"/>
    <cellStyle name="Normal 2 7 3 4 3" xfId="2254"/>
    <cellStyle name="Normal 2 7 3 5" xfId="2255"/>
    <cellStyle name="Normal 2 7 3 5 2" xfId="2256"/>
    <cellStyle name="Normal 2 7 3 6" xfId="2257"/>
    <cellStyle name="Normal 2 7 3 6 2" xfId="2258"/>
    <cellStyle name="Normal 2 7 3 7" xfId="2259"/>
    <cellStyle name="Normal 2 7 4" xfId="2260"/>
    <cellStyle name="Normal 2 7 4 2" xfId="2261"/>
    <cellStyle name="Normal 2 7 4 2 2" xfId="2262"/>
    <cellStyle name="Normal 2 7 4 2 2 2" xfId="2263"/>
    <cellStyle name="Normal 2 7 4 2 3" xfId="2264"/>
    <cellStyle name="Normal 2 7 4 2 3 2" xfId="2265"/>
    <cellStyle name="Normal 2 7 4 2 4" xfId="2266"/>
    <cellStyle name="Normal 2 7 4 3" xfId="2267"/>
    <cellStyle name="Normal 2 7 4 3 2" xfId="2268"/>
    <cellStyle name="Normal 2 7 4 3 3" xfId="2269"/>
    <cellStyle name="Normal 2 7 4 4" xfId="2270"/>
    <cellStyle name="Normal 2 7 4 4 2" xfId="2271"/>
    <cellStyle name="Normal 2 7 4 5" xfId="2272"/>
    <cellStyle name="Normal 2 7 4 5 2" xfId="2273"/>
    <cellStyle name="Normal 2 7 4 6" xfId="2274"/>
    <cellStyle name="Normal 2 7 5" xfId="2275"/>
    <cellStyle name="Normal 2 7 5 2" xfId="2276"/>
    <cellStyle name="Normal 2 7 5 2 2" xfId="2277"/>
    <cellStyle name="Normal 2 7 5 3" xfId="2278"/>
    <cellStyle name="Normal 2 7 5 3 2" xfId="2279"/>
    <cellStyle name="Normal 2 7 5 4" xfId="2280"/>
    <cellStyle name="Normal 2 7 6" xfId="2281"/>
    <cellStyle name="Normal 2 7 6 2" xfId="2282"/>
    <cellStyle name="Normal 2 7 6 2 2" xfId="2283"/>
    <cellStyle name="Normal 2 7 6 3" xfId="2284"/>
    <cellStyle name="Normal 2 7 6 3 2" xfId="2285"/>
    <cellStyle name="Normal 2 7 6 4" xfId="2286"/>
    <cellStyle name="Normal 2 7 7" xfId="2287"/>
    <cellStyle name="Normal 2 7 7 2" xfId="2288"/>
    <cellStyle name="Normal 2 7 7 3" xfId="2289"/>
    <cellStyle name="Normal 2 7 8" xfId="2290"/>
    <cellStyle name="Normal 2 7 8 2" xfId="2291"/>
    <cellStyle name="Normal 2 7 9" xfId="2292"/>
    <cellStyle name="Normal 2 7 9 2" xfId="2293"/>
    <cellStyle name="Normal 2 8" xfId="2294"/>
    <cellStyle name="Normal 2 8 2" xfId="2295"/>
    <cellStyle name="Normal 2 8 2 2" xfId="2296"/>
    <cellStyle name="Normal 2 8 2 2 2" xfId="2297"/>
    <cellStyle name="Normal 2 8 2 3" xfId="2298"/>
    <cellStyle name="Normal 2 8 2 3 2" xfId="2299"/>
    <cellStyle name="Normal 2 8 2 4" xfId="2300"/>
    <cellStyle name="Normal 2 8 3" xfId="2301"/>
    <cellStyle name="Normal 2 8 3 2" xfId="2302"/>
    <cellStyle name="Normal 2 8 3 3" xfId="2303"/>
    <cellStyle name="Normal 2 8 4" xfId="2304"/>
    <cellStyle name="Normal 2 8 4 2" xfId="2305"/>
    <cellStyle name="Normal 2 8 5" xfId="2306"/>
    <cellStyle name="Normal 2 8 5 2" xfId="2307"/>
    <cellStyle name="Normal 2 8 6" xfId="2308"/>
    <cellStyle name="Normal 2 9" xfId="2309"/>
    <cellStyle name="Normal 2 9 2" xfId="2310"/>
    <cellStyle name="Normal 2 9 2 2" xfId="2311"/>
    <cellStyle name="Normal 2 9 3" xfId="2312"/>
    <cellStyle name="Normal 2 9 3 2" xfId="2313"/>
    <cellStyle name="Normal 2 9 4" xfId="2314"/>
    <cellStyle name="Normal 20" xfId="11964"/>
    <cellStyle name="Normal 20 2" xfId="11965"/>
    <cellStyle name="Normal 20 3" xfId="26980"/>
    <cellStyle name="Normal 21" xfId="11966"/>
    <cellStyle name="Normal 21 2" xfId="11967"/>
    <cellStyle name="Normal 21 3" xfId="26981"/>
    <cellStyle name="Normal 22" xfId="11968"/>
    <cellStyle name="Normal 22 2" xfId="11969"/>
    <cellStyle name="Normal 22 3" xfId="26982"/>
    <cellStyle name="Normal 23" xfId="11970"/>
    <cellStyle name="Normal 23 2" xfId="11971"/>
    <cellStyle name="Normal 23 3" xfId="11972"/>
    <cellStyle name="Normal 23 4" xfId="11973"/>
    <cellStyle name="Normal 23 5" xfId="11974"/>
    <cellStyle name="Normal 23 6" xfId="26983"/>
    <cellStyle name="Normal 24" xfId="11975"/>
    <cellStyle name="Normal 24 2" xfId="11976"/>
    <cellStyle name="Normal 24 3" xfId="26984"/>
    <cellStyle name="Normal 25" xfId="11977"/>
    <cellStyle name="Normal 25 2" xfId="11978"/>
    <cellStyle name="Normal 25 2 2" xfId="11979"/>
    <cellStyle name="Normal 25 2 2 2" xfId="11980"/>
    <cellStyle name="Normal 25 2 2 3" xfId="11981"/>
    <cellStyle name="Normal 25 2 3" xfId="11982"/>
    <cellStyle name="Normal 25 3" xfId="11983"/>
    <cellStyle name="Normal 25 3 2" xfId="11984"/>
    <cellStyle name="Normal 25 4" xfId="11985"/>
    <cellStyle name="Normal 25 5" xfId="26985"/>
    <cellStyle name="Normal 26" xfId="11986"/>
    <cellStyle name="Normal 26 2" xfId="11987"/>
    <cellStyle name="Normal 26 2 2" xfId="11988"/>
    <cellStyle name="Normal 26 2 2 2" xfId="11989"/>
    <cellStyle name="Normal 26 2 2 3" xfId="11990"/>
    <cellStyle name="Normal 26 2 3" xfId="11991"/>
    <cellStyle name="Normal 26 3" xfId="11992"/>
    <cellStyle name="Normal 26 3 2" xfId="11993"/>
    <cellStyle name="Normal 26 4" xfId="11994"/>
    <cellStyle name="Normal 26 5" xfId="26986"/>
    <cellStyle name="Normal 27" xfId="11995"/>
    <cellStyle name="Normal 27 2" xfId="11996"/>
    <cellStyle name="Normal 27 2 2" xfId="11997"/>
    <cellStyle name="Normal 27 2 2 2" xfId="11998"/>
    <cellStyle name="Normal 27 2 2 3" xfId="11999"/>
    <cellStyle name="Normal 27 2 3" xfId="12000"/>
    <cellStyle name="Normal 27 3" xfId="12001"/>
    <cellStyle name="Normal 27 3 2" xfId="12002"/>
    <cellStyle name="Normal 27 4" xfId="12003"/>
    <cellStyle name="Normal 27 5" xfId="26987"/>
    <cellStyle name="Normal 28" xfId="12004"/>
    <cellStyle name="Normal 28 2" xfId="12005"/>
    <cellStyle name="Normal 28 3" xfId="26988"/>
    <cellStyle name="Normal 29" xfId="12006"/>
    <cellStyle name="Normal 29 2" xfId="12007"/>
    <cellStyle name="Normal 29 3" xfId="26989"/>
    <cellStyle name="Normal 3" xfId="2315"/>
    <cellStyle name="Normal 3 10" xfId="2316"/>
    <cellStyle name="Normal 3 10 2" xfId="2317"/>
    <cellStyle name="Normal 3 10 2 2" xfId="2318"/>
    <cellStyle name="Normal 3 10 2 2 2" xfId="2319"/>
    <cellStyle name="Normal 3 10 2 2 3" xfId="2320"/>
    <cellStyle name="Normal 3 10 2 3" xfId="2321"/>
    <cellStyle name="Normal 3 10 2 3 2" xfId="2322"/>
    <cellStyle name="Normal 3 10 2 4" xfId="2323"/>
    <cellStyle name="Normal 3 10 2 4 2" xfId="2324"/>
    <cellStyle name="Normal 3 10 2 5" xfId="2325"/>
    <cellStyle name="Normal 3 10 3" xfId="2326"/>
    <cellStyle name="Normal 3 10 3 2" xfId="2327"/>
    <cellStyle name="Normal 3 10 3 2 2" xfId="2328"/>
    <cellStyle name="Normal 3 10 3 3" xfId="2329"/>
    <cellStyle name="Normal 3 10 3 3 2" xfId="2330"/>
    <cellStyle name="Normal 3 10 3 4" xfId="2331"/>
    <cellStyle name="Normal 3 10 4" xfId="2332"/>
    <cellStyle name="Normal 3 10 4 2" xfId="2333"/>
    <cellStyle name="Normal 3 10 4 3" xfId="2334"/>
    <cellStyle name="Normal 3 10 5" xfId="2335"/>
    <cellStyle name="Normal 3 10 5 2" xfId="2336"/>
    <cellStyle name="Normal 3 10 6" xfId="2337"/>
    <cellStyle name="Normal 3 10 6 2" xfId="2338"/>
    <cellStyle name="Normal 3 10 7" xfId="2339"/>
    <cellStyle name="Normal 3 11" xfId="2340"/>
    <cellStyle name="Normal 3 11 2" xfId="2341"/>
    <cellStyle name="Normal 3 11 2 2" xfId="2342"/>
    <cellStyle name="Normal 3 11 2 2 2" xfId="2343"/>
    <cellStyle name="Normal 3 11 2 2 3" xfId="2344"/>
    <cellStyle name="Normal 3 11 2 3" xfId="2345"/>
    <cellStyle name="Normal 3 11 2 3 2" xfId="2346"/>
    <cellStyle name="Normal 3 11 2 4" xfId="2347"/>
    <cellStyle name="Normal 3 11 2 4 2" xfId="2348"/>
    <cellStyle name="Normal 3 11 2 5" xfId="2349"/>
    <cellStyle name="Normal 3 11 3" xfId="2350"/>
    <cellStyle name="Normal 3 11 3 2" xfId="2351"/>
    <cellStyle name="Normal 3 11 3 2 2" xfId="2352"/>
    <cellStyle name="Normal 3 11 3 3" xfId="2353"/>
    <cellStyle name="Normal 3 11 3 3 2" xfId="2354"/>
    <cellStyle name="Normal 3 11 3 4" xfId="2355"/>
    <cellStyle name="Normal 3 11 4" xfId="2356"/>
    <cellStyle name="Normal 3 11 4 2" xfId="2357"/>
    <cellStyle name="Normal 3 11 4 3" xfId="2358"/>
    <cellStyle name="Normal 3 11 5" xfId="2359"/>
    <cellStyle name="Normal 3 11 5 2" xfId="2360"/>
    <cellStyle name="Normal 3 11 6" xfId="2361"/>
    <cellStyle name="Normal 3 11 6 2" xfId="2362"/>
    <cellStyle name="Normal 3 11 7" xfId="2363"/>
    <cellStyle name="Normal 3 12" xfId="2364"/>
    <cellStyle name="Normal 3 12 2" xfId="2365"/>
    <cellStyle name="Normal 3 12 2 2" xfId="2366"/>
    <cellStyle name="Normal 3 12 2 2 2" xfId="2367"/>
    <cellStyle name="Normal 3 12 2 3" xfId="2368"/>
    <cellStyle name="Normal 3 12 2 3 2" xfId="2369"/>
    <cellStyle name="Normal 3 12 2 4" xfId="2370"/>
    <cellStyle name="Normal 3 12 3" xfId="2371"/>
    <cellStyle name="Normal 3 12 3 2" xfId="2372"/>
    <cellStyle name="Normal 3 12 3 3" xfId="2373"/>
    <cellStyle name="Normal 3 12 4" xfId="2374"/>
    <cellStyle name="Normal 3 12 4 2" xfId="2375"/>
    <cellStyle name="Normal 3 12 5" xfId="2376"/>
    <cellStyle name="Normal 3 12 5 2" xfId="2377"/>
    <cellStyle name="Normal 3 12 6" xfId="2378"/>
    <cellStyle name="Normal 3 13" xfId="2379"/>
    <cellStyle name="Normal 3 13 2" xfId="2380"/>
    <cellStyle name="Normal 3 13 2 2" xfId="2381"/>
    <cellStyle name="Normal 3 13 3" xfId="2382"/>
    <cellStyle name="Normal 3 13 3 2" xfId="2383"/>
    <cellStyle name="Normal 3 13 4" xfId="2384"/>
    <cellStyle name="Normal 3 14" xfId="2385"/>
    <cellStyle name="Normal 3 14 2" xfId="2386"/>
    <cellStyle name="Normal 3 14 2 2" xfId="2387"/>
    <cellStyle name="Normal 3 14 3" xfId="2388"/>
    <cellStyle name="Normal 3 14 3 2" xfId="2389"/>
    <cellStyle name="Normal 3 14 4" xfId="2390"/>
    <cellStyle name="Normal 3 15" xfId="2391"/>
    <cellStyle name="Normal 3 15 2" xfId="2392"/>
    <cellStyle name="Normal 3 15 3" xfId="2393"/>
    <cellStyle name="Normal 3 16" xfId="2394"/>
    <cellStyle name="Normal 3 16 2" xfId="2395"/>
    <cellStyle name="Normal 3 17" xfId="2396"/>
    <cellStyle name="Normal 3 17 2" xfId="2397"/>
    <cellStyle name="Normal 3 18" xfId="2398"/>
    <cellStyle name="Normal 3 19" xfId="17669"/>
    <cellStyle name="Normal 3 2" xfId="2399"/>
    <cellStyle name="Normal 3 2 10" xfId="2400"/>
    <cellStyle name="Normal 3 2 10 2" xfId="2401"/>
    <cellStyle name="Normal 3 2 10 2 2" xfId="2402"/>
    <cellStyle name="Normal 3 2 10 2 2 2" xfId="2403"/>
    <cellStyle name="Normal 3 2 10 2 2 3" xfId="2404"/>
    <cellStyle name="Normal 3 2 10 2 2 4" xfId="26992"/>
    <cellStyle name="Normal 3 2 10 2 3" xfId="2405"/>
    <cellStyle name="Normal 3 2 10 2 3 2" xfId="2406"/>
    <cellStyle name="Normal 3 2 10 2 4" xfId="2407"/>
    <cellStyle name="Normal 3 2 10 2 4 2" xfId="2408"/>
    <cellStyle name="Normal 3 2 10 2 5" xfId="2409"/>
    <cellStyle name="Normal 3 2 10 2 6" xfId="26991"/>
    <cellStyle name="Normal 3 2 10 3" xfId="2410"/>
    <cellStyle name="Normal 3 2 10 3 2" xfId="2411"/>
    <cellStyle name="Normal 3 2 10 3 2 2" xfId="2412"/>
    <cellStyle name="Normal 3 2 10 3 2 3" xfId="26994"/>
    <cellStyle name="Normal 3 2 10 3 3" xfId="2413"/>
    <cellStyle name="Normal 3 2 10 3 3 2" xfId="2414"/>
    <cellStyle name="Normal 3 2 10 3 4" xfId="2415"/>
    <cellStyle name="Normal 3 2 10 3 5" xfId="26993"/>
    <cellStyle name="Normal 3 2 10 4" xfId="2416"/>
    <cellStyle name="Normal 3 2 10 4 2" xfId="2417"/>
    <cellStyle name="Normal 3 2 10 4 2 2" xfId="26996"/>
    <cellStyle name="Normal 3 2 10 4 3" xfId="2418"/>
    <cellStyle name="Normal 3 2 10 4 4" xfId="26995"/>
    <cellStyle name="Normal 3 2 10 5" xfId="2419"/>
    <cellStyle name="Normal 3 2 10 5 2" xfId="2420"/>
    <cellStyle name="Normal 3 2 10 5 3" xfId="26997"/>
    <cellStyle name="Normal 3 2 10 6" xfId="2421"/>
    <cellStyle name="Normal 3 2 10 6 2" xfId="2422"/>
    <cellStyle name="Normal 3 2 10 6 3" xfId="26998"/>
    <cellStyle name="Normal 3 2 10 7" xfId="2423"/>
    <cellStyle name="Normal 3 2 10 8" xfId="26990"/>
    <cellStyle name="Normal 3 2 11" xfId="2424"/>
    <cellStyle name="Normal 3 2 11 2" xfId="2425"/>
    <cellStyle name="Normal 3 2 11 2 2" xfId="2426"/>
    <cellStyle name="Normal 3 2 11 2 2 2" xfId="2427"/>
    <cellStyle name="Normal 3 2 11 2 2 3" xfId="27001"/>
    <cellStyle name="Normal 3 2 11 2 3" xfId="2428"/>
    <cellStyle name="Normal 3 2 11 2 3 2" xfId="2429"/>
    <cellStyle name="Normal 3 2 11 2 4" xfId="2430"/>
    <cellStyle name="Normal 3 2 11 2 5" xfId="27000"/>
    <cellStyle name="Normal 3 2 11 3" xfId="2431"/>
    <cellStyle name="Normal 3 2 11 3 2" xfId="2432"/>
    <cellStyle name="Normal 3 2 11 3 2 2" xfId="27003"/>
    <cellStyle name="Normal 3 2 11 3 3" xfId="2433"/>
    <cellStyle name="Normal 3 2 11 3 4" xfId="27002"/>
    <cellStyle name="Normal 3 2 11 4" xfId="2434"/>
    <cellStyle name="Normal 3 2 11 4 2" xfId="2435"/>
    <cellStyle name="Normal 3 2 11 4 2 2" xfId="27005"/>
    <cellStyle name="Normal 3 2 11 4 3" xfId="27004"/>
    <cellStyle name="Normal 3 2 11 5" xfId="2436"/>
    <cellStyle name="Normal 3 2 11 5 2" xfId="2437"/>
    <cellStyle name="Normal 3 2 11 5 3" xfId="27006"/>
    <cellStyle name="Normal 3 2 11 6" xfId="2438"/>
    <cellStyle name="Normal 3 2 11 6 2" xfId="27007"/>
    <cellStyle name="Normal 3 2 11 7" xfId="26999"/>
    <cellStyle name="Normal 3 2 12" xfId="2439"/>
    <cellStyle name="Normal 3 2 12 2" xfId="2440"/>
    <cellStyle name="Normal 3 2 12 2 2" xfId="2441"/>
    <cellStyle name="Normal 3 2 12 2 2 2" xfId="27010"/>
    <cellStyle name="Normal 3 2 12 2 3" xfId="27009"/>
    <cellStyle name="Normal 3 2 12 3" xfId="2442"/>
    <cellStyle name="Normal 3 2 12 3 2" xfId="2443"/>
    <cellStyle name="Normal 3 2 12 3 2 2" xfId="27012"/>
    <cellStyle name="Normal 3 2 12 3 3" xfId="27011"/>
    <cellStyle name="Normal 3 2 12 4" xfId="2444"/>
    <cellStyle name="Normal 3 2 12 4 2" xfId="27014"/>
    <cellStyle name="Normal 3 2 12 4 3" xfId="27013"/>
    <cellStyle name="Normal 3 2 12 5" xfId="27015"/>
    <cellStyle name="Normal 3 2 12 6" xfId="27016"/>
    <cellStyle name="Normal 3 2 12 7" xfId="27008"/>
    <cellStyle name="Normal 3 2 13" xfId="2445"/>
    <cellStyle name="Normal 3 2 13 2" xfId="2446"/>
    <cellStyle name="Normal 3 2 13 2 2" xfId="2447"/>
    <cellStyle name="Normal 3 2 13 2 2 2" xfId="27019"/>
    <cellStyle name="Normal 3 2 13 2 3" xfId="27018"/>
    <cellStyle name="Normal 3 2 13 3" xfId="2448"/>
    <cellStyle name="Normal 3 2 13 3 2" xfId="2449"/>
    <cellStyle name="Normal 3 2 13 3 2 2" xfId="27021"/>
    <cellStyle name="Normal 3 2 13 3 3" xfId="27020"/>
    <cellStyle name="Normal 3 2 13 4" xfId="2450"/>
    <cellStyle name="Normal 3 2 13 4 2" xfId="27022"/>
    <cellStyle name="Normal 3 2 13 5" xfId="27023"/>
    <cellStyle name="Normal 3 2 13 6" xfId="27017"/>
    <cellStyle name="Normal 3 2 14" xfId="2451"/>
    <cellStyle name="Normal 3 2 14 2" xfId="2452"/>
    <cellStyle name="Normal 3 2 14 2 2" xfId="27025"/>
    <cellStyle name="Normal 3 2 14 3" xfId="2453"/>
    <cellStyle name="Normal 3 2 14 4" xfId="27024"/>
    <cellStyle name="Normal 3 2 15" xfId="2454"/>
    <cellStyle name="Normal 3 2 15 2" xfId="2455"/>
    <cellStyle name="Normal 3 2 15 2 2" xfId="27027"/>
    <cellStyle name="Normal 3 2 15 3" xfId="27026"/>
    <cellStyle name="Normal 3 2 16" xfId="2456"/>
    <cellStyle name="Normal 3 2 16 2" xfId="2457"/>
    <cellStyle name="Normal 3 2 16 2 2" xfId="27029"/>
    <cellStyle name="Normal 3 2 16 3" xfId="27028"/>
    <cellStyle name="Normal 3 2 17" xfId="2458"/>
    <cellStyle name="Normal 3 2 17 2" xfId="27030"/>
    <cellStyle name="Normal 3 2 18" xfId="27031"/>
    <cellStyle name="Normal 3 2 19" xfId="27032"/>
    <cellStyle name="Normal 3 2 2" xfId="2459"/>
    <cellStyle name="Normal 3 2 2 10" xfId="2460"/>
    <cellStyle name="Normal 3 2 2 10 2" xfId="2461"/>
    <cellStyle name="Normal 3 2 2 10 2 2" xfId="2462"/>
    <cellStyle name="Normal 3 2 2 10 2 2 2" xfId="27035"/>
    <cellStyle name="Normal 3 2 2 10 2 3" xfId="27034"/>
    <cellStyle name="Normal 3 2 2 10 3" xfId="2463"/>
    <cellStyle name="Normal 3 2 2 10 3 2" xfId="2464"/>
    <cellStyle name="Normal 3 2 2 10 3 2 2" xfId="27037"/>
    <cellStyle name="Normal 3 2 2 10 3 3" xfId="27036"/>
    <cellStyle name="Normal 3 2 2 10 4" xfId="2465"/>
    <cellStyle name="Normal 3 2 2 10 4 2" xfId="27039"/>
    <cellStyle name="Normal 3 2 2 10 4 3" xfId="27038"/>
    <cellStyle name="Normal 3 2 2 10 5" xfId="27040"/>
    <cellStyle name="Normal 3 2 2 10 6" xfId="27041"/>
    <cellStyle name="Normal 3 2 2 10 7" xfId="27033"/>
    <cellStyle name="Normal 3 2 2 11" xfId="2466"/>
    <cellStyle name="Normal 3 2 2 11 2" xfId="2467"/>
    <cellStyle name="Normal 3 2 2 11 2 2" xfId="2468"/>
    <cellStyle name="Normal 3 2 2 11 2 2 2" xfId="27044"/>
    <cellStyle name="Normal 3 2 2 11 2 3" xfId="27043"/>
    <cellStyle name="Normal 3 2 2 11 3" xfId="2469"/>
    <cellStyle name="Normal 3 2 2 11 3 2" xfId="2470"/>
    <cellStyle name="Normal 3 2 2 11 3 2 2" xfId="27046"/>
    <cellStyle name="Normal 3 2 2 11 3 3" xfId="27045"/>
    <cellStyle name="Normal 3 2 2 11 4" xfId="2471"/>
    <cellStyle name="Normal 3 2 2 11 4 2" xfId="27048"/>
    <cellStyle name="Normal 3 2 2 11 4 3" xfId="27047"/>
    <cellStyle name="Normal 3 2 2 11 5" xfId="27049"/>
    <cellStyle name="Normal 3 2 2 11 6" xfId="27050"/>
    <cellStyle name="Normal 3 2 2 11 7" xfId="27042"/>
    <cellStyle name="Normal 3 2 2 12" xfId="2472"/>
    <cellStyle name="Normal 3 2 2 12 2" xfId="2473"/>
    <cellStyle name="Normal 3 2 2 12 2 2" xfId="27053"/>
    <cellStyle name="Normal 3 2 2 12 2 3" xfId="27052"/>
    <cellStyle name="Normal 3 2 2 12 3" xfId="2474"/>
    <cellStyle name="Normal 3 2 2 12 3 2" xfId="27055"/>
    <cellStyle name="Normal 3 2 2 12 3 3" xfId="27054"/>
    <cellStyle name="Normal 3 2 2 12 4" xfId="27056"/>
    <cellStyle name="Normal 3 2 2 12 5" xfId="27057"/>
    <cellStyle name="Normal 3 2 2 12 6" xfId="27051"/>
    <cellStyle name="Normal 3 2 2 13" xfId="2475"/>
    <cellStyle name="Normal 3 2 2 13 2" xfId="2476"/>
    <cellStyle name="Normal 3 2 2 13 2 2" xfId="27059"/>
    <cellStyle name="Normal 3 2 2 13 3" xfId="27058"/>
    <cellStyle name="Normal 3 2 2 14" xfId="2477"/>
    <cellStyle name="Normal 3 2 2 14 2" xfId="2478"/>
    <cellStyle name="Normal 3 2 2 14 2 2" xfId="27061"/>
    <cellStyle name="Normal 3 2 2 14 3" xfId="27060"/>
    <cellStyle name="Normal 3 2 2 15" xfId="2479"/>
    <cellStyle name="Normal 3 2 2 15 2" xfId="27063"/>
    <cellStyle name="Normal 3 2 2 15 3" xfId="27062"/>
    <cellStyle name="Normal 3 2 2 16" xfId="27064"/>
    <cellStyle name="Normal 3 2 2 17" xfId="27065"/>
    <cellStyle name="Normal 3 2 2 18" xfId="27066"/>
    <cellStyle name="Normal 3 2 2 19" xfId="17683"/>
    <cellStyle name="Normal 3 2 2 2" xfId="2480"/>
    <cellStyle name="Normal 3 2 2 2 10" xfId="2481"/>
    <cellStyle name="Normal 3 2 2 2 10 2" xfId="2482"/>
    <cellStyle name="Normal 3 2 2 2 10 2 2" xfId="27070"/>
    <cellStyle name="Normal 3 2 2 2 10 2 3" xfId="27069"/>
    <cellStyle name="Normal 3 2 2 2 10 3" xfId="2483"/>
    <cellStyle name="Normal 3 2 2 2 10 3 2" xfId="27072"/>
    <cellStyle name="Normal 3 2 2 2 10 3 3" xfId="27071"/>
    <cellStyle name="Normal 3 2 2 2 10 4" xfId="27073"/>
    <cellStyle name="Normal 3 2 2 2 10 4 2" xfId="27074"/>
    <cellStyle name="Normal 3 2 2 2 10 5" xfId="27075"/>
    <cellStyle name="Normal 3 2 2 2 10 6" xfId="27076"/>
    <cellStyle name="Normal 3 2 2 2 10 7" xfId="27068"/>
    <cellStyle name="Normal 3 2 2 2 11" xfId="2484"/>
    <cellStyle name="Normal 3 2 2 2 11 2" xfId="2485"/>
    <cellStyle name="Normal 3 2 2 2 11 2 2" xfId="27079"/>
    <cellStyle name="Normal 3 2 2 2 11 2 3" xfId="27078"/>
    <cellStyle name="Normal 3 2 2 2 11 3" xfId="27080"/>
    <cellStyle name="Normal 3 2 2 2 11 3 2" xfId="27081"/>
    <cellStyle name="Normal 3 2 2 2 11 4" xfId="27082"/>
    <cellStyle name="Normal 3 2 2 2 11 4 2" xfId="27083"/>
    <cellStyle name="Normal 3 2 2 2 11 5" xfId="27084"/>
    <cellStyle name="Normal 3 2 2 2 11 6" xfId="27085"/>
    <cellStyle name="Normal 3 2 2 2 11 7" xfId="27077"/>
    <cellStyle name="Normal 3 2 2 2 12" xfId="2486"/>
    <cellStyle name="Normal 3 2 2 2 12 2" xfId="2487"/>
    <cellStyle name="Normal 3 2 2 2 12 2 2" xfId="27088"/>
    <cellStyle name="Normal 3 2 2 2 12 2 3" xfId="27087"/>
    <cellStyle name="Normal 3 2 2 2 12 3" xfId="27089"/>
    <cellStyle name="Normal 3 2 2 2 12 3 2" xfId="27090"/>
    <cellStyle name="Normal 3 2 2 2 12 4" xfId="27091"/>
    <cellStyle name="Normal 3 2 2 2 12 5" xfId="27092"/>
    <cellStyle name="Normal 3 2 2 2 12 6" xfId="27086"/>
    <cellStyle name="Normal 3 2 2 2 13" xfId="2488"/>
    <cellStyle name="Normal 3 2 2 2 13 2" xfId="27094"/>
    <cellStyle name="Normal 3 2 2 2 13 3" xfId="27093"/>
    <cellStyle name="Normal 3 2 2 2 14" xfId="27095"/>
    <cellStyle name="Normal 3 2 2 2 14 2" xfId="27096"/>
    <cellStyle name="Normal 3 2 2 2 15" xfId="27097"/>
    <cellStyle name="Normal 3 2 2 2 15 2" xfId="27098"/>
    <cellStyle name="Normal 3 2 2 2 16" xfId="27099"/>
    <cellStyle name="Normal 3 2 2 2 17" xfId="27100"/>
    <cellStyle name="Normal 3 2 2 2 18" xfId="27067"/>
    <cellStyle name="Normal 3 2 2 2 2" xfId="2489"/>
    <cellStyle name="Normal 3 2 2 2 2 10" xfId="2490"/>
    <cellStyle name="Normal 3 2 2 2 2 10 10" xfId="27103"/>
    <cellStyle name="Normal 3 2 2 2 2 10 11" xfId="27102"/>
    <cellStyle name="Normal 3 2 2 2 2 10 2" xfId="2491"/>
    <cellStyle name="Normal 3 2 2 2 2 10 2 2" xfId="27105"/>
    <cellStyle name="Normal 3 2 2 2 2 10 2 2 2" xfId="27106"/>
    <cellStyle name="Normal 3 2 2 2 2 10 2 3" xfId="27107"/>
    <cellStyle name="Normal 3 2 2 2 2 10 2 3 2" xfId="27108"/>
    <cellStyle name="Normal 3 2 2 2 2 10 2 4" xfId="27109"/>
    <cellStyle name="Normal 3 2 2 2 2 10 2 4 2" xfId="27110"/>
    <cellStyle name="Normal 3 2 2 2 2 10 2 5" xfId="27111"/>
    <cellStyle name="Normal 3 2 2 2 2 10 2 6" xfId="27112"/>
    <cellStyle name="Normal 3 2 2 2 2 10 2 7" xfId="27104"/>
    <cellStyle name="Normal 3 2 2 2 2 10 3" xfId="27113"/>
    <cellStyle name="Normal 3 2 2 2 2 10 3 2" xfId="27114"/>
    <cellStyle name="Normal 3 2 2 2 2 10 3 2 2" xfId="27115"/>
    <cellStyle name="Normal 3 2 2 2 2 10 3 3" xfId="27116"/>
    <cellStyle name="Normal 3 2 2 2 2 10 3 3 2" xfId="27117"/>
    <cellStyle name="Normal 3 2 2 2 2 10 3 4" xfId="27118"/>
    <cellStyle name="Normal 3 2 2 2 2 10 3 4 2" xfId="27119"/>
    <cellStyle name="Normal 3 2 2 2 2 10 3 5" xfId="27120"/>
    <cellStyle name="Normal 3 2 2 2 2 10 3 6" xfId="27121"/>
    <cellStyle name="Normal 3 2 2 2 2 10 4" xfId="27122"/>
    <cellStyle name="Normal 3 2 2 2 2 10 4 2" xfId="27123"/>
    <cellStyle name="Normal 3 2 2 2 2 10 4 2 2" xfId="27124"/>
    <cellStyle name="Normal 3 2 2 2 2 10 4 3" xfId="27125"/>
    <cellStyle name="Normal 3 2 2 2 2 10 4 3 2" xfId="27126"/>
    <cellStyle name="Normal 3 2 2 2 2 10 4 4" xfId="27127"/>
    <cellStyle name="Normal 3 2 2 2 2 10 4 4 2" xfId="27128"/>
    <cellStyle name="Normal 3 2 2 2 2 10 4 5" xfId="27129"/>
    <cellStyle name="Normal 3 2 2 2 2 10 4 6" xfId="27130"/>
    <cellStyle name="Normal 3 2 2 2 2 10 5" xfId="27131"/>
    <cellStyle name="Normal 3 2 2 2 2 10 5 2" xfId="27132"/>
    <cellStyle name="Normal 3 2 2 2 2 10 5 2 2" xfId="27133"/>
    <cellStyle name="Normal 3 2 2 2 2 10 5 3" xfId="27134"/>
    <cellStyle name="Normal 3 2 2 2 2 10 5 3 2" xfId="27135"/>
    <cellStyle name="Normal 3 2 2 2 2 10 5 4" xfId="27136"/>
    <cellStyle name="Normal 3 2 2 2 2 10 5 5" xfId="27137"/>
    <cellStyle name="Normal 3 2 2 2 2 10 6" xfId="27138"/>
    <cellStyle name="Normal 3 2 2 2 2 10 6 2" xfId="27139"/>
    <cellStyle name="Normal 3 2 2 2 2 10 7" xfId="27140"/>
    <cellStyle name="Normal 3 2 2 2 2 10 7 2" xfId="27141"/>
    <cellStyle name="Normal 3 2 2 2 2 10 8" xfId="27142"/>
    <cellStyle name="Normal 3 2 2 2 2 10 8 2" xfId="27143"/>
    <cellStyle name="Normal 3 2 2 2 2 10 9" xfId="27144"/>
    <cellStyle name="Normal 3 2 2 2 2 11" xfId="2492"/>
    <cellStyle name="Normal 3 2 2 2 2 11 2" xfId="27146"/>
    <cellStyle name="Normal 3 2 2 2 2 11 2 2" xfId="27147"/>
    <cellStyle name="Normal 3 2 2 2 2 11 3" xfId="27148"/>
    <cellStyle name="Normal 3 2 2 2 2 11 3 2" xfId="27149"/>
    <cellStyle name="Normal 3 2 2 2 2 11 4" xfId="27150"/>
    <cellStyle name="Normal 3 2 2 2 2 11 4 2" xfId="27151"/>
    <cellStyle name="Normal 3 2 2 2 2 11 5" xfId="27152"/>
    <cellStyle name="Normal 3 2 2 2 2 11 6" xfId="27153"/>
    <cellStyle name="Normal 3 2 2 2 2 11 7" xfId="27145"/>
    <cellStyle name="Normal 3 2 2 2 2 12" xfId="27154"/>
    <cellStyle name="Normal 3 2 2 2 2 12 2" xfId="27155"/>
    <cellStyle name="Normal 3 2 2 2 2 12 2 2" xfId="27156"/>
    <cellStyle name="Normal 3 2 2 2 2 12 3" xfId="27157"/>
    <cellStyle name="Normal 3 2 2 2 2 12 3 2" xfId="27158"/>
    <cellStyle name="Normal 3 2 2 2 2 12 4" xfId="27159"/>
    <cellStyle name="Normal 3 2 2 2 2 12 4 2" xfId="27160"/>
    <cellStyle name="Normal 3 2 2 2 2 12 5" xfId="27161"/>
    <cellStyle name="Normal 3 2 2 2 2 12 6" xfId="27162"/>
    <cellStyle name="Normal 3 2 2 2 2 13" xfId="27163"/>
    <cellStyle name="Normal 3 2 2 2 2 13 2" xfId="27164"/>
    <cellStyle name="Normal 3 2 2 2 2 13 2 2" xfId="27165"/>
    <cellStyle name="Normal 3 2 2 2 2 13 3" xfId="27166"/>
    <cellStyle name="Normal 3 2 2 2 2 13 3 2" xfId="27167"/>
    <cellStyle name="Normal 3 2 2 2 2 13 4" xfId="27168"/>
    <cellStyle name="Normal 3 2 2 2 2 13 4 2" xfId="27169"/>
    <cellStyle name="Normal 3 2 2 2 2 13 5" xfId="27170"/>
    <cellStyle name="Normal 3 2 2 2 2 13 6" xfId="27171"/>
    <cellStyle name="Normal 3 2 2 2 2 14" xfId="27172"/>
    <cellStyle name="Normal 3 2 2 2 2 14 2" xfId="27173"/>
    <cellStyle name="Normal 3 2 2 2 2 14 2 2" xfId="27174"/>
    <cellStyle name="Normal 3 2 2 2 2 14 3" xfId="27175"/>
    <cellStyle name="Normal 3 2 2 2 2 14 3 2" xfId="27176"/>
    <cellStyle name="Normal 3 2 2 2 2 14 4" xfId="27177"/>
    <cellStyle name="Normal 3 2 2 2 2 14 5" xfId="27178"/>
    <cellStyle name="Normal 3 2 2 2 2 15" xfId="27179"/>
    <cellStyle name="Normal 3 2 2 2 2 15 2" xfId="27180"/>
    <cellStyle name="Normal 3 2 2 2 2 16" xfId="27181"/>
    <cellStyle name="Normal 3 2 2 2 2 16 2" xfId="27182"/>
    <cellStyle name="Normal 3 2 2 2 2 17" xfId="27183"/>
    <cellStyle name="Normal 3 2 2 2 2 17 2" xfId="27184"/>
    <cellStyle name="Normal 3 2 2 2 2 18" xfId="27185"/>
    <cellStyle name="Normal 3 2 2 2 2 19" xfId="27186"/>
    <cellStyle name="Normal 3 2 2 2 2 2" xfId="2493"/>
    <cellStyle name="Normal 3 2 2 2 2 2 10" xfId="27188"/>
    <cellStyle name="Normal 3 2 2 2 2 2 10 2" xfId="27189"/>
    <cellStyle name="Normal 3 2 2 2 2 2 10 2 2" xfId="27190"/>
    <cellStyle name="Normal 3 2 2 2 2 2 10 3" xfId="27191"/>
    <cellStyle name="Normal 3 2 2 2 2 2 10 3 2" xfId="27192"/>
    <cellStyle name="Normal 3 2 2 2 2 2 10 4" xfId="27193"/>
    <cellStyle name="Normal 3 2 2 2 2 2 10 4 2" xfId="27194"/>
    <cellStyle name="Normal 3 2 2 2 2 2 10 5" xfId="27195"/>
    <cellStyle name="Normal 3 2 2 2 2 2 10 6" xfId="27196"/>
    <cellStyle name="Normal 3 2 2 2 2 2 11" xfId="27197"/>
    <cellStyle name="Normal 3 2 2 2 2 2 11 2" xfId="27198"/>
    <cellStyle name="Normal 3 2 2 2 2 2 11 2 2" xfId="27199"/>
    <cellStyle name="Normal 3 2 2 2 2 2 11 3" xfId="27200"/>
    <cellStyle name="Normal 3 2 2 2 2 2 11 3 2" xfId="27201"/>
    <cellStyle name="Normal 3 2 2 2 2 2 11 4" xfId="27202"/>
    <cellStyle name="Normal 3 2 2 2 2 2 11 5" xfId="27203"/>
    <cellStyle name="Normal 3 2 2 2 2 2 12" xfId="27204"/>
    <cellStyle name="Normal 3 2 2 2 2 2 12 2" xfId="27205"/>
    <cellStyle name="Normal 3 2 2 2 2 2 13" xfId="27206"/>
    <cellStyle name="Normal 3 2 2 2 2 2 13 2" xfId="27207"/>
    <cellStyle name="Normal 3 2 2 2 2 2 14" xfId="27208"/>
    <cellStyle name="Normal 3 2 2 2 2 2 14 2" xfId="27209"/>
    <cellStyle name="Normal 3 2 2 2 2 2 15" xfId="27210"/>
    <cellStyle name="Normal 3 2 2 2 2 2 16" xfId="27211"/>
    <cellStyle name="Normal 3 2 2 2 2 2 17" xfId="27187"/>
    <cellStyle name="Normal 3 2 2 2 2 2 2" xfId="2494"/>
    <cellStyle name="Normal 3 2 2 2 2 2 2 10" xfId="27213"/>
    <cellStyle name="Normal 3 2 2 2 2 2 2 10 2" xfId="27214"/>
    <cellStyle name="Normal 3 2 2 2 2 2 2 11" xfId="27215"/>
    <cellStyle name="Normal 3 2 2 2 2 2 2 11 2" xfId="27216"/>
    <cellStyle name="Normal 3 2 2 2 2 2 2 12" xfId="27217"/>
    <cellStyle name="Normal 3 2 2 2 2 2 2 13" xfId="27218"/>
    <cellStyle name="Normal 3 2 2 2 2 2 2 14" xfId="27212"/>
    <cellStyle name="Normal 3 2 2 2 2 2 2 2" xfId="2495"/>
    <cellStyle name="Normal 3 2 2 2 2 2 2 2 10" xfId="27220"/>
    <cellStyle name="Normal 3 2 2 2 2 2 2 2 11" xfId="27221"/>
    <cellStyle name="Normal 3 2 2 2 2 2 2 2 12" xfId="27219"/>
    <cellStyle name="Normal 3 2 2 2 2 2 2 2 2" xfId="2496"/>
    <cellStyle name="Normal 3 2 2 2 2 2 2 2 2 2" xfId="2497"/>
    <cellStyle name="Normal 3 2 2 2 2 2 2 2 2 2 2" xfId="27224"/>
    <cellStyle name="Normal 3 2 2 2 2 2 2 2 2 2 3" xfId="27223"/>
    <cellStyle name="Normal 3 2 2 2 2 2 2 2 2 3" xfId="2498"/>
    <cellStyle name="Normal 3 2 2 2 2 2 2 2 2 3 2" xfId="27226"/>
    <cellStyle name="Normal 3 2 2 2 2 2 2 2 2 3 3" xfId="27225"/>
    <cellStyle name="Normal 3 2 2 2 2 2 2 2 2 4" xfId="27227"/>
    <cellStyle name="Normal 3 2 2 2 2 2 2 2 2 4 2" xfId="27228"/>
    <cellStyle name="Normal 3 2 2 2 2 2 2 2 2 5" xfId="27229"/>
    <cellStyle name="Normal 3 2 2 2 2 2 2 2 2 6" xfId="27230"/>
    <cellStyle name="Normal 3 2 2 2 2 2 2 2 2 7" xfId="27222"/>
    <cellStyle name="Normal 3 2 2 2 2 2 2 2 3" xfId="2499"/>
    <cellStyle name="Normal 3 2 2 2 2 2 2 2 3 2" xfId="2500"/>
    <cellStyle name="Normal 3 2 2 2 2 2 2 2 3 2 2" xfId="27233"/>
    <cellStyle name="Normal 3 2 2 2 2 2 2 2 3 2 3" xfId="27232"/>
    <cellStyle name="Normal 3 2 2 2 2 2 2 2 3 3" xfId="27234"/>
    <cellStyle name="Normal 3 2 2 2 2 2 2 2 3 3 2" xfId="27235"/>
    <cellStyle name="Normal 3 2 2 2 2 2 2 2 3 4" xfId="27236"/>
    <cellStyle name="Normal 3 2 2 2 2 2 2 2 3 4 2" xfId="27237"/>
    <cellStyle name="Normal 3 2 2 2 2 2 2 2 3 5" xfId="27238"/>
    <cellStyle name="Normal 3 2 2 2 2 2 2 2 3 6" xfId="27239"/>
    <cellStyle name="Normal 3 2 2 2 2 2 2 2 3 7" xfId="27231"/>
    <cellStyle name="Normal 3 2 2 2 2 2 2 2 4" xfId="2501"/>
    <cellStyle name="Normal 3 2 2 2 2 2 2 2 4 2" xfId="2502"/>
    <cellStyle name="Normal 3 2 2 2 2 2 2 2 4 2 2" xfId="27242"/>
    <cellStyle name="Normal 3 2 2 2 2 2 2 2 4 2 3" xfId="27241"/>
    <cellStyle name="Normal 3 2 2 2 2 2 2 2 4 3" xfId="27243"/>
    <cellStyle name="Normal 3 2 2 2 2 2 2 2 4 3 2" xfId="27244"/>
    <cellStyle name="Normal 3 2 2 2 2 2 2 2 4 4" xfId="27245"/>
    <cellStyle name="Normal 3 2 2 2 2 2 2 2 4 4 2" xfId="27246"/>
    <cellStyle name="Normal 3 2 2 2 2 2 2 2 4 5" xfId="27247"/>
    <cellStyle name="Normal 3 2 2 2 2 2 2 2 4 6" xfId="27248"/>
    <cellStyle name="Normal 3 2 2 2 2 2 2 2 4 7" xfId="27240"/>
    <cellStyle name="Normal 3 2 2 2 2 2 2 2 5" xfId="2503"/>
    <cellStyle name="Normal 3 2 2 2 2 2 2 2 5 2" xfId="27250"/>
    <cellStyle name="Normal 3 2 2 2 2 2 2 2 5 2 2" xfId="27251"/>
    <cellStyle name="Normal 3 2 2 2 2 2 2 2 5 3" xfId="27252"/>
    <cellStyle name="Normal 3 2 2 2 2 2 2 2 5 3 2" xfId="27253"/>
    <cellStyle name="Normal 3 2 2 2 2 2 2 2 5 4" xfId="27254"/>
    <cellStyle name="Normal 3 2 2 2 2 2 2 2 5 4 2" xfId="27255"/>
    <cellStyle name="Normal 3 2 2 2 2 2 2 2 5 5" xfId="27256"/>
    <cellStyle name="Normal 3 2 2 2 2 2 2 2 5 6" xfId="27257"/>
    <cellStyle name="Normal 3 2 2 2 2 2 2 2 5 7" xfId="27249"/>
    <cellStyle name="Normal 3 2 2 2 2 2 2 2 6" xfId="27258"/>
    <cellStyle name="Normal 3 2 2 2 2 2 2 2 6 2" xfId="27259"/>
    <cellStyle name="Normal 3 2 2 2 2 2 2 2 6 2 2" xfId="27260"/>
    <cellStyle name="Normal 3 2 2 2 2 2 2 2 6 3" xfId="27261"/>
    <cellStyle name="Normal 3 2 2 2 2 2 2 2 6 3 2" xfId="27262"/>
    <cellStyle name="Normal 3 2 2 2 2 2 2 2 6 4" xfId="27263"/>
    <cellStyle name="Normal 3 2 2 2 2 2 2 2 6 5" xfId="27264"/>
    <cellStyle name="Normal 3 2 2 2 2 2 2 2 7" xfId="27265"/>
    <cellStyle name="Normal 3 2 2 2 2 2 2 2 7 2" xfId="27266"/>
    <cellStyle name="Normal 3 2 2 2 2 2 2 2 8" xfId="27267"/>
    <cellStyle name="Normal 3 2 2 2 2 2 2 2 8 2" xfId="27268"/>
    <cellStyle name="Normal 3 2 2 2 2 2 2 2 9" xfId="27269"/>
    <cellStyle name="Normal 3 2 2 2 2 2 2 2 9 2" xfId="27270"/>
    <cellStyle name="Normal 3 2 2 2 2 2 2 3" xfId="2504"/>
    <cellStyle name="Normal 3 2 2 2 2 2 2 3 10" xfId="27272"/>
    <cellStyle name="Normal 3 2 2 2 2 2 2 3 11" xfId="27271"/>
    <cellStyle name="Normal 3 2 2 2 2 2 2 3 2" xfId="2505"/>
    <cellStyle name="Normal 3 2 2 2 2 2 2 3 2 2" xfId="2506"/>
    <cellStyle name="Normal 3 2 2 2 2 2 2 3 2 2 2" xfId="27275"/>
    <cellStyle name="Normal 3 2 2 2 2 2 2 3 2 2 3" xfId="27274"/>
    <cellStyle name="Normal 3 2 2 2 2 2 2 3 2 3" xfId="27276"/>
    <cellStyle name="Normal 3 2 2 2 2 2 2 3 2 3 2" xfId="27277"/>
    <cellStyle name="Normal 3 2 2 2 2 2 2 3 2 4" xfId="27278"/>
    <cellStyle name="Normal 3 2 2 2 2 2 2 3 2 4 2" xfId="27279"/>
    <cellStyle name="Normal 3 2 2 2 2 2 2 3 2 5" xfId="27280"/>
    <cellStyle name="Normal 3 2 2 2 2 2 2 3 2 6" xfId="27281"/>
    <cellStyle name="Normal 3 2 2 2 2 2 2 3 2 7" xfId="27273"/>
    <cellStyle name="Normal 3 2 2 2 2 2 2 3 3" xfId="2507"/>
    <cellStyle name="Normal 3 2 2 2 2 2 2 3 3 2" xfId="2508"/>
    <cellStyle name="Normal 3 2 2 2 2 2 2 3 3 2 2" xfId="27284"/>
    <cellStyle name="Normal 3 2 2 2 2 2 2 3 3 2 3" xfId="27283"/>
    <cellStyle name="Normal 3 2 2 2 2 2 2 3 3 3" xfId="27285"/>
    <cellStyle name="Normal 3 2 2 2 2 2 2 3 3 3 2" xfId="27286"/>
    <cellStyle name="Normal 3 2 2 2 2 2 2 3 3 4" xfId="27287"/>
    <cellStyle name="Normal 3 2 2 2 2 2 2 3 3 4 2" xfId="27288"/>
    <cellStyle name="Normal 3 2 2 2 2 2 2 3 3 5" xfId="27289"/>
    <cellStyle name="Normal 3 2 2 2 2 2 2 3 3 6" xfId="27290"/>
    <cellStyle name="Normal 3 2 2 2 2 2 2 3 3 7" xfId="27282"/>
    <cellStyle name="Normal 3 2 2 2 2 2 2 3 4" xfId="2509"/>
    <cellStyle name="Normal 3 2 2 2 2 2 2 3 4 2" xfId="27292"/>
    <cellStyle name="Normal 3 2 2 2 2 2 2 3 4 2 2" xfId="27293"/>
    <cellStyle name="Normal 3 2 2 2 2 2 2 3 4 3" xfId="27294"/>
    <cellStyle name="Normal 3 2 2 2 2 2 2 3 4 3 2" xfId="27295"/>
    <cellStyle name="Normal 3 2 2 2 2 2 2 3 4 4" xfId="27296"/>
    <cellStyle name="Normal 3 2 2 2 2 2 2 3 4 4 2" xfId="27297"/>
    <cellStyle name="Normal 3 2 2 2 2 2 2 3 4 5" xfId="27298"/>
    <cellStyle name="Normal 3 2 2 2 2 2 2 3 4 6" xfId="27299"/>
    <cellStyle name="Normal 3 2 2 2 2 2 2 3 4 7" xfId="27291"/>
    <cellStyle name="Normal 3 2 2 2 2 2 2 3 5" xfId="27300"/>
    <cellStyle name="Normal 3 2 2 2 2 2 2 3 5 2" xfId="27301"/>
    <cellStyle name="Normal 3 2 2 2 2 2 2 3 5 2 2" xfId="27302"/>
    <cellStyle name="Normal 3 2 2 2 2 2 2 3 5 3" xfId="27303"/>
    <cellStyle name="Normal 3 2 2 2 2 2 2 3 5 3 2" xfId="27304"/>
    <cellStyle name="Normal 3 2 2 2 2 2 2 3 5 4" xfId="27305"/>
    <cellStyle name="Normal 3 2 2 2 2 2 2 3 5 5" xfId="27306"/>
    <cellStyle name="Normal 3 2 2 2 2 2 2 3 6" xfId="27307"/>
    <cellStyle name="Normal 3 2 2 2 2 2 2 3 6 2" xfId="27308"/>
    <cellStyle name="Normal 3 2 2 2 2 2 2 3 7" xfId="27309"/>
    <cellStyle name="Normal 3 2 2 2 2 2 2 3 7 2" xfId="27310"/>
    <cellStyle name="Normal 3 2 2 2 2 2 2 3 8" xfId="27311"/>
    <cellStyle name="Normal 3 2 2 2 2 2 2 3 8 2" xfId="27312"/>
    <cellStyle name="Normal 3 2 2 2 2 2 2 3 9" xfId="27313"/>
    <cellStyle name="Normal 3 2 2 2 2 2 2 4" xfId="2510"/>
    <cellStyle name="Normal 3 2 2 2 2 2 2 4 10" xfId="27315"/>
    <cellStyle name="Normal 3 2 2 2 2 2 2 4 11" xfId="27314"/>
    <cellStyle name="Normal 3 2 2 2 2 2 2 4 2" xfId="2511"/>
    <cellStyle name="Normal 3 2 2 2 2 2 2 4 2 2" xfId="27317"/>
    <cellStyle name="Normal 3 2 2 2 2 2 2 4 2 2 2" xfId="27318"/>
    <cellStyle name="Normal 3 2 2 2 2 2 2 4 2 3" xfId="27319"/>
    <cellStyle name="Normal 3 2 2 2 2 2 2 4 2 3 2" xfId="27320"/>
    <cellStyle name="Normal 3 2 2 2 2 2 2 4 2 4" xfId="27321"/>
    <cellStyle name="Normal 3 2 2 2 2 2 2 4 2 4 2" xfId="27322"/>
    <cellStyle name="Normal 3 2 2 2 2 2 2 4 2 5" xfId="27323"/>
    <cellStyle name="Normal 3 2 2 2 2 2 2 4 2 6" xfId="27324"/>
    <cellStyle name="Normal 3 2 2 2 2 2 2 4 2 7" xfId="27316"/>
    <cellStyle name="Normal 3 2 2 2 2 2 2 4 3" xfId="2512"/>
    <cellStyle name="Normal 3 2 2 2 2 2 2 4 3 2" xfId="27326"/>
    <cellStyle name="Normal 3 2 2 2 2 2 2 4 3 2 2" xfId="27327"/>
    <cellStyle name="Normal 3 2 2 2 2 2 2 4 3 3" xfId="27328"/>
    <cellStyle name="Normal 3 2 2 2 2 2 2 4 3 3 2" xfId="27329"/>
    <cellStyle name="Normal 3 2 2 2 2 2 2 4 3 4" xfId="27330"/>
    <cellStyle name="Normal 3 2 2 2 2 2 2 4 3 4 2" xfId="27331"/>
    <cellStyle name="Normal 3 2 2 2 2 2 2 4 3 5" xfId="27332"/>
    <cellStyle name="Normal 3 2 2 2 2 2 2 4 3 6" xfId="27333"/>
    <cellStyle name="Normal 3 2 2 2 2 2 2 4 3 7" xfId="27325"/>
    <cellStyle name="Normal 3 2 2 2 2 2 2 4 4" xfId="27334"/>
    <cellStyle name="Normal 3 2 2 2 2 2 2 4 4 2" xfId="27335"/>
    <cellStyle name="Normal 3 2 2 2 2 2 2 4 4 2 2" xfId="27336"/>
    <cellStyle name="Normal 3 2 2 2 2 2 2 4 4 3" xfId="27337"/>
    <cellStyle name="Normal 3 2 2 2 2 2 2 4 4 3 2" xfId="27338"/>
    <cellStyle name="Normal 3 2 2 2 2 2 2 4 4 4" xfId="27339"/>
    <cellStyle name="Normal 3 2 2 2 2 2 2 4 4 4 2" xfId="27340"/>
    <cellStyle name="Normal 3 2 2 2 2 2 2 4 4 5" xfId="27341"/>
    <cellStyle name="Normal 3 2 2 2 2 2 2 4 4 6" xfId="27342"/>
    <cellStyle name="Normal 3 2 2 2 2 2 2 4 5" xfId="27343"/>
    <cellStyle name="Normal 3 2 2 2 2 2 2 4 5 2" xfId="27344"/>
    <cellStyle name="Normal 3 2 2 2 2 2 2 4 5 2 2" xfId="27345"/>
    <cellStyle name="Normal 3 2 2 2 2 2 2 4 5 3" xfId="27346"/>
    <cellStyle name="Normal 3 2 2 2 2 2 2 4 5 3 2" xfId="27347"/>
    <cellStyle name="Normal 3 2 2 2 2 2 2 4 5 4" xfId="27348"/>
    <cellStyle name="Normal 3 2 2 2 2 2 2 4 5 5" xfId="27349"/>
    <cellStyle name="Normal 3 2 2 2 2 2 2 4 6" xfId="27350"/>
    <cellStyle name="Normal 3 2 2 2 2 2 2 4 6 2" xfId="27351"/>
    <cellStyle name="Normal 3 2 2 2 2 2 2 4 7" xfId="27352"/>
    <cellStyle name="Normal 3 2 2 2 2 2 2 4 7 2" xfId="27353"/>
    <cellStyle name="Normal 3 2 2 2 2 2 2 4 8" xfId="27354"/>
    <cellStyle name="Normal 3 2 2 2 2 2 2 4 8 2" xfId="27355"/>
    <cellStyle name="Normal 3 2 2 2 2 2 2 4 9" xfId="27356"/>
    <cellStyle name="Normal 3 2 2 2 2 2 2 5" xfId="2513"/>
    <cellStyle name="Normal 3 2 2 2 2 2 2 5 2" xfId="2514"/>
    <cellStyle name="Normal 3 2 2 2 2 2 2 5 2 2" xfId="27359"/>
    <cellStyle name="Normal 3 2 2 2 2 2 2 5 2 3" xfId="27358"/>
    <cellStyle name="Normal 3 2 2 2 2 2 2 5 3" xfId="27360"/>
    <cellStyle name="Normal 3 2 2 2 2 2 2 5 3 2" xfId="27361"/>
    <cellStyle name="Normal 3 2 2 2 2 2 2 5 4" xfId="27362"/>
    <cellStyle name="Normal 3 2 2 2 2 2 2 5 4 2" xfId="27363"/>
    <cellStyle name="Normal 3 2 2 2 2 2 2 5 5" xfId="27364"/>
    <cellStyle name="Normal 3 2 2 2 2 2 2 5 6" xfId="27365"/>
    <cellStyle name="Normal 3 2 2 2 2 2 2 5 7" xfId="27357"/>
    <cellStyle name="Normal 3 2 2 2 2 2 2 6" xfId="2515"/>
    <cellStyle name="Normal 3 2 2 2 2 2 2 6 2" xfId="2516"/>
    <cellStyle name="Normal 3 2 2 2 2 2 2 6 2 2" xfId="27368"/>
    <cellStyle name="Normal 3 2 2 2 2 2 2 6 2 3" xfId="27367"/>
    <cellStyle name="Normal 3 2 2 2 2 2 2 6 3" xfId="27369"/>
    <cellStyle name="Normal 3 2 2 2 2 2 2 6 3 2" xfId="27370"/>
    <cellStyle name="Normal 3 2 2 2 2 2 2 6 4" xfId="27371"/>
    <cellStyle name="Normal 3 2 2 2 2 2 2 6 4 2" xfId="27372"/>
    <cellStyle name="Normal 3 2 2 2 2 2 2 6 5" xfId="27373"/>
    <cellStyle name="Normal 3 2 2 2 2 2 2 6 6" xfId="27374"/>
    <cellStyle name="Normal 3 2 2 2 2 2 2 6 7" xfId="27366"/>
    <cellStyle name="Normal 3 2 2 2 2 2 2 7" xfId="2517"/>
    <cellStyle name="Normal 3 2 2 2 2 2 2 7 2" xfId="27376"/>
    <cellStyle name="Normal 3 2 2 2 2 2 2 7 2 2" xfId="27377"/>
    <cellStyle name="Normal 3 2 2 2 2 2 2 7 3" xfId="27378"/>
    <cellStyle name="Normal 3 2 2 2 2 2 2 7 3 2" xfId="27379"/>
    <cellStyle name="Normal 3 2 2 2 2 2 2 7 4" xfId="27380"/>
    <cellStyle name="Normal 3 2 2 2 2 2 2 7 4 2" xfId="27381"/>
    <cellStyle name="Normal 3 2 2 2 2 2 2 7 5" xfId="27382"/>
    <cellStyle name="Normal 3 2 2 2 2 2 2 7 6" xfId="27383"/>
    <cellStyle name="Normal 3 2 2 2 2 2 2 7 7" xfId="27375"/>
    <cellStyle name="Normal 3 2 2 2 2 2 2 8" xfId="27384"/>
    <cellStyle name="Normal 3 2 2 2 2 2 2 8 2" xfId="27385"/>
    <cellStyle name="Normal 3 2 2 2 2 2 2 8 2 2" xfId="27386"/>
    <cellStyle name="Normal 3 2 2 2 2 2 2 8 3" xfId="27387"/>
    <cellStyle name="Normal 3 2 2 2 2 2 2 8 3 2" xfId="27388"/>
    <cellStyle name="Normal 3 2 2 2 2 2 2 8 4" xfId="27389"/>
    <cellStyle name="Normal 3 2 2 2 2 2 2 8 5" xfId="27390"/>
    <cellStyle name="Normal 3 2 2 2 2 2 2 9" xfId="27391"/>
    <cellStyle name="Normal 3 2 2 2 2 2 2 9 2" xfId="27392"/>
    <cellStyle name="Normal 3 2 2 2 2 2 3" xfId="2518"/>
    <cellStyle name="Normal 3 2 2 2 2 2 3 10" xfId="27394"/>
    <cellStyle name="Normal 3 2 2 2 2 2 3 10 2" xfId="27395"/>
    <cellStyle name="Normal 3 2 2 2 2 2 3 11" xfId="27396"/>
    <cellStyle name="Normal 3 2 2 2 2 2 3 11 2" xfId="27397"/>
    <cellStyle name="Normal 3 2 2 2 2 2 3 12" xfId="27398"/>
    <cellStyle name="Normal 3 2 2 2 2 2 3 13" xfId="27399"/>
    <cellStyle name="Normal 3 2 2 2 2 2 3 14" xfId="27393"/>
    <cellStyle name="Normal 3 2 2 2 2 2 3 2" xfId="2519"/>
    <cellStyle name="Normal 3 2 2 2 2 2 3 2 10" xfId="27401"/>
    <cellStyle name="Normal 3 2 2 2 2 2 3 2 11" xfId="27402"/>
    <cellStyle name="Normal 3 2 2 2 2 2 3 2 12" xfId="27400"/>
    <cellStyle name="Normal 3 2 2 2 2 2 3 2 2" xfId="2520"/>
    <cellStyle name="Normal 3 2 2 2 2 2 3 2 2 2" xfId="27404"/>
    <cellStyle name="Normal 3 2 2 2 2 2 3 2 2 2 2" xfId="27405"/>
    <cellStyle name="Normal 3 2 2 2 2 2 3 2 2 3" xfId="27406"/>
    <cellStyle name="Normal 3 2 2 2 2 2 3 2 2 3 2" xfId="27407"/>
    <cellStyle name="Normal 3 2 2 2 2 2 3 2 2 4" xfId="27408"/>
    <cellStyle name="Normal 3 2 2 2 2 2 3 2 2 4 2" xfId="27409"/>
    <cellStyle name="Normal 3 2 2 2 2 2 3 2 2 5" xfId="27410"/>
    <cellStyle name="Normal 3 2 2 2 2 2 3 2 2 6" xfId="27411"/>
    <cellStyle name="Normal 3 2 2 2 2 2 3 2 2 7" xfId="27403"/>
    <cellStyle name="Normal 3 2 2 2 2 2 3 2 3" xfId="2521"/>
    <cellStyle name="Normal 3 2 2 2 2 2 3 2 3 2" xfId="27413"/>
    <cellStyle name="Normal 3 2 2 2 2 2 3 2 3 2 2" xfId="27414"/>
    <cellStyle name="Normal 3 2 2 2 2 2 3 2 3 3" xfId="27415"/>
    <cellStyle name="Normal 3 2 2 2 2 2 3 2 3 3 2" xfId="27416"/>
    <cellStyle name="Normal 3 2 2 2 2 2 3 2 3 4" xfId="27417"/>
    <cellStyle name="Normal 3 2 2 2 2 2 3 2 3 4 2" xfId="27418"/>
    <cellStyle name="Normal 3 2 2 2 2 2 3 2 3 5" xfId="27419"/>
    <cellStyle name="Normal 3 2 2 2 2 2 3 2 3 6" xfId="27420"/>
    <cellStyle name="Normal 3 2 2 2 2 2 3 2 3 7" xfId="27412"/>
    <cellStyle name="Normal 3 2 2 2 2 2 3 2 4" xfId="27421"/>
    <cellStyle name="Normal 3 2 2 2 2 2 3 2 4 2" xfId="27422"/>
    <cellStyle name="Normal 3 2 2 2 2 2 3 2 4 2 2" xfId="27423"/>
    <cellStyle name="Normal 3 2 2 2 2 2 3 2 4 3" xfId="27424"/>
    <cellStyle name="Normal 3 2 2 2 2 2 3 2 4 3 2" xfId="27425"/>
    <cellStyle name="Normal 3 2 2 2 2 2 3 2 4 4" xfId="27426"/>
    <cellStyle name="Normal 3 2 2 2 2 2 3 2 4 4 2" xfId="27427"/>
    <cellStyle name="Normal 3 2 2 2 2 2 3 2 4 5" xfId="27428"/>
    <cellStyle name="Normal 3 2 2 2 2 2 3 2 4 6" xfId="27429"/>
    <cellStyle name="Normal 3 2 2 2 2 2 3 2 5" xfId="27430"/>
    <cellStyle name="Normal 3 2 2 2 2 2 3 2 5 2" xfId="27431"/>
    <cellStyle name="Normal 3 2 2 2 2 2 3 2 5 2 2" xfId="27432"/>
    <cellStyle name="Normal 3 2 2 2 2 2 3 2 5 3" xfId="27433"/>
    <cellStyle name="Normal 3 2 2 2 2 2 3 2 5 3 2" xfId="27434"/>
    <cellStyle name="Normal 3 2 2 2 2 2 3 2 5 4" xfId="27435"/>
    <cellStyle name="Normal 3 2 2 2 2 2 3 2 5 4 2" xfId="27436"/>
    <cellStyle name="Normal 3 2 2 2 2 2 3 2 5 5" xfId="27437"/>
    <cellStyle name="Normal 3 2 2 2 2 2 3 2 5 6" xfId="27438"/>
    <cellStyle name="Normal 3 2 2 2 2 2 3 2 6" xfId="27439"/>
    <cellStyle name="Normal 3 2 2 2 2 2 3 2 6 2" xfId="27440"/>
    <cellStyle name="Normal 3 2 2 2 2 2 3 2 6 2 2" xfId="27441"/>
    <cellStyle name="Normal 3 2 2 2 2 2 3 2 6 3" xfId="27442"/>
    <cellStyle name="Normal 3 2 2 2 2 2 3 2 6 3 2" xfId="27443"/>
    <cellStyle name="Normal 3 2 2 2 2 2 3 2 6 4" xfId="27444"/>
    <cellStyle name="Normal 3 2 2 2 2 2 3 2 6 5" xfId="27445"/>
    <cellStyle name="Normal 3 2 2 2 2 2 3 2 7" xfId="27446"/>
    <cellStyle name="Normal 3 2 2 2 2 2 3 2 7 2" xfId="27447"/>
    <cellStyle name="Normal 3 2 2 2 2 2 3 2 8" xfId="27448"/>
    <cellStyle name="Normal 3 2 2 2 2 2 3 2 8 2" xfId="27449"/>
    <cellStyle name="Normal 3 2 2 2 2 2 3 2 9" xfId="27450"/>
    <cellStyle name="Normal 3 2 2 2 2 2 3 2 9 2" xfId="27451"/>
    <cellStyle name="Normal 3 2 2 2 2 2 3 3" xfId="2522"/>
    <cellStyle name="Normal 3 2 2 2 2 2 3 3 10" xfId="27453"/>
    <cellStyle name="Normal 3 2 2 2 2 2 3 3 11" xfId="27452"/>
    <cellStyle name="Normal 3 2 2 2 2 2 3 3 2" xfId="2523"/>
    <cellStyle name="Normal 3 2 2 2 2 2 3 3 2 2" xfId="27455"/>
    <cellStyle name="Normal 3 2 2 2 2 2 3 3 2 2 2" xfId="27456"/>
    <cellStyle name="Normal 3 2 2 2 2 2 3 3 2 3" xfId="27457"/>
    <cellStyle name="Normal 3 2 2 2 2 2 3 3 2 3 2" xfId="27458"/>
    <cellStyle name="Normal 3 2 2 2 2 2 3 3 2 4" xfId="27459"/>
    <cellStyle name="Normal 3 2 2 2 2 2 3 3 2 4 2" xfId="27460"/>
    <cellStyle name="Normal 3 2 2 2 2 2 3 3 2 5" xfId="27461"/>
    <cellStyle name="Normal 3 2 2 2 2 2 3 3 2 6" xfId="27462"/>
    <cellStyle name="Normal 3 2 2 2 2 2 3 3 2 7" xfId="27454"/>
    <cellStyle name="Normal 3 2 2 2 2 2 3 3 3" xfId="27463"/>
    <cellStyle name="Normal 3 2 2 2 2 2 3 3 3 2" xfId="27464"/>
    <cellStyle name="Normal 3 2 2 2 2 2 3 3 3 2 2" xfId="27465"/>
    <cellStyle name="Normal 3 2 2 2 2 2 3 3 3 3" xfId="27466"/>
    <cellStyle name="Normal 3 2 2 2 2 2 3 3 3 3 2" xfId="27467"/>
    <cellStyle name="Normal 3 2 2 2 2 2 3 3 3 4" xfId="27468"/>
    <cellStyle name="Normal 3 2 2 2 2 2 3 3 3 4 2" xfId="27469"/>
    <cellStyle name="Normal 3 2 2 2 2 2 3 3 3 5" xfId="27470"/>
    <cellStyle name="Normal 3 2 2 2 2 2 3 3 3 6" xfId="27471"/>
    <cellStyle name="Normal 3 2 2 2 2 2 3 3 4" xfId="27472"/>
    <cellStyle name="Normal 3 2 2 2 2 2 3 3 4 2" xfId="27473"/>
    <cellStyle name="Normal 3 2 2 2 2 2 3 3 4 2 2" xfId="27474"/>
    <cellStyle name="Normal 3 2 2 2 2 2 3 3 4 3" xfId="27475"/>
    <cellStyle name="Normal 3 2 2 2 2 2 3 3 4 3 2" xfId="27476"/>
    <cellStyle name="Normal 3 2 2 2 2 2 3 3 4 4" xfId="27477"/>
    <cellStyle name="Normal 3 2 2 2 2 2 3 3 4 4 2" xfId="27478"/>
    <cellStyle name="Normal 3 2 2 2 2 2 3 3 4 5" xfId="27479"/>
    <cellStyle name="Normal 3 2 2 2 2 2 3 3 4 6" xfId="27480"/>
    <cellStyle name="Normal 3 2 2 2 2 2 3 3 5" xfId="27481"/>
    <cellStyle name="Normal 3 2 2 2 2 2 3 3 5 2" xfId="27482"/>
    <cellStyle name="Normal 3 2 2 2 2 2 3 3 5 2 2" xfId="27483"/>
    <cellStyle name="Normal 3 2 2 2 2 2 3 3 5 3" xfId="27484"/>
    <cellStyle name="Normal 3 2 2 2 2 2 3 3 5 3 2" xfId="27485"/>
    <cellStyle name="Normal 3 2 2 2 2 2 3 3 5 4" xfId="27486"/>
    <cellStyle name="Normal 3 2 2 2 2 2 3 3 5 5" xfId="27487"/>
    <cellStyle name="Normal 3 2 2 2 2 2 3 3 6" xfId="27488"/>
    <cellStyle name="Normal 3 2 2 2 2 2 3 3 6 2" xfId="27489"/>
    <cellStyle name="Normal 3 2 2 2 2 2 3 3 7" xfId="27490"/>
    <cellStyle name="Normal 3 2 2 2 2 2 3 3 7 2" xfId="27491"/>
    <cellStyle name="Normal 3 2 2 2 2 2 3 3 8" xfId="27492"/>
    <cellStyle name="Normal 3 2 2 2 2 2 3 3 8 2" xfId="27493"/>
    <cellStyle name="Normal 3 2 2 2 2 2 3 3 9" xfId="27494"/>
    <cellStyle name="Normal 3 2 2 2 2 2 3 4" xfId="2524"/>
    <cellStyle name="Normal 3 2 2 2 2 2 3 4 10" xfId="27496"/>
    <cellStyle name="Normal 3 2 2 2 2 2 3 4 11" xfId="27495"/>
    <cellStyle name="Normal 3 2 2 2 2 2 3 4 2" xfId="2525"/>
    <cellStyle name="Normal 3 2 2 2 2 2 3 4 2 2" xfId="27498"/>
    <cellStyle name="Normal 3 2 2 2 2 2 3 4 2 2 2" xfId="27499"/>
    <cellStyle name="Normal 3 2 2 2 2 2 3 4 2 3" xfId="27500"/>
    <cellStyle name="Normal 3 2 2 2 2 2 3 4 2 3 2" xfId="27501"/>
    <cellStyle name="Normal 3 2 2 2 2 2 3 4 2 4" xfId="27502"/>
    <cellStyle name="Normal 3 2 2 2 2 2 3 4 2 4 2" xfId="27503"/>
    <cellStyle name="Normal 3 2 2 2 2 2 3 4 2 5" xfId="27504"/>
    <cellStyle name="Normal 3 2 2 2 2 2 3 4 2 6" xfId="27505"/>
    <cellStyle name="Normal 3 2 2 2 2 2 3 4 2 7" xfId="27497"/>
    <cellStyle name="Normal 3 2 2 2 2 2 3 4 3" xfId="27506"/>
    <cellStyle name="Normal 3 2 2 2 2 2 3 4 3 2" xfId="27507"/>
    <cellStyle name="Normal 3 2 2 2 2 2 3 4 3 2 2" xfId="27508"/>
    <cellStyle name="Normal 3 2 2 2 2 2 3 4 3 3" xfId="27509"/>
    <cellStyle name="Normal 3 2 2 2 2 2 3 4 3 3 2" xfId="27510"/>
    <cellStyle name="Normal 3 2 2 2 2 2 3 4 3 4" xfId="27511"/>
    <cellStyle name="Normal 3 2 2 2 2 2 3 4 3 4 2" xfId="27512"/>
    <cellStyle name="Normal 3 2 2 2 2 2 3 4 3 5" xfId="27513"/>
    <cellStyle name="Normal 3 2 2 2 2 2 3 4 3 6" xfId="27514"/>
    <cellStyle name="Normal 3 2 2 2 2 2 3 4 4" xfId="27515"/>
    <cellStyle name="Normal 3 2 2 2 2 2 3 4 4 2" xfId="27516"/>
    <cellStyle name="Normal 3 2 2 2 2 2 3 4 4 2 2" xfId="27517"/>
    <cellStyle name="Normal 3 2 2 2 2 2 3 4 4 3" xfId="27518"/>
    <cellStyle name="Normal 3 2 2 2 2 2 3 4 4 3 2" xfId="27519"/>
    <cellStyle name="Normal 3 2 2 2 2 2 3 4 4 4" xfId="27520"/>
    <cellStyle name="Normal 3 2 2 2 2 2 3 4 4 4 2" xfId="27521"/>
    <cellStyle name="Normal 3 2 2 2 2 2 3 4 4 5" xfId="27522"/>
    <cellStyle name="Normal 3 2 2 2 2 2 3 4 4 6" xfId="27523"/>
    <cellStyle name="Normal 3 2 2 2 2 2 3 4 5" xfId="27524"/>
    <cellStyle name="Normal 3 2 2 2 2 2 3 4 5 2" xfId="27525"/>
    <cellStyle name="Normal 3 2 2 2 2 2 3 4 5 2 2" xfId="27526"/>
    <cellStyle name="Normal 3 2 2 2 2 2 3 4 5 3" xfId="27527"/>
    <cellStyle name="Normal 3 2 2 2 2 2 3 4 5 3 2" xfId="27528"/>
    <cellStyle name="Normal 3 2 2 2 2 2 3 4 5 4" xfId="27529"/>
    <cellStyle name="Normal 3 2 2 2 2 2 3 4 5 5" xfId="27530"/>
    <cellStyle name="Normal 3 2 2 2 2 2 3 4 6" xfId="27531"/>
    <cellStyle name="Normal 3 2 2 2 2 2 3 4 6 2" xfId="27532"/>
    <cellStyle name="Normal 3 2 2 2 2 2 3 4 7" xfId="27533"/>
    <cellStyle name="Normal 3 2 2 2 2 2 3 4 7 2" xfId="27534"/>
    <cellStyle name="Normal 3 2 2 2 2 2 3 4 8" xfId="27535"/>
    <cellStyle name="Normal 3 2 2 2 2 2 3 4 8 2" xfId="27536"/>
    <cellStyle name="Normal 3 2 2 2 2 2 3 4 9" xfId="27537"/>
    <cellStyle name="Normal 3 2 2 2 2 2 3 5" xfId="2526"/>
    <cellStyle name="Normal 3 2 2 2 2 2 3 5 2" xfId="27539"/>
    <cellStyle name="Normal 3 2 2 2 2 2 3 5 2 2" xfId="27540"/>
    <cellStyle name="Normal 3 2 2 2 2 2 3 5 3" xfId="27541"/>
    <cellStyle name="Normal 3 2 2 2 2 2 3 5 3 2" xfId="27542"/>
    <cellStyle name="Normal 3 2 2 2 2 2 3 5 4" xfId="27543"/>
    <cellStyle name="Normal 3 2 2 2 2 2 3 5 4 2" xfId="27544"/>
    <cellStyle name="Normal 3 2 2 2 2 2 3 5 5" xfId="27545"/>
    <cellStyle name="Normal 3 2 2 2 2 2 3 5 6" xfId="27546"/>
    <cellStyle name="Normal 3 2 2 2 2 2 3 5 7" xfId="27538"/>
    <cellStyle name="Normal 3 2 2 2 2 2 3 6" xfId="27547"/>
    <cellStyle name="Normal 3 2 2 2 2 2 3 6 2" xfId="27548"/>
    <cellStyle name="Normal 3 2 2 2 2 2 3 6 2 2" xfId="27549"/>
    <cellStyle name="Normal 3 2 2 2 2 2 3 6 3" xfId="27550"/>
    <cellStyle name="Normal 3 2 2 2 2 2 3 6 3 2" xfId="27551"/>
    <cellStyle name="Normal 3 2 2 2 2 2 3 6 4" xfId="27552"/>
    <cellStyle name="Normal 3 2 2 2 2 2 3 6 4 2" xfId="27553"/>
    <cellStyle name="Normal 3 2 2 2 2 2 3 6 5" xfId="27554"/>
    <cellStyle name="Normal 3 2 2 2 2 2 3 6 6" xfId="27555"/>
    <cellStyle name="Normal 3 2 2 2 2 2 3 7" xfId="27556"/>
    <cellStyle name="Normal 3 2 2 2 2 2 3 7 2" xfId="27557"/>
    <cellStyle name="Normal 3 2 2 2 2 2 3 7 2 2" xfId="27558"/>
    <cellStyle name="Normal 3 2 2 2 2 2 3 7 3" xfId="27559"/>
    <cellStyle name="Normal 3 2 2 2 2 2 3 7 3 2" xfId="27560"/>
    <cellStyle name="Normal 3 2 2 2 2 2 3 7 4" xfId="27561"/>
    <cellStyle name="Normal 3 2 2 2 2 2 3 7 4 2" xfId="27562"/>
    <cellStyle name="Normal 3 2 2 2 2 2 3 7 5" xfId="27563"/>
    <cellStyle name="Normal 3 2 2 2 2 2 3 7 6" xfId="27564"/>
    <cellStyle name="Normal 3 2 2 2 2 2 3 8" xfId="27565"/>
    <cellStyle name="Normal 3 2 2 2 2 2 3 8 2" xfId="27566"/>
    <cellStyle name="Normal 3 2 2 2 2 2 3 8 2 2" xfId="27567"/>
    <cellStyle name="Normal 3 2 2 2 2 2 3 8 3" xfId="27568"/>
    <cellStyle name="Normal 3 2 2 2 2 2 3 8 3 2" xfId="27569"/>
    <cellStyle name="Normal 3 2 2 2 2 2 3 8 4" xfId="27570"/>
    <cellStyle name="Normal 3 2 2 2 2 2 3 8 5" xfId="27571"/>
    <cellStyle name="Normal 3 2 2 2 2 2 3 9" xfId="27572"/>
    <cellStyle name="Normal 3 2 2 2 2 2 3 9 2" xfId="27573"/>
    <cellStyle name="Normal 3 2 2 2 2 2 4" xfId="2527"/>
    <cellStyle name="Normal 3 2 2 2 2 2 4 10" xfId="27575"/>
    <cellStyle name="Normal 3 2 2 2 2 2 4 10 2" xfId="27576"/>
    <cellStyle name="Normal 3 2 2 2 2 2 4 11" xfId="27577"/>
    <cellStyle name="Normal 3 2 2 2 2 2 4 12" xfId="27578"/>
    <cellStyle name="Normal 3 2 2 2 2 2 4 13" xfId="27574"/>
    <cellStyle name="Normal 3 2 2 2 2 2 4 2" xfId="2528"/>
    <cellStyle name="Normal 3 2 2 2 2 2 4 2 10" xfId="27580"/>
    <cellStyle name="Normal 3 2 2 2 2 2 4 2 11" xfId="27579"/>
    <cellStyle name="Normal 3 2 2 2 2 2 4 2 2" xfId="2529"/>
    <cellStyle name="Normal 3 2 2 2 2 2 4 2 2 2" xfId="27582"/>
    <cellStyle name="Normal 3 2 2 2 2 2 4 2 2 2 2" xfId="27583"/>
    <cellStyle name="Normal 3 2 2 2 2 2 4 2 2 3" xfId="27584"/>
    <cellStyle name="Normal 3 2 2 2 2 2 4 2 2 3 2" xfId="27585"/>
    <cellStyle name="Normal 3 2 2 2 2 2 4 2 2 4" xfId="27586"/>
    <cellStyle name="Normal 3 2 2 2 2 2 4 2 2 4 2" xfId="27587"/>
    <cellStyle name="Normal 3 2 2 2 2 2 4 2 2 5" xfId="27588"/>
    <cellStyle name="Normal 3 2 2 2 2 2 4 2 2 6" xfId="27589"/>
    <cellStyle name="Normal 3 2 2 2 2 2 4 2 2 7" xfId="27581"/>
    <cellStyle name="Normal 3 2 2 2 2 2 4 2 3" xfId="27590"/>
    <cellStyle name="Normal 3 2 2 2 2 2 4 2 3 2" xfId="27591"/>
    <cellStyle name="Normal 3 2 2 2 2 2 4 2 3 2 2" xfId="27592"/>
    <cellStyle name="Normal 3 2 2 2 2 2 4 2 3 3" xfId="27593"/>
    <cellStyle name="Normal 3 2 2 2 2 2 4 2 3 3 2" xfId="27594"/>
    <cellStyle name="Normal 3 2 2 2 2 2 4 2 3 4" xfId="27595"/>
    <cellStyle name="Normal 3 2 2 2 2 2 4 2 3 4 2" xfId="27596"/>
    <cellStyle name="Normal 3 2 2 2 2 2 4 2 3 5" xfId="27597"/>
    <cellStyle name="Normal 3 2 2 2 2 2 4 2 3 6" xfId="27598"/>
    <cellStyle name="Normal 3 2 2 2 2 2 4 2 4" xfId="27599"/>
    <cellStyle name="Normal 3 2 2 2 2 2 4 2 4 2" xfId="27600"/>
    <cellStyle name="Normal 3 2 2 2 2 2 4 2 4 2 2" xfId="27601"/>
    <cellStyle name="Normal 3 2 2 2 2 2 4 2 4 3" xfId="27602"/>
    <cellStyle name="Normal 3 2 2 2 2 2 4 2 4 3 2" xfId="27603"/>
    <cellStyle name="Normal 3 2 2 2 2 2 4 2 4 4" xfId="27604"/>
    <cellStyle name="Normal 3 2 2 2 2 2 4 2 4 4 2" xfId="27605"/>
    <cellStyle name="Normal 3 2 2 2 2 2 4 2 4 5" xfId="27606"/>
    <cellStyle name="Normal 3 2 2 2 2 2 4 2 4 6" xfId="27607"/>
    <cellStyle name="Normal 3 2 2 2 2 2 4 2 5" xfId="27608"/>
    <cellStyle name="Normal 3 2 2 2 2 2 4 2 5 2" xfId="27609"/>
    <cellStyle name="Normal 3 2 2 2 2 2 4 2 5 2 2" xfId="27610"/>
    <cellStyle name="Normal 3 2 2 2 2 2 4 2 5 3" xfId="27611"/>
    <cellStyle name="Normal 3 2 2 2 2 2 4 2 5 3 2" xfId="27612"/>
    <cellStyle name="Normal 3 2 2 2 2 2 4 2 5 4" xfId="27613"/>
    <cellStyle name="Normal 3 2 2 2 2 2 4 2 5 5" xfId="27614"/>
    <cellStyle name="Normal 3 2 2 2 2 2 4 2 6" xfId="27615"/>
    <cellStyle name="Normal 3 2 2 2 2 2 4 2 6 2" xfId="27616"/>
    <cellStyle name="Normal 3 2 2 2 2 2 4 2 7" xfId="27617"/>
    <cellStyle name="Normal 3 2 2 2 2 2 4 2 7 2" xfId="27618"/>
    <cellStyle name="Normal 3 2 2 2 2 2 4 2 8" xfId="27619"/>
    <cellStyle name="Normal 3 2 2 2 2 2 4 2 8 2" xfId="27620"/>
    <cellStyle name="Normal 3 2 2 2 2 2 4 2 9" xfId="27621"/>
    <cellStyle name="Normal 3 2 2 2 2 2 4 3" xfId="2530"/>
    <cellStyle name="Normal 3 2 2 2 2 2 4 3 10" xfId="27623"/>
    <cellStyle name="Normal 3 2 2 2 2 2 4 3 11" xfId="27622"/>
    <cellStyle name="Normal 3 2 2 2 2 2 4 3 2" xfId="2531"/>
    <cellStyle name="Normal 3 2 2 2 2 2 4 3 2 2" xfId="27625"/>
    <cellStyle name="Normal 3 2 2 2 2 2 4 3 2 2 2" xfId="27626"/>
    <cellStyle name="Normal 3 2 2 2 2 2 4 3 2 3" xfId="27627"/>
    <cellStyle name="Normal 3 2 2 2 2 2 4 3 2 3 2" xfId="27628"/>
    <cellStyle name="Normal 3 2 2 2 2 2 4 3 2 4" xfId="27629"/>
    <cellStyle name="Normal 3 2 2 2 2 2 4 3 2 4 2" xfId="27630"/>
    <cellStyle name="Normal 3 2 2 2 2 2 4 3 2 5" xfId="27631"/>
    <cellStyle name="Normal 3 2 2 2 2 2 4 3 2 6" xfId="27632"/>
    <cellStyle name="Normal 3 2 2 2 2 2 4 3 2 7" xfId="27624"/>
    <cellStyle name="Normal 3 2 2 2 2 2 4 3 3" xfId="27633"/>
    <cellStyle name="Normal 3 2 2 2 2 2 4 3 3 2" xfId="27634"/>
    <cellStyle name="Normal 3 2 2 2 2 2 4 3 3 2 2" xfId="27635"/>
    <cellStyle name="Normal 3 2 2 2 2 2 4 3 3 3" xfId="27636"/>
    <cellStyle name="Normal 3 2 2 2 2 2 4 3 3 3 2" xfId="27637"/>
    <cellStyle name="Normal 3 2 2 2 2 2 4 3 3 4" xfId="27638"/>
    <cellStyle name="Normal 3 2 2 2 2 2 4 3 3 4 2" xfId="27639"/>
    <cellStyle name="Normal 3 2 2 2 2 2 4 3 3 5" xfId="27640"/>
    <cellStyle name="Normal 3 2 2 2 2 2 4 3 3 6" xfId="27641"/>
    <cellStyle name="Normal 3 2 2 2 2 2 4 3 4" xfId="27642"/>
    <cellStyle name="Normal 3 2 2 2 2 2 4 3 4 2" xfId="27643"/>
    <cellStyle name="Normal 3 2 2 2 2 2 4 3 4 2 2" xfId="27644"/>
    <cellStyle name="Normal 3 2 2 2 2 2 4 3 4 3" xfId="27645"/>
    <cellStyle name="Normal 3 2 2 2 2 2 4 3 4 3 2" xfId="27646"/>
    <cellStyle name="Normal 3 2 2 2 2 2 4 3 4 4" xfId="27647"/>
    <cellStyle name="Normal 3 2 2 2 2 2 4 3 4 4 2" xfId="27648"/>
    <cellStyle name="Normal 3 2 2 2 2 2 4 3 4 5" xfId="27649"/>
    <cellStyle name="Normal 3 2 2 2 2 2 4 3 4 6" xfId="27650"/>
    <cellStyle name="Normal 3 2 2 2 2 2 4 3 5" xfId="27651"/>
    <cellStyle name="Normal 3 2 2 2 2 2 4 3 5 2" xfId="27652"/>
    <cellStyle name="Normal 3 2 2 2 2 2 4 3 5 2 2" xfId="27653"/>
    <cellStyle name="Normal 3 2 2 2 2 2 4 3 5 3" xfId="27654"/>
    <cellStyle name="Normal 3 2 2 2 2 2 4 3 5 3 2" xfId="27655"/>
    <cellStyle name="Normal 3 2 2 2 2 2 4 3 5 4" xfId="27656"/>
    <cellStyle name="Normal 3 2 2 2 2 2 4 3 5 5" xfId="27657"/>
    <cellStyle name="Normal 3 2 2 2 2 2 4 3 6" xfId="27658"/>
    <cellStyle name="Normal 3 2 2 2 2 2 4 3 6 2" xfId="27659"/>
    <cellStyle name="Normal 3 2 2 2 2 2 4 3 7" xfId="27660"/>
    <cellStyle name="Normal 3 2 2 2 2 2 4 3 7 2" xfId="27661"/>
    <cellStyle name="Normal 3 2 2 2 2 2 4 3 8" xfId="27662"/>
    <cellStyle name="Normal 3 2 2 2 2 2 4 3 8 2" xfId="27663"/>
    <cellStyle name="Normal 3 2 2 2 2 2 4 3 9" xfId="27664"/>
    <cellStyle name="Normal 3 2 2 2 2 2 4 4" xfId="2532"/>
    <cellStyle name="Normal 3 2 2 2 2 2 4 4 2" xfId="27666"/>
    <cellStyle name="Normal 3 2 2 2 2 2 4 4 2 2" xfId="27667"/>
    <cellStyle name="Normal 3 2 2 2 2 2 4 4 3" xfId="27668"/>
    <cellStyle name="Normal 3 2 2 2 2 2 4 4 3 2" xfId="27669"/>
    <cellStyle name="Normal 3 2 2 2 2 2 4 4 4" xfId="27670"/>
    <cellStyle name="Normal 3 2 2 2 2 2 4 4 4 2" xfId="27671"/>
    <cellStyle name="Normal 3 2 2 2 2 2 4 4 5" xfId="27672"/>
    <cellStyle name="Normal 3 2 2 2 2 2 4 4 6" xfId="27673"/>
    <cellStyle name="Normal 3 2 2 2 2 2 4 4 7" xfId="27665"/>
    <cellStyle name="Normal 3 2 2 2 2 2 4 5" xfId="27674"/>
    <cellStyle name="Normal 3 2 2 2 2 2 4 5 2" xfId="27675"/>
    <cellStyle name="Normal 3 2 2 2 2 2 4 5 2 2" xfId="27676"/>
    <cellStyle name="Normal 3 2 2 2 2 2 4 5 3" xfId="27677"/>
    <cellStyle name="Normal 3 2 2 2 2 2 4 5 3 2" xfId="27678"/>
    <cellStyle name="Normal 3 2 2 2 2 2 4 5 4" xfId="27679"/>
    <cellStyle name="Normal 3 2 2 2 2 2 4 5 4 2" xfId="27680"/>
    <cellStyle name="Normal 3 2 2 2 2 2 4 5 5" xfId="27681"/>
    <cellStyle name="Normal 3 2 2 2 2 2 4 5 6" xfId="27682"/>
    <cellStyle name="Normal 3 2 2 2 2 2 4 6" xfId="27683"/>
    <cellStyle name="Normal 3 2 2 2 2 2 4 6 2" xfId="27684"/>
    <cellStyle name="Normal 3 2 2 2 2 2 4 6 2 2" xfId="27685"/>
    <cellStyle name="Normal 3 2 2 2 2 2 4 6 3" xfId="27686"/>
    <cellStyle name="Normal 3 2 2 2 2 2 4 6 3 2" xfId="27687"/>
    <cellStyle name="Normal 3 2 2 2 2 2 4 6 4" xfId="27688"/>
    <cellStyle name="Normal 3 2 2 2 2 2 4 6 4 2" xfId="27689"/>
    <cellStyle name="Normal 3 2 2 2 2 2 4 6 5" xfId="27690"/>
    <cellStyle name="Normal 3 2 2 2 2 2 4 6 6" xfId="27691"/>
    <cellStyle name="Normal 3 2 2 2 2 2 4 7" xfId="27692"/>
    <cellStyle name="Normal 3 2 2 2 2 2 4 7 2" xfId="27693"/>
    <cellStyle name="Normal 3 2 2 2 2 2 4 7 2 2" xfId="27694"/>
    <cellStyle name="Normal 3 2 2 2 2 2 4 7 3" xfId="27695"/>
    <cellStyle name="Normal 3 2 2 2 2 2 4 7 3 2" xfId="27696"/>
    <cellStyle name="Normal 3 2 2 2 2 2 4 7 4" xfId="27697"/>
    <cellStyle name="Normal 3 2 2 2 2 2 4 7 5" xfId="27698"/>
    <cellStyle name="Normal 3 2 2 2 2 2 4 8" xfId="27699"/>
    <cellStyle name="Normal 3 2 2 2 2 2 4 8 2" xfId="27700"/>
    <cellStyle name="Normal 3 2 2 2 2 2 4 9" xfId="27701"/>
    <cellStyle name="Normal 3 2 2 2 2 2 4 9 2" xfId="27702"/>
    <cellStyle name="Normal 3 2 2 2 2 2 5" xfId="2533"/>
    <cellStyle name="Normal 3 2 2 2 2 2 5 10" xfId="27704"/>
    <cellStyle name="Normal 3 2 2 2 2 2 5 11" xfId="27705"/>
    <cellStyle name="Normal 3 2 2 2 2 2 5 12" xfId="27703"/>
    <cellStyle name="Normal 3 2 2 2 2 2 5 2" xfId="2534"/>
    <cellStyle name="Normal 3 2 2 2 2 2 5 2 2" xfId="27707"/>
    <cellStyle name="Normal 3 2 2 2 2 2 5 2 2 2" xfId="27708"/>
    <cellStyle name="Normal 3 2 2 2 2 2 5 2 3" xfId="27709"/>
    <cellStyle name="Normal 3 2 2 2 2 2 5 2 3 2" xfId="27710"/>
    <cellStyle name="Normal 3 2 2 2 2 2 5 2 4" xfId="27711"/>
    <cellStyle name="Normal 3 2 2 2 2 2 5 2 4 2" xfId="27712"/>
    <cellStyle name="Normal 3 2 2 2 2 2 5 2 5" xfId="27713"/>
    <cellStyle name="Normal 3 2 2 2 2 2 5 2 6" xfId="27714"/>
    <cellStyle name="Normal 3 2 2 2 2 2 5 2 7" xfId="27706"/>
    <cellStyle name="Normal 3 2 2 2 2 2 5 3" xfId="2535"/>
    <cellStyle name="Normal 3 2 2 2 2 2 5 3 2" xfId="27716"/>
    <cellStyle name="Normal 3 2 2 2 2 2 5 3 2 2" xfId="27717"/>
    <cellStyle name="Normal 3 2 2 2 2 2 5 3 3" xfId="27718"/>
    <cellStyle name="Normal 3 2 2 2 2 2 5 3 3 2" xfId="27719"/>
    <cellStyle name="Normal 3 2 2 2 2 2 5 3 4" xfId="27720"/>
    <cellStyle name="Normal 3 2 2 2 2 2 5 3 4 2" xfId="27721"/>
    <cellStyle name="Normal 3 2 2 2 2 2 5 3 5" xfId="27722"/>
    <cellStyle name="Normal 3 2 2 2 2 2 5 3 6" xfId="27723"/>
    <cellStyle name="Normal 3 2 2 2 2 2 5 3 7" xfId="27715"/>
    <cellStyle name="Normal 3 2 2 2 2 2 5 4" xfId="27724"/>
    <cellStyle name="Normal 3 2 2 2 2 2 5 4 2" xfId="27725"/>
    <cellStyle name="Normal 3 2 2 2 2 2 5 4 2 2" xfId="27726"/>
    <cellStyle name="Normal 3 2 2 2 2 2 5 4 3" xfId="27727"/>
    <cellStyle name="Normal 3 2 2 2 2 2 5 4 3 2" xfId="27728"/>
    <cellStyle name="Normal 3 2 2 2 2 2 5 4 4" xfId="27729"/>
    <cellStyle name="Normal 3 2 2 2 2 2 5 4 4 2" xfId="27730"/>
    <cellStyle name="Normal 3 2 2 2 2 2 5 4 5" xfId="27731"/>
    <cellStyle name="Normal 3 2 2 2 2 2 5 4 6" xfId="27732"/>
    <cellStyle name="Normal 3 2 2 2 2 2 5 5" xfId="27733"/>
    <cellStyle name="Normal 3 2 2 2 2 2 5 5 2" xfId="27734"/>
    <cellStyle name="Normal 3 2 2 2 2 2 5 5 2 2" xfId="27735"/>
    <cellStyle name="Normal 3 2 2 2 2 2 5 5 3" xfId="27736"/>
    <cellStyle name="Normal 3 2 2 2 2 2 5 5 3 2" xfId="27737"/>
    <cellStyle name="Normal 3 2 2 2 2 2 5 5 4" xfId="27738"/>
    <cellStyle name="Normal 3 2 2 2 2 2 5 5 4 2" xfId="27739"/>
    <cellStyle name="Normal 3 2 2 2 2 2 5 5 5" xfId="27740"/>
    <cellStyle name="Normal 3 2 2 2 2 2 5 5 6" xfId="27741"/>
    <cellStyle name="Normal 3 2 2 2 2 2 5 6" xfId="27742"/>
    <cellStyle name="Normal 3 2 2 2 2 2 5 6 2" xfId="27743"/>
    <cellStyle name="Normal 3 2 2 2 2 2 5 6 2 2" xfId="27744"/>
    <cellStyle name="Normal 3 2 2 2 2 2 5 6 3" xfId="27745"/>
    <cellStyle name="Normal 3 2 2 2 2 2 5 6 3 2" xfId="27746"/>
    <cellStyle name="Normal 3 2 2 2 2 2 5 6 4" xfId="27747"/>
    <cellStyle name="Normal 3 2 2 2 2 2 5 6 5" xfId="27748"/>
    <cellStyle name="Normal 3 2 2 2 2 2 5 7" xfId="27749"/>
    <cellStyle name="Normal 3 2 2 2 2 2 5 7 2" xfId="27750"/>
    <cellStyle name="Normal 3 2 2 2 2 2 5 8" xfId="27751"/>
    <cellStyle name="Normal 3 2 2 2 2 2 5 8 2" xfId="27752"/>
    <cellStyle name="Normal 3 2 2 2 2 2 5 9" xfId="27753"/>
    <cellStyle name="Normal 3 2 2 2 2 2 5 9 2" xfId="27754"/>
    <cellStyle name="Normal 3 2 2 2 2 2 6" xfId="2536"/>
    <cellStyle name="Normal 3 2 2 2 2 2 6 10" xfId="27756"/>
    <cellStyle name="Normal 3 2 2 2 2 2 6 11" xfId="27755"/>
    <cellStyle name="Normal 3 2 2 2 2 2 6 2" xfId="2537"/>
    <cellStyle name="Normal 3 2 2 2 2 2 6 2 2" xfId="27758"/>
    <cellStyle name="Normal 3 2 2 2 2 2 6 2 2 2" xfId="27759"/>
    <cellStyle name="Normal 3 2 2 2 2 2 6 2 3" xfId="27760"/>
    <cellStyle name="Normal 3 2 2 2 2 2 6 2 3 2" xfId="27761"/>
    <cellStyle name="Normal 3 2 2 2 2 2 6 2 4" xfId="27762"/>
    <cellStyle name="Normal 3 2 2 2 2 2 6 2 4 2" xfId="27763"/>
    <cellStyle name="Normal 3 2 2 2 2 2 6 2 5" xfId="27764"/>
    <cellStyle name="Normal 3 2 2 2 2 2 6 2 6" xfId="27765"/>
    <cellStyle name="Normal 3 2 2 2 2 2 6 2 7" xfId="27757"/>
    <cellStyle name="Normal 3 2 2 2 2 2 6 3" xfId="27766"/>
    <cellStyle name="Normal 3 2 2 2 2 2 6 3 2" xfId="27767"/>
    <cellStyle name="Normal 3 2 2 2 2 2 6 3 2 2" xfId="27768"/>
    <cellStyle name="Normal 3 2 2 2 2 2 6 3 3" xfId="27769"/>
    <cellStyle name="Normal 3 2 2 2 2 2 6 3 3 2" xfId="27770"/>
    <cellStyle name="Normal 3 2 2 2 2 2 6 3 4" xfId="27771"/>
    <cellStyle name="Normal 3 2 2 2 2 2 6 3 4 2" xfId="27772"/>
    <cellStyle name="Normal 3 2 2 2 2 2 6 3 5" xfId="27773"/>
    <cellStyle name="Normal 3 2 2 2 2 2 6 3 6" xfId="27774"/>
    <cellStyle name="Normal 3 2 2 2 2 2 6 4" xfId="27775"/>
    <cellStyle name="Normal 3 2 2 2 2 2 6 4 2" xfId="27776"/>
    <cellStyle name="Normal 3 2 2 2 2 2 6 4 2 2" xfId="27777"/>
    <cellStyle name="Normal 3 2 2 2 2 2 6 4 3" xfId="27778"/>
    <cellStyle name="Normal 3 2 2 2 2 2 6 4 3 2" xfId="27779"/>
    <cellStyle name="Normal 3 2 2 2 2 2 6 4 4" xfId="27780"/>
    <cellStyle name="Normal 3 2 2 2 2 2 6 4 4 2" xfId="27781"/>
    <cellStyle name="Normal 3 2 2 2 2 2 6 4 5" xfId="27782"/>
    <cellStyle name="Normal 3 2 2 2 2 2 6 4 6" xfId="27783"/>
    <cellStyle name="Normal 3 2 2 2 2 2 6 5" xfId="27784"/>
    <cellStyle name="Normal 3 2 2 2 2 2 6 5 2" xfId="27785"/>
    <cellStyle name="Normal 3 2 2 2 2 2 6 5 2 2" xfId="27786"/>
    <cellStyle name="Normal 3 2 2 2 2 2 6 5 3" xfId="27787"/>
    <cellStyle name="Normal 3 2 2 2 2 2 6 5 3 2" xfId="27788"/>
    <cellStyle name="Normal 3 2 2 2 2 2 6 5 4" xfId="27789"/>
    <cellStyle name="Normal 3 2 2 2 2 2 6 5 5" xfId="27790"/>
    <cellStyle name="Normal 3 2 2 2 2 2 6 6" xfId="27791"/>
    <cellStyle name="Normal 3 2 2 2 2 2 6 6 2" xfId="27792"/>
    <cellStyle name="Normal 3 2 2 2 2 2 6 7" xfId="27793"/>
    <cellStyle name="Normal 3 2 2 2 2 2 6 7 2" xfId="27794"/>
    <cellStyle name="Normal 3 2 2 2 2 2 6 8" xfId="27795"/>
    <cellStyle name="Normal 3 2 2 2 2 2 6 8 2" xfId="27796"/>
    <cellStyle name="Normal 3 2 2 2 2 2 6 9" xfId="27797"/>
    <cellStyle name="Normal 3 2 2 2 2 2 7" xfId="2538"/>
    <cellStyle name="Normal 3 2 2 2 2 2 7 10" xfId="27799"/>
    <cellStyle name="Normal 3 2 2 2 2 2 7 11" xfId="27798"/>
    <cellStyle name="Normal 3 2 2 2 2 2 7 2" xfId="2539"/>
    <cellStyle name="Normal 3 2 2 2 2 2 7 2 2" xfId="27801"/>
    <cellStyle name="Normal 3 2 2 2 2 2 7 2 2 2" xfId="27802"/>
    <cellStyle name="Normal 3 2 2 2 2 2 7 2 3" xfId="27803"/>
    <cellStyle name="Normal 3 2 2 2 2 2 7 2 3 2" xfId="27804"/>
    <cellStyle name="Normal 3 2 2 2 2 2 7 2 4" xfId="27805"/>
    <cellStyle name="Normal 3 2 2 2 2 2 7 2 4 2" xfId="27806"/>
    <cellStyle name="Normal 3 2 2 2 2 2 7 2 5" xfId="27807"/>
    <cellStyle name="Normal 3 2 2 2 2 2 7 2 6" xfId="27808"/>
    <cellStyle name="Normal 3 2 2 2 2 2 7 2 7" xfId="27800"/>
    <cellStyle name="Normal 3 2 2 2 2 2 7 3" xfId="27809"/>
    <cellStyle name="Normal 3 2 2 2 2 2 7 3 2" xfId="27810"/>
    <cellStyle name="Normal 3 2 2 2 2 2 7 3 2 2" xfId="27811"/>
    <cellStyle name="Normal 3 2 2 2 2 2 7 3 3" xfId="27812"/>
    <cellStyle name="Normal 3 2 2 2 2 2 7 3 3 2" xfId="27813"/>
    <cellStyle name="Normal 3 2 2 2 2 2 7 3 4" xfId="27814"/>
    <cellStyle name="Normal 3 2 2 2 2 2 7 3 4 2" xfId="27815"/>
    <cellStyle name="Normal 3 2 2 2 2 2 7 3 5" xfId="27816"/>
    <cellStyle name="Normal 3 2 2 2 2 2 7 3 6" xfId="27817"/>
    <cellStyle name="Normal 3 2 2 2 2 2 7 4" xfId="27818"/>
    <cellStyle name="Normal 3 2 2 2 2 2 7 4 2" xfId="27819"/>
    <cellStyle name="Normal 3 2 2 2 2 2 7 4 2 2" xfId="27820"/>
    <cellStyle name="Normal 3 2 2 2 2 2 7 4 3" xfId="27821"/>
    <cellStyle name="Normal 3 2 2 2 2 2 7 4 3 2" xfId="27822"/>
    <cellStyle name="Normal 3 2 2 2 2 2 7 4 4" xfId="27823"/>
    <cellStyle name="Normal 3 2 2 2 2 2 7 4 4 2" xfId="27824"/>
    <cellStyle name="Normal 3 2 2 2 2 2 7 4 5" xfId="27825"/>
    <cellStyle name="Normal 3 2 2 2 2 2 7 4 6" xfId="27826"/>
    <cellStyle name="Normal 3 2 2 2 2 2 7 5" xfId="27827"/>
    <cellStyle name="Normal 3 2 2 2 2 2 7 5 2" xfId="27828"/>
    <cellStyle name="Normal 3 2 2 2 2 2 7 5 2 2" xfId="27829"/>
    <cellStyle name="Normal 3 2 2 2 2 2 7 5 3" xfId="27830"/>
    <cellStyle name="Normal 3 2 2 2 2 2 7 5 3 2" xfId="27831"/>
    <cellStyle name="Normal 3 2 2 2 2 2 7 5 4" xfId="27832"/>
    <cellStyle name="Normal 3 2 2 2 2 2 7 5 5" xfId="27833"/>
    <cellStyle name="Normal 3 2 2 2 2 2 7 6" xfId="27834"/>
    <cellStyle name="Normal 3 2 2 2 2 2 7 6 2" xfId="27835"/>
    <cellStyle name="Normal 3 2 2 2 2 2 7 7" xfId="27836"/>
    <cellStyle name="Normal 3 2 2 2 2 2 7 7 2" xfId="27837"/>
    <cellStyle name="Normal 3 2 2 2 2 2 7 8" xfId="27838"/>
    <cellStyle name="Normal 3 2 2 2 2 2 7 8 2" xfId="27839"/>
    <cellStyle name="Normal 3 2 2 2 2 2 7 9" xfId="27840"/>
    <cellStyle name="Normal 3 2 2 2 2 2 8" xfId="2540"/>
    <cellStyle name="Normal 3 2 2 2 2 2 8 2" xfId="27842"/>
    <cellStyle name="Normal 3 2 2 2 2 2 8 2 2" xfId="27843"/>
    <cellStyle name="Normal 3 2 2 2 2 2 8 3" xfId="27844"/>
    <cellStyle name="Normal 3 2 2 2 2 2 8 3 2" xfId="27845"/>
    <cellStyle name="Normal 3 2 2 2 2 2 8 4" xfId="27846"/>
    <cellStyle name="Normal 3 2 2 2 2 2 8 4 2" xfId="27847"/>
    <cellStyle name="Normal 3 2 2 2 2 2 8 5" xfId="27848"/>
    <cellStyle name="Normal 3 2 2 2 2 2 8 6" xfId="27849"/>
    <cellStyle name="Normal 3 2 2 2 2 2 8 7" xfId="27841"/>
    <cellStyle name="Normal 3 2 2 2 2 2 9" xfId="27850"/>
    <cellStyle name="Normal 3 2 2 2 2 2 9 2" xfId="27851"/>
    <cellStyle name="Normal 3 2 2 2 2 2 9 2 2" xfId="27852"/>
    <cellStyle name="Normal 3 2 2 2 2 2 9 3" xfId="27853"/>
    <cellStyle name="Normal 3 2 2 2 2 2 9 3 2" xfId="27854"/>
    <cellStyle name="Normal 3 2 2 2 2 2 9 4" xfId="27855"/>
    <cellStyle name="Normal 3 2 2 2 2 2 9 4 2" xfId="27856"/>
    <cellStyle name="Normal 3 2 2 2 2 2 9 5" xfId="27857"/>
    <cellStyle name="Normal 3 2 2 2 2 2 9 6" xfId="27858"/>
    <cellStyle name="Normal 3 2 2 2 2 20" xfId="27101"/>
    <cellStyle name="Normal 3 2 2 2 2 3" xfId="2541"/>
    <cellStyle name="Normal 3 2 2 2 2 3 10" xfId="27860"/>
    <cellStyle name="Normal 3 2 2 2 2 3 10 2" xfId="27861"/>
    <cellStyle name="Normal 3 2 2 2 2 3 10 2 2" xfId="27862"/>
    <cellStyle name="Normal 3 2 2 2 2 3 10 3" xfId="27863"/>
    <cellStyle name="Normal 3 2 2 2 2 3 10 3 2" xfId="27864"/>
    <cellStyle name="Normal 3 2 2 2 2 3 10 4" xfId="27865"/>
    <cellStyle name="Normal 3 2 2 2 2 3 10 4 2" xfId="27866"/>
    <cellStyle name="Normal 3 2 2 2 2 3 10 5" xfId="27867"/>
    <cellStyle name="Normal 3 2 2 2 2 3 10 6" xfId="27868"/>
    <cellStyle name="Normal 3 2 2 2 2 3 11" xfId="27869"/>
    <cellStyle name="Normal 3 2 2 2 2 3 11 2" xfId="27870"/>
    <cellStyle name="Normal 3 2 2 2 2 3 11 2 2" xfId="27871"/>
    <cellStyle name="Normal 3 2 2 2 2 3 11 3" xfId="27872"/>
    <cellStyle name="Normal 3 2 2 2 2 3 11 3 2" xfId="27873"/>
    <cellStyle name="Normal 3 2 2 2 2 3 11 4" xfId="27874"/>
    <cellStyle name="Normal 3 2 2 2 2 3 11 4 2" xfId="27875"/>
    <cellStyle name="Normal 3 2 2 2 2 3 11 5" xfId="27876"/>
    <cellStyle name="Normal 3 2 2 2 2 3 11 6" xfId="27877"/>
    <cellStyle name="Normal 3 2 2 2 2 3 12" xfId="27878"/>
    <cellStyle name="Normal 3 2 2 2 2 3 12 2" xfId="27879"/>
    <cellStyle name="Normal 3 2 2 2 2 3 12 2 2" xfId="27880"/>
    <cellStyle name="Normal 3 2 2 2 2 3 12 3" xfId="27881"/>
    <cellStyle name="Normal 3 2 2 2 2 3 12 3 2" xfId="27882"/>
    <cellStyle name="Normal 3 2 2 2 2 3 12 4" xfId="27883"/>
    <cellStyle name="Normal 3 2 2 2 2 3 12 5" xfId="27884"/>
    <cellStyle name="Normal 3 2 2 2 2 3 13" xfId="27885"/>
    <cellStyle name="Normal 3 2 2 2 2 3 13 2" xfId="27886"/>
    <cellStyle name="Normal 3 2 2 2 2 3 14" xfId="27887"/>
    <cellStyle name="Normal 3 2 2 2 2 3 14 2" xfId="27888"/>
    <cellStyle name="Normal 3 2 2 2 2 3 15" xfId="27889"/>
    <cellStyle name="Normal 3 2 2 2 2 3 15 2" xfId="27890"/>
    <cellStyle name="Normal 3 2 2 2 2 3 16" xfId="27891"/>
    <cellStyle name="Normal 3 2 2 2 2 3 17" xfId="27892"/>
    <cellStyle name="Normal 3 2 2 2 2 3 18" xfId="27859"/>
    <cellStyle name="Normal 3 2 2 2 2 3 2" xfId="2542"/>
    <cellStyle name="Normal 3 2 2 2 2 3 2 10" xfId="27894"/>
    <cellStyle name="Normal 3 2 2 2 2 3 2 10 2" xfId="27895"/>
    <cellStyle name="Normal 3 2 2 2 2 3 2 10 2 2" xfId="27896"/>
    <cellStyle name="Normal 3 2 2 2 2 3 2 10 3" xfId="27897"/>
    <cellStyle name="Normal 3 2 2 2 2 3 2 10 3 2" xfId="27898"/>
    <cellStyle name="Normal 3 2 2 2 2 3 2 10 4" xfId="27899"/>
    <cellStyle name="Normal 3 2 2 2 2 3 2 10 4 2" xfId="27900"/>
    <cellStyle name="Normal 3 2 2 2 2 3 2 10 5" xfId="27901"/>
    <cellStyle name="Normal 3 2 2 2 2 3 2 10 6" xfId="27902"/>
    <cellStyle name="Normal 3 2 2 2 2 3 2 11" xfId="27903"/>
    <cellStyle name="Normal 3 2 2 2 2 3 2 11 2" xfId="27904"/>
    <cellStyle name="Normal 3 2 2 2 2 3 2 11 2 2" xfId="27905"/>
    <cellStyle name="Normal 3 2 2 2 2 3 2 11 3" xfId="27906"/>
    <cellStyle name="Normal 3 2 2 2 2 3 2 11 3 2" xfId="27907"/>
    <cellStyle name="Normal 3 2 2 2 2 3 2 11 4" xfId="27908"/>
    <cellStyle name="Normal 3 2 2 2 2 3 2 11 5" xfId="27909"/>
    <cellStyle name="Normal 3 2 2 2 2 3 2 12" xfId="27910"/>
    <cellStyle name="Normal 3 2 2 2 2 3 2 12 2" xfId="27911"/>
    <cellStyle name="Normal 3 2 2 2 2 3 2 13" xfId="27912"/>
    <cellStyle name="Normal 3 2 2 2 2 3 2 13 2" xfId="27913"/>
    <cellStyle name="Normal 3 2 2 2 2 3 2 14" xfId="27914"/>
    <cellStyle name="Normal 3 2 2 2 2 3 2 14 2" xfId="27915"/>
    <cellStyle name="Normal 3 2 2 2 2 3 2 15" xfId="27916"/>
    <cellStyle name="Normal 3 2 2 2 2 3 2 16" xfId="27917"/>
    <cellStyle name="Normal 3 2 2 2 2 3 2 17" xfId="27893"/>
    <cellStyle name="Normal 3 2 2 2 2 3 2 2" xfId="2543"/>
    <cellStyle name="Normal 3 2 2 2 2 3 2 2 10" xfId="27919"/>
    <cellStyle name="Normal 3 2 2 2 2 3 2 2 10 2" xfId="27920"/>
    <cellStyle name="Normal 3 2 2 2 2 3 2 2 11" xfId="27921"/>
    <cellStyle name="Normal 3 2 2 2 2 3 2 2 11 2" xfId="27922"/>
    <cellStyle name="Normal 3 2 2 2 2 3 2 2 12" xfId="27923"/>
    <cellStyle name="Normal 3 2 2 2 2 3 2 2 13" xfId="27924"/>
    <cellStyle name="Normal 3 2 2 2 2 3 2 2 14" xfId="27918"/>
    <cellStyle name="Normal 3 2 2 2 2 3 2 2 2" xfId="2544"/>
    <cellStyle name="Normal 3 2 2 2 2 3 2 2 2 10" xfId="27926"/>
    <cellStyle name="Normal 3 2 2 2 2 3 2 2 2 11" xfId="27927"/>
    <cellStyle name="Normal 3 2 2 2 2 3 2 2 2 12" xfId="27925"/>
    <cellStyle name="Normal 3 2 2 2 2 3 2 2 2 2" xfId="27928"/>
    <cellStyle name="Normal 3 2 2 2 2 3 2 2 2 2 2" xfId="27929"/>
    <cellStyle name="Normal 3 2 2 2 2 3 2 2 2 2 2 2" xfId="27930"/>
    <cellStyle name="Normal 3 2 2 2 2 3 2 2 2 2 3" xfId="27931"/>
    <cellStyle name="Normal 3 2 2 2 2 3 2 2 2 2 3 2" xfId="27932"/>
    <cellStyle name="Normal 3 2 2 2 2 3 2 2 2 2 4" xfId="27933"/>
    <cellStyle name="Normal 3 2 2 2 2 3 2 2 2 2 4 2" xfId="27934"/>
    <cellStyle name="Normal 3 2 2 2 2 3 2 2 2 2 5" xfId="27935"/>
    <cellStyle name="Normal 3 2 2 2 2 3 2 2 2 2 6" xfId="27936"/>
    <cellStyle name="Normal 3 2 2 2 2 3 2 2 2 3" xfId="27937"/>
    <cellStyle name="Normal 3 2 2 2 2 3 2 2 2 3 2" xfId="27938"/>
    <cellStyle name="Normal 3 2 2 2 2 3 2 2 2 3 2 2" xfId="27939"/>
    <cellStyle name="Normal 3 2 2 2 2 3 2 2 2 3 3" xfId="27940"/>
    <cellStyle name="Normal 3 2 2 2 2 3 2 2 2 3 3 2" xfId="27941"/>
    <cellStyle name="Normal 3 2 2 2 2 3 2 2 2 3 4" xfId="27942"/>
    <cellStyle name="Normal 3 2 2 2 2 3 2 2 2 3 4 2" xfId="27943"/>
    <cellStyle name="Normal 3 2 2 2 2 3 2 2 2 3 5" xfId="27944"/>
    <cellStyle name="Normal 3 2 2 2 2 3 2 2 2 3 6" xfId="27945"/>
    <cellStyle name="Normal 3 2 2 2 2 3 2 2 2 4" xfId="27946"/>
    <cellStyle name="Normal 3 2 2 2 2 3 2 2 2 4 2" xfId="27947"/>
    <cellStyle name="Normal 3 2 2 2 2 3 2 2 2 4 2 2" xfId="27948"/>
    <cellStyle name="Normal 3 2 2 2 2 3 2 2 2 4 3" xfId="27949"/>
    <cellStyle name="Normal 3 2 2 2 2 3 2 2 2 4 3 2" xfId="27950"/>
    <cellStyle name="Normal 3 2 2 2 2 3 2 2 2 4 4" xfId="27951"/>
    <cellStyle name="Normal 3 2 2 2 2 3 2 2 2 4 4 2" xfId="27952"/>
    <cellStyle name="Normal 3 2 2 2 2 3 2 2 2 4 5" xfId="27953"/>
    <cellStyle name="Normal 3 2 2 2 2 3 2 2 2 4 6" xfId="27954"/>
    <cellStyle name="Normal 3 2 2 2 2 3 2 2 2 5" xfId="27955"/>
    <cellStyle name="Normal 3 2 2 2 2 3 2 2 2 5 2" xfId="27956"/>
    <cellStyle name="Normal 3 2 2 2 2 3 2 2 2 5 2 2" xfId="27957"/>
    <cellStyle name="Normal 3 2 2 2 2 3 2 2 2 5 3" xfId="27958"/>
    <cellStyle name="Normal 3 2 2 2 2 3 2 2 2 5 3 2" xfId="27959"/>
    <cellStyle name="Normal 3 2 2 2 2 3 2 2 2 5 4" xfId="27960"/>
    <cellStyle name="Normal 3 2 2 2 2 3 2 2 2 5 4 2" xfId="27961"/>
    <cellStyle name="Normal 3 2 2 2 2 3 2 2 2 5 5" xfId="27962"/>
    <cellStyle name="Normal 3 2 2 2 2 3 2 2 2 5 6" xfId="27963"/>
    <cellStyle name="Normal 3 2 2 2 2 3 2 2 2 6" xfId="27964"/>
    <cellStyle name="Normal 3 2 2 2 2 3 2 2 2 6 2" xfId="27965"/>
    <cellStyle name="Normal 3 2 2 2 2 3 2 2 2 6 2 2" xfId="27966"/>
    <cellStyle name="Normal 3 2 2 2 2 3 2 2 2 6 3" xfId="27967"/>
    <cellStyle name="Normal 3 2 2 2 2 3 2 2 2 6 3 2" xfId="27968"/>
    <cellStyle name="Normal 3 2 2 2 2 3 2 2 2 6 4" xfId="27969"/>
    <cellStyle name="Normal 3 2 2 2 2 3 2 2 2 6 5" xfId="27970"/>
    <cellStyle name="Normal 3 2 2 2 2 3 2 2 2 7" xfId="27971"/>
    <cellStyle name="Normal 3 2 2 2 2 3 2 2 2 7 2" xfId="27972"/>
    <cellStyle name="Normal 3 2 2 2 2 3 2 2 2 8" xfId="27973"/>
    <cellStyle name="Normal 3 2 2 2 2 3 2 2 2 8 2" xfId="27974"/>
    <cellStyle name="Normal 3 2 2 2 2 3 2 2 2 9" xfId="27975"/>
    <cellStyle name="Normal 3 2 2 2 2 3 2 2 2 9 2" xfId="27976"/>
    <cellStyle name="Normal 3 2 2 2 2 3 2 2 3" xfId="2545"/>
    <cellStyle name="Normal 3 2 2 2 2 3 2 2 3 10" xfId="27978"/>
    <cellStyle name="Normal 3 2 2 2 2 3 2 2 3 11" xfId="27977"/>
    <cellStyle name="Normal 3 2 2 2 2 3 2 2 3 2" xfId="27979"/>
    <cellStyle name="Normal 3 2 2 2 2 3 2 2 3 2 2" xfId="27980"/>
    <cellStyle name="Normal 3 2 2 2 2 3 2 2 3 2 2 2" xfId="27981"/>
    <cellStyle name="Normal 3 2 2 2 2 3 2 2 3 2 3" xfId="27982"/>
    <cellStyle name="Normal 3 2 2 2 2 3 2 2 3 2 3 2" xfId="27983"/>
    <cellStyle name="Normal 3 2 2 2 2 3 2 2 3 2 4" xfId="27984"/>
    <cellStyle name="Normal 3 2 2 2 2 3 2 2 3 2 4 2" xfId="27985"/>
    <cellStyle name="Normal 3 2 2 2 2 3 2 2 3 2 5" xfId="27986"/>
    <cellStyle name="Normal 3 2 2 2 2 3 2 2 3 2 6" xfId="27987"/>
    <cellStyle name="Normal 3 2 2 2 2 3 2 2 3 3" xfId="27988"/>
    <cellStyle name="Normal 3 2 2 2 2 3 2 2 3 3 2" xfId="27989"/>
    <cellStyle name="Normal 3 2 2 2 2 3 2 2 3 3 2 2" xfId="27990"/>
    <cellStyle name="Normal 3 2 2 2 2 3 2 2 3 3 3" xfId="27991"/>
    <cellStyle name="Normal 3 2 2 2 2 3 2 2 3 3 3 2" xfId="27992"/>
    <cellStyle name="Normal 3 2 2 2 2 3 2 2 3 3 4" xfId="27993"/>
    <cellStyle name="Normal 3 2 2 2 2 3 2 2 3 3 4 2" xfId="27994"/>
    <cellStyle name="Normal 3 2 2 2 2 3 2 2 3 3 5" xfId="27995"/>
    <cellStyle name="Normal 3 2 2 2 2 3 2 2 3 3 6" xfId="27996"/>
    <cellStyle name="Normal 3 2 2 2 2 3 2 2 3 4" xfId="27997"/>
    <cellStyle name="Normal 3 2 2 2 2 3 2 2 3 4 2" xfId="27998"/>
    <cellStyle name="Normal 3 2 2 2 2 3 2 2 3 4 2 2" xfId="27999"/>
    <cellStyle name="Normal 3 2 2 2 2 3 2 2 3 4 3" xfId="28000"/>
    <cellStyle name="Normal 3 2 2 2 2 3 2 2 3 4 3 2" xfId="28001"/>
    <cellStyle name="Normal 3 2 2 2 2 3 2 2 3 4 4" xfId="28002"/>
    <cellStyle name="Normal 3 2 2 2 2 3 2 2 3 4 4 2" xfId="28003"/>
    <cellStyle name="Normal 3 2 2 2 2 3 2 2 3 4 5" xfId="28004"/>
    <cellStyle name="Normal 3 2 2 2 2 3 2 2 3 4 6" xfId="28005"/>
    <cellStyle name="Normal 3 2 2 2 2 3 2 2 3 5" xfId="28006"/>
    <cellStyle name="Normal 3 2 2 2 2 3 2 2 3 5 2" xfId="28007"/>
    <cellStyle name="Normal 3 2 2 2 2 3 2 2 3 5 2 2" xfId="28008"/>
    <cellStyle name="Normal 3 2 2 2 2 3 2 2 3 5 3" xfId="28009"/>
    <cellStyle name="Normal 3 2 2 2 2 3 2 2 3 5 3 2" xfId="28010"/>
    <cellStyle name="Normal 3 2 2 2 2 3 2 2 3 5 4" xfId="28011"/>
    <cellStyle name="Normal 3 2 2 2 2 3 2 2 3 5 5" xfId="28012"/>
    <cellStyle name="Normal 3 2 2 2 2 3 2 2 3 6" xfId="28013"/>
    <cellStyle name="Normal 3 2 2 2 2 3 2 2 3 6 2" xfId="28014"/>
    <cellStyle name="Normal 3 2 2 2 2 3 2 2 3 7" xfId="28015"/>
    <cellStyle name="Normal 3 2 2 2 2 3 2 2 3 7 2" xfId="28016"/>
    <cellStyle name="Normal 3 2 2 2 2 3 2 2 3 8" xfId="28017"/>
    <cellStyle name="Normal 3 2 2 2 2 3 2 2 3 8 2" xfId="28018"/>
    <cellStyle name="Normal 3 2 2 2 2 3 2 2 3 9" xfId="28019"/>
    <cellStyle name="Normal 3 2 2 2 2 3 2 2 4" xfId="28020"/>
    <cellStyle name="Normal 3 2 2 2 2 3 2 2 4 10" xfId="28021"/>
    <cellStyle name="Normal 3 2 2 2 2 3 2 2 4 2" xfId="28022"/>
    <cellStyle name="Normal 3 2 2 2 2 3 2 2 4 2 2" xfId="28023"/>
    <cellStyle name="Normal 3 2 2 2 2 3 2 2 4 2 2 2" xfId="28024"/>
    <cellStyle name="Normal 3 2 2 2 2 3 2 2 4 2 3" xfId="28025"/>
    <cellStyle name="Normal 3 2 2 2 2 3 2 2 4 2 3 2" xfId="28026"/>
    <cellStyle name="Normal 3 2 2 2 2 3 2 2 4 2 4" xfId="28027"/>
    <cellStyle name="Normal 3 2 2 2 2 3 2 2 4 2 4 2" xfId="28028"/>
    <cellStyle name="Normal 3 2 2 2 2 3 2 2 4 2 5" xfId="28029"/>
    <cellStyle name="Normal 3 2 2 2 2 3 2 2 4 2 6" xfId="28030"/>
    <cellStyle name="Normal 3 2 2 2 2 3 2 2 4 3" xfId="28031"/>
    <cellStyle name="Normal 3 2 2 2 2 3 2 2 4 3 2" xfId="28032"/>
    <cellStyle name="Normal 3 2 2 2 2 3 2 2 4 3 2 2" xfId="28033"/>
    <cellStyle name="Normal 3 2 2 2 2 3 2 2 4 3 3" xfId="28034"/>
    <cellStyle name="Normal 3 2 2 2 2 3 2 2 4 3 3 2" xfId="28035"/>
    <cellStyle name="Normal 3 2 2 2 2 3 2 2 4 3 4" xfId="28036"/>
    <cellStyle name="Normal 3 2 2 2 2 3 2 2 4 3 4 2" xfId="28037"/>
    <cellStyle name="Normal 3 2 2 2 2 3 2 2 4 3 5" xfId="28038"/>
    <cellStyle name="Normal 3 2 2 2 2 3 2 2 4 3 6" xfId="28039"/>
    <cellStyle name="Normal 3 2 2 2 2 3 2 2 4 4" xfId="28040"/>
    <cellStyle name="Normal 3 2 2 2 2 3 2 2 4 4 2" xfId="28041"/>
    <cellStyle name="Normal 3 2 2 2 2 3 2 2 4 4 2 2" xfId="28042"/>
    <cellStyle name="Normal 3 2 2 2 2 3 2 2 4 4 3" xfId="28043"/>
    <cellStyle name="Normal 3 2 2 2 2 3 2 2 4 4 3 2" xfId="28044"/>
    <cellStyle name="Normal 3 2 2 2 2 3 2 2 4 4 4" xfId="28045"/>
    <cellStyle name="Normal 3 2 2 2 2 3 2 2 4 4 4 2" xfId="28046"/>
    <cellStyle name="Normal 3 2 2 2 2 3 2 2 4 4 5" xfId="28047"/>
    <cellStyle name="Normal 3 2 2 2 2 3 2 2 4 4 6" xfId="28048"/>
    <cellStyle name="Normal 3 2 2 2 2 3 2 2 4 5" xfId="28049"/>
    <cellStyle name="Normal 3 2 2 2 2 3 2 2 4 5 2" xfId="28050"/>
    <cellStyle name="Normal 3 2 2 2 2 3 2 2 4 5 2 2" xfId="28051"/>
    <cellStyle name="Normal 3 2 2 2 2 3 2 2 4 5 3" xfId="28052"/>
    <cellStyle name="Normal 3 2 2 2 2 3 2 2 4 5 3 2" xfId="28053"/>
    <cellStyle name="Normal 3 2 2 2 2 3 2 2 4 5 4" xfId="28054"/>
    <cellStyle name="Normal 3 2 2 2 2 3 2 2 4 5 5" xfId="28055"/>
    <cellStyle name="Normal 3 2 2 2 2 3 2 2 4 6" xfId="28056"/>
    <cellStyle name="Normal 3 2 2 2 2 3 2 2 4 6 2" xfId="28057"/>
    <cellStyle name="Normal 3 2 2 2 2 3 2 2 4 7" xfId="28058"/>
    <cellStyle name="Normal 3 2 2 2 2 3 2 2 4 7 2" xfId="28059"/>
    <cellStyle name="Normal 3 2 2 2 2 3 2 2 4 8" xfId="28060"/>
    <cellStyle name="Normal 3 2 2 2 2 3 2 2 4 8 2" xfId="28061"/>
    <cellStyle name="Normal 3 2 2 2 2 3 2 2 4 9" xfId="28062"/>
    <cellStyle name="Normal 3 2 2 2 2 3 2 2 5" xfId="28063"/>
    <cellStyle name="Normal 3 2 2 2 2 3 2 2 5 2" xfId="28064"/>
    <cellStyle name="Normal 3 2 2 2 2 3 2 2 5 2 2" xfId="28065"/>
    <cellStyle name="Normal 3 2 2 2 2 3 2 2 5 3" xfId="28066"/>
    <cellStyle name="Normal 3 2 2 2 2 3 2 2 5 3 2" xfId="28067"/>
    <cellStyle name="Normal 3 2 2 2 2 3 2 2 5 4" xfId="28068"/>
    <cellStyle name="Normal 3 2 2 2 2 3 2 2 5 4 2" xfId="28069"/>
    <cellStyle name="Normal 3 2 2 2 2 3 2 2 5 5" xfId="28070"/>
    <cellStyle name="Normal 3 2 2 2 2 3 2 2 5 6" xfId="28071"/>
    <cellStyle name="Normal 3 2 2 2 2 3 2 2 6" xfId="28072"/>
    <cellStyle name="Normal 3 2 2 2 2 3 2 2 6 2" xfId="28073"/>
    <cellStyle name="Normal 3 2 2 2 2 3 2 2 6 2 2" xfId="28074"/>
    <cellStyle name="Normal 3 2 2 2 2 3 2 2 6 3" xfId="28075"/>
    <cellStyle name="Normal 3 2 2 2 2 3 2 2 6 3 2" xfId="28076"/>
    <cellStyle name="Normal 3 2 2 2 2 3 2 2 6 4" xfId="28077"/>
    <cellStyle name="Normal 3 2 2 2 2 3 2 2 6 4 2" xfId="28078"/>
    <cellStyle name="Normal 3 2 2 2 2 3 2 2 6 5" xfId="28079"/>
    <cellStyle name="Normal 3 2 2 2 2 3 2 2 6 6" xfId="28080"/>
    <cellStyle name="Normal 3 2 2 2 2 3 2 2 7" xfId="28081"/>
    <cellStyle name="Normal 3 2 2 2 2 3 2 2 7 2" xfId="28082"/>
    <cellStyle name="Normal 3 2 2 2 2 3 2 2 7 2 2" xfId="28083"/>
    <cellStyle name="Normal 3 2 2 2 2 3 2 2 7 3" xfId="28084"/>
    <cellStyle name="Normal 3 2 2 2 2 3 2 2 7 3 2" xfId="28085"/>
    <cellStyle name="Normal 3 2 2 2 2 3 2 2 7 4" xfId="28086"/>
    <cellStyle name="Normal 3 2 2 2 2 3 2 2 7 4 2" xfId="28087"/>
    <cellStyle name="Normal 3 2 2 2 2 3 2 2 7 5" xfId="28088"/>
    <cellStyle name="Normal 3 2 2 2 2 3 2 2 7 6" xfId="28089"/>
    <cellStyle name="Normal 3 2 2 2 2 3 2 2 8" xfId="28090"/>
    <cellStyle name="Normal 3 2 2 2 2 3 2 2 8 2" xfId="28091"/>
    <cellStyle name="Normal 3 2 2 2 2 3 2 2 8 2 2" xfId="28092"/>
    <cellStyle name="Normal 3 2 2 2 2 3 2 2 8 3" xfId="28093"/>
    <cellStyle name="Normal 3 2 2 2 2 3 2 2 8 3 2" xfId="28094"/>
    <cellStyle name="Normal 3 2 2 2 2 3 2 2 8 4" xfId="28095"/>
    <cellStyle name="Normal 3 2 2 2 2 3 2 2 8 5" xfId="28096"/>
    <cellStyle name="Normal 3 2 2 2 2 3 2 2 9" xfId="28097"/>
    <cellStyle name="Normal 3 2 2 2 2 3 2 2 9 2" xfId="28098"/>
    <cellStyle name="Normal 3 2 2 2 2 3 2 3" xfId="2546"/>
    <cellStyle name="Normal 3 2 2 2 2 3 2 3 10" xfId="28100"/>
    <cellStyle name="Normal 3 2 2 2 2 3 2 3 10 2" xfId="28101"/>
    <cellStyle name="Normal 3 2 2 2 2 3 2 3 11" xfId="28102"/>
    <cellStyle name="Normal 3 2 2 2 2 3 2 3 11 2" xfId="28103"/>
    <cellStyle name="Normal 3 2 2 2 2 3 2 3 12" xfId="28104"/>
    <cellStyle name="Normal 3 2 2 2 2 3 2 3 13" xfId="28105"/>
    <cellStyle name="Normal 3 2 2 2 2 3 2 3 14" xfId="28099"/>
    <cellStyle name="Normal 3 2 2 2 2 3 2 3 2" xfId="2547"/>
    <cellStyle name="Normal 3 2 2 2 2 3 2 3 2 10" xfId="28107"/>
    <cellStyle name="Normal 3 2 2 2 2 3 2 3 2 11" xfId="28108"/>
    <cellStyle name="Normal 3 2 2 2 2 3 2 3 2 12" xfId="28106"/>
    <cellStyle name="Normal 3 2 2 2 2 3 2 3 2 2" xfId="28109"/>
    <cellStyle name="Normal 3 2 2 2 2 3 2 3 2 2 2" xfId="28110"/>
    <cellStyle name="Normal 3 2 2 2 2 3 2 3 2 2 2 2" xfId="28111"/>
    <cellStyle name="Normal 3 2 2 2 2 3 2 3 2 2 3" xfId="28112"/>
    <cellStyle name="Normal 3 2 2 2 2 3 2 3 2 2 3 2" xfId="28113"/>
    <cellStyle name="Normal 3 2 2 2 2 3 2 3 2 2 4" xfId="28114"/>
    <cellStyle name="Normal 3 2 2 2 2 3 2 3 2 2 4 2" xfId="28115"/>
    <cellStyle name="Normal 3 2 2 2 2 3 2 3 2 2 5" xfId="28116"/>
    <cellStyle name="Normal 3 2 2 2 2 3 2 3 2 2 6" xfId="28117"/>
    <cellStyle name="Normal 3 2 2 2 2 3 2 3 2 3" xfId="28118"/>
    <cellStyle name="Normal 3 2 2 2 2 3 2 3 2 3 2" xfId="28119"/>
    <cellStyle name="Normal 3 2 2 2 2 3 2 3 2 3 2 2" xfId="28120"/>
    <cellStyle name="Normal 3 2 2 2 2 3 2 3 2 3 3" xfId="28121"/>
    <cellStyle name="Normal 3 2 2 2 2 3 2 3 2 3 3 2" xfId="28122"/>
    <cellStyle name="Normal 3 2 2 2 2 3 2 3 2 3 4" xfId="28123"/>
    <cellStyle name="Normal 3 2 2 2 2 3 2 3 2 3 4 2" xfId="28124"/>
    <cellStyle name="Normal 3 2 2 2 2 3 2 3 2 3 5" xfId="28125"/>
    <cellStyle name="Normal 3 2 2 2 2 3 2 3 2 3 6" xfId="28126"/>
    <cellStyle name="Normal 3 2 2 2 2 3 2 3 2 4" xfId="28127"/>
    <cellStyle name="Normal 3 2 2 2 2 3 2 3 2 4 2" xfId="28128"/>
    <cellStyle name="Normal 3 2 2 2 2 3 2 3 2 4 2 2" xfId="28129"/>
    <cellStyle name="Normal 3 2 2 2 2 3 2 3 2 4 3" xfId="28130"/>
    <cellStyle name="Normal 3 2 2 2 2 3 2 3 2 4 3 2" xfId="28131"/>
    <cellStyle name="Normal 3 2 2 2 2 3 2 3 2 4 4" xfId="28132"/>
    <cellStyle name="Normal 3 2 2 2 2 3 2 3 2 4 4 2" xfId="28133"/>
    <cellStyle name="Normal 3 2 2 2 2 3 2 3 2 4 5" xfId="28134"/>
    <cellStyle name="Normal 3 2 2 2 2 3 2 3 2 4 6" xfId="28135"/>
    <cellStyle name="Normal 3 2 2 2 2 3 2 3 2 5" xfId="28136"/>
    <cellStyle name="Normal 3 2 2 2 2 3 2 3 2 5 2" xfId="28137"/>
    <cellStyle name="Normal 3 2 2 2 2 3 2 3 2 5 2 2" xfId="28138"/>
    <cellStyle name="Normal 3 2 2 2 2 3 2 3 2 5 3" xfId="28139"/>
    <cellStyle name="Normal 3 2 2 2 2 3 2 3 2 5 3 2" xfId="28140"/>
    <cellStyle name="Normal 3 2 2 2 2 3 2 3 2 5 4" xfId="28141"/>
    <cellStyle name="Normal 3 2 2 2 2 3 2 3 2 5 4 2" xfId="28142"/>
    <cellStyle name="Normal 3 2 2 2 2 3 2 3 2 5 5" xfId="28143"/>
    <cellStyle name="Normal 3 2 2 2 2 3 2 3 2 5 6" xfId="28144"/>
    <cellStyle name="Normal 3 2 2 2 2 3 2 3 2 6" xfId="28145"/>
    <cellStyle name="Normal 3 2 2 2 2 3 2 3 2 6 2" xfId="28146"/>
    <cellStyle name="Normal 3 2 2 2 2 3 2 3 2 6 2 2" xfId="28147"/>
    <cellStyle name="Normal 3 2 2 2 2 3 2 3 2 6 3" xfId="28148"/>
    <cellStyle name="Normal 3 2 2 2 2 3 2 3 2 6 3 2" xfId="28149"/>
    <cellStyle name="Normal 3 2 2 2 2 3 2 3 2 6 4" xfId="28150"/>
    <cellStyle name="Normal 3 2 2 2 2 3 2 3 2 6 5" xfId="28151"/>
    <cellStyle name="Normal 3 2 2 2 2 3 2 3 2 7" xfId="28152"/>
    <cellStyle name="Normal 3 2 2 2 2 3 2 3 2 7 2" xfId="28153"/>
    <cellStyle name="Normal 3 2 2 2 2 3 2 3 2 8" xfId="28154"/>
    <cellStyle name="Normal 3 2 2 2 2 3 2 3 2 8 2" xfId="28155"/>
    <cellStyle name="Normal 3 2 2 2 2 3 2 3 2 9" xfId="28156"/>
    <cellStyle name="Normal 3 2 2 2 2 3 2 3 2 9 2" xfId="28157"/>
    <cellStyle name="Normal 3 2 2 2 2 3 2 3 3" xfId="28158"/>
    <cellStyle name="Normal 3 2 2 2 2 3 2 3 3 10" xfId="28159"/>
    <cellStyle name="Normal 3 2 2 2 2 3 2 3 3 2" xfId="28160"/>
    <cellStyle name="Normal 3 2 2 2 2 3 2 3 3 2 2" xfId="28161"/>
    <cellStyle name="Normal 3 2 2 2 2 3 2 3 3 2 2 2" xfId="28162"/>
    <cellStyle name="Normal 3 2 2 2 2 3 2 3 3 2 3" xfId="28163"/>
    <cellStyle name="Normal 3 2 2 2 2 3 2 3 3 2 3 2" xfId="28164"/>
    <cellStyle name="Normal 3 2 2 2 2 3 2 3 3 2 4" xfId="28165"/>
    <cellStyle name="Normal 3 2 2 2 2 3 2 3 3 2 4 2" xfId="28166"/>
    <cellStyle name="Normal 3 2 2 2 2 3 2 3 3 2 5" xfId="28167"/>
    <cellStyle name="Normal 3 2 2 2 2 3 2 3 3 2 6" xfId="28168"/>
    <cellStyle name="Normal 3 2 2 2 2 3 2 3 3 3" xfId="28169"/>
    <cellStyle name="Normal 3 2 2 2 2 3 2 3 3 3 2" xfId="28170"/>
    <cellStyle name="Normal 3 2 2 2 2 3 2 3 3 3 2 2" xfId="28171"/>
    <cellStyle name="Normal 3 2 2 2 2 3 2 3 3 3 3" xfId="28172"/>
    <cellStyle name="Normal 3 2 2 2 2 3 2 3 3 3 3 2" xfId="28173"/>
    <cellStyle name="Normal 3 2 2 2 2 3 2 3 3 3 4" xfId="28174"/>
    <cellStyle name="Normal 3 2 2 2 2 3 2 3 3 3 4 2" xfId="28175"/>
    <cellStyle name="Normal 3 2 2 2 2 3 2 3 3 3 5" xfId="28176"/>
    <cellStyle name="Normal 3 2 2 2 2 3 2 3 3 3 6" xfId="28177"/>
    <cellStyle name="Normal 3 2 2 2 2 3 2 3 3 4" xfId="28178"/>
    <cellStyle name="Normal 3 2 2 2 2 3 2 3 3 4 2" xfId="28179"/>
    <cellStyle name="Normal 3 2 2 2 2 3 2 3 3 4 2 2" xfId="28180"/>
    <cellStyle name="Normal 3 2 2 2 2 3 2 3 3 4 3" xfId="28181"/>
    <cellStyle name="Normal 3 2 2 2 2 3 2 3 3 4 3 2" xfId="28182"/>
    <cellStyle name="Normal 3 2 2 2 2 3 2 3 3 4 4" xfId="28183"/>
    <cellStyle name="Normal 3 2 2 2 2 3 2 3 3 4 4 2" xfId="28184"/>
    <cellStyle name="Normal 3 2 2 2 2 3 2 3 3 4 5" xfId="28185"/>
    <cellStyle name="Normal 3 2 2 2 2 3 2 3 3 4 6" xfId="28186"/>
    <cellStyle name="Normal 3 2 2 2 2 3 2 3 3 5" xfId="28187"/>
    <cellStyle name="Normal 3 2 2 2 2 3 2 3 3 5 2" xfId="28188"/>
    <cellStyle name="Normal 3 2 2 2 2 3 2 3 3 5 2 2" xfId="28189"/>
    <cellStyle name="Normal 3 2 2 2 2 3 2 3 3 5 3" xfId="28190"/>
    <cellStyle name="Normal 3 2 2 2 2 3 2 3 3 5 3 2" xfId="28191"/>
    <cellStyle name="Normal 3 2 2 2 2 3 2 3 3 5 4" xfId="28192"/>
    <cellStyle name="Normal 3 2 2 2 2 3 2 3 3 5 5" xfId="28193"/>
    <cellStyle name="Normal 3 2 2 2 2 3 2 3 3 6" xfId="28194"/>
    <cellStyle name="Normal 3 2 2 2 2 3 2 3 3 6 2" xfId="28195"/>
    <cellStyle name="Normal 3 2 2 2 2 3 2 3 3 7" xfId="28196"/>
    <cellStyle name="Normal 3 2 2 2 2 3 2 3 3 7 2" xfId="28197"/>
    <cellStyle name="Normal 3 2 2 2 2 3 2 3 3 8" xfId="28198"/>
    <cellStyle name="Normal 3 2 2 2 2 3 2 3 3 8 2" xfId="28199"/>
    <cellStyle name="Normal 3 2 2 2 2 3 2 3 3 9" xfId="28200"/>
    <cellStyle name="Normal 3 2 2 2 2 3 2 3 4" xfId="28201"/>
    <cellStyle name="Normal 3 2 2 2 2 3 2 3 4 10" xfId="28202"/>
    <cellStyle name="Normal 3 2 2 2 2 3 2 3 4 2" xfId="28203"/>
    <cellStyle name="Normal 3 2 2 2 2 3 2 3 4 2 2" xfId="28204"/>
    <cellStyle name="Normal 3 2 2 2 2 3 2 3 4 2 2 2" xfId="28205"/>
    <cellStyle name="Normal 3 2 2 2 2 3 2 3 4 2 3" xfId="28206"/>
    <cellStyle name="Normal 3 2 2 2 2 3 2 3 4 2 3 2" xfId="28207"/>
    <cellStyle name="Normal 3 2 2 2 2 3 2 3 4 2 4" xfId="28208"/>
    <cellStyle name="Normal 3 2 2 2 2 3 2 3 4 2 4 2" xfId="28209"/>
    <cellStyle name="Normal 3 2 2 2 2 3 2 3 4 2 5" xfId="28210"/>
    <cellStyle name="Normal 3 2 2 2 2 3 2 3 4 2 6" xfId="28211"/>
    <cellStyle name="Normal 3 2 2 2 2 3 2 3 4 3" xfId="28212"/>
    <cellStyle name="Normal 3 2 2 2 2 3 2 3 4 3 2" xfId="28213"/>
    <cellStyle name="Normal 3 2 2 2 2 3 2 3 4 3 2 2" xfId="28214"/>
    <cellStyle name="Normal 3 2 2 2 2 3 2 3 4 3 3" xfId="28215"/>
    <cellStyle name="Normal 3 2 2 2 2 3 2 3 4 3 3 2" xfId="28216"/>
    <cellStyle name="Normal 3 2 2 2 2 3 2 3 4 3 4" xfId="28217"/>
    <cellStyle name="Normal 3 2 2 2 2 3 2 3 4 3 4 2" xfId="28218"/>
    <cellStyle name="Normal 3 2 2 2 2 3 2 3 4 3 5" xfId="28219"/>
    <cellStyle name="Normal 3 2 2 2 2 3 2 3 4 3 6" xfId="28220"/>
    <cellStyle name="Normal 3 2 2 2 2 3 2 3 4 4" xfId="28221"/>
    <cellStyle name="Normal 3 2 2 2 2 3 2 3 4 4 2" xfId="28222"/>
    <cellStyle name="Normal 3 2 2 2 2 3 2 3 4 4 2 2" xfId="28223"/>
    <cellStyle name="Normal 3 2 2 2 2 3 2 3 4 4 3" xfId="28224"/>
    <cellStyle name="Normal 3 2 2 2 2 3 2 3 4 4 3 2" xfId="28225"/>
    <cellStyle name="Normal 3 2 2 2 2 3 2 3 4 4 4" xfId="28226"/>
    <cellStyle name="Normal 3 2 2 2 2 3 2 3 4 4 4 2" xfId="28227"/>
    <cellStyle name="Normal 3 2 2 2 2 3 2 3 4 4 5" xfId="28228"/>
    <cellStyle name="Normal 3 2 2 2 2 3 2 3 4 4 6" xfId="28229"/>
    <cellStyle name="Normal 3 2 2 2 2 3 2 3 4 5" xfId="28230"/>
    <cellStyle name="Normal 3 2 2 2 2 3 2 3 4 5 2" xfId="28231"/>
    <cellStyle name="Normal 3 2 2 2 2 3 2 3 4 5 2 2" xfId="28232"/>
    <cellStyle name="Normal 3 2 2 2 2 3 2 3 4 5 3" xfId="28233"/>
    <cellStyle name="Normal 3 2 2 2 2 3 2 3 4 5 3 2" xfId="28234"/>
    <cellStyle name="Normal 3 2 2 2 2 3 2 3 4 5 4" xfId="28235"/>
    <cellStyle name="Normal 3 2 2 2 2 3 2 3 4 5 5" xfId="28236"/>
    <cellStyle name="Normal 3 2 2 2 2 3 2 3 4 6" xfId="28237"/>
    <cellStyle name="Normal 3 2 2 2 2 3 2 3 4 6 2" xfId="28238"/>
    <cellStyle name="Normal 3 2 2 2 2 3 2 3 4 7" xfId="28239"/>
    <cellStyle name="Normal 3 2 2 2 2 3 2 3 4 7 2" xfId="28240"/>
    <cellStyle name="Normal 3 2 2 2 2 3 2 3 4 8" xfId="28241"/>
    <cellStyle name="Normal 3 2 2 2 2 3 2 3 4 8 2" xfId="28242"/>
    <cellStyle name="Normal 3 2 2 2 2 3 2 3 4 9" xfId="28243"/>
    <cellStyle name="Normal 3 2 2 2 2 3 2 3 5" xfId="28244"/>
    <cellStyle name="Normal 3 2 2 2 2 3 2 3 5 2" xfId="28245"/>
    <cellStyle name="Normal 3 2 2 2 2 3 2 3 5 2 2" xfId="28246"/>
    <cellStyle name="Normal 3 2 2 2 2 3 2 3 5 3" xfId="28247"/>
    <cellStyle name="Normal 3 2 2 2 2 3 2 3 5 3 2" xfId="28248"/>
    <cellStyle name="Normal 3 2 2 2 2 3 2 3 5 4" xfId="28249"/>
    <cellStyle name="Normal 3 2 2 2 2 3 2 3 5 4 2" xfId="28250"/>
    <cellStyle name="Normal 3 2 2 2 2 3 2 3 5 5" xfId="28251"/>
    <cellStyle name="Normal 3 2 2 2 2 3 2 3 5 6" xfId="28252"/>
    <cellStyle name="Normal 3 2 2 2 2 3 2 3 6" xfId="28253"/>
    <cellStyle name="Normal 3 2 2 2 2 3 2 3 6 2" xfId="28254"/>
    <cellStyle name="Normal 3 2 2 2 2 3 2 3 6 2 2" xfId="28255"/>
    <cellStyle name="Normal 3 2 2 2 2 3 2 3 6 3" xfId="28256"/>
    <cellStyle name="Normal 3 2 2 2 2 3 2 3 6 3 2" xfId="28257"/>
    <cellStyle name="Normal 3 2 2 2 2 3 2 3 6 4" xfId="28258"/>
    <cellStyle name="Normal 3 2 2 2 2 3 2 3 6 4 2" xfId="28259"/>
    <cellStyle name="Normal 3 2 2 2 2 3 2 3 6 5" xfId="28260"/>
    <cellStyle name="Normal 3 2 2 2 2 3 2 3 6 6" xfId="28261"/>
    <cellStyle name="Normal 3 2 2 2 2 3 2 3 7" xfId="28262"/>
    <cellStyle name="Normal 3 2 2 2 2 3 2 3 7 2" xfId="28263"/>
    <cellStyle name="Normal 3 2 2 2 2 3 2 3 7 2 2" xfId="28264"/>
    <cellStyle name="Normal 3 2 2 2 2 3 2 3 7 3" xfId="28265"/>
    <cellStyle name="Normal 3 2 2 2 2 3 2 3 7 3 2" xfId="28266"/>
    <cellStyle name="Normal 3 2 2 2 2 3 2 3 7 4" xfId="28267"/>
    <cellStyle name="Normal 3 2 2 2 2 3 2 3 7 4 2" xfId="28268"/>
    <cellStyle name="Normal 3 2 2 2 2 3 2 3 7 5" xfId="28269"/>
    <cellStyle name="Normal 3 2 2 2 2 3 2 3 7 6" xfId="28270"/>
    <cellStyle name="Normal 3 2 2 2 2 3 2 3 8" xfId="28271"/>
    <cellStyle name="Normal 3 2 2 2 2 3 2 3 8 2" xfId="28272"/>
    <cellStyle name="Normal 3 2 2 2 2 3 2 3 8 2 2" xfId="28273"/>
    <cellStyle name="Normal 3 2 2 2 2 3 2 3 8 3" xfId="28274"/>
    <cellStyle name="Normal 3 2 2 2 2 3 2 3 8 3 2" xfId="28275"/>
    <cellStyle name="Normal 3 2 2 2 2 3 2 3 8 4" xfId="28276"/>
    <cellStyle name="Normal 3 2 2 2 2 3 2 3 8 5" xfId="28277"/>
    <cellStyle name="Normal 3 2 2 2 2 3 2 3 9" xfId="28278"/>
    <cellStyle name="Normal 3 2 2 2 2 3 2 3 9 2" xfId="28279"/>
    <cellStyle name="Normal 3 2 2 2 2 3 2 4" xfId="2548"/>
    <cellStyle name="Normal 3 2 2 2 2 3 2 4 10" xfId="28281"/>
    <cellStyle name="Normal 3 2 2 2 2 3 2 4 10 2" xfId="28282"/>
    <cellStyle name="Normal 3 2 2 2 2 3 2 4 11" xfId="28283"/>
    <cellStyle name="Normal 3 2 2 2 2 3 2 4 12" xfId="28284"/>
    <cellStyle name="Normal 3 2 2 2 2 3 2 4 13" xfId="28280"/>
    <cellStyle name="Normal 3 2 2 2 2 3 2 4 2" xfId="2549"/>
    <cellStyle name="Normal 3 2 2 2 2 3 2 4 2 10" xfId="28286"/>
    <cellStyle name="Normal 3 2 2 2 2 3 2 4 2 11" xfId="28285"/>
    <cellStyle name="Normal 3 2 2 2 2 3 2 4 2 2" xfId="28287"/>
    <cellStyle name="Normal 3 2 2 2 2 3 2 4 2 2 2" xfId="28288"/>
    <cellStyle name="Normal 3 2 2 2 2 3 2 4 2 2 2 2" xfId="28289"/>
    <cellStyle name="Normal 3 2 2 2 2 3 2 4 2 2 3" xfId="28290"/>
    <cellStyle name="Normal 3 2 2 2 2 3 2 4 2 2 3 2" xfId="28291"/>
    <cellStyle name="Normal 3 2 2 2 2 3 2 4 2 2 4" xfId="28292"/>
    <cellStyle name="Normal 3 2 2 2 2 3 2 4 2 2 4 2" xfId="28293"/>
    <cellStyle name="Normal 3 2 2 2 2 3 2 4 2 2 5" xfId="28294"/>
    <cellStyle name="Normal 3 2 2 2 2 3 2 4 2 2 6" xfId="28295"/>
    <cellStyle name="Normal 3 2 2 2 2 3 2 4 2 3" xfId="28296"/>
    <cellStyle name="Normal 3 2 2 2 2 3 2 4 2 3 2" xfId="28297"/>
    <cellStyle name="Normal 3 2 2 2 2 3 2 4 2 3 2 2" xfId="28298"/>
    <cellStyle name="Normal 3 2 2 2 2 3 2 4 2 3 3" xfId="28299"/>
    <cellStyle name="Normal 3 2 2 2 2 3 2 4 2 3 3 2" xfId="28300"/>
    <cellStyle name="Normal 3 2 2 2 2 3 2 4 2 3 4" xfId="28301"/>
    <cellStyle name="Normal 3 2 2 2 2 3 2 4 2 3 4 2" xfId="28302"/>
    <cellStyle name="Normal 3 2 2 2 2 3 2 4 2 3 5" xfId="28303"/>
    <cellStyle name="Normal 3 2 2 2 2 3 2 4 2 3 6" xfId="28304"/>
    <cellStyle name="Normal 3 2 2 2 2 3 2 4 2 4" xfId="28305"/>
    <cellStyle name="Normal 3 2 2 2 2 3 2 4 2 4 2" xfId="28306"/>
    <cellStyle name="Normal 3 2 2 2 2 3 2 4 2 4 2 2" xfId="28307"/>
    <cellStyle name="Normal 3 2 2 2 2 3 2 4 2 4 3" xfId="28308"/>
    <cellStyle name="Normal 3 2 2 2 2 3 2 4 2 4 3 2" xfId="28309"/>
    <cellStyle name="Normal 3 2 2 2 2 3 2 4 2 4 4" xfId="28310"/>
    <cellStyle name="Normal 3 2 2 2 2 3 2 4 2 4 4 2" xfId="28311"/>
    <cellStyle name="Normal 3 2 2 2 2 3 2 4 2 4 5" xfId="28312"/>
    <cellStyle name="Normal 3 2 2 2 2 3 2 4 2 4 6" xfId="28313"/>
    <cellStyle name="Normal 3 2 2 2 2 3 2 4 2 5" xfId="28314"/>
    <cellStyle name="Normal 3 2 2 2 2 3 2 4 2 5 2" xfId="28315"/>
    <cellStyle name="Normal 3 2 2 2 2 3 2 4 2 5 2 2" xfId="28316"/>
    <cellStyle name="Normal 3 2 2 2 2 3 2 4 2 5 3" xfId="28317"/>
    <cellStyle name="Normal 3 2 2 2 2 3 2 4 2 5 3 2" xfId="28318"/>
    <cellStyle name="Normal 3 2 2 2 2 3 2 4 2 5 4" xfId="28319"/>
    <cellStyle name="Normal 3 2 2 2 2 3 2 4 2 5 5" xfId="28320"/>
    <cellStyle name="Normal 3 2 2 2 2 3 2 4 2 6" xfId="28321"/>
    <cellStyle name="Normal 3 2 2 2 2 3 2 4 2 6 2" xfId="28322"/>
    <cellStyle name="Normal 3 2 2 2 2 3 2 4 2 7" xfId="28323"/>
    <cellStyle name="Normal 3 2 2 2 2 3 2 4 2 7 2" xfId="28324"/>
    <cellStyle name="Normal 3 2 2 2 2 3 2 4 2 8" xfId="28325"/>
    <cellStyle name="Normal 3 2 2 2 2 3 2 4 2 8 2" xfId="28326"/>
    <cellStyle name="Normal 3 2 2 2 2 3 2 4 2 9" xfId="28327"/>
    <cellStyle name="Normal 3 2 2 2 2 3 2 4 3" xfId="28328"/>
    <cellStyle name="Normal 3 2 2 2 2 3 2 4 3 10" xfId="28329"/>
    <cellStyle name="Normal 3 2 2 2 2 3 2 4 3 2" xfId="28330"/>
    <cellStyle name="Normal 3 2 2 2 2 3 2 4 3 2 2" xfId="28331"/>
    <cellStyle name="Normal 3 2 2 2 2 3 2 4 3 2 2 2" xfId="28332"/>
    <cellStyle name="Normal 3 2 2 2 2 3 2 4 3 2 3" xfId="28333"/>
    <cellStyle name="Normal 3 2 2 2 2 3 2 4 3 2 3 2" xfId="28334"/>
    <cellStyle name="Normal 3 2 2 2 2 3 2 4 3 2 4" xfId="28335"/>
    <cellStyle name="Normal 3 2 2 2 2 3 2 4 3 2 4 2" xfId="28336"/>
    <cellStyle name="Normal 3 2 2 2 2 3 2 4 3 2 5" xfId="28337"/>
    <cellStyle name="Normal 3 2 2 2 2 3 2 4 3 2 6" xfId="28338"/>
    <cellStyle name="Normal 3 2 2 2 2 3 2 4 3 3" xfId="28339"/>
    <cellStyle name="Normal 3 2 2 2 2 3 2 4 3 3 2" xfId="28340"/>
    <cellStyle name="Normal 3 2 2 2 2 3 2 4 3 3 2 2" xfId="28341"/>
    <cellStyle name="Normal 3 2 2 2 2 3 2 4 3 3 3" xfId="28342"/>
    <cellStyle name="Normal 3 2 2 2 2 3 2 4 3 3 3 2" xfId="28343"/>
    <cellStyle name="Normal 3 2 2 2 2 3 2 4 3 3 4" xfId="28344"/>
    <cellStyle name="Normal 3 2 2 2 2 3 2 4 3 3 4 2" xfId="28345"/>
    <cellStyle name="Normal 3 2 2 2 2 3 2 4 3 3 5" xfId="28346"/>
    <cellStyle name="Normal 3 2 2 2 2 3 2 4 3 3 6" xfId="28347"/>
    <cellStyle name="Normal 3 2 2 2 2 3 2 4 3 4" xfId="28348"/>
    <cellStyle name="Normal 3 2 2 2 2 3 2 4 3 4 2" xfId="28349"/>
    <cellStyle name="Normal 3 2 2 2 2 3 2 4 3 4 2 2" xfId="28350"/>
    <cellStyle name="Normal 3 2 2 2 2 3 2 4 3 4 3" xfId="28351"/>
    <cellStyle name="Normal 3 2 2 2 2 3 2 4 3 4 3 2" xfId="28352"/>
    <cellStyle name="Normal 3 2 2 2 2 3 2 4 3 4 4" xfId="28353"/>
    <cellStyle name="Normal 3 2 2 2 2 3 2 4 3 4 4 2" xfId="28354"/>
    <cellStyle name="Normal 3 2 2 2 2 3 2 4 3 4 5" xfId="28355"/>
    <cellStyle name="Normal 3 2 2 2 2 3 2 4 3 4 6" xfId="28356"/>
    <cellStyle name="Normal 3 2 2 2 2 3 2 4 3 5" xfId="28357"/>
    <cellStyle name="Normal 3 2 2 2 2 3 2 4 3 5 2" xfId="28358"/>
    <cellStyle name="Normal 3 2 2 2 2 3 2 4 3 5 2 2" xfId="28359"/>
    <cellStyle name="Normal 3 2 2 2 2 3 2 4 3 5 3" xfId="28360"/>
    <cellStyle name="Normal 3 2 2 2 2 3 2 4 3 5 3 2" xfId="28361"/>
    <cellStyle name="Normal 3 2 2 2 2 3 2 4 3 5 4" xfId="28362"/>
    <cellStyle name="Normal 3 2 2 2 2 3 2 4 3 5 5" xfId="28363"/>
    <cellStyle name="Normal 3 2 2 2 2 3 2 4 3 6" xfId="28364"/>
    <cellStyle name="Normal 3 2 2 2 2 3 2 4 3 6 2" xfId="28365"/>
    <cellStyle name="Normal 3 2 2 2 2 3 2 4 3 7" xfId="28366"/>
    <cellStyle name="Normal 3 2 2 2 2 3 2 4 3 7 2" xfId="28367"/>
    <cellStyle name="Normal 3 2 2 2 2 3 2 4 3 8" xfId="28368"/>
    <cellStyle name="Normal 3 2 2 2 2 3 2 4 3 8 2" xfId="28369"/>
    <cellStyle name="Normal 3 2 2 2 2 3 2 4 3 9" xfId="28370"/>
    <cellStyle name="Normal 3 2 2 2 2 3 2 4 4" xfId="28371"/>
    <cellStyle name="Normal 3 2 2 2 2 3 2 4 4 2" xfId="28372"/>
    <cellStyle name="Normal 3 2 2 2 2 3 2 4 4 2 2" xfId="28373"/>
    <cellStyle name="Normal 3 2 2 2 2 3 2 4 4 3" xfId="28374"/>
    <cellStyle name="Normal 3 2 2 2 2 3 2 4 4 3 2" xfId="28375"/>
    <cellStyle name="Normal 3 2 2 2 2 3 2 4 4 4" xfId="28376"/>
    <cellStyle name="Normal 3 2 2 2 2 3 2 4 4 4 2" xfId="28377"/>
    <cellStyle name="Normal 3 2 2 2 2 3 2 4 4 5" xfId="28378"/>
    <cellStyle name="Normal 3 2 2 2 2 3 2 4 4 6" xfId="28379"/>
    <cellStyle name="Normal 3 2 2 2 2 3 2 4 5" xfId="28380"/>
    <cellStyle name="Normal 3 2 2 2 2 3 2 4 5 2" xfId="28381"/>
    <cellStyle name="Normal 3 2 2 2 2 3 2 4 5 2 2" xfId="28382"/>
    <cellStyle name="Normal 3 2 2 2 2 3 2 4 5 3" xfId="28383"/>
    <cellStyle name="Normal 3 2 2 2 2 3 2 4 5 3 2" xfId="28384"/>
    <cellStyle name="Normal 3 2 2 2 2 3 2 4 5 4" xfId="28385"/>
    <cellStyle name="Normal 3 2 2 2 2 3 2 4 5 4 2" xfId="28386"/>
    <cellStyle name="Normal 3 2 2 2 2 3 2 4 5 5" xfId="28387"/>
    <cellStyle name="Normal 3 2 2 2 2 3 2 4 5 6" xfId="28388"/>
    <cellStyle name="Normal 3 2 2 2 2 3 2 4 6" xfId="28389"/>
    <cellStyle name="Normal 3 2 2 2 2 3 2 4 6 2" xfId="28390"/>
    <cellStyle name="Normal 3 2 2 2 2 3 2 4 6 2 2" xfId="28391"/>
    <cellStyle name="Normal 3 2 2 2 2 3 2 4 6 3" xfId="28392"/>
    <cellStyle name="Normal 3 2 2 2 2 3 2 4 6 3 2" xfId="28393"/>
    <cellStyle name="Normal 3 2 2 2 2 3 2 4 6 4" xfId="28394"/>
    <cellStyle name="Normal 3 2 2 2 2 3 2 4 6 4 2" xfId="28395"/>
    <cellStyle name="Normal 3 2 2 2 2 3 2 4 6 5" xfId="28396"/>
    <cellStyle name="Normal 3 2 2 2 2 3 2 4 6 6" xfId="28397"/>
    <cellStyle name="Normal 3 2 2 2 2 3 2 4 7" xfId="28398"/>
    <cellStyle name="Normal 3 2 2 2 2 3 2 4 7 2" xfId="28399"/>
    <cellStyle name="Normal 3 2 2 2 2 3 2 4 7 2 2" xfId="28400"/>
    <cellStyle name="Normal 3 2 2 2 2 3 2 4 7 3" xfId="28401"/>
    <cellStyle name="Normal 3 2 2 2 2 3 2 4 7 3 2" xfId="28402"/>
    <cellStyle name="Normal 3 2 2 2 2 3 2 4 7 4" xfId="28403"/>
    <cellStyle name="Normal 3 2 2 2 2 3 2 4 7 5" xfId="28404"/>
    <cellStyle name="Normal 3 2 2 2 2 3 2 4 8" xfId="28405"/>
    <cellStyle name="Normal 3 2 2 2 2 3 2 4 8 2" xfId="28406"/>
    <cellStyle name="Normal 3 2 2 2 2 3 2 4 9" xfId="28407"/>
    <cellStyle name="Normal 3 2 2 2 2 3 2 4 9 2" xfId="28408"/>
    <cellStyle name="Normal 3 2 2 2 2 3 2 5" xfId="2550"/>
    <cellStyle name="Normal 3 2 2 2 2 3 2 5 10" xfId="28410"/>
    <cellStyle name="Normal 3 2 2 2 2 3 2 5 11" xfId="28411"/>
    <cellStyle name="Normal 3 2 2 2 2 3 2 5 12" xfId="28409"/>
    <cellStyle name="Normal 3 2 2 2 2 3 2 5 2" xfId="28412"/>
    <cellStyle name="Normal 3 2 2 2 2 3 2 5 2 2" xfId="28413"/>
    <cellStyle name="Normal 3 2 2 2 2 3 2 5 2 2 2" xfId="28414"/>
    <cellStyle name="Normal 3 2 2 2 2 3 2 5 2 3" xfId="28415"/>
    <cellStyle name="Normal 3 2 2 2 2 3 2 5 2 3 2" xfId="28416"/>
    <cellStyle name="Normal 3 2 2 2 2 3 2 5 2 4" xfId="28417"/>
    <cellStyle name="Normal 3 2 2 2 2 3 2 5 2 4 2" xfId="28418"/>
    <cellStyle name="Normal 3 2 2 2 2 3 2 5 2 5" xfId="28419"/>
    <cellStyle name="Normal 3 2 2 2 2 3 2 5 2 6" xfId="28420"/>
    <cellStyle name="Normal 3 2 2 2 2 3 2 5 3" xfId="28421"/>
    <cellStyle name="Normal 3 2 2 2 2 3 2 5 3 2" xfId="28422"/>
    <cellStyle name="Normal 3 2 2 2 2 3 2 5 3 2 2" xfId="28423"/>
    <cellStyle name="Normal 3 2 2 2 2 3 2 5 3 3" xfId="28424"/>
    <cellStyle name="Normal 3 2 2 2 2 3 2 5 3 3 2" xfId="28425"/>
    <cellStyle name="Normal 3 2 2 2 2 3 2 5 3 4" xfId="28426"/>
    <cellStyle name="Normal 3 2 2 2 2 3 2 5 3 4 2" xfId="28427"/>
    <cellStyle name="Normal 3 2 2 2 2 3 2 5 3 5" xfId="28428"/>
    <cellStyle name="Normal 3 2 2 2 2 3 2 5 3 6" xfId="28429"/>
    <cellStyle name="Normal 3 2 2 2 2 3 2 5 4" xfId="28430"/>
    <cellStyle name="Normal 3 2 2 2 2 3 2 5 4 2" xfId="28431"/>
    <cellStyle name="Normal 3 2 2 2 2 3 2 5 4 2 2" xfId="28432"/>
    <cellStyle name="Normal 3 2 2 2 2 3 2 5 4 3" xfId="28433"/>
    <cellStyle name="Normal 3 2 2 2 2 3 2 5 4 3 2" xfId="28434"/>
    <cellStyle name="Normal 3 2 2 2 2 3 2 5 4 4" xfId="28435"/>
    <cellStyle name="Normal 3 2 2 2 2 3 2 5 4 4 2" xfId="28436"/>
    <cellStyle name="Normal 3 2 2 2 2 3 2 5 4 5" xfId="28437"/>
    <cellStyle name="Normal 3 2 2 2 2 3 2 5 4 6" xfId="28438"/>
    <cellStyle name="Normal 3 2 2 2 2 3 2 5 5" xfId="28439"/>
    <cellStyle name="Normal 3 2 2 2 2 3 2 5 5 2" xfId="28440"/>
    <cellStyle name="Normal 3 2 2 2 2 3 2 5 5 2 2" xfId="28441"/>
    <cellStyle name="Normal 3 2 2 2 2 3 2 5 5 3" xfId="28442"/>
    <cellStyle name="Normal 3 2 2 2 2 3 2 5 5 3 2" xfId="28443"/>
    <cellStyle name="Normal 3 2 2 2 2 3 2 5 5 4" xfId="28444"/>
    <cellStyle name="Normal 3 2 2 2 2 3 2 5 5 4 2" xfId="28445"/>
    <cellStyle name="Normal 3 2 2 2 2 3 2 5 5 5" xfId="28446"/>
    <cellStyle name="Normal 3 2 2 2 2 3 2 5 5 6" xfId="28447"/>
    <cellStyle name="Normal 3 2 2 2 2 3 2 5 6" xfId="28448"/>
    <cellStyle name="Normal 3 2 2 2 2 3 2 5 6 2" xfId="28449"/>
    <cellStyle name="Normal 3 2 2 2 2 3 2 5 6 2 2" xfId="28450"/>
    <cellStyle name="Normal 3 2 2 2 2 3 2 5 6 3" xfId="28451"/>
    <cellStyle name="Normal 3 2 2 2 2 3 2 5 6 3 2" xfId="28452"/>
    <cellStyle name="Normal 3 2 2 2 2 3 2 5 6 4" xfId="28453"/>
    <cellStyle name="Normal 3 2 2 2 2 3 2 5 6 5" xfId="28454"/>
    <cellStyle name="Normal 3 2 2 2 2 3 2 5 7" xfId="28455"/>
    <cellStyle name="Normal 3 2 2 2 2 3 2 5 7 2" xfId="28456"/>
    <cellStyle name="Normal 3 2 2 2 2 3 2 5 8" xfId="28457"/>
    <cellStyle name="Normal 3 2 2 2 2 3 2 5 8 2" xfId="28458"/>
    <cellStyle name="Normal 3 2 2 2 2 3 2 5 9" xfId="28459"/>
    <cellStyle name="Normal 3 2 2 2 2 3 2 5 9 2" xfId="28460"/>
    <cellStyle name="Normal 3 2 2 2 2 3 2 6" xfId="28461"/>
    <cellStyle name="Normal 3 2 2 2 2 3 2 6 10" xfId="28462"/>
    <cellStyle name="Normal 3 2 2 2 2 3 2 6 2" xfId="28463"/>
    <cellStyle name="Normal 3 2 2 2 2 3 2 6 2 2" xfId="28464"/>
    <cellStyle name="Normal 3 2 2 2 2 3 2 6 2 2 2" xfId="28465"/>
    <cellStyle name="Normal 3 2 2 2 2 3 2 6 2 3" xfId="28466"/>
    <cellStyle name="Normal 3 2 2 2 2 3 2 6 2 3 2" xfId="28467"/>
    <cellStyle name="Normal 3 2 2 2 2 3 2 6 2 4" xfId="28468"/>
    <cellStyle name="Normal 3 2 2 2 2 3 2 6 2 4 2" xfId="28469"/>
    <cellStyle name="Normal 3 2 2 2 2 3 2 6 2 5" xfId="28470"/>
    <cellStyle name="Normal 3 2 2 2 2 3 2 6 2 6" xfId="28471"/>
    <cellStyle name="Normal 3 2 2 2 2 3 2 6 3" xfId="28472"/>
    <cellStyle name="Normal 3 2 2 2 2 3 2 6 3 2" xfId="28473"/>
    <cellStyle name="Normal 3 2 2 2 2 3 2 6 3 2 2" xfId="28474"/>
    <cellStyle name="Normal 3 2 2 2 2 3 2 6 3 3" xfId="28475"/>
    <cellStyle name="Normal 3 2 2 2 2 3 2 6 3 3 2" xfId="28476"/>
    <cellStyle name="Normal 3 2 2 2 2 3 2 6 3 4" xfId="28477"/>
    <cellStyle name="Normal 3 2 2 2 2 3 2 6 3 4 2" xfId="28478"/>
    <cellStyle name="Normal 3 2 2 2 2 3 2 6 3 5" xfId="28479"/>
    <cellStyle name="Normal 3 2 2 2 2 3 2 6 3 6" xfId="28480"/>
    <cellStyle name="Normal 3 2 2 2 2 3 2 6 4" xfId="28481"/>
    <cellStyle name="Normal 3 2 2 2 2 3 2 6 4 2" xfId="28482"/>
    <cellStyle name="Normal 3 2 2 2 2 3 2 6 4 2 2" xfId="28483"/>
    <cellStyle name="Normal 3 2 2 2 2 3 2 6 4 3" xfId="28484"/>
    <cellStyle name="Normal 3 2 2 2 2 3 2 6 4 3 2" xfId="28485"/>
    <cellStyle name="Normal 3 2 2 2 2 3 2 6 4 4" xfId="28486"/>
    <cellStyle name="Normal 3 2 2 2 2 3 2 6 4 4 2" xfId="28487"/>
    <cellStyle name="Normal 3 2 2 2 2 3 2 6 4 5" xfId="28488"/>
    <cellStyle name="Normal 3 2 2 2 2 3 2 6 4 6" xfId="28489"/>
    <cellStyle name="Normal 3 2 2 2 2 3 2 6 5" xfId="28490"/>
    <cellStyle name="Normal 3 2 2 2 2 3 2 6 5 2" xfId="28491"/>
    <cellStyle name="Normal 3 2 2 2 2 3 2 6 5 2 2" xfId="28492"/>
    <cellStyle name="Normal 3 2 2 2 2 3 2 6 5 3" xfId="28493"/>
    <cellStyle name="Normal 3 2 2 2 2 3 2 6 5 3 2" xfId="28494"/>
    <cellStyle name="Normal 3 2 2 2 2 3 2 6 5 4" xfId="28495"/>
    <cellStyle name="Normal 3 2 2 2 2 3 2 6 5 5" xfId="28496"/>
    <cellStyle name="Normal 3 2 2 2 2 3 2 6 6" xfId="28497"/>
    <cellStyle name="Normal 3 2 2 2 2 3 2 6 6 2" xfId="28498"/>
    <cellStyle name="Normal 3 2 2 2 2 3 2 6 7" xfId="28499"/>
    <cellStyle name="Normal 3 2 2 2 2 3 2 6 7 2" xfId="28500"/>
    <cellStyle name="Normal 3 2 2 2 2 3 2 6 8" xfId="28501"/>
    <cellStyle name="Normal 3 2 2 2 2 3 2 6 8 2" xfId="28502"/>
    <cellStyle name="Normal 3 2 2 2 2 3 2 6 9" xfId="28503"/>
    <cellStyle name="Normal 3 2 2 2 2 3 2 7" xfId="28504"/>
    <cellStyle name="Normal 3 2 2 2 2 3 2 7 10" xfId="28505"/>
    <cellStyle name="Normal 3 2 2 2 2 3 2 7 2" xfId="28506"/>
    <cellStyle name="Normal 3 2 2 2 2 3 2 7 2 2" xfId="28507"/>
    <cellStyle name="Normal 3 2 2 2 2 3 2 7 2 2 2" xfId="28508"/>
    <cellStyle name="Normal 3 2 2 2 2 3 2 7 2 3" xfId="28509"/>
    <cellStyle name="Normal 3 2 2 2 2 3 2 7 2 3 2" xfId="28510"/>
    <cellStyle name="Normal 3 2 2 2 2 3 2 7 2 4" xfId="28511"/>
    <cellStyle name="Normal 3 2 2 2 2 3 2 7 2 4 2" xfId="28512"/>
    <cellStyle name="Normal 3 2 2 2 2 3 2 7 2 5" xfId="28513"/>
    <cellStyle name="Normal 3 2 2 2 2 3 2 7 2 6" xfId="28514"/>
    <cellStyle name="Normal 3 2 2 2 2 3 2 7 3" xfId="28515"/>
    <cellStyle name="Normal 3 2 2 2 2 3 2 7 3 2" xfId="28516"/>
    <cellStyle name="Normal 3 2 2 2 2 3 2 7 3 2 2" xfId="28517"/>
    <cellStyle name="Normal 3 2 2 2 2 3 2 7 3 3" xfId="28518"/>
    <cellStyle name="Normal 3 2 2 2 2 3 2 7 3 3 2" xfId="28519"/>
    <cellStyle name="Normal 3 2 2 2 2 3 2 7 3 4" xfId="28520"/>
    <cellStyle name="Normal 3 2 2 2 2 3 2 7 3 4 2" xfId="28521"/>
    <cellStyle name="Normal 3 2 2 2 2 3 2 7 3 5" xfId="28522"/>
    <cellStyle name="Normal 3 2 2 2 2 3 2 7 3 6" xfId="28523"/>
    <cellStyle name="Normal 3 2 2 2 2 3 2 7 4" xfId="28524"/>
    <cellStyle name="Normal 3 2 2 2 2 3 2 7 4 2" xfId="28525"/>
    <cellStyle name="Normal 3 2 2 2 2 3 2 7 4 2 2" xfId="28526"/>
    <cellStyle name="Normal 3 2 2 2 2 3 2 7 4 3" xfId="28527"/>
    <cellStyle name="Normal 3 2 2 2 2 3 2 7 4 3 2" xfId="28528"/>
    <cellStyle name="Normal 3 2 2 2 2 3 2 7 4 4" xfId="28529"/>
    <cellStyle name="Normal 3 2 2 2 2 3 2 7 4 4 2" xfId="28530"/>
    <cellStyle name="Normal 3 2 2 2 2 3 2 7 4 5" xfId="28531"/>
    <cellStyle name="Normal 3 2 2 2 2 3 2 7 4 6" xfId="28532"/>
    <cellStyle name="Normal 3 2 2 2 2 3 2 7 5" xfId="28533"/>
    <cellStyle name="Normal 3 2 2 2 2 3 2 7 5 2" xfId="28534"/>
    <cellStyle name="Normal 3 2 2 2 2 3 2 7 5 2 2" xfId="28535"/>
    <cellStyle name="Normal 3 2 2 2 2 3 2 7 5 3" xfId="28536"/>
    <cellStyle name="Normal 3 2 2 2 2 3 2 7 5 3 2" xfId="28537"/>
    <cellStyle name="Normal 3 2 2 2 2 3 2 7 5 4" xfId="28538"/>
    <cellStyle name="Normal 3 2 2 2 2 3 2 7 5 5" xfId="28539"/>
    <cellStyle name="Normal 3 2 2 2 2 3 2 7 6" xfId="28540"/>
    <cellStyle name="Normal 3 2 2 2 2 3 2 7 6 2" xfId="28541"/>
    <cellStyle name="Normal 3 2 2 2 2 3 2 7 7" xfId="28542"/>
    <cellStyle name="Normal 3 2 2 2 2 3 2 7 7 2" xfId="28543"/>
    <cellStyle name="Normal 3 2 2 2 2 3 2 7 8" xfId="28544"/>
    <cellStyle name="Normal 3 2 2 2 2 3 2 7 8 2" xfId="28545"/>
    <cellStyle name="Normal 3 2 2 2 2 3 2 7 9" xfId="28546"/>
    <cellStyle name="Normal 3 2 2 2 2 3 2 8" xfId="28547"/>
    <cellStyle name="Normal 3 2 2 2 2 3 2 8 2" xfId="28548"/>
    <cellStyle name="Normal 3 2 2 2 2 3 2 8 2 2" xfId="28549"/>
    <cellStyle name="Normal 3 2 2 2 2 3 2 8 3" xfId="28550"/>
    <cellStyle name="Normal 3 2 2 2 2 3 2 8 3 2" xfId="28551"/>
    <cellStyle name="Normal 3 2 2 2 2 3 2 8 4" xfId="28552"/>
    <cellStyle name="Normal 3 2 2 2 2 3 2 8 4 2" xfId="28553"/>
    <cellStyle name="Normal 3 2 2 2 2 3 2 8 5" xfId="28554"/>
    <cellStyle name="Normal 3 2 2 2 2 3 2 8 6" xfId="28555"/>
    <cellStyle name="Normal 3 2 2 2 2 3 2 9" xfId="28556"/>
    <cellStyle name="Normal 3 2 2 2 2 3 2 9 2" xfId="28557"/>
    <cellStyle name="Normal 3 2 2 2 2 3 2 9 2 2" xfId="28558"/>
    <cellStyle name="Normal 3 2 2 2 2 3 2 9 3" xfId="28559"/>
    <cellStyle name="Normal 3 2 2 2 2 3 2 9 3 2" xfId="28560"/>
    <cellStyle name="Normal 3 2 2 2 2 3 2 9 4" xfId="28561"/>
    <cellStyle name="Normal 3 2 2 2 2 3 2 9 4 2" xfId="28562"/>
    <cellStyle name="Normal 3 2 2 2 2 3 2 9 5" xfId="28563"/>
    <cellStyle name="Normal 3 2 2 2 2 3 2 9 6" xfId="28564"/>
    <cellStyle name="Normal 3 2 2 2 2 3 3" xfId="2551"/>
    <cellStyle name="Normal 3 2 2 2 2 3 3 10" xfId="28566"/>
    <cellStyle name="Normal 3 2 2 2 2 3 3 10 2" xfId="28567"/>
    <cellStyle name="Normal 3 2 2 2 2 3 3 11" xfId="28568"/>
    <cellStyle name="Normal 3 2 2 2 2 3 3 11 2" xfId="28569"/>
    <cellStyle name="Normal 3 2 2 2 2 3 3 12" xfId="28570"/>
    <cellStyle name="Normal 3 2 2 2 2 3 3 13" xfId="28571"/>
    <cellStyle name="Normal 3 2 2 2 2 3 3 14" xfId="28565"/>
    <cellStyle name="Normal 3 2 2 2 2 3 3 2" xfId="2552"/>
    <cellStyle name="Normal 3 2 2 2 2 3 3 2 10" xfId="28573"/>
    <cellStyle name="Normal 3 2 2 2 2 3 3 2 11" xfId="28574"/>
    <cellStyle name="Normal 3 2 2 2 2 3 3 2 12" xfId="28572"/>
    <cellStyle name="Normal 3 2 2 2 2 3 3 2 2" xfId="2553"/>
    <cellStyle name="Normal 3 2 2 2 2 3 3 2 2 2" xfId="28576"/>
    <cellStyle name="Normal 3 2 2 2 2 3 3 2 2 2 2" xfId="28577"/>
    <cellStyle name="Normal 3 2 2 2 2 3 3 2 2 3" xfId="28578"/>
    <cellStyle name="Normal 3 2 2 2 2 3 3 2 2 3 2" xfId="28579"/>
    <cellStyle name="Normal 3 2 2 2 2 3 3 2 2 4" xfId="28580"/>
    <cellStyle name="Normal 3 2 2 2 2 3 3 2 2 4 2" xfId="28581"/>
    <cellStyle name="Normal 3 2 2 2 2 3 3 2 2 5" xfId="28582"/>
    <cellStyle name="Normal 3 2 2 2 2 3 3 2 2 6" xfId="28583"/>
    <cellStyle name="Normal 3 2 2 2 2 3 3 2 2 7" xfId="28575"/>
    <cellStyle name="Normal 3 2 2 2 2 3 3 2 3" xfId="28584"/>
    <cellStyle name="Normal 3 2 2 2 2 3 3 2 3 2" xfId="28585"/>
    <cellStyle name="Normal 3 2 2 2 2 3 3 2 3 2 2" xfId="28586"/>
    <cellStyle name="Normal 3 2 2 2 2 3 3 2 3 3" xfId="28587"/>
    <cellStyle name="Normal 3 2 2 2 2 3 3 2 3 3 2" xfId="28588"/>
    <cellStyle name="Normal 3 2 2 2 2 3 3 2 3 4" xfId="28589"/>
    <cellStyle name="Normal 3 2 2 2 2 3 3 2 3 4 2" xfId="28590"/>
    <cellStyle name="Normal 3 2 2 2 2 3 3 2 3 5" xfId="28591"/>
    <cellStyle name="Normal 3 2 2 2 2 3 3 2 3 6" xfId="28592"/>
    <cellStyle name="Normal 3 2 2 2 2 3 3 2 4" xfId="28593"/>
    <cellStyle name="Normal 3 2 2 2 2 3 3 2 4 2" xfId="28594"/>
    <cellStyle name="Normal 3 2 2 2 2 3 3 2 4 2 2" xfId="28595"/>
    <cellStyle name="Normal 3 2 2 2 2 3 3 2 4 3" xfId="28596"/>
    <cellStyle name="Normal 3 2 2 2 2 3 3 2 4 3 2" xfId="28597"/>
    <cellStyle name="Normal 3 2 2 2 2 3 3 2 4 4" xfId="28598"/>
    <cellStyle name="Normal 3 2 2 2 2 3 3 2 4 4 2" xfId="28599"/>
    <cellStyle name="Normal 3 2 2 2 2 3 3 2 4 5" xfId="28600"/>
    <cellStyle name="Normal 3 2 2 2 2 3 3 2 4 6" xfId="28601"/>
    <cellStyle name="Normal 3 2 2 2 2 3 3 2 5" xfId="28602"/>
    <cellStyle name="Normal 3 2 2 2 2 3 3 2 5 2" xfId="28603"/>
    <cellStyle name="Normal 3 2 2 2 2 3 3 2 5 2 2" xfId="28604"/>
    <cellStyle name="Normal 3 2 2 2 2 3 3 2 5 3" xfId="28605"/>
    <cellStyle name="Normal 3 2 2 2 2 3 3 2 5 3 2" xfId="28606"/>
    <cellStyle name="Normal 3 2 2 2 2 3 3 2 5 4" xfId="28607"/>
    <cellStyle name="Normal 3 2 2 2 2 3 3 2 5 4 2" xfId="28608"/>
    <cellStyle name="Normal 3 2 2 2 2 3 3 2 5 5" xfId="28609"/>
    <cellStyle name="Normal 3 2 2 2 2 3 3 2 5 6" xfId="28610"/>
    <cellStyle name="Normal 3 2 2 2 2 3 3 2 6" xfId="28611"/>
    <cellStyle name="Normal 3 2 2 2 2 3 3 2 6 2" xfId="28612"/>
    <cellStyle name="Normal 3 2 2 2 2 3 3 2 6 2 2" xfId="28613"/>
    <cellStyle name="Normal 3 2 2 2 2 3 3 2 6 3" xfId="28614"/>
    <cellStyle name="Normal 3 2 2 2 2 3 3 2 6 3 2" xfId="28615"/>
    <cellStyle name="Normal 3 2 2 2 2 3 3 2 6 4" xfId="28616"/>
    <cellStyle name="Normal 3 2 2 2 2 3 3 2 6 5" xfId="28617"/>
    <cellStyle name="Normal 3 2 2 2 2 3 3 2 7" xfId="28618"/>
    <cellStyle name="Normal 3 2 2 2 2 3 3 2 7 2" xfId="28619"/>
    <cellStyle name="Normal 3 2 2 2 2 3 3 2 8" xfId="28620"/>
    <cellStyle name="Normal 3 2 2 2 2 3 3 2 8 2" xfId="28621"/>
    <cellStyle name="Normal 3 2 2 2 2 3 3 2 9" xfId="28622"/>
    <cellStyle name="Normal 3 2 2 2 2 3 3 2 9 2" xfId="28623"/>
    <cellStyle name="Normal 3 2 2 2 2 3 3 3" xfId="2554"/>
    <cellStyle name="Normal 3 2 2 2 2 3 3 3 10" xfId="28625"/>
    <cellStyle name="Normal 3 2 2 2 2 3 3 3 11" xfId="28624"/>
    <cellStyle name="Normal 3 2 2 2 2 3 3 3 2" xfId="2555"/>
    <cellStyle name="Normal 3 2 2 2 2 3 3 3 2 2" xfId="28627"/>
    <cellStyle name="Normal 3 2 2 2 2 3 3 3 2 2 2" xfId="28628"/>
    <cellStyle name="Normal 3 2 2 2 2 3 3 3 2 3" xfId="28629"/>
    <cellStyle name="Normal 3 2 2 2 2 3 3 3 2 3 2" xfId="28630"/>
    <cellStyle name="Normal 3 2 2 2 2 3 3 3 2 4" xfId="28631"/>
    <cellStyle name="Normal 3 2 2 2 2 3 3 3 2 4 2" xfId="28632"/>
    <cellStyle name="Normal 3 2 2 2 2 3 3 3 2 5" xfId="28633"/>
    <cellStyle name="Normal 3 2 2 2 2 3 3 3 2 6" xfId="28634"/>
    <cellStyle name="Normal 3 2 2 2 2 3 3 3 2 7" xfId="28626"/>
    <cellStyle name="Normal 3 2 2 2 2 3 3 3 3" xfId="28635"/>
    <cellStyle name="Normal 3 2 2 2 2 3 3 3 3 2" xfId="28636"/>
    <cellStyle name="Normal 3 2 2 2 2 3 3 3 3 2 2" xfId="28637"/>
    <cellStyle name="Normal 3 2 2 2 2 3 3 3 3 3" xfId="28638"/>
    <cellStyle name="Normal 3 2 2 2 2 3 3 3 3 3 2" xfId="28639"/>
    <cellStyle name="Normal 3 2 2 2 2 3 3 3 3 4" xfId="28640"/>
    <cellStyle name="Normal 3 2 2 2 2 3 3 3 3 4 2" xfId="28641"/>
    <cellStyle name="Normal 3 2 2 2 2 3 3 3 3 5" xfId="28642"/>
    <cellStyle name="Normal 3 2 2 2 2 3 3 3 3 6" xfId="28643"/>
    <cellStyle name="Normal 3 2 2 2 2 3 3 3 4" xfId="28644"/>
    <cellStyle name="Normal 3 2 2 2 2 3 3 3 4 2" xfId="28645"/>
    <cellStyle name="Normal 3 2 2 2 2 3 3 3 4 2 2" xfId="28646"/>
    <cellStyle name="Normal 3 2 2 2 2 3 3 3 4 3" xfId="28647"/>
    <cellStyle name="Normal 3 2 2 2 2 3 3 3 4 3 2" xfId="28648"/>
    <cellStyle name="Normal 3 2 2 2 2 3 3 3 4 4" xfId="28649"/>
    <cellStyle name="Normal 3 2 2 2 2 3 3 3 4 4 2" xfId="28650"/>
    <cellStyle name="Normal 3 2 2 2 2 3 3 3 4 5" xfId="28651"/>
    <cellStyle name="Normal 3 2 2 2 2 3 3 3 4 6" xfId="28652"/>
    <cellStyle name="Normal 3 2 2 2 2 3 3 3 5" xfId="28653"/>
    <cellStyle name="Normal 3 2 2 2 2 3 3 3 5 2" xfId="28654"/>
    <cellStyle name="Normal 3 2 2 2 2 3 3 3 5 2 2" xfId="28655"/>
    <cellStyle name="Normal 3 2 2 2 2 3 3 3 5 3" xfId="28656"/>
    <cellStyle name="Normal 3 2 2 2 2 3 3 3 5 3 2" xfId="28657"/>
    <cellStyle name="Normal 3 2 2 2 2 3 3 3 5 4" xfId="28658"/>
    <cellStyle name="Normal 3 2 2 2 2 3 3 3 5 5" xfId="28659"/>
    <cellStyle name="Normal 3 2 2 2 2 3 3 3 6" xfId="28660"/>
    <cellStyle name="Normal 3 2 2 2 2 3 3 3 6 2" xfId="28661"/>
    <cellStyle name="Normal 3 2 2 2 2 3 3 3 7" xfId="28662"/>
    <cellStyle name="Normal 3 2 2 2 2 3 3 3 7 2" xfId="28663"/>
    <cellStyle name="Normal 3 2 2 2 2 3 3 3 8" xfId="28664"/>
    <cellStyle name="Normal 3 2 2 2 2 3 3 3 8 2" xfId="28665"/>
    <cellStyle name="Normal 3 2 2 2 2 3 3 3 9" xfId="28666"/>
    <cellStyle name="Normal 3 2 2 2 2 3 3 4" xfId="2556"/>
    <cellStyle name="Normal 3 2 2 2 2 3 3 4 10" xfId="28668"/>
    <cellStyle name="Normal 3 2 2 2 2 3 3 4 11" xfId="28667"/>
    <cellStyle name="Normal 3 2 2 2 2 3 3 4 2" xfId="28669"/>
    <cellStyle name="Normal 3 2 2 2 2 3 3 4 2 2" xfId="28670"/>
    <cellStyle name="Normal 3 2 2 2 2 3 3 4 2 2 2" xfId="28671"/>
    <cellStyle name="Normal 3 2 2 2 2 3 3 4 2 3" xfId="28672"/>
    <cellStyle name="Normal 3 2 2 2 2 3 3 4 2 3 2" xfId="28673"/>
    <cellStyle name="Normal 3 2 2 2 2 3 3 4 2 4" xfId="28674"/>
    <cellStyle name="Normal 3 2 2 2 2 3 3 4 2 4 2" xfId="28675"/>
    <cellStyle name="Normal 3 2 2 2 2 3 3 4 2 5" xfId="28676"/>
    <cellStyle name="Normal 3 2 2 2 2 3 3 4 2 6" xfId="28677"/>
    <cellStyle name="Normal 3 2 2 2 2 3 3 4 3" xfId="28678"/>
    <cellStyle name="Normal 3 2 2 2 2 3 3 4 3 2" xfId="28679"/>
    <cellStyle name="Normal 3 2 2 2 2 3 3 4 3 2 2" xfId="28680"/>
    <cellStyle name="Normal 3 2 2 2 2 3 3 4 3 3" xfId="28681"/>
    <cellStyle name="Normal 3 2 2 2 2 3 3 4 3 3 2" xfId="28682"/>
    <cellStyle name="Normal 3 2 2 2 2 3 3 4 3 4" xfId="28683"/>
    <cellStyle name="Normal 3 2 2 2 2 3 3 4 3 4 2" xfId="28684"/>
    <cellStyle name="Normal 3 2 2 2 2 3 3 4 3 5" xfId="28685"/>
    <cellStyle name="Normal 3 2 2 2 2 3 3 4 3 6" xfId="28686"/>
    <cellStyle name="Normal 3 2 2 2 2 3 3 4 4" xfId="28687"/>
    <cellStyle name="Normal 3 2 2 2 2 3 3 4 4 2" xfId="28688"/>
    <cellStyle name="Normal 3 2 2 2 2 3 3 4 4 2 2" xfId="28689"/>
    <cellStyle name="Normal 3 2 2 2 2 3 3 4 4 3" xfId="28690"/>
    <cellStyle name="Normal 3 2 2 2 2 3 3 4 4 3 2" xfId="28691"/>
    <cellStyle name="Normal 3 2 2 2 2 3 3 4 4 4" xfId="28692"/>
    <cellStyle name="Normal 3 2 2 2 2 3 3 4 4 4 2" xfId="28693"/>
    <cellStyle name="Normal 3 2 2 2 2 3 3 4 4 5" xfId="28694"/>
    <cellStyle name="Normal 3 2 2 2 2 3 3 4 4 6" xfId="28695"/>
    <cellStyle name="Normal 3 2 2 2 2 3 3 4 5" xfId="28696"/>
    <cellStyle name="Normal 3 2 2 2 2 3 3 4 5 2" xfId="28697"/>
    <cellStyle name="Normal 3 2 2 2 2 3 3 4 5 2 2" xfId="28698"/>
    <cellStyle name="Normal 3 2 2 2 2 3 3 4 5 3" xfId="28699"/>
    <cellStyle name="Normal 3 2 2 2 2 3 3 4 5 3 2" xfId="28700"/>
    <cellStyle name="Normal 3 2 2 2 2 3 3 4 5 4" xfId="28701"/>
    <cellStyle name="Normal 3 2 2 2 2 3 3 4 5 5" xfId="28702"/>
    <cellStyle name="Normal 3 2 2 2 2 3 3 4 6" xfId="28703"/>
    <cellStyle name="Normal 3 2 2 2 2 3 3 4 6 2" xfId="28704"/>
    <cellStyle name="Normal 3 2 2 2 2 3 3 4 7" xfId="28705"/>
    <cellStyle name="Normal 3 2 2 2 2 3 3 4 7 2" xfId="28706"/>
    <cellStyle name="Normal 3 2 2 2 2 3 3 4 8" xfId="28707"/>
    <cellStyle name="Normal 3 2 2 2 2 3 3 4 8 2" xfId="28708"/>
    <cellStyle name="Normal 3 2 2 2 2 3 3 4 9" xfId="28709"/>
    <cellStyle name="Normal 3 2 2 2 2 3 3 5" xfId="28710"/>
    <cellStyle name="Normal 3 2 2 2 2 3 3 5 2" xfId="28711"/>
    <cellStyle name="Normal 3 2 2 2 2 3 3 5 2 2" xfId="28712"/>
    <cellStyle name="Normal 3 2 2 2 2 3 3 5 3" xfId="28713"/>
    <cellStyle name="Normal 3 2 2 2 2 3 3 5 3 2" xfId="28714"/>
    <cellStyle name="Normal 3 2 2 2 2 3 3 5 4" xfId="28715"/>
    <cellStyle name="Normal 3 2 2 2 2 3 3 5 4 2" xfId="28716"/>
    <cellStyle name="Normal 3 2 2 2 2 3 3 5 5" xfId="28717"/>
    <cellStyle name="Normal 3 2 2 2 2 3 3 5 6" xfId="28718"/>
    <cellStyle name="Normal 3 2 2 2 2 3 3 6" xfId="28719"/>
    <cellStyle name="Normal 3 2 2 2 2 3 3 6 2" xfId="28720"/>
    <cellStyle name="Normal 3 2 2 2 2 3 3 6 2 2" xfId="28721"/>
    <cellStyle name="Normal 3 2 2 2 2 3 3 6 3" xfId="28722"/>
    <cellStyle name="Normal 3 2 2 2 2 3 3 6 3 2" xfId="28723"/>
    <cellStyle name="Normal 3 2 2 2 2 3 3 6 4" xfId="28724"/>
    <cellStyle name="Normal 3 2 2 2 2 3 3 6 4 2" xfId="28725"/>
    <cellStyle name="Normal 3 2 2 2 2 3 3 6 5" xfId="28726"/>
    <cellStyle name="Normal 3 2 2 2 2 3 3 6 6" xfId="28727"/>
    <cellStyle name="Normal 3 2 2 2 2 3 3 7" xfId="28728"/>
    <cellStyle name="Normal 3 2 2 2 2 3 3 7 2" xfId="28729"/>
    <cellStyle name="Normal 3 2 2 2 2 3 3 7 2 2" xfId="28730"/>
    <cellStyle name="Normal 3 2 2 2 2 3 3 7 3" xfId="28731"/>
    <cellStyle name="Normal 3 2 2 2 2 3 3 7 3 2" xfId="28732"/>
    <cellStyle name="Normal 3 2 2 2 2 3 3 7 4" xfId="28733"/>
    <cellStyle name="Normal 3 2 2 2 2 3 3 7 4 2" xfId="28734"/>
    <cellStyle name="Normal 3 2 2 2 2 3 3 7 5" xfId="28735"/>
    <cellStyle name="Normal 3 2 2 2 2 3 3 7 6" xfId="28736"/>
    <cellStyle name="Normal 3 2 2 2 2 3 3 8" xfId="28737"/>
    <cellStyle name="Normal 3 2 2 2 2 3 3 8 2" xfId="28738"/>
    <cellStyle name="Normal 3 2 2 2 2 3 3 8 2 2" xfId="28739"/>
    <cellStyle name="Normal 3 2 2 2 2 3 3 8 3" xfId="28740"/>
    <cellStyle name="Normal 3 2 2 2 2 3 3 8 3 2" xfId="28741"/>
    <cellStyle name="Normal 3 2 2 2 2 3 3 8 4" xfId="28742"/>
    <cellStyle name="Normal 3 2 2 2 2 3 3 8 5" xfId="28743"/>
    <cellStyle name="Normal 3 2 2 2 2 3 3 9" xfId="28744"/>
    <cellStyle name="Normal 3 2 2 2 2 3 3 9 2" xfId="28745"/>
    <cellStyle name="Normal 3 2 2 2 2 3 4" xfId="2557"/>
    <cellStyle name="Normal 3 2 2 2 2 3 4 10" xfId="28747"/>
    <cellStyle name="Normal 3 2 2 2 2 3 4 10 2" xfId="28748"/>
    <cellStyle name="Normal 3 2 2 2 2 3 4 11" xfId="28749"/>
    <cellStyle name="Normal 3 2 2 2 2 3 4 11 2" xfId="28750"/>
    <cellStyle name="Normal 3 2 2 2 2 3 4 12" xfId="28751"/>
    <cellStyle name="Normal 3 2 2 2 2 3 4 13" xfId="28752"/>
    <cellStyle name="Normal 3 2 2 2 2 3 4 14" xfId="28746"/>
    <cellStyle name="Normal 3 2 2 2 2 3 4 2" xfId="2558"/>
    <cellStyle name="Normal 3 2 2 2 2 3 4 2 10" xfId="28754"/>
    <cellStyle name="Normal 3 2 2 2 2 3 4 2 11" xfId="28755"/>
    <cellStyle name="Normal 3 2 2 2 2 3 4 2 12" xfId="28753"/>
    <cellStyle name="Normal 3 2 2 2 2 3 4 2 2" xfId="28756"/>
    <cellStyle name="Normal 3 2 2 2 2 3 4 2 2 2" xfId="28757"/>
    <cellStyle name="Normal 3 2 2 2 2 3 4 2 2 2 2" xfId="28758"/>
    <cellStyle name="Normal 3 2 2 2 2 3 4 2 2 3" xfId="28759"/>
    <cellStyle name="Normal 3 2 2 2 2 3 4 2 2 3 2" xfId="28760"/>
    <cellStyle name="Normal 3 2 2 2 2 3 4 2 2 4" xfId="28761"/>
    <cellStyle name="Normal 3 2 2 2 2 3 4 2 2 4 2" xfId="28762"/>
    <cellStyle name="Normal 3 2 2 2 2 3 4 2 2 5" xfId="28763"/>
    <cellStyle name="Normal 3 2 2 2 2 3 4 2 2 6" xfId="28764"/>
    <cellStyle name="Normal 3 2 2 2 2 3 4 2 3" xfId="28765"/>
    <cellStyle name="Normal 3 2 2 2 2 3 4 2 3 2" xfId="28766"/>
    <cellStyle name="Normal 3 2 2 2 2 3 4 2 3 2 2" xfId="28767"/>
    <cellStyle name="Normal 3 2 2 2 2 3 4 2 3 3" xfId="28768"/>
    <cellStyle name="Normal 3 2 2 2 2 3 4 2 3 3 2" xfId="28769"/>
    <cellStyle name="Normal 3 2 2 2 2 3 4 2 3 4" xfId="28770"/>
    <cellStyle name="Normal 3 2 2 2 2 3 4 2 3 4 2" xfId="28771"/>
    <cellStyle name="Normal 3 2 2 2 2 3 4 2 3 5" xfId="28772"/>
    <cellStyle name="Normal 3 2 2 2 2 3 4 2 3 6" xfId="28773"/>
    <cellStyle name="Normal 3 2 2 2 2 3 4 2 4" xfId="28774"/>
    <cellStyle name="Normal 3 2 2 2 2 3 4 2 4 2" xfId="28775"/>
    <cellStyle name="Normal 3 2 2 2 2 3 4 2 4 2 2" xfId="28776"/>
    <cellStyle name="Normal 3 2 2 2 2 3 4 2 4 3" xfId="28777"/>
    <cellStyle name="Normal 3 2 2 2 2 3 4 2 4 3 2" xfId="28778"/>
    <cellStyle name="Normal 3 2 2 2 2 3 4 2 4 4" xfId="28779"/>
    <cellStyle name="Normal 3 2 2 2 2 3 4 2 4 4 2" xfId="28780"/>
    <cellStyle name="Normal 3 2 2 2 2 3 4 2 4 5" xfId="28781"/>
    <cellStyle name="Normal 3 2 2 2 2 3 4 2 4 6" xfId="28782"/>
    <cellStyle name="Normal 3 2 2 2 2 3 4 2 5" xfId="28783"/>
    <cellStyle name="Normal 3 2 2 2 2 3 4 2 5 2" xfId="28784"/>
    <cellStyle name="Normal 3 2 2 2 2 3 4 2 5 2 2" xfId="28785"/>
    <cellStyle name="Normal 3 2 2 2 2 3 4 2 5 3" xfId="28786"/>
    <cellStyle name="Normal 3 2 2 2 2 3 4 2 5 3 2" xfId="28787"/>
    <cellStyle name="Normal 3 2 2 2 2 3 4 2 5 4" xfId="28788"/>
    <cellStyle name="Normal 3 2 2 2 2 3 4 2 5 4 2" xfId="28789"/>
    <cellStyle name="Normal 3 2 2 2 2 3 4 2 5 5" xfId="28790"/>
    <cellStyle name="Normal 3 2 2 2 2 3 4 2 5 6" xfId="28791"/>
    <cellStyle name="Normal 3 2 2 2 2 3 4 2 6" xfId="28792"/>
    <cellStyle name="Normal 3 2 2 2 2 3 4 2 6 2" xfId="28793"/>
    <cellStyle name="Normal 3 2 2 2 2 3 4 2 6 2 2" xfId="28794"/>
    <cellStyle name="Normal 3 2 2 2 2 3 4 2 6 3" xfId="28795"/>
    <cellStyle name="Normal 3 2 2 2 2 3 4 2 6 3 2" xfId="28796"/>
    <cellStyle name="Normal 3 2 2 2 2 3 4 2 6 4" xfId="28797"/>
    <cellStyle name="Normal 3 2 2 2 2 3 4 2 6 5" xfId="28798"/>
    <cellStyle name="Normal 3 2 2 2 2 3 4 2 7" xfId="28799"/>
    <cellStyle name="Normal 3 2 2 2 2 3 4 2 7 2" xfId="28800"/>
    <cellStyle name="Normal 3 2 2 2 2 3 4 2 8" xfId="28801"/>
    <cellStyle name="Normal 3 2 2 2 2 3 4 2 8 2" xfId="28802"/>
    <cellStyle name="Normal 3 2 2 2 2 3 4 2 9" xfId="28803"/>
    <cellStyle name="Normal 3 2 2 2 2 3 4 2 9 2" xfId="28804"/>
    <cellStyle name="Normal 3 2 2 2 2 3 4 3" xfId="2559"/>
    <cellStyle name="Normal 3 2 2 2 2 3 4 3 10" xfId="28806"/>
    <cellStyle name="Normal 3 2 2 2 2 3 4 3 11" xfId="28805"/>
    <cellStyle name="Normal 3 2 2 2 2 3 4 3 2" xfId="28807"/>
    <cellStyle name="Normal 3 2 2 2 2 3 4 3 2 2" xfId="28808"/>
    <cellStyle name="Normal 3 2 2 2 2 3 4 3 2 2 2" xfId="28809"/>
    <cellStyle name="Normal 3 2 2 2 2 3 4 3 2 3" xfId="28810"/>
    <cellStyle name="Normal 3 2 2 2 2 3 4 3 2 3 2" xfId="28811"/>
    <cellStyle name="Normal 3 2 2 2 2 3 4 3 2 4" xfId="28812"/>
    <cellStyle name="Normal 3 2 2 2 2 3 4 3 2 4 2" xfId="28813"/>
    <cellStyle name="Normal 3 2 2 2 2 3 4 3 2 5" xfId="28814"/>
    <cellStyle name="Normal 3 2 2 2 2 3 4 3 2 6" xfId="28815"/>
    <cellStyle name="Normal 3 2 2 2 2 3 4 3 3" xfId="28816"/>
    <cellStyle name="Normal 3 2 2 2 2 3 4 3 3 2" xfId="28817"/>
    <cellStyle name="Normal 3 2 2 2 2 3 4 3 3 2 2" xfId="28818"/>
    <cellStyle name="Normal 3 2 2 2 2 3 4 3 3 3" xfId="28819"/>
    <cellStyle name="Normal 3 2 2 2 2 3 4 3 3 3 2" xfId="28820"/>
    <cellStyle name="Normal 3 2 2 2 2 3 4 3 3 4" xfId="28821"/>
    <cellStyle name="Normal 3 2 2 2 2 3 4 3 3 4 2" xfId="28822"/>
    <cellStyle name="Normal 3 2 2 2 2 3 4 3 3 5" xfId="28823"/>
    <cellStyle name="Normal 3 2 2 2 2 3 4 3 3 6" xfId="28824"/>
    <cellStyle name="Normal 3 2 2 2 2 3 4 3 4" xfId="28825"/>
    <cellStyle name="Normal 3 2 2 2 2 3 4 3 4 2" xfId="28826"/>
    <cellStyle name="Normal 3 2 2 2 2 3 4 3 4 2 2" xfId="28827"/>
    <cellStyle name="Normal 3 2 2 2 2 3 4 3 4 3" xfId="28828"/>
    <cellStyle name="Normal 3 2 2 2 2 3 4 3 4 3 2" xfId="28829"/>
    <cellStyle name="Normal 3 2 2 2 2 3 4 3 4 4" xfId="28830"/>
    <cellStyle name="Normal 3 2 2 2 2 3 4 3 4 4 2" xfId="28831"/>
    <cellStyle name="Normal 3 2 2 2 2 3 4 3 4 5" xfId="28832"/>
    <cellStyle name="Normal 3 2 2 2 2 3 4 3 4 6" xfId="28833"/>
    <cellStyle name="Normal 3 2 2 2 2 3 4 3 5" xfId="28834"/>
    <cellStyle name="Normal 3 2 2 2 2 3 4 3 5 2" xfId="28835"/>
    <cellStyle name="Normal 3 2 2 2 2 3 4 3 5 2 2" xfId="28836"/>
    <cellStyle name="Normal 3 2 2 2 2 3 4 3 5 3" xfId="28837"/>
    <cellStyle name="Normal 3 2 2 2 2 3 4 3 5 3 2" xfId="28838"/>
    <cellStyle name="Normal 3 2 2 2 2 3 4 3 5 4" xfId="28839"/>
    <cellStyle name="Normal 3 2 2 2 2 3 4 3 5 5" xfId="28840"/>
    <cellStyle name="Normal 3 2 2 2 2 3 4 3 6" xfId="28841"/>
    <cellStyle name="Normal 3 2 2 2 2 3 4 3 6 2" xfId="28842"/>
    <cellStyle name="Normal 3 2 2 2 2 3 4 3 7" xfId="28843"/>
    <cellStyle name="Normal 3 2 2 2 2 3 4 3 7 2" xfId="28844"/>
    <cellStyle name="Normal 3 2 2 2 2 3 4 3 8" xfId="28845"/>
    <cellStyle name="Normal 3 2 2 2 2 3 4 3 8 2" xfId="28846"/>
    <cellStyle name="Normal 3 2 2 2 2 3 4 3 9" xfId="28847"/>
    <cellStyle name="Normal 3 2 2 2 2 3 4 4" xfId="28848"/>
    <cellStyle name="Normal 3 2 2 2 2 3 4 4 10" xfId="28849"/>
    <cellStyle name="Normal 3 2 2 2 2 3 4 4 2" xfId="28850"/>
    <cellStyle name="Normal 3 2 2 2 2 3 4 4 2 2" xfId="28851"/>
    <cellStyle name="Normal 3 2 2 2 2 3 4 4 2 2 2" xfId="28852"/>
    <cellStyle name="Normal 3 2 2 2 2 3 4 4 2 3" xfId="28853"/>
    <cellStyle name="Normal 3 2 2 2 2 3 4 4 2 3 2" xfId="28854"/>
    <cellStyle name="Normal 3 2 2 2 2 3 4 4 2 4" xfId="28855"/>
    <cellStyle name="Normal 3 2 2 2 2 3 4 4 2 4 2" xfId="28856"/>
    <cellStyle name="Normal 3 2 2 2 2 3 4 4 2 5" xfId="28857"/>
    <cellStyle name="Normal 3 2 2 2 2 3 4 4 2 6" xfId="28858"/>
    <cellStyle name="Normal 3 2 2 2 2 3 4 4 3" xfId="28859"/>
    <cellStyle name="Normal 3 2 2 2 2 3 4 4 3 2" xfId="28860"/>
    <cellStyle name="Normal 3 2 2 2 2 3 4 4 3 2 2" xfId="28861"/>
    <cellStyle name="Normal 3 2 2 2 2 3 4 4 3 3" xfId="28862"/>
    <cellStyle name="Normal 3 2 2 2 2 3 4 4 3 3 2" xfId="28863"/>
    <cellStyle name="Normal 3 2 2 2 2 3 4 4 3 4" xfId="28864"/>
    <cellStyle name="Normal 3 2 2 2 2 3 4 4 3 4 2" xfId="28865"/>
    <cellStyle name="Normal 3 2 2 2 2 3 4 4 3 5" xfId="28866"/>
    <cellStyle name="Normal 3 2 2 2 2 3 4 4 3 6" xfId="28867"/>
    <cellStyle name="Normal 3 2 2 2 2 3 4 4 4" xfId="28868"/>
    <cellStyle name="Normal 3 2 2 2 2 3 4 4 4 2" xfId="28869"/>
    <cellStyle name="Normal 3 2 2 2 2 3 4 4 4 2 2" xfId="28870"/>
    <cellStyle name="Normal 3 2 2 2 2 3 4 4 4 3" xfId="28871"/>
    <cellStyle name="Normal 3 2 2 2 2 3 4 4 4 3 2" xfId="28872"/>
    <cellStyle name="Normal 3 2 2 2 2 3 4 4 4 4" xfId="28873"/>
    <cellStyle name="Normal 3 2 2 2 2 3 4 4 4 4 2" xfId="28874"/>
    <cellStyle name="Normal 3 2 2 2 2 3 4 4 4 5" xfId="28875"/>
    <cellStyle name="Normal 3 2 2 2 2 3 4 4 4 6" xfId="28876"/>
    <cellStyle name="Normal 3 2 2 2 2 3 4 4 5" xfId="28877"/>
    <cellStyle name="Normal 3 2 2 2 2 3 4 4 5 2" xfId="28878"/>
    <cellStyle name="Normal 3 2 2 2 2 3 4 4 5 2 2" xfId="28879"/>
    <cellStyle name="Normal 3 2 2 2 2 3 4 4 5 3" xfId="28880"/>
    <cellStyle name="Normal 3 2 2 2 2 3 4 4 5 3 2" xfId="28881"/>
    <cellStyle name="Normal 3 2 2 2 2 3 4 4 5 4" xfId="28882"/>
    <cellStyle name="Normal 3 2 2 2 2 3 4 4 5 5" xfId="28883"/>
    <cellStyle name="Normal 3 2 2 2 2 3 4 4 6" xfId="28884"/>
    <cellStyle name="Normal 3 2 2 2 2 3 4 4 6 2" xfId="28885"/>
    <cellStyle name="Normal 3 2 2 2 2 3 4 4 7" xfId="28886"/>
    <cellStyle name="Normal 3 2 2 2 2 3 4 4 7 2" xfId="28887"/>
    <cellStyle name="Normal 3 2 2 2 2 3 4 4 8" xfId="28888"/>
    <cellStyle name="Normal 3 2 2 2 2 3 4 4 8 2" xfId="28889"/>
    <cellStyle name="Normal 3 2 2 2 2 3 4 4 9" xfId="28890"/>
    <cellStyle name="Normal 3 2 2 2 2 3 4 5" xfId="28891"/>
    <cellStyle name="Normal 3 2 2 2 2 3 4 5 2" xfId="28892"/>
    <cellStyle name="Normal 3 2 2 2 2 3 4 5 2 2" xfId="28893"/>
    <cellStyle name="Normal 3 2 2 2 2 3 4 5 3" xfId="28894"/>
    <cellStyle name="Normal 3 2 2 2 2 3 4 5 3 2" xfId="28895"/>
    <cellStyle name="Normal 3 2 2 2 2 3 4 5 4" xfId="28896"/>
    <cellStyle name="Normal 3 2 2 2 2 3 4 5 4 2" xfId="28897"/>
    <cellStyle name="Normal 3 2 2 2 2 3 4 5 5" xfId="28898"/>
    <cellStyle name="Normal 3 2 2 2 2 3 4 5 6" xfId="28899"/>
    <cellStyle name="Normal 3 2 2 2 2 3 4 6" xfId="28900"/>
    <cellStyle name="Normal 3 2 2 2 2 3 4 6 2" xfId="28901"/>
    <cellStyle name="Normal 3 2 2 2 2 3 4 6 2 2" xfId="28902"/>
    <cellStyle name="Normal 3 2 2 2 2 3 4 6 3" xfId="28903"/>
    <cellStyle name="Normal 3 2 2 2 2 3 4 6 3 2" xfId="28904"/>
    <cellStyle name="Normal 3 2 2 2 2 3 4 6 4" xfId="28905"/>
    <cellStyle name="Normal 3 2 2 2 2 3 4 6 4 2" xfId="28906"/>
    <cellStyle name="Normal 3 2 2 2 2 3 4 6 5" xfId="28907"/>
    <cellStyle name="Normal 3 2 2 2 2 3 4 6 6" xfId="28908"/>
    <cellStyle name="Normal 3 2 2 2 2 3 4 7" xfId="28909"/>
    <cellStyle name="Normal 3 2 2 2 2 3 4 7 2" xfId="28910"/>
    <cellStyle name="Normal 3 2 2 2 2 3 4 7 2 2" xfId="28911"/>
    <cellStyle name="Normal 3 2 2 2 2 3 4 7 3" xfId="28912"/>
    <cellStyle name="Normal 3 2 2 2 2 3 4 7 3 2" xfId="28913"/>
    <cellStyle name="Normal 3 2 2 2 2 3 4 7 4" xfId="28914"/>
    <cellStyle name="Normal 3 2 2 2 2 3 4 7 4 2" xfId="28915"/>
    <cellStyle name="Normal 3 2 2 2 2 3 4 7 5" xfId="28916"/>
    <cellStyle name="Normal 3 2 2 2 2 3 4 7 6" xfId="28917"/>
    <cellStyle name="Normal 3 2 2 2 2 3 4 8" xfId="28918"/>
    <cellStyle name="Normal 3 2 2 2 2 3 4 8 2" xfId="28919"/>
    <cellStyle name="Normal 3 2 2 2 2 3 4 8 2 2" xfId="28920"/>
    <cellStyle name="Normal 3 2 2 2 2 3 4 8 3" xfId="28921"/>
    <cellStyle name="Normal 3 2 2 2 2 3 4 8 3 2" xfId="28922"/>
    <cellStyle name="Normal 3 2 2 2 2 3 4 8 4" xfId="28923"/>
    <cellStyle name="Normal 3 2 2 2 2 3 4 8 5" xfId="28924"/>
    <cellStyle name="Normal 3 2 2 2 2 3 4 9" xfId="28925"/>
    <cellStyle name="Normal 3 2 2 2 2 3 4 9 2" xfId="28926"/>
    <cellStyle name="Normal 3 2 2 2 2 3 5" xfId="2560"/>
    <cellStyle name="Normal 3 2 2 2 2 3 5 10" xfId="28928"/>
    <cellStyle name="Normal 3 2 2 2 2 3 5 10 2" xfId="28929"/>
    <cellStyle name="Normal 3 2 2 2 2 3 5 11" xfId="28930"/>
    <cellStyle name="Normal 3 2 2 2 2 3 5 12" xfId="28931"/>
    <cellStyle name="Normal 3 2 2 2 2 3 5 13" xfId="28927"/>
    <cellStyle name="Normal 3 2 2 2 2 3 5 2" xfId="2561"/>
    <cellStyle name="Normal 3 2 2 2 2 3 5 2 10" xfId="28933"/>
    <cellStyle name="Normal 3 2 2 2 2 3 5 2 11" xfId="28932"/>
    <cellStyle name="Normal 3 2 2 2 2 3 5 2 2" xfId="28934"/>
    <cellStyle name="Normal 3 2 2 2 2 3 5 2 2 2" xfId="28935"/>
    <cellStyle name="Normal 3 2 2 2 2 3 5 2 2 2 2" xfId="28936"/>
    <cellStyle name="Normal 3 2 2 2 2 3 5 2 2 3" xfId="28937"/>
    <cellStyle name="Normal 3 2 2 2 2 3 5 2 2 3 2" xfId="28938"/>
    <cellStyle name="Normal 3 2 2 2 2 3 5 2 2 4" xfId="28939"/>
    <cellStyle name="Normal 3 2 2 2 2 3 5 2 2 4 2" xfId="28940"/>
    <cellStyle name="Normal 3 2 2 2 2 3 5 2 2 5" xfId="28941"/>
    <cellStyle name="Normal 3 2 2 2 2 3 5 2 2 6" xfId="28942"/>
    <cellStyle name="Normal 3 2 2 2 2 3 5 2 3" xfId="28943"/>
    <cellStyle name="Normal 3 2 2 2 2 3 5 2 3 2" xfId="28944"/>
    <cellStyle name="Normal 3 2 2 2 2 3 5 2 3 2 2" xfId="28945"/>
    <cellStyle name="Normal 3 2 2 2 2 3 5 2 3 3" xfId="28946"/>
    <cellStyle name="Normal 3 2 2 2 2 3 5 2 3 3 2" xfId="28947"/>
    <cellStyle name="Normal 3 2 2 2 2 3 5 2 3 4" xfId="28948"/>
    <cellStyle name="Normal 3 2 2 2 2 3 5 2 3 4 2" xfId="28949"/>
    <cellStyle name="Normal 3 2 2 2 2 3 5 2 3 5" xfId="28950"/>
    <cellStyle name="Normal 3 2 2 2 2 3 5 2 3 6" xfId="28951"/>
    <cellStyle name="Normal 3 2 2 2 2 3 5 2 4" xfId="28952"/>
    <cellStyle name="Normal 3 2 2 2 2 3 5 2 4 2" xfId="28953"/>
    <cellStyle name="Normal 3 2 2 2 2 3 5 2 4 2 2" xfId="28954"/>
    <cellStyle name="Normal 3 2 2 2 2 3 5 2 4 3" xfId="28955"/>
    <cellStyle name="Normal 3 2 2 2 2 3 5 2 4 3 2" xfId="28956"/>
    <cellStyle name="Normal 3 2 2 2 2 3 5 2 4 4" xfId="28957"/>
    <cellStyle name="Normal 3 2 2 2 2 3 5 2 4 4 2" xfId="28958"/>
    <cellStyle name="Normal 3 2 2 2 2 3 5 2 4 5" xfId="28959"/>
    <cellStyle name="Normal 3 2 2 2 2 3 5 2 4 6" xfId="28960"/>
    <cellStyle name="Normal 3 2 2 2 2 3 5 2 5" xfId="28961"/>
    <cellStyle name="Normal 3 2 2 2 2 3 5 2 5 2" xfId="28962"/>
    <cellStyle name="Normal 3 2 2 2 2 3 5 2 5 2 2" xfId="28963"/>
    <cellStyle name="Normal 3 2 2 2 2 3 5 2 5 3" xfId="28964"/>
    <cellStyle name="Normal 3 2 2 2 2 3 5 2 5 3 2" xfId="28965"/>
    <cellStyle name="Normal 3 2 2 2 2 3 5 2 5 4" xfId="28966"/>
    <cellStyle name="Normal 3 2 2 2 2 3 5 2 5 5" xfId="28967"/>
    <cellStyle name="Normal 3 2 2 2 2 3 5 2 6" xfId="28968"/>
    <cellStyle name="Normal 3 2 2 2 2 3 5 2 6 2" xfId="28969"/>
    <cellStyle name="Normal 3 2 2 2 2 3 5 2 7" xfId="28970"/>
    <cellStyle name="Normal 3 2 2 2 2 3 5 2 7 2" xfId="28971"/>
    <cellStyle name="Normal 3 2 2 2 2 3 5 2 8" xfId="28972"/>
    <cellStyle name="Normal 3 2 2 2 2 3 5 2 8 2" xfId="28973"/>
    <cellStyle name="Normal 3 2 2 2 2 3 5 2 9" xfId="28974"/>
    <cellStyle name="Normal 3 2 2 2 2 3 5 3" xfId="28975"/>
    <cellStyle name="Normal 3 2 2 2 2 3 5 3 10" xfId="28976"/>
    <cellStyle name="Normal 3 2 2 2 2 3 5 3 2" xfId="28977"/>
    <cellStyle name="Normal 3 2 2 2 2 3 5 3 2 2" xfId="28978"/>
    <cellStyle name="Normal 3 2 2 2 2 3 5 3 2 2 2" xfId="28979"/>
    <cellStyle name="Normal 3 2 2 2 2 3 5 3 2 3" xfId="28980"/>
    <cellStyle name="Normal 3 2 2 2 2 3 5 3 2 3 2" xfId="28981"/>
    <cellStyle name="Normal 3 2 2 2 2 3 5 3 2 4" xfId="28982"/>
    <cellStyle name="Normal 3 2 2 2 2 3 5 3 2 4 2" xfId="28983"/>
    <cellStyle name="Normal 3 2 2 2 2 3 5 3 2 5" xfId="28984"/>
    <cellStyle name="Normal 3 2 2 2 2 3 5 3 2 6" xfId="28985"/>
    <cellStyle name="Normal 3 2 2 2 2 3 5 3 3" xfId="28986"/>
    <cellStyle name="Normal 3 2 2 2 2 3 5 3 3 2" xfId="28987"/>
    <cellStyle name="Normal 3 2 2 2 2 3 5 3 3 2 2" xfId="28988"/>
    <cellStyle name="Normal 3 2 2 2 2 3 5 3 3 3" xfId="28989"/>
    <cellStyle name="Normal 3 2 2 2 2 3 5 3 3 3 2" xfId="28990"/>
    <cellStyle name="Normal 3 2 2 2 2 3 5 3 3 4" xfId="28991"/>
    <cellStyle name="Normal 3 2 2 2 2 3 5 3 3 4 2" xfId="28992"/>
    <cellStyle name="Normal 3 2 2 2 2 3 5 3 3 5" xfId="28993"/>
    <cellStyle name="Normal 3 2 2 2 2 3 5 3 3 6" xfId="28994"/>
    <cellStyle name="Normal 3 2 2 2 2 3 5 3 4" xfId="28995"/>
    <cellStyle name="Normal 3 2 2 2 2 3 5 3 4 2" xfId="28996"/>
    <cellStyle name="Normal 3 2 2 2 2 3 5 3 4 2 2" xfId="28997"/>
    <cellStyle name="Normal 3 2 2 2 2 3 5 3 4 3" xfId="28998"/>
    <cellStyle name="Normal 3 2 2 2 2 3 5 3 4 3 2" xfId="28999"/>
    <cellStyle name="Normal 3 2 2 2 2 3 5 3 4 4" xfId="29000"/>
    <cellStyle name="Normal 3 2 2 2 2 3 5 3 4 4 2" xfId="29001"/>
    <cellStyle name="Normal 3 2 2 2 2 3 5 3 4 5" xfId="29002"/>
    <cellStyle name="Normal 3 2 2 2 2 3 5 3 4 6" xfId="29003"/>
    <cellStyle name="Normal 3 2 2 2 2 3 5 3 5" xfId="29004"/>
    <cellStyle name="Normal 3 2 2 2 2 3 5 3 5 2" xfId="29005"/>
    <cellStyle name="Normal 3 2 2 2 2 3 5 3 5 2 2" xfId="29006"/>
    <cellStyle name="Normal 3 2 2 2 2 3 5 3 5 3" xfId="29007"/>
    <cellStyle name="Normal 3 2 2 2 2 3 5 3 5 3 2" xfId="29008"/>
    <cellStyle name="Normal 3 2 2 2 2 3 5 3 5 4" xfId="29009"/>
    <cellStyle name="Normal 3 2 2 2 2 3 5 3 5 5" xfId="29010"/>
    <cellStyle name="Normal 3 2 2 2 2 3 5 3 6" xfId="29011"/>
    <cellStyle name="Normal 3 2 2 2 2 3 5 3 6 2" xfId="29012"/>
    <cellStyle name="Normal 3 2 2 2 2 3 5 3 7" xfId="29013"/>
    <cellStyle name="Normal 3 2 2 2 2 3 5 3 7 2" xfId="29014"/>
    <cellStyle name="Normal 3 2 2 2 2 3 5 3 8" xfId="29015"/>
    <cellStyle name="Normal 3 2 2 2 2 3 5 3 8 2" xfId="29016"/>
    <cellStyle name="Normal 3 2 2 2 2 3 5 3 9" xfId="29017"/>
    <cellStyle name="Normal 3 2 2 2 2 3 5 4" xfId="29018"/>
    <cellStyle name="Normal 3 2 2 2 2 3 5 4 2" xfId="29019"/>
    <cellStyle name="Normal 3 2 2 2 2 3 5 4 2 2" xfId="29020"/>
    <cellStyle name="Normal 3 2 2 2 2 3 5 4 3" xfId="29021"/>
    <cellStyle name="Normal 3 2 2 2 2 3 5 4 3 2" xfId="29022"/>
    <cellStyle name="Normal 3 2 2 2 2 3 5 4 4" xfId="29023"/>
    <cellStyle name="Normal 3 2 2 2 2 3 5 4 4 2" xfId="29024"/>
    <cellStyle name="Normal 3 2 2 2 2 3 5 4 5" xfId="29025"/>
    <cellStyle name="Normal 3 2 2 2 2 3 5 4 6" xfId="29026"/>
    <cellStyle name="Normal 3 2 2 2 2 3 5 5" xfId="29027"/>
    <cellStyle name="Normal 3 2 2 2 2 3 5 5 2" xfId="29028"/>
    <cellStyle name="Normal 3 2 2 2 2 3 5 5 2 2" xfId="29029"/>
    <cellStyle name="Normal 3 2 2 2 2 3 5 5 3" xfId="29030"/>
    <cellStyle name="Normal 3 2 2 2 2 3 5 5 3 2" xfId="29031"/>
    <cellStyle name="Normal 3 2 2 2 2 3 5 5 4" xfId="29032"/>
    <cellStyle name="Normal 3 2 2 2 2 3 5 5 4 2" xfId="29033"/>
    <cellStyle name="Normal 3 2 2 2 2 3 5 5 5" xfId="29034"/>
    <cellStyle name="Normal 3 2 2 2 2 3 5 5 6" xfId="29035"/>
    <cellStyle name="Normal 3 2 2 2 2 3 5 6" xfId="29036"/>
    <cellStyle name="Normal 3 2 2 2 2 3 5 6 2" xfId="29037"/>
    <cellStyle name="Normal 3 2 2 2 2 3 5 6 2 2" xfId="29038"/>
    <cellStyle name="Normal 3 2 2 2 2 3 5 6 3" xfId="29039"/>
    <cellStyle name="Normal 3 2 2 2 2 3 5 6 3 2" xfId="29040"/>
    <cellStyle name="Normal 3 2 2 2 2 3 5 6 4" xfId="29041"/>
    <cellStyle name="Normal 3 2 2 2 2 3 5 6 4 2" xfId="29042"/>
    <cellStyle name="Normal 3 2 2 2 2 3 5 6 5" xfId="29043"/>
    <cellStyle name="Normal 3 2 2 2 2 3 5 6 6" xfId="29044"/>
    <cellStyle name="Normal 3 2 2 2 2 3 5 7" xfId="29045"/>
    <cellStyle name="Normal 3 2 2 2 2 3 5 7 2" xfId="29046"/>
    <cellStyle name="Normal 3 2 2 2 2 3 5 7 2 2" xfId="29047"/>
    <cellStyle name="Normal 3 2 2 2 2 3 5 7 3" xfId="29048"/>
    <cellStyle name="Normal 3 2 2 2 2 3 5 7 3 2" xfId="29049"/>
    <cellStyle name="Normal 3 2 2 2 2 3 5 7 4" xfId="29050"/>
    <cellStyle name="Normal 3 2 2 2 2 3 5 7 5" xfId="29051"/>
    <cellStyle name="Normal 3 2 2 2 2 3 5 8" xfId="29052"/>
    <cellStyle name="Normal 3 2 2 2 2 3 5 8 2" xfId="29053"/>
    <cellStyle name="Normal 3 2 2 2 2 3 5 9" xfId="29054"/>
    <cellStyle name="Normal 3 2 2 2 2 3 5 9 2" xfId="29055"/>
    <cellStyle name="Normal 3 2 2 2 2 3 6" xfId="2562"/>
    <cellStyle name="Normal 3 2 2 2 2 3 6 10" xfId="29057"/>
    <cellStyle name="Normal 3 2 2 2 2 3 6 11" xfId="29058"/>
    <cellStyle name="Normal 3 2 2 2 2 3 6 12" xfId="29056"/>
    <cellStyle name="Normal 3 2 2 2 2 3 6 2" xfId="2563"/>
    <cellStyle name="Normal 3 2 2 2 2 3 6 2 2" xfId="29060"/>
    <cellStyle name="Normal 3 2 2 2 2 3 6 2 2 2" xfId="29061"/>
    <cellStyle name="Normal 3 2 2 2 2 3 6 2 3" xfId="29062"/>
    <cellStyle name="Normal 3 2 2 2 2 3 6 2 3 2" xfId="29063"/>
    <cellStyle name="Normal 3 2 2 2 2 3 6 2 4" xfId="29064"/>
    <cellStyle name="Normal 3 2 2 2 2 3 6 2 4 2" xfId="29065"/>
    <cellStyle name="Normal 3 2 2 2 2 3 6 2 5" xfId="29066"/>
    <cellStyle name="Normal 3 2 2 2 2 3 6 2 6" xfId="29067"/>
    <cellStyle name="Normal 3 2 2 2 2 3 6 2 7" xfId="29059"/>
    <cellStyle name="Normal 3 2 2 2 2 3 6 3" xfId="29068"/>
    <cellStyle name="Normal 3 2 2 2 2 3 6 3 2" xfId="29069"/>
    <cellStyle name="Normal 3 2 2 2 2 3 6 3 2 2" xfId="29070"/>
    <cellStyle name="Normal 3 2 2 2 2 3 6 3 3" xfId="29071"/>
    <cellStyle name="Normal 3 2 2 2 2 3 6 3 3 2" xfId="29072"/>
    <cellStyle name="Normal 3 2 2 2 2 3 6 3 4" xfId="29073"/>
    <cellStyle name="Normal 3 2 2 2 2 3 6 3 4 2" xfId="29074"/>
    <cellStyle name="Normal 3 2 2 2 2 3 6 3 5" xfId="29075"/>
    <cellStyle name="Normal 3 2 2 2 2 3 6 3 6" xfId="29076"/>
    <cellStyle name="Normal 3 2 2 2 2 3 6 4" xfId="29077"/>
    <cellStyle name="Normal 3 2 2 2 2 3 6 4 2" xfId="29078"/>
    <cellStyle name="Normal 3 2 2 2 2 3 6 4 2 2" xfId="29079"/>
    <cellStyle name="Normal 3 2 2 2 2 3 6 4 3" xfId="29080"/>
    <cellStyle name="Normal 3 2 2 2 2 3 6 4 3 2" xfId="29081"/>
    <cellStyle name="Normal 3 2 2 2 2 3 6 4 4" xfId="29082"/>
    <cellStyle name="Normal 3 2 2 2 2 3 6 4 4 2" xfId="29083"/>
    <cellStyle name="Normal 3 2 2 2 2 3 6 4 5" xfId="29084"/>
    <cellStyle name="Normal 3 2 2 2 2 3 6 4 6" xfId="29085"/>
    <cellStyle name="Normal 3 2 2 2 2 3 6 5" xfId="29086"/>
    <cellStyle name="Normal 3 2 2 2 2 3 6 5 2" xfId="29087"/>
    <cellStyle name="Normal 3 2 2 2 2 3 6 5 2 2" xfId="29088"/>
    <cellStyle name="Normal 3 2 2 2 2 3 6 5 3" xfId="29089"/>
    <cellStyle name="Normal 3 2 2 2 2 3 6 5 3 2" xfId="29090"/>
    <cellStyle name="Normal 3 2 2 2 2 3 6 5 4" xfId="29091"/>
    <cellStyle name="Normal 3 2 2 2 2 3 6 5 4 2" xfId="29092"/>
    <cellStyle name="Normal 3 2 2 2 2 3 6 5 5" xfId="29093"/>
    <cellStyle name="Normal 3 2 2 2 2 3 6 5 6" xfId="29094"/>
    <cellStyle name="Normal 3 2 2 2 2 3 6 6" xfId="29095"/>
    <cellStyle name="Normal 3 2 2 2 2 3 6 6 2" xfId="29096"/>
    <cellStyle name="Normal 3 2 2 2 2 3 6 6 2 2" xfId="29097"/>
    <cellStyle name="Normal 3 2 2 2 2 3 6 6 3" xfId="29098"/>
    <cellStyle name="Normal 3 2 2 2 2 3 6 6 3 2" xfId="29099"/>
    <cellStyle name="Normal 3 2 2 2 2 3 6 6 4" xfId="29100"/>
    <cellStyle name="Normal 3 2 2 2 2 3 6 6 5" xfId="29101"/>
    <cellStyle name="Normal 3 2 2 2 2 3 6 7" xfId="29102"/>
    <cellStyle name="Normal 3 2 2 2 2 3 6 7 2" xfId="29103"/>
    <cellStyle name="Normal 3 2 2 2 2 3 6 8" xfId="29104"/>
    <cellStyle name="Normal 3 2 2 2 2 3 6 8 2" xfId="29105"/>
    <cellStyle name="Normal 3 2 2 2 2 3 6 9" xfId="29106"/>
    <cellStyle name="Normal 3 2 2 2 2 3 6 9 2" xfId="29107"/>
    <cellStyle name="Normal 3 2 2 2 2 3 7" xfId="2564"/>
    <cellStyle name="Normal 3 2 2 2 2 3 7 10" xfId="29109"/>
    <cellStyle name="Normal 3 2 2 2 2 3 7 11" xfId="29108"/>
    <cellStyle name="Normal 3 2 2 2 2 3 7 2" xfId="29110"/>
    <cellStyle name="Normal 3 2 2 2 2 3 7 2 2" xfId="29111"/>
    <cellStyle name="Normal 3 2 2 2 2 3 7 2 2 2" xfId="29112"/>
    <cellStyle name="Normal 3 2 2 2 2 3 7 2 3" xfId="29113"/>
    <cellStyle name="Normal 3 2 2 2 2 3 7 2 3 2" xfId="29114"/>
    <cellStyle name="Normal 3 2 2 2 2 3 7 2 4" xfId="29115"/>
    <cellStyle name="Normal 3 2 2 2 2 3 7 2 4 2" xfId="29116"/>
    <cellStyle name="Normal 3 2 2 2 2 3 7 2 5" xfId="29117"/>
    <cellStyle name="Normal 3 2 2 2 2 3 7 2 6" xfId="29118"/>
    <cellStyle name="Normal 3 2 2 2 2 3 7 3" xfId="29119"/>
    <cellStyle name="Normal 3 2 2 2 2 3 7 3 2" xfId="29120"/>
    <cellStyle name="Normal 3 2 2 2 2 3 7 3 2 2" xfId="29121"/>
    <cellStyle name="Normal 3 2 2 2 2 3 7 3 3" xfId="29122"/>
    <cellStyle name="Normal 3 2 2 2 2 3 7 3 3 2" xfId="29123"/>
    <cellStyle name="Normal 3 2 2 2 2 3 7 3 4" xfId="29124"/>
    <cellStyle name="Normal 3 2 2 2 2 3 7 3 4 2" xfId="29125"/>
    <cellStyle name="Normal 3 2 2 2 2 3 7 3 5" xfId="29126"/>
    <cellStyle name="Normal 3 2 2 2 2 3 7 3 6" xfId="29127"/>
    <cellStyle name="Normal 3 2 2 2 2 3 7 4" xfId="29128"/>
    <cellStyle name="Normal 3 2 2 2 2 3 7 4 2" xfId="29129"/>
    <cellStyle name="Normal 3 2 2 2 2 3 7 4 2 2" xfId="29130"/>
    <cellStyle name="Normal 3 2 2 2 2 3 7 4 3" xfId="29131"/>
    <cellStyle name="Normal 3 2 2 2 2 3 7 4 3 2" xfId="29132"/>
    <cellStyle name="Normal 3 2 2 2 2 3 7 4 4" xfId="29133"/>
    <cellStyle name="Normal 3 2 2 2 2 3 7 4 4 2" xfId="29134"/>
    <cellStyle name="Normal 3 2 2 2 2 3 7 4 5" xfId="29135"/>
    <cellStyle name="Normal 3 2 2 2 2 3 7 4 6" xfId="29136"/>
    <cellStyle name="Normal 3 2 2 2 2 3 7 5" xfId="29137"/>
    <cellStyle name="Normal 3 2 2 2 2 3 7 5 2" xfId="29138"/>
    <cellStyle name="Normal 3 2 2 2 2 3 7 5 2 2" xfId="29139"/>
    <cellStyle name="Normal 3 2 2 2 2 3 7 5 3" xfId="29140"/>
    <cellStyle name="Normal 3 2 2 2 2 3 7 5 3 2" xfId="29141"/>
    <cellStyle name="Normal 3 2 2 2 2 3 7 5 4" xfId="29142"/>
    <cellStyle name="Normal 3 2 2 2 2 3 7 5 5" xfId="29143"/>
    <cellStyle name="Normal 3 2 2 2 2 3 7 6" xfId="29144"/>
    <cellStyle name="Normal 3 2 2 2 2 3 7 6 2" xfId="29145"/>
    <cellStyle name="Normal 3 2 2 2 2 3 7 7" xfId="29146"/>
    <cellStyle name="Normal 3 2 2 2 2 3 7 7 2" xfId="29147"/>
    <cellStyle name="Normal 3 2 2 2 2 3 7 8" xfId="29148"/>
    <cellStyle name="Normal 3 2 2 2 2 3 7 8 2" xfId="29149"/>
    <cellStyle name="Normal 3 2 2 2 2 3 7 9" xfId="29150"/>
    <cellStyle name="Normal 3 2 2 2 2 3 8" xfId="29151"/>
    <cellStyle name="Normal 3 2 2 2 2 3 8 10" xfId="29152"/>
    <cellStyle name="Normal 3 2 2 2 2 3 8 2" xfId="29153"/>
    <cellStyle name="Normal 3 2 2 2 2 3 8 2 2" xfId="29154"/>
    <cellStyle name="Normal 3 2 2 2 2 3 8 2 2 2" xfId="29155"/>
    <cellStyle name="Normal 3 2 2 2 2 3 8 2 3" xfId="29156"/>
    <cellStyle name="Normal 3 2 2 2 2 3 8 2 3 2" xfId="29157"/>
    <cellStyle name="Normal 3 2 2 2 2 3 8 2 4" xfId="29158"/>
    <cellStyle name="Normal 3 2 2 2 2 3 8 2 4 2" xfId="29159"/>
    <cellStyle name="Normal 3 2 2 2 2 3 8 2 5" xfId="29160"/>
    <cellStyle name="Normal 3 2 2 2 2 3 8 2 6" xfId="29161"/>
    <cellStyle name="Normal 3 2 2 2 2 3 8 3" xfId="29162"/>
    <cellStyle name="Normal 3 2 2 2 2 3 8 3 2" xfId="29163"/>
    <cellStyle name="Normal 3 2 2 2 2 3 8 3 2 2" xfId="29164"/>
    <cellStyle name="Normal 3 2 2 2 2 3 8 3 3" xfId="29165"/>
    <cellStyle name="Normal 3 2 2 2 2 3 8 3 3 2" xfId="29166"/>
    <cellStyle name="Normal 3 2 2 2 2 3 8 3 4" xfId="29167"/>
    <cellStyle name="Normal 3 2 2 2 2 3 8 3 4 2" xfId="29168"/>
    <cellStyle name="Normal 3 2 2 2 2 3 8 3 5" xfId="29169"/>
    <cellStyle name="Normal 3 2 2 2 2 3 8 3 6" xfId="29170"/>
    <cellStyle name="Normal 3 2 2 2 2 3 8 4" xfId="29171"/>
    <cellStyle name="Normal 3 2 2 2 2 3 8 4 2" xfId="29172"/>
    <cellStyle name="Normal 3 2 2 2 2 3 8 4 2 2" xfId="29173"/>
    <cellStyle name="Normal 3 2 2 2 2 3 8 4 3" xfId="29174"/>
    <cellStyle name="Normal 3 2 2 2 2 3 8 4 3 2" xfId="29175"/>
    <cellStyle name="Normal 3 2 2 2 2 3 8 4 4" xfId="29176"/>
    <cellStyle name="Normal 3 2 2 2 2 3 8 4 4 2" xfId="29177"/>
    <cellStyle name="Normal 3 2 2 2 2 3 8 4 5" xfId="29178"/>
    <cellStyle name="Normal 3 2 2 2 2 3 8 4 6" xfId="29179"/>
    <cellStyle name="Normal 3 2 2 2 2 3 8 5" xfId="29180"/>
    <cellStyle name="Normal 3 2 2 2 2 3 8 5 2" xfId="29181"/>
    <cellStyle name="Normal 3 2 2 2 2 3 8 5 2 2" xfId="29182"/>
    <cellStyle name="Normal 3 2 2 2 2 3 8 5 3" xfId="29183"/>
    <cellStyle name="Normal 3 2 2 2 2 3 8 5 3 2" xfId="29184"/>
    <cellStyle name="Normal 3 2 2 2 2 3 8 5 4" xfId="29185"/>
    <cellStyle name="Normal 3 2 2 2 2 3 8 5 5" xfId="29186"/>
    <cellStyle name="Normal 3 2 2 2 2 3 8 6" xfId="29187"/>
    <cellStyle name="Normal 3 2 2 2 2 3 8 6 2" xfId="29188"/>
    <cellStyle name="Normal 3 2 2 2 2 3 8 7" xfId="29189"/>
    <cellStyle name="Normal 3 2 2 2 2 3 8 7 2" xfId="29190"/>
    <cellStyle name="Normal 3 2 2 2 2 3 8 8" xfId="29191"/>
    <cellStyle name="Normal 3 2 2 2 2 3 8 8 2" xfId="29192"/>
    <cellStyle name="Normal 3 2 2 2 2 3 8 9" xfId="29193"/>
    <cellStyle name="Normal 3 2 2 2 2 3 9" xfId="29194"/>
    <cellStyle name="Normal 3 2 2 2 2 3 9 2" xfId="29195"/>
    <cellStyle name="Normal 3 2 2 2 2 3 9 2 2" xfId="29196"/>
    <cellStyle name="Normal 3 2 2 2 2 3 9 3" xfId="29197"/>
    <cellStyle name="Normal 3 2 2 2 2 3 9 3 2" xfId="29198"/>
    <cellStyle name="Normal 3 2 2 2 2 3 9 4" xfId="29199"/>
    <cellStyle name="Normal 3 2 2 2 2 3 9 4 2" xfId="29200"/>
    <cellStyle name="Normal 3 2 2 2 2 3 9 5" xfId="29201"/>
    <cellStyle name="Normal 3 2 2 2 2 3 9 6" xfId="29202"/>
    <cellStyle name="Normal 3 2 2 2 2 4" xfId="2565"/>
    <cellStyle name="Normal 3 2 2 2 2 4 10" xfId="29204"/>
    <cellStyle name="Normal 3 2 2 2 2 4 10 2" xfId="29205"/>
    <cellStyle name="Normal 3 2 2 2 2 4 10 2 2" xfId="29206"/>
    <cellStyle name="Normal 3 2 2 2 2 4 10 3" xfId="29207"/>
    <cellStyle name="Normal 3 2 2 2 2 4 10 3 2" xfId="29208"/>
    <cellStyle name="Normal 3 2 2 2 2 4 10 4" xfId="29209"/>
    <cellStyle name="Normal 3 2 2 2 2 4 10 4 2" xfId="29210"/>
    <cellStyle name="Normal 3 2 2 2 2 4 10 5" xfId="29211"/>
    <cellStyle name="Normal 3 2 2 2 2 4 10 6" xfId="29212"/>
    <cellStyle name="Normal 3 2 2 2 2 4 11" xfId="29213"/>
    <cellStyle name="Normal 3 2 2 2 2 4 11 2" xfId="29214"/>
    <cellStyle name="Normal 3 2 2 2 2 4 11 2 2" xfId="29215"/>
    <cellStyle name="Normal 3 2 2 2 2 4 11 3" xfId="29216"/>
    <cellStyle name="Normal 3 2 2 2 2 4 11 3 2" xfId="29217"/>
    <cellStyle name="Normal 3 2 2 2 2 4 11 4" xfId="29218"/>
    <cellStyle name="Normal 3 2 2 2 2 4 11 5" xfId="29219"/>
    <cellStyle name="Normal 3 2 2 2 2 4 12" xfId="29220"/>
    <cellStyle name="Normal 3 2 2 2 2 4 12 2" xfId="29221"/>
    <cellStyle name="Normal 3 2 2 2 2 4 13" xfId="29222"/>
    <cellStyle name="Normal 3 2 2 2 2 4 13 2" xfId="29223"/>
    <cellStyle name="Normal 3 2 2 2 2 4 14" xfId="29224"/>
    <cellStyle name="Normal 3 2 2 2 2 4 14 2" xfId="29225"/>
    <cellStyle name="Normal 3 2 2 2 2 4 15" xfId="29226"/>
    <cellStyle name="Normal 3 2 2 2 2 4 16" xfId="29227"/>
    <cellStyle name="Normal 3 2 2 2 2 4 17" xfId="29203"/>
    <cellStyle name="Normal 3 2 2 2 2 4 2" xfId="2566"/>
    <cellStyle name="Normal 3 2 2 2 2 4 2 10" xfId="29229"/>
    <cellStyle name="Normal 3 2 2 2 2 4 2 10 2" xfId="29230"/>
    <cellStyle name="Normal 3 2 2 2 2 4 2 11" xfId="29231"/>
    <cellStyle name="Normal 3 2 2 2 2 4 2 11 2" xfId="29232"/>
    <cellStyle name="Normal 3 2 2 2 2 4 2 12" xfId="29233"/>
    <cellStyle name="Normal 3 2 2 2 2 4 2 13" xfId="29234"/>
    <cellStyle name="Normal 3 2 2 2 2 4 2 14" xfId="29228"/>
    <cellStyle name="Normal 3 2 2 2 2 4 2 2" xfId="2567"/>
    <cellStyle name="Normal 3 2 2 2 2 4 2 2 10" xfId="29236"/>
    <cellStyle name="Normal 3 2 2 2 2 4 2 2 11" xfId="29237"/>
    <cellStyle name="Normal 3 2 2 2 2 4 2 2 12" xfId="29235"/>
    <cellStyle name="Normal 3 2 2 2 2 4 2 2 2" xfId="2568"/>
    <cellStyle name="Normal 3 2 2 2 2 4 2 2 2 2" xfId="29239"/>
    <cellStyle name="Normal 3 2 2 2 2 4 2 2 2 2 2" xfId="29240"/>
    <cellStyle name="Normal 3 2 2 2 2 4 2 2 2 3" xfId="29241"/>
    <cellStyle name="Normal 3 2 2 2 2 4 2 2 2 3 2" xfId="29242"/>
    <cellStyle name="Normal 3 2 2 2 2 4 2 2 2 4" xfId="29243"/>
    <cellStyle name="Normal 3 2 2 2 2 4 2 2 2 4 2" xfId="29244"/>
    <cellStyle name="Normal 3 2 2 2 2 4 2 2 2 5" xfId="29245"/>
    <cellStyle name="Normal 3 2 2 2 2 4 2 2 2 6" xfId="29246"/>
    <cellStyle name="Normal 3 2 2 2 2 4 2 2 2 7" xfId="29238"/>
    <cellStyle name="Normal 3 2 2 2 2 4 2 2 3" xfId="2569"/>
    <cellStyle name="Normal 3 2 2 2 2 4 2 2 3 2" xfId="29248"/>
    <cellStyle name="Normal 3 2 2 2 2 4 2 2 3 2 2" xfId="29249"/>
    <cellStyle name="Normal 3 2 2 2 2 4 2 2 3 3" xfId="29250"/>
    <cellStyle name="Normal 3 2 2 2 2 4 2 2 3 3 2" xfId="29251"/>
    <cellStyle name="Normal 3 2 2 2 2 4 2 2 3 4" xfId="29252"/>
    <cellStyle name="Normal 3 2 2 2 2 4 2 2 3 4 2" xfId="29253"/>
    <cellStyle name="Normal 3 2 2 2 2 4 2 2 3 5" xfId="29254"/>
    <cellStyle name="Normal 3 2 2 2 2 4 2 2 3 6" xfId="29255"/>
    <cellStyle name="Normal 3 2 2 2 2 4 2 2 3 7" xfId="29247"/>
    <cellStyle name="Normal 3 2 2 2 2 4 2 2 4" xfId="29256"/>
    <cellStyle name="Normal 3 2 2 2 2 4 2 2 4 2" xfId="29257"/>
    <cellStyle name="Normal 3 2 2 2 2 4 2 2 4 2 2" xfId="29258"/>
    <cellStyle name="Normal 3 2 2 2 2 4 2 2 4 3" xfId="29259"/>
    <cellStyle name="Normal 3 2 2 2 2 4 2 2 4 3 2" xfId="29260"/>
    <cellStyle name="Normal 3 2 2 2 2 4 2 2 4 4" xfId="29261"/>
    <cellStyle name="Normal 3 2 2 2 2 4 2 2 4 4 2" xfId="29262"/>
    <cellStyle name="Normal 3 2 2 2 2 4 2 2 4 5" xfId="29263"/>
    <cellStyle name="Normal 3 2 2 2 2 4 2 2 4 6" xfId="29264"/>
    <cellStyle name="Normal 3 2 2 2 2 4 2 2 5" xfId="29265"/>
    <cellStyle name="Normal 3 2 2 2 2 4 2 2 5 2" xfId="29266"/>
    <cellStyle name="Normal 3 2 2 2 2 4 2 2 5 2 2" xfId="29267"/>
    <cellStyle name="Normal 3 2 2 2 2 4 2 2 5 3" xfId="29268"/>
    <cellStyle name="Normal 3 2 2 2 2 4 2 2 5 3 2" xfId="29269"/>
    <cellStyle name="Normal 3 2 2 2 2 4 2 2 5 4" xfId="29270"/>
    <cellStyle name="Normal 3 2 2 2 2 4 2 2 5 4 2" xfId="29271"/>
    <cellStyle name="Normal 3 2 2 2 2 4 2 2 5 5" xfId="29272"/>
    <cellStyle name="Normal 3 2 2 2 2 4 2 2 5 6" xfId="29273"/>
    <cellStyle name="Normal 3 2 2 2 2 4 2 2 6" xfId="29274"/>
    <cellStyle name="Normal 3 2 2 2 2 4 2 2 6 2" xfId="29275"/>
    <cellStyle name="Normal 3 2 2 2 2 4 2 2 6 2 2" xfId="29276"/>
    <cellStyle name="Normal 3 2 2 2 2 4 2 2 6 3" xfId="29277"/>
    <cellStyle name="Normal 3 2 2 2 2 4 2 2 6 3 2" xfId="29278"/>
    <cellStyle name="Normal 3 2 2 2 2 4 2 2 6 4" xfId="29279"/>
    <cellStyle name="Normal 3 2 2 2 2 4 2 2 6 5" xfId="29280"/>
    <cellStyle name="Normal 3 2 2 2 2 4 2 2 7" xfId="29281"/>
    <cellStyle name="Normal 3 2 2 2 2 4 2 2 7 2" xfId="29282"/>
    <cellStyle name="Normal 3 2 2 2 2 4 2 2 8" xfId="29283"/>
    <cellStyle name="Normal 3 2 2 2 2 4 2 2 8 2" xfId="29284"/>
    <cellStyle name="Normal 3 2 2 2 2 4 2 2 9" xfId="29285"/>
    <cellStyle name="Normal 3 2 2 2 2 4 2 2 9 2" xfId="29286"/>
    <cellStyle name="Normal 3 2 2 2 2 4 2 3" xfId="2570"/>
    <cellStyle name="Normal 3 2 2 2 2 4 2 3 10" xfId="29288"/>
    <cellStyle name="Normal 3 2 2 2 2 4 2 3 11" xfId="29287"/>
    <cellStyle name="Normal 3 2 2 2 2 4 2 3 2" xfId="2571"/>
    <cellStyle name="Normal 3 2 2 2 2 4 2 3 2 2" xfId="29290"/>
    <cellStyle name="Normal 3 2 2 2 2 4 2 3 2 2 2" xfId="29291"/>
    <cellStyle name="Normal 3 2 2 2 2 4 2 3 2 3" xfId="29292"/>
    <cellStyle name="Normal 3 2 2 2 2 4 2 3 2 3 2" xfId="29293"/>
    <cellStyle name="Normal 3 2 2 2 2 4 2 3 2 4" xfId="29294"/>
    <cellStyle name="Normal 3 2 2 2 2 4 2 3 2 4 2" xfId="29295"/>
    <cellStyle name="Normal 3 2 2 2 2 4 2 3 2 5" xfId="29296"/>
    <cellStyle name="Normal 3 2 2 2 2 4 2 3 2 6" xfId="29297"/>
    <cellStyle name="Normal 3 2 2 2 2 4 2 3 2 7" xfId="29289"/>
    <cellStyle name="Normal 3 2 2 2 2 4 2 3 3" xfId="29298"/>
    <cellStyle name="Normal 3 2 2 2 2 4 2 3 3 2" xfId="29299"/>
    <cellStyle name="Normal 3 2 2 2 2 4 2 3 3 2 2" xfId="29300"/>
    <cellStyle name="Normal 3 2 2 2 2 4 2 3 3 3" xfId="29301"/>
    <cellStyle name="Normal 3 2 2 2 2 4 2 3 3 3 2" xfId="29302"/>
    <cellStyle name="Normal 3 2 2 2 2 4 2 3 3 4" xfId="29303"/>
    <cellStyle name="Normal 3 2 2 2 2 4 2 3 3 4 2" xfId="29304"/>
    <cellStyle name="Normal 3 2 2 2 2 4 2 3 3 5" xfId="29305"/>
    <cellStyle name="Normal 3 2 2 2 2 4 2 3 3 6" xfId="29306"/>
    <cellStyle name="Normal 3 2 2 2 2 4 2 3 4" xfId="29307"/>
    <cellStyle name="Normal 3 2 2 2 2 4 2 3 4 2" xfId="29308"/>
    <cellStyle name="Normal 3 2 2 2 2 4 2 3 4 2 2" xfId="29309"/>
    <cellStyle name="Normal 3 2 2 2 2 4 2 3 4 3" xfId="29310"/>
    <cellStyle name="Normal 3 2 2 2 2 4 2 3 4 3 2" xfId="29311"/>
    <cellStyle name="Normal 3 2 2 2 2 4 2 3 4 4" xfId="29312"/>
    <cellStyle name="Normal 3 2 2 2 2 4 2 3 4 4 2" xfId="29313"/>
    <cellStyle name="Normal 3 2 2 2 2 4 2 3 4 5" xfId="29314"/>
    <cellStyle name="Normal 3 2 2 2 2 4 2 3 4 6" xfId="29315"/>
    <cellStyle name="Normal 3 2 2 2 2 4 2 3 5" xfId="29316"/>
    <cellStyle name="Normal 3 2 2 2 2 4 2 3 5 2" xfId="29317"/>
    <cellStyle name="Normal 3 2 2 2 2 4 2 3 5 2 2" xfId="29318"/>
    <cellStyle name="Normal 3 2 2 2 2 4 2 3 5 3" xfId="29319"/>
    <cellStyle name="Normal 3 2 2 2 2 4 2 3 5 3 2" xfId="29320"/>
    <cellStyle name="Normal 3 2 2 2 2 4 2 3 5 4" xfId="29321"/>
    <cellStyle name="Normal 3 2 2 2 2 4 2 3 5 5" xfId="29322"/>
    <cellStyle name="Normal 3 2 2 2 2 4 2 3 6" xfId="29323"/>
    <cellStyle name="Normal 3 2 2 2 2 4 2 3 6 2" xfId="29324"/>
    <cellStyle name="Normal 3 2 2 2 2 4 2 3 7" xfId="29325"/>
    <cellStyle name="Normal 3 2 2 2 2 4 2 3 7 2" xfId="29326"/>
    <cellStyle name="Normal 3 2 2 2 2 4 2 3 8" xfId="29327"/>
    <cellStyle name="Normal 3 2 2 2 2 4 2 3 8 2" xfId="29328"/>
    <cellStyle name="Normal 3 2 2 2 2 4 2 3 9" xfId="29329"/>
    <cellStyle name="Normal 3 2 2 2 2 4 2 4" xfId="2572"/>
    <cellStyle name="Normal 3 2 2 2 2 4 2 4 10" xfId="29331"/>
    <cellStyle name="Normal 3 2 2 2 2 4 2 4 11" xfId="29330"/>
    <cellStyle name="Normal 3 2 2 2 2 4 2 4 2" xfId="2573"/>
    <cellStyle name="Normal 3 2 2 2 2 4 2 4 2 2" xfId="29333"/>
    <cellStyle name="Normal 3 2 2 2 2 4 2 4 2 2 2" xfId="29334"/>
    <cellStyle name="Normal 3 2 2 2 2 4 2 4 2 3" xfId="29335"/>
    <cellStyle name="Normal 3 2 2 2 2 4 2 4 2 3 2" xfId="29336"/>
    <cellStyle name="Normal 3 2 2 2 2 4 2 4 2 4" xfId="29337"/>
    <cellStyle name="Normal 3 2 2 2 2 4 2 4 2 4 2" xfId="29338"/>
    <cellStyle name="Normal 3 2 2 2 2 4 2 4 2 5" xfId="29339"/>
    <cellStyle name="Normal 3 2 2 2 2 4 2 4 2 6" xfId="29340"/>
    <cellStyle name="Normal 3 2 2 2 2 4 2 4 2 7" xfId="29332"/>
    <cellStyle name="Normal 3 2 2 2 2 4 2 4 3" xfId="29341"/>
    <cellStyle name="Normal 3 2 2 2 2 4 2 4 3 2" xfId="29342"/>
    <cellStyle name="Normal 3 2 2 2 2 4 2 4 3 2 2" xfId="29343"/>
    <cellStyle name="Normal 3 2 2 2 2 4 2 4 3 3" xfId="29344"/>
    <cellStyle name="Normal 3 2 2 2 2 4 2 4 3 3 2" xfId="29345"/>
    <cellStyle name="Normal 3 2 2 2 2 4 2 4 3 4" xfId="29346"/>
    <cellStyle name="Normal 3 2 2 2 2 4 2 4 3 4 2" xfId="29347"/>
    <cellStyle name="Normal 3 2 2 2 2 4 2 4 3 5" xfId="29348"/>
    <cellStyle name="Normal 3 2 2 2 2 4 2 4 3 6" xfId="29349"/>
    <cellStyle name="Normal 3 2 2 2 2 4 2 4 4" xfId="29350"/>
    <cellStyle name="Normal 3 2 2 2 2 4 2 4 4 2" xfId="29351"/>
    <cellStyle name="Normal 3 2 2 2 2 4 2 4 4 2 2" xfId="29352"/>
    <cellStyle name="Normal 3 2 2 2 2 4 2 4 4 3" xfId="29353"/>
    <cellStyle name="Normal 3 2 2 2 2 4 2 4 4 3 2" xfId="29354"/>
    <cellStyle name="Normal 3 2 2 2 2 4 2 4 4 4" xfId="29355"/>
    <cellStyle name="Normal 3 2 2 2 2 4 2 4 4 4 2" xfId="29356"/>
    <cellStyle name="Normal 3 2 2 2 2 4 2 4 4 5" xfId="29357"/>
    <cellStyle name="Normal 3 2 2 2 2 4 2 4 4 6" xfId="29358"/>
    <cellStyle name="Normal 3 2 2 2 2 4 2 4 5" xfId="29359"/>
    <cellStyle name="Normal 3 2 2 2 2 4 2 4 5 2" xfId="29360"/>
    <cellStyle name="Normal 3 2 2 2 2 4 2 4 5 2 2" xfId="29361"/>
    <cellStyle name="Normal 3 2 2 2 2 4 2 4 5 3" xfId="29362"/>
    <cellStyle name="Normal 3 2 2 2 2 4 2 4 5 3 2" xfId="29363"/>
    <cellStyle name="Normal 3 2 2 2 2 4 2 4 5 4" xfId="29364"/>
    <cellStyle name="Normal 3 2 2 2 2 4 2 4 5 5" xfId="29365"/>
    <cellStyle name="Normal 3 2 2 2 2 4 2 4 6" xfId="29366"/>
    <cellStyle name="Normal 3 2 2 2 2 4 2 4 6 2" xfId="29367"/>
    <cellStyle name="Normal 3 2 2 2 2 4 2 4 7" xfId="29368"/>
    <cellStyle name="Normal 3 2 2 2 2 4 2 4 7 2" xfId="29369"/>
    <cellStyle name="Normal 3 2 2 2 2 4 2 4 8" xfId="29370"/>
    <cellStyle name="Normal 3 2 2 2 2 4 2 4 8 2" xfId="29371"/>
    <cellStyle name="Normal 3 2 2 2 2 4 2 4 9" xfId="29372"/>
    <cellStyle name="Normal 3 2 2 2 2 4 2 5" xfId="2574"/>
    <cellStyle name="Normal 3 2 2 2 2 4 2 5 2" xfId="29374"/>
    <cellStyle name="Normal 3 2 2 2 2 4 2 5 2 2" xfId="29375"/>
    <cellStyle name="Normal 3 2 2 2 2 4 2 5 3" xfId="29376"/>
    <cellStyle name="Normal 3 2 2 2 2 4 2 5 3 2" xfId="29377"/>
    <cellStyle name="Normal 3 2 2 2 2 4 2 5 4" xfId="29378"/>
    <cellStyle name="Normal 3 2 2 2 2 4 2 5 4 2" xfId="29379"/>
    <cellStyle name="Normal 3 2 2 2 2 4 2 5 5" xfId="29380"/>
    <cellStyle name="Normal 3 2 2 2 2 4 2 5 6" xfId="29381"/>
    <cellStyle name="Normal 3 2 2 2 2 4 2 5 7" xfId="29373"/>
    <cellStyle name="Normal 3 2 2 2 2 4 2 6" xfId="29382"/>
    <cellStyle name="Normal 3 2 2 2 2 4 2 6 2" xfId="29383"/>
    <cellStyle name="Normal 3 2 2 2 2 4 2 6 2 2" xfId="29384"/>
    <cellStyle name="Normal 3 2 2 2 2 4 2 6 3" xfId="29385"/>
    <cellStyle name="Normal 3 2 2 2 2 4 2 6 3 2" xfId="29386"/>
    <cellStyle name="Normal 3 2 2 2 2 4 2 6 4" xfId="29387"/>
    <cellStyle name="Normal 3 2 2 2 2 4 2 6 4 2" xfId="29388"/>
    <cellStyle name="Normal 3 2 2 2 2 4 2 6 5" xfId="29389"/>
    <cellStyle name="Normal 3 2 2 2 2 4 2 6 6" xfId="29390"/>
    <cellStyle name="Normal 3 2 2 2 2 4 2 7" xfId="29391"/>
    <cellStyle name="Normal 3 2 2 2 2 4 2 7 2" xfId="29392"/>
    <cellStyle name="Normal 3 2 2 2 2 4 2 7 2 2" xfId="29393"/>
    <cellStyle name="Normal 3 2 2 2 2 4 2 7 3" xfId="29394"/>
    <cellStyle name="Normal 3 2 2 2 2 4 2 7 3 2" xfId="29395"/>
    <cellStyle name="Normal 3 2 2 2 2 4 2 7 4" xfId="29396"/>
    <cellStyle name="Normal 3 2 2 2 2 4 2 7 4 2" xfId="29397"/>
    <cellStyle name="Normal 3 2 2 2 2 4 2 7 5" xfId="29398"/>
    <cellStyle name="Normal 3 2 2 2 2 4 2 7 6" xfId="29399"/>
    <cellStyle name="Normal 3 2 2 2 2 4 2 8" xfId="29400"/>
    <cellStyle name="Normal 3 2 2 2 2 4 2 8 2" xfId="29401"/>
    <cellStyle name="Normal 3 2 2 2 2 4 2 8 2 2" xfId="29402"/>
    <cellStyle name="Normal 3 2 2 2 2 4 2 8 3" xfId="29403"/>
    <cellStyle name="Normal 3 2 2 2 2 4 2 8 3 2" xfId="29404"/>
    <cellStyle name="Normal 3 2 2 2 2 4 2 8 4" xfId="29405"/>
    <cellStyle name="Normal 3 2 2 2 2 4 2 8 5" xfId="29406"/>
    <cellStyle name="Normal 3 2 2 2 2 4 2 9" xfId="29407"/>
    <cellStyle name="Normal 3 2 2 2 2 4 2 9 2" xfId="29408"/>
    <cellStyle name="Normal 3 2 2 2 2 4 3" xfId="2575"/>
    <cellStyle name="Normal 3 2 2 2 2 4 3 10" xfId="29410"/>
    <cellStyle name="Normal 3 2 2 2 2 4 3 10 2" xfId="29411"/>
    <cellStyle name="Normal 3 2 2 2 2 4 3 11" xfId="29412"/>
    <cellStyle name="Normal 3 2 2 2 2 4 3 11 2" xfId="29413"/>
    <cellStyle name="Normal 3 2 2 2 2 4 3 12" xfId="29414"/>
    <cellStyle name="Normal 3 2 2 2 2 4 3 13" xfId="29415"/>
    <cellStyle name="Normal 3 2 2 2 2 4 3 14" xfId="29409"/>
    <cellStyle name="Normal 3 2 2 2 2 4 3 2" xfId="2576"/>
    <cellStyle name="Normal 3 2 2 2 2 4 3 2 10" xfId="29417"/>
    <cellStyle name="Normal 3 2 2 2 2 4 3 2 11" xfId="29418"/>
    <cellStyle name="Normal 3 2 2 2 2 4 3 2 12" xfId="29416"/>
    <cellStyle name="Normal 3 2 2 2 2 4 3 2 2" xfId="2577"/>
    <cellStyle name="Normal 3 2 2 2 2 4 3 2 2 2" xfId="29420"/>
    <cellStyle name="Normal 3 2 2 2 2 4 3 2 2 2 2" xfId="29421"/>
    <cellStyle name="Normal 3 2 2 2 2 4 3 2 2 3" xfId="29422"/>
    <cellStyle name="Normal 3 2 2 2 2 4 3 2 2 3 2" xfId="29423"/>
    <cellStyle name="Normal 3 2 2 2 2 4 3 2 2 4" xfId="29424"/>
    <cellStyle name="Normal 3 2 2 2 2 4 3 2 2 4 2" xfId="29425"/>
    <cellStyle name="Normal 3 2 2 2 2 4 3 2 2 5" xfId="29426"/>
    <cellStyle name="Normal 3 2 2 2 2 4 3 2 2 6" xfId="29427"/>
    <cellStyle name="Normal 3 2 2 2 2 4 3 2 2 7" xfId="29419"/>
    <cellStyle name="Normal 3 2 2 2 2 4 3 2 3" xfId="29428"/>
    <cellStyle name="Normal 3 2 2 2 2 4 3 2 3 2" xfId="29429"/>
    <cellStyle name="Normal 3 2 2 2 2 4 3 2 3 2 2" xfId="29430"/>
    <cellStyle name="Normal 3 2 2 2 2 4 3 2 3 3" xfId="29431"/>
    <cellStyle name="Normal 3 2 2 2 2 4 3 2 3 3 2" xfId="29432"/>
    <cellStyle name="Normal 3 2 2 2 2 4 3 2 3 4" xfId="29433"/>
    <cellStyle name="Normal 3 2 2 2 2 4 3 2 3 4 2" xfId="29434"/>
    <cellStyle name="Normal 3 2 2 2 2 4 3 2 3 5" xfId="29435"/>
    <cellStyle name="Normal 3 2 2 2 2 4 3 2 3 6" xfId="29436"/>
    <cellStyle name="Normal 3 2 2 2 2 4 3 2 4" xfId="29437"/>
    <cellStyle name="Normal 3 2 2 2 2 4 3 2 4 2" xfId="29438"/>
    <cellStyle name="Normal 3 2 2 2 2 4 3 2 4 2 2" xfId="29439"/>
    <cellStyle name="Normal 3 2 2 2 2 4 3 2 4 3" xfId="29440"/>
    <cellStyle name="Normal 3 2 2 2 2 4 3 2 4 3 2" xfId="29441"/>
    <cellStyle name="Normal 3 2 2 2 2 4 3 2 4 4" xfId="29442"/>
    <cellStyle name="Normal 3 2 2 2 2 4 3 2 4 4 2" xfId="29443"/>
    <cellStyle name="Normal 3 2 2 2 2 4 3 2 4 5" xfId="29444"/>
    <cellStyle name="Normal 3 2 2 2 2 4 3 2 4 6" xfId="29445"/>
    <cellStyle name="Normal 3 2 2 2 2 4 3 2 5" xfId="29446"/>
    <cellStyle name="Normal 3 2 2 2 2 4 3 2 5 2" xfId="29447"/>
    <cellStyle name="Normal 3 2 2 2 2 4 3 2 5 2 2" xfId="29448"/>
    <cellStyle name="Normal 3 2 2 2 2 4 3 2 5 3" xfId="29449"/>
    <cellStyle name="Normal 3 2 2 2 2 4 3 2 5 3 2" xfId="29450"/>
    <cellStyle name="Normal 3 2 2 2 2 4 3 2 5 4" xfId="29451"/>
    <cellStyle name="Normal 3 2 2 2 2 4 3 2 5 4 2" xfId="29452"/>
    <cellStyle name="Normal 3 2 2 2 2 4 3 2 5 5" xfId="29453"/>
    <cellStyle name="Normal 3 2 2 2 2 4 3 2 5 6" xfId="29454"/>
    <cellStyle name="Normal 3 2 2 2 2 4 3 2 6" xfId="29455"/>
    <cellStyle name="Normal 3 2 2 2 2 4 3 2 6 2" xfId="29456"/>
    <cellStyle name="Normal 3 2 2 2 2 4 3 2 6 2 2" xfId="29457"/>
    <cellStyle name="Normal 3 2 2 2 2 4 3 2 6 3" xfId="29458"/>
    <cellStyle name="Normal 3 2 2 2 2 4 3 2 6 3 2" xfId="29459"/>
    <cellStyle name="Normal 3 2 2 2 2 4 3 2 6 4" xfId="29460"/>
    <cellStyle name="Normal 3 2 2 2 2 4 3 2 6 5" xfId="29461"/>
    <cellStyle name="Normal 3 2 2 2 2 4 3 2 7" xfId="29462"/>
    <cellStyle name="Normal 3 2 2 2 2 4 3 2 7 2" xfId="29463"/>
    <cellStyle name="Normal 3 2 2 2 2 4 3 2 8" xfId="29464"/>
    <cellStyle name="Normal 3 2 2 2 2 4 3 2 8 2" xfId="29465"/>
    <cellStyle name="Normal 3 2 2 2 2 4 3 2 9" xfId="29466"/>
    <cellStyle name="Normal 3 2 2 2 2 4 3 2 9 2" xfId="29467"/>
    <cellStyle name="Normal 3 2 2 2 2 4 3 3" xfId="2578"/>
    <cellStyle name="Normal 3 2 2 2 2 4 3 3 10" xfId="29469"/>
    <cellStyle name="Normal 3 2 2 2 2 4 3 3 11" xfId="29468"/>
    <cellStyle name="Normal 3 2 2 2 2 4 3 3 2" xfId="2579"/>
    <cellStyle name="Normal 3 2 2 2 2 4 3 3 2 2" xfId="29471"/>
    <cellStyle name="Normal 3 2 2 2 2 4 3 3 2 2 2" xfId="29472"/>
    <cellStyle name="Normal 3 2 2 2 2 4 3 3 2 3" xfId="29473"/>
    <cellStyle name="Normal 3 2 2 2 2 4 3 3 2 3 2" xfId="29474"/>
    <cellStyle name="Normal 3 2 2 2 2 4 3 3 2 4" xfId="29475"/>
    <cellStyle name="Normal 3 2 2 2 2 4 3 3 2 4 2" xfId="29476"/>
    <cellStyle name="Normal 3 2 2 2 2 4 3 3 2 5" xfId="29477"/>
    <cellStyle name="Normal 3 2 2 2 2 4 3 3 2 6" xfId="29478"/>
    <cellStyle name="Normal 3 2 2 2 2 4 3 3 2 7" xfId="29470"/>
    <cellStyle name="Normal 3 2 2 2 2 4 3 3 3" xfId="29479"/>
    <cellStyle name="Normal 3 2 2 2 2 4 3 3 3 2" xfId="29480"/>
    <cellStyle name="Normal 3 2 2 2 2 4 3 3 3 2 2" xfId="29481"/>
    <cellStyle name="Normal 3 2 2 2 2 4 3 3 3 3" xfId="29482"/>
    <cellStyle name="Normal 3 2 2 2 2 4 3 3 3 3 2" xfId="29483"/>
    <cellStyle name="Normal 3 2 2 2 2 4 3 3 3 4" xfId="29484"/>
    <cellStyle name="Normal 3 2 2 2 2 4 3 3 3 4 2" xfId="29485"/>
    <cellStyle name="Normal 3 2 2 2 2 4 3 3 3 5" xfId="29486"/>
    <cellStyle name="Normal 3 2 2 2 2 4 3 3 3 6" xfId="29487"/>
    <cellStyle name="Normal 3 2 2 2 2 4 3 3 4" xfId="29488"/>
    <cellStyle name="Normal 3 2 2 2 2 4 3 3 4 2" xfId="29489"/>
    <cellStyle name="Normal 3 2 2 2 2 4 3 3 4 2 2" xfId="29490"/>
    <cellStyle name="Normal 3 2 2 2 2 4 3 3 4 3" xfId="29491"/>
    <cellStyle name="Normal 3 2 2 2 2 4 3 3 4 3 2" xfId="29492"/>
    <cellStyle name="Normal 3 2 2 2 2 4 3 3 4 4" xfId="29493"/>
    <cellStyle name="Normal 3 2 2 2 2 4 3 3 4 4 2" xfId="29494"/>
    <cellStyle name="Normal 3 2 2 2 2 4 3 3 4 5" xfId="29495"/>
    <cellStyle name="Normal 3 2 2 2 2 4 3 3 4 6" xfId="29496"/>
    <cellStyle name="Normal 3 2 2 2 2 4 3 3 5" xfId="29497"/>
    <cellStyle name="Normal 3 2 2 2 2 4 3 3 5 2" xfId="29498"/>
    <cellStyle name="Normal 3 2 2 2 2 4 3 3 5 2 2" xfId="29499"/>
    <cellStyle name="Normal 3 2 2 2 2 4 3 3 5 3" xfId="29500"/>
    <cellStyle name="Normal 3 2 2 2 2 4 3 3 5 3 2" xfId="29501"/>
    <cellStyle name="Normal 3 2 2 2 2 4 3 3 5 4" xfId="29502"/>
    <cellStyle name="Normal 3 2 2 2 2 4 3 3 5 5" xfId="29503"/>
    <cellStyle name="Normal 3 2 2 2 2 4 3 3 6" xfId="29504"/>
    <cellStyle name="Normal 3 2 2 2 2 4 3 3 6 2" xfId="29505"/>
    <cellStyle name="Normal 3 2 2 2 2 4 3 3 7" xfId="29506"/>
    <cellStyle name="Normal 3 2 2 2 2 4 3 3 7 2" xfId="29507"/>
    <cellStyle name="Normal 3 2 2 2 2 4 3 3 8" xfId="29508"/>
    <cellStyle name="Normal 3 2 2 2 2 4 3 3 8 2" xfId="29509"/>
    <cellStyle name="Normal 3 2 2 2 2 4 3 3 9" xfId="29510"/>
    <cellStyle name="Normal 3 2 2 2 2 4 3 4" xfId="2580"/>
    <cellStyle name="Normal 3 2 2 2 2 4 3 4 10" xfId="29512"/>
    <cellStyle name="Normal 3 2 2 2 2 4 3 4 11" xfId="29511"/>
    <cellStyle name="Normal 3 2 2 2 2 4 3 4 2" xfId="29513"/>
    <cellStyle name="Normal 3 2 2 2 2 4 3 4 2 2" xfId="29514"/>
    <cellStyle name="Normal 3 2 2 2 2 4 3 4 2 2 2" xfId="29515"/>
    <cellStyle name="Normal 3 2 2 2 2 4 3 4 2 3" xfId="29516"/>
    <cellStyle name="Normal 3 2 2 2 2 4 3 4 2 3 2" xfId="29517"/>
    <cellStyle name="Normal 3 2 2 2 2 4 3 4 2 4" xfId="29518"/>
    <cellStyle name="Normal 3 2 2 2 2 4 3 4 2 4 2" xfId="29519"/>
    <cellStyle name="Normal 3 2 2 2 2 4 3 4 2 5" xfId="29520"/>
    <cellStyle name="Normal 3 2 2 2 2 4 3 4 2 6" xfId="29521"/>
    <cellStyle name="Normal 3 2 2 2 2 4 3 4 3" xfId="29522"/>
    <cellStyle name="Normal 3 2 2 2 2 4 3 4 3 2" xfId="29523"/>
    <cellStyle name="Normal 3 2 2 2 2 4 3 4 3 2 2" xfId="29524"/>
    <cellStyle name="Normal 3 2 2 2 2 4 3 4 3 3" xfId="29525"/>
    <cellStyle name="Normal 3 2 2 2 2 4 3 4 3 3 2" xfId="29526"/>
    <cellStyle name="Normal 3 2 2 2 2 4 3 4 3 4" xfId="29527"/>
    <cellStyle name="Normal 3 2 2 2 2 4 3 4 3 4 2" xfId="29528"/>
    <cellStyle name="Normal 3 2 2 2 2 4 3 4 3 5" xfId="29529"/>
    <cellStyle name="Normal 3 2 2 2 2 4 3 4 3 6" xfId="29530"/>
    <cellStyle name="Normal 3 2 2 2 2 4 3 4 4" xfId="29531"/>
    <cellStyle name="Normal 3 2 2 2 2 4 3 4 4 2" xfId="29532"/>
    <cellStyle name="Normal 3 2 2 2 2 4 3 4 4 2 2" xfId="29533"/>
    <cellStyle name="Normal 3 2 2 2 2 4 3 4 4 3" xfId="29534"/>
    <cellStyle name="Normal 3 2 2 2 2 4 3 4 4 3 2" xfId="29535"/>
    <cellStyle name="Normal 3 2 2 2 2 4 3 4 4 4" xfId="29536"/>
    <cellStyle name="Normal 3 2 2 2 2 4 3 4 4 4 2" xfId="29537"/>
    <cellStyle name="Normal 3 2 2 2 2 4 3 4 4 5" xfId="29538"/>
    <cellStyle name="Normal 3 2 2 2 2 4 3 4 4 6" xfId="29539"/>
    <cellStyle name="Normal 3 2 2 2 2 4 3 4 5" xfId="29540"/>
    <cellStyle name="Normal 3 2 2 2 2 4 3 4 5 2" xfId="29541"/>
    <cellStyle name="Normal 3 2 2 2 2 4 3 4 5 2 2" xfId="29542"/>
    <cellStyle name="Normal 3 2 2 2 2 4 3 4 5 3" xfId="29543"/>
    <cellStyle name="Normal 3 2 2 2 2 4 3 4 5 3 2" xfId="29544"/>
    <cellStyle name="Normal 3 2 2 2 2 4 3 4 5 4" xfId="29545"/>
    <cellStyle name="Normal 3 2 2 2 2 4 3 4 5 5" xfId="29546"/>
    <cellStyle name="Normal 3 2 2 2 2 4 3 4 6" xfId="29547"/>
    <cellStyle name="Normal 3 2 2 2 2 4 3 4 6 2" xfId="29548"/>
    <cellStyle name="Normal 3 2 2 2 2 4 3 4 7" xfId="29549"/>
    <cellStyle name="Normal 3 2 2 2 2 4 3 4 7 2" xfId="29550"/>
    <cellStyle name="Normal 3 2 2 2 2 4 3 4 8" xfId="29551"/>
    <cellStyle name="Normal 3 2 2 2 2 4 3 4 8 2" xfId="29552"/>
    <cellStyle name="Normal 3 2 2 2 2 4 3 4 9" xfId="29553"/>
    <cellStyle name="Normal 3 2 2 2 2 4 3 5" xfId="29554"/>
    <cellStyle name="Normal 3 2 2 2 2 4 3 5 2" xfId="29555"/>
    <cellStyle name="Normal 3 2 2 2 2 4 3 5 2 2" xfId="29556"/>
    <cellStyle name="Normal 3 2 2 2 2 4 3 5 3" xfId="29557"/>
    <cellStyle name="Normal 3 2 2 2 2 4 3 5 3 2" xfId="29558"/>
    <cellStyle name="Normal 3 2 2 2 2 4 3 5 4" xfId="29559"/>
    <cellStyle name="Normal 3 2 2 2 2 4 3 5 4 2" xfId="29560"/>
    <cellStyle name="Normal 3 2 2 2 2 4 3 5 5" xfId="29561"/>
    <cellStyle name="Normal 3 2 2 2 2 4 3 5 6" xfId="29562"/>
    <cellStyle name="Normal 3 2 2 2 2 4 3 6" xfId="29563"/>
    <cellStyle name="Normal 3 2 2 2 2 4 3 6 2" xfId="29564"/>
    <cellStyle name="Normal 3 2 2 2 2 4 3 6 2 2" xfId="29565"/>
    <cellStyle name="Normal 3 2 2 2 2 4 3 6 3" xfId="29566"/>
    <cellStyle name="Normal 3 2 2 2 2 4 3 6 3 2" xfId="29567"/>
    <cellStyle name="Normal 3 2 2 2 2 4 3 6 4" xfId="29568"/>
    <cellStyle name="Normal 3 2 2 2 2 4 3 6 4 2" xfId="29569"/>
    <cellStyle name="Normal 3 2 2 2 2 4 3 6 5" xfId="29570"/>
    <cellStyle name="Normal 3 2 2 2 2 4 3 6 6" xfId="29571"/>
    <cellStyle name="Normal 3 2 2 2 2 4 3 7" xfId="29572"/>
    <cellStyle name="Normal 3 2 2 2 2 4 3 7 2" xfId="29573"/>
    <cellStyle name="Normal 3 2 2 2 2 4 3 7 2 2" xfId="29574"/>
    <cellStyle name="Normal 3 2 2 2 2 4 3 7 3" xfId="29575"/>
    <cellStyle name="Normal 3 2 2 2 2 4 3 7 3 2" xfId="29576"/>
    <cellStyle name="Normal 3 2 2 2 2 4 3 7 4" xfId="29577"/>
    <cellStyle name="Normal 3 2 2 2 2 4 3 7 4 2" xfId="29578"/>
    <cellStyle name="Normal 3 2 2 2 2 4 3 7 5" xfId="29579"/>
    <cellStyle name="Normal 3 2 2 2 2 4 3 7 6" xfId="29580"/>
    <cellStyle name="Normal 3 2 2 2 2 4 3 8" xfId="29581"/>
    <cellStyle name="Normal 3 2 2 2 2 4 3 8 2" xfId="29582"/>
    <cellStyle name="Normal 3 2 2 2 2 4 3 8 2 2" xfId="29583"/>
    <cellStyle name="Normal 3 2 2 2 2 4 3 8 3" xfId="29584"/>
    <cellStyle name="Normal 3 2 2 2 2 4 3 8 3 2" xfId="29585"/>
    <cellStyle name="Normal 3 2 2 2 2 4 3 8 4" xfId="29586"/>
    <cellStyle name="Normal 3 2 2 2 2 4 3 8 5" xfId="29587"/>
    <cellStyle name="Normal 3 2 2 2 2 4 3 9" xfId="29588"/>
    <cellStyle name="Normal 3 2 2 2 2 4 3 9 2" xfId="29589"/>
    <cellStyle name="Normal 3 2 2 2 2 4 4" xfId="2581"/>
    <cellStyle name="Normal 3 2 2 2 2 4 4 10" xfId="29591"/>
    <cellStyle name="Normal 3 2 2 2 2 4 4 10 2" xfId="29592"/>
    <cellStyle name="Normal 3 2 2 2 2 4 4 11" xfId="29593"/>
    <cellStyle name="Normal 3 2 2 2 2 4 4 12" xfId="29594"/>
    <cellStyle name="Normal 3 2 2 2 2 4 4 13" xfId="29590"/>
    <cellStyle name="Normal 3 2 2 2 2 4 4 2" xfId="2582"/>
    <cellStyle name="Normal 3 2 2 2 2 4 4 2 10" xfId="29596"/>
    <cellStyle name="Normal 3 2 2 2 2 4 4 2 11" xfId="29595"/>
    <cellStyle name="Normal 3 2 2 2 2 4 4 2 2" xfId="29597"/>
    <cellStyle name="Normal 3 2 2 2 2 4 4 2 2 2" xfId="29598"/>
    <cellStyle name="Normal 3 2 2 2 2 4 4 2 2 2 2" xfId="29599"/>
    <cellStyle name="Normal 3 2 2 2 2 4 4 2 2 3" xfId="29600"/>
    <cellStyle name="Normal 3 2 2 2 2 4 4 2 2 3 2" xfId="29601"/>
    <cellStyle name="Normal 3 2 2 2 2 4 4 2 2 4" xfId="29602"/>
    <cellStyle name="Normal 3 2 2 2 2 4 4 2 2 4 2" xfId="29603"/>
    <cellStyle name="Normal 3 2 2 2 2 4 4 2 2 5" xfId="29604"/>
    <cellStyle name="Normal 3 2 2 2 2 4 4 2 2 6" xfId="29605"/>
    <cellStyle name="Normal 3 2 2 2 2 4 4 2 3" xfId="29606"/>
    <cellStyle name="Normal 3 2 2 2 2 4 4 2 3 2" xfId="29607"/>
    <cellStyle name="Normal 3 2 2 2 2 4 4 2 3 2 2" xfId="29608"/>
    <cellStyle name="Normal 3 2 2 2 2 4 4 2 3 3" xfId="29609"/>
    <cellStyle name="Normal 3 2 2 2 2 4 4 2 3 3 2" xfId="29610"/>
    <cellStyle name="Normal 3 2 2 2 2 4 4 2 3 4" xfId="29611"/>
    <cellStyle name="Normal 3 2 2 2 2 4 4 2 3 4 2" xfId="29612"/>
    <cellStyle name="Normal 3 2 2 2 2 4 4 2 3 5" xfId="29613"/>
    <cellStyle name="Normal 3 2 2 2 2 4 4 2 3 6" xfId="29614"/>
    <cellStyle name="Normal 3 2 2 2 2 4 4 2 4" xfId="29615"/>
    <cellStyle name="Normal 3 2 2 2 2 4 4 2 4 2" xfId="29616"/>
    <cellStyle name="Normal 3 2 2 2 2 4 4 2 4 2 2" xfId="29617"/>
    <cellStyle name="Normal 3 2 2 2 2 4 4 2 4 3" xfId="29618"/>
    <cellStyle name="Normal 3 2 2 2 2 4 4 2 4 3 2" xfId="29619"/>
    <cellStyle name="Normal 3 2 2 2 2 4 4 2 4 4" xfId="29620"/>
    <cellStyle name="Normal 3 2 2 2 2 4 4 2 4 4 2" xfId="29621"/>
    <cellStyle name="Normal 3 2 2 2 2 4 4 2 4 5" xfId="29622"/>
    <cellStyle name="Normal 3 2 2 2 2 4 4 2 4 6" xfId="29623"/>
    <cellStyle name="Normal 3 2 2 2 2 4 4 2 5" xfId="29624"/>
    <cellStyle name="Normal 3 2 2 2 2 4 4 2 5 2" xfId="29625"/>
    <cellStyle name="Normal 3 2 2 2 2 4 4 2 5 2 2" xfId="29626"/>
    <cellStyle name="Normal 3 2 2 2 2 4 4 2 5 3" xfId="29627"/>
    <cellStyle name="Normal 3 2 2 2 2 4 4 2 5 3 2" xfId="29628"/>
    <cellStyle name="Normal 3 2 2 2 2 4 4 2 5 4" xfId="29629"/>
    <cellStyle name="Normal 3 2 2 2 2 4 4 2 5 5" xfId="29630"/>
    <cellStyle name="Normal 3 2 2 2 2 4 4 2 6" xfId="29631"/>
    <cellStyle name="Normal 3 2 2 2 2 4 4 2 6 2" xfId="29632"/>
    <cellStyle name="Normal 3 2 2 2 2 4 4 2 7" xfId="29633"/>
    <cellStyle name="Normal 3 2 2 2 2 4 4 2 7 2" xfId="29634"/>
    <cellStyle name="Normal 3 2 2 2 2 4 4 2 8" xfId="29635"/>
    <cellStyle name="Normal 3 2 2 2 2 4 4 2 8 2" xfId="29636"/>
    <cellStyle name="Normal 3 2 2 2 2 4 4 2 9" xfId="29637"/>
    <cellStyle name="Normal 3 2 2 2 2 4 4 3" xfId="2583"/>
    <cellStyle name="Normal 3 2 2 2 2 4 4 3 10" xfId="29639"/>
    <cellStyle name="Normal 3 2 2 2 2 4 4 3 11" xfId="29638"/>
    <cellStyle name="Normal 3 2 2 2 2 4 4 3 2" xfId="29640"/>
    <cellStyle name="Normal 3 2 2 2 2 4 4 3 2 2" xfId="29641"/>
    <cellStyle name="Normal 3 2 2 2 2 4 4 3 2 2 2" xfId="29642"/>
    <cellStyle name="Normal 3 2 2 2 2 4 4 3 2 3" xfId="29643"/>
    <cellStyle name="Normal 3 2 2 2 2 4 4 3 2 3 2" xfId="29644"/>
    <cellStyle name="Normal 3 2 2 2 2 4 4 3 2 4" xfId="29645"/>
    <cellStyle name="Normal 3 2 2 2 2 4 4 3 2 4 2" xfId="29646"/>
    <cellStyle name="Normal 3 2 2 2 2 4 4 3 2 5" xfId="29647"/>
    <cellStyle name="Normal 3 2 2 2 2 4 4 3 2 6" xfId="29648"/>
    <cellStyle name="Normal 3 2 2 2 2 4 4 3 3" xfId="29649"/>
    <cellStyle name="Normal 3 2 2 2 2 4 4 3 3 2" xfId="29650"/>
    <cellStyle name="Normal 3 2 2 2 2 4 4 3 3 2 2" xfId="29651"/>
    <cellStyle name="Normal 3 2 2 2 2 4 4 3 3 3" xfId="29652"/>
    <cellStyle name="Normal 3 2 2 2 2 4 4 3 3 3 2" xfId="29653"/>
    <cellStyle name="Normal 3 2 2 2 2 4 4 3 3 4" xfId="29654"/>
    <cellStyle name="Normal 3 2 2 2 2 4 4 3 3 4 2" xfId="29655"/>
    <cellStyle name="Normal 3 2 2 2 2 4 4 3 3 5" xfId="29656"/>
    <cellStyle name="Normal 3 2 2 2 2 4 4 3 3 6" xfId="29657"/>
    <cellStyle name="Normal 3 2 2 2 2 4 4 3 4" xfId="29658"/>
    <cellStyle name="Normal 3 2 2 2 2 4 4 3 4 2" xfId="29659"/>
    <cellStyle name="Normal 3 2 2 2 2 4 4 3 4 2 2" xfId="29660"/>
    <cellStyle name="Normal 3 2 2 2 2 4 4 3 4 3" xfId="29661"/>
    <cellStyle name="Normal 3 2 2 2 2 4 4 3 4 3 2" xfId="29662"/>
    <cellStyle name="Normal 3 2 2 2 2 4 4 3 4 4" xfId="29663"/>
    <cellStyle name="Normal 3 2 2 2 2 4 4 3 4 4 2" xfId="29664"/>
    <cellStyle name="Normal 3 2 2 2 2 4 4 3 4 5" xfId="29665"/>
    <cellStyle name="Normal 3 2 2 2 2 4 4 3 4 6" xfId="29666"/>
    <cellStyle name="Normal 3 2 2 2 2 4 4 3 5" xfId="29667"/>
    <cellStyle name="Normal 3 2 2 2 2 4 4 3 5 2" xfId="29668"/>
    <cellStyle name="Normal 3 2 2 2 2 4 4 3 5 2 2" xfId="29669"/>
    <cellStyle name="Normal 3 2 2 2 2 4 4 3 5 3" xfId="29670"/>
    <cellStyle name="Normal 3 2 2 2 2 4 4 3 5 3 2" xfId="29671"/>
    <cellStyle name="Normal 3 2 2 2 2 4 4 3 5 4" xfId="29672"/>
    <cellStyle name="Normal 3 2 2 2 2 4 4 3 5 5" xfId="29673"/>
    <cellStyle name="Normal 3 2 2 2 2 4 4 3 6" xfId="29674"/>
    <cellStyle name="Normal 3 2 2 2 2 4 4 3 6 2" xfId="29675"/>
    <cellStyle name="Normal 3 2 2 2 2 4 4 3 7" xfId="29676"/>
    <cellStyle name="Normal 3 2 2 2 2 4 4 3 7 2" xfId="29677"/>
    <cellStyle name="Normal 3 2 2 2 2 4 4 3 8" xfId="29678"/>
    <cellStyle name="Normal 3 2 2 2 2 4 4 3 8 2" xfId="29679"/>
    <cellStyle name="Normal 3 2 2 2 2 4 4 3 9" xfId="29680"/>
    <cellStyle name="Normal 3 2 2 2 2 4 4 4" xfId="29681"/>
    <cellStyle name="Normal 3 2 2 2 2 4 4 4 2" xfId="29682"/>
    <cellStyle name="Normal 3 2 2 2 2 4 4 4 2 2" xfId="29683"/>
    <cellStyle name="Normal 3 2 2 2 2 4 4 4 3" xfId="29684"/>
    <cellStyle name="Normal 3 2 2 2 2 4 4 4 3 2" xfId="29685"/>
    <cellStyle name="Normal 3 2 2 2 2 4 4 4 4" xfId="29686"/>
    <cellStyle name="Normal 3 2 2 2 2 4 4 4 4 2" xfId="29687"/>
    <cellStyle name="Normal 3 2 2 2 2 4 4 4 5" xfId="29688"/>
    <cellStyle name="Normal 3 2 2 2 2 4 4 4 6" xfId="29689"/>
    <cellStyle name="Normal 3 2 2 2 2 4 4 5" xfId="29690"/>
    <cellStyle name="Normal 3 2 2 2 2 4 4 5 2" xfId="29691"/>
    <cellStyle name="Normal 3 2 2 2 2 4 4 5 2 2" xfId="29692"/>
    <cellStyle name="Normal 3 2 2 2 2 4 4 5 3" xfId="29693"/>
    <cellStyle name="Normal 3 2 2 2 2 4 4 5 3 2" xfId="29694"/>
    <cellStyle name="Normal 3 2 2 2 2 4 4 5 4" xfId="29695"/>
    <cellStyle name="Normal 3 2 2 2 2 4 4 5 4 2" xfId="29696"/>
    <cellStyle name="Normal 3 2 2 2 2 4 4 5 5" xfId="29697"/>
    <cellStyle name="Normal 3 2 2 2 2 4 4 5 6" xfId="29698"/>
    <cellStyle name="Normal 3 2 2 2 2 4 4 6" xfId="29699"/>
    <cellStyle name="Normal 3 2 2 2 2 4 4 6 2" xfId="29700"/>
    <cellStyle name="Normal 3 2 2 2 2 4 4 6 2 2" xfId="29701"/>
    <cellStyle name="Normal 3 2 2 2 2 4 4 6 3" xfId="29702"/>
    <cellStyle name="Normal 3 2 2 2 2 4 4 6 3 2" xfId="29703"/>
    <cellStyle name="Normal 3 2 2 2 2 4 4 6 4" xfId="29704"/>
    <cellStyle name="Normal 3 2 2 2 2 4 4 6 4 2" xfId="29705"/>
    <cellStyle name="Normal 3 2 2 2 2 4 4 6 5" xfId="29706"/>
    <cellStyle name="Normal 3 2 2 2 2 4 4 6 6" xfId="29707"/>
    <cellStyle name="Normal 3 2 2 2 2 4 4 7" xfId="29708"/>
    <cellStyle name="Normal 3 2 2 2 2 4 4 7 2" xfId="29709"/>
    <cellStyle name="Normal 3 2 2 2 2 4 4 7 2 2" xfId="29710"/>
    <cellStyle name="Normal 3 2 2 2 2 4 4 7 3" xfId="29711"/>
    <cellStyle name="Normal 3 2 2 2 2 4 4 7 3 2" xfId="29712"/>
    <cellStyle name="Normal 3 2 2 2 2 4 4 7 4" xfId="29713"/>
    <cellStyle name="Normal 3 2 2 2 2 4 4 7 5" xfId="29714"/>
    <cellStyle name="Normal 3 2 2 2 2 4 4 8" xfId="29715"/>
    <cellStyle name="Normal 3 2 2 2 2 4 4 8 2" xfId="29716"/>
    <cellStyle name="Normal 3 2 2 2 2 4 4 9" xfId="29717"/>
    <cellStyle name="Normal 3 2 2 2 2 4 4 9 2" xfId="29718"/>
    <cellStyle name="Normal 3 2 2 2 2 4 5" xfId="2584"/>
    <cellStyle name="Normal 3 2 2 2 2 4 5 10" xfId="29720"/>
    <cellStyle name="Normal 3 2 2 2 2 4 5 11" xfId="29721"/>
    <cellStyle name="Normal 3 2 2 2 2 4 5 12" xfId="29719"/>
    <cellStyle name="Normal 3 2 2 2 2 4 5 2" xfId="2585"/>
    <cellStyle name="Normal 3 2 2 2 2 4 5 2 2" xfId="29723"/>
    <cellStyle name="Normal 3 2 2 2 2 4 5 2 2 2" xfId="29724"/>
    <cellStyle name="Normal 3 2 2 2 2 4 5 2 3" xfId="29725"/>
    <cellStyle name="Normal 3 2 2 2 2 4 5 2 3 2" xfId="29726"/>
    <cellStyle name="Normal 3 2 2 2 2 4 5 2 4" xfId="29727"/>
    <cellStyle name="Normal 3 2 2 2 2 4 5 2 4 2" xfId="29728"/>
    <cellStyle name="Normal 3 2 2 2 2 4 5 2 5" xfId="29729"/>
    <cellStyle name="Normal 3 2 2 2 2 4 5 2 6" xfId="29730"/>
    <cellStyle name="Normal 3 2 2 2 2 4 5 2 7" xfId="29722"/>
    <cellStyle name="Normal 3 2 2 2 2 4 5 3" xfId="29731"/>
    <cellStyle name="Normal 3 2 2 2 2 4 5 3 2" xfId="29732"/>
    <cellStyle name="Normal 3 2 2 2 2 4 5 3 2 2" xfId="29733"/>
    <cellStyle name="Normal 3 2 2 2 2 4 5 3 3" xfId="29734"/>
    <cellStyle name="Normal 3 2 2 2 2 4 5 3 3 2" xfId="29735"/>
    <cellStyle name="Normal 3 2 2 2 2 4 5 3 4" xfId="29736"/>
    <cellStyle name="Normal 3 2 2 2 2 4 5 3 4 2" xfId="29737"/>
    <cellStyle name="Normal 3 2 2 2 2 4 5 3 5" xfId="29738"/>
    <cellStyle name="Normal 3 2 2 2 2 4 5 3 6" xfId="29739"/>
    <cellStyle name="Normal 3 2 2 2 2 4 5 4" xfId="29740"/>
    <cellStyle name="Normal 3 2 2 2 2 4 5 4 2" xfId="29741"/>
    <cellStyle name="Normal 3 2 2 2 2 4 5 4 2 2" xfId="29742"/>
    <cellStyle name="Normal 3 2 2 2 2 4 5 4 3" xfId="29743"/>
    <cellStyle name="Normal 3 2 2 2 2 4 5 4 3 2" xfId="29744"/>
    <cellStyle name="Normal 3 2 2 2 2 4 5 4 4" xfId="29745"/>
    <cellStyle name="Normal 3 2 2 2 2 4 5 4 4 2" xfId="29746"/>
    <cellStyle name="Normal 3 2 2 2 2 4 5 4 5" xfId="29747"/>
    <cellStyle name="Normal 3 2 2 2 2 4 5 4 6" xfId="29748"/>
    <cellStyle name="Normal 3 2 2 2 2 4 5 5" xfId="29749"/>
    <cellStyle name="Normal 3 2 2 2 2 4 5 5 2" xfId="29750"/>
    <cellStyle name="Normal 3 2 2 2 2 4 5 5 2 2" xfId="29751"/>
    <cellStyle name="Normal 3 2 2 2 2 4 5 5 3" xfId="29752"/>
    <cellStyle name="Normal 3 2 2 2 2 4 5 5 3 2" xfId="29753"/>
    <cellStyle name="Normal 3 2 2 2 2 4 5 5 4" xfId="29754"/>
    <cellStyle name="Normal 3 2 2 2 2 4 5 5 4 2" xfId="29755"/>
    <cellStyle name="Normal 3 2 2 2 2 4 5 5 5" xfId="29756"/>
    <cellStyle name="Normal 3 2 2 2 2 4 5 5 6" xfId="29757"/>
    <cellStyle name="Normal 3 2 2 2 2 4 5 6" xfId="29758"/>
    <cellStyle name="Normal 3 2 2 2 2 4 5 6 2" xfId="29759"/>
    <cellStyle name="Normal 3 2 2 2 2 4 5 6 2 2" xfId="29760"/>
    <cellStyle name="Normal 3 2 2 2 2 4 5 6 3" xfId="29761"/>
    <cellStyle name="Normal 3 2 2 2 2 4 5 6 3 2" xfId="29762"/>
    <cellStyle name="Normal 3 2 2 2 2 4 5 6 4" xfId="29763"/>
    <cellStyle name="Normal 3 2 2 2 2 4 5 6 5" xfId="29764"/>
    <cellStyle name="Normal 3 2 2 2 2 4 5 7" xfId="29765"/>
    <cellStyle name="Normal 3 2 2 2 2 4 5 7 2" xfId="29766"/>
    <cellStyle name="Normal 3 2 2 2 2 4 5 8" xfId="29767"/>
    <cellStyle name="Normal 3 2 2 2 2 4 5 8 2" xfId="29768"/>
    <cellStyle name="Normal 3 2 2 2 2 4 5 9" xfId="29769"/>
    <cellStyle name="Normal 3 2 2 2 2 4 5 9 2" xfId="29770"/>
    <cellStyle name="Normal 3 2 2 2 2 4 6" xfId="2586"/>
    <cellStyle name="Normal 3 2 2 2 2 4 6 10" xfId="29772"/>
    <cellStyle name="Normal 3 2 2 2 2 4 6 11" xfId="29771"/>
    <cellStyle name="Normal 3 2 2 2 2 4 6 2" xfId="2587"/>
    <cellStyle name="Normal 3 2 2 2 2 4 6 2 2" xfId="29774"/>
    <cellStyle name="Normal 3 2 2 2 2 4 6 2 2 2" xfId="29775"/>
    <cellStyle name="Normal 3 2 2 2 2 4 6 2 3" xfId="29776"/>
    <cellStyle name="Normal 3 2 2 2 2 4 6 2 3 2" xfId="29777"/>
    <cellStyle name="Normal 3 2 2 2 2 4 6 2 4" xfId="29778"/>
    <cellStyle name="Normal 3 2 2 2 2 4 6 2 4 2" xfId="29779"/>
    <cellStyle name="Normal 3 2 2 2 2 4 6 2 5" xfId="29780"/>
    <cellStyle name="Normal 3 2 2 2 2 4 6 2 6" xfId="29781"/>
    <cellStyle name="Normal 3 2 2 2 2 4 6 2 7" xfId="29773"/>
    <cellStyle name="Normal 3 2 2 2 2 4 6 3" xfId="29782"/>
    <cellStyle name="Normal 3 2 2 2 2 4 6 3 2" xfId="29783"/>
    <cellStyle name="Normal 3 2 2 2 2 4 6 3 2 2" xfId="29784"/>
    <cellStyle name="Normal 3 2 2 2 2 4 6 3 3" xfId="29785"/>
    <cellStyle name="Normal 3 2 2 2 2 4 6 3 3 2" xfId="29786"/>
    <cellStyle name="Normal 3 2 2 2 2 4 6 3 4" xfId="29787"/>
    <cellStyle name="Normal 3 2 2 2 2 4 6 3 4 2" xfId="29788"/>
    <cellStyle name="Normal 3 2 2 2 2 4 6 3 5" xfId="29789"/>
    <cellStyle name="Normal 3 2 2 2 2 4 6 3 6" xfId="29790"/>
    <cellStyle name="Normal 3 2 2 2 2 4 6 4" xfId="29791"/>
    <cellStyle name="Normal 3 2 2 2 2 4 6 4 2" xfId="29792"/>
    <cellStyle name="Normal 3 2 2 2 2 4 6 4 2 2" xfId="29793"/>
    <cellStyle name="Normal 3 2 2 2 2 4 6 4 3" xfId="29794"/>
    <cellStyle name="Normal 3 2 2 2 2 4 6 4 3 2" xfId="29795"/>
    <cellStyle name="Normal 3 2 2 2 2 4 6 4 4" xfId="29796"/>
    <cellStyle name="Normal 3 2 2 2 2 4 6 4 4 2" xfId="29797"/>
    <cellStyle name="Normal 3 2 2 2 2 4 6 4 5" xfId="29798"/>
    <cellStyle name="Normal 3 2 2 2 2 4 6 4 6" xfId="29799"/>
    <cellStyle name="Normal 3 2 2 2 2 4 6 5" xfId="29800"/>
    <cellStyle name="Normal 3 2 2 2 2 4 6 5 2" xfId="29801"/>
    <cellStyle name="Normal 3 2 2 2 2 4 6 5 2 2" xfId="29802"/>
    <cellStyle name="Normal 3 2 2 2 2 4 6 5 3" xfId="29803"/>
    <cellStyle name="Normal 3 2 2 2 2 4 6 5 3 2" xfId="29804"/>
    <cellStyle name="Normal 3 2 2 2 2 4 6 5 4" xfId="29805"/>
    <cellStyle name="Normal 3 2 2 2 2 4 6 5 5" xfId="29806"/>
    <cellStyle name="Normal 3 2 2 2 2 4 6 6" xfId="29807"/>
    <cellStyle name="Normal 3 2 2 2 2 4 6 6 2" xfId="29808"/>
    <cellStyle name="Normal 3 2 2 2 2 4 6 7" xfId="29809"/>
    <cellStyle name="Normal 3 2 2 2 2 4 6 7 2" xfId="29810"/>
    <cellStyle name="Normal 3 2 2 2 2 4 6 8" xfId="29811"/>
    <cellStyle name="Normal 3 2 2 2 2 4 6 8 2" xfId="29812"/>
    <cellStyle name="Normal 3 2 2 2 2 4 6 9" xfId="29813"/>
    <cellStyle name="Normal 3 2 2 2 2 4 7" xfId="2588"/>
    <cellStyle name="Normal 3 2 2 2 2 4 7 10" xfId="29815"/>
    <cellStyle name="Normal 3 2 2 2 2 4 7 11" xfId="29814"/>
    <cellStyle name="Normal 3 2 2 2 2 4 7 2" xfId="29816"/>
    <cellStyle name="Normal 3 2 2 2 2 4 7 2 2" xfId="29817"/>
    <cellStyle name="Normal 3 2 2 2 2 4 7 2 2 2" xfId="29818"/>
    <cellStyle name="Normal 3 2 2 2 2 4 7 2 3" xfId="29819"/>
    <cellStyle name="Normal 3 2 2 2 2 4 7 2 3 2" xfId="29820"/>
    <cellStyle name="Normal 3 2 2 2 2 4 7 2 4" xfId="29821"/>
    <cellStyle name="Normal 3 2 2 2 2 4 7 2 4 2" xfId="29822"/>
    <cellStyle name="Normal 3 2 2 2 2 4 7 2 5" xfId="29823"/>
    <cellStyle name="Normal 3 2 2 2 2 4 7 2 6" xfId="29824"/>
    <cellStyle name="Normal 3 2 2 2 2 4 7 3" xfId="29825"/>
    <cellStyle name="Normal 3 2 2 2 2 4 7 3 2" xfId="29826"/>
    <cellStyle name="Normal 3 2 2 2 2 4 7 3 2 2" xfId="29827"/>
    <cellStyle name="Normal 3 2 2 2 2 4 7 3 3" xfId="29828"/>
    <cellStyle name="Normal 3 2 2 2 2 4 7 3 3 2" xfId="29829"/>
    <cellStyle name="Normal 3 2 2 2 2 4 7 3 4" xfId="29830"/>
    <cellStyle name="Normal 3 2 2 2 2 4 7 3 4 2" xfId="29831"/>
    <cellStyle name="Normal 3 2 2 2 2 4 7 3 5" xfId="29832"/>
    <cellStyle name="Normal 3 2 2 2 2 4 7 3 6" xfId="29833"/>
    <cellStyle name="Normal 3 2 2 2 2 4 7 4" xfId="29834"/>
    <cellStyle name="Normal 3 2 2 2 2 4 7 4 2" xfId="29835"/>
    <cellStyle name="Normal 3 2 2 2 2 4 7 4 2 2" xfId="29836"/>
    <cellStyle name="Normal 3 2 2 2 2 4 7 4 3" xfId="29837"/>
    <cellStyle name="Normal 3 2 2 2 2 4 7 4 3 2" xfId="29838"/>
    <cellStyle name="Normal 3 2 2 2 2 4 7 4 4" xfId="29839"/>
    <cellStyle name="Normal 3 2 2 2 2 4 7 4 4 2" xfId="29840"/>
    <cellStyle name="Normal 3 2 2 2 2 4 7 4 5" xfId="29841"/>
    <cellStyle name="Normal 3 2 2 2 2 4 7 4 6" xfId="29842"/>
    <cellStyle name="Normal 3 2 2 2 2 4 7 5" xfId="29843"/>
    <cellStyle name="Normal 3 2 2 2 2 4 7 5 2" xfId="29844"/>
    <cellStyle name="Normal 3 2 2 2 2 4 7 5 2 2" xfId="29845"/>
    <cellStyle name="Normal 3 2 2 2 2 4 7 5 3" xfId="29846"/>
    <cellStyle name="Normal 3 2 2 2 2 4 7 5 3 2" xfId="29847"/>
    <cellStyle name="Normal 3 2 2 2 2 4 7 5 4" xfId="29848"/>
    <cellStyle name="Normal 3 2 2 2 2 4 7 5 5" xfId="29849"/>
    <cellStyle name="Normal 3 2 2 2 2 4 7 6" xfId="29850"/>
    <cellStyle name="Normal 3 2 2 2 2 4 7 6 2" xfId="29851"/>
    <cellStyle name="Normal 3 2 2 2 2 4 7 7" xfId="29852"/>
    <cellStyle name="Normal 3 2 2 2 2 4 7 7 2" xfId="29853"/>
    <cellStyle name="Normal 3 2 2 2 2 4 7 8" xfId="29854"/>
    <cellStyle name="Normal 3 2 2 2 2 4 7 8 2" xfId="29855"/>
    <cellStyle name="Normal 3 2 2 2 2 4 7 9" xfId="29856"/>
    <cellStyle name="Normal 3 2 2 2 2 4 8" xfId="29857"/>
    <cellStyle name="Normal 3 2 2 2 2 4 8 2" xfId="29858"/>
    <cellStyle name="Normal 3 2 2 2 2 4 8 2 2" xfId="29859"/>
    <cellStyle name="Normal 3 2 2 2 2 4 8 3" xfId="29860"/>
    <cellStyle name="Normal 3 2 2 2 2 4 8 3 2" xfId="29861"/>
    <cellStyle name="Normal 3 2 2 2 2 4 8 4" xfId="29862"/>
    <cellStyle name="Normal 3 2 2 2 2 4 8 4 2" xfId="29863"/>
    <cellStyle name="Normal 3 2 2 2 2 4 8 5" xfId="29864"/>
    <cellStyle name="Normal 3 2 2 2 2 4 8 6" xfId="29865"/>
    <cellStyle name="Normal 3 2 2 2 2 4 9" xfId="29866"/>
    <cellStyle name="Normal 3 2 2 2 2 4 9 2" xfId="29867"/>
    <cellStyle name="Normal 3 2 2 2 2 4 9 2 2" xfId="29868"/>
    <cellStyle name="Normal 3 2 2 2 2 4 9 3" xfId="29869"/>
    <cellStyle name="Normal 3 2 2 2 2 4 9 3 2" xfId="29870"/>
    <cellStyle name="Normal 3 2 2 2 2 4 9 4" xfId="29871"/>
    <cellStyle name="Normal 3 2 2 2 2 4 9 4 2" xfId="29872"/>
    <cellStyle name="Normal 3 2 2 2 2 4 9 5" xfId="29873"/>
    <cellStyle name="Normal 3 2 2 2 2 4 9 6" xfId="29874"/>
    <cellStyle name="Normal 3 2 2 2 2 5" xfId="2589"/>
    <cellStyle name="Normal 3 2 2 2 2 5 10" xfId="29876"/>
    <cellStyle name="Normal 3 2 2 2 2 5 10 2" xfId="29877"/>
    <cellStyle name="Normal 3 2 2 2 2 5 11" xfId="29878"/>
    <cellStyle name="Normal 3 2 2 2 2 5 11 2" xfId="29879"/>
    <cellStyle name="Normal 3 2 2 2 2 5 12" xfId="29880"/>
    <cellStyle name="Normal 3 2 2 2 2 5 13" xfId="29881"/>
    <cellStyle name="Normal 3 2 2 2 2 5 14" xfId="29875"/>
    <cellStyle name="Normal 3 2 2 2 2 5 2" xfId="2590"/>
    <cellStyle name="Normal 3 2 2 2 2 5 2 10" xfId="29883"/>
    <cellStyle name="Normal 3 2 2 2 2 5 2 11" xfId="29884"/>
    <cellStyle name="Normal 3 2 2 2 2 5 2 12" xfId="29882"/>
    <cellStyle name="Normal 3 2 2 2 2 5 2 2" xfId="2591"/>
    <cellStyle name="Normal 3 2 2 2 2 5 2 2 2" xfId="2592"/>
    <cellStyle name="Normal 3 2 2 2 2 5 2 2 2 2" xfId="29887"/>
    <cellStyle name="Normal 3 2 2 2 2 5 2 2 2 3" xfId="29886"/>
    <cellStyle name="Normal 3 2 2 2 2 5 2 2 3" xfId="29888"/>
    <cellStyle name="Normal 3 2 2 2 2 5 2 2 3 2" xfId="29889"/>
    <cellStyle name="Normal 3 2 2 2 2 5 2 2 4" xfId="29890"/>
    <cellStyle name="Normal 3 2 2 2 2 5 2 2 4 2" xfId="29891"/>
    <cellStyle name="Normal 3 2 2 2 2 5 2 2 5" xfId="29892"/>
    <cellStyle name="Normal 3 2 2 2 2 5 2 2 6" xfId="29893"/>
    <cellStyle name="Normal 3 2 2 2 2 5 2 2 7" xfId="29885"/>
    <cellStyle name="Normal 3 2 2 2 2 5 2 3" xfId="2593"/>
    <cellStyle name="Normal 3 2 2 2 2 5 2 3 2" xfId="2594"/>
    <cellStyle name="Normal 3 2 2 2 2 5 2 3 2 2" xfId="29896"/>
    <cellStyle name="Normal 3 2 2 2 2 5 2 3 2 3" xfId="29895"/>
    <cellStyle name="Normal 3 2 2 2 2 5 2 3 3" xfId="29897"/>
    <cellStyle name="Normal 3 2 2 2 2 5 2 3 3 2" xfId="29898"/>
    <cellStyle name="Normal 3 2 2 2 2 5 2 3 4" xfId="29899"/>
    <cellStyle name="Normal 3 2 2 2 2 5 2 3 4 2" xfId="29900"/>
    <cellStyle name="Normal 3 2 2 2 2 5 2 3 5" xfId="29901"/>
    <cellStyle name="Normal 3 2 2 2 2 5 2 3 6" xfId="29902"/>
    <cellStyle name="Normal 3 2 2 2 2 5 2 3 7" xfId="29894"/>
    <cellStyle name="Normal 3 2 2 2 2 5 2 4" xfId="2595"/>
    <cellStyle name="Normal 3 2 2 2 2 5 2 4 2" xfId="29904"/>
    <cellStyle name="Normal 3 2 2 2 2 5 2 4 2 2" xfId="29905"/>
    <cellStyle name="Normal 3 2 2 2 2 5 2 4 3" xfId="29906"/>
    <cellStyle name="Normal 3 2 2 2 2 5 2 4 3 2" xfId="29907"/>
    <cellStyle name="Normal 3 2 2 2 2 5 2 4 4" xfId="29908"/>
    <cellStyle name="Normal 3 2 2 2 2 5 2 4 4 2" xfId="29909"/>
    <cellStyle name="Normal 3 2 2 2 2 5 2 4 5" xfId="29910"/>
    <cellStyle name="Normal 3 2 2 2 2 5 2 4 6" xfId="29911"/>
    <cellStyle name="Normal 3 2 2 2 2 5 2 4 7" xfId="29903"/>
    <cellStyle name="Normal 3 2 2 2 2 5 2 5" xfId="29912"/>
    <cellStyle name="Normal 3 2 2 2 2 5 2 5 2" xfId="29913"/>
    <cellStyle name="Normal 3 2 2 2 2 5 2 5 2 2" xfId="29914"/>
    <cellStyle name="Normal 3 2 2 2 2 5 2 5 3" xfId="29915"/>
    <cellStyle name="Normal 3 2 2 2 2 5 2 5 3 2" xfId="29916"/>
    <cellStyle name="Normal 3 2 2 2 2 5 2 5 4" xfId="29917"/>
    <cellStyle name="Normal 3 2 2 2 2 5 2 5 4 2" xfId="29918"/>
    <cellStyle name="Normal 3 2 2 2 2 5 2 5 5" xfId="29919"/>
    <cellStyle name="Normal 3 2 2 2 2 5 2 5 6" xfId="29920"/>
    <cellStyle name="Normal 3 2 2 2 2 5 2 6" xfId="29921"/>
    <cellStyle name="Normal 3 2 2 2 2 5 2 6 2" xfId="29922"/>
    <cellStyle name="Normal 3 2 2 2 2 5 2 6 2 2" xfId="29923"/>
    <cellStyle name="Normal 3 2 2 2 2 5 2 6 3" xfId="29924"/>
    <cellStyle name="Normal 3 2 2 2 2 5 2 6 3 2" xfId="29925"/>
    <cellStyle name="Normal 3 2 2 2 2 5 2 6 4" xfId="29926"/>
    <cellStyle name="Normal 3 2 2 2 2 5 2 6 5" xfId="29927"/>
    <cellStyle name="Normal 3 2 2 2 2 5 2 7" xfId="29928"/>
    <cellStyle name="Normal 3 2 2 2 2 5 2 7 2" xfId="29929"/>
    <cellStyle name="Normal 3 2 2 2 2 5 2 8" xfId="29930"/>
    <cellStyle name="Normal 3 2 2 2 2 5 2 8 2" xfId="29931"/>
    <cellStyle name="Normal 3 2 2 2 2 5 2 9" xfId="29932"/>
    <cellStyle name="Normal 3 2 2 2 2 5 2 9 2" xfId="29933"/>
    <cellStyle name="Normal 3 2 2 2 2 5 3" xfId="2596"/>
    <cellStyle name="Normal 3 2 2 2 2 5 3 10" xfId="29935"/>
    <cellStyle name="Normal 3 2 2 2 2 5 3 11" xfId="29934"/>
    <cellStyle name="Normal 3 2 2 2 2 5 3 2" xfId="2597"/>
    <cellStyle name="Normal 3 2 2 2 2 5 3 2 2" xfId="29937"/>
    <cellStyle name="Normal 3 2 2 2 2 5 3 2 2 2" xfId="29938"/>
    <cellStyle name="Normal 3 2 2 2 2 5 3 2 3" xfId="29939"/>
    <cellStyle name="Normal 3 2 2 2 2 5 3 2 3 2" xfId="29940"/>
    <cellStyle name="Normal 3 2 2 2 2 5 3 2 4" xfId="29941"/>
    <cellStyle name="Normal 3 2 2 2 2 5 3 2 4 2" xfId="29942"/>
    <cellStyle name="Normal 3 2 2 2 2 5 3 2 5" xfId="29943"/>
    <cellStyle name="Normal 3 2 2 2 2 5 3 2 6" xfId="29944"/>
    <cellStyle name="Normal 3 2 2 2 2 5 3 2 7" xfId="29936"/>
    <cellStyle name="Normal 3 2 2 2 2 5 3 3" xfId="2598"/>
    <cellStyle name="Normal 3 2 2 2 2 5 3 3 2" xfId="29946"/>
    <cellStyle name="Normal 3 2 2 2 2 5 3 3 2 2" xfId="29947"/>
    <cellStyle name="Normal 3 2 2 2 2 5 3 3 3" xfId="29948"/>
    <cellStyle name="Normal 3 2 2 2 2 5 3 3 3 2" xfId="29949"/>
    <cellStyle name="Normal 3 2 2 2 2 5 3 3 4" xfId="29950"/>
    <cellStyle name="Normal 3 2 2 2 2 5 3 3 4 2" xfId="29951"/>
    <cellStyle name="Normal 3 2 2 2 2 5 3 3 5" xfId="29952"/>
    <cellStyle name="Normal 3 2 2 2 2 5 3 3 6" xfId="29953"/>
    <cellStyle name="Normal 3 2 2 2 2 5 3 3 7" xfId="29945"/>
    <cellStyle name="Normal 3 2 2 2 2 5 3 4" xfId="29954"/>
    <cellStyle name="Normal 3 2 2 2 2 5 3 4 2" xfId="29955"/>
    <cellStyle name="Normal 3 2 2 2 2 5 3 4 2 2" xfId="29956"/>
    <cellStyle name="Normal 3 2 2 2 2 5 3 4 3" xfId="29957"/>
    <cellStyle name="Normal 3 2 2 2 2 5 3 4 3 2" xfId="29958"/>
    <cellStyle name="Normal 3 2 2 2 2 5 3 4 4" xfId="29959"/>
    <cellStyle name="Normal 3 2 2 2 2 5 3 4 4 2" xfId="29960"/>
    <cellStyle name="Normal 3 2 2 2 2 5 3 4 5" xfId="29961"/>
    <cellStyle name="Normal 3 2 2 2 2 5 3 4 6" xfId="29962"/>
    <cellStyle name="Normal 3 2 2 2 2 5 3 5" xfId="29963"/>
    <cellStyle name="Normal 3 2 2 2 2 5 3 5 2" xfId="29964"/>
    <cellStyle name="Normal 3 2 2 2 2 5 3 5 2 2" xfId="29965"/>
    <cellStyle name="Normal 3 2 2 2 2 5 3 5 3" xfId="29966"/>
    <cellStyle name="Normal 3 2 2 2 2 5 3 5 3 2" xfId="29967"/>
    <cellStyle name="Normal 3 2 2 2 2 5 3 5 4" xfId="29968"/>
    <cellStyle name="Normal 3 2 2 2 2 5 3 5 5" xfId="29969"/>
    <cellStyle name="Normal 3 2 2 2 2 5 3 6" xfId="29970"/>
    <cellStyle name="Normal 3 2 2 2 2 5 3 6 2" xfId="29971"/>
    <cellStyle name="Normal 3 2 2 2 2 5 3 7" xfId="29972"/>
    <cellStyle name="Normal 3 2 2 2 2 5 3 7 2" xfId="29973"/>
    <cellStyle name="Normal 3 2 2 2 2 5 3 8" xfId="29974"/>
    <cellStyle name="Normal 3 2 2 2 2 5 3 8 2" xfId="29975"/>
    <cellStyle name="Normal 3 2 2 2 2 5 3 9" xfId="29976"/>
    <cellStyle name="Normal 3 2 2 2 2 5 4" xfId="2599"/>
    <cellStyle name="Normal 3 2 2 2 2 5 4 10" xfId="29978"/>
    <cellStyle name="Normal 3 2 2 2 2 5 4 11" xfId="29977"/>
    <cellStyle name="Normal 3 2 2 2 2 5 4 2" xfId="2600"/>
    <cellStyle name="Normal 3 2 2 2 2 5 4 2 2" xfId="29980"/>
    <cellStyle name="Normal 3 2 2 2 2 5 4 2 2 2" xfId="29981"/>
    <cellStyle name="Normal 3 2 2 2 2 5 4 2 3" xfId="29982"/>
    <cellStyle name="Normal 3 2 2 2 2 5 4 2 3 2" xfId="29983"/>
    <cellStyle name="Normal 3 2 2 2 2 5 4 2 4" xfId="29984"/>
    <cellStyle name="Normal 3 2 2 2 2 5 4 2 4 2" xfId="29985"/>
    <cellStyle name="Normal 3 2 2 2 2 5 4 2 5" xfId="29986"/>
    <cellStyle name="Normal 3 2 2 2 2 5 4 2 6" xfId="29987"/>
    <cellStyle name="Normal 3 2 2 2 2 5 4 2 7" xfId="29979"/>
    <cellStyle name="Normal 3 2 2 2 2 5 4 3" xfId="29988"/>
    <cellStyle name="Normal 3 2 2 2 2 5 4 3 2" xfId="29989"/>
    <cellStyle name="Normal 3 2 2 2 2 5 4 3 2 2" xfId="29990"/>
    <cellStyle name="Normal 3 2 2 2 2 5 4 3 3" xfId="29991"/>
    <cellStyle name="Normal 3 2 2 2 2 5 4 3 3 2" xfId="29992"/>
    <cellStyle name="Normal 3 2 2 2 2 5 4 3 4" xfId="29993"/>
    <cellStyle name="Normal 3 2 2 2 2 5 4 3 4 2" xfId="29994"/>
    <cellStyle name="Normal 3 2 2 2 2 5 4 3 5" xfId="29995"/>
    <cellStyle name="Normal 3 2 2 2 2 5 4 3 6" xfId="29996"/>
    <cellStyle name="Normal 3 2 2 2 2 5 4 4" xfId="29997"/>
    <cellStyle name="Normal 3 2 2 2 2 5 4 4 2" xfId="29998"/>
    <cellStyle name="Normal 3 2 2 2 2 5 4 4 2 2" xfId="29999"/>
    <cellStyle name="Normal 3 2 2 2 2 5 4 4 3" xfId="30000"/>
    <cellStyle name="Normal 3 2 2 2 2 5 4 4 3 2" xfId="30001"/>
    <cellStyle name="Normal 3 2 2 2 2 5 4 4 4" xfId="30002"/>
    <cellStyle name="Normal 3 2 2 2 2 5 4 4 4 2" xfId="30003"/>
    <cellStyle name="Normal 3 2 2 2 2 5 4 4 5" xfId="30004"/>
    <cellStyle name="Normal 3 2 2 2 2 5 4 4 6" xfId="30005"/>
    <cellStyle name="Normal 3 2 2 2 2 5 4 5" xfId="30006"/>
    <cellStyle name="Normal 3 2 2 2 2 5 4 5 2" xfId="30007"/>
    <cellStyle name="Normal 3 2 2 2 2 5 4 5 2 2" xfId="30008"/>
    <cellStyle name="Normal 3 2 2 2 2 5 4 5 3" xfId="30009"/>
    <cellStyle name="Normal 3 2 2 2 2 5 4 5 3 2" xfId="30010"/>
    <cellStyle name="Normal 3 2 2 2 2 5 4 5 4" xfId="30011"/>
    <cellStyle name="Normal 3 2 2 2 2 5 4 5 5" xfId="30012"/>
    <cellStyle name="Normal 3 2 2 2 2 5 4 6" xfId="30013"/>
    <cellStyle name="Normal 3 2 2 2 2 5 4 6 2" xfId="30014"/>
    <cellStyle name="Normal 3 2 2 2 2 5 4 7" xfId="30015"/>
    <cellStyle name="Normal 3 2 2 2 2 5 4 7 2" xfId="30016"/>
    <cellStyle name="Normal 3 2 2 2 2 5 4 8" xfId="30017"/>
    <cellStyle name="Normal 3 2 2 2 2 5 4 8 2" xfId="30018"/>
    <cellStyle name="Normal 3 2 2 2 2 5 4 9" xfId="30019"/>
    <cellStyle name="Normal 3 2 2 2 2 5 5" xfId="2601"/>
    <cellStyle name="Normal 3 2 2 2 2 5 5 2" xfId="2602"/>
    <cellStyle name="Normal 3 2 2 2 2 5 5 2 2" xfId="30022"/>
    <cellStyle name="Normal 3 2 2 2 2 5 5 2 3" xfId="30021"/>
    <cellStyle name="Normal 3 2 2 2 2 5 5 3" xfId="30023"/>
    <cellStyle name="Normal 3 2 2 2 2 5 5 3 2" xfId="30024"/>
    <cellStyle name="Normal 3 2 2 2 2 5 5 4" xfId="30025"/>
    <cellStyle name="Normal 3 2 2 2 2 5 5 4 2" xfId="30026"/>
    <cellStyle name="Normal 3 2 2 2 2 5 5 5" xfId="30027"/>
    <cellStyle name="Normal 3 2 2 2 2 5 5 6" xfId="30028"/>
    <cellStyle name="Normal 3 2 2 2 2 5 5 7" xfId="30020"/>
    <cellStyle name="Normal 3 2 2 2 2 5 6" xfId="2603"/>
    <cellStyle name="Normal 3 2 2 2 2 5 6 2" xfId="30030"/>
    <cellStyle name="Normal 3 2 2 2 2 5 6 2 2" xfId="30031"/>
    <cellStyle name="Normal 3 2 2 2 2 5 6 3" xfId="30032"/>
    <cellStyle name="Normal 3 2 2 2 2 5 6 3 2" xfId="30033"/>
    <cellStyle name="Normal 3 2 2 2 2 5 6 4" xfId="30034"/>
    <cellStyle name="Normal 3 2 2 2 2 5 6 4 2" xfId="30035"/>
    <cellStyle name="Normal 3 2 2 2 2 5 6 5" xfId="30036"/>
    <cellStyle name="Normal 3 2 2 2 2 5 6 6" xfId="30037"/>
    <cellStyle name="Normal 3 2 2 2 2 5 6 7" xfId="30029"/>
    <cellStyle name="Normal 3 2 2 2 2 5 7" xfId="30038"/>
    <cellStyle name="Normal 3 2 2 2 2 5 7 2" xfId="30039"/>
    <cellStyle name="Normal 3 2 2 2 2 5 7 2 2" xfId="30040"/>
    <cellStyle name="Normal 3 2 2 2 2 5 7 3" xfId="30041"/>
    <cellStyle name="Normal 3 2 2 2 2 5 7 3 2" xfId="30042"/>
    <cellStyle name="Normal 3 2 2 2 2 5 7 4" xfId="30043"/>
    <cellStyle name="Normal 3 2 2 2 2 5 7 4 2" xfId="30044"/>
    <cellStyle name="Normal 3 2 2 2 2 5 7 5" xfId="30045"/>
    <cellStyle name="Normal 3 2 2 2 2 5 7 6" xfId="30046"/>
    <cellStyle name="Normal 3 2 2 2 2 5 8" xfId="30047"/>
    <cellStyle name="Normal 3 2 2 2 2 5 8 2" xfId="30048"/>
    <cellStyle name="Normal 3 2 2 2 2 5 8 2 2" xfId="30049"/>
    <cellStyle name="Normal 3 2 2 2 2 5 8 3" xfId="30050"/>
    <cellStyle name="Normal 3 2 2 2 2 5 8 3 2" xfId="30051"/>
    <cellStyle name="Normal 3 2 2 2 2 5 8 4" xfId="30052"/>
    <cellStyle name="Normal 3 2 2 2 2 5 8 5" xfId="30053"/>
    <cellStyle name="Normal 3 2 2 2 2 5 9" xfId="30054"/>
    <cellStyle name="Normal 3 2 2 2 2 5 9 2" xfId="30055"/>
    <cellStyle name="Normal 3 2 2 2 2 6" xfId="2604"/>
    <cellStyle name="Normal 3 2 2 2 2 6 10" xfId="30057"/>
    <cellStyle name="Normal 3 2 2 2 2 6 10 2" xfId="30058"/>
    <cellStyle name="Normal 3 2 2 2 2 6 11" xfId="30059"/>
    <cellStyle name="Normal 3 2 2 2 2 6 11 2" xfId="30060"/>
    <cellStyle name="Normal 3 2 2 2 2 6 12" xfId="30061"/>
    <cellStyle name="Normal 3 2 2 2 2 6 13" xfId="30062"/>
    <cellStyle name="Normal 3 2 2 2 2 6 14" xfId="30056"/>
    <cellStyle name="Normal 3 2 2 2 2 6 2" xfId="2605"/>
    <cellStyle name="Normal 3 2 2 2 2 6 2 10" xfId="30064"/>
    <cellStyle name="Normal 3 2 2 2 2 6 2 11" xfId="30065"/>
    <cellStyle name="Normal 3 2 2 2 2 6 2 12" xfId="30063"/>
    <cellStyle name="Normal 3 2 2 2 2 6 2 2" xfId="2606"/>
    <cellStyle name="Normal 3 2 2 2 2 6 2 2 2" xfId="30067"/>
    <cellStyle name="Normal 3 2 2 2 2 6 2 2 2 2" xfId="30068"/>
    <cellStyle name="Normal 3 2 2 2 2 6 2 2 3" xfId="30069"/>
    <cellStyle name="Normal 3 2 2 2 2 6 2 2 3 2" xfId="30070"/>
    <cellStyle name="Normal 3 2 2 2 2 6 2 2 4" xfId="30071"/>
    <cellStyle name="Normal 3 2 2 2 2 6 2 2 4 2" xfId="30072"/>
    <cellStyle name="Normal 3 2 2 2 2 6 2 2 5" xfId="30073"/>
    <cellStyle name="Normal 3 2 2 2 2 6 2 2 6" xfId="30074"/>
    <cellStyle name="Normal 3 2 2 2 2 6 2 2 7" xfId="30066"/>
    <cellStyle name="Normal 3 2 2 2 2 6 2 3" xfId="30075"/>
    <cellStyle name="Normal 3 2 2 2 2 6 2 3 2" xfId="30076"/>
    <cellStyle name="Normal 3 2 2 2 2 6 2 3 2 2" xfId="30077"/>
    <cellStyle name="Normal 3 2 2 2 2 6 2 3 3" xfId="30078"/>
    <cellStyle name="Normal 3 2 2 2 2 6 2 3 3 2" xfId="30079"/>
    <cellStyle name="Normal 3 2 2 2 2 6 2 3 4" xfId="30080"/>
    <cellStyle name="Normal 3 2 2 2 2 6 2 3 4 2" xfId="30081"/>
    <cellStyle name="Normal 3 2 2 2 2 6 2 3 5" xfId="30082"/>
    <cellStyle name="Normal 3 2 2 2 2 6 2 3 6" xfId="30083"/>
    <cellStyle name="Normal 3 2 2 2 2 6 2 4" xfId="30084"/>
    <cellStyle name="Normal 3 2 2 2 2 6 2 4 2" xfId="30085"/>
    <cellStyle name="Normal 3 2 2 2 2 6 2 4 2 2" xfId="30086"/>
    <cellStyle name="Normal 3 2 2 2 2 6 2 4 3" xfId="30087"/>
    <cellStyle name="Normal 3 2 2 2 2 6 2 4 3 2" xfId="30088"/>
    <cellStyle name="Normal 3 2 2 2 2 6 2 4 4" xfId="30089"/>
    <cellStyle name="Normal 3 2 2 2 2 6 2 4 4 2" xfId="30090"/>
    <cellStyle name="Normal 3 2 2 2 2 6 2 4 5" xfId="30091"/>
    <cellStyle name="Normal 3 2 2 2 2 6 2 4 6" xfId="30092"/>
    <cellStyle name="Normal 3 2 2 2 2 6 2 5" xfId="30093"/>
    <cellStyle name="Normal 3 2 2 2 2 6 2 5 2" xfId="30094"/>
    <cellStyle name="Normal 3 2 2 2 2 6 2 5 2 2" xfId="30095"/>
    <cellStyle name="Normal 3 2 2 2 2 6 2 5 3" xfId="30096"/>
    <cellStyle name="Normal 3 2 2 2 2 6 2 5 3 2" xfId="30097"/>
    <cellStyle name="Normal 3 2 2 2 2 6 2 5 4" xfId="30098"/>
    <cellStyle name="Normal 3 2 2 2 2 6 2 5 4 2" xfId="30099"/>
    <cellStyle name="Normal 3 2 2 2 2 6 2 5 5" xfId="30100"/>
    <cellStyle name="Normal 3 2 2 2 2 6 2 5 6" xfId="30101"/>
    <cellStyle name="Normal 3 2 2 2 2 6 2 6" xfId="30102"/>
    <cellStyle name="Normal 3 2 2 2 2 6 2 6 2" xfId="30103"/>
    <cellStyle name="Normal 3 2 2 2 2 6 2 6 2 2" xfId="30104"/>
    <cellStyle name="Normal 3 2 2 2 2 6 2 6 3" xfId="30105"/>
    <cellStyle name="Normal 3 2 2 2 2 6 2 6 3 2" xfId="30106"/>
    <cellStyle name="Normal 3 2 2 2 2 6 2 6 4" xfId="30107"/>
    <cellStyle name="Normal 3 2 2 2 2 6 2 6 5" xfId="30108"/>
    <cellStyle name="Normal 3 2 2 2 2 6 2 7" xfId="30109"/>
    <cellStyle name="Normal 3 2 2 2 2 6 2 7 2" xfId="30110"/>
    <cellStyle name="Normal 3 2 2 2 2 6 2 8" xfId="30111"/>
    <cellStyle name="Normal 3 2 2 2 2 6 2 8 2" xfId="30112"/>
    <cellStyle name="Normal 3 2 2 2 2 6 2 9" xfId="30113"/>
    <cellStyle name="Normal 3 2 2 2 2 6 2 9 2" xfId="30114"/>
    <cellStyle name="Normal 3 2 2 2 2 6 3" xfId="2607"/>
    <cellStyle name="Normal 3 2 2 2 2 6 3 10" xfId="30116"/>
    <cellStyle name="Normal 3 2 2 2 2 6 3 11" xfId="30115"/>
    <cellStyle name="Normal 3 2 2 2 2 6 3 2" xfId="2608"/>
    <cellStyle name="Normal 3 2 2 2 2 6 3 2 2" xfId="30118"/>
    <cellStyle name="Normal 3 2 2 2 2 6 3 2 2 2" xfId="30119"/>
    <cellStyle name="Normal 3 2 2 2 2 6 3 2 3" xfId="30120"/>
    <cellStyle name="Normal 3 2 2 2 2 6 3 2 3 2" xfId="30121"/>
    <cellStyle name="Normal 3 2 2 2 2 6 3 2 4" xfId="30122"/>
    <cellStyle name="Normal 3 2 2 2 2 6 3 2 4 2" xfId="30123"/>
    <cellStyle name="Normal 3 2 2 2 2 6 3 2 5" xfId="30124"/>
    <cellStyle name="Normal 3 2 2 2 2 6 3 2 6" xfId="30125"/>
    <cellStyle name="Normal 3 2 2 2 2 6 3 2 7" xfId="30117"/>
    <cellStyle name="Normal 3 2 2 2 2 6 3 3" xfId="30126"/>
    <cellStyle name="Normal 3 2 2 2 2 6 3 3 2" xfId="30127"/>
    <cellStyle name="Normal 3 2 2 2 2 6 3 3 2 2" xfId="30128"/>
    <cellStyle name="Normal 3 2 2 2 2 6 3 3 3" xfId="30129"/>
    <cellStyle name="Normal 3 2 2 2 2 6 3 3 3 2" xfId="30130"/>
    <cellStyle name="Normal 3 2 2 2 2 6 3 3 4" xfId="30131"/>
    <cellStyle name="Normal 3 2 2 2 2 6 3 3 4 2" xfId="30132"/>
    <cellStyle name="Normal 3 2 2 2 2 6 3 3 5" xfId="30133"/>
    <cellStyle name="Normal 3 2 2 2 2 6 3 3 6" xfId="30134"/>
    <cellStyle name="Normal 3 2 2 2 2 6 3 4" xfId="30135"/>
    <cellStyle name="Normal 3 2 2 2 2 6 3 4 2" xfId="30136"/>
    <cellStyle name="Normal 3 2 2 2 2 6 3 4 2 2" xfId="30137"/>
    <cellStyle name="Normal 3 2 2 2 2 6 3 4 3" xfId="30138"/>
    <cellStyle name="Normal 3 2 2 2 2 6 3 4 3 2" xfId="30139"/>
    <cellStyle name="Normal 3 2 2 2 2 6 3 4 4" xfId="30140"/>
    <cellStyle name="Normal 3 2 2 2 2 6 3 4 4 2" xfId="30141"/>
    <cellStyle name="Normal 3 2 2 2 2 6 3 4 5" xfId="30142"/>
    <cellStyle name="Normal 3 2 2 2 2 6 3 4 6" xfId="30143"/>
    <cellStyle name="Normal 3 2 2 2 2 6 3 5" xfId="30144"/>
    <cellStyle name="Normal 3 2 2 2 2 6 3 5 2" xfId="30145"/>
    <cellStyle name="Normal 3 2 2 2 2 6 3 5 2 2" xfId="30146"/>
    <cellStyle name="Normal 3 2 2 2 2 6 3 5 3" xfId="30147"/>
    <cellStyle name="Normal 3 2 2 2 2 6 3 5 3 2" xfId="30148"/>
    <cellStyle name="Normal 3 2 2 2 2 6 3 5 4" xfId="30149"/>
    <cellStyle name="Normal 3 2 2 2 2 6 3 5 5" xfId="30150"/>
    <cellStyle name="Normal 3 2 2 2 2 6 3 6" xfId="30151"/>
    <cellStyle name="Normal 3 2 2 2 2 6 3 6 2" xfId="30152"/>
    <cellStyle name="Normal 3 2 2 2 2 6 3 7" xfId="30153"/>
    <cellStyle name="Normal 3 2 2 2 2 6 3 7 2" xfId="30154"/>
    <cellStyle name="Normal 3 2 2 2 2 6 3 8" xfId="30155"/>
    <cellStyle name="Normal 3 2 2 2 2 6 3 8 2" xfId="30156"/>
    <cellStyle name="Normal 3 2 2 2 2 6 3 9" xfId="30157"/>
    <cellStyle name="Normal 3 2 2 2 2 6 4" xfId="2609"/>
    <cellStyle name="Normal 3 2 2 2 2 6 4 10" xfId="30159"/>
    <cellStyle name="Normal 3 2 2 2 2 6 4 11" xfId="30158"/>
    <cellStyle name="Normal 3 2 2 2 2 6 4 2" xfId="30160"/>
    <cellStyle name="Normal 3 2 2 2 2 6 4 2 2" xfId="30161"/>
    <cellStyle name="Normal 3 2 2 2 2 6 4 2 2 2" xfId="30162"/>
    <cellStyle name="Normal 3 2 2 2 2 6 4 2 3" xfId="30163"/>
    <cellStyle name="Normal 3 2 2 2 2 6 4 2 3 2" xfId="30164"/>
    <cellStyle name="Normal 3 2 2 2 2 6 4 2 4" xfId="30165"/>
    <cellStyle name="Normal 3 2 2 2 2 6 4 2 4 2" xfId="30166"/>
    <cellStyle name="Normal 3 2 2 2 2 6 4 2 5" xfId="30167"/>
    <cellStyle name="Normal 3 2 2 2 2 6 4 2 6" xfId="30168"/>
    <cellStyle name="Normal 3 2 2 2 2 6 4 3" xfId="30169"/>
    <cellStyle name="Normal 3 2 2 2 2 6 4 3 2" xfId="30170"/>
    <cellStyle name="Normal 3 2 2 2 2 6 4 3 2 2" xfId="30171"/>
    <cellStyle name="Normal 3 2 2 2 2 6 4 3 3" xfId="30172"/>
    <cellStyle name="Normal 3 2 2 2 2 6 4 3 3 2" xfId="30173"/>
    <cellStyle name="Normal 3 2 2 2 2 6 4 3 4" xfId="30174"/>
    <cellStyle name="Normal 3 2 2 2 2 6 4 3 4 2" xfId="30175"/>
    <cellStyle name="Normal 3 2 2 2 2 6 4 3 5" xfId="30176"/>
    <cellStyle name="Normal 3 2 2 2 2 6 4 3 6" xfId="30177"/>
    <cellStyle name="Normal 3 2 2 2 2 6 4 4" xfId="30178"/>
    <cellStyle name="Normal 3 2 2 2 2 6 4 4 2" xfId="30179"/>
    <cellStyle name="Normal 3 2 2 2 2 6 4 4 2 2" xfId="30180"/>
    <cellStyle name="Normal 3 2 2 2 2 6 4 4 3" xfId="30181"/>
    <cellStyle name="Normal 3 2 2 2 2 6 4 4 3 2" xfId="30182"/>
    <cellStyle name="Normal 3 2 2 2 2 6 4 4 4" xfId="30183"/>
    <cellStyle name="Normal 3 2 2 2 2 6 4 4 4 2" xfId="30184"/>
    <cellStyle name="Normal 3 2 2 2 2 6 4 4 5" xfId="30185"/>
    <cellStyle name="Normal 3 2 2 2 2 6 4 4 6" xfId="30186"/>
    <cellStyle name="Normal 3 2 2 2 2 6 4 5" xfId="30187"/>
    <cellStyle name="Normal 3 2 2 2 2 6 4 5 2" xfId="30188"/>
    <cellStyle name="Normal 3 2 2 2 2 6 4 5 2 2" xfId="30189"/>
    <cellStyle name="Normal 3 2 2 2 2 6 4 5 3" xfId="30190"/>
    <cellStyle name="Normal 3 2 2 2 2 6 4 5 3 2" xfId="30191"/>
    <cellStyle name="Normal 3 2 2 2 2 6 4 5 4" xfId="30192"/>
    <cellStyle name="Normal 3 2 2 2 2 6 4 5 5" xfId="30193"/>
    <cellStyle name="Normal 3 2 2 2 2 6 4 6" xfId="30194"/>
    <cellStyle name="Normal 3 2 2 2 2 6 4 6 2" xfId="30195"/>
    <cellStyle name="Normal 3 2 2 2 2 6 4 7" xfId="30196"/>
    <cellStyle name="Normal 3 2 2 2 2 6 4 7 2" xfId="30197"/>
    <cellStyle name="Normal 3 2 2 2 2 6 4 8" xfId="30198"/>
    <cellStyle name="Normal 3 2 2 2 2 6 4 8 2" xfId="30199"/>
    <cellStyle name="Normal 3 2 2 2 2 6 4 9" xfId="30200"/>
    <cellStyle name="Normal 3 2 2 2 2 6 5" xfId="30201"/>
    <cellStyle name="Normal 3 2 2 2 2 6 5 2" xfId="30202"/>
    <cellStyle name="Normal 3 2 2 2 2 6 5 2 2" xfId="30203"/>
    <cellStyle name="Normal 3 2 2 2 2 6 5 3" xfId="30204"/>
    <cellStyle name="Normal 3 2 2 2 2 6 5 3 2" xfId="30205"/>
    <cellStyle name="Normal 3 2 2 2 2 6 5 4" xfId="30206"/>
    <cellStyle name="Normal 3 2 2 2 2 6 5 4 2" xfId="30207"/>
    <cellStyle name="Normal 3 2 2 2 2 6 5 5" xfId="30208"/>
    <cellStyle name="Normal 3 2 2 2 2 6 5 6" xfId="30209"/>
    <cellStyle name="Normal 3 2 2 2 2 6 6" xfId="30210"/>
    <cellStyle name="Normal 3 2 2 2 2 6 6 2" xfId="30211"/>
    <cellStyle name="Normal 3 2 2 2 2 6 6 2 2" xfId="30212"/>
    <cellStyle name="Normal 3 2 2 2 2 6 6 3" xfId="30213"/>
    <cellStyle name="Normal 3 2 2 2 2 6 6 3 2" xfId="30214"/>
    <cellStyle name="Normal 3 2 2 2 2 6 6 4" xfId="30215"/>
    <cellStyle name="Normal 3 2 2 2 2 6 6 4 2" xfId="30216"/>
    <cellStyle name="Normal 3 2 2 2 2 6 6 5" xfId="30217"/>
    <cellStyle name="Normal 3 2 2 2 2 6 6 6" xfId="30218"/>
    <cellStyle name="Normal 3 2 2 2 2 6 7" xfId="30219"/>
    <cellStyle name="Normal 3 2 2 2 2 6 7 2" xfId="30220"/>
    <cellStyle name="Normal 3 2 2 2 2 6 7 2 2" xfId="30221"/>
    <cellStyle name="Normal 3 2 2 2 2 6 7 3" xfId="30222"/>
    <cellStyle name="Normal 3 2 2 2 2 6 7 3 2" xfId="30223"/>
    <cellStyle name="Normal 3 2 2 2 2 6 7 4" xfId="30224"/>
    <cellStyle name="Normal 3 2 2 2 2 6 7 4 2" xfId="30225"/>
    <cellStyle name="Normal 3 2 2 2 2 6 7 5" xfId="30226"/>
    <cellStyle name="Normal 3 2 2 2 2 6 7 6" xfId="30227"/>
    <cellStyle name="Normal 3 2 2 2 2 6 8" xfId="30228"/>
    <cellStyle name="Normal 3 2 2 2 2 6 8 2" xfId="30229"/>
    <cellStyle name="Normal 3 2 2 2 2 6 8 2 2" xfId="30230"/>
    <cellStyle name="Normal 3 2 2 2 2 6 8 3" xfId="30231"/>
    <cellStyle name="Normal 3 2 2 2 2 6 8 3 2" xfId="30232"/>
    <cellStyle name="Normal 3 2 2 2 2 6 8 4" xfId="30233"/>
    <cellStyle name="Normal 3 2 2 2 2 6 8 5" xfId="30234"/>
    <cellStyle name="Normal 3 2 2 2 2 6 9" xfId="30235"/>
    <cellStyle name="Normal 3 2 2 2 2 6 9 2" xfId="30236"/>
    <cellStyle name="Normal 3 2 2 2 2 7" xfId="2610"/>
    <cellStyle name="Normal 3 2 2 2 2 7 10" xfId="30238"/>
    <cellStyle name="Normal 3 2 2 2 2 7 10 2" xfId="30239"/>
    <cellStyle name="Normal 3 2 2 2 2 7 11" xfId="30240"/>
    <cellStyle name="Normal 3 2 2 2 2 7 12" xfId="30241"/>
    <cellStyle name="Normal 3 2 2 2 2 7 13" xfId="30237"/>
    <cellStyle name="Normal 3 2 2 2 2 7 2" xfId="2611"/>
    <cellStyle name="Normal 3 2 2 2 2 7 2 10" xfId="30243"/>
    <cellStyle name="Normal 3 2 2 2 2 7 2 11" xfId="30242"/>
    <cellStyle name="Normal 3 2 2 2 2 7 2 2" xfId="2612"/>
    <cellStyle name="Normal 3 2 2 2 2 7 2 2 2" xfId="30245"/>
    <cellStyle name="Normal 3 2 2 2 2 7 2 2 2 2" xfId="30246"/>
    <cellStyle name="Normal 3 2 2 2 2 7 2 2 3" xfId="30247"/>
    <cellStyle name="Normal 3 2 2 2 2 7 2 2 3 2" xfId="30248"/>
    <cellStyle name="Normal 3 2 2 2 2 7 2 2 4" xfId="30249"/>
    <cellStyle name="Normal 3 2 2 2 2 7 2 2 4 2" xfId="30250"/>
    <cellStyle name="Normal 3 2 2 2 2 7 2 2 5" xfId="30251"/>
    <cellStyle name="Normal 3 2 2 2 2 7 2 2 6" xfId="30252"/>
    <cellStyle name="Normal 3 2 2 2 2 7 2 2 7" xfId="30244"/>
    <cellStyle name="Normal 3 2 2 2 2 7 2 3" xfId="30253"/>
    <cellStyle name="Normal 3 2 2 2 2 7 2 3 2" xfId="30254"/>
    <cellStyle name="Normal 3 2 2 2 2 7 2 3 2 2" xfId="30255"/>
    <cellStyle name="Normal 3 2 2 2 2 7 2 3 3" xfId="30256"/>
    <cellStyle name="Normal 3 2 2 2 2 7 2 3 3 2" xfId="30257"/>
    <cellStyle name="Normal 3 2 2 2 2 7 2 3 4" xfId="30258"/>
    <cellStyle name="Normal 3 2 2 2 2 7 2 3 4 2" xfId="30259"/>
    <cellStyle name="Normal 3 2 2 2 2 7 2 3 5" xfId="30260"/>
    <cellStyle name="Normal 3 2 2 2 2 7 2 3 6" xfId="30261"/>
    <cellStyle name="Normal 3 2 2 2 2 7 2 4" xfId="30262"/>
    <cellStyle name="Normal 3 2 2 2 2 7 2 4 2" xfId="30263"/>
    <cellStyle name="Normal 3 2 2 2 2 7 2 4 2 2" xfId="30264"/>
    <cellStyle name="Normal 3 2 2 2 2 7 2 4 3" xfId="30265"/>
    <cellStyle name="Normal 3 2 2 2 2 7 2 4 3 2" xfId="30266"/>
    <cellStyle name="Normal 3 2 2 2 2 7 2 4 4" xfId="30267"/>
    <cellStyle name="Normal 3 2 2 2 2 7 2 4 4 2" xfId="30268"/>
    <cellStyle name="Normal 3 2 2 2 2 7 2 4 5" xfId="30269"/>
    <cellStyle name="Normal 3 2 2 2 2 7 2 4 6" xfId="30270"/>
    <cellStyle name="Normal 3 2 2 2 2 7 2 5" xfId="30271"/>
    <cellStyle name="Normal 3 2 2 2 2 7 2 5 2" xfId="30272"/>
    <cellStyle name="Normal 3 2 2 2 2 7 2 5 2 2" xfId="30273"/>
    <cellStyle name="Normal 3 2 2 2 2 7 2 5 3" xfId="30274"/>
    <cellStyle name="Normal 3 2 2 2 2 7 2 5 3 2" xfId="30275"/>
    <cellStyle name="Normal 3 2 2 2 2 7 2 5 4" xfId="30276"/>
    <cellStyle name="Normal 3 2 2 2 2 7 2 5 5" xfId="30277"/>
    <cellStyle name="Normal 3 2 2 2 2 7 2 6" xfId="30278"/>
    <cellStyle name="Normal 3 2 2 2 2 7 2 6 2" xfId="30279"/>
    <cellStyle name="Normal 3 2 2 2 2 7 2 7" xfId="30280"/>
    <cellStyle name="Normal 3 2 2 2 2 7 2 7 2" xfId="30281"/>
    <cellStyle name="Normal 3 2 2 2 2 7 2 8" xfId="30282"/>
    <cellStyle name="Normal 3 2 2 2 2 7 2 8 2" xfId="30283"/>
    <cellStyle name="Normal 3 2 2 2 2 7 2 9" xfId="30284"/>
    <cellStyle name="Normal 3 2 2 2 2 7 3" xfId="2613"/>
    <cellStyle name="Normal 3 2 2 2 2 7 3 10" xfId="30286"/>
    <cellStyle name="Normal 3 2 2 2 2 7 3 11" xfId="30285"/>
    <cellStyle name="Normal 3 2 2 2 2 7 3 2" xfId="2614"/>
    <cellStyle name="Normal 3 2 2 2 2 7 3 2 2" xfId="30288"/>
    <cellStyle name="Normal 3 2 2 2 2 7 3 2 2 2" xfId="30289"/>
    <cellStyle name="Normal 3 2 2 2 2 7 3 2 3" xfId="30290"/>
    <cellStyle name="Normal 3 2 2 2 2 7 3 2 3 2" xfId="30291"/>
    <cellStyle name="Normal 3 2 2 2 2 7 3 2 4" xfId="30292"/>
    <cellStyle name="Normal 3 2 2 2 2 7 3 2 4 2" xfId="30293"/>
    <cellStyle name="Normal 3 2 2 2 2 7 3 2 5" xfId="30294"/>
    <cellStyle name="Normal 3 2 2 2 2 7 3 2 6" xfId="30295"/>
    <cellStyle name="Normal 3 2 2 2 2 7 3 2 7" xfId="30287"/>
    <cellStyle name="Normal 3 2 2 2 2 7 3 3" xfId="30296"/>
    <cellStyle name="Normal 3 2 2 2 2 7 3 3 2" xfId="30297"/>
    <cellStyle name="Normal 3 2 2 2 2 7 3 3 2 2" xfId="30298"/>
    <cellStyle name="Normal 3 2 2 2 2 7 3 3 3" xfId="30299"/>
    <cellStyle name="Normal 3 2 2 2 2 7 3 3 3 2" xfId="30300"/>
    <cellStyle name="Normal 3 2 2 2 2 7 3 3 4" xfId="30301"/>
    <cellStyle name="Normal 3 2 2 2 2 7 3 3 4 2" xfId="30302"/>
    <cellStyle name="Normal 3 2 2 2 2 7 3 3 5" xfId="30303"/>
    <cellStyle name="Normal 3 2 2 2 2 7 3 3 6" xfId="30304"/>
    <cellStyle name="Normal 3 2 2 2 2 7 3 4" xfId="30305"/>
    <cellStyle name="Normal 3 2 2 2 2 7 3 4 2" xfId="30306"/>
    <cellStyle name="Normal 3 2 2 2 2 7 3 4 2 2" xfId="30307"/>
    <cellStyle name="Normal 3 2 2 2 2 7 3 4 3" xfId="30308"/>
    <cellStyle name="Normal 3 2 2 2 2 7 3 4 3 2" xfId="30309"/>
    <cellStyle name="Normal 3 2 2 2 2 7 3 4 4" xfId="30310"/>
    <cellStyle name="Normal 3 2 2 2 2 7 3 4 4 2" xfId="30311"/>
    <cellStyle name="Normal 3 2 2 2 2 7 3 4 5" xfId="30312"/>
    <cellStyle name="Normal 3 2 2 2 2 7 3 4 6" xfId="30313"/>
    <cellStyle name="Normal 3 2 2 2 2 7 3 5" xfId="30314"/>
    <cellStyle name="Normal 3 2 2 2 2 7 3 5 2" xfId="30315"/>
    <cellStyle name="Normal 3 2 2 2 2 7 3 5 2 2" xfId="30316"/>
    <cellStyle name="Normal 3 2 2 2 2 7 3 5 3" xfId="30317"/>
    <cellStyle name="Normal 3 2 2 2 2 7 3 5 3 2" xfId="30318"/>
    <cellStyle name="Normal 3 2 2 2 2 7 3 5 4" xfId="30319"/>
    <cellStyle name="Normal 3 2 2 2 2 7 3 5 5" xfId="30320"/>
    <cellStyle name="Normal 3 2 2 2 2 7 3 6" xfId="30321"/>
    <cellStyle name="Normal 3 2 2 2 2 7 3 6 2" xfId="30322"/>
    <cellStyle name="Normal 3 2 2 2 2 7 3 7" xfId="30323"/>
    <cellStyle name="Normal 3 2 2 2 2 7 3 7 2" xfId="30324"/>
    <cellStyle name="Normal 3 2 2 2 2 7 3 8" xfId="30325"/>
    <cellStyle name="Normal 3 2 2 2 2 7 3 8 2" xfId="30326"/>
    <cellStyle name="Normal 3 2 2 2 2 7 3 9" xfId="30327"/>
    <cellStyle name="Normal 3 2 2 2 2 7 4" xfId="2615"/>
    <cellStyle name="Normal 3 2 2 2 2 7 4 2" xfId="30329"/>
    <cellStyle name="Normal 3 2 2 2 2 7 4 2 2" xfId="30330"/>
    <cellStyle name="Normal 3 2 2 2 2 7 4 3" xfId="30331"/>
    <cellStyle name="Normal 3 2 2 2 2 7 4 3 2" xfId="30332"/>
    <cellStyle name="Normal 3 2 2 2 2 7 4 4" xfId="30333"/>
    <cellStyle name="Normal 3 2 2 2 2 7 4 4 2" xfId="30334"/>
    <cellStyle name="Normal 3 2 2 2 2 7 4 5" xfId="30335"/>
    <cellStyle name="Normal 3 2 2 2 2 7 4 6" xfId="30336"/>
    <cellStyle name="Normal 3 2 2 2 2 7 4 7" xfId="30328"/>
    <cellStyle name="Normal 3 2 2 2 2 7 5" xfId="30337"/>
    <cellStyle name="Normal 3 2 2 2 2 7 5 2" xfId="30338"/>
    <cellStyle name="Normal 3 2 2 2 2 7 5 2 2" xfId="30339"/>
    <cellStyle name="Normal 3 2 2 2 2 7 5 3" xfId="30340"/>
    <cellStyle name="Normal 3 2 2 2 2 7 5 3 2" xfId="30341"/>
    <cellStyle name="Normal 3 2 2 2 2 7 5 4" xfId="30342"/>
    <cellStyle name="Normal 3 2 2 2 2 7 5 4 2" xfId="30343"/>
    <cellStyle name="Normal 3 2 2 2 2 7 5 5" xfId="30344"/>
    <cellStyle name="Normal 3 2 2 2 2 7 5 6" xfId="30345"/>
    <cellStyle name="Normal 3 2 2 2 2 7 6" xfId="30346"/>
    <cellStyle name="Normal 3 2 2 2 2 7 6 2" xfId="30347"/>
    <cellStyle name="Normal 3 2 2 2 2 7 6 2 2" xfId="30348"/>
    <cellStyle name="Normal 3 2 2 2 2 7 6 3" xfId="30349"/>
    <cellStyle name="Normal 3 2 2 2 2 7 6 3 2" xfId="30350"/>
    <cellStyle name="Normal 3 2 2 2 2 7 6 4" xfId="30351"/>
    <cellStyle name="Normal 3 2 2 2 2 7 6 4 2" xfId="30352"/>
    <cellStyle name="Normal 3 2 2 2 2 7 6 5" xfId="30353"/>
    <cellStyle name="Normal 3 2 2 2 2 7 6 6" xfId="30354"/>
    <cellStyle name="Normal 3 2 2 2 2 7 7" xfId="30355"/>
    <cellStyle name="Normal 3 2 2 2 2 7 7 2" xfId="30356"/>
    <cellStyle name="Normal 3 2 2 2 2 7 7 2 2" xfId="30357"/>
    <cellStyle name="Normal 3 2 2 2 2 7 7 3" xfId="30358"/>
    <cellStyle name="Normal 3 2 2 2 2 7 7 3 2" xfId="30359"/>
    <cellStyle name="Normal 3 2 2 2 2 7 7 4" xfId="30360"/>
    <cellStyle name="Normal 3 2 2 2 2 7 7 5" xfId="30361"/>
    <cellStyle name="Normal 3 2 2 2 2 7 8" xfId="30362"/>
    <cellStyle name="Normal 3 2 2 2 2 7 8 2" xfId="30363"/>
    <cellStyle name="Normal 3 2 2 2 2 7 9" xfId="30364"/>
    <cellStyle name="Normal 3 2 2 2 2 7 9 2" xfId="30365"/>
    <cellStyle name="Normal 3 2 2 2 2 8" xfId="2616"/>
    <cellStyle name="Normal 3 2 2 2 2 8 10" xfId="30367"/>
    <cellStyle name="Normal 3 2 2 2 2 8 11" xfId="30368"/>
    <cellStyle name="Normal 3 2 2 2 2 8 12" xfId="30366"/>
    <cellStyle name="Normal 3 2 2 2 2 8 2" xfId="2617"/>
    <cellStyle name="Normal 3 2 2 2 2 8 2 2" xfId="30370"/>
    <cellStyle name="Normal 3 2 2 2 2 8 2 2 2" xfId="30371"/>
    <cellStyle name="Normal 3 2 2 2 2 8 2 3" xfId="30372"/>
    <cellStyle name="Normal 3 2 2 2 2 8 2 3 2" xfId="30373"/>
    <cellStyle name="Normal 3 2 2 2 2 8 2 4" xfId="30374"/>
    <cellStyle name="Normal 3 2 2 2 2 8 2 4 2" xfId="30375"/>
    <cellStyle name="Normal 3 2 2 2 2 8 2 5" xfId="30376"/>
    <cellStyle name="Normal 3 2 2 2 2 8 2 6" xfId="30377"/>
    <cellStyle name="Normal 3 2 2 2 2 8 2 7" xfId="30369"/>
    <cellStyle name="Normal 3 2 2 2 2 8 3" xfId="2618"/>
    <cellStyle name="Normal 3 2 2 2 2 8 3 2" xfId="30379"/>
    <cellStyle name="Normal 3 2 2 2 2 8 3 2 2" xfId="30380"/>
    <cellStyle name="Normal 3 2 2 2 2 8 3 3" xfId="30381"/>
    <cellStyle name="Normal 3 2 2 2 2 8 3 3 2" xfId="30382"/>
    <cellStyle name="Normal 3 2 2 2 2 8 3 4" xfId="30383"/>
    <cellStyle name="Normal 3 2 2 2 2 8 3 4 2" xfId="30384"/>
    <cellStyle name="Normal 3 2 2 2 2 8 3 5" xfId="30385"/>
    <cellStyle name="Normal 3 2 2 2 2 8 3 6" xfId="30386"/>
    <cellStyle name="Normal 3 2 2 2 2 8 3 7" xfId="30378"/>
    <cellStyle name="Normal 3 2 2 2 2 8 4" xfId="30387"/>
    <cellStyle name="Normal 3 2 2 2 2 8 4 2" xfId="30388"/>
    <cellStyle name="Normal 3 2 2 2 2 8 4 2 2" xfId="30389"/>
    <cellStyle name="Normal 3 2 2 2 2 8 4 3" xfId="30390"/>
    <cellStyle name="Normal 3 2 2 2 2 8 4 3 2" xfId="30391"/>
    <cellStyle name="Normal 3 2 2 2 2 8 4 4" xfId="30392"/>
    <cellStyle name="Normal 3 2 2 2 2 8 4 4 2" xfId="30393"/>
    <cellStyle name="Normal 3 2 2 2 2 8 4 5" xfId="30394"/>
    <cellStyle name="Normal 3 2 2 2 2 8 4 6" xfId="30395"/>
    <cellStyle name="Normal 3 2 2 2 2 8 5" xfId="30396"/>
    <cellStyle name="Normal 3 2 2 2 2 8 5 2" xfId="30397"/>
    <cellStyle name="Normal 3 2 2 2 2 8 5 2 2" xfId="30398"/>
    <cellStyle name="Normal 3 2 2 2 2 8 5 3" xfId="30399"/>
    <cellStyle name="Normal 3 2 2 2 2 8 5 3 2" xfId="30400"/>
    <cellStyle name="Normal 3 2 2 2 2 8 5 4" xfId="30401"/>
    <cellStyle name="Normal 3 2 2 2 2 8 5 4 2" xfId="30402"/>
    <cellStyle name="Normal 3 2 2 2 2 8 5 5" xfId="30403"/>
    <cellStyle name="Normal 3 2 2 2 2 8 5 6" xfId="30404"/>
    <cellStyle name="Normal 3 2 2 2 2 8 6" xfId="30405"/>
    <cellStyle name="Normal 3 2 2 2 2 8 6 2" xfId="30406"/>
    <cellStyle name="Normal 3 2 2 2 2 8 6 2 2" xfId="30407"/>
    <cellStyle name="Normal 3 2 2 2 2 8 6 3" xfId="30408"/>
    <cellStyle name="Normal 3 2 2 2 2 8 6 3 2" xfId="30409"/>
    <cellStyle name="Normal 3 2 2 2 2 8 6 4" xfId="30410"/>
    <cellStyle name="Normal 3 2 2 2 2 8 6 5" xfId="30411"/>
    <cellStyle name="Normal 3 2 2 2 2 8 7" xfId="30412"/>
    <cellStyle name="Normal 3 2 2 2 2 8 7 2" xfId="30413"/>
    <cellStyle name="Normal 3 2 2 2 2 8 8" xfId="30414"/>
    <cellStyle name="Normal 3 2 2 2 2 8 8 2" xfId="30415"/>
    <cellStyle name="Normal 3 2 2 2 2 8 9" xfId="30416"/>
    <cellStyle name="Normal 3 2 2 2 2 8 9 2" xfId="30417"/>
    <cellStyle name="Normal 3 2 2 2 2 9" xfId="2619"/>
    <cellStyle name="Normal 3 2 2 2 2 9 10" xfId="30419"/>
    <cellStyle name="Normal 3 2 2 2 2 9 11" xfId="30418"/>
    <cellStyle name="Normal 3 2 2 2 2 9 2" xfId="2620"/>
    <cellStyle name="Normal 3 2 2 2 2 9 2 2" xfId="30421"/>
    <cellStyle name="Normal 3 2 2 2 2 9 2 2 2" xfId="30422"/>
    <cellStyle name="Normal 3 2 2 2 2 9 2 3" xfId="30423"/>
    <cellStyle name="Normal 3 2 2 2 2 9 2 3 2" xfId="30424"/>
    <cellStyle name="Normal 3 2 2 2 2 9 2 4" xfId="30425"/>
    <cellStyle name="Normal 3 2 2 2 2 9 2 4 2" xfId="30426"/>
    <cellStyle name="Normal 3 2 2 2 2 9 2 5" xfId="30427"/>
    <cellStyle name="Normal 3 2 2 2 2 9 2 6" xfId="30428"/>
    <cellStyle name="Normal 3 2 2 2 2 9 2 7" xfId="30420"/>
    <cellStyle name="Normal 3 2 2 2 2 9 3" xfId="30429"/>
    <cellStyle name="Normal 3 2 2 2 2 9 3 2" xfId="30430"/>
    <cellStyle name="Normal 3 2 2 2 2 9 3 2 2" xfId="30431"/>
    <cellStyle name="Normal 3 2 2 2 2 9 3 3" xfId="30432"/>
    <cellStyle name="Normal 3 2 2 2 2 9 3 3 2" xfId="30433"/>
    <cellStyle name="Normal 3 2 2 2 2 9 3 4" xfId="30434"/>
    <cellStyle name="Normal 3 2 2 2 2 9 3 4 2" xfId="30435"/>
    <cellStyle name="Normal 3 2 2 2 2 9 3 5" xfId="30436"/>
    <cellStyle name="Normal 3 2 2 2 2 9 3 6" xfId="30437"/>
    <cellStyle name="Normal 3 2 2 2 2 9 4" xfId="30438"/>
    <cellStyle name="Normal 3 2 2 2 2 9 4 2" xfId="30439"/>
    <cellStyle name="Normal 3 2 2 2 2 9 4 2 2" xfId="30440"/>
    <cellStyle name="Normal 3 2 2 2 2 9 4 3" xfId="30441"/>
    <cellStyle name="Normal 3 2 2 2 2 9 4 3 2" xfId="30442"/>
    <cellStyle name="Normal 3 2 2 2 2 9 4 4" xfId="30443"/>
    <cellStyle name="Normal 3 2 2 2 2 9 4 4 2" xfId="30444"/>
    <cellStyle name="Normal 3 2 2 2 2 9 4 5" xfId="30445"/>
    <cellStyle name="Normal 3 2 2 2 2 9 4 6" xfId="30446"/>
    <cellStyle name="Normal 3 2 2 2 2 9 5" xfId="30447"/>
    <cellStyle name="Normal 3 2 2 2 2 9 5 2" xfId="30448"/>
    <cellStyle name="Normal 3 2 2 2 2 9 5 2 2" xfId="30449"/>
    <cellStyle name="Normal 3 2 2 2 2 9 5 3" xfId="30450"/>
    <cellStyle name="Normal 3 2 2 2 2 9 5 3 2" xfId="30451"/>
    <cellStyle name="Normal 3 2 2 2 2 9 5 4" xfId="30452"/>
    <cellStyle name="Normal 3 2 2 2 2 9 5 5" xfId="30453"/>
    <cellStyle name="Normal 3 2 2 2 2 9 6" xfId="30454"/>
    <cellStyle name="Normal 3 2 2 2 2 9 6 2" xfId="30455"/>
    <cellStyle name="Normal 3 2 2 2 2 9 7" xfId="30456"/>
    <cellStyle name="Normal 3 2 2 2 2 9 7 2" xfId="30457"/>
    <cellStyle name="Normal 3 2 2 2 2 9 8" xfId="30458"/>
    <cellStyle name="Normal 3 2 2 2 2 9 8 2" xfId="30459"/>
    <cellStyle name="Normal 3 2 2 2 2 9 9" xfId="30460"/>
    <cellStyle name="Normal 3 2 2 2 3" xfId="2621"/>
    <cellStyle name="Normal 3 2 2 2 3 10" xfId="2622"/>
    <cellStyle name="Normal 3 2 2 2 3 10 2" xfId="30463"/>
    <cellStyle name="Normal 3 2 2 2 3 10 3" xfId="30462"/>
    <cellStyle name="Normal 3 2 2 2 3 11" xfId="30464"/>
    <cellStyle name="Normal 3 2 2 2 3 11 2" xfId="30465"/>
    <cellStyle name="Normal 3 2 2 2 3 12" xfId="30466"/>
    <cellStyle name="Normal 3 2 2 2 3 13" xfId="30467"/>
    <cellStyle name="Normal 3 2 2 2 3 14" xfId="30461"/>
    <cellStyle name="Normal 3 2 2 2 3 2" xfId="2623"/>
    <cellStyle name="Normal 3 2 2 2 3 2 10" xfId="30469"/>
    <cellStyle name="Normal 3 2 2 2 3 2 11" xfId="30470"/>
    <cellStyle name="Normal 3 2 2 2 3 2 12" xfId="30468"/>
    <cellStyle name="Normal 3 2 2 2 3 2 2" xfId="2624"/>
    <cellStyle name="Normal 3 2 2 2 3 2 2 2" xfId="2625"/>
    <cellStyle name="Normal 3 2 2 2 3 2 2 2 2" xfId="2626"/>
    <cellStyle name="Normal 3 2 2 2 3 2 2 2 2 2" xfId="30473"/>
    <cellStyle name="Normal 3 2 2 2 3 2 2 2 3" xfId="2627"/>
    <cellStyle name="Normal 3 2 2 2 3 2 2 2 4" xfId="30472"/>
    <cellStyle name="Normal 3 2 2 2 3 2 2 3" xfId="2628"/>
    <cellStyle name="Normal 3 2 2 2 3 2 2 3 2" xfId="2629"/>
    <cellStyle name="Normal 3 2 2 2 3 2 2 3 2 2" xfId="30475"/>
    <cellStyle name="Normal 3 2 2 2 3 2 2 3 3" xfId="30474"/>
    <cellStyle name="Normal 3 2 2 2 3 2 2 4" xfId="2630"/>
    <cellStyle name="Normal 3 2 2 2 3 2 2 4 2" xfId="2631"/>
    <cellStyle name="Normal 3 2 2 2 3 2 2 4 2 2" xfId="30477"/>
    <cellStyle name="Normal 3 2 2 2 3 2 2 4 3" xfId="30476"/>
    <cellStyle name="Normal 3 2 2 2 3 2 2 5" xfId="2632"/>
    <cellStyle name="Normal 3 2 2 2 3 2 2 5 2" xfId="30478"/>
    <cellStyle name="Normal 3 2 2 2 3 2 2 6" xfId="30479"/>
    <cellStyle name="Normal 3 2 2 2 3 2 2 7" xfId="30471"/>
    <cellStyle name="Normal 3 2 2 2 3 2 3" xfId="2633"/>
    <cellStyle name="Normal 3 2 2 2 3 2 3 2" xfId="2634"/>
    <cellStyle name="Normal 3 2 2 2 3 2 3 2 2" xfId="2635"/>
    <cellStyle name="Normal 3 2 2 2 3 2 3 2 2 2" xfId="30482"/>
    <cellStyle name="Normal 3 2 2 2 3 2 3 2 3" xfId="30481"/>
    <cellStyle name="Normal 3 2 2 2 3 2 3 3" xfId="2636"/>
    <cellStyle name="Normal 3 2 2 2 3 2 3 3 2" xfId="2637"/>
    <cellStyle name="Normal 3 2 2 2 3 2 3 3 2 2" xfId="30484"/>
    <cellStyle name="Normal 3 2 2 2 3 2 3 3 3" xfId="30483"/>
    <cellStyle name="Normal 3 2 2 2 3 2 3 4" xfId="2638"/>
    <cellStyle name="Normal 3 2 2 2 3 2 3 4 2" xfId="30486"/>
    <cellStyle name="Normal 3 2 2 2 3 2 3 4 3" xfId="30485"/>
    <cellStyle name="Normal 3 2 2 2 3 2 3 5" xfId="30487"/>
    <cellStyle name="Normal 3 2 2 2 3 2 3 6" xfId="30488"/>
    <cellStyle name="Normal 3 2 2 2 3 2 3 7" xfId="30480"/>
    <cellStyle name="Normal 3 2 2 2 3 2 4" xfId="2639"/>
    <cellStyle name="Normal 3 2 2 2 3 2 4 2" xfId="2640"/>
    <cellStyle name="Normal 3 2 2 2 3 2 4 2 2" xfId="30491"/>
    <cellStyle name="Normal 3 2 2 2 3 2 4 2 3" xfId="30490"/>
    <cellStyle name="Normal 3 2 2 2 3 2 4 3" xfId="2641"/>
    <cellStyle name="Normal 3 2 2 2 3 2 4 3 2" xfId="30493"/>
    <cellStyle name="Normal 3 2 2 2 3 2 4 3 3" xfId="30492"/>
    <cellStyle name="Normal 3 2 2 2 3 2 4 4" xfId="30494"/>
    <cellStyle name="Normal 3 2 2 2 3 2 4 4 2" xfId="30495"/>
    <cellStyle name="Normal 3 2 2 2 3 2 4 5" xfId="30496"/>
    <cellStyle name="Normal 3 2 2 2 3 2 4 6" xfId="30497"/>
    <cellStyle name="Normal 3 2 2 2 3 2 4 7" xfId="30489"/>
    <cellStyle name="Normal 3 2 2 2 3 2 5" xfId="2642"/>
    <cellStyle name="Normal 3 2 2 2 3 2 5 2" xfId="2643"/>
    <cellStyle name="Normal 3 2 2 2 3 2 5 2 2" xfId="30500"/>
    <cellStyle name="Normal 3 2 2 2 3 2 5 2 3" xfId="30499"/>
    <cellStyle name="Normal 3 2 2 2 3 2 5 3" xfId="30501"/>
    <cellStyle name="Normal 3 2 2 2 3 2 5 3 2" xfId="30502"/>
    <cellStyle name="Normal 3 2 2 2 3 2 5 4" xfId="30503"/>
    <cellStyle name="Normal 3 2 2 2 3 2 5 4 2" xfId="30504"/>
    <cellStyle name="Normal 3 2 2 2 3 2 5 5" xfId="30505"/>
    <cellStyle name="Normal 3 2 2 2 3 2 5 6" xfId="30506"/>
    <cellStyle name="Normal 3 2 2 2 3 2 5 7" xfId="30498"/>
    <cellStyle name="Normal 3 2 2 2 3 2 6" xfId="2644"/>
    <cellStyle name="Normal 3 2 2 2 3 2 6 2" xfId="2645"/>
    <cellStyle name="Normal 3 2 2 2 3 2 6 2 2" xfId="30509"/>
    <cellStyle name="Normal 3 2 2 2 3 2 6 2 3" xfId="30508"/>
    <cellStyle name="Normal 3 2 2 2 3 2 6 3" xfId="30510"/>
    <cellStyle name="Normal 3 2 2 2 3 2 6 3 2" xfId="30511"/>
    <cellStyle name="Normal 3 2 2 2 3 2 6 4" xfId="30512"/>
    <cellStyle name="Normal 3 2 2 2 3 2 6 5" xfId="30513"/>
    <cellStyle name="Normal 3 2 2 2 3 2 6 6" xfId="30507"/>
    <cellStyle name="Normal 3 2 2 2 3 2 7" xfId="2646"/>
    <cellStyle name="Normal 3 2 2 2 3 2 7 2" xfId="30515"/>
    <cellStyle name="Normal 3 2 2 2 3 2 7 3" xfId="30514"/>
    <cellStyle name="Normal 3 2 2 2 3 2 8" xfId="30516"/>
    <cellStyle name="Normal 3 2 2 2 3 2 8 2" xfId="30517"/>
    <cellStyle name="Normal 3 2 2 2 3 2 9" xfId="30518"/>
    <cellStyle name="Normal 3 2 2 2 3 2 9 2" xfId="30519"/>
    <cellStyle name="Normal 3 2 2 2 3 3" xfId="2647"/>
    <cellStyle name="Normal 3 2 2 2 3 3 10" xfId="30521"/>
    <cellStyle name="Normal 3 2 2 2 3 3 11" xfId="30520"/>
    <cellStyle name="Normal 3 2 2 2 3 3 2" xfId="2648"/>
    <cellStyle name="Normal 3 2 2 2 3 3 2 2" xfId="2649"/>
    <cellStyle name="Normal 3 2 2 2 3 3 2 2 2" xfId="2650"/>
    <cellStyle name="Normal 3 2 2 2 3 3 2 2 2 2" xfId="30524"/>
    <cellStyle name="Normal 3 2 2 2 3 3 2 2 3" xfId="2651"/>
    <cellStyle name="Normal 3 2 2 2 3 3 2 2 4" xfId="30523"/>
    <cellStyle name="Normal 3 2 2 2 3 3 2 3" xfId="2652"/>
    <cellStyle name="Normal 3 2 2 2 3 3 2 3 2" xfId="2653"/>
    <cellStyle name="Normal 3 2 2 2 3 3 2 3 2 2" xfId="30526"/>
    <cellStyle name="Normal 3 2 2 2 3 3 2 3 3" xfId="30525"/>
    <cellStyle name="Normal 3 2 2 2 3 3 2 4" xfId="2654"/>
    <cellStyle name="Normal 3 2 2 2 3 3 2 4 2" xfId="2655"/>
    <cellStyle name="Normal 3 2 2 2 3 3 2 4 2 2" xfId="30528"/>
    <cellStyle name="Normal 3 2 2 2 3 3 2 4 3" xfId="30527"/>
    <cellStyle name="Normal 3 2 2 2 3 3 2 5" xfId="2656"/>
    <cellStyle name="Normal 3 2 2 2 3 3 2 5 2" xfId="30529"/>
    <cellStyle name="Normal 3 2 2 2 3 3 2 6" xfId="30530"/>
    <cellStyle name="Normal 3 2 2 2 3 3 2 7" xfId="30522"/>
    <cellStyle name="Normal 3 2 2 2 3 3 3" xfId="2657"/>
    <cellStyle name="Normal 3 2 2 2 3 3 3 2" xfId="2658"/>
    <cellStyle name="Normal 3 2 2 2 3 3 3 2 2" xfId="2659"/>
    <cellStyle name="Normal 3 2 2 2 3 3 3 2 2 2" xfId="30533"/>
    <cellStyle name="Normal 3 2 2 2 3 3 3 2 3" xfId="30532"/>
    <cellStyle name="Normal 3 2 2 2 3 3 3 3" xfId="2660"/>
    <cellStyle name="Normal 3 2 2 2 3 3 3 3 2" xfId="2661"/>
    <cellStyle name="Normal 3 2 2 2 3 3 3 3 2 2" xfId="30535"/>
    <cellStyle name="Normal 3 2 2 2 3 3 3 3 3" xfId="30534"/>
    <cellStyle name="Normal 3 2 2 2 3 3 3 4" xfId="2662"/>
    <cellStyle name="Normal 3 2 2 2 3 3 3 4 2" xfId="30537"/>
    <cellStyle name="Normal 3 2 2 2 3 3 3 4 3" xfId="30536"/>
    <cellStyle name="Normal 3 2 2 2 3 3 3 5" xfId="30538"/>
    <cellStyle name="Normal 3 2 2 2 3 3 3 6" xfId="30539"/>
    <cellStyle name="Normal 3 2 2 2 3 3 3 7" xfId="30531"/>
    <cellStyle name="Normal 3 2 2 2 3 3 4" xfId="2663"/>
    <cellStyle name="Normal 3 2 2 2 3 3 4 2" xfId="2664"/>
    <cellStyle name="Normal 3 2 2 2 3 3 4 2 2" xfId="30542"/>
    <cellStyle name="Normal 3 2 2 2 3 3 4 2 3" xfId="30541"/>
    <cellStyle name="Normal 3 2 2 2 3 3 4 3" xfId="2665"/>
    <cellStyle name="Normal 3 2 2 2 3 3 4 3 2" xfId="30544"/>
    <cellStyle name="Normal 3 2 2 2 3 3 4 3 3" xfId="30543"/>
    <cellStyle name="Normal 3 2 2 2 3 3 4 4" xfId="30545"/>
    <cellStyle name="Normal 3 2 2 2 3 3 4 4 2" xfId="30546"/>
    <cellStyle name="Normal 3 2 2 2 3 3 4 5" xfId="30547"/>
    <cellStyle name="Normal 3 2 2 2 3 3 4 6" xfId="30548"/>
    <cellStyle name="Normal 3 2 2 2 3 3 4 7" xfId="30540"/>
    <cellStyle name="Normal 3 2 2 2 3 3 5" xfId="2666"/>
    <cellStyle name="Normal 3 2 2 2 3 3 5 2" xfId="2667"/>
    <cellStyle name="Normal 3 2 2 2 3 3 5 2 2" xfId="30551"/>
    <cellStyle name="Normal 3 2 2 2 3 3 5 2 3" xfId="30550"/>
    <cellStyle name="Normal 3 2 2 2 3 3 5 3" xfId="30552"/>
    <cellStyle name="Normal 3 2 2 2 3 3 5 3 2" xfId="30553"/>
    <cellStyle name="Normal 3 2 2 2 3 3 5 4" xfId="30554"/>
    <cellStyle name="Normal 3 2 2 2 3 3 5 5" xfId="30555"/>
    <cellStyle name="Normal 3 2 2 2 3 3 5 6" xfId="30549"/>
    <cellStyle name="Normal 3 2 2 2 3 3 6" xfId="2668"/>
    <cellStyle name="Normal 3 2 2 2 3 3 6 2" xfId="2669"/>
    <cellStyle name="Normal 3 2 2 2 3 3 6 2 2" xfId="30557"/>
    <cellStyle name="Normal 3 2 2 2 3 3 6 3" xfId="30556"/>
    <cellStyle name="Normal 3 2 2 2 3 3 7" xfId="2670"/>
    <cellStyle name="Normal 3 2 2 2 3 3 7 2" xfId="30559"/>
    <cellStyle name="Normal 3 2 2 2 3 3 7 3" xfId="30558"/>
    <cellStyle name="Normal 3 2 2 2 3 3 8" xfId="30560"/>
    <cellStyle name="Normal 3 2 2 2 3 3 8 2" xfId="30561"/>
    <cellStyle name="Normal 3 2 2 2 3 3 9" xfId="30562"/>
    <cellStyle name="Normal 3 2 2 2 3 4" xfId="2671"/>
    <cellStyle name="Normal 3 2 2 2 3 4 10" xfId="30564"/>
    <cellStyle name="Normal 3 2 2 2 3 4 11" xfId="30563"/>
    <cellStyle name="Normal 3 2 2 2 3 4 2" xfId="2672"/>
    <cellStyle name="Normal 3 2 2 2 3 4 2 2" xfId="2673"/>
    <cellStyle name="Normal 3 2 2 2 3 4 2 2 2" xfId="2674"/>
    <cellStyle name="Normal 3 2 2 2 3 4 2 2 2 2" xfId="30567"/>
    <cellStyle name="Normal 3 2 2 2 3 4 2 2 3" xfId="30566"/>
    <cellStyle name="Normal 3 2 2 2 3 4 2 3" xfId="2675"/>
    <cellStyle name="Normal 3 2 2 2 3 4 2 3 2" xfId="2676"/>
    <cellStyle name="Normal 3 2 2 2 3 4 2 3 2 2" xfId="30569"/>
    <cellStyle name="Normal 3 2 2 2 3 4 2 3 3" xfId="30568"/>
    <cellStyle name="Normal 3 2 2 2 3 4 2 4" xfId="2677"/>
    <cellStyle name="Normal 3 2 2 2 3 4 2 4 2" xfId="30571"/>
    <cellStyle name="Normal 3 2 2 2 3 4 2 4 3" xfId="30570"/>
    <cellStyle name="Normal 3 2 2 2 3 4 2 5" xfId="30572"/>
    <cellStyle name="Normal 3 2 2 2 3 4 2 6" xfId="30573"/>
    <cellStyle name="Normal 3 2 2 2 3 4 2 7" xfId="30565"/>
    <cellStyle name="Normal 3 2 2 2 3 4 3" xfId="2678"/>
    <cellStyle name="Normal 3 2 2 2 3 4 3 2" xfId="2679"/>
    <cellStyle name="Normal 3 2 2 2 3 4 3 2 2" xfId="30576"/>
    <cellStyle name="Normal 3 2 2 2 3 4 3 2 3" xfId="30575"/>
    <cellStyle name="Normal 3 2 2 2 3 4 3 3" xfId="2680"/>
    <cellStyle name="Normal 3 2 2 2 3 4 3 3 2" xfId="30578"/>
    <cellStyle name="Normal 3 2 2 2 3 4 3 3 3" xfId="30577"/>
    <cellStyle name="Normal 3 2 2 2 3 4 3 4" xfId="30579"/>
    <cellStyle name="Normal 3 2 2 2 3 4 3 4 2" xfId="30580"/>
    <cellStyle name="Normal 3 2 2 2 3 4 3 5" xfId="30581"/>
    <cellStyle name="Normal 3 2 2 2 3 4 3 6" xfId="30582"/>
    <cellStyle name="Normal 3 2 2 2 3 4 3 7" xfId="30574"/>
    <cellStyle name="Normal 3 2 2 2 3 4 4" xfId="2681"/>
    <cellStyle name="Normal 3 2 2 2 3 4 4 2" xfId="2682"/>
    <cellStyle name="Normal 3 2 2 2 3 4 4 2 2" xfId="30585"/>
    <cellStyle name="Normal 3 2 2 2 3 4 4 2 3" xfId="30584"/>
    <cellStyle name="Normal 3 2 2 2 3 4 4 3" xfId="30586"/>
    <cellStyle name="Normal 3 2 2 2 3 4 4 3 2" xfId="30587"/>
    <cellStyle name="Normal 3 2 2 2 3 4 4 4" xfId="30588"/>
    <cellStyle name="Normal 3 2 2 2 3 4 4 4 2" xfId="30589"/>
    <cellStyle name="Normal 3 2 2 2 3 4 4 5" xfId="30590"/>
    <cellStyle name="Normal 3 2 2 2 3 4 4 6" xfId="30591"/>
    <cellStyle name="Normal 3 2 2 2 3 4 4 7" xfId="30583"/>
    <cellStyle name="Normal 3 2 2 2 3 4 5" xfId="2683"/>
    <cellStyle name="Normal 3 2 2 2 3 4 5 2" xfId="2684"/>
    <cellStyle name="Normal 3 2 2 2 3 4 5 2 2" xfId="30594"/>
    <cellStyle name="Normal 3 2 2 2 3 4 5 2 3" xfId="30593"/>
    <cellStyle name="Normal 3 2 2 2 3 4 5 3" xfId="30595"/>
    <cellStyle name="Normal 3 2 2 2 3 4 5 3 2" xfId="30596"/>
    <cellStyle name="Normal 3 2 2 2 3 4 5 4" xfId="30597"/>
    <cellStyle name="Normal 3 2 2 2 3 4 5 5" xfId="30598"/>
    <cellStyle name="Normal 3 2 2 2 3 4 5 6" xfId="30592"/>
    <cellStyle name="Normal 3 2 2 2 3 4 6" xfId="2685"/>
    <cellStyle name="Normal 3 2 2 2 3 4 6 2" xfId="30600"/>
    <cellStyle name="Normal 3 2 2 2 3 4 6 3" xfId="30599"/>
    <cellStyle name="Normal 3 2 2 2 3 4 7" xfId="30601"/>
    <cellStyle name="Normal 3 2 2 2 3 4 7 2" xfId="30602"/>
    <cellStyle name="Normal 3 2 2 2 3 4 8" xfId="30603"/>
    <cellStyle name="Normal 3 2 2 2 3 4 8 2" xfId="30604"/>
    <cellStyle name="Normal 3 2 2 2 3 4 9" xfId="30605"/>
    <cellStyle name="Normal 3 2 2 2 3 5" xfId="2686"/>
    <cellStyle name="Normal 3 2 2 2 3 5 2" xfId="2687"/>
    <cellStyle name="Normal 3 2 2 2 3 5 2 2" xfId="2688"/>
    <cellStyle name="Normal 3 2 2 2 3 5 2 2 2" xfId="30608"/>
    <cellStyle name="Normal 3 2 2 2 3 5 2 3" xfId="30607"/>
    <cellStyle name="Normal 3 2 2 2 3 5 3" xfId="2689"/>
    <cellStyle name="Normal 3 2 2 2 3 5 3 2" xfId="2690"/>
    <cellStyle name="Normal 3 2 2 2 3 5 3 2 2" xfId="30610"/>
    <cellStyle name="Normal 3 2 2 2 3 5 3 3" xfId="30609"/>
    <cellStyle name="Normal 3 2 2 2 3 5 4" xfId="2691"/>
    <cellStyle name="Normal 3 2 2 2 3 5 4 2" xfId="30612"/>
    <cellStyle name="Normal 3 2 2 2 3 5 4 3" xfId="30611"/>
    <cellStyle name="Normal 3 2 2 2 3 5 5" xfId="30613"/>
    <cellStyle name="Normal 3 2 2 2 3 5 6" xfId="30614"/>
    <cellStyle name="Normal 3 2 2 2 3 5 7" xfId="30606"/>
    <cellStyle name="Normal 3 2 2 2 3 6" xfId="2692"/>
    <cellStyle name="Normal 3 2 2 2 3 6 2" xfId="2693"/>
    <cellStyle name="Normal 3 2 2 2 3 6 2 2" xfId="2694"/>
    <cellStyle name="Normal 3 2 2 2 3 6 2 2 2" xfId="30617"/>
    <cellStyle name="Normal 3 2 2 2 3 6 2 3" xfId="30616"/>
    <cellStyle name="Normal 3 2 2 2 3 6 3" xfId="2695"/>
    <cellStyle name="Normal 3 2 2 2 3 6 3 2" xfId="2696"/>
    <cellStyle name="Normal 3 2 2 2 3 6 3 2 2" xfId="30619"/>
    <cellStyle name="Normal 3 2 2 2 3 6 3 3" xfId="30618"/>
    <cellStyle name="Normal 3 2 2 2 3 6 4" xfId="2697"/>
    <cellStyle name="Normal 3 2 2 2 3 6 4 2" xfId="30621"/>
    <cellStyle name="Normal 3 2 2 2 3 6 4 3" xfId="30620"/>
    <cellStyle name="Normal 3 2 2 2 3 6 5" xfId="30622"/>
    <cellStyle name="Normal 3 2 2 2 3 6 6" xfId="30623"/>
    <cellStyle name="Normal 3 2 2 2 3 6 7" xfId="30615"/>
    <cellStyle name="Normal 3 2 2 2 3 7" xfId="2698"/>
    <cellStyle name="Normal 3 2 2 2 3 7 2" xfId="2699"/>
    <cellStyle name="Normal 3 2 2 2 3 7 2 2" xfId="30626"/>
    <cellStyle name="Normal 3 2 2 2 3 7 2 3" xfId="30625"/>
    <cellStyle name="Normal 3 2 2 2 3 7 3" xfId="2700"/>
    <cellStyle name="Normal 3 2 2 2 3 7 3 2" xfId="30628"/>
    <cellStyle name="Normal 3 2 2 2 3 7 3 3" xfId="30627"/>
    <cellStyle name="Normal 3 2 2 2 3 7 4" xfId="30629"/>
    <cellStyle name="Normal 3 2 2 2 3 7 4 2" xfId="30630"/>
    <cellStyle name="Normal 3 2 2 2 3 7 5" xfId="30631"/>
    <cellStyle name="Normal 3 2 2 2 3 7 6" xfId="30632"/>
    <cellStyle name="Normal 3 2 2 2 3 7 7" xfId="30624"/>
    <cellStyle name="Normal 3 2 2 2 3 8" xfId="2701"/>
    <cellStyle name="Normal 3 2 2 2 3 8 2" xfId="2702"/>
    <cellStyle name="Normal 3 2 2 2 3 8 2 2" xfId="30635"/>
    <cellStyle name="Normal 3 2 2 2 3 8 2 3" xfId="30634"/>
    <cellStyle name="Normal 3 2 2 2 3 8 3" xfId="30636"/>
    <cellStyle name="Normal 3 2 2 2 3 8 3 2" xfId="30637"/>
    <cellStyle name="Normal 3 2 2 2 3 8 4" xfId="30638"/>
    <cellStyle name="Normal 3 2 2 2 3 8 5" xfId="30639"/>
    <cellStyle name="Normal 3 2 2 2 3 8 6" xfId="30633"/>
    <cellStyle name="Normal 3 2 2 2 3 9" xfId="2703"/>
    <cellStyle name="Normal 3 2 2 2 3 9 2" xfId="2704"/>
    <cellStyle name="Normal 3 2 2 2 3 9 2 2" xfId="30641"/>
    <cellStyle name="Normal 3 2 2 2 3 9 3" xfId="30640"/>
    <cellStyle name="Normal 3 2 2 2 4" xfId="2705"/>
    <cellStyle name="Normal 3 2 2 2 4 10" xfId="30643"/>
    <cellStyle name="Normal 3 2 2 2 4 10 2" xfId="30644"/>
    <cellStyle name="Normal 3 2 2 2 4 11" xfId="30645"/>
    <cellStyle name="Normal 3 2 2 2 4 11 2" xfId="30646"/>
    <cellStyle name="Normal 3 2 2 2 4 12" xfId="30647"/>
    <cellStyle name="Normal 3 2 2 2 4 13" xfId="30648"/>
    <cellStyle name="Normal 3 2 2 2 4 14" xfId="30642"/>
    <cellStyle name="Normal 3 2 2 2 4 2" xfId="2706"/>
    <cellStyle name="Normal 3 2 2 2 4 2 10" xfId="30650"/>
    <cellStyle name="Normal 3 2 2 2 4 2 11" xfId="30651"/>
    <cellStyle name="Normal 3 2 2 2 4 2 12" xfId="30649"/>
    <cellStyle name="Normal 3 2 2 2 4 2 2" xfId="2707"/>
    <cellStyle name="Normal 3 2 2 2 4 2 2 2" xfId="2708"/>
    <cellStyle name="Normal 3 2 2 2 4 2 2 2 2" xfId="2709"/>
    <cellStyle name="Normal 3 2 2 2 4 2 2 2 2 2" xfId="30654"/>
    <cellStyle name="Normal 3 2 2 2 4 2 2 2 3" xfId="2710"/>
    <cellStyle name="Normal 3 2 2 2 4 2 2 2 4" xfId="30653"/>
    <cellStyle name="Normal 3 2 2 2 4 2 2 3" xfId="2711"/>
    <cellStyle name="Normal 3 2 2 2 4 2 2 3 2" xfId="2712"/>
    <cellStyle name="Normal 3 2 2 2 4 2 2 3 2 2" xfId="30656"/>
    <cellStyle name="Normal 3 2 2 2 4 2 2 3 3" xfId="30655"/>
    <cellStyle name="Normal 3 2 2 2 4 2 2 4" xfId="2713"/>
    <cellStyle name="Normal 3 2 2 2 4 2 2 4 2" xfId="2714"/>
    <cellStyle name="Normal 3 2 2 2 4 2 2 4 2 2" xfId="30658"/>
    <cellStyle name="Normal 3 2 2 2 4 2 2 4 3" xfId="30657"/>
    <cellStyle name="Normal 3 2 2 2 4 2 2 5" xfId="2715"/>
    <cellStyle name="Normal 3 2 2 2 4 2 2 5 2" xfId="30659"/>
    <cellStyle name="Normal 3 2 2 2 4 2 2 6" xfId="30660"/>
    <cellStyle name="Normal 3 2 2 2 4 2 2 7" xfId="30652"/>
    <cellStyle name="Normal 3 2 2 2 4 2 3" xfId="2716"/>
    <cellStyle name="Normal 3 2 2 2 4 2 3 2" xfId="2717"/>
    <cellStyle name="Normal 3 2 2 2 4 2 3 2 2" xfId="2718"/>
    <cellStyle name="Normal 3 2 2 2 4 2 3 2 2 2" xfId="30663"/>
    <cellStyle name="Normal 3 2 2 2 4 2 3 2 3" xfId="30662"/>
    <cellStyle name="Normal 3 2 2 2 4 2 3 3" xfId="2719"/>
    <cellStyle name="Normal 3 2 2 2 4 2 3 3 2" xfId="2720"/>
    <cellStyle name="Normal 3 2 2 2 4 2 3 3 2 2" xfId="30665"/>
    <cellStyle name="Normal 3 2 2 2 4 2 3 3 3" xfId="30664"/>
    <cellStyle name="Normal 3 2 2 2 4 2 3 4" xfId="2721"/>
    <cellStyle name="Normal 3 2 2 2 4 2 3 4 2" xfId="30667"/>
    <cellStyle name="Normal 3 2 2 2 4 2 3 4 3" xfId="30666"/>
    <cellStyle name="Normal 3 2 2 2 4 2 3 5" xfId="30668"/>
    <cellStyle name="Normal 3 2 2 2 4 2 3 6" xfId="30669"/>
    <cellStyle name="Normal 3 2 2 2 4 2 3 7" xfId="30661"/>
    <cellStyle name="Normal 3 2 2 2 4 2 4" xfId="2722"/>
    <cellStyle name="Normal 3 2 2 2 4 2 4 2" xfId="2723"/>
    <cellStyle name="Normal 3 2 2 2 4 2 4 2 2" xfId="30672"/>
    <cellStyle name="Normal 3 2 2 2 4 2 4 2 3" xfId="30671"/>
    <cellStyle name="Normal 3 2 2 2 4 2 4 3" xfId="2724"/>
    <cellStyle name="Normal 3 2 2 2 4 2 4 3 2" xfId="30674"/>
    <cellStyle name="Normal 3 2 2 2 4 2 4 3 3" xfId="30673"/>
    <cellStyle name="Normal 3 2 2 2 4 2 4 4" xfId="30675"/>
    <cellStyle name="Normal 3 2 2 2 4 2 4 4 2" xfId="30676"/>
    <cellStyle name="Normal 3 2 2 2 4 2 4 5" xfId="30677"/>
    <cellStyle name="Normal 3 2 2 2 4 2 4 6" xfId="30678"/>
    <cellStyle name="Normal 3 2 2 2 4 2 4 7" xfId="30670"/>
    <cellStyle name="Normal 3 2 2 2 4 2 5" xfId="2725"/>
    <cellStyle name="Normal 3 2 2 2 4 2 5 2" xfId="2726"/>
    <cellStyle name="Normal 3 2 2 2 4 2 5 2 2" xfId="30681"/>
    <cellStyle name="Normal 3 2 2 2 4 2 5 2 3" xfId="30680"/>
    <cellStyle name="Normal 3 2 2 2 4 2 5 3" xfId="30682"/>
    <cellStyle name="Normal 3 2 2 2 4 2 5 3 2" xfId="30683"/>
    <cellStyle name="Normal 3 2 2 2 4 2 5 4" xfId="30684"/>
    <cellStyle name="Normal 3 2 2 2 4 2 5 4 2" xfId="30685"/>
    <cellStyle name="Normal 3 2 2 2 4 2 5 5" xfId="30686"/>
    <cellStyle name="Normal 3 2 2 2 4 2 5 6" xfId="30687"/>
    <cellStyle name="Normal 3 2 2 2 4 2 5 7" xfId="30679"/>
    <cellStyle name="Normal 3 2 2 2 4 2 6" xfId="2727"/>
    <cellStyle name="Normal 3 2 2 2 4 2 6 2" xfId="2728"/>
    <cellStyle name="Normal 3 2 2 2 4 2 6 2 2" xfId="30690"/>
    <cellStyle name="Normal 3 2 2 2 4 2 6 2 3" xfId="30689"/>
    <cellStyle name="Normal 3 2 2 2 4 2 6 3" xfId="30691"/>
    <cellStyle name="Normal 3 2 2 2 4 2 6 3 2" xfId="30692"/>
    <cellStyle name="Normal 3 2 2 2 4 2 6 4" xfId="30693"/>
    <cellStyle name="Normal 3 2 2 2 4 2 6 5" xfId="30694"/>
    <cellStyle name="Normal 3 2 2 2 4 2 6 6" xfId="30688"/>
    <cellStyle name="Normal 3 2 2 2 4 2 7" xfId="2729"/>
    <cellStyle name="Normal 3 2 2 2 4 2 7 2" xfId="30696"/>
    <cellStyle name="Normal 3 2 2 2 4 2 7 3" xfId="30695"/>
    <cellStyle name="Normal 3 2 2 2 4 2 8" xfId="30697"/>
    <cellStyle name="Normal 3 2 2 2 4 2 8 2" xfId="30698"/>
    <cellStyle name="Normal 3 2 2 2 4 2 9" xfId="30699"/>
    <cellStyle name="Normal 3 2 2 2 4 2 9 2" xfId="30700"/>
    <cellStyle name="Normal 3 2 2 2 4 3" xfId="2730"/>
    <cellStyle name="Normal 3 2 2 2 4 3 10" xfId="30702"/>
    <cellStyle name="Normal 3 2 2 2 4 3 11" xfId="30701"/>
    <cellStyle name="Normal 3 2 2 2 4 3 2" xfId="2731"/>
    <cellStyle name="Normal 3 2 2 2 4 3 2 2" xfId="2732"/>
    <cellStyle name="Normal 3 2 2 2 4 3 2 2 2" xfId="30705"/>
    <cellStyle name="Normal 3 2 2 2 4 3 2 2 3" xfId="30704"/>
    <cellStyle name="Normal 3 2 2 2 4 3 2 3" xfId="2733"/>
    <cellStyle name="Normal 3 2 2 2 4 3 2 3 2" xfId="30707"/>
    <cellStyle name="Normal 3 2 2 2 4 3 2 3 3" xfId="30706"/>
    <cellStyle name="Normal 3 2 2 2 4 3 2 4" xfId="30708"/>
    <cellStyle name="Normal 3 2 2 2 4 3 2 4 2" xfId="30709"/>
    <cellStyle name="Normal 3 2 2 2 4 3 2 5" xfId="30710"/>
    <cellStyle name="Normal 3 2 2 2 4 3 2 6" xfId="30711"/>
    <cellStyle name="Normal 3 2 2 2 4 3 2 7" xfId="30703"/>
    <cellStyle name="Normal 3 2 2 2 4 3 3" xfId="2734"/>
    <cellStyle name="Normal 3 2 2 2 4 3 3 2" xfId="2735"/>
    <cellStyle name="Normal 3 2 2 2 4 3 3 2 2" xfId="30714"/>
    <cellStyle name="Normal 3 2 2 2 4 3 3 2 3" xfId="30713"/>
    <cellStyle name="Normal 3 2 2 2 4 3 3 3" xfId="30715"/>
    <cellStyle name="Normal 3 2 2 2 4 3 3 3 2" xfId="30716"/>
    <cellStyle name="Normal 3 2 2 2 4 3 3 4" xfId="30717"/>
    <cellStyle name="Normal 3 2 2 2 4 3 3 4 2" xfId="30718"/>
    <cellStyle name="Normal 3 2 2 2 4 3 3 5" xfId="30719"/>
    <cellStyle name="Normal 3 2 2 2 4 3 3 6" xfId="30720"/>
    <cellStyle name="Normal 3 2 2 2 4 3 3 7" xfId="30712"/>
    <cellStyle name="Normal 3 2 2 2 4 3 4" xfId="2736"/>
    <cellStyle name="Normal 3 2 2 2 4 3 4 2" xfId="2737"/>
    <cellStyle name="Normal 3 2 2 2 4 3 4 2 2" xfId="30723"/>
    <cellStyle name="Normal 3 2 2 2 4 3 4 2 3" xfId="30722"/>
    <cellStyle name="Normal 3 2 2 2 4 3 4 3" xfId="30724"/>
    <cellStyle name="Normal 3 2 2 2 4 3 4 3 2" xfId="30725"/>
    <cellStyle name="Normal 3 2 2 2 4 3 4 4" xfId="30726"/>
    <cellStyle name="Normal 3 2 2 2 4 3 4 4 2" xfId="30727"/>
    <cellStyle name="Normal 3 2 2 2 4 3 4 5" xfId="30728"/>
    <cellStyle name="Normal 3 2 2 2 4 3 4 6" xfId="30729"/>
    <cellStyle name="Normal 3 2 2 2 4 3 4 7" xfId="30721"/>
    <cellStyle name="Normal 3 2 2 2 4 3 5" xfId="2738"/>
    <cellStyle name="Normal 3 2 2 2 4 3 5 2" xfId="30731"/>
    <cellStyle name="Normal 3 2 2 2 4 3 5 2 2" xfId="30732"/>
    <cellStyle name="Normal 3 2 2 2 4 3 5 3" xfId="30733"/>
    <cellStyle name="Normal 3 2 2 2 4 3 5 3 2" xfId="30734"/>
    <cellStyle name="Normal 3 2 2 2 4 3 5 4" xfId="30735"/>
    <cellStyle name="Normal 3 2 2 2 4 3 5 5" xfId="30736"/>
    <cellStyle name="Normal 3 2 2 2 4 3 5 6" xfId="30730"/>
    <cellStyle name="Normal 3 2 2 2 4 3 6" xfId="30737"/>
    <cellStyle name="Normal 3 2 2 2 4 3 6 2" xfId="30738"/>
    <cellStyle name="Normal 3 2 2 2 4 3 7" xfId="30739"/>
    <cellStyle name="Normal 3 2 2 2 4 3 7 2" xfId="30740"/>
    <cellStyle name="Normal 3 2 2 2 4 3 8" xfId="30741"/>
    <cellStyle name="Normal 3 2 2 2 4 3 8 2" xfId="30742"/>
    <cellStyle name="Normal 3 2 2 2 4 3 9" xfId="30743"/>
    <cellStyle name="Normal 3 2 2 2 4 4" xfId="2739"/>
    <cellStyle name="Normal 3 2 2 2 4 4 10" xfId="30745"/>
    <cellStyle name="Normal 3 2 2 2 4 4 11" xfId="30744"/>
    <cellStyle name="Normal 3 2 2 2 4 4 2" xfId="2740"/>
    <cellStyle name="Normal 3 2 2 2 4 4 2 2" xfId="2741"/>
    <cellStyle name="Normal 3 2 2 2 4 4 2 2 2" xfId="30748"/>
    <cellStyle name="Normal 3 2 2 2 4 4 2 2 3" xfId="30747"/>
    <cellStyle name="Normal 3 2 2 2 4 4 2 3" xfId="30749"/>
    <cellStyle name="Normal 3 2 2 2 4 4 2 3 2" xfId="30750"/>
    <cellStyle name="Normal 3 2 2 2 4 4 2 4" xfId="30751"/>
    <cellStyle name="Normal 3 2 2 2 4 4 2 4 2" xfId="30752"/>
    <cellStyle name="Normal 3 2 2 2 4 4 2 5" xfId="30753"/>
    <cellStyle name="Normal 3 2 2 2 4 4 2 6" xfId="30754"/>
    <cellStyle name="Normal 3 2 2 2 4 4 2 7" xfId="30746"/>
    <cellStyle name="Normal 3 2 2 2 4 4 3" xfId="2742"/>
    <cellStyle name="Normal 3 2 2 2 4 4 3 2" xfId="2743"/>
    <cellStyle name="Normal 3 2 2 2 4 4 3 2 2" xfId="30757"/>
    <cellStyle name="Normal 3 2 2 2 4 4 3 2 3" xfId="30756"/>
    <cellStyle name="Normal 3 2 2 2 4 4 3 3" xfId="30758"/>
    <cellStyle name="Normal 3 2 2 2 4 4 3 3 2" xfId="30759"/>
    <cellStyle name="Normal 3 2 2 2 4 4 3 4" xfId="30760"/>
    <cellStyle name="Normal 3 2 2 2 4 4 3 4 2" xfId="30761"/>
    <cellStyle name="Normal 3 2 2 2 4 4 3 5" xfId="30762"/>
    <cellStyle name="Normal 3 2 2 2 4 4 3 6" xfId="30763"/>
    <cellStyle name="Normal 3 2 2 2 4 4 3 7" xfId="30755"/>
    <cellStyle name="Normal 3 2 2 2 4 4 4" xfId="2744"/>
    <cellStyle name="Normal 3 2 2 2 4 4 4 2" xfId="30765"/>
    <cellStyle name="Normal 3 2 2 2 4 4 4 2 2" xfId="30766"/>
    <cellStyle name="Normal 3 2 2 2 4 4 4 3" xfId="30767"/>
    <cellStyle name="Normal 3 2 2 2 4 4 4 3 2" xfId="30768"/>
    <cellStyle name="Normal 3 2 2 2 4 4 4 4" xfId="30769"/>
    <cellStyle name="Normal 3 2 2 2 4 4 4 4 2" xfId="30770"/>
    <cellStyle name="Normal 3 2 2 2 4 4 4 5" xfId="30771"/>
    <cellStyle name="Normal 3 2 2 2 4 4 4 6" xfId="30772"/>
    <cellStyle name="Normal 3 2 2 2 4 4 4 7" xfId="30764"/>
    <cellStyle name="Normal 3 2 2 2 4 4 5" xfId="30773"/>
    <cellStyle name="Normal 3 2 2 2 4 4 5 2" xfId="30774"/>
    <cellStyle name="Normal 3 2 2 2 4 4 5 2 2" xfId="30775"/>
    <cellStyle name="Normal 3 2 2 2 4 4 5 3" xfId="30776"/>
    <cellStyle name="Normal 3 2 2 2 4 4 5 3 2" xfId="30777"/>
    <cellStyle name="Normal 3 2 2 2 4 4 5 4" xfId="30778"/>
    <cellStyle name="Normal 3 2 2 2 4 4 5 5" xfId="30779"/>
    <cellStyle name="Normal 3 2 2 2 4 4 6" xfId="30780"/>
    <cellStyle name="Normal 3 2 2 2 4 4 6 2" xfId="30781"/>
    <cellStyle name="Normal 3 2 2 2 4 4 7" xfId="30782"/>
    <cellStyle name="Normal 3 2 2 2 4 4 7 2" xfId="30783"/>
    <cellStyle name="Normal 3 2 2 2 4 4 8" xfId="30784"/>
    <cellStyle name="Normal 3 2 2 2 4 4 8 2" xfId="30785"/>
    <cellStyle name="Normal 3 2 2 2 4 4 9" xfId="30786"/>
    <cellStyle name="Normal 3 2 2 2 4 5" xfId="2745"/>
    <cellStyle name="Normal 3 2 2 2 4 5 2" xfId="2746"/>
    <cellStyle name="Normal 3 2 2 2 4 5 2 2" xfId="30789"/>
    <cellStyle name="Normal 3 2 2 2 4 5 2 3" xfId="30788"/>
    <cellStyle name="Normal 3 2 2 2 4 5 3" xfId="2747"/>
    <cellStyle name="Normal 3 2 2 2 4 5 3 2" xfId="30791"/>
    <cellStyle name="Normal 3 2 2 2 4 5 3 3" xfId="30790"/>
    <cellStyle name="Normal 3 2 2 2 4 5 4" xfId="30792"/>
    <cellStyle name="Normal 3 2 2 2 4 5 4 2" xfId="30793"/>
    <cellStyle name="Normal 3 2 2 2 4 5 5" xfId="30794"/>
    <cellStyle name="Normal 3 2 2 2 4 5 6" xfId="30795"/>
    <cellStyle name="Normal 3 2 2 2 4 5 7" xfId="30787"/>
    <cellStyle name="Normal 3 2 2 2 4 6" xfId="2748"/>
    <cellStyle name="Normal 3 2 2 2 4 6 2" xfId="2749"/>
    <cellStyle name="Normal 3 2 2 2 4 6 2 2" xfId="30798"/>
    <cellStyle name="Normal 3 2 2 2 4 6 2 3" xfId="30797"/>
    <cellStyle name="Normal 3 2 2 2 4 6 3" xfId="30799"/>
    <cellStyle name="Normal 3 2 2 2 4 6 3 2" xfId="30800"/>
    <cellStyle name="Normal 3 2 2 2 4 6 4" xfId="30801"/>
    <cellStyle name="Normal 3 2 2 2 4 6 4 2" xfId="30802"/>
    <cellStyle name="Normal 3 2 2 2 4 6 5" xfId="30803"/>
    <cellStyle name="Normal 3 2 2 2 4 6 6" xfId="30804"/>
    <cellStyle name="Normal 3 2 2 2 4 6 7" xfId="30796"/>
    <cellStyle name="Normal 3 2 2 2 4 7" xfId="2750"/>
    <cellStyle name="Normal 3 2 2 2 4 7 2" xfId="2751"/>
    <cellStyle name="Normal 3 2 2 2 4 7 2 2" xfId="30807"/>
    <cellStyle name="Normal 3 2 2 2 4 7 2 3" xfId="30806"/>
    <cellStyle name="Normal 3 2 2 2 4 7 3" xfId="30808"/>
    <cellStyle name="Normal 3 2 2 2 4 7 3 2" xfId="30809"/>
    <cellStyle name="Normal 3 2 2 2 4 7 4" xfId="30810"/>
    <cellStyle name="Normal 3 2 2 2 4 7 4 2" xfId="30811"/>
    <cellStyle name="Normal 3 2 2 2 4 7 5" xfId="30812"/>
    <cellStyle name="Normal 3 2 2 2 4 7 6" xfId="30813"/>
    <cellStyle name="Normal 3 2 2 2 4 7 7" xfId="30805"/>
    <cellStyle name="Normal 3 2 2 2 4 8" xfId="2752"/>
    <cellStyle name="Normal 3 2 2 2 4 8 2" xfId="30815"/>
    <cellStyle name="Normal 3 2 2 2 4 8 2 2" xfId="30816"/>
    <cellStyle name="Normal 3 2 2 2 4 8 3" xfId="30817"/>
    <cellStyle name="Normal 3 2 2 2 4 8 3 2" xfId="30818"/>
    <cellStyle name="Normal 3 2 2 2 4 8 4" xfId="30819"/>
    <cellStyle name="Normal 3 2 2 2 4 8 5" xfId="30820"/>
    <cellStyle name="Normal 3 2 2 2 4 8 6" xfId="30814"/>
    <cellStyle name="Normal 3 2 2 2 4 9" xfId="30821"/>
    <cellStyle name="Normal 3 2 2 2 4 9 2" xfId="30822"/>
    <cellStyle name="Normal 3 2 2 2 5" xfId="2753"/>
    <cellStyle name="Normal 3 2 2 2 5 10" xfId="30824"/>
    <cellStyle name="Normal 3 2 2 2 5 10 2" xfId="30825"/>
    <cellStyle name="Normal 3 2 2 2 5 11" xfId="30826"/>
    <cellStyle name="Normal 3 2 2 2 5 12" xfId="30827"/>
    <cellStyle name="Normal 3 2 2 2 5 13" xfId="30823"/>
    <cellStyle name="Normal 3 2 2 2 5 2" xfId="2754"/>
    <cellStyle name="Normal 3 2 2 2 5 2 10" xfId="30829"/>
    <cellStyle name="Normal 3 2 2 2 5 2 11" xfId="30828"/>
    <cellStyle name="Normal 3 2 2 2 5 2 2" xfId="2755"/>
    <cellStyle name="Normal 3 2 2 2 5 2 2 2" xfId="2756"/>
    <cellStyle name="Normal 3 2 2 2 5 2 2 2 2" xfId="30832"/>
    <cellStyle name="Normal 3 2 2 2 5 2 2 2 3" xfId="30831"/>
    <cellStyle name="Normal 3 2 2 2 5 2 2 3" xfId="2757"/>
    <cellStyle name="Normal 3 2 2 2 5 2 2 3 2" xfId="30834"/>
    <cellStyle name="Normal 3 2 2 2 5 2 2 3 3" xfId="30833"/>
    <cellStyle name="Normal 3 2 2 2 5 2 2 4" xfId="30835"/>
    <cellStyle name="Normal 3 2 2 2 5 2 2 4 2" xfId="30836"/>
    <cellStyle name="Normal 3 2 2 2 5 2 2 5" xfId="30837"/>
    <cellStyle name="Normal 3 2 2 2 5 2 2 6" xfId="30838"/>
    <cellStyle name="Normal 3 2 2 2 5 2 2 7" xfId="30830"/>
    <cellStyle name="Normal 3 2 2 2 5 2 3" xfId="2758"/>
    <cellStyle name="Normal 3 2 2 2 5 2 3 2" xfId="2759"/>
    <cellStyle name="Normal 3 2 2 2 5 2 3 2 2" xfId="30841"/>
    <cellStyle name="Normal 3 2 2 2 5 2 3 2 3" xfId="30840"/>
    <cellStyle name="Normal 3 2 2 2 5 2 3 3" xfId="30842"/>
    <cellStyle name="Normal 3 2 2 2 5 2 3 3 2" xfId="30843"/>
    <cellStyle name="Normal 3 2 2 2 5 2 3 4" xfId="30844"/>
    <cellStyle name="Normal 3 2 2 2 5 2 3 4 2" xfId="30845"/>
    <cellStyle name="Normal 3 2 2 2 5 2 3 5" xfId="30846"/>
    <cellStyle name="Normal 3 2 2 2 5 2 3 6" xfId="30847"/>
    <cellStyle name="Normal 3 2 2 2 5 2 3 7" xfId="30839"/>
    <cellStyle name="Normal 3 2 2 2 5 2 4" xfId="2760"/>
    <cellStyle name="Normal 3 2 2 2 5 2 4 2" xfId="2761"/>
    <cellStyle name="Normal 3 2 2 2 5 2 4 2 2" xfId="30850"/>
    <cellStyle name="Normal 3 2 2 2 5 2 4 2 3" xfId="30849"/>
    <cellStyle name="Normal 3 2 2 2 5 2 4 3" xfId="30851"/>
    <cellStyle name="Normal 3 2 2 2 5 2 4 3 2" xfId="30852"/>
    <cellStyle name="Normal 3 2 2 2 5 2 4 4" xfId="30853"/>
    <cellStyle name="Normal 3 2 2 2 5 2 4 4 2" xfId="30854"/>
    <cellStyle name="Normal 3 2 2 2 5 2 4 5" xfId="30855"/>
    <cellStyle name="Normal 3 2 2 2 5 2 4 6" xfId="30856"/>
    <cellStyle name="Normal 3 2 2 2 5 2 4 7" xfId="30848"/>
    <cellStyle name="Normal 3 2 2 2 5 2 5" xfId="2762"/>
    <cellStyle name="Normal 3 2 2 2 5 2 5 2" xfId="30858"/>
    <cellStyle name="Normal 3 2 2 2 5 2 5 2 2" xfId="30859"/>
    <cellStyle name="Normal 3 2 2 2 5 2 5 3" xfId="30860"/>
    <cellStyle name="Normal 3 2 2 2 5 2 5 3 2" xfId="30861"/>
    <cellStyle name="Normal 3 2 2 2 5 2 5 4" xfId="30862"/>
    <cellStyle name="Normal 3 2 2 2 5 2 5 5" xfId="30863"/>
    <cellStyle name="Normal 3 2 2 2 5 2 5 6" xfId="30857"/>
    <cellStyle name="Normal 3 2 2 2 5 2 6" xfId="30864"/>
    <cellStyle name="Normal 3 2 2 2 5 2 6 2" xfId="30865"/>
    <cellStyle name="Normal 3 2 2 2 5 2 7" xfId="30866"/>
    <cellStyle name="Normal 3 2 2 2 5 2 7 2" xfId="30867"/>
    <cellStyle name="Normal 3 2 2 2 5 2 8" xfId="30868"/>
    <cellStyle name="Normal 3 2 2 2 5 2 8 2" xfId="30869"/>
    <cellStyle name="Normal 3 2 2 2 5 2 9" xfId="30870"/>
    <cellStyle name="Normal 3 2 2 2 5 3" xfId="2763"/>
    <cellStyle name="Normal 3 2 2 2 5 3 10" xfId="30872"/>
    <cellStyle name="Normal 3 2 2 2 5 3 11" xfId="30871"/>
    <cellStyle name="Normal 3 2 2 2 5 3 2" xfId="2764"/>
    <cellStyle name="Normal 3 2 2 2 5 3 2 2" xfId="2765"/>
    <cellStyle name="Normal 3 2 2 2 5 3 2 2 2" xfId="30875"/>
    <cellStyle name="Normal 3 2 2 2 5 3 2 2 3" xfId="30874"/>
    <cellStyle name="Normal 3 2 2 2 5 3 2 3" xfId="30876"/>
    <cellStyle name="Normal 3 2 2 2 5 3 2 3 2" xfId="30877"/>
    <cellStyle name="Normal 3 2 2 2 5 3 2 4" xfId="30878"/>
    <cellStyle name="Normal 3 2 2 2 5 3 2 4 2" xfId="30879"/>
    <cellStyle name="Normal 3 2 2 2 5 3 2 5" xfId="30880"/>
    <cellStyle name="Normal 3 2 2 2 5 3 2 6" xfId="30881"/>
    <cellStyle name="Normal 3 2 2 2 5 3 2 7" xfId="30873"/>
    <cellStyle name="Normal 3 2 2 2 5 3 3" xfId="2766"/>
    <cellStyle name="Normal 3 2 2 2 5 3 3 2" xfId="2767"/>
    <cellStyle name="Normal 3 2 2 2 5 3 3 2 2" xfId="30884"/>
    <cellStyle name="Normal 3 2 2 2 5 3 3 2 3" xfId="30883"/>
    <cellStyle name="Normal 3 2 2 2 5 3 3 3" xfId="30885"/>
    <cellStyle name="Normal 3 2 2 2 5 3 3 3 2" xfId="30886"/>
    <cellStyle name="Normal 3 2 2 2 5 3 3 4" xfId="30887"/>
    <cellStyle name="Normal 3 2 2 2 5 3 3 4 2" xfId="30888"/>
    <cellStyle name="Normal 3 2 2 2 5 3 3 5" xfId="30889"/>
    <cellStyle name="Normal 3 2 2 2 5 3 3 6" xfId="30890"/>
    <cellStyle name="Normal 3 2 2 2 5 3 3 7" xfId="30882"/>
    <cellStyle name="Normal 3 2 2 2 5 3 4" xfId="2768"/>
    <cellStyle name="Normal 3 2 2 2 5 3 4 2" xfId="30892"/>
    <cellStyle name="Normal 3 2 2 2 5 3 4 2 2" xfId="30893"/>
    <cellStyle name="Normal 3 2 2 2 5 3 4 3" xfId="30894"/>
    <cellStyle name="Normal 3 2 2 2 5 3 4 3 2" xfId="30895"/>
    <cellStyle name="Normal 3 2 2 2 5 3 4 4" xfId="30896"/>
    <cellStyle name="Normal 3 2 2 2 5 3 4 4 2" xfId="30897"/>
    <cellStyle name="Normal 3 2 2 2 5 3 4 5" xfId="30898"/>
    <cellStyle name="Normal 3 2 2 2 5 3 4 6" xfId="30899"/>
    <cellStyle name="Normal 3 2 2 2 5 3 4 7" xfId="30891"/>
    <cellStyle name="Normal 3 2 2 2 5 3 5" xfId="30900"/>
    <cellStyle name="Normal 3 2 2 2 5 3 5 2" xfId="30901"/>
    <cellStyle name="Normal 3 2 2 2 5 3 5 2 2" xfId="30902"/>
    <cellStyle name="Normal 3 2 2 2 5 3 5 3" xfId="30903"/>
    <cellStyle name="Normal 3 2 2 2 5 3 5 3 2" xfId="30904"/>
    <cellStyle name="Normal 3 2 2 2 5 3 5 4" xfId="30905"/>
    <cellStyle name="Normal 3 2 2 2 5 3 5 5" xfId="30906"/>
    <cellStyle name="Normal 3 2 2 2 5 3 6" xfId="30907"/>
    <cellStyle name="Normal 3 2 2 2 5 3 6 2" xfId="30908"/>
    <cellStyle name="Normal 3 2 2 2 5 3 7" xfId="30909"/>
    <cellStyle name="Normal 3 2 2 2 5 3 7 2" xfId="30910"/>
    <cellStyle name="Normal 3 2 2 2 5 3 8" xfId="30911"/>
    <cellStyle name="Normal 3 2 2 2 5 3 8 2" xfId="30912"/>
    <cellStyle name="Normal 3 2 2 2 5 3 9" xfId="30913"/>
    <cellStyle name="Normal 3 2 2 2 5 4" xfId="2769"/>
    <cellStyle name="Normal 3 2 2 2 5 4 2" xfId="2770"/>
    <cellStyle name="Normal 3 2 2 2 5 4 2 2" xfId="30916"/>
    <cellStyle name="Normal 3 2 2 2 5 4 2 3" xfId="30915"/>
    <cellStyle name="Normal 3 2 2 2 5 4 3" xfId="2771"/>
    <cellStyle name="Normal 3 2 2 2 5 4 3 2" xfId="30918"/>
    <cellStyle name="Normal 3 2 2 2 5 4 3 3" xfId="30917"/>
    <cellStyle name="Normal 3 2 2 2 5 4 4" xfId="30919"/>
    <cellStyle name="Normal 3 2 2 2 5 4 4 2" xfId="30920"/>
    <cellStyle name="Normal 3 2 2 2 5 4 5" xfId="30921"/>
    <cellStyle name="Normal 3 2 2 2 5 4 6" xfId="30922"/>
    <cellStyle name="Normal 3 2 2 2 5 4 7" xfId="30914"/>
    <cellStyle name="Normal 3 2 2 2 5 5" xfId="2772"/>
    <cellStyle name="Normal 3 2 2 2 5 5 2" xfId="2773"/>
    <cellStyle name="Normal 3 2 2 2 5 5 2 2" xfId="30925"/>
    <cellStyle name="Normal 3 2 2 2 5 5 2 3" xfId="30924"/>
    <cellStyle name="Normal 3 2 2 2 5 5 3" xfId="30926"/>
    <cellStyle name="Normal 3 2 2 2 5 5 3 2" xfId="30927"/>
    <cellStyle name="Normal 3 2 2 2 5 5 4" xfId="30928"/>
    <cellStyle name="Normal 3 2 2 2 5 5 4 2" xfId="30929"/>
    <cellStyle name="Normal 3 2 2 2 5 5 5" xfId="30930"/>
    <cellStyle name="Normal 3 2 2 2 5 5 6" xfId="30931"/>
    <cellStyle name="Normal 3 2 2 2 5 5 7" xfId="30923"/>
    <cellStyle name="Normal 3 2 2 2 5 6" xfId="2774"/>
    <cellStyle name="Normal 3 2 2 2 5 6 2" xfId="2775"/>
    <cellStyle name="Normal 3 2 2 2 5 6 2 2" xfId="30934"/>
    <cellStyle name="Normal 3 2 2 2 5 6 2 3" xfId="30933"/>
    <cellStyle name="Normal 3 2 2 2 5 6 3" xfId="30935"/>
    <cellStyle name="Normal 3 2 2 2 5 6 3 2" xfId="30936"/>
    <cellStyle name="Normal 3 2 2 2 5 6 4" xfId="30937"/>
    <cellStyle name="Normal 3 2 2 2 5 6 4 2" xfId="30938"/>
    <cellStyle name="Normal 3 2 2 2 5 6 5" xfId="30939"/>
    <cellStyle name="Normal 3 2 2 2 5 6 6" xfId="30940"/>
    <cellStyle name="Normal 3 2 2 2 5 6 7" xfId="30932"/>
    <cellStyle name="Normal 3 2 2 2 5 7" xfId="2776"/>
    <cellStyle name="Normal 3 2 2 2 5 7 2" xfId="30942"/>
    <cellStyle name="Normal 3 2 2 2 5 7 2 2" xfId="30943"/>
    <cellStyle name="Normal 3 2 2 2 5 7 3" xfId="30944"/>
    <cellStyle name="Normal 3 2 2 2 5 7 3 2" xfId="30945"/>
    <cellStyle name="Normal 3 2 2 2 5 7 4" xfId="30946"/>
    <cellStyle name="Normal 3 2 2 2 5 7 5" xfId="30947"/>
    <cellStyle name="Normal 3 2 2 2 5 7 6" xfId="30941"/>
    <cellStyle name="Normal 3 2 2 2 5 8" xfId="30948"/>
    <cellStyle name="Normal 3 2 2 2 5 8 2" xfId="30949"/>
    <cellStyle name="Normal 3 2 2 2 5 9" xfId="30950"/>
    <cellStyle name="Normal 3 2 2 2 5 9 2" xfId="30951"/>
    <cellStyle name="Normal 3 2 2 2 6" xfId="2777"/>
    <cellStyle name="Normal 3 2 2 2 6 10" xfId="30953"/>
    <cellStyle name="Normal 3 2 2 2 6 11" xfId="30954"/>
    <cellStyle name="Normal 3 2 2 2 6 12" xfId="30952"/>
    <cellStyle name="Normal 3 2 2 2 6 2" xfId="2778"/>
    <cellStyle name="Normal 3 2 2 2 6 2 2" xfId="2779"/>
    <cellStyle name="Normal 3 2 2 2 6 2 2 2" xfId="2780"/>
    <cellStyle name="Normal 3 2 2 2 6 2 2 2 2" xfId="30957"/>
    <cellStyle name="Normal 3 2 2 2 6 2 2 3" xfId="2781"/>
    <cellStyle name="Normal 3 2 2 2 6 2 2 4" xfId="30956"/>
    <cellStyle name="Normal 3 2 2 2 6 2 3" xfId="2782"/>
    <cellStyle name="Normal 3 2 2 2 6 2 3 2" xfId="2783"/>
    <cellStyle name="Normal 3 2 2 2 6 2 3 2 2" xfId="30959"/>
    <cellStyle name="Normal 3 2 2 2 6 2 3 3" xfId="30958"/>
    <cellStyle name="Normal 3 2 2 2 6 2 4" xfId="2784"/>
    <cellStyle name="Normal 3 2 2 2 6 2 4 2" xfId="2785"/>
    <cellStyle name="Normal 3 2 2 2 6 2 4 2 2" xfId="30961"/>
    <cellStyle name="Normal 3 2 2 2 6 2 4 3" xfId="30960"/>
    <cellStyle name="Normal 3 2 2 2 6 2 5" xfId="2786"/>
    <cellStyle name="Normal 3 2 2 2 6 2 5 2" xfId="30962"/>
    <cellStyle name="Normal 3 2 2 2 6 2 6" xfId="30963"/>
    <cellStyle name="Normal 3 2 2 2 6 2 7" xfId="30955"/>
    <cellStyle name="Normal 3 2 2 2 6 3" xfId="2787"/>
    <cellStyle name="Normal 3 2 2 2 6 3 2" xfId="2788"/>
    <cellStyle name="Normal 3 2 2 2 6 3 2 2" xfId="2789"/>
    <cellStyle name="Normal 3 2 2 2 6 3 2 2 2" xfId="30966"/>
    <cellStyle name="Normal 3 2 2 2 6 3 2 3" xfId="30965"/>
    <cellStyle name="Normal 3 2 2 2 6 3 3" xfId="2790"/>
    <cellStyle name="Normal 3 2 2 2 6 3 3 2" xfId="2791"/>
    <cellStyle name="Normal 3 2 2 2 6 3 3 2 2" xfId="30968"/>
    <cellStyle name="Normal 3 2 2 2 6 3 3 3" xfId="30967"/>
    <cellStyle name="Normal 3 2 2 2 6 3 4" xfId="2792"/>
    <cellStyle name="Normal 3 2 2 2 6 3 4 2" xfId="30970"/>
    <cellStyle name="Normal 3 2 2 2 6 3 4 3" xfId="30969"/>
    <cellStyle name="Normal 3 2 2 2 6 3 5" xfId="30971"/>
    <cellStyle name="Normal 3 2 2 2 6 3 6" xfId="30972"/>
    <cellStyle name="Normal 3 2 2 2 6 3 7" xfId="30964"/>
    <cellStyle name="Normal 3 2 2 2 6 4" xfId="2793"/>
    <cellStyle name="Normal 3 2 2 2 6 4 2" xfId="2794"/>
    <cellStyle name="Normal 3 2 2 2 6 4 2 2" xfId="30975"/>
    <cellStyle name="Normal 3 2 2 2 6 4 2 3" xfId="30974"/>
    <cellStyle name="Normal 3 2 2 2 6 4 3" xfId="2795"/>
    <cellStyle name="Normal 3 2 2 2 6 4 3 2" xfId="30977"/>
    <cellStyle name="Normal 3 2 2 2 6 4 3 3" xfId="30976"/>
    <cellStyle name="Normal 3 2 2 2 6 4 4" xfId="30978"/>
    <cellStyle name="Normal 3 2 2 2 6 4 4 2" xfId="30979"/>
    <cellStyle name="Normal 3 2 2 2 6 4 5" xfId="30980"/>
    <cellStyle name="Normal 3 2 2 2 6 4 6" xfId="30981"/>
    <cellStyle name="Normal 3 2 2 2 6 4 7" xfId="30973"/>
    <cellStyle name="Normal 3 2 2 2 6 5" xfId="2796"/>
    <cellStyle name="Normal 3 2 2 2 6 5 2" xfId="2797"/>
    <cellStyle name="Normal 3 2 2 2 6 5 2 2" xfId="30984"/>
    <cellStyle name="Normal 3 2 2 2 6 5 2 3" xfId="30983"/>
    <cellStyle name="Normal 3 2 2 2 6 5 3" xfId="30985"/>
    <cellStyle name="Normal 3 2 2 2 6 5 3 2" xfId="30986"/>
    <cellStyle name="Normal 3 2 2 2 6 5 4" xfId="30987"/>
    <cellStyle name="Normal 3 2 2 2 6 5 4 2" xfId="30988"/>
    <cellStyle name="Normal 3 2 2 2 6 5 5" xfId="30989"/>
    <cellStyle name="Normal 3 2 2 2 6 5 6" xfId="30990"/>
    <cellStyle name="Normal 3 2 2 2 6 5 7" xfId="30982"/>
    <cellStyle name="Normal 3 2 2 2 6 6" xfId="2798"/>
    <cellStyle name="Normal 3 2 2 2 6 6 2" xfId="2799"/>
    <cellStyle name="Normal 3 2 2 2 6 6 2 2" xfId="30993"/>
    <cellStyle name="Normal 3 2 2 2 6 6 2 3" xfId="30992"/>
    <cellStyle name="Normal 3 2 2 2 6 6 3" xfId="30994"/>
    <cellStyle name="Normal 3 2 2 2 6 6 3 2" xfId="30995"/>
    <cellStyle name="Normal 3 2 2 2 6 6 4" xfId="30996"/>
    <cellStyle name="Normal 3 2 2 2 6 6 5" xfId="30997"/>
    <cellStyle name="Normal 3 2 2 2 6 6 6" xfId="30991"/>
    <cellStyle name="Normal 3 2 2 2 6 7" xfId="2800"/>
    <cellStyle name="Normal 3 2 2 2 6 7 2" xfId="30999"/>
    <cellStyle name="Normal 3 2 2 2 6 7 3" xfId="30998"/>
    <cellStyle name="Normal 3 2 2 2 6 8" xfId="31000"/>
    <cellStyle name="Normal 3 2 2 2 6 8 2" xfId="31001"/>
    <cellStyle name="Normal 3 2 2 2 6 9" xfId="31002"/>
    <cellStyle name="Normal 3 2 2 2 6 9 2" xfId="31003"/>
    <cellStyle name="Normal 3 2 2 2 7" xfId="2801"/>
    <cellStyle name="Normal 3 2 2 2 7 10" xfId="31005"/>
    <cellStyle name="Normal 3 2 2 2 7 11" xfId="31004"/>
    <cellStyle name="Normal 3 2 2 2 7 2" xfId="2802"/>
    <cellStyle name="Normal 3 2 2 2 7 2 2" xfId="2803"/>
    <cellStyle name="Normal 3 2 2 2 7 2 2 2" xfId="2804"/>
    <cellStyle name="Normal 3 2 2 2 7 2 2 2 2" xfId="31008"/>
    <cellStyle name="Normal 3 2 2 2 7 2 2 3" xfId="31007"/>
    <cellStyle name="Normal 3 2 2 2 7 2 3" xfId="2805"/>
    <cellStyle name="Normal 3 2 2 2 7 2 3 2" xfId="2806"/>
    <cellStyle name="Normal 3 2 2 2 7 2 3 2 2" xfId="31010"/>
    <cellStyle name="Normal 3 2 2 2 7 2 3 3" xfId="31009"/>
    <cellStyle name="Normal 3 2 2 2 7 2 4" xfId="2807"/>
    <cellStyle name="Normal 3 2 2 2 7 2 4 2" xfId="31012"/>
    <cellStyle name="Normal 3 2 2 2 7 2 4 3" xfId="31011"/>
    <cellStyle name="Normal 3 2 2 2 7 2 5" xfId="31013"/>
    <cellStyle name="Normal 3 2 2 2 7 2 6" xfId="31014"/>
    <cellStyle name="Normal 3 2 2 2 7 2 7" xfId="31006"/>
    <cellStyle name="Normal 3 2 2 2 7 3" xfId="2808"/>
    <cellStyle name="Normal 3 2 2 2 7 3 2" xfId="2809"/>
    <cellStyle name="Normal 3 2 2 2 7 3 2 2" xfId="31017"/>
    <cellStyle name="Normal 3 2 2 2 7 3 2 3" xfId="31016"/>
    <cellStyle name="Normal 3 2 2 2 7 3 3" xfId="2810"/>
    <cellStyle name="Normal 3 2 2 2 7 3 3 2" xfId="31019"/>
    <cellStyle name="Normal 3 2 2 2 7 3 3 3" xfId="31018"/>
    <cellStyle name="Normal 3 2 2 2 7 3 4" xfId="31020"/>
    <cellStyle name="Normal 3 2 2 2 7 3 4 2" xfId="31021"/>
    <cellStyle name="Normal 3 2 2 2 7 3 5" xfId="31022"/>
    <cellStyle name="Normal 3 2 2 2 7 3 6" xfId="31023"/>
    <cellStyle name="Normal 3 2 2 2 7 3 7" xfId="31015"/>
    <cellStyle name="Normal 3 2 2 2 7 4" xfId="2811"/>
    <cellStyle name="Normal 3 2 2 2 7 4 2" xfId="2812"/>
    <cellStyle name="Normal 3 2 2 2 7 4 2 2" xfId="31026"/>
    <cellStyle name="Normal 3 2 2 2 7 4 2 3" xfId="31025"/>
    <cellStyle name="Normal 3 2 2 2 7 4 3" xfId="31027"/>
    <cellStyle name="Normal 3 2 2 2 7 4 3 2" xfId="31028"/>
    <cellStyle name="Normal 3 2 2 2 7 4 4" xfId="31029"/>
    <cellStyle name="Normal 3 2 2 2 7 4 4 2" xfId="31030"/>
    <cellStyle name="Normal 3 2 2 2 7 4 5" xfId="31031"/>
    <cellStyle name="Normal 3 2 2 2 7 4 6" xfId="31032"/>
    <cellStyle name="Normal 3 2 2 2 7 4 7" xfId="31024"/>
    <cellStyle name="Normal 3 2 2 2 7 5" xfId="2813"/>
    <cellStyle name="Normal 3 2 2 2 7 5 2" xfId="2814"/>
    <cellStyle name="Normal 3 2 2 2 7 5 2 2" xfId="31035"/>
    <cellStyle name="Normal 3 2 2 2 7 5 2 3" xfId="31034"/>
    <cellStyle name="Normal 3 2 2 2 7 5 3" xfId="31036"/>
    <cellStyle name="Normal 3 2 2 2 7 5 3 2" xfId="31037"/>
    <cellStyle name="Normal 3 2 2 2 7 5 4" xfId="31038"/>
    <cellStyle name="Normal 3 2 2 2 7 5 5" xfId="31039"/>
    <cellStyle name="Normal 3 2 2 2 7 5 6" xfId="31033"/>
    <cellStyle name="Normal 3 2 2 2 7 6" xfId="2815"/>
    <cellStyle name="Normal 3 2 2 2 7 6 2" xfId="31041"/>
    <cellStyle name="Normal 3 2 2 2 7 6 3" xfId="31040"/>
    <cellStyle name="Normal 3 2 2 2 7 7" xfId="31042"/>
    <cellStyle name="Normal 3 2 2 2 7 7 2" xfId="31043"/>
    <cellStyle name="Normal 3 2 2 2 7 8" xfId="31044"/>
    <cellStyle name="Normal 3 2 2 2 7 8 2" xfId="31045"/>
    <cellStyle name="Normal 3 2 2 2 7 9" xfId="31046"/>
    <cellStyle name="Normal 3 2 2 2 8" xfId="2816"/>
    <cellStyle name="Normal 3 2 2 2 8 10" xfId="31048"/>
    <cellStyle name="Normal 3 2 2 2 8 11" xfId="31047"/>
    <cellStyle name="Normal 3 2 2 2 8 2" xfId="2817"/>
    <cellStyle name="Normal 3 2 2 2 8 2 2" xfId="2818"/>
    <cellStyle name="Normal 3 2 2 2 8 2 2 2" xfId="31051"/>
    <cellStyle name="Normal 3 2 2 2 8 2 2 3" xfId="31050"/>
    <cellStyle name="Normal 3 2 2 2 8 2 3" xfId="31052"/>
    <cellStyle name="Normal 3 2 2 2 8 2 3 2" xfId="31053"/>
    <cellStyle name="Normal 3 2 2 2 8 2 4" xfId="31054"/>
    <cellStyle name="Normal 3 2 2 2 8 2 4 2" xfId="31055"/>
    <cellStyle name="Normal 3 2 2 2 8 2 5" xfId="31056"/>
    <cellStyle name="Normal 3 2 2 2 8 2 6" xfId="31057"/>
    <cellStyle name="Normal 3 2 2 2 8 2 7" xfId="31049"/>
    <cellStyle name="Normal 3 2 2 2 8 3" xfId="2819"/>
    <cellStyle name="Normal 3 2 2 2 8 3 2" xfId="2820"/>
    <cellStyle name="Normal 3 2 2 2 8 3 2 2" xfId="31060"/>
    <cellStyle name="Normal 3 2 2 2 8 3 2 3" xfId="31059"/>
    <cellStyle name="Normal 3 2 2 2 8 3 3" xfId="31061"/>
    <cellStyle name="Normal 3 2 2 2 8 3 3 2" xfId="31062"/>
    <cellStyle name="Normal 3 2 2 2 8 3 4" xfId="31063"/>
    <cellStyle name="Normal 3 2 2 2 8 3 4 2" xfId="31064"/>
    <cellStyle name="Normal 3 2 2 2 8 3 5" xfId="31065"/>
    <cellStyle name="Normal 3 2 2 2 8 3 6" xfId="31066"/>
    <cellStyle name="Normal 3 2 2 2 8 3 7" xfId="31058"/>
    <cellStyle name="Normal 3 2 2 2 8 4" xfId="2821"/>
    <cellStyle name="Normal 3 2 2 2 8 4 2" xfId="31068"/>
    <cellStyle name="Normal 3 2 2 2 8 4 2 2" xfId="31069"/>
    <cellStyle name="Normal 3 2 2 2 8 4 3" xfId="31070"/>
    <cellStyle name="Normal 3 2 2 2 8 4 3 2" xfId="31071"/>
    <cellStyle name="Normal 3 2 2 2 8 4 4" xfId="31072"/>
    <cellStyle name="Normal 3 2 2 2 8 4 4 2" xfId="31073"/>
    <cellStyle name="Normal 3 2 2 2 8 4 5" xfId="31074"/>
    <cellStyle name="Normal 3 2 2 2 8 4 6" xfId="31075"/>
    <cellStyle name="Normal 3 2 2 2 8 4 7" xfId="31067"/>
    <cellStyle name="Normal 3 2 2 2 8 5" xfId="31076"/>
    <cellStyle name="Normal 3 2 2 2 8 5 2" xfId="31077"/>
    <cellStyle name="Normal 3 2 2 2 8 5 2 2" xfId="31078"/>
    <cellStyle name="Normal 3 2 2 2 8 5 3" xfId="31079"/>
    <cellStyle name="Normal 3 2 2 2 8 5 3 2" xfId="31080"/>
    <cellStyle name="Normal 3 2 2 2 8 5 4" xfId="31081"/>
    <cellStyle name="Normal 3 2 2 2 8 5 5" xfId="31082"/>
    <cellStyle name="Normal 3 2 2 2 8 6" xfId="31083"/>
    <cellStyle name="Normal 3 2 2 2 8 6 2" xfId="31084"/>
    <cellStyle name="Normal 3 2 2 2 8 7" xfId="31085"/>
    <cellStyle name="Normal 3 2 2 2 8 7 2" xfId="31086"/>
    <cellStyle name="Normal 3 2 2 2 8 8" xfId="31087"/>
    <cellStyle name="Normal 3 2 2 2 8 8 2" xfId="31088"/>
    <cellStyle name="Normal 3 2 2 2 8 9" xfId="31089"/>
    <cellStyle name="Normal 3 2 2 2 9" xfId="2822"/>
    <cellStyle name="Normal 3 2 2 2 9 2" xfId="2823"/>
    <cellStyle name="Normal 3 2 2 2 9 2 2" xfId="2824"/>
    <cellStyle name="Normal 3 2 2 2 9 2 2 2" xfId="31092"/>
    <cellStyle name="Normal 3 2 2 2 9 2 3" xfId="31091"/>
    <cellStyle name="Normal 3 2 2 2 9 3" xfId="2825"/>
    <cellStyle name="Normal 3 2 2 2 9 3 2" xfId="2826"/>
    <cellStyle name="Normal 3 2 2 2 9 3 2 2" xfId="31094"/>
    <cellStyle name="Normal 3 2 2 2 9 3 3" xfId="31093"/>
    <cellStyle name="Normal 3 2 2 2 9 4" xfId="2827"/>
    <cellStyle name="Normal 3 2 2 2 9 4 2" xfId="31096"/>
    <cellStyle name="Normal 3 2 2 2 9 4 3" xfId="31095"/>
    <cellStyle name="Normal 3 2 2 2 9 5" xfId="31097"/>
    <cellStyle name="Normal 3 2 2 2 9 6" xfId="31098"/>
    <cellStyle name="Normal 3 2 2 2 9 7" xfId="31090"/>
    <cellStyle name="Normal 3 2 2 3" xfId="2828"/>
    <cellStyle name="Normal 3 2 2 3 10" xfId="2829"/>
    <cellStyle name="Normal 3 2 2 3 10 2" xfId="2830"/>
    <cellStyle name="Normal 3 2 2 3 10 2 2" xfId="31101"/>
    <cellStyle name="Normal 3 2 2 3 10 3" xfId="31100"/>
    <cellStyle name="Normal 3 2 2 3 11" xfId="2831"/>
    <cellStyle name="Normal 3 2 2 3 11 2" xfId="31103"/>
    <cellStyle name="Normal 3 2 2 3 11 3" xfId="31102"/>
    <cellStyle name="Normal 3 2 2 3 12" xfId="31104"/>
    <cellStyle name="Normal 3 2 2 3 13" xfId="31105"/>
    <cellStyle name="Normal 3 2 2 3 14" xfId="31099"/>
    <cellStyle name="Normal 3 2 2 3 2" xfId="2832"/>
    <cellStyle name="Normal 3 2 2 3 2 10" xfId="31107"/>
    <cellStyle name="Normal 3 2 2 3 2 11" xfId="31108"/>
    <cellStyle name="Normal 3 2 2 3 2 12" xfId="31106"/>
    <cellStyle name="Normal 3 2 2 3 2 2" xfId="2833"/>
    <cellStyle name="Normal 3 2 2 3 2 2 2" xfId="2834"/>
    <cellStyle name="Normal 3 2 2 3 2 2 2 2" xfId="2835"/>
    <cellStyle name="Normal 3 2 2 3 2 2 2 2 2" xfId="2836"/>
    <cellStyle name="Normal 3 2 2 3 2 2 2 2 3" xfId="2837"/>
    <cellStyle name="Normal 3 2 2 3 2 2 2 2 4" xfId="31111"/>
    <cellStyle name="Normal 3 2 2 3 2 2 2 3" xfId="2838"/>
    <cellStyle name="Normal 3 2 2 3 2 2 2 3 2" xfId="2839"/>
    <cellStyle name="Normal 3 2 2 3 2 2 2 4" xfId="2840"/>
    <cellStyle name="Normal 3 2 2 3 2 2 2 4 2" xfId="2841"/>
    <cellStyle name="Normal 3 2 2 3 2 2 2 5" xfId="2842"/>
    <cellStyle name="Normal 3 2 2 3 2 2 2 6" xfId="31110"/>
    <cellStyle name="Normal 3 2 2 3 2 2 3" xfId="2843"/>
    <cellStyle name="Normal 3 2 2 3 2 2 3 2" xfId="2844"/>
    <cellStyle name="Normal 3 2 2 3 2 2 3 2 2" xfId="2845"/>
    <cellStyle name="Normal 3 2 2 3 2 2 3 2 3" xfId="31113"/>
    <cellStyle name="Normal 3 2 2 3 2 2 3 3" xfId="2846"/>
    <cellStyle name="Normal 3 2 2 3 2 2 3 3 2" xfId="2847"/>
    <cellStyle name="Normal 3 2 2 3 2 2 3 4" xfId="2848"/>
    <cellStyle name="Normal 3 2 2 3 2 2 3 5" xfId="31112"/>
    <cellStyle name="Normal 3 2 2 3 2 2 4" xfId="2849"/>
    <cellStyle name="Normal 3 2 2 3 2 2 4 2" xfId="2850"/>
    <cellStyle name="Normal 3 2 2 3 2 2 4 2 2" xfId="31115"/>
    <cellStyle name="Normal 3 2 2 3 2 2 4 3" xfId="2851"/>
    <cellStyle name="Normal 3 2 2 3 2 2 4 4" xfId="31114"/>
    <cellStyle name="Normal 3 2 2 3 2 2 5" xfId="2852"/>
    <cellStyle name="Normal 3 2 2 3 2 2 5 2" xfId="2853"/>
    <cellStyle name="Normal 3 2 2 3 2 2 5 3" xfId="31116"/>
    <cellStyle name="Normal 3 2 2 3 2 2 6" xfId="2854"/>
    <cellStyle name="Normal 3 2 2 3 2 2 6 2" xfId="2855"/>
    <cellStyle name="Normal 3 2 2 3 2 2 6 3" xfId="31117"/>
    <cellStyle name="Normal 3 2 2 3 2 2 7" xfId="2856"/>
    <cellStyle name="Normal 3 2 2 3 2 2 8" xfId="31109"/>
    <cellStyle name="Normal 3 2 2 3 2 3" xfId="2857"/>
    <cellStyle name="Normal 3 2 2 3 2 3 2" xfId="2858"/>
    <cellStyle name="Normal 3 2 2 3 2 3 2 2" xfId="2859"/>
    <cellStyle name="Normal 3 2 2 3 2 3 2 2 2" xfId="31120"/>
    <cellStyle name="Normal 3 2 2 3 2 3 2 3" xfId="2860"/>
    <cellStyle name="Normal 3 2 2 3 2 3 2 4" xfId="31119"/>
    <cellStyle name="Normal 3 2 2 3 2 3 3" xfId="2861"/>
    <cellStyle name="Normal 3 2 2 3 2 3 3 2" xfId="2862"/>
    <cellStyle name="Normal 3 2 2 3 2 3 3 2 2" xfId="31122"/>
    <cellStyle name="Normal 3 2 2 3 2 3 3 3" xfId="31121"/>
    <cellStyle name="Normal 3 2 2 3 2 3 4" xfId="2863"/>
    <cellStyle name="Normal 3 2 2 3 2 3 4 2" xfId="2864"/>
    <cellStyle name="Normal 3 2 2 3 2 3 4 2 2" xfId="31124"/>
    <cellStyle name="Normal 3 2 2 3 2 3 4 3" xfId="31123"/>
    <cellStyle name="Normal 3 2 2 3 2 3 5" xfId="2865"/>
    <cellStyle name="Normal 3 2 2 3 2 3 5 2" xfId="31125"/>
    <cellStyle name="Normal 3 2 2 3 2 3 6" xfId="31126"/>
    <cellStyle name="Normal 3 2 2 3 2 3 7" xfId="31118"/>
    <cellStyle name="Normal 3 2 2 3 2 4" xfId="2866"/>
    <cellStyle name="Normal 3 2 2 3 2 4 2" xfId="2867"/>
    <cellStyle name="Normal 3 2 2 3 2 4 2 2" xfId="2868"/>
    <cellStyle name="Normal 3 2 2 3 2 4 2 2 2" xfId="31129"/>
    <cellStyle name="Normal 3 2 2 3 2 4 2 3" xfId="31128"/>
    <cellStyle name="Normal 3 2 2 3 2 4 3" xfId="2869"/>
    <cellStyle name="Normal 3 2 2 3 2 4 3 2" xfId="2870"/>
    <cellStyle name="Normal 3 2 2 3 2 4 3 2 2" xfId="31131"/>
    <cellStyle name="Normal 3 2 2 3 2 4 3 3" xfId="31130"/>
    <cellStyle name="Normal 3 2 2 3 2 4 4" xfId="2871"/>
    <cellStyle name="Normal 3 2 2 3 2 4 4 2" xfId="31133"/>
    <cellStyle name="Normal 3 2 2 3 2 4 4 3" xfId="31132"/>
    <cellStyle name="Normal 3 2 2 3 2 4 5" xfId="31134"/>
    <cellStyle name="Normal 3 2 2 3 2 4 6" xfId="31135"/>
    <cellStyle name="Normal 3 2 2 3 2 4 7" xfId="31127"/>
    <cellStyle name="Normal 3 2 2 3 2 5" xfId="2872"/>
    <cellStyle name="Normal 3 2 2 3 2 5 2" xfId="2873"/>
    <cellStyle name="Normal 3 2 2 3 2 5 2 2" xfId="31138"/>
    <cellStyle name="Normal 3 2 2 3 2 5 2 3" xfId="31137"/>
    <cellStyle name="Normal 3 2 2 3 2 5 3" xfId="2874"/>
    <cellStyle name="Normal 3 2 2 3 2 5 3 2" xfId="31140"/>
    <cellStyle name="Normal 3 2 2 3 2 5 3 3" xfId="31139"/>
    <cellStyle name="Normal 3 2 2 3 2 5 4" xfId="31141"/>
    <cellStyle name="Normal 3 2 2 3 2 5 4 2" xfId="31142"/>
    <cellStyle name="Normal 3 2 2 3 2 5 5" xfId="31143"/>
    <cellStyle name="Normal 3 2 2 3 2 5 6" xfId="31144"/>
    <cellStyle name="Normal 3 2 2 3 2 5 7" xfId="31136"/>
    <cellStyle name="Normal 3 2 2 3 2 6" xfId="2875"/>
    <cellStyle name="Normal 3 2 2 3 2 6 2" xfId="2876"/>
    <cellStyle name="Normal 3 2 2 3 2 6 2 2" xfId="31147"/>
    <cellStyle name="Normal 3 2 2 3 2 6 2 3" xfId="31146"/>
    <cellStyle name="Normal 3 2 2 3 2 6 3" xfId="31148"/>
    <cellStyle name="Normal 3 2 2 3 2 6 3 2" xfId="31149"/>
    <cellStyle name="Normal 3 2 2 3 2 6 4" xfId="31150"/>
    <cellStyle name="Normal 3 2 2 3 2 6 5" xfId="31151"/>
    <cellStyle name="Normal 3 2 2 3 2 6 6" xfId="31145"/>
    <cellStyle name="Normal 3 2 2 3 2 7" xfId="2877"/>
    <cellStyle name="Normal 3 2 2 3 2 7 2" xfId="2878"/>
    <cellStyle name="Normal 3 2 2 3 2 7 2 2" xfId="31153"/>
    <cellStyle name="Normal 3 2 2 3 2 7 3" xfId="31152"/>
    <cellStyle name="Normal 3 2 2 3 2 8" xfId="2879"/>
    <cellStyle name="Normal 3 2 2 3 2 8 2" xfId="31155"/>
    <cellStyle name="Normal 3 2 2 3 2 8 3" xfId="31154"/>
    <cellStyle name="Normal 3 2 2 3 2 9" xfId="31156"/>
    <cellStyle name="Normal 3 2 2 3 2 9 2" xfId="31157"/>
    <cellStyle name="Normal 3 2 2 3 3" xfId="2880"/>
    <cellStyle name="Normal 3 2 2 3 3 10" xfId="31159"/>
    <cellStyle name="Normal 3 2 2 3 3 11" xfId="31158"/>
    <cellStyle name="Normal 3 2 2 3 3 2" xfId="2881"/>
    <cellStyle name="Normal 3 2 2 3 3 2 2" xfId="2882"/>
    <cellStyle name="Normal 3 2 2 3 3 2 2 2" xfId="2883"/>
    <cellStyle name="Normal 3 2 2 3 3 2 2 2 2" xfId="31162"/>
    <cellStyle name="Normal 3 2 2 3 3 2 2 3" xfId="2884"/>
    <cellStyle name="Normal 3 2 2 3 3 2 2 4" xfId="31161"/>
    <cellStyle name="Normal 3 2 2 3 3 2 3" xfId="2885"/>
    <cellStyle name="Normal 3 2 2 3 3 2 3 2" xfId="2886"/>
    <cellStyle name="Normal 3 2 2 3 3 2 3 2 2" xfId="31164"/>
    <cellStyle name="Normal 3 2 2 3 3 2 3 3" xfId="31163"/>
    <cellStyle name="Normal 3 2 2 3 3 2 4" xfId="2887"/>
    <cellStyle name="Normal 3 2 2 3 3 2 4 2" xfId="2888"/>
    <cellStyle name="Normal 3 2 2 3 3 2 4 2 2" xfId="31166"/>
    <cellStyle name="Normal 3 2 2 3 3 2 4 3" xfId="31165"/>
    <cellStyle name="Normal 3 2 2 3 3 2 5" xfId="2889"/>
    <cellStyle name="Normal 3 2 2 3 3 2 5 2" xfId="31167"/>
    <cellStyle name="Normal 3 2 2 3 3 2 6" xfId="31168"/>
    <cellStyle name="Normal 3 2 2 3 3 2 7" xfId="31160"/>
    <cellStyle name="Normal 3 2 2 3 3 3" xfId="2890"/>
    <cellStyle name="Normal 3 2 2 3 3 3 2" xfId="2891"/>
    <cellStyle name="Normal 3 2 2 3 3 3 2 2" xfId="2892"/>
    <cellStyle name="Normal 3 2 2 3 3 3 2 2 2" xfId="31171"/>
    <cellStyle name="Normal 3 2 2 3 3 3 2 3" xfId="31170"/>
    <cellStyle name="Normal 3 2 2 3 3 3 3" xfId="2893"/>
    <cellStyle name="Normal 3 2 2 3 3 3 3 2" xfId="2894"/>
    <cellStyle name="Normal 3 2 2 3 3 3 3 2 2" xfId="31173"/>
    <cellStyle name="Normal 3 2 2 3 3 3 3 3" xfId="31172"/>
    <cellStyle name="Normal 3 2 2 3 3 3 4" xfId="2895"/>
    <cellStyle name="Normal 3 2 2 3 3 3 4 2" xfId="31175"/>
    <cellStyle name="Normal 3 2 2 3 3 3 4 3" xfId="31174"/>
    <cellStyle name="Normal 3 2 2 3 3 3 5" xfId="31176"/>
    <cellStyle name="Normal 3 2 2 3 3 3 6" xfId="31177"/>
    <cellStyle name="Normal 3 2 2 3 3 3 7" xfId="31169"/>
    <cellStyle name="Normal 3 2 2 3 3 4" xfId="2896"/>
    <cellStyle name="Normal 3 2 2 3 3 4 2" xfId="2897"/>
    <cellStyle name="Normal 3 2 2 3 3 4 2 2" xfId="31180"/>
    <cellStyle name="Normal 3 2 2 3 3 4 2 3" xfId="31179"/>
    <cellStyle name="Normal 3 2 2 3 3 4 3" xfId="2898"/>
    <cellStyle name="Normal 3 2 2 3 3 4 3 2" xfId="31182"/>
    <cellStyle name="Normal 3 2 2 3 3 4 3 3" xfId="31181"/>
    <cellStyle name="Normal 3 2 2 3 3 4 4" xfId="31183"/>
    <cellStyle name="Normal 3 2 2 3 3 4 4 2" xfId="31184"/>
    <cellStyle name="Normal 3 2 2 3 3 4 5" xfId="31185"/>
    <cellStyle name="Normal 3 2 2 3 3 4 6" xfId="31186"/>
    <cellStyle name="Normal 3 2 2 3 3 4 7" xfId="31178"/>
    <cellStyle name="Normal 3 2 2 3 3 5" xfId="2899"/>
    <cellStyle name="Normal 3 2 2 3 3 5 2" xfId="2900"/>
    <cellStyle name="Normal 3 2 2 3 3 5 2 2" xfId="31189"/>
    <cellStyle name="Normal 3 2 2 3 3 5 2 3" xfId="31188"/>
    <cellStyle name="Normal 3 2 2 3 3 5 3" xfId="31190"/>
    <cellStyle name="Normal 3 2 2 3 3 5 3 2" xfId="31191"/>
    <cellStyle name="Normal 3 2 2 3 3 5 4" xfId="31192"/>
    <cellStyle name="Normal 3 2 2 3 3 5 5" xfId="31193"/>
    <cellStyle name="Normal 3 2 2 3 3 5 6" xfId="31187"/>
    <cellStyle name="Normal 3 2 2 3 3 6" xfId="2901"/>
    <cellStyle name="Normal 3 2 2 3 3 6 2" xfId="2902"/>
    <cellStyle name="Normal 3 2 2 3 3 6 2 2" xfId="31195"/>
    <cellStyle name="Normal 3 2 2 3 3 6 3" xfId="31194"/>
    <cellStyle name="Normal 3 2 2 3 3 7" xfId="2903"/>
    <cellStyle name="Normal 3 2 2 3 3 7 2" xfId="31197"/>
    <cellStyle name="Normal 3 2 2 3 3 7 3" xfId="31196"/>
    <cellStyle name="Normal 3 2 2 3 3 8" xfId="31198"/>
    <cellStyle name="Normal 3 2 2 3 3 8 2" xfId="31199"/>
    <cellStyle name="Normal 3 2 2 3 3 9" xfId="31200"/>
    <cellStyle name="Normal 3 2 2 3 4" xfId="2904"/>
    <cellStyle name="Normal 3 2 2 3 4 10" xfId="31202"/>
    <cellStyle name="Normal 3 2 2 3 4 11" xfId="31201"/>
    <cellStyle name="Normal 3 2 2 3 4 2" xfId="2905"/>
    <cellStyle name="Normal 3 2 2 3 4 2 2" xfId="2906"/>
    <cellStyle name="Normal 3 2 2 3 4 2 2 2" xfId="2907"/>
    <cellStyle name="Normal 3 2 2 3 4 2 2 2 2" xfId="31205"/>
    <cellStyle name="Normal 3 2 2 3 4 2 2 3" xfId="2908"/>
    <cellStyle name="Normal 3 2 2 3 4 2 2 4" xfId="31204"/>
    <cellStyle name="Normal 3 2 2 3 4 2 3" xfId="2909"/>
    <cellStyle name="Normal 3 2 2 3 4 2 3 2" xfId="2910"/>
    <cellStyle name="Normal 3 2 2 3 4 2 3 2 2" xfId="31207"/>
    <cellStyle name="Normal 3 2 2 3 4 2 3 3" xfId="31206"/>
    <cellStyle name="Normal 3 2 2 3 4 2 4" xfId="2911"/>
    <cellStyle name="Normal 3 2 2 3 4 2 4 2" xfId="2912"/>
    <cellStyle name="Normal 3 2 2 3 4 2 4 2 2" xfId="31209"/>
    <cellStyle name="Normal 3 2 2 3 4 2 4 3" xfId="31208"/>
    <cellStyle name="Normal 3 2 2 3 4 2 5" xfId="2913"/>
    <cellStyle name="Normal 3 2 2 3 4 2 5 2" xfId="31210"/>
    <cellStyle name="Normal 3 2 2 3 4 2 6" xfId="31211"/>
    <cellStyle name="Normal 3 2 2 3 4 2 7" xfId="31203"/>
    <cellStyle name="Normal 3 2 2 3 4 3" xfId="2914"/>
    <cellStyle name="Normal 3 2 2 3 4 3 2" xfId="2915"/>
    <cellStyle name="Normal 3 2 2 3 4 3 2 2" xfId="2916"/>
    <cellStyle name="Normal 3 2 2 3 4 3 2 2 2" xfId="31214"/>
    <cellStyle name="Normal 3 2 2 3 4 3 2 3" xfId="31213"/>
    <cellStyle name="Normal 3 2 2 3 4 3 3" xfId="2917"/>
    <cellStyle name="Normal 3 2 2 3 4 3 3 2" xfId="2918"/>
    <cellStyle name="Normal 3 2 2 3 4 3 3 2 2" xfId="31216"/>
    <cellStyle name="Normal 3 2 2 3 4 3 3 3" xfId="31215"/>
    <cellStyle name="Normal 3 2 2 3 4 3 4" xfId="2919"/>
    <cellStyle name="Normal 3 2 2 3 4 3 4 2" xfId="31218"/>
    <cellStyle name="Normal 3 2 2 3 4 3 4 3" xfId="31217"/>
    <cellStyle name="Normal 3 2 2 3 4 3 5" xfId="31219"/>
    <cellStyle name="Normal 3 2 2 3 4 3 6" xfId="31220"/>
    <cellStyle name="Normal 3 2 2 3 4 3 7" xfId="31212"/>
    <cellStyle name="Normal 3 2 2 3 4 4" xfId="2920"/>
    <cellStyle name="Normal 3 2 2 3 4 4 2" xfId="2921"/>
    <cellStyle name="Normal 3 2 2 3 4 4 2 2" xfId="31223"/>
    <cellStyle name="Normal 3 2 2 3 4 4 2 3" xfId="31222"/>
    <cellStyle name="Normal 3 2 2 3 4 4 3" xfId="2922"/>
    <cellStyle name="Normal 3 2 2 3 4 4 3 2" xfId="31225"/>
    <cellStyle name="Normal 3 2 2 3 4 4 3 3" xfId="31224"/>
    <cellStyle name="Normal 3 2 2 3 4 4 4" xfId="31226"/>
    <cellStyle name="Normal 3 2 2 3 4 4 4 2" xfId="31227"/>
    <cellStyle name="Normal 3 2 2 3 4 4 5" xfId="31228"/>
    <cellStyle name="Normal 3 2 2 3 4 4 6" xfId="31229"/>
    <cellStyle name="Normal 3 2 2 3 4 4 7" xfId="31221"/>
    <cellStyle name="Normal 3 2 2 3 4 5" xfId="2923"/>
    <cellStyle name="Normal 3 2 2 3 4 5 2" xfId="2924"/>
    <cellStyle name="Normal 3 2 2 3 4 5 2 2" xfId="31232"/>
    <cellStyle name="Normal 3 2 2 3 4 5 2 3" xfId="31231"/>
    <cellStyle name="Normal 3 2 2 3 4 5 3" xfId="31233"/>
    <cellStyle name="Normal 3 2 2 3 4 5 3 2" xfId="31234"/>
    <cellStyle name="Normal 3 2 2 3 4 5 4" xfId="31235"/>
    <cellStyle name="Normal 3 2 2 3 4 5 5" xfId="31236"/>
    <cellStyle name="Normal 3 2 2 3 4 5 6" xfId="31230"/>
    <cellStyle name="Normal 3 2 2 3 4 6" xfId="2925"/>
    <cellStyle name="Normal 3 2 2 3 4 6 2" xfId="2926"/>
    <cellStyle name="Normal 3 2 2 3 4 6 2 2" xfId="31238"/>
    <cellStyle name="Normal 3 2 2 3 4 6 3" xfId="31237"/>
    <cellStyle name="Normal 3 2 2 3 4 7" xfId="2927"/>
    <cellStyle name="Normal 3 2 2 3 4 7 2" xfId="31240"/>
    <cellStyle name="Normal 3 2 2 3 4 7 3" xfId="31239"/>
    <cellStyle name="Normal 3 2 2 3 4 8" xfId="31241"/>
    <cellStyle name="Normal 3 2 2 3 4 8 2" xfId="31242"/>
    <cellStyle name="Normal 3 2 2 3 4 9" xfId="31243"/>
    <cellStyle name="Normal 3 2 2 3 5" xfId="2928"/>
    <cellStyle name="Normal 3 2 2 3 5 2" xfId="2929"/>
    <cellStyle name="Normal 3 2 2 3 5 2 2" xfId="2930"/>
    <cellStyle name="Normal 3 2 2 3 5 2 2 2" xfId="2931"/>
    <cellStyle name="Normal 3 2 2 3 5 2 2 3" xfId="31246"/>
    <cellStyle name="Normal 3 2 2 3 5 2 3" xfId="2932"/>
    <cellStyle name="Normal 3 2 2 3 5 2 3 2" xfId="2933"/>
    <cellStyle name="Normal 3 2 2 3 5 2 4" xfId="2934"/>
    <cellStyle name="Normal 3 2 2 3 5 2 5" xfId="31245"/>
    <cellStyle name="Normal 3 2 2 3 5 3" xfId="2935"/>
    <cellStyle name="Normal 3 2 2 3 5 3 2" xfId="2936"/>
    <cellStyle name="Normal 3 2 2 3 5 3 2 2" xfId="31248"/>
    <cellStyle name="Normal 3 2 2 3 5 3 3" xfId="2937"/>
    <cellStyle name="Normal 3 2 2 3 5 3 4" xfId="31247"/>
    <cellStyle name="Normal 3 2 2 3 5 4" xfId="2938"/>
    <cellStyle name="Normal 3 2 2 3 5 4 2" xfId="2939"/>
    <cellStyle name="Normal 3 2 2 3 5 4 2 2" xfId="31250"/>
    <cellStyle name="Normal 3 2 2 3 5 4 3" xfId="31249"/>
    <cellStyle name="Normal 3 2 2 3 5 5" xfId="2940"/>
    <cellStyle name="Normal 3 2 2 3 5 5 2" xfId="2941"/>
    <cellStyle name="Normal 3 2 2 3 5 5 3" xfId="31251"/>
    <cellStyle name="Normal 3 2 2 3 5 6" xfId="2942"/>
    <cellStyle name="Normal 3 2 2 3 5 6 2" xfId="31252"/>
    <cellStyle name="Normal 3 2 2 3 5 7" xfId="31244"/>
    <cellStyle name="Normal 3 2 2 3 6" xfId="2943"/>
    <cellStyle name="Normal 3 2 2 3 6 2" xfId="2944"/>
    <cellStyle name="Normal 3 2 2 3 6 2 2" xfId="2945"/>
    <cellStyle name="Normal 3 2 2 3 6 2 2 2" xfId="31255"/>
    <cellStyle name="Normal 3 2 2 3 6 2 3" xfId="31254"/>
    <cellStyle name="Normal 3 2 2 3 6 3" xfId="2946"/>
    <cellStyle name="Normal 3 2 2 3 6 3 2" xfId="2947"/>
    <cellStyle name="Normal 3 2 2 3 6 3 2 2" xfId="31257"/>
    <cellStyle name="Normal 3 2 2 3 6 3 3" xfId="31256"/>
    <cellStyle name="Normal 3 2 2 3 6 4" xfId="2948"/>
    <cellStyle name="Normal 3 2 2 3 6 4 2" xfId="31259"/>
    <cellStyle name="Normal 3 2 2 3 6 4 3" xfId="31258"/>
    <cellStyle name="Normal 3 2 2 3 6 5" xfId="31260"/>
    <cellStyle name="Normal 3 2 2 3 6 6" xfId="31261"/>
    <cellStyle name="Normal 3 2 2 3 6 7" xfId="31253"/>
    <cellStyle name="Normal 3 2 2 3 7" xfId="2949"/>
    <cellStyle name="Normal 3 2 2 3 7 2" xfId="2950"/>
    <cellStyle name="Normal 3 2 2 3 7 2 2" xfId="2951"/>
    <cellStyle name="Normal 3 2 2 3 7 2 2 2" xfId="31264"/>
    <cellStyle name="Normal 3 2 2 3 7 2 3" xfId="31263"/>
    <cellStyle name="Normal 3 2 2 3 7 3" xfId="2952"/>
    <cellStyle name="Normal 3 2 2 3 7 3 2" xfId="2953"/>
    <cellStyle name="Normal 3 2 2 3 7 3 2 2" xfId="31266"/>
    <cellStyle name="Normal 3 2 2 3 7 3 3" xfId="31265"/>
    <cellStyle name="Normal 3 2 2 3 7 4" xfId="2954"/>
    <cellStyle name="Normal 3 2 2 3 7 4 2" xfId="31268"/>
    <cellStyle name="Normal 3 2 2 3 7 4 3" xfId="31267"/>
    <cellStyle name="Normal 3 2 2 3 7 5" xfId="31269"/>
    <cellStyle name="Normal 3 2 2 3 7 6" xfId="31270"/>
    <cellStyle name="Normal 3 2 2 3 7 7" xfId="31262"/>
    <cellStyle name="Normal 3 2 2 3 8" xfId="2955"/>
    <cellStyle name="Normal 3 2 2 3 8 2" xfId="2956"/>
    <cellStyle name="Normal 3 2 2 3 8 2 2" xfId="31273"/>
    <cellStyle name="Normal 3 2 2 3 8 2 3" xfId="31272"/>
    <cellStyle name="Normal 3 2 2 3 8 3" xfId="2957"/>
    <cellStyle name="Normal 3 2 2 3 8 3 2" xfId="31275"/>
    <cellStyle name="Normal 3 2 2 3 8 3 3" xfId="31274"/>
    <cellStyle name="Normal 3 2 2 3 8 4" xfId="31276"/>
    <cellStyle name="Normal 3 2 2 3 8 5" xfId="31277"/>
    <cellStyle name="Normal 3 2 2 3 8 6" xfId="31271"/>
    <cellStyle name="Normal 3 2 2 3 9" xfId="2958"/>
    <cellStyle name="Normal 3 2 2 3 9 2" xfId="2959"/>
    <cellStyle name="Normal 3 2 2 3 9 2 2" xfId="31279"/>
    <cellStyle name="Normal 3 2 2 3 9 3" xfId="31278"/>
    <cellStyle name="Normal 3 2 2 4" xfId="2960"/>
    <cellStyle name="Normal 3 2 2 4 10" xfId="2961"/>
    <cellStyle name="Normal 3 2 2 4 10 2" xfId="2962"/>
    <cellStyle name="Normal 3 2 2 4 10 2 2" xfId="31282"/>
    <cellStyle name="Normal 3 2 2 4 10 3" xfId="31281"/>
    <cellStyle name="Normal 3 2 2 4 11" xfId="2963"/>
    <cellStyle name="Normal 3 2 2 4 11 2" xfId="31284"/>
    <cellStyle name="Normal 3 2 2 4 11 3" xfId="31283"/>
    <cellStyle name="Normal 3 2 2 4 12" xfId="31285"/>
    <cellStyle name="Normal 3 2 2 4 13" xfId="31286"/>
    <cellStyle name="Normal 3 2 2 4 14" xfId="31280"/>
    <cellStyle name="Normal 3 2 2 4 2" xfId="2964"/>
    <cellStyle name="Normal 3 2 2 4 2 10" xfId="31288"/>
    <cellStyle name="Normal 3 2 2 4 2 11" xfId="31289"/>
    <cellStyle name="Normal 3 2 2 4 2 12" xfId="31287"/>
    <cellStyle name="Normal 3 2 2 4 2 2" xfId="2965"/>
    <cellStyle name="Normal 3 2 2 4 2 2 2" xfId="2966"/>
    <cellStyle name="Normal 3 2 2 4 2 2 2 2" xfId="2967"/>
    <cellStyle name="Normal 3 2 2 4 2 2 2 2 2" xfId="2968"/>
    <cellStyle name="Normal 3 2 2 4 2 2 2 2 3" xfId="2969"/>
    <cellStyle name="Normal 3 2 2 4 2 2 2 2 4" xfId="31292"/>
    <cellStyle name="Normal 3 2 2 4 2 2 2 3" xfId="2970"/>
    <cellStyle name="Normal 3 2 2 4 2 2 2 3 2" xfId="2971"/>
    <cellStyle name="Normal 3 2 2 4 2 2 2 4" xfId="2972"/>
    <cellStyle name="Normal 3 2 2 4 2 2 2 4 2" xfId="2973"/>
    <cellStyle name="Normal 3 2 2 4 2 2 2 5" xfId="2974"/>
    <cellStyle name="Normal 3 2 2 4 2 2 2 6" xfId="31291"/>
    <cellStyle name="Normal 3 2 2 4 2 2 3" xfId="2975"/>
    <cellStyle name="Normal 3 2 2 4 2 2 3 2" xfId="2976"/>
    <cellStyle name="Normal 3 2 2 4 2 2 3 2 2" xfId="2977"/>
    <cellStyle name="Normal 3 2 2 4 2 2 3 2 3" xfId="31294"/>
    <cellStyle name="Normal 3 2 2 4 2 2 3 3" xfId="2978"/>
    <cellStyle name="Normal 3 2 2 4 2 2 3 3 2" xfId="2979"/>
    <cellStyle name="Normal 3 2 2 4 2 2 3 4" xfId="2980"/>
    <cellStyle name="Normal 3 2 2 4 2 2 3 5" xfId="31293"/>
    <cellStyle name="Normal 3 2 2 4 2 2 4" xfId="2981"/>
    <cellStyle name="Normal 3 2 2 4 2 2 4 2" xfId="2982"/>
    <cellStyle name="Normal 3 2 2 4 2 2 4 2 2" xfId="31296"/>
    <cellStyle name="Normal 3 2 2 4 2 2 4 3" xfId="2983"/>
    <cellStyle name="Normal 3 2 2 4 2 2 4 4" xfId="31295"/>
    <cellStyle name="Normal 3 2 2 4 2 2 5" xfId="2984"/>
    <cellStyle name="Normal 3 2 2 4 2 2 5 2" xfId="2985"/>
    <cellStyle name="Normal 3 2 2 4 2 2 5 3" xfId="31297"/>
    <cellStyle name="Normal 3 2 2 4 2 2 6" xfId="2986"/>
    <cellStyle name="Normal 3 2 2 4 2 2 6 2" xfId="2987"/>
    <cellStyle name="Normal 3 2 2 4 2 2 6 3" xfId="31298"/>
    <cellStyle name="Normal 3 2 2 4 2 2 7" xfId="2988"/>
    <cellStyle name="Normal 3 2 2 4 2 2 8" xfId="31290"/>
    <cellStyle name="Normal 3 2 2 4 2 3" xfId="2989"/>
    <cellStyle name="Normal 3 2 2 4 2 3 2" xfId="2990"/>
    <cellStyle name="Normal 3 2 2 4 2 3 2 2" xfId="2991"/>
    <cellStyle name="Normal 3 2 2 4 2 3 2 2 2" xfId="31301"/>
    <cellStyle name="Normal 3 2 2 4 2 3 2 3" xfId="2992"/>
    <cellStyle name="Normal 3 2 2 4 2 3 2 4" xfId="31300"/>
    <cellStyle name="Normal 3 2 2 4 2 3 3" xfId="2993"/>
    <cellStyle name="Normal 3 2 2 4 2 3 3 2" xfId="2994"/>
    <cellStyle name="Normal 3 2 2 4 2 3 3 2 2" xfId="31303"/>
    <cellStyle name="Normal 3 2 2 4 2 3 3 3" xfId="31302"/>
    <cellStyle name="Normal 3 2 2 4 2 3 4" xfId="2995"/>
    <cellStyle name="Normal 3 2 2 4 2 3 4 2" xfId="2996"/>
    <cellStyle name="Normal 3 2 2 4 2 3 4 2 2" xfId="31305"/>
    <cellStyle name="Normal 3 2 2 4 2 3 4 3" xfId="31304"/>
    <cellStyle name="Normal 3 2 2 4 2 3 5" xfId="2997"/>
    <cellStyle name="Normal 3 2 2 4 2 3 5 2" xfId="31306"/>
    <cellStyle name="Normal 3 2 2 4 2 3 6" xfId="31307"/>
    <cellStyle name="Normal 3 2 2 4 2 3 7" xfId="31299"/>
    <cellStyle name="Normal 3 2 2 4 2 4" xfId="2998"/>
    <cellStyle name="Normal 3 2 2 4 2 4 2" xfId="2999"/>
    <cellStyle name="Normal 3 2 2 4 2 4 2 2" xfId="3000"/>
    <cellStyle name="Normal 3 2 2 4 2 4 2 2 2" xfId="31310"/>
    <cellStyle name="Normal 3 2 2 4 2 4 2 3" xfId="31309"/>
    <cellStyle name="Normal 3 2 2 4 2 4 3" xfId="3001"/>
    <cellStyle name="Normal 3 2 2 4 2 4 3 2" xfId="3002"/>
    <cellStyle name="Normal 3 2 2 4 2 4 3 2 2" xfId="31312"/>
    <cellStyle name="Normal 3 2 2 4 2 4 3 3" xfId="31311"/>
    <cellStyle name="Normal 3 2 2 4 2 4 4" xfId="3003"/>
    <cellStyle name="Normal 3 2 2 4 2 4 4 2" xfId="31314"/>
    <cellStyle name="Normal 3 2 2 4 2 4 4 3" xfId="31313"/>
    <cellStyle name="Normal 3 2 2 4 2 4 5" xfId="31315"/>
    <cellStyle name="Normal 3 2 2 4 2 4 6" xfId="31316"/>
    <cellStyle name="Normal 3 2 2 4 2 4 7" xfId="31308"/>
    <cellStyle name="Normal 3 2 2 4 2 5" xfId="3004"/>
    <cellStyle name="Normal 3 2 2 4 2 5 2" xfId="3005"/>
    <cellStyle name="Normal 3 2 2 4 2 5 2 2" xfId="31319"/>
    <cellStyle name="Normal 3 2 2 4 2 5 2 3" xfId="31318"/>
    <cellStyle name="Normal 3 2 2 4 2 5 3" xfId="3006"/>
    <cellStyle name="Normal 3 2 2 4 2 5 3 2" xfId="31321"/>
    <cellStyle name="Normal 3 2 2 4 2 5 3 3" xfId="31320"/>
    <cellStyle name="Normal 3 2 2 4 2 5 4" xfId="31322"/>
    <cellStyle name="Normal 3 2 2 4 2 5 4 2" xfId="31323"/>
    <cellStyle name="Normal 3 2 2 4 2 5 5" xfId="31324"/>
    <cellStyle name="Normal 3 2 2 4 2 5 6" xfId="31325"/>
    <cellStyle name="Normal 3 2 2 4 2 5 7" xfId="31317"/>
    <cellStyle name="Normal 3 2 2 4 2 6" xfId="3007"/>
    <cellStyle name="Normal 3 2 2 4 2 6 2" xfId="3008"/>
    <cellStyle name="Normal 3 2 2 4 2 6 2 2" xfId="31328"/>
    <cellStyle name="Normal 3 2 2 4 2 6 2 3" xfId="31327"/>
    <cellStyle name="Normal 3 2 2 4 2 6 3" xfId="31329"/>
    <cellStyle name="Normal 3 2 2 4 2 6 3 2" xfId="31330"/>
    <cellStyle name="Normal 3 2 2 4 2 6 4" xfId="31331"/>
    <cellStyle name="Normal 3 2 2 4 2 6 5" xfId="31332"/>
    <cellStyle name="Normal 3 2 2 4 2 6 6" xfId="31326"/>
    <cellStyle name="Normal 3 2 2 4 2 7" xfId="3009"/>
    <cellStyle name="Normal 3 2 2 4 2 7 2" xfId="3010"/>
    <cellStyle name="Normal 3 2 2 4 2 7 2 2" xfId="31334"/>
    <cellStyle name="Normal 3 2 2 4 2 7 3" xfId="31333"/>
    <cellStyle name="Normal 3 2 2 4 2 8" xfId="3011"/>
    <cellStyle name="Normal 3 2 2 4 2 8 2" xfId="31336"/>
    <cellStyle name="Normal 3 2 2 4 2 8 3" xfId="31335"/>
    <cellStyle name="Normal 3 2 2 4 2 9" xfId="31337"/>
    <cellStyle name="Normal 3 2 2 4 2 9 2" xfId="31338"/>
    <cellStyle name="Normal 3 2 2 4 3" xfId="3012"/>
    <cellStyle name="Normal 3 2 2 4 3 10" xfId="31340"/>
    <cellStyle name="Normal 3 2 2 4 3 11" xfId="31339"/>
    <cellStyle name="Normal 3 2 2 4 3 2" xfId="3013"/>
    <cellStyle name="Normal 3 2 2 4 3 2 2" xfId="3014"/>
    <cellStyle name="Normal 3 2 2 4 3 2 2 2" xfId="3015"/>
    <cellStyle name="Normal 3 2 2 4 3 2 2 2 2" xfId="31343"/>
    <cellStyle name="Normal 3 2 2 4 3 2 2 3" xfId="3016"/>
    <cellStyle name="Normal 3 2 2 4 3 2 2 4" xfId="31342"/>
    <cellStyle name="Normal 3 2 2 4 3 2 3" xfId="3017"/>
    <cellStyle name="Normal 3 2 2 4 3 2 3 2" xfId="3018"/>
    <cellStyle name="Normal 3 2 2 4 3 2 3 2 2" xfId="31345"/>
    <cellStyle name="Normal 3 2 2 4 3 2 3 3" xfId="31344"/>
    <cellStyle name="Normal 3 2 2 4 3 2 4" xfId="3019"/>
    <cellStyle name="Normal 3 2 2 4 3 2 4 2" xfId="3020"/>
    <cellStyle name="Normal 3 2 2 4 3 2 4 2 2" xfId="31347"/>
    <cellStyle name="Normal 3 2 2 4 3 2 4 3" xfId="31346"/>
    <cellStyle name="Normal 3 2 2 4 3 2 5" xfId="3021"/>
    <cellStyle name="Normal 3 2 2 4 3 2 5 2" xfId="31348"/>
    <cellStyle name="Normal 3 2 2 4 3 2 6" xfId="31349"/>
    <cellStyle name="Normal 3 2 2 4 3 2 7" xfId="31341"/>
    <cellStyle name="Normal 3 2 2 4 3 3" xfId="3022"/>
    <cellStyle name="Normal 3 2 2 4 3 3 2" xfId="3023"/>
    <cellStyle name="Normal 3 2 2 4 3 3 2 2" xfId="3024"/>
    <cellStyle name="Normal 3 2 2 4 3 3 2 2 2" xfId="31352"/>
    <cellStyle name="Normal 3 2 2 4 3 3 2 3" xfId="31351"/>
    <cellStyle name="Normal 3 2 2 4 3 3 3" xfId="3025"/>
    <cellStyle name="Normal 3 2 2 4 3 3 3 2" xfId="3026"/>
    <cellStyle name="Normal 3 2 2 4 3 3 3 2 2" xfId="31354"/>
    <cellStyle name="Normal 3 2 2 4 3 3 3 3" xfId="31353"/>
    <cellStyle name="Normal 3 2 2 4 3 3 4" xfId="3027"/>
    <cellStyle name="Normal 3 2 2 4 3 3 4 2" xfId="31356"/>
    <cellStyle name="Normal 3 2 2 4 3 3 4 3" xfId="31355"/>
    <cellStyle name="Normal 3 2 2 4 3 3 5" xfId="31357"/>
    <cellStyle name="Normal 3 2 2 4 3 3 6" xfId="31358"/>
    <cellStyle name="Normal 3 2 2 4 3 3 7" xfId="31350"/>
    <cellStyle name="Normal 3 2 2 4 3 4" xfId="3028"/>
    <cellStyle name="Normal 3 2 2 4 3 4 2" xfId="3029"/>
    <cellStyle name="Normal 3 2 2 4 3 4 2 2" xfId="31361"/>
    <cellStyle name="Normal 3 2 2 4 3 4 2 3" xfId="31360"/>
    <cellStyle name="Normal 3 2 2 4 3 4 3" xfId="3030"/>
    <cellStyle name="Normal 3 2 2 4 3 4 3 2" xfId="31363"/>
    <cellStyle name="Normal 3 2 2 4 3 4 3 3" xfId="31362"/>
    <cellStyle name="Normal 3 2 2 4 3 4 4" xfId="31364"/>
    <cellStyle name="Normal 3 2 2 4 3 4 4 2" xfId="31365"/>
    <cellStyle name="Normal 3 2 2 4 3 4 5" xfId="31366"/>
    <cellStyle name="Normal 3 2 2 4 3 4 6" xfId="31367"/>
    <cellStyle name="Normal 3 2 2 4 3 4 7" xfId="31359"/>
    <cellStyle name="Normal 3 2 2 4 3 5" xfId="3031"/>
    <cellStyle name="Normal 3 2 2 4 3 5 2" xfId="3032"/>
    <cellStyle name="Normal 3 2 2 4 3 5 2 2" xfId="31370"/>
    <cellStyle name="Normal 3 2 2 4 3 5 2 3" xfId="31369"/>
    <cellStyle name="Normal 3 2 2 4 3 5 3" xfId="31371"/>
    <cellStyle name="Normal 3 2 2 4 3 5 3 2" xfId="31372"/>
    <cellStyle name="Normal 3 2 2 4 3 5 4" xfId="31373"/>
    <cellStyle name="Normal 3 2 2 4 3 5 5" xfId="31374"/>
    <cellStyle name="Normal 3 2 2 4 3 5 6" xfId="31368"/>
    <cellStyle name="Normal 3 2 2 4 3 6" xfId="3033"/>
    <cellStyle name="Normal 3 2 2 4 3 6 2" xfId="3034"/>
    <cellStyle name="Normal 3 2 2 4 3 6 2 2" xfId="31376"/>
    <cellStyle name="Normal 3 2 2 4 3 6 3" xfId="31375"/>
    <cellStyle name="Normal 3 2 2 4 3 7" xfId="3035"/>
    <cellStyle name="Normal 3 2 2 4 3 7 2" xfId="31378"/>
    <cellStyle name="Normal 3 2 2 4 3 7 3" xfId="31377"/>
    <cellStyle name="Normal 3 2 2 4 3 8" xfId="31379"/>
    <cellStyle name="Normal 3 2 2 4 3 8 2" xfId="31380"/>
    <cellStyle name="Normal 3 2 2 4 3 9" xfId="31381"/>
    <cellStyle name="Normal 3 2 2 4 4" xfId="3036"/>
    <cellStyle name="Normal 3 2 2 4 4 10" xfId="31383"/>
    <cellStyle name="Normal 3 2 2 4 4 11" xfId="31382"/>
    <cellStyle name="Normal 3 2 2 4 4 2" xfId="3037"/>
    <cellStyle name="Normal 3 2 2 4 4 2 2" xfId="3038"/>
    <cellStyle name="Normal 3 2 2 4 4 2 2 2" xfId="3039"/>
    <cellStyle name="Normal 3 2 2 4 4 2 2 2 2" xfId="31386"/>
    <cellStyle name="Normal 3 2 2 4 4 2 2 3" xfId="3040"/>
    <cellStyle name="Normal 3 2 2 4 4 2 2 4" xfId="31385"/>
    <cellStyle name="Normal 3 2 2 4 4 2 3" xfId="3041"/>
    <cellStyle name="Normal 3 2 2 4 4 2 3 2" xfId="3042"/>
    <cellStyle name="Normal 3 2 2 4 4 2 3 2 2" xfId="31388"/>
    <cellStyle name="Normal 3 2 2 4 4 2 3 3" xfId="31387"/>
    <cellStyle name="Normal 3 2 2 4 4 2 4" xfId="3043"/>
    <cellStyle name="Normal 3 2 2 4 4 2 4 2" xfId="3044"/>
    <cellStyle name="Normal 3 2 2 4 4 2 4 2 2" xfId="31390"/>
    <cellStyle name="Normal 3 2 2 4 4 2 4 3" xfId="31389"/>
    <cellStyle name="Normal 3 2 2 4 4 2 5" xfId="3045"/>
    <cellStyle name="Normal 3 2 2 4 4 2 5 2" xfId="31391"/>
    <cellStyle name="Normal 3 2 2 4 4 2 6" xfId="31392"/>
    <cellStyle name="Normal 3 2 2 4 4 2 7" xfId="31384"/>
    <cellStyle name="Normal 3 2 2 4 4 3" xfId="3046"/>
    <cellStyle name="Normal 3 2 2 4 4 3 2" xfId="3047"/>
    <cellStyle name="Normal 3 2 2 4 4 3 2 2" xfId="3048"/>
    <cellStyle name="Normal 3 2 2 4 4 3 2 2 2" xfId="31395"/>
    <cellStyle name="Normal 3 2 2 4 4 3 2 3" xfId="31394"/>
    <cellStyle name="Normal 3 2 2 4 4 3 3" xfId="3049"/>
    <cellStyle name="Normal 3 2 2 4 4 3 3 2" xfId="3050"/>
    <cellStyle name="Normal 3 2 2 4 4 3 3 2 2" xfId="31397"/>
    <cellStyle name="Normal 3 2 2 4 4 3 3 3" xfId="31396"/>
    <cellStyle name="Normal 3 2 2 4 4 3 4" xfId="3051"/>
    <cellStyle name="Normal 3 2 2 4 4 3 4 2" xfId="31399"/>
    <cellStyle name="Normal 3 2 2 4 4 3 4 3" xfId="31398"/>
    <cellStyle name="Normal 3 2 2 4 4 3 5" xfId="31400"/>
    <cellStyle name="Normal 3 2 2 4 4 3 6" xfId="31401"/>
    <cellStyle name="Normal 3 2 2 4 4 3 7" xfId="31393"/>
    <cellStyle name="Normal 3 2 2 4 4 4" xfId="3052"/>
    <cellStyle name="Normal 3 2 2 4 4 4 2" xfId="3053"/>
    <cellStyle name="Normal 3 2 2 4 4 4 2 2" xfId="31404"/>
    <cellStyle name="Normal 3 2 2 4 4 4 2 3" xfId="31403"/>
    <cellStyle name="Normal 3 2 2 4 4 4 3" xfId="3054"/>
    <cellStyle name="Normal 3 2 2 4 4 4 3 2" xfId="31406"/>
    <cellStyle name="Normal 3 2 2 4 4 4 3 3" xfId="31405"/>
    <cellStyle name="Normal 3 2 2 4 4 4 4" xfId="31407"/>
    <cellStyle name="Normal 3 2 2 4 4 4 4 2" xfId="31408"/>
    <cellStyle name="Normal 3 2 2 4 4 4 5" xfId="31409"/>
    <cellStyle name="Normal 3 2 2 4 4 4 6" xfId="31410"/>
    <cellStyle name="Normal 3 2 2 4 4 4 7" xfId="31402"/>
    <cellStyle name="Normal 3 2 2 4 4 5" xfId="3055"/>
    <cellStyle name="Normal 3 2 2 4 4 5 2" xfId="3056"/>
    <cellStyle name="Normal 3 2 2 4 4 5 2 2" xfId="31413"/>
    <cellStyle name="Normal 3 2 2 4 4 5 2 3" xfId="31412"/>
    <cellStyle name="Normal 3 2 2 4 4 5 3" xfId="31414"/>
    <cellStyle name="Normal 3 2 2 4 4 5 3 2" xfId="31415"/>
    <cellStyle name="Normal 3 2 2 4 4 5 4" xfId="31416"/>
    <cellStyle name="Normal 3 2 2 4 4 5 5" xfId="31417"/>
    <cellStyle name="Normal 3 2 2 4 4 5 6" xfId="31411"/>
    <cellStyle name="Normal 3 2 2 4 4 6" xfId="3057"/>
    <cellStyle name="Normal 3 2 2 4 4 6 2" xfId="3058"/>
    <cellStyle name="Normal 3 2 2 4 4 6 2 2" xfId="31419"/>
    <cellStyle name="Normal 3 2 2 4 4 6 3" xfId="31418"/>
    <cellStyle name="Normal 3 2 2 4 4 7" xfId="3059"/>
    <cellStyle name="Normal 3 2 2 4 4 7 2" xfId="31421"/>
    <cellStyle name="Normal 3 2 2 4 4 7 3" xfId="31420"/>
    <cellStyle name="Normal 3 2 2 4 4 8" xfId="31422"/>
    <cellStyle name="Normal 3 2 2 4 4 8 2" xfId="31423"/>
    <cellStyle name="Normal 3 2 2 4 4 9" xfId="31424"/>
    <cellStyle name="Normal 3 2 2 4 5" xfId="3060"/>
    <cellStyle name="Normal 3 2 2 4 5 2" xfId="3061"/>
    <cellStyle name="Normal 3 2 2 4 5 2 2" xfId="3062"/>
    <cellStyle name="Normal 3 2 2 4 5 2 2 2" xfId="3063"/>
    <cellStyle name="Normal 3 2 2 4 5 2 2 3" xfId="31427"/>
    <cellStyle name="Normal 3 2 2 4 5 2 3" xfId="3064"/>
    <cellStyle name="Normal 3 2 2 4 5 2 3 2" xfId="3065"/>
    <cellStyle name="Normal 3 2 2 4 5 2 4" xfId="3066"/>
    <cellStyle name="Normal 3 2 2 4 5 2 5" xfId="31426"/>
    <cellStyle name="Normal 3 2 2 4 5 3" xfId="3067"/>
    <cellStyle name="Normal 3 2 2 4 5 3 2" xfId="3068"/>
    <cellStyle name="Normal 3 2 2 4 5 3 2 2" xfId="31429"/>
    <cellStyle name="Normal 3 2 2 4 5 3 3" xfId="3069"/>
    <cellStyle name="Normal 3 2 2 4 5 3 4" xfId="31428"/>
    <cellStyle name="Normal 3 2 2 4 5 4" xfId="3070"/>
    <cellStyle name="Normal 3 2 2 4 5 4 2" xfId="3071"/>
    <cellStyle name="Normal 3 2 2 4 5 4 2 2" xfId="31431"/>
    <cellStyle name="Normal 3 2 2 4 5 4 3" xfId="31430"/>
    <cellStyle name="Normal 3 2 2 4 5 5" xfId="3072"/>
    <cellStyle name="Normal 3 2 2 4 5 5 2" xfId="3073"/>
    <cellStyle name="Normal 3 2 2 4 5 5 3" xfId="31432"/>
    <cellStyle name="Normal 3 2 2 4 5 6" xfId="3074"/>
    <cellStyle name="Normal 3 2 2 4 5 6 2" xfId="31433"/>
    <cellStyle name="Normal 3 2 2 4 5 7" xfId="31425"/>
    <cellStyle name="Normal 3 2 2 4 6" xfId="3075"/>
    <cellStyle name="Normal 3 2 2 4 6 2" xfId="3076"/>
    <cellStyle name="Normal 3 2 2 4 6 2 2" xfId="3077"/>
    <cellStyle name="Normal 3 2 2 4 6 2 2 2" xfId="31436"/>
    <cellStyle name="Normal 3 2 2 4 6 2 3" xfId="31435"/>
    <cellStyle name="Normal 3 2 2 4 6 3" xfId="3078"/>
    <cellStyle name="Normal 3 2 2 4 6 3 2" xfId="3079"/>
    <cellStyle name="Normal 3 2 2 4 6 3 2 2" xfId="31438"/>
    <cellStyle name="Normal 3 2 2 4 6 3 3" xfId="31437"/>
    <cellStyle name="Normal 3 2 2 4 6 4" xfId="3080"/>
    <cellStyle name="Normal 3 2 2 4 6 4 2" xfId="31440"/>
    <cellStyle name="Normal 3 2 2 4 6 4 3" xfId="31439"/>
    <cellStyle name="Normal 3 2 2 4 6 5" xfId="31441"/>
    <cellStyle name="Normal 3 2 2 4 6 6" xfId="31442"/>
    <cellStyle name="Normal 3 2 2 4 6 7" xfId="31434"/>
    <cellStyle name="Normal 3 2 2 4 7" xfId="3081"/>
    <cellStyle name="Normal 3 2 2 4 7 2" xfId="3082"/>
    <cellStyle name="Normal 3 2 2 4 7 2 2" xfId="3083"/>
    <cellStyle name="Normal 3 2 2 4 7 2 2 2" xfId="31445"/>
    <cellStyle name="Normal 3 2 2 4 7 2 3" xfId="31444"/>
    <cellStyle name="Normal 3 2 2 4 7 3" xfId="3084"/>
    <cellStyle name="Normal 3 2 2 4 7 3 2" xfId="3085"/>
    <cellStyle name="Normal 3 2 2 4 7 3 2 2" xfId="31447"/>
    <cellStyle name="Normal 3 2 2 4 7 3 3" xfId="31446"/>
    <cellStyle name="Normal 3 2 2 4 7 4" xfId="3086"/>
    <cellStyle name="Normal 3 2 2 4 7 4 2" xfId="31449"/>
    <cellStyle name="Normal 3 2 2 4 7 4 3" xfId="31448"/>
    <cellStyle name="Normal 3 2 2 4 7 5" xfId="31450"/>
    <cellStyle name="Normal 3 2 2 4 7 6" xfId="31451"/>
    <cellStyle name="Normal 3 2 2 4 7 7" xfId="31443"/>
    <cellStyle name="Normal 3 2 2 4 8" xfId="3087"/>
    <cellStyle name="Normal 3 2 2 4 8 2" xfId="3088"/>
    <cellStyle name="Normal 3 2 2 4 8 2 2" xfId="31454"/>
    <cellStyle name="Normal 3 2 2 4 8 2 3" xfId="31453"/>
    <cellStyle name="Normal 3 2 2 4 8 3" xfId="3089"/>
    <cellStyle name="Normal 3 2 2 4 8 3 2" xfId="31456"/>
    <cellStyle name="Normal 3 2 2 4 8 3 3" xfId="31455"/>
    <cellStyle name="Normal 3 2 2 4 8 4" xfId="31457"/>
    <cellStyle name="Normal 3 2 2 4 8 5" xfId="31458"/>
    <cellStyle name="Normal 3 2 2 4 8 6" xfId="31452"/>
    <cellStyle name="Normal 3 2 2 4 9" xfId="3090"/>
    <cellStyle name="Normal 3 2 2 4 9 2" xfId="3091"/>
    <cellStyle name="Normal 3 2 2 4 9 2 2" xfId="31460"/>
    <cellStyle name="Normal 3 2 2 4 9 3" xfId="31459"/>
    <cellStyle name="Normal 3 2 2 5" xfId="3092"/>
    <cellStyle name="Normal 3 2 2 5 10" xfId="3093"/>
    <cellStyle name="Normal 3 2 2 5 10 2" xfId="31463"/>
    <cellStyle name="Normal 3 2 2 5 10 3" xfId="31462"/>
    <cellStyle name="Normal 3 2 2 5 11" xfId="31464"/>
    <cellStyle name="Normal 3 2 2 5 12" xfId="31465"/>
    <cellStyle name="Normal 3 2 2 5 13" xfId="31461"/>
    <cellStyle name="Normal 3 2 2 5 2" xfId="3094"/>
    <cellStyle name="Normal 3 2 2 5 2 10" xfId="31467"/>
    <cellStyle name="Normal 3 2 2 5 2 11" xfId="31466"/>
    <cellStyle name="Normal 3 2 2 5 2 2" xfId="3095"/>
    <cellStyle name="Normal 3 2 2 5 2 2 2" xfId="3096"/>
    <cellStyle name="Normal 3 2 2 5 2 2 2 2" xfId="3097"/>
    <cellStyle name="Normal 3 2 2 5 2 2 2 2 2" xfId="31470"/>
    <cellStyle name="Normal 3 2 2 5 2 2 2 3" xfId="3098"/>
    <cellStyle name="Normal 3 2 2 5 2 2 2 4" xfId="31469"/>
    <cellStyle name="Normal 3 2 2 5 2 2 3" xfId="3099"/>
    <cellStyle name="Normal 3 2 2 5 2 2 3 2" xfId="3100"/>
    <cellStyle name="Normal 3 2 2 5 2 2 3 2 2" xfId="31472"/>
    <cellStyle name="Normal 3 2 2 5 2 2 3 3" xfId="31471"/>
    <cellStyle name="Normal 3 2 2 5 2 2 4" xfId="3101"/>
    <cellStyle name="Normal 3 2 2 5 2 2 4 2" xfId="3102"/>
    <cellStyle name="Normal 3 2 2 5 2 2 4 2 2" xfId="31474"/>
    <cellStyle name="Normal 3 2 2 5 2 2 4 3" xfId="31473"/>
    <cellStyle name="Normal 3 2 2 5 2 2 5" xfId="3103"/>
    <cellStyle name="Normal 3 2 2 5 2 2 5 2" xfId="31475"/>
    <cellStyle name="Normal 3 2 2 5 2 2 6" xfId="31476"/>
    <cellStyle name="Normal 3 2 2 5 2 2 7" xfId="31468"/>
    <cellStyle name="Normal 3 2 2 5 2 3" xfId="3104"/>
    <cellStyle name="Normal 3 2 2 5 2 3 2" xfId="3105"/>
    <cellStyle name="Normal 3 2 2 5 2 3 2 2" xfId="3106"/>
    <cellStyle name="Normal 3 2 2 5 2 3 2 2 2" xfId="31479"/>
    <cellStyle name="Normal 3 2 2 5 2 3 2 3" xfId="31478"/>
    <cellStyle name="Normal 3 2 2 5 2 3 3" xfId="3107"/>
    <cellStyle name="Normal 3 2 2 5 2 3 3 2" xfId="3108"/>
    <cellStyle name="Normal 3 2 2 5 2 3 3 2 2" xfId="31481"/>
    <cellStyle name="Normal 3 2 2 5 2 3 3 3" xfId="31480"/>
    <cellStyle name="Normal 3 2 2 5 2 3 4" xfId="3109"/>
    <cellStyle name="Normal 3 2 2 5 2 3 4 2" xfId="31483"/>
    <cellStyle name="Normal 3 2 2 5 2 3 4 3" xfId="31482"/>
    <cellStyle name="Normal 3 2 2 5 2 3 5" xfId="31484"/>
    <cellStyle name="Normal 3 2 2 5 2 3 6" xfId="31485"/>
    <cellStyle name="Normal 3 2 2 5 2 3 7" xfId="31477"/>
    <cellStyle name="Normal 3 2 2 5 2 4" xfId="3110"/>
    <cellStyle name="Normal 3 2 2 5 2 4 2" xfId="3111"/>
    <cellStyle name="Normal 3 2 2 5 2 4 2 2" xfId="31488"/>
    <cellStyle name="Normal 3 2 2 5 2 4 2 3" xfId="31487"/>
    <cellStyle name="Normal 3 2 2 5 2 4 3" xfId="3112"/>
    <cellStyle name="Normal 3 2 2 5 2 4 3 2" xfId="31490"/>
    <cellStyle name="Normal 3 2 2 5 2 4 3 3" xfId="31489"/>
    <cellStyle name="Normal 3 2 2 5 2 4 4" xfId="31491"/>
    <cellStyle name="Normal 3 2 2 5 2 4 4 2" xfId="31492"/>
    <cellStyle name="Normal 3 2 2 5 2 4 5" xfId="31493"/>
    <cellStyle name="Normal 3 2 2 5 2 4 6" xfId="31494"/>
    <cellStyle name="Normal 3 2 2 5 2 4 7" xfId="31486"/>
    <cellStyle name="Normal 3 2 2 5 2 5" xfId="3113"/>
    <cellStyle name="Normal 3 2 2 5 2 5 2" xfId="3114"/>
    <cellStyle name="Normal 3 2 2 5 2 5 2 2" xfId="31497"/>
    <cellStyle name="Normal 3 2 2 5 2 5 2 3" xfId="31496"/>
    <cellStyle name="Normal 3 2 2 5 2 5 3" xfId="31498"/>
    <cellStyle name="Normal 3 2 2 5 2 5 3 2" xfId="31499"/>
    <cellStyle name="Normal 3 2 2 5 2 5 4" xfId="31500"/>
    <cellStyle name="Normal 3 2 2 5 2 5 5" xfId="31501"/>
    <cellStyle name="Normal 3 2 2 5 2 5 6" xfId="31495"/>
    <cellStyle name="Normal 3 2 2 5 2 6" xfId="3115"/>
    <cellStyle name="Normal 3 2 2 5 2 6 2" xfId="3116"/>
    <cellStyle name="Normal 3 2 2 5 2 6 2 2" xfId="31503"/>
    <cellStyle name="Normal 3 2 2 5 2 6 3" xfId="31502"/>
    <cellStyle name="Normal 3 2 2 5 2 7" xfId="3117"/>
    <cellStyle name="Normal 3 2 2 5 2 7 2" xfId="31505"/>
    <cellStyle name="Normal 3 2 2 5 2 7 3" xfId="31504"/>
    <cellStyle name="Normal 3 2 2 5 2 8" xfId="31506"/>
    <cellStyle name="Normal 3 2 2 5 2 8 2" xfId="31507"/>
    <cellStyle name="Normal 3 2 2 5 2 9" xfId="31508"/>
    <cellStyle name="Normal 3 2 2 5 3" xfId="3118"/>
    <cellStyle name="Normal 3 2 2 5 3 10" xfId="31510"/>
    <cellStyle name="Normal 3 2 2 5 3 11" xfId="31509"/>
    <cellStyle name="Normal 3 2 2 5 3 2" xfId="3119"/>
    <cellStyle name="Normal 3 2 2 5 3 2 2" xfId="3120"/>
    <cellStyle name="Normal 3 2 2 5 3 2 2 2" xfId="3121"/>
    <cellStyle name="Normal 3 2 2 5 3 2 2 2 2" xfId="31513"/>
    <cellStyle name="Normal 3 2 2 5 3 2 2 3" xfId="3122"/>
    <cellStyle name="Normal 3 2 2 5 3 2 2 4" xfId="31512"/>
    <cellStyle name="Normal 3 2 2 5 3 2 3" xfId="3123"/>
    <cellStyle name="Normal 3 2 2 5 3 2 3 2" xfId="3124"/>
    <cellStyle name="Normal 3 2 2 5 3 2 3 2 2" xfId="31515"/>
    <cellStyle name="Normal 3 2 2 5 3 2 3 3" xfId="31514"/>
    <cellStyle name="Normal 3 2 2 5 3 2 4" xfId="3125"/>
    <cellStyle name="Normal 3 2 2 5 3 2 4 2" xfId="3126"/>
    <cellStyle name="Normal 3 2 2 5 3 2 4 2 2" xfId="31517"/>
    <cellStyle name="Normal 3 2 2 5 3 2 4 3" xfId="31516"/>
    <cellStyle name="Normal 3 2 2 5 3 2 5" xfId="3127"/>
    <cellStyle name="Normal 3 2 2 5 3 2 5 2" xfId="31518"/>
    <cellStyle name="Normal 3 2 2 5 3 2 6" xfId="31519"/>
    <cellStyle name="Normal 3 2 2 5 3 2 7" xfId="31511"/>
    <cellStyle name="Normal 3 2 2 5 3 3" xfId="3128"/>
    <cellStyle name="Normal 3 2 2 5 3 3 2" xfId="3129"/>
    <cellStyle name="Normal 3 2 2 5 3 3 2 2" xfId="3130"/>
    <cellStyle name="Normal 3 2 2 5 3 3 2 2 2" xfId="31522"/>
    <cellStyle name="Normal 3 2 2 5 3 3 2 3" xfId="31521"/>
    <cellStyle name="Normal 3 2 2 5 3 3 3" xfId="3131"/>
    <cellStyle name="Normal 3 2 2 5 3 3 3 2" xfId="3132"/>
    <cellStyle name="Normal 3 2 2 5 3 3 3 2 2" xfId="31524"/>
    <cellStyle name="Normal 3 2 2 5 3 3 3 3" xfId="31523"/>
    <cellStyle name="Normal 3 2 2 5 3 3 4" xfId="3133"/>
    <cellStyle name="Normal 3 2 2 5 3 3 4 2" xfId="31526"/>
    <cellStyle name="Normal 3 2 2 5 3 3 4 3" xfId="31525"/>
    <cellStyle name="Normal 3 2 2 5 3 3 5" xfId="31527"/>
    <cellStyle name="Normal 3 2 2 5 3 3 6" xfId="31528"/>
    <cellStyle name="Normal 3 2 2 5 3 3 7" xfId="31520"/>
    <cellStyle name="Normal 3 2 2 5 3 4" xfId="3134"/>
    <cellStyle name="Normal 3 2 2 5 3 4 2" xfId="3135"/>
    <cellStyle name="Normal 3 2 2 5 3 4 2 2" xfId="31531"/>
    <cellStyle name="Normal 3 2 2 5 3 4 2 3" xfId="31530"/>
    <cellStyle name="Normal 3 2 2 5 3 4 3" xfId="3136"/>
    <cellStyle name="Normal 3 2 2 5 3 4 3 2" xfId="31533"/>
    <cellStyle name="Normal 3 2 2 5 3 4 3 3" xfId="31532"/>
    <cellStyle name="Normal 3 2 2 5 3 4 4" xfId="31534"/>
    <cellStyle name="Normal 3 2 2 5 3 4 4 2" xfId="31535"/>
    <cellStyle name="Normal 3 2 2 5 3 4 5" xfId="31536"/>
    <cellStyle name="Normal 3 2 2 5 3 4 6" xfId="31537"/>
    <cellStyle name="Normal 3 2 2 5 3 4 7" xfId="31529"/>
    <cellStyle name="Normal 3 2 2 5 3 5" xfId="3137"/>
    <cellStyle name="Normal 3 2 2 5 3 5 2" xfId="3138"/>
    <cellStyle name="Normal 3 2 2 5 3 5 2 2" xfId="31540"/>
    <cellStyle name="Normal 3 2 2 5 3 5 2 3" xfId="31539"/>
    <cellStyle name="Normal 3 2 2 5 3 5 3" xfId="31541"/>
    <cellStyle name="Normal 3 2 2 5 3 5 3 2" xfId="31542"/>
    <cellStyle name="Normal 3 2 2 5 3 5 4" xfId="31543"/>
    <cellStyle name="Normal 3 2 2 5 3 5 5" xfId="31544"/>
    <cellStyle name="Normal 3 2 2 5 3 5 6" xfId="31538"/>
    <cellStyle name="Normal 3 2 2 5 3 6" xfId="3139"/>
    <cellStyle name="Normal 3 2 2 5 3 6 2" xfId="3140"/>
    <cellStyle name="Normal 3 2 2 5 3 6 2 2" xfId="31546"/>
    <cellStyle name="Normal 3 2 2 5 3 6 3" xfId="31545"/>
    <cellStyle name="Normal 3 2 2 5 3 7" xfId="3141"/>
    <cellStyle name="Normal 3 2 2 5 3 7 2" xfId="31548"/>
    <cellStyle name="Normal 3 2 2 5 3 7 3" xfId="31547"/>
    <cellStyle name="Normal 3 2 2 5 3 8" xfId="31549"/>
    <cellStyle name="Normal 3 2 2 5 3 8 2" xfId="31550"/>
    <cellStyle name="Normal 3 2 2 5 3 9" xfId="31551"/>
    <cellStyle name="Normal 3 2 2 5 4" xfId="3142"/>
    <cellStyle name="Normal 3 2 2 5 4 2" xfId="3143"/>
    <cellStyle name="Normal 3 2 2 5 4 2 2" xfId="3144"/>
    <cellStyle name="Normal 3 2 2 5 4 2 2 2" xfId="3145"/>
    <cellStyle name="Normal 3 2 2 5 4 2 2 3" xfId="31554"/>
    <cellStyle name="Normal 3 2 2 5 4 2 3" xfId="3146"/>
    <cellStyle name="Normal 3 2 2 5 4 2 3 2" xfId="3147"/>
    <cellStyle name="Normal 3 2 2 5 4 2 4" xfId="3148"/>
    <cellStyle name="Normal 3 2 2 5 4 2 5" xfId="31553"/>
    <cellStyle name="Normal 3 2 2 5 4 3" xfId="3149"/>
    <cellStyle name="Normal 3 2 2 5 4 3 2" xfId="3150"/>
    <cellStyle name="Normal 3 2 2 5 4 3 2 2" xfId="31556"/>
    <cellStyle name="Normal 3 2 2 5 4 3 3" xfId="3151"/>
    <cellStyle name="Normal 3 2 2 5 4 3 4" xfId="31555"/>
    <cellStyle name="Normal 3 2 2 5 4 4" xfId="3152"/>
    <cellStyle name="Normal 3 2 2 5 4 4 2" xfId="3153"/>
    <cellStyle name="Normal 3 2 2 5 4 4 2 2" xfId="31558"/>
    <cellStyle name="Normal 3 2 2 5 4 4 3" xfId="31557"/>
    <cellStyle name="Normal 3 2 2 5 4 5" xfId="3154"/>
    <cellStyle name="Normal 3 2 2 5 4 5 2" xfId="3155"/>
    <cellStyle name="Normal 3 2 2 5 4 5 3" xfId="31559"/>
    <cellStyle name="Normal 3 2 2 5 4 6" xfId="3156"/>
    <cellStyle name="Normal 3 2 2 5 4 6 2" xfId="31560"/>
    <cellStyle name="Normal 3 2 2 5 4 7" xfId="31552"/>
    <cellStyle name="Normal 3 2 2 5 5" xfId="3157"/>
    <cellStyle name="Normal 3 2 2 5 5 2" xfId="3158"/>
    <cellStyle name="Normal 3 2 2 5 5 2 2" xfId="3159"/>
    <cellStyle name="Normal 3 2 2 5 5 2 2 2" xfId="31563"/>
    <cellStyle name="Normal 3 2 2 5 5 2 3" xfId="31562"/>
    <cellStyle name="Normal 3 2 2 5 5 3" xfId="3160"/>
    <cellStyle name="Normal 3 2 2 5 5 3 2" xfId="3161"/>
    <cellStyle name="Normal 3 2 2 5 5 3 2 2" xfId="31565"/>
    <cellStyle name="Normal 3 2 2 5 5 3 3" xfId="31564"/>
    <cellStyle name="Normal 3 2 2 5 5 4" xfId="3162"/>
    <cellStyle name="Normal 3 2 2 5 5 4 2" xfId="31567"/>
    <cellStyle name="Normal 3 2 2 5 5 4 3" xfId="31566"/>
    <cellStyle name="Normal 3 2 2 5 5 5" xfId="31568"/>
    <cellStyle name="Normal 3 2 2 5 5 6" xfId="31569"/>
    <cellStyle name="Normal 3 2 2 5 5 7" xfId="31561"/>
    <cellStyle name="Normal 3 2 2 5 6" xfId="3163"/>
    <cellStyle name="Normal 3 2 2 5 6 2" xfId="3164"/>
    <cellStyle name="Normal 3 2 2 5 6 2 2" xfId="3165"/>
    <cellStyle name="Normal 3 2 2 5 6 2 2 2" xfId="31572"/>
    <cellStyle name="Normal 3 2 2 5 6 2 3" xfId="31571"/>
    <cellStyle name="Normal 3 2 2 5 6 3" xfId="3166"/>
    <cellStyle name="Normal 3 2 2 5 6 3 2" xfId="3167"/>
    <cellStyle name="Normal 3 2 2 5 6 3 2 2" xfId="31574"/>
    <cellStyle name="Normal 3 2 2 5 6 3 3" xfId="31573"/>
    <cellStyle name="Normal 3 2 2 5 6 4" xfId="3168"/>
    <cellStyle name="Normal 3 2 2 5 6 4 2" xfId="31576"/>
    <cellStyle name="Normal 3 2 2 5 6 4 3" xfId="31575"/>
    <cellStyle name="Normal 3 2 2 5 6 5" xfId="31577"/>
    <cellStyle name="Normal 3 2 2 5 6 6" xfId="31578"/>
    <cellStyle name="Normal 3 2 2 5 6 7" xfId="31570"/>
    <cellStyle name="Normal 3 2 2 5 7" xfId="3169"/>
    <cellStyle name="Normal 3 2 2 5 7 2" xfId="3170"/>
    <cellStyle name="Normal 3 2 2 5 7 2 2" xfId="31581"/>
    <cellStyle name="Normal 3 2 2 5 7 2 3" xfId="31580"/>
    <cellStyle name="Normal 3 2 2 5 7 3" xfId="3171"/>
    <cellStyle name="Normal 3 2 2 5 7 3 2" xfId="31583"/>
    <cellStyle name="Normal 3 2 2 5 7 3 3" xfId="31582"/>
    <cellStyle name="Normal 3 2 2 5 7 4" xfId="31584"/>
    <cellStyle name="Normal 3 2 2 5 7 5" xfId="31585"/>
    <cellStyle name="Normal 3 2 2 5 7 6" xfId="31579"/>
    <cellStyle name="Normal 3 2 2 5 8" xfId="3172"/>
    <cellStyle name="Normal 3 2 2 5 8 2" xfId="3173"/>
    <cellStyle name="Normal 3 2 2 5 8 2 2" xfId="31587"/>
    <cellStyle name="Normal 3 2 2 5 8 3" xfId="31586"/>
    <cellStyle name="Normal 3 2 2 5 9" xfId="3174"/>
    <cellStyle name="Normal 3 2 2 5 9 2" xfId="3175"/>
    <cellStyle name="Normal 3 2 2 5 9 2 2" xfId="31589"/>
    <cellStyle name="Normal 3 2 2 5 9 3" xfId="31588"/>
    <cellStyle name="Normal 3 2 2 6" xfId="3176"/>
    <cellStyle name="Normal 3 2 2 6 10" xfId="31591"/>
    <cellStyle name="Normal 3 2 2 6 11" xfId="31592"/>
    <cellStyle name="Normal 3 2 2 6 12" xfId="31590"/>
    <cellStyle name="Normal 3 2 2 6 2" xfId="3177"/>
    <cellStyle name="Normal 3 2 2 6 2 2" xfId="3178"/>
    <cellStyle name="Normal 3 2 2 6 2 2 2" xfId="3179"/>
    <cellStyle name="Normal 3 2 2 6 2 2 2 2" xfId="3180"/>
    <cellStyle name="Normal 3 2 2 6 2 2 2 3" xfId="3181"/>
    <cellStyle name="Normal 3 2 2 6 2 2 2 4" xfId="31595"/>
    <cellStyle name="Normal 3 2 2 6 2 2 3" xfId="3182"/>
    <cellStyle name="Normal 3 2 2 6 2 2 3 2" xfId="3183"/>
    <cellStyle name="Normal 3 2 2 6 2 2 4" xfId="3184"/>
    <cellStyle name="Normal 3 2 2 6 2 2 4 2" xfId="3185"/>
    <cellStyle name="Normal 3 2 2 6 2 2 5" xfId="3186"/>
    <cellStyle name="Normal 3 2 2 6 2 2 6" xfId="31594"/>
    <cellStyle name="Normal 3 2 2 6 2 3" xfId="3187"/>
    <cellStyle name="Normal 3 2 2 6 2 3 2" xfId="3188"/>
    <cellStyle name="Normal 3 2 2 6 2 3 2 2" xfId="3189"/>
    <cellStyle name="Normal 3 2 2 6 2 3 2 3" xfId="31597"/>
    <cellStyle name="Normal 3 2 2 6 2 3 3" xfId="3190"/>
    <cellStyle name="Normal 3 2 2 6 2 3 3 2" xfId="3191"/>
    <cellStyle name="Normal 3 2 2 6 2 3 4" xfId="3192"/>
    <cellStyle name="Normal 3 2 2 6 2 3 5" xfId="31596"/>
    <cellStyle name="Normal 3 2 2 6 2 4" xfId="3193"/>
    <cellStyle name="Normal 3 2 2 6 2 4 2" xfId="3194"/>
    <cellStyle name="Normal 3 2 2 6 2 4 2 2" xfId="31599"/>
    <cellStyle name="Normal 3 2 2 6 2 4 3" xfId="3195"/>
    <cellStyle name="Normal 3 2 2 6 2 4 4" xfId="31598"/>
    <cellStyle name="Normal 3 2 2 6 2 5" xfId="3196"/>
    <cellStyle name="Normal 3 2 2 6 2 5 2" xfId="3197"/>
    <cellStyle name="Normal 3 2 2 6 2 5 3" xfId="31600"/>
    <cellStyle name="Normal 3 2 2 6 2 6" xfId="3198"/>
    <cellStyle name="Normal 3 2 2 6 2 6 2" xfId="3199"/>
    <cellStyle name="Normal 3 2 2 6 2 6 3" xfId="31601"/>
    <cellStyle name="Normal 3 2 2 6 2 7" xfId="3200"/>
    <cellStyle name="Normal 3 2 2 6 2 8" xfId="31593"/>
    <cellStyle name="Normal 3 2 2 6 3" xfId="3201"/>
    <cellStyle name="Normal 3 2 2 6 3 2" xfId="3202"/>
    <cellStyle name="Normal 3 2 2 6 3 2 2" xfId="3203"/>
    <cellStyle name="Normal 3 2 2 6 3 2 2 2" xfId="31604"/>
    <cellStyle name="Normal 3 2 2 6 3 2 3" xfId="3204"/>
    <cellStyle name="Normal 3 2 2 6 3 2 4" xfId="31603"/>
    <cellStyle name="Normal 3 2 2 6 3 3" xfId="3205"/>
    <cellStyle name="Normal 3 2 2 6 3 3 2" xfId="3206"/>
    <cellStyle name="Normal 3 2 2 6 3 3 2 2" xfId="31606"/>
    <cellStyle name="Normal 3 2 2 6 3 3 3" xfId="31605"/>
    <cellStyle name="Normal 3 2 2 6 3 4" xfId="3207"/>
    <cellStyle name="Normal 3 2 2 6 3 4 2" xfId="3208"/>
    <cellStyle name="Normal 3 2 2 6 3 4 2 2" xfId="31608"/>
    <cellStyle name="Normal 3 2 2 6 3 4 3" xfId="31607"/>
    <cellStyle name="Normal 3 2 2 6 3 5" xfId="3209"/>
    <cellStyle name="Normal 3 2 2 6 3 5 2" xfId="31609"/>
    <cellStyle name="Normal 3 2 2 6 3 6" xfId="31610"/>
    <cellStyle name="Normal 3 2 2 6 3 7" xfId="31602"/>
    <cellStyle name="Normal 3 2 2 6 4" xfId="3210"/>
    <cellStyle name="Normal 3 2 2 6 4 2" xfId="3211"/>
    <cellStyle name="Normal 3 2 2 6 4 2 2" xfId="3212"/>
    <cellStyle name="Normal 3 2 2 6 4 2 2 2" xfId="31613"/>
    <cellStyle name="Normal 3 2 2 6 4 2 3" xfId="31612"/>
    <cellStyle name="Normal 3 2 2 6 4 3" xfId="3213"/>
    <cellStyle name="Normal 3 2 2 6 4 3 2" xfId="3214"/>
    <cellStyle name="Normal 3 2 2 6 4 3 2 2" xfId="31615"/>
    <cellStyle name="Normal 3 2 2 6 4 3 3" xfId="31614"/>
    <cellStyle name="Normal 3 2 2 6 4 4" xfId="3215"/>
    <cellStyle name="Normal 3 2 2 6 4 4 2" xfId="31617"/>
    <cellStyle name="Normal 3 2 2 6 4 4 3" xfId="31616"/>
    <cellStyle name="Normal 3 2 2 6 4 5" xfId="31618"/>
    <cellStyle name="Normal 3 2 2 6 4 6" xfId="31619"/>
    <cellStyle name="Normal 3 2 2 6 4 7" xfId="31611"/>
    <cellStyle name="Normal 3 2 2 6 5" xfId="3216"/>
    <cellStyle name="Normal 3 2 2 6 5 2" xfId="3217"/>
    <cellStyle name="Normal 3 2 2 6 5 2 2" xfId="31622"/>
    <cellStyle name="Normal 3 2 2 6 5 2 3" xfId="31621"/>
    <cellStyle name="Normal 3 2 2 6 5 3" xfId="3218"/>
    <cellStyle name="Normal 3 2 2 6 5 3 2" xfId="31624"/>
    <cellStyle name="Normal 3 2 2 6 5 3 3" xfId="31623"/>
    <cellStyle name="Normal 3 2 2 6 5 4" xfId="31625"/>
    <cellStyle name="Normal 3 2 2 6 5 4 2" xfId="31626"/>
    <cellStyle name="Normal 3 2 2 6 5 5" xfId="31627"/>
    <cellStyle name="Normal 3 2 2 6 5 6" xfId="31628"/>
    <cellStyle name="Normal 3 2 2 6 5 7" xfId="31620"/>
    <cellStyle name="Normal 3 2 2 6 6" xfId="3219"/>
    <cellStyle name="Normal 3 2 2 6 6 2" xfId="3220"/>
    <cellStyle name="Normal 3 2 2 6 6 2 2" xfId="31631"/>
    <cellStyle name="Normal 3 2 2 6 6 2 3" xfId="31630"/>
    <cellStyle name="Normal 3 2 2 6 6 3" xfId="31632"/>
    <cellStyle name="Normal 3 2 2 6 6 3 2" xfId="31633"/>
    <cellStyle name="Normal 3 2 2 6 6 4" xfId="31634"/>
    <cellStyle name="Normal 3 2 2 6 6 5" xfId="31635"/>
    <cellStyle name="Normal 3 2 2 6 6 6" xfId="31629"/>
    <cellStyle name="Normal 3 2 2 6 7" xfId="3221"/>
    <cellStyle name="Normal 3 2 2 6 7 2" xfId="3222"/>
    <cellStyle name="Normal 3 2 2 6 7 2 2" xfId="31637"/>
    <cellStyle name="Normal 3 2 2 6 7 3" xfId="31636"/>
    <cellStyle name="Normal 3 2 2 6 8" xfId="3223"/>
    <cellStyle name="Normal 3 2 2 6 8 2" xfId="31639"/>
    <cellStyle name="Normal 3 2 2 6 8 3" xfId="31638"/>
    <cellStyle name="Normal 3 2 2 6 9" xfId="31640"/>
    <cellStyle name="Normal 3 2 2 6 9 2" xfId="31641"/>
    <cellStyle name="Normal 3 2 2 7" xfId="3224"/>
    <cellStyle name="Normal 3 2 2 7 10" xfId="31643"/>
    <cellStyle name="Normal 3 2 2 7 11" xfId="31642"/>
    <cellStyle name="Normal 3 2 2 7 2" xfId="3225"/>
    <cellStyle name="Normal 3 2 2 7 2 2" xfId="3226"/>
    <cellStyle name="Normal 3 2 2 7 2 2 2" xfId="3227"/>
    <cellStyle name="Normal 3 2 2 7 2 2 2 2" xfId="31646"/>
    <cellStyle name="Normal 3 2 2 7 2 2 3" xfId="3228"/>
    <cellStyle name="Normal 3 2 2 7 2 2 4" xfId="31645"/>
    <cellStyle name="Normal 3 2 2 7 2 3" xfId="3229"/>
    <cellStyle name="Normal 3 2 2 7 2 3 2" xfId="3230"/>
    <cellStyle name="Normal 3 2 2 7 2 3 2 2" xfId="31648"/>
    <cellStyle name="Normal 3 2 2 7 2 3 3" xfId="31647"/>
    <cellStyle name="Normal 3 2 2 7 2 4" xfId="3231"/>
    <cellStyle name="Normal 3 2 2 7 2 4 2" xfId="3232"/>
    <cellStyle name="Normal 3 2 2 7 2 4 2 2" xfId="31650"/>
    <cellStyle name="Normal 3 2 2 7 2 4 3" xfId="31649"/>
    <cellStyle name="Normal 3 2 2 7 2 5" xfId="3233"/>
    <cellStyle name="Normal 3 2 2 7 2 5 2" xfId="31651"/>
    <cellStyle name="Normal 3 2 2 7 2 6" xfId="31652"/>
    <cellStyle name="Normal 3 2 2 7 2 7" xfId="31644"/>
    <cellStyle name="Normal 3 2 2 7 3" xfId="3234"/>
    <cellStyle name="Normal 3 2 2 7 3 2" xfId="3235"/>
    <cellStyle name="Normal 3 2 2 7 3 2 2" xfId="3236"/>
    <cellStyle name="Normal 3 2 2 7 3 2 2 2" xfId="31655"/>
    <cellStyle name="Normal 3 2 2 7 3 2 3" xfId="31654"/>
    <cellStyle name="Normal 3 2 2 7 3 3" xfId="3237"/>
    <cellStyle name="Normal 3 2 2 7 3 3 2" xfId="3238"/>
    <cellStyle name="Normal 3 2 2 7 3 3 2 2" xfId="31657"/>
    <cellStyle name="Normal 3 2 2 7 3 3 3" xfId="31656"/>
    <cellStyle name="Normal 3 2 2 7 3 4" xfId="3239"/>
    <cellStyle name="Normal 3 2 2 7 3 4 2" xfId="31659"/>
    <cellStyle name="Normal 3 2 2 7 3 4 3" xfId="31658"/>
    <cellStyle name="Normal 3 2 2 7 3 5" xfId="31660"/>
    <cellStyle name="Normal 3 2 2 7 3 6" xfId="31661"/>
    <cellStyle name="Normal 3 2 2 7 3 7" xfId="31653"/>
    <cellStyle name="Normal 3 2 2 7 4" xfId="3240"/>
    <cellStyle name="Normal 3 2 2 7 4 2" xfId="3241"/>
    <cellStyle name="Normal 3 2 2 7 4 2 2" xfId="31664"/>
    <cellStyle name="Normal 3 2 2 7 4 2 3" xfId="31663"/>
    <cellStyle name="Normal 3 2 2 7 4 3" xfId="3242"/>
    <cellStyle name="Normal 3 2 2 7 4 3 2" xfId="31666"/>
    <cellStyle name="Normal 3 2 2 7 4 3 3" xfId="31665"/>
    <cellStyle name="Normal 3 2 2 7 4 4" xfId="31667"/>
    <cellStyle name="Normal 3 2 2 7 4 4 2" xfId="31668"/>
    <cellStyle name="Normal 3 2 2 7 4 5" xfId="31669"/>
    <cellStyle name="Normal 3 2 2 7 4 6" xfId="31670"/>
    <cellStyle name="Normal 3 2 2 7 4 7" xfId="31662"/>
    <cellStyle name="Normal 3 2 2 7 5" xfId="3243"/>
    <cellStyle name="Normal 3 2 2 7 5 2" xfId="3244"/>
    <cellStyle name="Normal 3 2 2 7 5 2 2" xfId="31673"/>
    <cellStyle name="Normal 3 2 2 7 5 2 3" xfId="31672"/>
    <cellStyle name="Normal 3 2 2 7 5 3" xfId="31674"/>
    <cellStyle name="Normal 3 2 2 7 5 3 2" xfId="31675"/>
    <cellStyle name="Normal 3 2 2 7 5 4" xfId="31676"/>
    <cellStyle name="Normal 3 2 2 7 5 5" xfId="31677"/>
    <cellStyle name="Normal 3 2 2 7 5 6" xfId="31671"/>
    <cellStyle name="Normal 3 2 2 7 6" xfId="3245"/>
    <cellStyle name="Normal 3 2 2 7 6 2" xfId="3246"/>
    <cellStyle name="Normal 3 2 2 7 6 2 2" xfId="31679"/>
    <cellStyle name="Normal 3 2 2 7 6 3" xfId="31678"/>
    <cellStyle name="Normal 3 2 2 7 7" xfId="3247"/>
    <cellStyle name="Normal 3 2 2 7 7 2" xfId="31681"/>
    <cellStyle name="Normal 3 2 2 7 7 3" xfId="31680"/>
    <cellStyle name="Normal 3 2 2 7 8" xfId="31682"/>
    <cellStyle name="Normal 3 2 2 7 8 2" xfId="31683"/>
    <cellStyle name="Normal 3 2 2 7 9" xfId="31684"/>
    <cellStyle name="Normal 3 2 2 8" xfId="3248"/>
    <cellStyle name="Normal 3 2 2 8 10" xfId="31686"/>
    <cellStyle name="Normal 3 2 2 8 11" xfId="31685"/>
    <cellStyle name="Normal 3 2 2 8 2" xfId="3249"/>
    <cellStyle name="Normal 3 2 2 8 2 2" xfId="3250"/>
    <cellStyle name="Normal 3 2 2 8 2 2 2" xfId="3251"/>
    <cellStyle name="Normal 3 2 2 8 2 2 2 2" xfId="31689"/>
    <cellStyle name="Normal 3 2 2 8 2 2 3" xfId="3252"/>
    <cellStyle name="Normal 3 2 2 8 2 2 4" xfId="31688"/>
    <cellStyle name="Normal 3 2 2 8 2 3" xfId="3253"/>
    <cellStyle name="Normal 3 2 2 8 2 3 2" xfId="3254"/>
    <cellStyle name="Normal 3 2 2 8 2 3 2 2" xfId="31691"/>
    <cellStyle name="Normal 3 2 2 8 2 3 3" xfId="31690"/>
    <cellStyle name="Normal 3 2 2 8 2 4" xfId="3255"/>
    <cellStyle name="Normal 3 2 2 8 2 4 2" xfId="3256"/>
    <cellStyle name="Normal 3 2 2 8 2 4 2 2" xfId="31693"/>
    <cellStyle name="Normal 3 2 2 8 2 4 3" xfId="31692"/>
    <cellStyle name="Normal 3 2 2 8 2 5" xfId="3257"/>
    <cellStyle name="Normal 3 2 2 8 2 5 2" xfId="31694"/>
    <cellStyle name="Normal 3 2 2 8 2 6" xfId="31695"/>
    <cellStyle name="Normal 3 2 2 8 2 7" xfId="31687"/>
    <cellStyle name="Normal 3 2 2 8 3" xfId="3258"/>
    <cellStyle name="Normal 3 2 2 8 3 2" xfId="3259"/>
    <cellStyle name="Normal 3 2 2 8 3 2 2" xfId="3260"/>
    <cellStyle name="Normal 3 2 2 8 3 2 2 2" xfId="31698"/>
    <cellStyle name="Normal 3 2 2 8 3 2 3" xfId="31697"/>
    <cellStyle name="Normal 3 2 2 8 3 3" xfId="3261"/>
    <cellStyle name="Normal 3 2 2 8 3 3 2" xfId="3262"/>
    <cellStyle name="Normal 3 2 2 8 3 3 2 2" xfId="31700"/>
    <cellStyle name="Normal 3 2 2 8 3 3 3" xfId="31699"/>
    <cellStyle name="Normal 3 2 2 8 3 4" xfId="3263"/>
    <cellStyle name="Normal 3 2 2 8 3 4 2" xfId="31702"/>
    <cellStyle name="Normal 3 2 2 8 3 4 3" xfId="31701"/>
    <cellStyle name="Normal 3 2 2 8 3 5" xfId="31703"/>
    <cellStyle name="Normal 3 2 2 8 3 6" xfId="31704"/>
    <cellStyle name="Normal 3 2 2 8 3 7" xfId="31696"/>
    <cellStyle name="Normal 3 2 2 8 4" xfId="3264"/>
    <cellStyle name="Normal 3 2 2 8 4 2" xfId="3265"/>
    <cellStyle name="Normal 3 2 2 8 4 2 2" xfId="31707"/>
    <cellStyle name="Normal 3 2 2 8 4 2 3" xfId="31706"/>
    <cellStyle name="Normal 3 2 2 8 4 3" xfId="3266"/>
    <cellStyle name="Normal 3 2 2 8 4 3 2" xfId="31709"/>
    <cellStyle name="Normal 3 2 2 8 4 3 3" xfId="31708"/>
    <cellStyle name="Normal 3 2 2 8 4 4" xfId="31710"/>
    <cellStyle name="Normal 3 2 2 8 4 4 2" xfId="31711"/>
    <cellStyle name="Normal 3 2 2 8 4 5" xfId="31712"/>
    <cellStyle name="Normal 3 2 2 8 4 6" xfId="31713"/>
    <cellStyle name="Normal 3 2 2 8 4 7" xfId="31705"/>
    <cellStyle name="Normal 3 2 2 8 5" xfId="3267"/>
    <cellStyle name="Normal 3 2 2 8 5 2" xfId="3268"/>
    <cellStyle name="Normal 3 2 2 8 5 2 2" xfId="31716"/>
    <cellStyle name="Normal 3 2 2 8 5 2 3" xfId="31715"/>
    <cellStyle name="Normal 3 2 2 8 5 3" xfId="31717"/>
    <cellStyle name="Normal 3 2 2 8 5 3 2" xfId="31718"/>
    <cellStyle name="Normal 3 2 2 8 5 4" xfId="31719"/>
    <cellStyle name="Normal 3 2 2 8 5 5" xfId="31720"/>
    <cellStyle name="Normal 3 2 2 8 5 6" xfId="31714"/>
    <cellStyle name="Normal 3 2 2 8 6" xfId="3269"/>
    <cellStyle name="Normal 3 2 2 8 6 2" xfId="3270"/>
    <cellStyle name="Normal 3 2 2 8 6 2 2" xfId="31722"/>
    <cellStyle name="Normal 3 2 2 8 6 3" xfId="31721"/>
    <cellStyle name="Normal 3 2 2 8 7" xfId="3271"/>
    <cellStyle name="Normal 3 2 2 8 7 2" xfId="31724"/>
    <cellStyle name="Normal 3 2 2 8 7 3" xfId="31723"/>
    <cellStyle name="Normal 3 2 2 8 8" xfId="31725"/>
    <cellStyle name="Normal 3 2 2 8 8 2" xfId="31726"/>
    <cellStyle name="Normal 3 2 2 8 9" xfId="31727"/>
    <cellStyle name="Normal 3 2 2 9" xfId="3272"/>
    <cellStyle name="Normal 3 2 2 9 2" xfId="3273"/>
    <cellStyle name="Normal 3 2 2 9 2 2" xfId="3274"/>
    <cellStyle name="Normal 3 2 2 9 2 2 2" xfId="3275"/>
    <cellStyle name="Normal 3 2 2 9 2 2 3" xfId="31730"/>
    <cellStyle name="Normal 3 2 2 9 2 3" xfId="3276"/>
    <cellStyle name="Normal 3 2 2 9 2 3 2" xfId="3277"/>
    <cellStyle name="Normal 3 2 2 9 2 4" xfId="3278"/>
    <cellStyle name="Normal 3 2 2 9 2 5" xfId="31729"/>
    <cellStyle name="Normal 3 2 2 9 3" xfId="3279"/>
    <cellStyle name="Normal 3 2 2 9 3 2" xfId="3280"/>
    <cellStyle name="Normal 3 2 2 9 3 2 2" xfId="31732"/>
    <cellStyle name="Normal 3 2 2 9 3 3" xfId="3281"/>
    <cellStyle name="Normal 3 2 2 9 3 4" xfId="31731"/>
    <cellStyle name="Normal 3 2 2 9 4" xfId="3282"/>
    <cellStyle name="Normal 3 2 2 9 4 2" xfId="3283"/>
    <cellStyle name="Normal 3 2 2 9 4 2 2" xfId="31734"/>
    <cellStyle name="Normal 3 2 2 9 4 3" xfId="31733"/>
    <cellStyle name="Normal 3 2 2 9 5" xfId="3284"/>
    <cellStyle name="Normal 3 2 2 9 5 2" xfId="3285"/>
    <cellStyle name="Normal 3 2 2 9 5 3" xfId="31735"/>
    <cellStyle name="Normal 3 2 2 9 6" xfId="3286"/>
    <cellStyle name="Normal 3 2 2 9 6 2" xfId="31736"/>
    <cellStyle name="Normal 3 2 2 9 7" xfId="31728"/>
    <cellStyle name="Normal 3 2 20" xfId="17671"/>
    <cellStyle name="Normal 3 2 3" xfId="3287"/>
    <cellStyle name="Normal 3 2 3 10" xfId="3288"/>
    <cellStyle name="Normal 3 2 3 10 2" xfId="3289"/>
    <cellStyle name="Normal 3 2 3 10 2 2" xfId="3290"/>
    <cellStyle name="Normal 3 2 3 10 2 2 2" xfId="31740"/>
    <cellStyle name="Normal 3 2 3 10 2 3" xfId="31739"/>
    <cellStyle name="Normal 3 2 3 10 3" xfId="3291"/>
    <cellStyle name="Normal 3 2 3 10 3 2" xfId="3292"/>
    <cellStyle name="Normal 3 2 3 10 3 2 2" xfId="31742"/>
    <cellStyle name="Normal 3 2 3 10 3 3" xfId="31741"/>
    <cellStyle name="Normal 3 2 3 10 4" xfId="3293"/>
    <cellStyle name="Normal 3 2 3 10 4 2" xfId="31744"/>
    <cellStyle name="Normal 3 2 3 10 4 3" xfId="31743"/>
    <cellStyle name="Normal 3 2 3 10 5" xfId="31745"/>
    <cellStyle name="Normal 3 2 3 10 6" xfId="31746"/>
    <cellStyle name="Normal 3 2 3 10 7" xfId="31738"/>
    <cellStyle name="Normal 3 2 3 11" xfId="3294"/>
    <cellStyle name="Normal 3 2 3 11 2" xfId="3295"/>
    <cellStyle name="Normal 3 2 3 11 2 2" xfId="31749"/>
    <cellStyle name="Normal 3 2 3 11 2 3" xfId="31748"/>
    <cellStyle name="Normal 3 2 3 11 3" xfId="3296"/>
    <cellStyle name="Normal 3 2 3 11 3 2" xfId="31751"/>
    <cellStyle name="Normal 3 2 3 11 3 3" xfId="31750"/>
    <cellStyle name="Normal 3 2 3 11 4" xfId="31752"/>
    <cellStyle name="Normal 3 2 3 11 5" xfId="31753"/>
    <cellStyle name="Normal 3 2 3 11 6" xfId="31747"/>
    <cellStyle name="Normal 3 2 3 12" xfId="3297"/>
    <cellStyle name="Normal 3 2 3 12 2" xfId="3298"/>
    <cellStyle name="Normal 3 2 3 12 2 2" xfId="31755"/>
    <cellStyle name="Normal 3 2 3 12 3" xfId="31754"/>
    <cellStyle name="Normal 3 2 3 13" xfId="3299"/>
    <cellStyle name="Normal 3 2 3 13 2" xfId="3300"/>
    <cellStyle name="Normal 3 2 3 13 2 2" xfId="31757"/>
    <cellStyle name="Normal 3 2 3 13 3" xfId="31756"/>
    <cellStyle name="Normal 3 2 3 14" xfId="3301"/>
    <cellStyle name="Normal 3 2 3 14 2" xfId="31759"/>
    <cellStyle name="Normal 3 2 3 14 3" xfId="31758"/>
    <cellStyle name="Normal 3 2 3 15" xfId="31760"/>
    <cellStyle name="Normal 3 2 3 16" xfId="31761"/>
    <cellStyle name="Normal 3 2 3 17" xfId="31737"/>
    <cellStyle name="Normal 3 2 3 2" xfId="3302"/>
    <cellStyle name="Normal 3 2 3 2 10" xfId="3303"/>
    <cellStyle name="Normal 3 2 3 2 10 2" xfId="3304"/>
    <cellStyle name="Normal 3 2 3 2 10 2 2" xfId="31764"/>
    <cellStyle name="Normal 3 2 3 2 10 3" xfId="31763"/>
    <cellStyle name="Normal 3 2 3 2 11" xfId="3305"/>
    <cellStyle name="Normal 3 2 3 2 11 2" xfId="3306"/>
    <cellStyle name="Normal 3 2 3 2 11 2 2" xfId="31766"/>
    <cellStyle name="Normal 3 2 3 2 11 3" xfId="31765"/>
    <cellStyle name="Normal 3 2 3 2 12" xfId="3307"/>
    <cellStyle name="Normal 3 2 3 2 12 2" xfId="31767"/>
    <cellStyle name="Normal 3 2 3 2 13" xfId="31768"/>
    <cellStyle name="Normal 3 2 3 2 14" xfId="31762"/>
    <cellStyle name="Normal 3 2 3 2 2" xfId="3308"/>
    <cellStyle name="Normal 3 2 3 2 2 10" xfId="3309"/>
    <cellStyle name="Normal 3 2 3 2 2 10 2" xfId="31770"/>
    <cellStyle name="Normal 3 2 3 2 2 11" xfId="31771"/>
    <cellStyle name="Normal 3 2 3 2 2 12" xfId="31769"/>
    <cellStyle name="Normal 3 2 3 2 2 2" xfId="3310"/>
    <cellStyle name="Normal 3 2 3 2 2 2 2" xfId="3311"/>
    <cellStyle name="Normal 3 2 3 2 2 2 2 2" xfId="3312"/>
    <cellStyle name="Normal 3 2 3 2 2 2 2 2 2" xfId="3313"/>
    <cellStyle name="Normal 3 2 3 2 2 2 2 2 3" xfId="3314"/>
    <cellStyle name="Normal 3 2 3 2 2 2 2 2 4" xfId="31774"/>
    <cellStyle name="Normal 3 2 3 2 2 2 2 3" xfId="3315"/>
    <cellStyle name="Normal 3 2 3 2 2 2 2 3 2" xfId="3316"/>
    <cellStyle name="Normal 3 2 3 2 2 2 2 4" xfId="3317"/>
    <cellStyle name="Normal 3 2 3 2 2 2 2 4 2" xfId="3318"/>
    <cellStyle name="Normal 3 2 3 2 2 2 2 5" xfId="3319"/>
    <cellStyle name="Normal 3 2 3 2 2 2 2 6" xfId="31773"/>
    <cellStyle name="Normal 3 2 3 2 2 2 3" xfId="3320"/>
    <cellStyle name="Normal 3 2 3 2 2 2 3 2" xfId="3321"/>
    <cellStyle name="Normal 3 2 3 2 2 2 3 2 2" xfId="3322"/>
    <cellStyle name="Normal 3 2 3 2 2 2 3 2 3" xfId="31776"/>
    <cellStyle name="Normal 3 2 3 2 2 2 3 3" xfId="3323"/>
    <cellStyle name="Normal 3 2 3 2 2 2 3 3 2" xfId="3324"/>
    <cellStyle name="Normal 3 2 3 2 2 2 3 4" xfId="3325"/>
    <cellStyle name="Normal 3 2 3 2 2 2 3 5" xfId="31775"/>
    <cellStyle name="Normal 3 2 3 2 2 2 4" xfId="3326"/>
    <cellStyle name="Normal 3 2 3 2 2 2 4 2" xfId="3327"/>
    <cellStyle name="Normal 3 2 3 2 2 2 4 2 2" xfId="31778"/>
    <cellStyle name="Normal 3 2 3 2 2 2 4 3" xfId="3328"/>
    <cellStyle name="Normal 3 2 3 2 2 2 4 4" xfId="31777"/>
    <cellStyle name="Normal 3 2 3 2 2 2 5" xfId="3329"/>
    <cellStyle name="Normal 3 2 3 2 2 2 5 2" xfId="3330"/>
    <cellStyle name="Normal 3 2 3 2 2 2 5 3" xfId="31779"/>
    <cellStyle name="Normal 3 2 3 2 2 2 6" xfId="3331"/>
    <cellStyle name="Normal 3 2 3 2 2 2 6 2" xfId="3332"/>
    <cellStyle name="Normal 3 2 3 2 2 2 6 3" xfId="31780"/>
    <cellStyle name="Normal 3 2 3 2 2 2 7" xfId="3333"/>
    <cellStyle name="Normal 3 2 3 2 2 2 8" xfId="31772"/>
    <cellStyle name="Normal 3 2 3 2 2 3" xfId="3334"/>
    <cellStyle name="Normal 3 2 3 2 2 3 2" xfId="3335"/>
    <cellStyle name="Normal 3 2 3 2 2 3 2 2" xfId="3336"/>
    <cellStyle name="Normal 3 2 3 2 2 3 2 2 2" xfId="3337"/>
    <cellStyle name="Normal 3 2 3 2 2 3 2 2 3" xfId="3338"/>
    <cellStyle name="Normal 3 2 3 2 2 3 2 2 4" xfId="31783"/>
    <cellStyle name="Normal 3 2 3 2 2 3 2 3" xfId="3339"/>
    <cellStyle name="Normal 3 2 3 2 2 3 2 3 2" xfId="3340"/>
    <cellStyle name="Normal 3 2 3 2 2 3 2 4" xfId="3341"/>
    <cellStyle name="Normal 3 2 3 2 2 3 2 4 2" xfId="3342"/>
    <cellStyle name="Normal 3 2 3 2 2 3 2 5" xfId="3343"/>
    <cellStyle name="Normal 3 2 3 2 2 3 2 6" xfId="31782"/>
    <cellStyle name="Normal 3 2 3 2 2 3 3" xfId="3344"/>
    <cellStyle name="Normal 3 2 3 2 2 3 3 2" xfId="3345"/>
    <cellStyle name="Normal 3 2 3 2 2 3 3 2 2" xfId="3346"/>
    <cellStyle name="Normal 3 2 3 2 2 3 3 2 3" xfId="31785"/>
    <cellStyle name="Normal 3 2 3 2 2 3 3 3" xfId="3347"/>
    <cellStyle name="Normal 3 2 3 2 2 3 3 3 2" xfId="3348"/>
    <cellStyle name="Normal 3 2 3 2 2 3 3 4" xfId="3349"/>
    <cellStyle name="Normal 3 2 3 2 2 3 3 5" xfId="31784"/>
    <cellStyle name="Normal 3 2 3 2 2 3 4" xfId="3350"/>
    <cellStyle name="Normal 3 2 3 2 2 3 4 2" xfId="3351"/>
    <cellStyle name="Normal 3 2 3 2 2 3 4 2 2" xfId="31787"/>
    <cellStyle name="Normal 3 2 3 2 2 3 4 3" xfId="3352"/>
    <cellStyle name="Normal 3 2 3 2 2 3 4 4" xfId="31786"/>
    <cellStyle name="Normal 3 2 3 2 2 3 5" xfId="3353"/>
    <cellStyle name="Normal 3 2 3 2 2 3 5 2" xfId="3354"/>
    <cellStyle name="Normal 3 2 3 2 2 3 5 3" xfId="31788"/>
    <cellStyle name="Normal 3 2 3 2 2 3 6" xfId="3355"/>
    <cellStyle name="Normal 3 2 3 2 2 3 6 2" xfId="3356"/>
    <cellStyle name="Normal 3 2 3 2 2 3 6 3" xfId="31789"/>
    <cellStyle name="Normal 3 2 3 2 2 3 7" xfId="3357"/>
    <cellStyle name="Normal 3 2 3 2 2 3 8" xfId="31781"/>
    <cellStyle name="Normal 3 2 3 2 2 4" xfId="3358"/>
    <cellStyle name="Normal 3 2 3 2 2 4 2" xfId="3359"/>
    <cellStyle name="Normal 3 2 3 2 2 4 2 2" xfId="3360"/>
    <cellStyle name="Normal 3 2 3 2 2 4 2 2 2" xfId="3361"/>
    <cellStyle name="Normal 3 2 3 2 2 4 2 2 3" xfId="31792"/>
    <cellStyle name="Normal 3 2 3 2 2 4 2 3" xfId="3362"/>
    <cellStyle name="Normal 3 2 3 2 2 4 2 3 2" xfId="3363"/>
    <cellStyle name="Normal 3 2 3 2 2 4 2 4" xfId="3364"/>
    <cellStyle name="Normal 3 2 3 2 2 4 2 5" xfId="31791"/>
    <cellStyle name="Normal 3 2 3 2 2 4 3" xfId="3365"/>
    <cellStyle name="Normal 3 2 3 2 2 4 3 2" xfId="3366"/>
    <cellStyle name="Normal 3 2 3 2 2 4 3 2 2" xfId="31794"/>
    <cellStyle name="Normal 3 2 3 2 2 4 3 3" xfId="3367"/>
    <cellStyle name="Normal 3 2 3 2 2 4 3 4" xfId="31793"/>
    <cellStyle name="Normal 3 2 3 2 2 4 4" xfId="3368"/>
    <cellStyle name="Normal 3 2 3 2 2 4 4 2" xfId="3369"/>
    <cellStyle name="Normal 3 2 3 2 2 4 4 2 2" xfId="31796"/>
    <cellStyle name="Normal 3 2 3 2 2 4 4 3" xfId="31795"/>
    <cellStyle name="Normal 3 2 3 2 2 4 5" xfId="3370"/>
    <cellStyle name="Normal 3 2 3 2 2 4 5 2" xfId="3371"/>
    <cellStyle name="Normal 3 2 3 2 2 4 5 3" xfId="31797"/>
    <cellStyle name="Normal 3 2 3 2 2 4 6" xfId="3372"/>
    <cellStyle name="Normal 3 2 3 2 2 4 6 2" xfId="31798"/>
    <cellStyle name="Normal 3 2 3 2 2 4 7" xfId="31790"/>
    <cellStyle name="Normal 3 2 3 2 2 5" xfId="3373"/>
    <cellStyle name="Normal 3 2 3 2 2 5 2" xfId="3374"/>
    <cellStyle name="Normal 3 2 3 2 2 5 2 2" xfId="3375"/>
    <cellStyle name="Normal 3 2 3 2 2 5 2 2 2" xfId="31801"/>
    <cellStyle name="Normal 3 2 3 2 2 5 2 3" xfId="31800"/>
    <cellStyle name="Normal 3 2 3 2 2 5 3" xfId="3376"/>
    <cellStyle name="Normal 3 2 3 2 2 5 3 2" xfId="3377"/>
    <cellStyle name="Normal 3 2 3 2 2 5 3 2 2" xfId="31803"/>
    <cellStyle name="Normal 3 2 3 2 2 5 3 3" xfId="31802"/>
    <cellStyle name="Normal 3 2 3 2 2 5 4" xfId="3378"/>
    <cellStyle name="Normal 3 2 3 2 2 5 4 2" xfId="31805"/>
    <cellStyle name="Normal 3 2 3 2 2 5 4 3" xfId="31804"/>
    <cellStyle name="Normal 3 2 3 2 2 5 5" xfId="31806"/>
    <cellStyle name="Normal 3 2 3 2 2 5 6" xfId="31807"/>
    <cellStyle name="Normal 3 2 3 2 2 5 7" xfId="31799"/>
    <cellStyle name="Normal 3 2 3 2 2 6" xfId="3379"/>
    <cellStyle name="Normal 3 2 3 2 2 6 2" xfId="3380"/>
    <cellStyle name="Normal 3 2 3 2 2 6 2 2" xfId="3381"/>
    <cellStyle name="Normal 3 2 3 2 2 6 2 2 2" xfId="31810"/>
    <cellStyle name="Normal 3 2 3 2 2 6 2 3" xfId="31809"/>
    <cellStyle name="Normal 3 2 3 2 2 6 3" xfId="3382"/>
    <cellStyle name="Normal 3 2 3 2 2 6 3 2" xfId="3383"/>
    <cellStyle name="Normal 3 2 3 2 2 6 3 2 2" xfId="31812"/>
    <cellStyle name="Normal 3 2 3 2 2 6 3 3" xfId="31811"/>
    <cellStyle name="Normal 3 2 3 2 2 6 4" xfId="3384"/>
    <cellStyle name="Normal 3 2 3 2 2 6 4 2" xfId="31813"/>
    <cellStyle name="Normal 3 2 3 2 2 6 5" xfId="31814"/>
    <cellStyle name="Normal 3 2 3 2 2 6 6" xfId="31808"/>
    <cellStyle name="Normal 3 2 3 2 2 7" xfId="3385"/>
    <cellStyle name="Normal 3 2 3 2 2 7 2" xfId="3386"/>
    <cellStyle name="Normal 3 2 3 2 2 7 2 2" xfId="31816"/>
    <cellStyle name="Normal 3 2 3 2 2 7 3" xfId="3387"/>
    <cellStyle name="Normal 3 2 3 2 2 7 4" xfId="31815"/>
    <cellStyle name="Normal 3 2 3 2 2 8" xfId="3388"/>
    <cellStyle name="Normal 3 2 3 2 2 8 2" xfId="3389"/>
    <cellStyle name="Normal 3 2 3 2 2 8 2 2" xfId="31818"/>
    <cellStyle name="Normal 3 2 3 2 2 8 3" xfId="31817"/>
    <cellStyle name="Normal 3 2 3 2 2 9" xfId="3390"/>
    <cellStyle name="Normal 3 2 3 2 2 9 2" xfId="3391"/>
    <cellStyle name="Normal 3 2 3 2 2 9 2 2" xfId="31820"/>
    <cellStyle name="Normal 3 2 3 2 2 9 3" xfId="31819"/>
    <cellStyle name="Normal 3 2 3 2 3" xfId="3392"/>
    <cellStyle name="Normal 3 2 3 2 3 10" xfId="31822"/>
    <cellStyle name="Normal 3 2 3 2 3 11" xfId="31821"/>
    <cellStyle name="Normal 3 2 3 2 3 2" xfId="3393"/>
    <cellStyle name="Normal 3 2 3 2 3 2 2" xfId="3394"/>
    <cellStyle name="Normal 3 2 3 2 3 2 2 2" xfId="3395"/>
    <cellStyle name="Normal 3 2 3 2 3 2 2 2 2" xfId="3396"/>
    <cellStyle name="Normal 3 2 3 2 3 2 2 2 3" xfId="3397"/>
    <cellStyle name="Normal 3 2 3 2 3 2 2 2 4" xfId="31825"/>
    <cellStyle name="Normal 3 2 3 2 3 2 2 3" xfId="3398"/>
    <cellStyle name="Normal 3 2 3 2 3 2 2 3 2" xfId="3399"/>
    <cellStyle name="Normal 3 2 3 2 3 2 2 4" xfId="3400"/>
    <cellStyle name="Normal 3 2 3 2 3 2 2 4 2" xfId="3401"/>
    <cellStyle name="Normal 3 2 3 2 3 2 2 5" xfId="3402"/>
    <cellStyle name="Normal 3 2 3 2 3 2 2 6" xfId="31824"/>
    <cellStyle name="Normal 3 2 3 2 3 2 3" xfId="3403"/>
    <cellStyle name="Normal 3 2 3 2 3 2 3 2" xfId="3404"/>
    <cellStyle name="Normal 3 2 3 2 3 2 3 2 2" xfId="3405"/>
    <cellStyle name="Normal 3 2 3 2 3 2 3 2 3" xfId="31827"/>
    <cellStyle name="Normal 3 2 3 2 3 2 3 3" xfId="3406"/>
    <cellStyle name="Normal 3 2 3 2 3 2 3 3 2" xfId="3407"/>
    <cellStyle name="Normal 3 2 3 2 3 2 3 4" xfId="3408"/>
    <cellStyle name="Normal 3 2 3 2 3 2 3 5" xfId="31826"/>
    <cellStyle name="Normal 3 2 3 2 3 2 4" xfId="3409"/>
    <cellStyle name="Normal 3 2 3 2 3 2 4 2" xfId="3410"/>
    <cellStyle name="Normal 3 2 3 2 3 2 4 2 2" xfId="31829"/>
    <cellStyle name="Normal 3 2 3 2 3 2 4 3" xfId="3411"/>
    <cellStyle name="Normal 3 2 3 2 3 2 4 4" xfId="31828"/>
    <cellStyle name="Normal 3 2 3 2 3 2 5" xfId="3412"/>
    <cellStyle name="Normal 3 2 3 2 3 2 5 2" xfId="3413"/>
    <cellStyle name="Normal 3 2 3 2 3 2 5 3" xfId="31830"/>
    <cellStyle name="Normal 3 2 3 2 3 2 6" xfId="3414"/>
    <cellStyle name="Normal 3 2 3 2 3 2 6 2" xfId="3415"/>
    <cellStyle name="Normal 3 2 3 2 3 2 6 3" xfId="31831"/>
    <cellStyle name="Normal 3 2 3 2 3 2 7" xfId="3416"/>
    <cellStyle name="Normal 3 2 3 2 3 2 8" xfId="31823"/>
    <cellStyle name="Normal 3 2 3 2 3 3" xfId="3417"/>
    <cellStyle name="Normal 3 2 3 2 3 3 2" xfId="3418"/>
    <cellStyle name="Normal 3 2 3 2 3 3 2 2" xfId="3419"/>
    <cellStyle name="Normal 3 2 3 2 3 3 2 2 2" xfId="31834"/>
    <cellStyle name="Normal 3 2 3 2 3 3 2 3" xfId="3420"/>
    <cellStyle name="Normal 3 2 3 2 3 3 2 4" xfId="31833"/>
    <cellStyle name="Normal 3 2 3 2 3 3 3" xfId="3421"/>
    <cellStyle name="Normal 3 2 3 2 3 3 3 2" xfId="3422"/>
    <cellStyle name="Normal 3 2 3 2 3 3 3 2 2" xfId="31836"/>
    <cellStyle name="Normal 3 2 3 2 3 3 3 3" xfId="31835"/>
    <cellStyle name="Normal 3 2 3 2 3 3 4" xfId="3423"/>
    <cellStyle name="Normal 3 2 3 2 3 3 4 2" xfId="3424"/>
    <cellStyle name="Normal 3 2 3 2 3 3 4 2 2" xfId="31838"/>
    <cellStyle name="Normal 3 2 3 2 3 3 4 3" xfId="31837"/>
    <cellStyle name="Normal 3 2 3 2 3 3 5" xfId="3425"/>
    <cellStyle name="Normal 3 2 3 2 3 3 5 2" xfId="31839"/>
    <cellStyle name="Normal 3 2 3 2 3 3 6" xfId="31840"/>
    <cellStyle name="Normal 3 2 3 2 3 3 7" xfId="31832"/>
    <cellStyle name="Normal 3 2 3 2 3 4" xfId="3426"/>
    <cellStyle name="Normal 3 2 3 2 3 4 2" xfId="3427"/>
    <cellStyle name="Normal 3 2 3 2 3 4 2 2" xfId="3428"/>
    <cellStyle name="Normal 3 2 3 2 3 4 2 2 2" xfId="31843"/>
    <cellStyle name="Normal 3 2 3 2 3 4 2 3" xfId="31842"/>
    <cellStyle name="Normal 3 2 3 2 3 4 3" xfId="3429"/>
    <cellStyle name="Normal 3 2 3 2 3 4 3 2" xfId="3430"/>
    <cellStyle name="Normal 3 2 3 2 3 4 3 2 2" xfId="31845"/>
    <cellStyle name="Normal 3 2 3 2 3 4 3 3" xfId="31844"/>
    <cellStyle name="Normal 3 2 3 2 3 4 4" xfId="3431"/>
    <cellStyle name="Normal 3 2 3 2 3 4 4 2" xfId="31847"/>
    <cellStyle name="Normal 3 2 3 2 3 4 4 3" xfId="31846"/>
    <cellStyle name="Normal 3 2 3 2 3 4 5" xfId="31848"/>
    <cellStyle name="Normal 3 2 3 2 3 4 6" xfId="31849"/>
    <cellStyle name="Normal 3 2 3 2 3 4 7" xfId="31841"/>
    <cellStyle name="Normal 3 2 3 2 3 5" xfId="3432"/>
    <cellStyle name="Normal 3 2 3 2 3 5 2" xfId="3433"/>
    <cellStyle name="Normal 3 2 3 2 3 5 2 2" xfId="31852"/>
    <cellStyle name="Normal 3 2 3 2 3 5 2 3" xfId="31851"/>
    <cellStyle name="Normal 3 2 3 2 3 5 3" xfId="3434"/>
    <cellStyle name="Normal 3 2 3 2 3 5 3 2" xfId="31854"/>
    <cellStyle name="Normal 3 2 3 2 3 5 3 3" xfId="31853"/>
    <cellStyle name="Normal 3 2 3 2 3 5 4" xfId="31855"/>
    <cellStyle name="Normal 3 2 3 2 3 5 5" xfId="31856"/>
    <cellStyle name="Normal 3 2 3 2 3 5 6" xfId="31850"/>
    <cellStyle name="Normal 3 2 3 2 3 6" xfId="3435"/>
    <cellStyle name="Normal 3 2 3 2 3 6 2" xfId="3436"/>
    <cellStyle name="Normal 3 2 3 2 3 6 2 2" xfId="31858"/>
    <cellStyle name="Normal 3 2 3 2 3 6 3" xfId="31857"/>
    <cellStyle name="Normal 3 2 3 2 3 7" xfId="3437"/>
    <cellStyle name="Normal 3 2 3 2 3 7 2" xfId="3438"/>
    <cellStyle name="Normal 3 2 3 2 3 7 2 2" xfId="31860"/>
    <cellStyle name="Normal 3 2 3 2 3 7 3" xfId="31859"/>
    <cellStyle name="Normal 3 2 3 2 3 8" xfId="3439"/>
    <cellStyle name="Normal 3 2 3 2 3 8 2" xfId="31862"/>
    <cellStyle name="Normal 3 2 3 2 3 8 3" xfId="31861"/>
    <cellStyle name="Normal 3 2 3 2 3 9" xfId="31863"/>
    <cellStyle name="Normal 3 2 3 2 4" xfId="3440"/>
    <cellStyle name="Normal 3 2 3 2 4 10" xfId="31865"/>
    <cellStyle name="Normal 3 2 3 2 4 11" xfId="31864"/>
    <cellStyle name="Normal 3 2 3 2 4 2" xfId="3441"/>
    <cellStyle name="Normal 3 2 3 2 4 2 2" xfId="3442"/>
    <cellStyle name="Normal 3 2 3 2 4 2 2 2" xfId="3443"/>
    <cellStyle name="Normal 3 2 3 2 4 2 2 2 2" xfId="31868"/>
    <cellStyle name="Normal 3 2 3 2 4 2 2 3" xfId="3444"/>
    <cellStyle name="Normal 3 2 3 2 4 2 2 4" xfId="31867"/>
    <cellStyle name="Normal 3 2 3 2 4 2 3" xfId="3445"/>
    <cellStyle name="Normal 3 2 3 2 4 2 3 2" xfId="3446"/>
    <cellStyle name="Normal 3 2 3 2 4 2 3 2 2" xfId="31870"/>
    <cellStyle name="Normal 3 2 3 2 4 2 3 3" xfId="31869"/>
    <cellStyle name="Normal 3 2 3 2 4 2 4" xfId="3447"/>
    <cellStyle name="Normal 3 2 3 2 4 2 4 2" xfId="3448"/>
    <cellStyle name="Normal 3 2 3 2 4 2 4 2 2" xfId="31872"/>
    <cellStyle name="Normal 3 2 3 2 4 2 4 3" xfId="31871"/>
    <cellStyle name="Normal 3 2 3 2 4 2 5" xfId="3449"/>
    <cellStyle name="Normal 3 2 3 2 4 2 5 2" xfId="31873"/>
    <cellStyle name="Normal 3 2 3 2 4 2 6" xfId="31874"/>
    <cellStyle name="Normal 3 2 3 2 4 2 7" xfId="31866"/>
    <cellStyle name="Normal 3 2 3 2 4 3" xfId="3450"/>
    <cellStyle name="Normal 3 2 3 2 4 3 2" xfId="3451"/>
    <cellStyle name="Normal 3 2 3 2 4 3 2 2" xfId="3452"/>
    <cellStyle name="Normal 3 2 3 2 4 3 2 2 2" xfId="31877"/>
    <cellStyle name="Normal 3 2 3 2 4 3 2 3" xfId="31876"/>
    <cellStyle name="Normal 3 2 3 2 4 3 3" xfId="3453"/>
    <cellStyle name="Normal 3 2 3 2 4 3 3 2" xfId="3454"/>
    <cellStyle name="Normal 3 2 3 2 4 3 3 2 2" xfId="31879"/>
    <cellStyle name="Normal 3 2 3 2 4 3 3 3" xfId="31878"/>
    <cellStyle name="Normal 3 2 3 2 4 3 4" xfId="3455"/>
    <cellStyle name="Normal 3 2 3 2 4 3 4 2" xfId="31881"/>
    <cellStyle name="Normal 3 2 3 2 4 3 4 3" xfId="31880"/>
    <cellStyle name="Normal 3 2 3 2 4 3 5" xfId="31882"/>
    <cellStyle name="Normal 3 2 3 2 4 3 6" xfId="31883"/>
    <cellStyle name="Normal 3 2 3 2 4 3 7" xfId="31875"/>
    <cellStyle name="Normal 3 2 3 2 4 4" xfId="3456"/>
    <cellStyle name="Normal 3 2 3 2 4 4 2" xfId="3457"/>
    <cellStyle name="Normal 3 2 3 2 4 4 2 2" xfId="31886"/>
    <cellStyle name="Normal 3 2 3 2 4 4 2 3" xfId="31885"/>
    <cellStyle name="Normal 3 2 3 2 4 4 3" xfId="3458"/>
    <cellStyle name="Normal 3 2 3 2 4 4 3 2" xfId="31888"/>
    <cellStyle name="Normal 3 2 3 2 4 4 3 3" xfId="31887"/>
    <cellStyle name="Normal 3 2 3 2 4 4 4" xfId="31889"/>
    <cellStyle name="Normal 3 2 3 2 4 4 4 2" xfId="31890"/>
    <cellStyle name="Normal 3 2 3 2 4 4 5" xfId="31891"/>
    <cellStyle name="Normal 3 2 3 2 4 4 6" xfId="31892"/>
    <cellStyle name="Normal 3 2 3 2 4 4 7" xfId="31884"/>
    <cellStyle name="Normal 3 2 3 2 4 5" xfId="3459"/>
    <cellStyle name="Normal 3 2 3 2 4 5 2" xfId="3460"/>
    <cellStyle name="Normal 3 2 3 2 4 5 2 2" xfId="31895"/>
    <cellStyle name="Normal 3 2 3 2 4 5 2 3" xfId="31894"/>
    <cellStyle name="Normal 3 2 3 2 4 5 3" xfId="31896"/>
    <cellStyle name="Normal 3 2 3 2 4 5 3 2" xfId="31897"/>
    <cellStyle name="Normal 3 2 3 2 4 5 4" xfId="31898"/>
    <cellStyle name="Normal 3 2 3 2 4 5 5" xfId="31899"/>
    <cellStyle name="Normal 3 2 3 2 4 5 6" xfId="31893"/>
    <cellStyle name="Normal 3 2 3 2 4 6" xfId="3461"/>
    <cellStyle name="Normal 3 2 3 2 4 6 2" xfId="3462"/>
    <cellStyle name="Normal 3 2 3 2 4 6 2 2" xfId="31901"/>
    <cellStyle name="Normal 3 2 3 2 4 6 3" xfId="31900"/>
    <cellStyle name="Normal 3 2 3 2 4 7" xfId="3463"/>
    <cellStyle name="Normal 3 2 3 2 4 7 2" xfId="31903"/>
    <cellStyle name="Normal 3 2 3 2 4 7 3" xfId="31902"/>
    <cellStyle name="Normal 3 2 3 2 4 8" xfId="31904"/>
    <cellStyle name="Normal 3 2 3 2 4 8 2" xfId="31905"/>
    <cellStyle name="Normal 3 2 3 2 4 9" xfId="31906"/>
    <cellStyle name="Normal 3 2 3 2 5" xfId="3464"/>
    <cellStyle name="Normal 3 2 3 2 5 2" xfId="3465"/>
    <cellStyle name="Normal 3 2 3 2 5 2 2" xfId="3466"/>
    <cellStyle name="Normal 3 2 3 2 5 2 2 2" xfId="3467"/>
    <cellStyle name="Normal 3 2 3 2 5 2 2 3" xfId="3468"/>
    <cellStyle name="Normal 3 2 3 2 5 2 2 4" xfId="31909"/>
    <cellStyle name="Normal 3 2 3 2 5 2 3" xfId="3469"/>
    <cellStyle name="Normal 3 2 3 2 5 2 3 2" xfId="3470"/>
    <cellStyle name="Normal 3 2 3 2 5 2 4" xfId="3471"/>
    <cellStyle name="Normal 3 2 3 2 5 2 4 2" xfId="3472"/>
    <cellStyle name="Normal 3 2 3 2 5 2 5" xfId="3473"/>
    <cellStyle name="Normal 3 2 3 2 5 2 6" xfId="31908"/>
    <cellStyle name="Normal 3 2 3 2 5 3" xfId="3474"/>
    <cellStyle name="Normal 3 2 3 2 5 3 2" xfId="3475"/>
    <cellStyle name="Normal 3 2 3 2 5 3 2 2" xfId="3476"/>
    <cellStyle name="Normal 3 2 3 2 5 3 2 3" xfId="31911"/>
    <cellStyle name="Normal 3 2 3 2 5 3 3" xfId="3477"/>
    <cellStyle name="Normal 3 2 3 2 5 3 3 2" xfId="3478"/>
    <cellStyle name="Normal 3 2 3 2 5 3 4" xfId="3479"/>
    <cellStyle name="Normal 3 2 3 2 5 3 5" xfId="31910"/>
    <cellStyle name="Normal 3 2 3 2 5 4" xfId="3480"/>
    <cellStyle name="Normal 3 2 3 2 5 4 2" xfId="3481"/>
    <cellStyle name="Normal 3 2 3 2 5 4 2 2" xfId="31913"/>
    <cellStyle name="Normal 3 2 3 2 5 4 3" xfId="3482"/>
    <cellStyle name="Normal 3 2 3 2 5 4 4" xfId="31912"/>
    <cellStyle name="Normal 3 2 3 2 5 5" xfId="3483"/>
    <cellStyle name="Normal 3 2 3 2 5 5 2" xfId="3484"/>
    <cellStyle name="Normal 3 2 3 2 5 5 3" xfId="31914"/>
    <cellStyle name="Normal 3 2 3 2 5 6" xfId="3485"/>
    <cellStyle name="Normal 3 2 3 2 5 6 2" xfId="3486"/>
    <cellStyle name="Normal 3 2 3 2 5 6 3" xfId="31915"/>
    <cellStyle name="Normal 3 2 3 2 5 7" xfId="3487"/>
    <cellStyle name="Normal 3 2 3 2 5 8" xfId="31907"/>
    <cellStyle name="Normal 3 2 3 2 6" xfId="3488"/>
    <cellStyle name="Normal 3 2 3 2 6 2" xfId="3489"/>
    <cellStyle name="Normal 3 2 3 2 6 2 2" xfId="3490"/>
    <cellStyle name="Normal 3 2 3 2 6 2 2 2" xfId="3491"/>
    <cellStyle name="Normal 3 2 3 2 6 2 2 3" xfId="31918"/>
    <cellStyle name="Normal 3 2 3 2 6 2 3" xfId="3492"/>
    <cellStyle name="Normal 3 2 3 2 6 2 3 2" xfId="3493"/>
    <cellStyle name="Normal 3 2 3 2 6 2 4" xfId="3494"/>
    <cellStyle name="Normal 3 2 3 2 6 2 5" xfId="31917"/>
    <cellStyle name="Normal 3 2 3 2 6 3" xfId="3495"/>
    <cellStyle name="Normal 3 2 3 2 6 3 2" xfId="3496"/>
    <cellStyle name="Normal 3 2 3 2 6 3 2 2" xfId="31920"/>
    <cellStyle name="Normal 3 2 3 2 6 3 3" xfId="3497"/>
    <cellStyle name="Normal 3 2 3 2 6 3 4" xfId="31919"/>
    <cellStyle name="Normal 3 2 3 2 6 4" xfId="3498"/>
    <cellStyle name="Normal 3 2 3 2 6 4 2" xfId="3499"/>
    <cellStyle name="Normal 3 2 3 2 6 4 2 2" xfId="31922"/>
    <cellStyle name="Normal 3 2 3 2 6 4 3" xfId="31921"/>
    <cellStyle name="Normal 3 2 3 2 6 5" xfId="3500"/>
    <cellStyle name="Normal 3 2 3 2 6 5 2" xfId="3501"/>
    <cellStyle name="Normal 3 2 3 2 6 5 3" xfId="31923"/>
    <cellStyle name="Normal 3 2 3 2 6 6" xfId="3502"/>
    <cellStyle name="Normal 3 2 3 2 6 6 2" xfId="31924"/>
    <cellStyle name="Normal 3 2 3 2 6 7" xfId="31916"/>
    <cellStyle name="Normal 3 2 3 2 7" xfId="3503"/>
    <cellStyle name="Normal 3 2 3 2 7 2" xfId="3504"/>
    <cellStyle name="Normal 3 2 3 2 7 2 2" xfId="3505"/>
    <cellStyle name="Normal 3 2 3 2 7 2 2 2" xfId="31927"/>
    <cellStyle name="Normal 3 2 3 2 7 2 3" xfId="31926"/>
    <cellStyle name="Normal 3 2 3 2 7 3" xfId="3506"/>
    <cellStyle name="Normal 3 2 3 2 7 3 2" xfId="3507"/>
    <cellStyle name="Normal 3 2 3 2 7 3 2 2" xfId="31929"/>
    <cellStyle name="Normal 3 2 3 2 7 3 3" xfId="31928"/>
    <cellStyle name="Normal 3 2 3 2 7 4" xfId="3508"/>
    <cellStyle name="Normal 3 2 3 2 7 4 2" xfId="31931"/>
    <cellStyle name="Normal 3 2 3 2 7 4 3" xfId="31930"/>
    <cellStyle name="Normal 3 2 3 2 7 5" xfId="31932"/>
    <cellStyle name="Normal 3 2 3 2 7 6" xfId="31933"/>
    <cellStyle name="Normal 3 2 3 2 7 7" xfId="31925"/>
    <cellStyle name="Normal 3 2 3 2 8" xfId="3509"/>
    <cellStyle name="Normal 3 2 3 2 8 2" xfId="3510"/>
    <cellStyle name="Normal 3 2 3 2 8 2 2" xfId="3511"/>
    <cellStyle name="Normal 3 2 3 2 8 2 2 2" xfId="31936"/>
    <cellStyle name="Normal 3 2 3 2 8 2 3" xfId="31935"/>
    <cellStyle name="Normal 3 2 3 2 8 3" xfId="3512"/>
    <cellStyle name="Normal 3 2 3 2 8 3 2" xfId="3513"/>
    <cellStyle name="Normal 3 2 3 2 8 3 2 2" xfId="31938"/>
    <cellStyle name="Normal 3 2 3 2 8 3 3" xfId="31937"/>
    <cellStyle name="Normal 3 2 3 2 8 4" xfId="3514"/>
    <cellStyle name="Normal 3 2 3 2 8 4 2" xfId="31939"/>
    <cellStyle name="Normal 3 2 3 2 8 5" xfId="31940"/>
    <cellStyle name="Normal 3 2 3 2 8 6" xfId="31934"/>
    <cellStyle name="Normal 3 2 3 2 9" xfId="3515"/>
    <cellStyle name="Normal 3 2 3 2 9 2" xfId="3516"/>
    <cellStyle name="Normal 3 2 3 2 9 2 2" xfId="31942"/>
    <cellStyle name="Normal 3 2 3 2 9 3" xfId="3517"/>
    <cellStyle name="Normal 3 2 3 2 9 4" xfId="31941"/>
    <cellStyle name="Normal 3 2 3 3" xfId="3518"/>
    <cellStyle name="Normal 3 2 3 3 10" xfId="3519"/>
    <cellStyle name="Normal 3 2 3 3 10 2" xfId="3520"/>
    <cellStyle name="Normal 3 2 3 3 10 2 2" xfId="31945"/>
    <cellStyle name="Normal 3 2 3 3 10 3" xfId="31944"/>
    <cellStyle name="Normal 3 2 3 3 11" xfId="3521"/>
    <cellStyle name="Normal 3 2 3 3 11 2" xfId="31947"/>
    <cellStyle name="Normal 3 2 3 3 11 3" xfId="31946"/>
    <cellStyle name="Normal 3 2 3 3 12" xfId="31948"/>
    <cellStyle name="Normal 3 2 3 3 13" xfId="31949"/>
    <cellStyle name="Normal 3 2 3 3 14" xfId="31943"/>
    <cellStyle name="Normal 3 2 3 3 2" xfId="3522"/>
    <cellStyle name="Normal 3 2 3 3 2 10" xfId="31951"/>
    <cellStyle name="Normal 3 2 3 3 2 11" xfId="31952"/>
    <cellStyle name="Normal 3 2 3 3 2 12" xfId="31950"/>
    <cellStyle name="Normal 3 2 3 3 2 2" xfId="3523"/>
    <cellStyle name="Normal 3 2 3 3 2 2 2" xfId="3524"/>
    <cellStyle name="Normal 3 2 3 3 2 2 2 2" xfId="3525"/>
    <cellStyle name="Normal 3 2 3 3 2 2 2 2 2" xfId="3526"/>
    <cellStyle name="Normal 3 2 3 3 2 2 2 2 3" xfId="3527"/>
    <cellStyle name="Normal 3 2 3 3 2 2 2 2 4" xfId="31955"/>
    <cellStyle name="Normal 3 2 3 3 2 2 2 3" xfId="3528"/>
    <cellStyle name="Normal 3 2 3 3 2 2 2 3 2" xfId="3529"/>
    <cellStyle name="Normal 3 2 3 3 2 2 2 4" xfId="3530"/>
    <cellStyle name="Normal 3 2 3 3 2 2 2 4 2" xfId="3531"/>
    <cellStyle name="Normal 3 2 3 3 2 2 2 5" xfId="3532"/>
    <cellStyle name="Normal 3 2 3 3 2 2 2 6" xfId="31954"/>
    <cellStyle name="Normal 3 2 3 3 2 2 3" xfId="3533"/>
    <cellStyle name="Normal 3 2 3 3 2 2 3 2" xfId="3534"/>
    <cellStyle name="Normal 3 2 3 3 2 2 3 2 2" xfId="3535"/>
    <cellStyle name="Normal 3 2 3 3 2 2 3 2 3" xfId="31957"/>
    <cellStyle name="Normal 3 2 3 3 2 2 3 3" xfId="3536"/>
    <cellStyle name="Normal 3 2 3 3 2 2 3 3 2" xfId="3537"/>
    <cellStyle name="Normal 3 2 3 3 2 2 3 4" xfId="3538"/>
    <cellStyle name="Normal 3 2 3 3 2 2 3 5" xfId="31956"/>
    <cellStyle name="Normal 3 2 3 3 2 2 4" xfId="3539"/>
    <cellStyle name="Normal 3 2 3 3 2 2 4 2" xfId="3540"/>
    <cellStyle name="Normal 3 2 3 3 2 2 4 2 2" xfId="31959"/>
    <cellStyle name="Normal 3 2 3 3 2 2 4 3" xfId="3541"/>
    <cellStyle name="Normal 3 2 3 3 2 2 4 4" xfId="31958"/>
    <cellStyle name="Normal 3 2 3 3 2 2 5" xfId="3542"/>
    <cellStyle name="Normal 3 2 3 3 2 2 5 2" xfId="3543"/>
    <cellStyle name="Normal 3 2 3 3 2 2 5 3" xfId="31960"/>
    <cellStyle name="Normal 3 2 3 3 2 2 6" xfId="3544"/>
    <cellStyle name="Normal 3 2 3 3 2 2 6 2" xfId="3545"/>
    <cellStyle name="Normal 3 2 3 3 2 2 6 3" xfId="31961"/>
    <cellStyle name="Normal 3 2 3 3 2 2 7" xfId="3546"/>
    <cellStyle name="Normal 3 2 3 3 2 2 8" xfId="31953"/>
    <cellStyle name="Normal 3 2 3 3 2 3" xfId="3547"/>
    <cellStyle name="Normal 3 2 3 3 2 3 2" xfId="3548"/>
    <cellStyle name="Normal 3 2 3 3 2 3 2 2" xfId="3549"/>
    <cellStyle name="Normal 3 2 3 3 2 3 2 2 2" xfId="31964"/>
    <cellStyle name="Normal 3 2 3 3 2 3 2 3" xfId="3550"/>
    <cellStyle name="Normal 3 2 3 3 2 3 2 4" xfId="31963"/>
    <cellStyle name="Normal 3 2 3 3 2 3 3" xfId="3551"/>
    <cellStyle name="Normal 3 2 3 3 2 3 3 2" xfId="3552"/>
    <cellStyle name="Normal 3 2 3 3 2 3 3 2 2" xfId="31966"/>
    <cellStyle name="Normal 3 2 3 3 2 3 3 3" xfId="31965"/>
    <cellStyle name="Normal 3 2 3 3 2 3 4" xfId="3553"/>
    <cellStyle name="Normal 3 2 3 3 2 3 4 2" xfId="3554"/>
    <cellStyle name="Normal 3 2 3 3 2 3 4 2 2" xfId="31968"/>
    <cellStyle name="Normal 3 2 3 3 2 3 4 3" xfId="31967"/>
    <cellStyle name="Normal 3 2 3 3 2 3 5" xfId="3555"/>
    <cellStyle name="Normal 3 2 3 3 2 3 5 2" xfId="31969"/>
    <cellStyle name="Normal 3 2 3 3 2 3 6" xfId="31970"/>
    <cellStyle name="Normal 3 2 3 3 2 3 7" xfId="31962"/>
    <cellStyle name="Normal 3 2 3 3 2 4" xfId="3556"/>
    <cellStyle name="Normal 3 2 3 3 2 4 2" xfId="3557"/>
    <cellStyle name="Normal 3 2 3 3 2 4 2 2" xfId="3558"/>
    <cellStyle name="Normal 3 2 3 3 2 4 2 2 2" xfId="31973"/>
    <cellStyle name="Normal 3 2 3 3 2 4 2 3" xfId="31972"/>
    <cellStyle name="Normal 3 2 3 3 2 4 3" xfId="3559"/>
    <cellStyle name="Normal 3 2 3 3 2 4 3 2" xfId="3560"/>
    <cellStyle name="Normal 3 2 3 3 2 4 3 2 2" xfId="31975"/>
    <cellStyle name="Normal 3 2 3 3 2 4 3 3" xfId="31974"/>
    <cellStyle name="Normal 3 2 3 3 2 4 4" xfId="3561"/>
    <cellStyle name="Normal 3 2 3 3 2 4 4 2" xfId="31977"/>
    <cellStyle name="Normal 3 2 3 3 2 4 4 3" xfId="31976"/>
    <cellStyle name="Normal 3 2 3 3 2 4 5" xfId="31978"/>
    <cellStyle name="Normal 3 2 3 3 2 4 6" xfId="31979"/>
    <cellStyle name="Normal 3 2 3 3 2 4 7" xfId="31971"/>
    <cellStyle name="Normal 3 2 3 3 2 5" xfId="3562"/>
    <cellStyle name="Normal 3 2 3 3 2 5 2" xfId="3563"/>
    <cellStyle name="Normal 3 2 3 3 2 5 2 2" xfId="31982"/>
    <cellStyle name="Normal 3 2 3 3 2 5 2 3" xfId="31981"/>
    <cellStyle name="Normal 3 2 3 3 2 5 3" xfId="3564"/>
    <cellStyle name="Normal 3 2 3 3 2 5 3 2" xfId="31984"/>
    <cellStyle name="Normal 3 2 3 3 2 5 3 3" xfId="31983"/>
    <cellStyle name="Normal 3 2 3 3 2 5 4" xfId="31985"/>
    <cellStyle name="Normal 3 2 3 3 2 5 4 2" xfId="31986"/>
    <cellStyle name="Normal 3 2 3 3 2 5 5" xfId="31987"/>
    <cellStyle name="Normal 3 2 3 3 2 5 6" xfId="31988"/>
    <cellStyle name="Normal 3 2 3 3 2 5 7" xfId="31980"/>
    <cellStyle name="Normal 3 2 3 3 2 6" xfId="3565"/>
    <cellStyle name="Normal 3 2 3 3 2 6 2" xfId="3566"/>
    <cellStyle name="Normal 3 2 3 3 2 6 2 2" xfId="31991"/>
    <cellStyle name="Normal 3 2 3 3 2 6 2 3" xfId="31990"/>
    <cellStyle name="Normal 3 2 3 3 2 6 3" xfId="31992"/>
    <cellStyle name="Normal 3 2 3 3 2 6 3 2" xfId="31993"/>
    <cellStyle name="Normal 3 2 3 3 2 6 4" xfId="31994"/>
    <cellStyle name="Normal 3 2 3 3 2 6 5" xfId="31995"/>
    <cellStyle name="Normal 3 2 3 3 2 6 6" xfId="31989"/>
    <cellStyle name="Normal 3 2 3 3 2 7" xfId="3567"/>
    <cellStyle name="Normal 3 2 3 3 2 7 2" xfId="3568"/>
    <cellStyle name="Normal 3 2 3 3 2 7 2 2" xfId="31997"/>
    <cellStyle name="Normal 3 2 3 3 2 7 3" xfId="31996"/>
    <cellStyle name="Normal 3 2 3 3 2 8" xfId="3569"/>
    <cellStyle name="Normal 3 2 3 3 2 8 2" xfId="31999"/>
    <cellStyle name="Normal 3 2 3 3 2 8 3" xfId="31998"/>
    <cellStyle name="Normal 3 2 3 3 2 9" xfId="32000"/>
    <cellStyle name="Normal 3 2 3 3 2 9 2" xfId="32001"/>
    <cellStyle name="Normal 3 2 3 3 3" xfId="3570"/>
    <cellStyle name="Normal 3 2 3 3 3 10" xfId="32003"/>
    <cellStyle name="Normal 3 2 3 3 3 11" xfId="32002"/>
    <cellStyle name="Normal 3 2 3 3 3 2" xfId="3571"/>
    <cellStyle name="Normal 3 2 3 3 3 2 2" xfId="3572"/>
    <cellStyle name="Normal 3 2 3 3 3 2 2 2" xfId="3573"/>
    <cellStyle name="Normal 3 2 3 3 3 2 2 2 2" xfId="32006"/>
    <cellStyle name="Normal 3 2 3 3 3 2 2 3" xfId="3574"/>
    <cellStyle name="Normal 3 2 3 3 3 2 2 4" xfId="32005"/>
    <cellStyle name="Normal 3 2 3 3 3 2 3" xfId="3575"/>
    <cellStyle name="Normal 3 2 3 3 3 2 3 2" xfId="3576"/>
    <cellStyle name="Normal 3 2 3 3 3 2 3 2 2" xfId="32008"/>
    <cellStyle name="Normal 3 2 3 3 3 2 3 3" xfId="32007"/>
    <cellStyle name="Normal 3 2 3 3 3 2 4" xfId="3577"/>
    <cellStyle name="Normal 3 2 3 3 3 2 4 2" xfId="3578"/>
    <cellStyle name="Normal 3 2 3 3 3 2 4 2 2" xfId="32010"/>
    <cellStyle name="Normal 3 2 3 3 3 2 4 3" xfId="32009"/>
    <cellStyle name="Normal 3 2 3 3 3 2 5" xfId="3579"/>
    <cellStyle name="Normal 3 2 3 3 3 2 5 2" xfId="32011"/>
    <cellStyle name="Normal 3 2 3 3 3 2 6" xfId="32012"/>
    <cellStyle name="Normal 3 2 3 3 3 2 7" xfId="32004"/>
    <cellStyle name="Normal 3 2 3 3 3 3" xfId="3580"/>
    <cellStyle name="Normal 3 2 3 3 3 3 2" xfId="3581"/>
    <cellStyle name="Normal 3 2 3 3 3 3 2 2" xfId="3582"/>
    <cellStyle name="Normal 3 2 3 3 3 3 2 2 2" xfId="32015"/>
    <cellStyle name="Normal 3 2 3 3 3 3 2 3" xfId="32014"/>
    <cellStyle name="Normal 3 2 3 3 3 3 3" xfId="3583"/>
    <cellStyle name="Normal 3 2 3 3 3 3 3 2" xfId="3584"/>
    <cellStyle name="Normal 3 2 3 3 3 3 3 2 2" xfId="32017"/>
    <cellStyle name="Normal 3 2 3 3 3 3 3 3" xfId="32016"/>
    <cellStyle name="Normal 3 2 3 3 3 3 4" xfId="3585"/>
    <cellStyle name="Normal 3 2 3 3 3 3 4 2" xfId="32019"/>
    <cellStyle name="Normal 3 2 3 3 3 3 4 3" xfId="32018"/>
    <cellStyle name="Normal 3 2 3 3 3 3 5" xfId="32020"/>
    <cellStyle name="Normal 3 2 3 3 3 3 6" xfId="32021"/>
    <cellStyle name="Normal 3 2 3 3 3 3 7" xfId="32013"/>
    <cellStyle name="Normal 3 2 3 3 3 4" xfId="3586"/>
    <cellStyle name="Normal 3 2 3 3 3 4 2" xfId="3587"/>
    <cellStyle name="Normal 3 2 3 3 3 4 2 2" xfId="32024"/>
    <cellStyle name="Normal 3 2 3 3 3 4 2 3" xfId="32023"/>
    <cellStyle name="Normal 3 2 3 3 3 4 3" xfId="3588"/>
    <cellStyle name="Normal 3 2 3 3 3 4 3 2" xfId="32026"/>
    <cellStyle name="Normal 3 2 3 3 3 4 3 3" xfId="32025"/>
    <cellStyle name="Normal 3 2 3 3 3 4 4" xfId="32027"/>
    <cellStyle name="Normal 3 2 3 3 3 4 4 2" xfId="32028"/>
    <cellStyle name="Normal 3 2 3 3 3 4 5" xfId="32029"/>
    <cellStyle name="Normal 3 2 3 3 3 4 6" xfId="32030"/>
    <cellStyle name="Normal 3 2 3 3 3 4 7" xfId="32022"/>
    <cellStyle name="Normal 3 2 3 3 3 5" xfId="3589"/>
    <cellStyle name="Normal 3 2 3 3 3 5 2" xfId="3590"/>
    <cellStyle name="Normal 3 2 3 3 3 5 2 2" xfId="32033"/>
    <cellStyle name="Normal 3 2 3 3 3 5 2 3" xfId="32032"/>
    <cellStyle name="Normal 3 2 3 3 3 5 3" xfId="32034"/>
    <cellStyle name="Normal 3 2 3 3 3 5 3 2" xfId="32035"/>
    <cellStyle name="Normal 3 2 3 3 3 5 4" xfId="32036"/>
    <cellStyle name="Normal 3 2 3 3 3 5 5" xfId="32037"/>
    <cellStyle name="Normal 3 2 3 3 3 5 6" xfId="32031"/>
    <cellStyle name="Normal 3 2 3 3 3 6" xfId="3591"/>
    <cellStyle name="Normal 3 2 3 3 3 6 2" xfId="3592"/>
    <cellStyle name="Normal 3 2 3 3 3 6 2 2" xfId="32039"/>
    <cellStyle name="Normal 3 2 3 3 3 6 3" xfId="32038"/>
    <cellStyle name="Normal 3 2 3 3 3 7" xfId="3593"/>
    <cellStyle name="Normal 3 2 3 3 3 7 2" xfId="32041"/>
    <cellStyle name="Normal 3 2 3 3 3 7 3" xfId="32040"/>
    <cellStyle name="Normal 3 2 3 3 3 8" xfId="32042"/>
    <cellStyle name="Normal 3 2 3 3 3 8 2" xfId="32043"/>
    <cellStyle name="Normal 3 2 3 3 3 9" xfId="32044"/>
    <cellStyle name="Normal 3 2 3 3 4" xfId="3594"/>
    <cellStyle name="Normal 3 2 3 3 4 10" xfId="32046"/>
    <cellStyle name="Normal 3 2 3 3 4 11" xfId="32045"/>
    <cellStyle name="Normal 3 2 3 3 4 2" xfId="3595"/>
    <cellStyle name="Normal 3 2 3 3 4 2 2" xfId="3596"/>
    <cellStyle name="Normal 3 2 3 3 4 2 2 2" xfId="3597"/>
    <cellStyle name="Normal 3 2 3 3 4 2 2 2 2" xfId="32049"/>
    <cellStyle name="Normal 3 2 3 3 4 2 2 3" xfId="3598"/>
    <cellStyle name="Normal 3 2 3 3 4 2 2 4" xfId="32048"/>
    <cellStyle name="Normal 3 2 3 3 4 2 3" xfId="3599"/>
    <cellStyle name="Normal 3 2 3 3 4 2 3 2" xfId="3600"/>
    <cellStyle name="Normal 3 2 3 3 4 2 3 2 2" xfId="32051"/>
    <cellStyle name="Normal 3 2 3 3 4 2 3 3" xfId="32050"/>
    <cellStyle name="Normal 3 2 3 3 4 2 4" xfId="3601"/>
    <cellStyle name="Normal 3 2 3 3 4 2 4 2" xfId="3602"/>
    <cellStyle name="Normal 3 2 3 3 4 2 4 2 2" xfId="32053"/>
    <cellStyle name="Normal 3 2 3 3 4 2 4 3" xfId="32052"/>
    <cellStyle name="Normal 3 2 3 3 4 2 5" xfId="3603"/>
    <cellStyle name="Normal 3 2 3 3 4 2 5 2" xfId="32054"/>
    <cellStyle name="Normal 3 2 3 3 4 2 6" xfId="32055"/>
    <cellStyle name="Normal 3 2 3 3 4 2 7" xfId="32047"/>
    <cellStyle name="Normal 3 2 3 3 4 3" xfId="3604"/>
    <cellStyle name="Normal 3 2 3 3 4 3 2" xfId="3605"/>
    <cellStyle name="Normal 3 2 3 3 4 3 2 2" xfId="3606"/>
    <cellStyle name="Normal 3 2 3 3 4 3 2 2 2" xfId="32058"/>
    <cellStyle name="Normal 3 2 3 3 4 3 2 3" xfId="32057"/>
    <cellStyle name="Normal 3 2 3 3 4 3 3" xfId="3607"/>
    <cellStyle name="Normal 3 2 3 3 4 3 3 2" xfId="3608"/>
    <cellStyle name="Normal 3 2 3 3 4 3 3 2 2" xfId="32060"/>
    <cellStyle name="Normal 3 2 3 3 4 3 3 3" xfId="32059"/>
    <cellStyle name="Normal 3 2 3 3 4 3 4" xfId="3609"/>
    <cellStyle name="Normal 3 2 3 3 4 3 4 2" xfId="32062"/>
    <cellStyle name="Normal 3 2 3 3 4 3 4 3" xfId="32061"/>
    <cellStyle name="Normal 3 2 3 3 4 3 5" xfId="32063"/>
    <cellStyle name="Normal 3 2 3 3 4 3 6" xfId="32064"/>
    <cellStyle name="Normal 3 2 3 3 4 3 7" xfId="32056"/>
    <cellStyle name="Normal 3 2 3 3 4 4" xfId="3610"/>
    <cellStyle name="Normal 3 2 3 3 4 4 2" xfId="3611"/>
    <cellStyle name="Normal 3 2 3 3 4 4 2 2" xfId="32067"/>
    <cellStyle name="Normal 3 2 3 3 4 4 2 3" xfId="32066"/>
    <cellStyle name="Normal 3 2 3 3 4 4 3" xfId="3612"/>
    <cellStyle name="Normal 3 2 3 3 4 4 3 2" xfId="32069"/>
    <cellStyle name="Normal 3 2 3 3 4 4 3 3" xfId="32068"/>
    <cellStyle name="Normal 3 2 3 3 4 4 4" xfId="32070"/>
    <cellStyle name="Normal 3 2 3 3 4 4 4 2" xfId="32071"/>
    <cellStyle name="Normal 3 2 3 3 4 4 5" xfId="32072"/>
    <cellStyle name="Normal 3 2 3 3 4 4 6" xfId="32073"/>
    <cellStyle name="Normal 3 2 3 3 4 4 7" xfId="32065"/>
    <cellStyle name="Normal 3 2 3 3 4 5" xfId="3613"/>
    <cellStyle name="Normal 3 2 3 3 4 5 2" xfId="3614"/>
    <cellStyle name="Normal 3 2 3 3 4 5 2 2" xfId="32076"/>
    <cellStyle name="Normal 3 2 3 3 4 5 2 3" xfId="32075"/>
    <cellStyle name="Normal 3 2 3 3 4 5 3" xfId="32077"/>
    <cellStyle name="Normal 3 2 3 3 4 5 3 2" xfId="32078"/>
    <cellStyle name="Normal 3 2 3 3 4 5 4" xfId="32079"/>
    <cellStyle name="Normal 3 2 3 3 4 5 5" xfId="32080"/>
    <cellStyle name="Normal 3 2 3 3 4 5 6" xfId="32074"/>
    <cellStyle name="Normal 3 2 3 3 4 6" xfId="3615"/>
    <cellStyle name="Normal 3 2 3 3 4 6 2" xfId="3616"/>
    <cellStyle name="Normal 3 2 3 3 4 6 2 2" xfId="32082"/>
    <cellStyle name="Normal 3 2 3 3 4 6 3" xfId="32081"/>
    <cellStyle name="Normal 3 2 3 3 4 7" xfId="3617"/>
    <cellStyle name="Normal 3 2 3 3 4 7 2" xfId="32084"/>
    <cellStyle name="Normal 3 2 3 3 4 7 3" xfId="32083"/>
    <cellStyle name="Normal 3 2 3 3 4 8" xfId="32085"/>
    <cellStyle name="Normal 3 2 3 3 4 8 2" xfId="32086"/>
    <cellStyle name="Normal 3 2 3 3 4 9" xfId="32087"/>
    <cellStyle name="Normal 3 2 3 3 5" xfId="3618"/>
    <cellStyle name="Normal 3 2 3 3 5 2" xfId="3619"/>
    <cellStyle name="Normal 3 2 3 3 5 2 2" xfId="3620"/>
    <cellStyle name="Normal 3 2 3 3 5 2 2 2" xfId="3621"/>
    <cellStyle name="Normal 3 2 3 3 5 2 2 3" xfId="32090"/>
    <cellStyle name="Normal 3 2 3 3 5 2 3" xfId="3622"/>
    <cellStyle name="Normal 3 2 3 3 5 2 3 2" xfId="3623"/>
    <cellStyle name="Normal 3 2 3 3 5 2 4" xfId="3624"/>
    <cellStyle name="Normal 3 2 3 3 5 2 5" xfId="32089"/>
    <cellStyle name="Normal 3 2 3 3 5 3" xfId="3625"/>
    <cellStyle name="Normal 3 2 3 3 5 3 2" xfId="3626"/>
    <cellStyle name="Normal 3 2 3 3 5 3 2 2" xfId="32092"/>
    <cellStyle name="Normal 3 2 3 3 5 3 3" xfId="3627"/>
    <cellStyle name="Normal 3 2 3 3 5 3 4" xfId="32091"/>
    <cellStyle name="Normal 3 2 3 3 5 4" xfId="3628"/>
    <cellStyle name="Normal 3 2 3 3 5 4 2" xfId="3629"/>
    <cellStyle name="Normal 3 2 3 3 5 4 2 2" xfId="32094"/>
    <cellStyle name="Normal 3 2 3 3 5 4 3" xfId="32093"/>
    <cellStyle name="Normal 3 2 3 3 5 5" xfId="3630"/>
    <cellStyle name="Normal 3 2 3 3 5 5 2" xfId="3631"/>
    <cellStyle name="Normal 3 2 3 3 5 5 3" xfId="32095"/>
    <cellStyle name="Normal 3 2 3 3 5 6" xfId="3632"/>
    <cellStyle name="Normal 3 2 3 3 5 6 2" xfId="32096"/>
    <cellStyle name="Normal 3 2 3 3 5 7" xfId="32088"/>
    <cellStyle name="Normal 3 2 3 3 6" xfId="3633"/>
    <cellStyle name="Normal 3 2 3 3 6 2" xfId="3634"/>
    <cellStyle name="Normal 3 2 3 3 6 2 2" xfId="3635"/>
    <cellStyle name="Normal 3 2 3 3 6 2 2 2" xfId="32099"/>
    <cellStyle name="Normal 3 2 3 3 6 2 3" xfId="32098"/>
    <cellStyle name="Normal 3 2 3 3 6 3" xfId="3636"/>
    <cellStyle name="Normal 3 2 3 3 6 3 2" xfId="3637"/>
    <cellStyle name="Normal 3 2 3 3 6 3 2 2" xfId="32101"/>
    <cellStyle name="Normal 3 2 3 3 6 3 3" xfId="32100"/>
    <cellStyle name="Normal 3 2 3 3 6 4" xfId="3638"/>
    <cellStyle name="Normal 3 2 3 3 6 4 2" xfId="32103"/>
    <cellStyle name="Normal 3 2 3 3 6 4 3" xfId="32102"/>
    <cellStyle name="Normal 3 2 3 3 6 5" xfId="32104"/>
    <cellStyle name="Normal 3 2 3 3 6 6" xfId="32105"/>
    <cellStyle name="Normal 3 2 3 3 6 7" xfId="32097"/>
    <cellStyle name="Normal 3 2 3 3 7" xfId="3639"/>
    <cellStyle name="Normal 3 2 3 3 7 2" xfId="3640"/>
    <cellStyle name="Normal 3 2 3 3 7 2 2" xfId="3641"/>
    <cellStyle name="Normal 3 2 3 3 7 2 2 2" xfId="32108"/>
    <cellStyle name="Normal 3 2 3 3 7 2 3" xfId="32107"/>
    <cellStyle name="Normal 3 2 3 3 7 3" xfId="3642"/>
    <cellStyle name="Normal 3 2 3 3 7 3 2" xfId="3643"/>
    <cellStyle name="Normal 3 2 3 3 7 3 2 2" xfId="32110"/>
    <cellStyle name="Normal 3 2 3 3 7 3 3" xfId="32109"/>
    <cellStyle name="Normal 3 2 3 3 7 4" xfId="3644"/>
    <cellStyle name="Normal 3 2 3 3 7 4 2" xfId="32112"/>
    <cellStyle name="Normal 3 2 3 3 7 4 3" xfId="32111"/>
    <cellStyle name="Normal 3 2 3 3 7 5" xfId="32113"/>
    <cellStyle name="Normal 3 2 3 3 7 6" xfId="32114"/>
    <cellStyle name="Normal 3 2 3 3 7 7" xfId="32106"/>
    <cellStyle name="Normal 3 2 3 3 8" xfId="3645"/>
    <cellStyle name="Normal 3 2 3 3 8 2" xfId="3646"/>
    <cellStyle name="Normal 3 2 3 3 8 2 2" xfId="32117"/>
    <cellStyle name="Normal 3 2 3 3 8 2 3" xfId="32116"/>
    <cellStyle name="Normal 3 2 3 3 8 3" xfId="3647"/>
    <cellStyle name="Normal 3 2 3 3 8 3 2" xfId="32119"/>
    <cellStyle name="Normal 3 2 3 3 8 3 3" xfId="32118"/>
    <cellStyle name="Normal 3 2 3 3 8 4" xfId="32120"/>
    <cellStyle name="Normal 3 2 3 3 8 5" xfId="32121"/>
    <cellStyle name="Normal 3 2 3 3 8 6" xfId="32115"/>
    <cellStyle name="Normal 3 2 3 3 9" xfId="3648"/>
    <cellStyle name="Normal 3 2 3 3 9 2" xfId="3649"/>
    <cellStyle name="Normal 3 2 3 3 9 2 2" xfId="32123"/>
    <cellStyle name="Normal 3 2 3 3 9 3" xfId="32122"/>
    <cellStyle name="Normal 3 2 3 4" xfId="3650"/>
    <cellStyle name="Normal 3 2 3 4 10" xfId="3651"/>
    <cellStyle name="Normal 3 2 3 4 10 2" xfId="32126"/>
    <cellStyle name="Normal 3 2 3 4 10 3" xfId="32125"/>
    <cellStyle name="Normal 3 2 3 4 11" xfId="32127"/>
    <cellStyle name="Normal 3 2 3 4 12" xfId="32128"/>
    <cellStyle name="Normal 3 2 3 4 13" xfId="32124"/>
    <cellStyle name="Normal 3 2 3 4 2" xfId="3652"/>
    <cellStyle name="Normal 3 2 3 4 2 10" xfId="32130"/>
    <cellStyle name="Normal 3 2 3 4 2 11" xfId="32129"/>
    <cellStyle name="Normal 3 2 3 4 2 2" xfId="3653"/>
    <cellStyle name="Normal 3 2 3 4 2 2 2" xfId="3654"/>
    <cellStyle name="Normal 3 2 3 4 2 2 2 2" xfId="3655"/>
    <cellStyle name="Normal 3 2 3 4 2 2 2 2 2" xfId="32133"/>
    <cellStyle name="Normal 3 2 3 4 2 2 2 3" xfId="3656"/>
    <cellStyle name="Normal 3 2 3 4 2 2 2 4" xfId="32132"/>
    <cellStyle name="Normal 3 2 3 4 2 2 3" xfId="3657"/>
    <cellStyle name="Normal 3 2 3 4 2 2 3 2" xfId="3658"/>
    <cellStyle name="Normal 3 2 3 4 2 2 3 2 2" xfId="32135"/>
    <cellStyle name="Normal 3 2 3 4 2 2 3 3" xfId="32134"/>
    <cellStyle name="Normal 3 2 3 4 2 2 4" xfId="3659"/>
    <cellStyle name="Normal 3 2 3 4 2 2 4 2" xfId="3660"/>
    <cellStyle name="Normal 3 2 3 4 2 2 4 2 2" xfId="32137"/>
    <cellStyle name="Normal 3 2 3 4 2 2 4 3" xfId="32136"/>
    <cellStyle name="Normal 3 2 3 4 2 2 5" xfId="3661"/>
    <cellStyle name="Normal 3 2 3 4 2 2 5 2" xfId="32138"/>
    <cellStyle name="Normal 3 2 3 4 2 2 6" xfId="32139"/>
    <cellStyle name="Normal 3 2 3 4 2 2 7" xfId="32131"/>
    <cellStyle name="Normal 3 2 3 4 2 3" xfId="3662"/>
    <cellStyle name="Normal 3 2 3 4 2 3 2" xfId="3663"/>
    <cellStyle name="Normal 3 2 3 4 2 3 2 2" xfId="3664"/>
    <cellStyle name="Normal 3 2 3 4 2 3 2 2 2" xfId="32142"/>
    <cellStyle name="Normal 3 2 3 4 2 3 2 3" xfId="32141"/>
    <cellStyle name="Normal 3 2 3 4 2 3 3" xfId="3665"/>
    <cellStyle name="Normal 3 2 3 4 2 3 3 2" xfId="3666"/>
    <cellStyle name="Normal 3 2 3 4 2 3 3 2 2" xfId="32144"/>
    <cellStyle name="Normal 3 2 3 4 2 3 3 3" xfId="32143"/>
    <cellStyle name="Normal 3 2 3 4 2 3 4" xfId="3667"/>
    <cellStyle name="Normal 3 2 3 4 2 3 4 2" xfId="32146"/>
    <cellStyle name="Normal 3 2 3 4 2 3 4 3" xfId="32145"/>
    <cellStyle name="Normal 3 2 3 4 2 3 5" xfId="32147"/>
    <cellStyle name="Normal 3 2 3 4 2 3 6" xfId="32148"/>
    <cellStyle name="Normal 3 2 3 4 2 3 7" xfId="32140"/>
    <cellStyle name="Normal 3 2 3 4 2 4" xfId="3668"/>
    <cellStyle name="Normal 3 2 3 4 2 4 2" xfId="3669"/>
    <cellStyle name="Normal 3 2 3 4 2 4 2 2" xfId="32151"/>
    <cellStyle name="Normal 3 2 3 4 2 4 2 3" xfId="32150"/>
    <cellStyle name="Normal 3 2 3 4 2 4 3" xfId="3670"/>
    <cellStyle name="Normal 3 2 3 4 2 4 3 2" xfId="32153"/>
    <cellStyle name="Normal 3 2 3 4 2 4 3 3" xfId="32152"/>
    <cellStyle name="Normal 3 2 3 4 2 4 4" xfId="32154"/>
    <cellStyle name="Normal 3 2 3 4 2 4 4 2" xfId="32155"/>
    <cellStyle name="Normal 3 2 3 4 2 4 5" xfId="32156"/>
    <cellStyle name="Normal 3 2 3 4 2 4 6" xfId="32157"/>
    <cellStyle name="Normal 3 2 3 4 2 4 7" xfId="32149"/>
    <cellStyle name="Normal 3 2 3 4 2 5" xfId="3671"/>
    <cellStyle name="Normal 3 2 3 4 2 5 2" xfId="3672"/>
    <cellStyle name="Normal 3 2 3 4 2 5 2 2" xfId="32160"/>
    <cellStyle name="Normal 3 2 3 4 2 5 2 3" xfId="32159"/>
    <cellStyle name="Normal 3 2 3 4 2 5 3" xfId="32161"/>
    <cellStyle name="Normal 3 2 3 4 2 5 3 2" xfId="32162"/>
    <cellStyle name="Normal 3 2 3 4 2 5 4" xfId="32163"/>
    <cellStyle name="Normal 3 2 3 4 2 5 5" xfId="32164"/>
    <cellStyle name="Normal 3 2 3 4 2 5 6" xfId="32158"/>
    <cellStyle name="Normal 3 2 3 4 2 6" xfId="3673"/>
    <cellStyle name="Normal 3 2 3 4 2 6 2" xfId="3674"/>
    <cellStyle name="Normal 3 2 3 4 2 6 2 2" xfId="32166"/>
    <cellStyle name="Normal 3 2 3 4 2 6 3" xfId="32165"/>
    <cellStyle name="Normal 3 2 3 4 2 7" xfId="3675"/>
    <cellStyle name="Normal 3 2 3 4 2 7 2" xfId="32168"/>
    <cellStyle name="Normal 3 2 3 4 2 7 3" xfId="32167"/>
    <cellStyle name="Normal 3 2 3 4 2 8" xfId="32169"/>
    <cellStyle name="Normal 3 2 3 4 2 8 2" xfId="32170"/>
    <cellStyle name="Normal 3 2 3 4 2 9" xfId="32171"/>
    <cellStyle name="Normal 3 2 3 4 3" xfId="3676"/>
    <cellStyle name="Normal 3 2 3 4 3 10" xfId="32173"/>
    <cellStyle name="Normal 3 2 3 4 3 11" xfId="32172"/>
    <cellStyle name="Normal 3 2 3 4 3 2" xfId="3677"/>
    <cellStyle name="Normal 3 2 3 4 3 2 2" xfId="3678"/>
    <cellStyle name="Normal 3 2 3 4 3 2 2 2" xfId="3679"/>
    <cellStyle name="Normal 3 2 3 4 3 2 2 2 2" xfId="32176"/>
    <cellStyle name="Normal 3 2 3 4 3 2 2 3" xfId="3680"/>
    <cellStyle name="Normal 3 2 3 4 3 2 2 4" xfId="32175"/>
    <cellStyle name="Normal 3 2 3 4 3 2 3" xfId="3681"/>
    <cellStyle name="Normal 3 2 3 4 3 2 3 2" xfId="3682"/>
    <cellStyle name="Normal 3 2 3 4 3 2 3 2 2" xfId="32178"/>
    <cellStyle name="Normal 3 2 3 4 3 2 3 3" xfId="32177"/>
    <cellStyle name="Normal 3 2 3 4 3 2 4" xfId="3683"/>
    <cellStyle name="Normal 3 2 3 4 3 2 4 2" xfId="3684"/>
    <cellStyle name="Normal 3 2 3 4 3 2 4 2 2" xfId="32180"/>
    <cellStyle name="Normal 3 2 3 4 3 2 4 3" xfId="32179"/>
    <cellStyle name="Normal 3 2 3 4 3 2 5" xfId="3685"/>
    <cellStyle name="Normal 3 2 3 4 3 2 5 2" xfId="32181"/>
    <cellStyle name="Normal 3 2 3 4 3 2 6" xfId="32182"/>
    <cellStyle name="Normal 3 2 3 4 3 2 7" xfId="32174"/>
    <cellStyle name="Normal 3 2 3 4 3 3" xfId="3686"/>
    <cellStyle name="Normal 3 2 3 4 3 3 2" xfId="3687"/>
    <cellStyle name="Normal 3 2 3 4 3 3 2 2" xfId="3688"/>
    <cellStyle name="Normal 3 2 3 4 3 3 2 2 2" xfId="32185"/>
    <cellStyle name="Normal 3 2 3 4 3 3 2 3" xfId="32184"/>
    <cellStyle name="Normal 3 2 3 4 3 3 3" xfId="3689"/>
    <cellStyle name="Normal 3 2 3 4 3 3 3 2" xfId="3690"/>
    <cellStyle name="Normal 3 2 3 4 3 3 3 2 2" xfId="32187"/>
    <cellStyle name="Normal 3 2 3 4 3 3 3 3" xfId="32186"/>
    <cellStyle name="Normal 3 2 3 4 3 3 4" xfId="3691"/>
    <cellStyle name="Normal 3 2 3 4 3 3 4 2" xfId="32189"/>
    <cellStyle name="Normal 3 2 3 4 3 3 4 3" xfId="32188"/>
    <cellStyle name="Normal 3 2 3 4 3 3 5" xfId="32190"/>
    <cellStyle name="Normal 3 2 3 4 3 3 6" xfId="32191"/>
    <cellStyle name="Normal 3 2 3 4 3 3 7" xfId="32183"/>
    <cellStyle name="Normal 3 2 3 4 3 4" xfId="3692"/>
    <cellStyle name="Normal 3 2 3 4 3 4 2" xfId="3693"/>
    <cellStyle name="Normal 3 2 3 4 3 4 2 2" xfId="32194"/>
    <cellStyle name="Normal 3 2 3 4 3 4 2 3" xfId="32193"/>
    <cellStyle name="Normal 3 2 3 4 3 4 3" xfId="3694"/>
    <cellStyle name="Normal 3 2 3 4 3 4 3 2" xfId="32196"/>
    <cellStyle name="Normal 3 2 3 4 3 4 3 3" xfId="32195"/>
    <cellStyle name="Normal 3 2 3 4 3 4 4" xfId="32197"/>
    <cellStyle name="Normal 3 2 3 4 3 4 4 2" xfId="32198"/>
    <cellStyle name="Normal 3 2 3 4 3 4 5" xfId="32199"/>
    <cellStyle name="Normal 3 2 3 4 3 4 6" xfId="32200"/>
    <cellStyle name="Normal 3 2 3 4 3 4 7" xfId="32192"/>
    <cellStyle name="Normal 3 2 3 4 3 5" xfId="3695"/>
    <cellStyle name="Normal 3 2 3 4 3 5 2" xfId="3696"/>
    <cellStyle name="Normal 3 2 3 4 3 5 2 2" xfId="32203"/>
    <cellStyle name="Normal 3 2 3 4 3 5 2 3" xfId="32202"/>
    <cellStyle name="Normal 3 2 3 4 3 5 3" xfId="32204"/>
    <cellStyle name="Normal 3 2 3 4 3 5 3 2" xfId="32205"/>
    <cellStyle name="Normal 3 2 3 4 3 5 4" xfId="32206"/>
    <cellStyle name="Normal 3 2 3 4 3 5 5" xfId="32207"/>
    <cellStyle name="Normal 3 2 3 4 3 5 6" xfId="32201"/>
    <cellStyle name="Normal 3 2 3 4 3 6" xfId="3697"/>
    <cellStyle name="Normal 3 2 3 4 3 6 2" xfId="3698"/>
    <cellStyle name="Normal 3 2 3 4 3 6 2 2" xfId="32209"/>
    <cellStyle name="Normal 3 2 3 4 3 6 3" xfId="32208"/>
    <cellStyle name="Normal 3 2 3 4 3 7" xfId="3699"/>
    <cellStyle name="Normal 3 2 3 4 3 7 2" xfId="32211"/>
    <cellStyle name="Normal 3 2 3 4 3 7 3" xfId="32210"/>
    <cellStyle name="Normal 3 2 3 4 3 8" xfId="32212"/>
    <cellStyle name="Normal 3 2 3 4 3 8 2" xfId="32213"/>
    <cellStyle name="Normal 3 2 3 4 3 9" xfId="32214"/>
    <cellStyle name="Normal 3 2 3 4 4" xfId="3700"/>
    <cellStyle name="Normal 3 2 3 4 4 2" xfId="3701"/>
    <cellStyle name="Normal 3 2 3 4 4 2 2" xfId="3702"/>
    <cellStyle name="Normal 3 2 3 4 4 2 2 2" xfId="3703"/>
    <cellStyle name="Normal 3 2 3 4 4 2 2 3" xfId="32217"/>
    <cellStyle name="Normal 3 2 3 4 4 2 3" xfId="3704"/>
    <cellStyle name="Normal 3 2 3 4 4 2 3 2" xfId="3705"/>
    <cellStyle name="Normal 3 2 3 4 4 2 4" xfId="3706"/>
    <cellStyle name="Normal 3 2 3 4 4 2 5" xfId="32216"/>
    <cellStyle name="Normal 3 2 3 4 4 3" xfId="3707"/>
    <cellStyle name="Normal 3 2 3 4 4 3 2" xfId="3708"/>
    <cellStyle name="Normal 3 2 3 4 4 3 2 2" xfId="32219"/>
    <cellStyle name="Normal 3 2 3 4 4 3 3" xfId="3709"/>
    <cellStyle name="Normal 3 2 3 4 4 3 4" xfId="32218"/>
    <cellStyle name="Normal 3 2 3 4 4 4" xfId="3710"/>
    <cellStyle name="Normal 3 2 3 4 4 4 2" xfId="3711"/>
    <cellStyle name="Normal 3 2 3 4 4 4 2 2" xfId="32221"/>
    <cellStyle name="Normal 3 2 3 4 4 4 3" xfId="32220"/>
    <cellStyle name="Normal 3 2 3 4 4 5" xfId="3712"/>
    <cellStyle name="Normal 3 2 3 4 4 5 2" xfId="3713"/>
    <cellStyle name="Normal 3 2 3 4 4 5 3" xfId="32222"/>
    <cellStyle name="Normal 3 2 3 4 4 6" xfId="3714"/>
    <cellStyle name="Normal 3 2 3 4 4 6 2" xfId="32223"/>
    <cellStyle name="Normal 3 2 3 4 4 7" xfId="32215"/>
    <cellStyle name="Normal 3 2 3 4 5" xfId="3715"/>
    <cellStyle name="Normal 3 2 3 4 5 2" xfId="3716"/>
    <cellStyle name="Normal 3 2 3 4 5 2 2" xfId="3717"/>
    <cellStyle name="Normal 3 2 3 4 5 2 2 2" xfId="32226"/>
    <cellStyle name="Normal 3 2 3 4 5 2 3" xfId="32225"/>
    <cellStyle name="Normal 3 2 3 4 5 3" xfId="3718"/>
    <cellStyle name="Normal 3 2 3 4 5 3 2" xfId="3719"/>
    <cellStyle name="Normal 3 2 3 4 5 3 2 2" xfId="32228"/>
    <cellStyle name="Normal 3 2 3 4 5 3 3" xfId="32227"/>
    <cellStyle name="Normal 3 2 3 4 5 4" xfId="3720"/>
    <cellStyle name="Normal 3 2 3 4 5 4 2" xfId="32230"/>
    <cellStyle name="Normal 3 2 3 4 5 4 3" xfId="32229"/>
    <cellStyle name="Normal 3 2 3 4 5 5" xfId="32231"/>
    <cellStyle name="Normal 3 2 3 4 5 6" xfId="32232"/>
    <cellStyle name="Normal 3 2 3 4 5 7" xfId="32224"/>
    <cellStyle name="Normal 3 2 3 4 6" xfId="3721"/>
    <cellStyle name="Normal 3 2 3 4 6 2" xfId="3722"/>
    <cellStyle name="Normal 3 2 3 4 6 2 2" xfId="3723"/>
    <cellStyle name="Normal 3 2 3 4 6 2 2 2" xfId="32235"/>
    <cellStyle name="Normal 3 2 3 4 6 2 3" xfId="32234"/>
    <cellStyle name="Normal 3 2 3 4 6 3" xfId="3724"/>
    <cellStyle name="Normal 3 2 3 4 6 3 2" xfId="3725"/>
    <cellStyle name="Normal 3 2 3 4 6 3 2 2" xfId="32237"/>
    <cellStyle name="Normal 3 2 3 4 6 3 3" xfId="32236"/>
    <cellStyle name="Normal 3 2 3 4 6 4" xfId="3726"/>
    <cellStyle name="Normal 3 2 3 4 6 4 2" xfId="32239"/>
    <cellStyle name="Normal 3 2 3 4 6 4 3" xfId="32238"/>
    <cellStyle name="Normal 3 2 3 4 6 5" xfId="32240"/>
    <cellStyle name="Normal 3 2 3 4 6 6" xfId="32241"/>
    <cellStyle name="Normal 3 2 3 4 6 7" xfId="32233"/>
    <cellStyle name="Normal 3 2 3 4 7" xfId="3727"/>
    <cellStyle name="Normal 3 2 3 4 7 2" xfId="3728"/>
    <cellStyle name="Normal 3 2 3 4 7 2 2" xfId="32244"/>
    <cellStyle name="Normal 3 2 3 4 7 2 3" xfId="32243"/>
    <cellStyle name="Normal 3 2 3 4 7 3" xfId="3729"/>
    <cellStyle name="Normal 3 2 3 4 7 3 2" xfId="32246"/>
    <cellStyle name="Normal 3 2 3 4 7 3 3" xfId="32245"/>
    <cellStyle name="Normal 3 2 3 4 7 4" xfId="32247"/>
    <cellStyle name="Normal 3 2 3 4 7 5" xfId="32248"/>
    <cellStyle name="Normal 3 2 3 4 7 6" xfId="32242"/>
    <cellStyle name="Normal 3 2 3 4 8" xfId="3730"/>
    <cellStyle name="Normal 3 2 3 4 8 2" xfId="3731"/>
    <cellStyle name="Normal 3 2 3 4 8 2 2" xfId="32250"/>
    <cellStyle name="Normal 3 2 3 4 8 3" xfId="32249"/>
    <cellStyle name="Normal 3 2 3 4 9" xfId="3732"/>
    <cellStyle name="Normal 3 2 3 4 9 2" xfId="3733"/>
    <cellStyle name="Normal 3 2 3 4 9 2 2" xfId="32252"/>
    <cellStyle name="Normal 3 2 3 4 9 3" xfId="32251"/>
    <cellStyle name="Normal 3 2 3 5" xfId="3734"/>
    <cellStyle name="Normal 3 2 3 5 10" xfId="32254"/>
    <cellStyle name="Normal 3 2 3 5 11" xfId="32255"/>
    <cellStyle name="Normal 3 2 3 5 12" xfId="32253"/>
    <cellStyle name="Normal 3 2 3 5 2" xfId="3735"/>
    <cellStyle name="Normal 3 2 3 5 2 2" xfId="3736"/>
    <cellStyle name="Normal 3 2 3 5 2 2 2" xfId="3737"/>
    <cellStyle name="Normal 3 2 3 5 2 2 2 2" xfId="3738"/>
    <cellStyle name="Normal 3 2 3 5 2 2 2 3" xfId="3739"/>
    <cellStyle name="Normal 3 2 3 5 2 2 2 4" xfId="32258"/>
    <cellStyle name="Normal 3 2 3 5 2 2 3" xfId="3740"/>
    <cellStyle name="Normal 3 2 3 5 2 2 3 2" xfId="3741"/>
    <cellStyle name="Normal 3 2 3 5 2 2 4" xfId="3742"/>
    <cellStyle name="Normal 3 2 3 5 2 2 4 2" xfId="3743"/>
    <cellStyle name="Normal 3 2 3 5 2 2 5" xfId="3744"/>
    <cellStyle name="Normal 3 2 3 5 2 2 6" xfId="32257"/>
    <cellStyle name="Normal 3 2 3 5 2 3" xfId="3745"/>
    <cellStyle name="Normal 3 2 3 5 2 3 2" xfId="3746"/>
    <cellStyle name="Normal 3 2 3 5 2 3 2 2" xfId="3747"/>
    <cellStyle name="Normal 3 2 3 5 2 3 2 3" xfId="32260"/>
    <cellStyle name="Normal 3 2 3 5 2 3 3" xfId="3748"/>
    <cellStyle name="Normal 3 2 3 5 2 3 3 2" xfId="3749"/>
    <cellStyle name="Normal 3 2 3 5 2 3 4" xfId="3750"/>
    <cellStyle name="Normal 3 2 3 5 2 3 5" xfId="32259"/>
    <cellStyle name="Normal 3 2 3 5 2 4" xfId="3751"/>
    <cellStyle name="Normal 3 2 3 5 2 4 2" xfId="3752"/>
    <cellStyle name="Normal 3 2 3 5 2 4 2 2" xfId="32262"/>
    <cellStyle name="Normal 3 2 3 5 2 4 3" xfId="3753"/>
    <cellStyle name="Normal 3 2 3 5 2 4 4" xfId="32261"/>
    <cellStyle name="Normal 3 2 3 5 2 5" xfId="3754"/>
    <cellStyle name="Normal 3 2 3 5 2 5 2" xfId="3755"/>
    <cellStyle name="Normal 3 2 3 5 2 5 3" xfId="32263"/>
    <cellStyle name="Normal 3 2 3 5 2 6" xfId="3756"/>
    <cellStyle name="Normal 3 2 3 5 2 6 2" xfId="3757"/>
    <cellStyle name="Normal 3 2 3 5 2 6 3" xfId="32264"/>
    <cellStyle name="Normal 3 2 3 5 2 7" xfId="3758"/>
    <cellStyle name="Normal 3 2 3 5 2 8" xfId="32256"/>
    <cellStyle name="Normal 3 2 3 5 3" xfId="3759"/>
    <cellStyle name="Normal 3 2 3 5 3 2" xfId="3760"/>
    <cellStyle name="Normal 3 2 3 5 3 2 2" xfId="3761"/>
    <cellStyle name="Normal 3 2 3 5 3 2 2 2" xfId="32267"/>
    <cellStyle name="Normal 3 2 3 5 3 2 3" xfId="3762"/>
    <cellStyle name="Normal 3 2 3 5 3 2 4" xfId="32266"/>
    <cellStyle name="Normal 3 2 3 5 3 3" xfId="3763"/>
    <cellStyle name="Normal 3 2 3 5 3 3 2" xfId="3764"/>
    <cellStyle name="Normal 3 2 3 5 3 3 2 2" xfId="32269"/>
    <cellStyle name="Normal 3 2 3 5 3 3 3" xfId="32268"/>
    <cellStyle name="Normal 3 2 3 5 3 4" xfId="3765"/>
    <cellStyle name="Normal 3 2 3 5 3 4 2" xfId="3766"/>
    <cellStyle name="Normal 3 2 3 5 3 4 2 2" xfId="32271"/>
    <cellStyle name="Normal 3 2 3 5 3 4 3" xfId="32270"/>
    <cellStyle name="Normal 3 2 3 5 3 5" xfId="3767"/>
    <cellStyle name="Normal 3 2 3 5 3 5 2" xfId="32272"/>
    <cellStyle name="Normal 3 2 3 5 3 6" xfId="32273"/>
    <cellStyle name="Normal 3 2 3 5 3 7" xfId="32265"/>
    <cellStyle name="Normal 3 2 3 5 4" xfId="3768"/>
    <cellStyle name="Normal 3 2 3 5 4 2" xfId="3769"/>
    <cellStyle name="Normal 3 2 3 5 4 2 2" xfId="3770"/>
    <cellStyle name="Normal 3 2 3 5 4 2 2 2" xfId="32276"/>
    <cellStyle name="Normal 3 2 3 5 4 2 3" xfId="32275"/>
    <cellStyle name="Normal 3 2 3 5 4 3" xfId="3771"/>
    <cellStyle name="Normal 3 2 3 5 4 3 2" xfId="3772"/>
    <cellStyle name="Normal 3 2 3 5 4 3 2 2" xfId="32278"/>
    <cellStyle name="Normal 3 2 3 5 4 3 3" xfId="32277"/>
    <cellStyle name="Normal 3 2 3 5 4 4" xfId="3773"/>
    <cellStyle name="Normal 3 2 3 5 4 4 2" xfId="32280"/>
    <cellStyle name="Normal 3 2 3 5 4 4 3" xfId="32279"/>
    <cellStyle name="Normal 3 2 3 5 4 5" xfId="32281"/>
    <cellStyle name="Normal 3 2 3 5 4 6" xfId="32282"/>
    <cellStyle name="Normal 3 2 3 5 4 7" xfId="32274"/>
    <cellStyle name="Normal 3 2 3 5 5" xfId="3774"/>
    <cellStyle name="Normal 3 2 3 5 5 2" xfId="3775"/>
    <cellStyle name="Normal 3 2 3 5 5 2 2" xfId="32285"/>
    <cellStyle name="Normal 3 2 3 5 5 2 3" xfId="32284"/>
    <cellStyle name="Normal 3 2 3 5 5 3" xfId="3776"/>
    <cellStyle name="Normal 3 2 3 5 5 3 2" xfId="32287"/>
    <cellStyle name="Normal 3 2 3 5 5 3 3" xfId="32286"/>
    <cellStyle name="Normal 3 2 3 5 5 4" xfId="32288"/>
    <cellStyle name="Normal 3 2 3 5 5 4 2" xfId="32289"/>
    <cellStyle name="Normal 3 2 3 5 5 5" xfId="32290"/>
    <cellStyle name="Normal 3 2 3 5 5 6" xfId="32291"/>
    <cellStyle name="Normal 3 2 3 5 5 7" xfId="32283"/>
    <cellStyle name="Normal 3 2 3 5 6" xfId="3777"/>
    <cellStyle name="Normal 3 2 3 5 6 2" xfId="3778"/>
    <cellStyle name="Normal 3 2 3 5 6 2 2" xfId="32294"/>
    <cellStyle name="Normal 3 2 3 5 6 2 3" xfId="32293"/>
    <cellStyle name="Normal 3 2 3 5 6 3" xfId="32295"/>
    <cellStyle name="Normal 3 2 3 5 6 3 2" xfId="32296"/>
    <cellStyle name="Normal 3 2 3 5 6 4" xfId="32297"/>
    <cellStyle name="Normal 3 2 3 5 6 5" xfId="32298"/>
    <cellStyle name="Normal 3 2 3 5 6 6" xfId="32292"/>
    <cellStyle name="Normal 3 2 3 5 7" xfId="3779"/>
    <cellStyle name="Normal 3 2 3 5 7 2" xfId="3780"/>
    <cellStyle name="Normal 3 2 3 5 7 2 2" xfId="32300"/>
    <cellStyle name="Normal 3 2 3 5 7 3" xfId="32299"/>
    <cellStyle name="Normal 3 2 3 5 8" xfId="3781"/>
    <cellStyle name="Normal 3 2 3 5 8 2" xfId="32302"/>
    <cellStyle name="Normal 3 2 3 5 8 3" xfId="32301"/>
    <cellStyle name="Normal 3 2 3 5 9" xfId="32303"/>
    <cellStyle name="Normal 3 2 3 5 9 2" xfId="32304"/>
    <cellStyle name="Normal 3 2 3 6" xfId="3782"/>
    <cellStyle name="Normal 3 2 3 6 10" xfId="32306"/>
    <cellStyle name="Normal 3 2 3 6 11" xfId="32305"/>
    <cellStyle name="Normal 3 2 3 6 2" xfId="3783"/>
    <cellStyle name="Normal 3 2 3 6 2 2" xfId="3784"/>
    <cellStyle name="Normal 3 2 3 6 2 2 2" xfId="3785"/>
    <cellStyle name="Normal 3 2 3 6 2 2 2 2" xfId="32309"/>
    <cellStyle name="Normal 3 2 3 6 2 2 3" xfId="3786"/>
    <cellStyle name="Normal 3 2 3 6 2 2 4" xfId="32308"/>
    <cellStyle name="Normal 3 2 3 6 2 3" xfId="3787"/>
    <cellStyle name="Normal 3 2 3 6 2 3 2" xfId="3788"/>
    <cellStyle name="Normal 3 2 3 6 2 3 2 2" xfId="32311"/>
    <cellStyle name="Normal 3 2 3 6 2 3 3" xfId="32310"/>
    <cellStyle name="Normal 3 2 3 6 2 4" xfId="3789"/>
    <cellStyle name="Normal 3 2 3 6 2 4 2" xfId="3790"/>
    <cellStyle name="Normal 3 2 3 6 2 4 2 2" xfId="32313"/>
    <cellStyle name="Normal 3 2 3 6 2 4 3" xfId="32312"/>
    <cellStyle name="Normal 3 2 3 6 2 5" xfId="3791"/>
    <cellStyle name="Normal 3 2 3 6 2 5 2" xfId="32314"/>
    <cellStyle name="Normal 3 2 3 6 2 6" xfId="32315"/>
    <cellStyle name="Normal 3 2 3 6 2 7" xfId="32307"/>
    <cellStyle name="Normal 3 2 3 6 3" xfId="3792"/>
    <cellStyle name="Normal 3 2 3 6 3 2" xfId="3793"/>
    <cellStyle name="Normal 3 2 3 6 3 2 2" xfId="3794"/>
    <cellStyle name="Normal 3 2 3 6 3 2 2 2" xfId="32318"/>
    <cellStyle name="Normal 3 2 3 6 3 2 3" xfId="32317"/>
    <cellStyle name="Normal 3 2 3 6 3 3" xfId="3795"/>
    <cellStyle name="Normal 3 2 3 6 3 3 2" xfId="3796"/>
    <cellStyle name="Normal 3 2 3 6 3 3 2 2" xfId="32320"/>
    <cellStyle name="Normal 3 2 3 6 3 3 3" xfId="32319"/>
    <cellStyle name="Normal 3 2 3 6 3 4" xfId="3797"/>
    <cellStyle name="Normal 3 2 3 6 3 4 2" xfId="32322"/>
    <cellStyle name="Normal 3 2 3 6 3 4 3" xfId="32321"/>
    <cellStyle name="Normal 3 2 3 6 3 5" xfId="32323"/>
    <cellStyle name="Normal 3 2 3 6 3 6" xfId="32324"/>
    <cellStyle name="Normal 3 2 3 6 3 7" xfId="32316"/>
    <cellStyle name="Normal 3 2 3 6 4" xfId="3798"/>
    <cellStyle name="Normal 3 2 3 6 4 2" xfId="3799"/>
    <cellStyle name="Normal 3 2 3 6 4 2 2" xfId="32327"/>
    <cellStyle name="Normal 3 2 3 6 4 2 3" xfId="32326"/>
    <cellStyle name="Normal 3 2 3 6 4 3" xfId="3800"/>
    <cellStyle name="Normal 3 2 3 6 4 3 2" xfId="32329"/>
    <cellStyle name="Normal 3 2 3 6 4 3 3" xfId="32328"/>
    <cellStyle name="Normal 3 2 3 6 4 4" xfId="32330"/>
    <cellStyle name="Normal 3 2 3 6 4 4 2" xfId="32331"/>
    <cellStyle name="Normal 3 2 3 6 4 5" xfId="32332"/>
    <cellStyle name="Normal 3 2 3 6 4 6" xfId="32333"/>
    <cellStyle name="Normal 3 2 3 6 4 7" xfId="32325"/>
    <cellStyle name="Normal 3 2 3 6 5" xfId="3801"/>
    <cellStyle name="Normal 3 2 3 6 5 2" xfId="3802"/>
    <cellStyle name="Normal 3 2 3 6 5 2 2" xfId="32336"/>
    <cellStyle name="Normal 3 2 3 6 5 2 3" xfId="32335"/>
    <cellStyle name="Normal 3 2 3 6 5 3" xfId="32337"/>
    <cellStyle name="Normal 3 2 3 6 5 3 2" xfId="32338"/>
    <cellStyle name="Normal 3 2 3 6 5 4" xfId="32339"/>
    <cellStyle name="Normal 3 2 3 6 5 5" xfId="32340"/>
    <cellStyle name="Normal 3 2 3 6 5 6" xfId="32334"/>
    <cellStyle name="Normal 3 2 3 6 6" xfId="3803"/>
    <cellStyle name="Normal 3 2 3 6 6 2" xfId="3804"/>
    <cellStyle name="Normal 3 2 3 6 6 2 2" xfId="32342"/>
    <cellStyle name="Normal 3 2 3 6 6 3" xfId="32341"/>
    <cellStyle name="Normal 3 2 3 6 7" xfId="3805"/>
    <cellStyle name="Normal 3 2 3 6 7 2" xfId="32344"/>
    <cellStyle name="Normal 3 2 3 6 7 3" xfId="32343"/>
    <cellStyle name="Normal 3 2 3 6 8" xfId="32345"/>
    <cellStyle name="Normal 3 2 3 6 8 2" xfId="32346"/>
    <cellStyle name="Normal 3 2 3 6 9" xfId="32347"/>
    <cellStyle name="Normal 3 2 3 7" xfId="3806"/>
    <cellStyle name="Normal 3 2 3 7 10" xfId="32349"/>
    <cellStyle name="Normal 3 2 3 7 11" xfId="32348"/>
    <cellStyle name="Normal 3 2 3 7 2" xfId="3807"/>
    <cellStyle name="Normal 3 2 3 7 2 2" xfId="3808"/>
    <cellStyle name="Normal 3 2 3 7 2 2 2" xfId="3809"/>
    <cellStyle name="Normal 3 2 3 7 2 2 2 2" xfId="32352"/>
    <cellStyle name="Normal 3 2 3 7 2 2 3" xfId="3810"/>
    <cellStyle name="Normal 3 2 3 7 2 2 4" xfId="32351"/>
    <cellStyle name="Normal 3 2 3 7 2 3" xfId="3811"/>
    <cellStyle name="Normal 3 2 3 7 2 3 2" xfId="3812"/>
    <cellStyle name="Normal 3 2 3 7 2 3 2 2" xfId="32354"/>
    <cellStyle name="Normal 3 2 3 7 2 3 3" xfId="32353"/>
    <cellStyle name="Normal 3 2 3 7 2 4" xfId="3813"/>
    <cellStyle name="Normal 3 2 3 7 2 4 2" xfId="3814"/>
    <cellStyle name="Normal 3 2 3 7 2 4 2 2" xfId="32356"/>
    <cellStyle name="Normal 3 2 3 7 2 4 3" xfId="32355"/>
    <cellStyle name="Normal 3 2 3 7 2 5" xfId="3815"/>
    <cellStyle name="Normal 3 2 3 7 2 5 2" xfId="32357"/>
    <cellStyle name="Normal 3 2 3 7 2 6" xfId="32358"/>
    <cellStyle name="Normal 3 2 3 7 2 7" xfId="32350"/>
    <cellStyle name="Normal 3 2 3 7 3" xfId="3816"/>
    <cellStyle name="Normal 3 2 3 7 3 2" xfId="3817"/>
    <cellStyle name="Normal 3 2 3 7 3 2 2" xfId="3818"/>
    <cellStyle name="Normal 3 2 3 7 3 2 2 2" xfId="32361"/>
    <cellStyle name="Normal 3 2 3 7 3 2 3" xfId="32360"/>
    <cellStyle name="Normal 3 2 3 7 3 3" xfId="3819"/>
    <cellStyle name="Normal 3 2 3 7 3 3 2" xfId="3820"/>
    <cellStyle name="Normal 3 2 3 7 3 3 2 2" xfId="32363"/>
    <cellStyle name="Normal 3 2 3 7 3 3 3" xfId="32362"/>
    <cellStyle name="Normal 3 2 3 7 3 4" xfId="3821"/>
    <cellStyle name="Normal 3 2 3 7 3 4 2" xfId="32365"/>
    <cellStyle name="Normal 3 2 3 7 3 4 3" xfId="32364"/>
    <cellStyle name="Normal 3 2 3 7 3 5" xfId="32366"/>
    <cellStyle name="Normal 3 2 3 7 3 6" xfId="32367"/>
    <cellStyle name="Normal 3 2 3 7 3 7" xfId="32359"/>
    <cellStyle name="Normal 3 2 3 7 4" xfId="3822"/>
    <cellStyle name="Normal 3 2 3 7 4 2" xfId="3823"/>
    <cellStyle name="Normal 3 2 3 7 4 2 2" xfId="32370"/>
    <cellStyle name="Normal 3 2 3 7 4 2 3" xfId="32369"/>
    <cellStyle name="Normal 3 2 3 7 4 3" xfId="3824"/>
    <cellStyle name="Normal 3 2 3 7 4 3 2" xfId="32372"/>
    <cellStyle name="Normal 3 2 3 7 4 3 3" xfId="32371"/>
    <cellStyle name="Normal 3 2 3 7 4 4" xfId="32373"/>
    <cellStyle name="Normal 3 2 3 7 4 4 2" xfId="32374"/>
    <cellStyle name="Normal 3 2 3 7 4 5" xfId="32375"/>
    <cellStyle name="Normal 3 2 3 7 4 6" xfId="32376"/>
    <cellStyle name="Normal 3 2 3 7 4 7" xfId="32368"/>
    <cellStyle name="Normal 3 2 3 7 5" xfId="3825"/>
    <cellStyle name="Normal 3 2 3 7 5 2" xfId="3826"/>
    <cellStyle name="Normal 3 2 3 7 5 2 2" xfId="32379"/>
    <cellStyle name="Normal 3 2 3 7 5 2 3" xfId="32378"/>
    <cellStyle name="Normal 3 2 3 7 5 3" xfId="32380"/>
    <cellStyle name="Normal 3 2 3 7 5 3 2" xfId="32381"/>
    <cellStyle name="Normal 3 2 3 7 5 4" xfId="32382"/>
    <cellStyle name="Normal 3 2 3 7 5 5" xfId="32383"/>
    <cellStyle name="Normal 3 2 3 7 5 6" xfId="32377"/>
    <cellStyle name="Normal 3 2 3 7 6" xfId="3827"/>
    <cellStyle name="Normal 3 2 3 7 6 2" xfId="3828"/>
    <cellStyle name="Normal 3 2 3 7 6 2 2" xfId="32385"/>
    <cellStyle name="Normal 3 2 3 7 6 3" xfId="32384"/>
    <cellStyle name="Normal 3 2 3 7 7" xfId="3829"/>
    <cellStyle name="Normal 3 2 3 7 7 2" xfId="32387"/>
    <cellStyle name="Normal 3 2 3 7 7 3" xfId="32386"/>
    <cellStyle name="Normal 3 2 3 7 8" xfId="32388"/>
    <cellStyle name="Normal 3 2 3 7 8 2" xfId="32389"/>
    <cellStyle name="Normal 3 2 3 7 9" xfId="32390"/>
    <cellStyle name="Normal 3 2 3 8" xfId="3830"/>
    <cellStyle name="Normal 3 2 3 8 2" xfId="3831"/>
    <cellStyle name="Normal 3 2 3 8 2 2" xfId="3832"/>
    <cellStyle name="Normal 3 2 3 8 2 2 2" xfId="3833"/>
    <cellStyle name="Normal 3 2 3 8 2 2 3" xfId="32393"/>
    <cellStyle name="Normal 3 2 3 8 2 3" xfId="3834"/>
    <cellStyle name="Normal 3 2 3 8 2 3 2" xfId="3835"/>
    <cellStyle name="Normal 3 2 3 8 2 4" xfId="3836"/>
    <cellStyle name="Normal 3 2 3 8 2 5" xfId="32392"/>
    <cellStyle name="Normal 3 2 3 8 3" xfId="3837"/>
    <cellStyle name="Normal 3 2 3 8 3 2" xfId="3838"/>
    <cellStyle name="Normal 3 2 3 8 3 2 2" xfId="32395"/>
    <cellStyle name="Normal 3 2 3 8 3 3" xfId="3839"/>
    <cellStyle name="Normal 3 2 3 8 3 4" xfId="32394"/>
    <cellStyle name="Normal 3 2 3 8 4" xfId="3840"/>
    <cellStyle name="Normal 3 2 3 8 4 2" xfId="3841"/>
    <cellStyle name="Normal 3 2 3 8 4 2 2" xfId="32397"/>
    <cellStyle name="Normal 3 2 3 8 4 3" xfId="32396"/>
    <cellStyle name="Normal 3 2 3 8 5" xfId="3842"/>
    <cellStyle name="Normal 3 2 3 8 5 2" xfId="3843"/>
    <cellStyle name="Normal 3 2 3 8 5 3" xfId="32398"/>
    <cellStyle name="Normal 3 2 3 8 6" xfId="3844"/>
    <cellStyle name="Normal 3 2 3 8 6 2" xfId="32399"/>
    <cellStyle name="Normal 3 2 3 8 7" xfId="32391"/>
    <cellStyle name="Normal 3 2 3 9" xfId="3845"/>
    <cellStyle name="Normal 3 2 3 9 2" xfId="3846"/>
    <cellStyle name="Normal 3 2 3 9 2 2" xfId="3847"/>
    <cellStyle name="Normal 3 2 3 9 2 2 2" xfId="32402"/>
    <cellStyle name="Normal 3 2 3 9 2 3" xfId="32401"/>
    <cellStyle name="Normal 3 2 3 9 3" xfId="3848"/>
    <cellStyle name="Normal 3 2 3 9 3 2" xfId="3849"/>
    <cellStyle name="Normal 3 2 3 9 3 2 2" xfId="32404"/>
    <cellStyle name="Normal 3 2 3 9 3 3" xfId="32403"/>
    <cellStyle name="Normal 3 2 3 9 4" xfId="3850"/>
    <cellStyle name="Normal 3 2 3 9 4 2" xfId="32406"/>
    <cellStyle name="Normal 3 2 3 9 4 3" xfId="32405"/>
    <cellStyle name="Normal 3 2 3 9 5" xfId="32407"/>
    <cellStyle name="Normal 3 2 3 9 6" xfId="32408"/>
    <cellStyle name="Normal 3 2 3 9 7" xfId="32400"/>
    <cellStyle name="Normal 3 2 4" xfId="3851"/>
    <cellStyle name="Normal 3 2 4 10" xfId="3852"/>
    <cellStyle name="Normal 3 2 4 10 2" xfId="3853"/>
    <cellStyle name="Normal 3 2 4 10 2 2" xfId="32411"/>
    <cellStyle name="Normal 3 2 4 10 3" xfId="3854"/>
    <cellStyle name="Normal 3 2 4 10 4" xfId="32410"/>
    <cellStyle name="Normal 3 2 4 11" xfId="3855"/>
    <cellStyle name="Normal 3 2 4 11 2" xfId="3856"/>
    <cellStyle name="Normal 3 2 4 11 2 2" xfId="32413"/>
    <cellStyle name="Normal 3 2 4 11 3" xfId="32412"/>
    <cellStyle name="Normal 3 2 4 12" xfId="3857"/>
    <cellStyle name="Normal 3 2 4 12 2" xfId="3858"/>
    <cellStyle name="Normal 3 2 4 12 3" xfId="32414"/>
    <cellStyle name="Normal 3 2 4 13" xfId="3859"/>
    <cellStyle name="Normal 3 2 4 13 2" xfId="32415"/>
    <cellStyle name="Normal 3 2 4 14" xfId="32409"/>
    <cellStyle name="Normal 3 2 4 2" xfId="3860"/>
    <cellStyle name="Normal 3 2 4 2 10" xfId="3861"/>
    <cellStyle name="Normal 3 2 4 2 10 2" xfId="3862"/>
    <cellStyle name="Normal 3 2 4 2 10 3" xfId="32417"/>
    <cellStyle name="Normal 3 2 4 2 11" xfId="3863"/>
    <cellStyle name="Normal 3 2 4 2 11 2" xfId="32418"/>
    <cellStyle name="Normal 3 2 4 2 12" xfId="32416"/>
    <cellStyle name="Normal 3 2 4 2 2" xfId="3864"/>
    <cellStyle name="Normal 3 2 4 2 2 2" xfId="3865"/>
    <cellStyle name="Normal 3 2 4 2 2 2 2" xfId="3866"/>
    <cellStyle name="Normal 3 2 4 2 2 2 2 2" xfId="3867"/>
    <cellStyle name="Normal 3 2 4 2 2 2 2 2 2" xfId="3868"/>
    <cellStyle name="Normal 3 2 4 2 2 2 2 2 3" xfId="3869"/>
    <cellStyle name="Normal 3 2 4 2 2 2 2 3" xfId="3870"/>
    <cellStyle name="Normal 3 2 4 2 2 2 2 3 2" xfId="3871"/>
    <cellStyle name="Normal 3 2 4 2 2 2 2 4" xfId="3872"/>
    <cellStyle name="Normal 3 2 4 2 2 2 2 4 2" xfId="3873"/>
    <cellStyle name="Normal 3 2 4 2 2 2 2 5" xfId="3874"/>
    <cellStyle name="Normal 3 2 4 2 2 2 2 6" xfId="32421"/>
    <cellStyle name="Normal 3 2 4 2 2 2 3" xfId="3875"/>
    <cellStyle name="Normal 3 2 4 2 2 2 3 2" xfId="3876"/>
    <cellStyle name="Normal 3 2 4 2 2 2 3 2 2" xfId="3877"/>
    <cellStyle name="Normal 3 2 4 2 2 2 3 3" xfId="3878"/>
    <cellStyle name="Normal 3 2 4 2 2 2 3 3 2" xfId="3879"/>
    <cellStyle name="Normal 3 2 4 2 2 2 3 4" xfId="3880"/>
    <cellStyle name="Normal 3 2 4 2 2 2 4" xfId="3881"/>
    <cellStyle name="Normal 3 2 4 2 2 2 4 2" xfId="3882"/>
    <cellStyle name="Normal 3 2 4 2 2 2 4 3" xfId="3883"/>
    <cellStyle name="Normal 3 2 4 2 2 2 5" xfId="3884"/>
    <cellStyle name="Normal 3 2 4 2 2 2 5 2" xfId="3885"/>
    <cellStyle name="Normal 3 2 4 2 2 2 6" xfId="3886"/>
    <cellStyle name="Normal 3 2 4 2 2 2 6 2" xfId="3887"/>
    <cellStyle name="Normal 3 2 4 2 2 2 7" xfId="3888"/>
    <cellStyle name="Normal 3 2 4 2 2 2 8" xfId="32420"/>
    <cellStyle name="Normal 3 2 4 2 2 3" xfId="3889"/>
    <cellStyle name="Normal 3 2 4 2 2 3 2" xfId="3890"/>
    <cellStyle name="Normal 3 2 4 2 2 3 2 2" xfId="3891"/>
    <cellStyle name="Normal 3 2 4 2 2 3 2 3" xfId="3892"/>
    <cellStyle name="Normal 3 2 4 2 2 3 2 4" xfId="32423"/>
    <cellStyle name="Normal 3 2 4 2 2 3 3" xfId="3893"/>
    <cellStyle name="Normal 3 2 4 2 2 3 3 2" xfId="3894"/>
    <cellStyle name="Normal 3 2 4 2 2 3 4" xfId="3895"/>
    <cellStyle name="Normal 3 2 4 2 2 3 4 2" xfId="3896"/>
    <cellStyle name="Normal 3 2 4 2 2 3 5" xfId="3897"/>
    <cellStyle name="Normal 3 2 4 2 2 3 6" xfId="32422"/>
    <cellStyle name="Normal 3 2 4 2 2 4" xfId="3898"/>
    <cellStyle name="Normal 3 2 4 2 2 4 2" xfId="3899"/>
    <cellStyle name="Normal 3 2 4 2 2 4 2 2" xfId="3900"/>
    <cellStyle name="Normal 3 2 4 2 2 4 2 3" xfId="32425"/>
    <cellStyle name="Normal 3 2 4 2 2 4 3" xfId="3901"/>
    <cellStyle name="Normal 3 2 4 2 2 4 3 2" xfId="3902"/>
    <cellStyle name="Normal 3 2 4 2 2 4 4" xfId="3903"/>
    <cellStyle name="Normal 3 2 4 2 2 4 5" xfId="32424"/>
    <cellStyle name="Normal 3 2 4 2 2 5" xfId="3904"/>
    <cellStyle name="Normal 3 2 4 2 2 5 2" xfId="3905"/>
    <cellStyle name="Normal 3 2 4 2 2 5 3" xfId="3906"/>
    <cellStyle name="Normal 3 2 4 2 2 5 4" xfId="32426"/>
    <cellStyle name="Normal 3 2 4 2 2 6" xfId="3907"/>
    <cellStyle name="Normal 3 2 4 2 2 6 2" xfId="3908"/>
    <cellStyle name="Normal 3 2 4 2 2 6 3" xfId="32427"/>
    <cellStyle name="Normal 3 2 4 2 2 7" xfId="3909"/>
    <cellStyle name="Normal 3 2 4 2 2 7 2" xfId="3910"/>
    <cellStyle name="Normal 3 2 4 2 2 8" xfId="3911"/>
    <cellStyle name="Normal 3 2 4 2 2 9" xfId="32419"/>
    <cellStyle name="Normal 3 2 4 2 3" xfId="3912"/>
    <cellStyle name="Normal 3 2 4 2 3 2" xfId="3913"/>
    <cellStyle name="Normal 3 2 4 2 3 2 2" xfId="3914"/>
    <cellStyle name="Normal 3 2 4 2 3 2 2 2" xfId="3915"/>
    <cellStyle name="Normal 3 2 4 2 3 2 2 3" xfId="3916"/>
    <cellStyle name="Normal 3 2 4 2 3 2 2 4" xfId="32430"/>
    <cellStyle name="Normal 3 2 4 2 3 2 3" xfId="3917"/>
    <cellStyle name="Normal 3 2 4 2 3 2 3 2" xfId="3918"/>
    <cellStyle name="Normal 3 2 4 2 3 2 4" xfId="3919"/>
    <cellStyle name="Normal 3 2 4 2 3 2 4 2" xfId="3920"/>
    <cellStyle name="Normal 3 2 4 2 3 2 5" xfId="3921"/>
    <cellStyle name="Normal 3 2 4 2 3 2 6" xfId="32429"/>
    <cellStyle name="Normal 3 2 4 2 3 3" xfId="3922"/>
    <cellStyle name="Normal 3 2 4 2 3 3 2" xfId="3923"/>
    <cellStyle name="Normal 3 2 4 2 3 3 2 2" xfId="3924"/>
    <cellStyle name="Normal 3 2 4 2 3 3 2 3" xfId="32432"/>
    <cellStyle name="Normal 3 2 4 2 3 3 3" xfId="3925"/>
    <cellStyle name="Normal 3 2 4 2 3 3 3 2" xfId="3926"/>
    <cellStyle name="Normal 3 2 4 2 3 3 4" xfId="3927"/>
    <cellStyle name="Normal 3 2 4 2 3 3 5" xfId="32431"/>
    <cellStyle name="Normal 3 2 4 2 3 4" xfId="3928"/>
    <cellStyle name="Normal 3 2 4 2 3 4 2" xfId="3929"/>
    <cellStyle name="Normal 3 2 4 2 3 4 2 2" xfId="32434"/>
    <cellStyle name="Normal 3 2 4 2 3 4 3" xfId="3930"/>
    <cellStyle name="Normal 3 2 4 2 3 4 4" xfId="32433"/>
    <cellStyle name="Normal 3 2 4 2 3 5" xfId="3931"/>
    <cellStyle name="Normal 3 2 4 2 3 5 2" xfId="3932"/>
    <cellStyle name="Normal 3 2 4 2 3 5 3" xfId="32435"/>
    <cellStyle name="Normal 3 2 4 2 3 6" xfId="3933"/>
    <cellStyle name="Normal 3 2 4 2 3 6 2" xfId="3934"/>
    <cellStyle name="Normal 3 2 4 2 3 6 3" xfId="32436"/>
    <cellStyle name="Normal 3 2 4 2 3 7" xfId="3935"/>
    <cellStyle name="Normal 3 2 4 2 3 8" xfId="32428"/>
    <cellStyle name="Normal 3 2 4 2 4" xfId="3936"/>
    <cellStyle name="Normal 3 2 4 2 4 2" xfId="3937"/>
    <cellStyle name="Normal 3 2 4 2 4 2 2" xfId="3938"/>
    <cellStyle name="Normal 3 2 4 2 4 2 2 2" xfId="3939"/>
    <cellStyle name="Normal 3 2 4 2 4 2 2 3" xfId="3940"/>
    <cellStyle name="Normal 3 2 4 2 4 2 2 4" xfId="32439"/>
    <cellStyle name="Normal 3 2 4 2 4 2 3" xfId="3941"/>
    <cellStyle name="Normal 3 2 4 2 4 2 3 2" xfId="3942"/>
    <cellStyle name="Normal 3 2 4 2 4 2 4" xfId="3943"/>
    <cellStyle name="Normal 3 2 4 2 4 2 4 2" xfId="3944"/>
    <cellStyle name="Normal 3 2 4 2 4 2 5" xfId="3945"/>
    <cellStyle name="Normal 3 2 4 2 4 2 6" xfId="32438"/>
    <cellStyle name="Normal 3 2 4 2 4 3" xfId="3946"/>
    <cellStyle name="Normal 3 2 4 2 4 3 2" xfId="3947"/>
    <cellStyle name="Normal 3 2 4 2 4 3 2 2" xfId="3948"/>
    <cellStyle name="Normal 3 2 4 2 4 3 2 3" xfId="32441"/>
    <cellStyle name="Normal 3 2 4 2 4 3 3" xfId="3949"/>
    <cellStyle name="Normal 3 2 4 2 4 3 3 2" xfId="3950"/>
    <cellStyle name="Normal 3 2 4 2 4 3 4" xfId="3951"/>
    <cellStyle name="Normal 3 2 4 2 4 3 5" xfId="32440"/>
    <cellStyle name="Normal 3 2 4 2 4 4" xfId="3952"/>
    <cellStyle name="Normal 3 2 4 2 4 4 2" xfId="3953"/>
    <cellStyle name="Normal 3 2 4 2 4 4 2 2" xfId="32443"/>
    <cellStyle name="Normal 3 2 4 2 4 4 3" xfId="3954"/>
    <cellStyle name="Normal 3 2 4 2 4 4 4" xfId="32442"/>
    <cellStyle name="Normal 3 2 4 2 4 5" xfId="3955"/>
    <cellStyle name="Normal 3 2 4 2 4 5 2" xfId="3956"/>
    <cellStyle name="Normal 3 2 4 2 4 5 3" xfId="32444"/>
    <cellStyle name="Normal 3 2 4 2 4 6" xfId="3957"/>
    <cellStyle name="Normal 3 2 4 2 4 6 2" xfId="3958"/>
    <cellStyle name="Normal 3 2 4 2 4 6 3" xfId="32445"/>
    <cellStyle name="Normal 3 2 4 2 4 7" xfId="3959"/>
    <cellStyle name="Normal 3 2 4 2 4 8" xfId="32437"/>
    <cellStyle name="Normal 3 2 4 2 5" xfId="3960"/>
    <cellStyle name="Normal 3 2 4 2 5 2" xfId="3961"/>
    <cellStyle name="Normal 3 2 4 2 5 2 2" xfId="3962"/>
    <cellStyle name="Normal 3 2 4 2 5 2 2 2" xfId="3963"/>
    <cellStyle name="Normal 3 2 4 2 5 2 2 3" xfId="32448"/>
    <cellStyle name="Normal 3 2 4 2 5 2 3" xfId="3964"/>
    <cellStyle name="Normal 3 2 4 2 5 2 3 2" xfId="3965"/>
    <cellStyle name="Normal 3 2 4 2 5 2 4" xfId="3966"/>
    <cellStyle name="Normal 3 2 4 2 5 2 5" xfId="32447"/>
    <cellStyle name="Normal 3 2 4 2 5 3" xfId="3967"/>
    <cellStyle name="Normal 3 2 4 2 5 3 2" xfId="3968"/>
    <cellStyle name="Normal 3 2 4 2 5 3 2 2" xfId="32450"/>
    <cellStyle name="Normal 3 2 4 2 5 3 3" xfId="3969"/>
    <cellStyle name="Normal 3 2 4 2 5 3 4" xfId="32449"/>
    <cellStyle name="Normal 3 2 4 2 5 4" xfId="3970"/>
    <cellStyle name="Normal 3 2 4 2 5 4 2" xfId="3971"/>
    <cellStyle name="Normal 3 2 4 2 5 4 2 2" xfId="32452"/>
    <cellStyle name="Normal 3 2 4 2 5 4 3" xfId="32451"/>
    <cellStyle name="Normal 3 2 4 2 5 5" xfId="3972"/>
    <cellStyle name="Normal 3 2 4 2 5 5 2" xfId="3973"/>
    <cellStyle name="Normal 3 2 4 2 5 5 3" xfId="32453"/>
    <cellStyle name="Normal 3 2 4 2 5 6" xfId="3974"/>
    <cellStyle name="Normal 3 2 4 2 5 6 2" xfId="32454"/>
    <cellStyle name="Normal 3 2 4 2 5 7" xfId="32446"/>
    <cellStyle name="Normal 3 2 4 2 6" xfId="3975"/>
    <cellStyle name="Normal 3 2 4 2 6 2" xfId="3976"/>
    <cellStyle name="Normal 3 2 4 2 6 2 2" xfId="3977"/>
    <cellStyle name="Normal 3 2 4 2 6 2 2 2" xfId="32457"/>
    <cellStyle name="Normal 3 2 4 2 6 2 3" xfId="32456"/>
    <cellStyle name="Normal 3 2 4 2 6 3" xfId="3978"/>
    <cellStyle name="Normal 3 2 4 2 6 3 2" xfId="3979"/>
    <cellStyle name="Normal 3 2 4 2 6 3 2 2" xfId="32459"/>
    <cellStyle name="Normal 3 2 4 2 6 3 3" xfId="32458"/>
    <cellStyle name="Normal 3 2 4 2 6 4" xfId="3980"/>
    <cellStyle name="Normal 3 2 4 2 6 4 2" xfId="32460"/>
    <cellStyle name="Normal 3 2 4 2 6 5" xfId="32461"/>
    <cellStyle name="Normal 3 2 4 2 6 6" xfId="32455"/>
    <cellStyle name="Normal 3 2 4 2 7" xfId="3981"/>
    <cellStyle name="Normal 3 2 4 2 7 2" xfId="3982"/>
    <cellStyle name="Normal 3 2 4 2 7 2 2" xfId="3983"/>
    <cellStyle name="Normal 3 2 4 2 7 2 3" xfId="32463"/>
    <cellStyle name="Normal 3 2 4 2 7 3" xfId="3984"/>
    <cellStyle name="Normal 3 2 4 2 7 3 2" xfId="3985"/>
    <cellStyle name="Normal 3 2 4 2 7 4" xfId="3986"/>
    <cellStyle name="Normal 3 2 4 2 7 5" xfId="32462"/>
    <cellStyle name="Normal 3 2 4 2 8" xfId="3987"/>
    <cellStyle name="Normal 3 2 4 2 8 2" xfId="3988"/>
    <cellStyle name="Normal 3 2 4 2 8 2 2" xfId="32465"/>
    <cellStyle name="Normal 3 2 4 2 8 3" xfId="3989"/>
    <cellStyle name="Normal 3 2 4 2 8 4" xfId="32464"/>
    <cellStyle name="Normal 3 2 4 2 9" xfId="3990"/>
    <cellStyle name="Normal 3 2 4 2 9 2" xfId="3991"/>
    <cellStyle name="Normal 3 2 4 2 9 2 2" xfId="32467"/>
    <cellStyle name="Normal 3 2 4 2 9 3" xfId="32466"/>
    <cellStyle name="Normal 3 2 4 3" xfId="3992"/>
    <cellStyle name="Normal 3 2 4 3 10" xfId="3993"/>
    <cellStyle name="Normal 3 2 4 3 10 2" xfId="32469"/>
    <cellStyle name="Normal 3 2 4 3 11" xfId="32468"/>
    <cellStyle name="Normal 3 2 4 3 2" xfId="3994"/>
    <cellStyle name="Normal 3 2 4 3 2 2" xfId="3995"/>
    <cellStyle name="Normal 3 2 4 3 2 2 2" xfId="3996"/>
    <cellStyle name="Normal 3 2 4 3 2 2 2 2" xfId="3997"/>
    <cellStyle name="Normal 3 2 4 3 2 2 2 3" xfId="3998"/>
    <cellStyle name="Normal 3 2 4 3 2 2 2 4" xfId="32472"/>
    <cellStyle name="Normal 3 2 4 3 2 2 3" xfId="3999"/>
    <cellStyle name="Normal 3 2 4 3 2 2 3 2" xfId="4000"/>
    <cellStyle name="Normal 3 2 4 3 2 2 4" xfId="4001"/>
    <cellStyle name="Normal 3 2 4 3 2 2 4 2" xfId="4002"/>
    <cellStyle name="Normal 3 2 4 3 2 2 5" xfId="4003"/>
    <cellStyle name="Normal 3 2 4 3 2 2 6" xfId="32471"/>
    <cellStyle name="Normal 3 2 4 3 2 3" xfId="4004"/>
    <cellStyle name="Normal 3 2 4 3 2 3 2" xfId="4005"/>
    <cellStyle name="Normal 3 2 4 3 2 3 2 2" xfId="4006"/>
    <cellStyle name="Normal 3 2 4 3 2 3 2 3" xfId="32474"/>
    <cellStyle name="Normal 3 2 4 3 2 3 3" xfId="4007"/>
    <cellStyle name="Normal 3 2 4 3 2 3 3 2" xfId="4008"/>
    <cellStyle name="Normal 3 2 4 3 2 3 4" xfId="4009"/>
    <cellStyle name="Normal 3 2 4 3 2 3 5" xfId="32473"/>
    <cellStyle name="Normal 3 2 4 3 2 4" xfId="4010"/>
    <cellStyle name="Normal 3 2 4 3 2 4 2" xfId="4011"/>
    <cellStyle name="Normal 3 2 4 3 2 4 2 2" xfId="32476"/>
    <cellStyle name="Normal 3 2 4 3 2 4 3" xfId="4012"/>
    <cellStyle name="Normal 3 2 4 3 2 4 4" xfId="32475"/>
    <cellStyle name="Normal 3 2 4 3 2 5" xfId="4013"/>
    <cellStyle name="Normal 3 2 4 3 2 5 2" xfId="4014"/>
    <cellStyle name="Normal 3 2 4 3 2 5 3" xfId="32477"/>
    <cellStyle name="Normal 3 2 4 3 2 6" xfId="4015"/>
    <cellStyle name="Normal 3 2 4 3 2 6 2" xfId="4016"/>
    <cellStyle name="Normal 3 2 4 3 2 6 3" xfId="32478"/>
    <cellStyle name="Normal 3 2 4 3 2 7" xfId="4017"/>
    <cellStyle name="Normal 3 2 4 3 2 8" xfId="32470"/>
    <cellStyle name="Normal 3 2 4 3 3" xfId="4018"/>
    <cellStyle name="Normal 3 2 4 3 3 2" xfId="4019"/>
    <cellStyle name="Normal 3 2 4 3 3 2 2" xfId="4020"/>
    <cellStyle name="Normal 3 2 4 3 3 2 2 2" xfId="4021"/>
    <cellStyle name="Normal 3 2 4 3 3 2 2 3" xfId="4022"/>
    <cellStyle name="Normal 3 2 4 3 3 2 2 4" xfId="32481"/>
    <cellStyle name="Normal 3 2 4 3 3 2 3" xfId="4023"/>
    <cellStyle name="Normal 3 2 4 3 3 2 3 2" xfId="4024"/>
    <cellStyle name="Normal 3 2 4 3 3 2 4" xfId="4025"/>
    <cellStyle name="Normal 3 2 4 3 3 2 4 2" xfId="4026"/>
    <cellStyle name="Normal 3 2 4 3 3 2 5" xfId="4027"/>
    <cellStyle name="Normal 3 2 4 3 3 2 6" xfId="32480"/>
    <cellStyle name="Normal 3 2 4 3 3 3" xfId="4028"/>
    <cellStyle name="Normal 3 2 4 3 3 3 2" xfId="4029"/>
    <cellStyle name="Normal 3 2 4 3 3 3 2 2" xfId="4030"/>
    <cellStyle name="Normal 3 2 4 3 3 3 2 3" xfId="32483"/>
    <cellStyle name="Normal 3 2 4 3 3 3 3" xfId="4031"/>
    <cellStyle name="Normal 3 2 4 3 3 3 3 2" xfId="4032"/>
    <cellStyle name="Normal 3 2 4 3 3 3 4" xfId="4033"/>
    <cellStyle name="Normal 3 2 4 3 3 3 5" xfId="32482"/>
    <cellStyle name="Normal 3 2 4 3 3 4" xfId="4034"/>
    <cellStyle name="Normal 3 2 4 3 3 4 2" xfId="4035"/>
    <cellStyle name="Normal 3 2 4 3 3 4 2 2" xfId="32485"/>
    <cellStyle name="Normal 3 2 4 3 3 4 3" xfId="4036"/>
    <cellStyle name="Normal 3 2 4 3 3 4 4" xfId="32484"/>
    <cellStyle name="Normal 3 2 4 3 3 5" xfId="4037"/>
    <cellStyle name="Normal 3 2 4 3 3 5 2" xfId="4038"/>
    <cellStyle name="Normal 3 2 4 3 3 5 3" xfId="32486"/>
    <cellStyle name="Normal 3 2 4 3 3 6" xfId="4039"/>
    <cellStyle name="Normal 3 2 4 3 3 6 2" xfId="4040"/>
    <cellStyle name="Normal 3 2 4 3 3 6 3" xfId="32487"/>
    <cellStyle name="Normal 3 2 4 3 3 7" xfId="4041"/>
    <cellStyle name="Normal 3 2 4 3 3 8" xfId="32479"/>
    <cellStyle name="Normal 3 2 4 3 4" xfId="4042"/>
    <cellStyle name="Normal 3 2 4 3 4 2" xfId="4043"/>
    <cellStyle name="Normal 3 2 4 3 4 2 2" xfId="4044"/>
    <cellStyle name="Normal 3 2 4 3 4 2 2 2" xfId="4045"/>
    <cellStyle name="Normal 3 2 4 3 4 2 2 3" xfId="32490"/>
    <cellStyle name="Normal 3 2 4 3 4 2 3" xfId="4046"/>
    <cellStyle name="Normal 3 2 4 3 4 2 3 2" xfId="4047"/>
    <cellStyle name="Normal 3 2 4 3 4 2 4" xfId="4048"/>
    <cellStyle name="Normal 3 2 4 3 4 2 5" xfId="32489"/>
    <cellStyle name="Normal 3 2 4 3 4 3" xfId="4049"/>
    <cellStyle name="Normal 3 2 4 3 4 3 2" xfId="4050"/>
    <cellStyle name="Normal 3 2 4 3 4 3 2 2" xfId="32492"/>
    <cellStyle name="Normal 3 2 4 3 4 3 3" xfId="4051"/>
    <cellStyle name="Normal 3 2 4 3 4 3 4" xfId="32491"/>
    <cellStyle name="Normal 3 2 4 3 4 4" xfId="4052"/>
    <cellStyle name="Normal 3 2 4 3 4 4 2" xfId="4053"/>
    <cellStyle name="Normal 3 2 4 3 4 4 2 2" xfId="32494"/>
    <cellStyle name="Normal 3 2 4 3 4 4 3" xfId="32493"/>
    <cellStyle name="Normal 3 2 4 3 4 5" xfId="4054"/>
    <cellStyle name="Normal 3 2 4 3 4 5 2" xfId="4055"/>
    <cellStyle name="Normal 3 2 4 3 4 5 3" xfId="32495"/>
    <cellStyle name="Normal 3 2 4 3 4 6" xfId="4056"/>
    <cellStyle name="Normal 3 2 4 3 4 6 2" xfId="32496"/>
    <cellStyle name="Normal 3 2 4 3 4 7" xfId="32488"/>
    <cellStyle name="Normal 3 2 4 3 5" xfId="4057"/>
    <cellStyle name="Normal 3 2 4 3 5 2" xfId="4058"/>
    <cellStyle name="Normal 3 2 4 3 5 2 2" xfId="4059"/>
    <cellStyle name="Normal 3 2 4 3 5 2 2 2" xfId="32499"/>
    <cellStyle name="Normal 3 2 4 3 5 2 3" xfId="32498"/>
    <cellStyle name="Normal 3 2 4 3 5 3" xfId="4060"/>
    <cellStyle name="Normal 3 2 4 3 5 3 2" xfId="4061"/>
    <cellStyle name="Normal 3 2 4 3 5 3 2 2" xfId="32501"/>
    <cellStyle name="Normal 3 2 4 3 5 3 3" xfId="32500"/>
    <cellStyle name="Normal 3 2 4 3 5 4" xfId="4062"/>
    <cellStyle name="Normal 3 2 4 3 5 4 2" xfId="32502"/>
    <cellStyle name="Normal 3 2 4 3 5 5" xfId="32503"/>
    <cellStyle name="Normal 3 2 4 3 5 6" xfId="32497"/>
    <cellStyle name="Normal 3 2 4 3 6" xfId="4063"/>
    <cellStyle name="Normal 3 2 4 3 6 2" xfId="4064"/>
    <cellStyle name="Normal 3 2 4 3 6 2 2" xfId="4065"/>
    <cellStyle name="Normal 3 2 4 3 6 2 3" xfId="32505"/>
    <cellStyle name="Normal 3 2 4 3 6 3" xfId="4066"/>
    <cellStyle name="Normal 3 2 4 3 6 3 2" xfId="4067"/>
    <cellStyle name="Normal 3 2 4 3 6 4" xfId="4068"/>
    <cellStyle name="Normal 3 2 4 3 6 5" xfId="32504"/>
    <cellStyle name="Normal 3 2 4 3 7" xfId="4069"/>
    <cellStyle name="Normal 3 2 4 3 7 2" xfId="4070"/>
    <cellStyle name="Normal 3 2 4 3 7 2 2" xfId="32507"/>
    <cellStyle name="Normal 3 2 4 3 7 3" xfId="4071"/>
    <cellStyle name="Normal 3 2 4 3 7 4" xfId="32506"/>
    <cellStyle name="Normal 3 2 4 3 8" xfId="4072"/>
    <cellStyle name="Normal 3 2 4 3 8 2" xfId="4073"/>
    <cellStyle name="Normal 3 2 4 3 8 2 2" xfId="32509"/>
    <cellStyle name="Normal 3 2 4 3 8 3" xfId="32508"/>
    <cellStyle name="Normal 3 2 4 3 9" xfId="4074"/>
    <cellStyle name="Normal 3 2 4 3 9 2" xfId="4075"/>
    <cellStyle name="Normal 3 2 4 3 9 3" xfId="32510"/>
    <cellStyle name="Normal 3 2 4 4" xfId="4076"/>
    <cellStyle name="Normal 3 2 4 4 10" xfId="32512"/>
    <cellStyle name="Normal 3 2 4 4 11" xfId="32511"/>
    <cellStyle name="Normal 3 2 4 4 2" xfId="4077"/>
    <cellStyle name="Normal 3 2 4 4 2 2" xfId="4078"/>
    <cellStyle name="Normal 3 2 4 4 2 2 2" xfId="4079"/>
    <cellStyle name="Normal 3 2 4 4 2 2 2 2" xfId="4080"/>
    <cellStyle name="Normal 3 2 4 4 2 2 2 3" xfId="4081"/>
    <cellStyle name="Normal 3 2 4 4 2 2 2 4" xfId="32515"/>
    <cellStyle name="Normal 3 2 4 4 2 2 3" xfId="4082"/>
    <cellStyle name="Normal 3 2 4 4 2 2 3 2" xfId="4083"/>
    <cellStyle name="Normal 3 2 4 4 2 2 4" xfId="4084"/>
    <cellStyle name="Normal 3 2 4 4 2 2 4 2" xfId="4085"/>
    <cellStyle name="Normal 3 2 4 4 2 2 5" xfId="4086"/>
    <cellStyle name="Normal 3 2 4 4 2 2 6" xfId="32514"/>
    <cellStyle name="Normal 3 2 4 4 2 3" xfId="4087"/>
    <cellStyle name="Normal 3 2 4 4 2 3 2" xfId="4088"/>
    <cellStyle name="Normal 3 2 4 4 2 3 2 2" xfId="4089"/>
    <cellStyle name="Normal 3 2 4 4 2 3 2 3" xfId="32517"/>
    <cellStyle name="Normal 3 2 4 4 2 3 3" xfId="4090"/>
    <cellStyle name="Normal 3 2 4 4 2 3 3 2" xfId="4091"/>
    <cellStyle name="Normal 3 2 4 4 2 3 4" xfId="4092"/>
    <cellStyle name="Normal 3 2 4 4 2 3 5" xfId="32516"/>
    <cellStyle name="Normal 3 2 4 4 2 4" xfId="4093"/>
    <cellStyle name="Normal 3 2 4 4 2 4 2" xfId="4094"/>
    <cellStyle name="Normal 3 2 4 4 2 4 2 2" xfId="32519"/>
    <cellStyle name="Normal 3 2 4 4 2 4 3" xfId="4095"/>
    <cellStyle name="Normal 3 2 4 4 2 4 4" xfId="32518"/>
    <cellStyle name="Normal 3 2 4 4 2 5" xfId="4096"/>
    <cellStyle name="Normal 3 2 4 4 2 5 2" xfId="4097"/>
    <cellStyle name="Normal 3 2 4 4 2 5 3" xfId="32520"/>
    <cellStyle name="Normal 3 2 4 4 2 6" xfId="4098"/>
    <cellStyle name="Normal 3 2 4 4 2 6 2" xfId="4099"/>
    <cellStyle name="Normal 3 2 4 4 2 6 3" xfId="32521"/>
    <cellStyle name="Normal 3 2 4 4 2 7" xfId="4100"/>
    <cellStyle name="Normal 3 2 4 4 2 8" xfId="32513"/>
    <cellStyle name="Normal 3 2 4 4 3" xfId="4101"/>
    <cellStyle name="Normal 3 2 4 4 3 2" xfId="4102"/>
    <cellStyle name="Normal 3 2 4 4 3 2 2" xfId="4103"/>
    <cellStyle name="Normal 3 2 4 4 3 2 2 2" xfId="32524"/>
    <cellStyle name="Normal 3 2 4 4 3 2 3" xfId="4104"/>
    <cellStyle name="Normal 3 2 4 4 3 2 4" xfId="32523"/>
    <cellStyle name="Normal 3 2 4 4 3 3" xfId="4105"/>
    <cellStyle name="Normal 3 2 4 4 3 3 2" xfId="4106"/>
    <cellStyle name="Normal 3 2 4 4 3 3 2 2" xfId="32526"/>
    <cellStyle name="Normal 3 2 4 4 3 3 3" xfId="32525"/>
    <cellStyle name="Normal 3 2 4 4 3 4" xfId="4107"/>
    <cellStyle name="Normal 3 2 4 4 3 4 2" xfId="4108"/>
    <cellStyle name="Normal 3 2 4 4 3 4 2 2" xfId="32528"/>
    <cellStyle name="Normal 3 2 4 4 3 4 3" xfId="32527"/>
    <cellStyle name="Normal 3 2 4 4 3 5" xfId="4109"/>
    <cellStyle name="Normal 3 2 4 4 3 5 2" xfId="32529"/>
    <cellStyle name="Normal 3 2 4 4 3 6" xfId="32530"/>
    <cellStyle name="Normal 3 2 4 4 3 7" xfId="32522"/>
    <cellStyle name="Normal 3 2 4 4 4" xfId="4110"/>
    <cellStyle name="Normal 3 2 4 4 4 2" xfId="4111"/>
    <cellStyle name="Normal 3 2 4 4 4 2 2" xfId="4112"/>
    <cellStyle name="Normal 3 2 4 4 4 2 2 2" xfId="32533"/>
    <cellStyle name="Normal 3 2 4 4 4 2 3" xfId="32532"/>
    <cellStyle name="Normal 3 2 4 4 4 3" xfId="4113"/>
    <cellStyle name="Normal 3 2 4 4 4 3 2" xfId="4114"/>
    <cellStyle name="Normal 3 2 4 4 4 3 2 2" xfId="32535"/>
    <cellStyle name="Normal 3 2 4 4 4 3 3" xfId="32534"/>
    <cellStyle name="Normal 3 2 4 4 4 4" xfId="4115"/>
    <cellStyle name="Normal 3 2 4 4 4 4 2" xfId="32537"/>
    <cellStyle name="Normal 3 2 4 4 4 4 3" xfId="32536"/>
    <cellStyle name="Normal 3 2 4 4 4 5" xfId="32538"/>
    <cellStyle name="Normal 3 2 4 4 4 6" xfId="32539"/>
    <cellStyle name="Normal 3 2 4 4 4 7" xfId="32531"/>
    <cellStyle name="Normal 3 2 4 4 5" xfId="4116"/>
    <cellStyle name="Normal 3 2 4 4 5 2" xfId="4117"/>
    <cellStyle name="Normal 3 2 4 4 5 2 2" xfId="32542"/>
    <cellStyle name="Normal 3 2 4 4 5 2 3" xfId="32541"/>
    <cellStyle name="Normal 3 2 4 4 5 3" xfId="4118"/>
    <cellStyle name="Normal 3 2 4 4 5 3 2" xfId="32544"/>
    <cellStyle name="Normal 3 2 4 4 5 3 3" xfId="32543"/>
    <cellStyle name="Normal 3 2 4 4 5 4" xfId="32545"/>
    <cellStyle name="Normal 3 2 4 4 5 5" xfId="32546"/>
    <cellStyle name="Normal 3 2 4 4 5 6" xfId="32540"/>
    <cellStyle name="Normal 3 2 4 4 6" xfId="4119"/>
    <cellStyle name="Normal 3 2 4 4 6 2" xfId="4120"/>
    <cellStyle name="Normal 3 2 4 4 6 2 2" xfId="32548"/>
    <cellStyle name="Normal 3 2 4 4 6 3" xfId="32547"/>
    <cellStyle name="Normal 3 2 4 4 7" xfId="4121"/>
    <cellStyle name="Normal 3 2 4 4 7 2" xfId="4122"/>
    <cellStyle name="Normal 3 2 4 4 7 2 2" xfId="32550"/>
    <cellStyle name="Normal 3 2 4 4 7 3" xfId="32549"/>
    <cellStyle name="Normal 3 2 4 4 8" xfId="4123"/>
    <cellStyle name="Normal 3 2 4 4 8 2" xfId="32552"/>
    <cellStyle name="Normal 3 2 4 4 8 3" xfId="32551"/>
    <cellStyle name="Normal 3 2 4 4 9" xfId="32553"/>
    <cellStyle name="Normal 3 2 4 5" xfId="4124"/>
    <cellStyle name="Normal 3 2 4 5 2" xfId="4125"/>
    <cellStyle name="Normal 3 2 4 5 2 2" xfId="4126"/>
    <cellStyle name="Normal 3 2 4 5 2 2 2" xfId="4127"/>
    <cellStyle name="Normal 3 2 4 5 2 2 3" xfId="4128"/>
    <cellStyle name="Normal 3 2 4 5 2 2 4" xfId="32556"/>
    <cellStyle name="Normal 3 2 4 5 2 3" xfId="4129"/>
    <cellStyle name="Normal 3 2 4 5 2 3 2" xfId="4130"/>
    <cellStyle name="Normal 3 2 4 5 2 4" xfId="4131"/>
    <cellStyle name="Normal 3 2 4 5 2 4 2" xfId="4132"/>
    <cellStyle name="Normal 3 2 4 5 2 5" xfId="4133"/>
    <cellStyle name="Normal 3 2 4 5 2 6" xfId="32555"/>
    <cellStyle name="Normal 3 2 4 5 3" xfId="4134"/>
    <cellStyle name="Normal 3 2 4 5 3 2" xfId="4135"/>
    <cellStyle name="Normal 3 2 4 5 3 2 2" xfId="4136"/>
    <cellStyle name="Normal 3 2 4 5 3 2 3" xfId="32558"/>
    <cellStyle name="Normal 3 2 4 5 3 3" xfId="4137"/>
    <cellStyle name="Normal 3 2 4 5 3 3 2" xfId="4138"/>
    <cellStyle name="Normal 3 2 4 5 3 4" xfId="4139"/>
    <cellStyle name="Normal 3 2 4 5 3 5" xfId="32557"/>
    <cellStyle name="Normal 3 2 4 5 4" xfId="4140"/>
    <cellStyle name="Normal 3 2 4 5 4 2" xfId="4141"/>
    <cellStyle name="Normal 3 2 4 5 4 2 2" xfId="32560"/>
    <cellStyle name="Normal 3 2 4 5 4 3" xfId="4142"/>
    <cellStyle name="Normal 3 2 4 5 4 4" xfId="32559"/>
    <cellStyle name="Normal 3 2 4 5 5" xfId="4143"/>
    <cellStyle name="Normal 3 2 4 5 5 2" xfId="4144"/>
    <cellStyle name="Normal 3 2 4 5 5 3" xfId="32561"/>
    <cellStyle name="Normal 3 2 4 5 6" xfId="4145"/>
    <cellStyle name="Normal 3 2 4 5 6 2" xfId="4146"/>
    <cellStyle name="Normal 3 2 4 5 6 3" xfId="32562"/>
    <cellStyle name="Normal 3 2 4 5 7" xfId="4147"/>
    <cellStyle name="Normal 3 2 4 5 8" xfId="32554"/>
    <cellStyle name="Normal 3 2 4 6" xfId="4148"/>
    <cellStyle name="Normal 3 2 4 6 2" xfId="4149"/>
    <cellStyle name="Normal 3 2 4 6 2 2" xfId="4150"/>
    <cellStyle name="Normal 3 2 4 6 2 2 2" xfId="4151"/>
    <cellStyle name="Normal 3 2 4 6 2 2 3" xfId="4152"/>
    <cellStyle name="Normal 3 2 4 6 2 2 4" xfId="32565"/>
    <cellStyle name="Normal 3 2 4 6 2 3" xfId="4153"/>
    <cellStyle name="Normal 3 2 4 6 2 3 2" xfId="4154"/>
    <cellStyle name="Normal 3 2 4 6 2 4" xfId="4155"/>
    <cellStyle name="Normal 3 2 4 6 2 4 2" xfId="4156"/>
    <cellStyle name="Normal 3 2 4 6 2 5" xfId="4157"/>
    <cellStyle name="Normal 3 2 4 6 2 6" xfId="32564"/>
    <cellStyle name="Normal 3 2 4 6 3" xfId="4158"/>
    <cellStyle name="Normal 3 2 4 6 3 2" xfId="4159"/>
    <cellStyle name="Normal 3 2 4 6 3 2 2" xfId="4160"/>
    <cellStyle name="Normal 3 2 4 6 3 2 3" xfId="32567"/>
    <cellStyle name="Normal 3 2 4 6 3 3" xfId="4161"/>
    <cellStyle name="Normal 3 2 4 6 3 3 2" xfId="4162"/>
    <cellStyle name="Normal 3 2 4 6 3 4" xfId="4163"/>
    <cellStyle name="Normal 3 2 4 6 3 5" xfId="32566"/>
    <cellStyle name="Normal 3 2 4 6 4" xfId="4164"/>
    <cellStyle name="Normal 3 2 4 6 4 2" xfId="4165"/>
    <cellStyle name="Normal 3 2 4 6 4 2 2" xfId="32569"/>
    <cellStyle name="Normal 3 2 4 6 4 3" xfId="4166"/>
    <cellStyle name="Normal 3 2 4 6 4 4" xfId="32568"/>
    <cellStyle name="Normal 3 2 4 6 5" xfId="4167"/>
    <cellStyle name="Normal 3 2 4 6 5 2" xfId="4168"/>
    <cellStyle name="Normal 3 2 4 6 5 3" xfId="32570"/>
    <cellStyle name="Normal 3 2 4 6 6" xfId="4169"/>
    <cellStyle name="Normal 3 2 4 6 6 2" xfId="4170"/>
    <cellStyle name="Normal 3 2 4 6 6 3" xfId="32571"/>
    <cellStyle name="Normal 3 2 4 6 7" xfId="4171"/>
    <cellStyle name="Normal 3 2 4 6 8" xfId="32563"/>
    <cellStyle name="Normal 3 2 4 7" xfId="4172"/>
    <cellStyle name="Normal 3 2 4 7 2" xfId="4173"/>
    <cellStyle name="Normal 3 2 4 7 2 2" xfId="4174"/>
    <cellStyle name="Normal 3 2 4 7 2 2 2" xfId="4175"/>
    <cellStyle name="Normal 3 2 4 7 2 2 3" xfId="32574"/>
    <cellStyle name="Normal 3 2 4 7 2 3" xfId="4176"/>
    <cellStyle name="Normal 3 2 4 7 2 3 2" xfId="4177"/>
    <cellStyle name="Normal 3 2 4 7 2 4" xfId="4178"/>
    <cellStyle name="Normal 3 2 4 7 2 5" xfId="32573"/>
    <cellStyle name="Normal 3 2 4 7 3" xfId="4179"/>
    <cellStyle name="Normal 3 2 4 7 3 2" xfId="4180"/>
    <cellStyle name="Normal 3 2 4 7 3 2 2" xfId="32576"/>
    <cellStyle name="Normal 3 2 4 7 3 3" xfId="4181"/>
    <cellStyle name="Normal 3 2 4 7 3 4" xfId="32575"/>
    <cellStyle name="Normal 3 2 4 7 4" xfId="4182"/>
    <cellStyle name="Normal 3 2 4 7 4 2" xfId="4183"/>
    <cellStyle name="Normal 3 2 4 7 4 2 2" xfId="32578"/>
    <cellStyle name="Normal 3 2 4 7 4 3" xfId="32577"/>
    <cellStyle name="Normal 3 2 4 7 5" xfId="4184"/>
    <cellStyle name="Normal 3 2 4 7 5 2" xfId="4185"/>
    <cellStyle name="Normal 3 2 4 7 5 3" xfId="32579"/>
    <cellStyle name="Normal 3 2 4 7 6" xfId="4186"/>
    <cellStyle name="Normal 3 2 4 7 6 2" xfId="32580"/>
    <cellStyle name="Normal 3 2 4 7 7" xfId="32572"/>
    <cellStyle name="Normal 3 2 4 8" xfId="4187"/>
    <cellStyle name="Normal 3 2 4 8 2" xfId="4188"/>
    <cellStyle name="Normal 3 2 4 8 2 2" xfId="4189"/>
    <cellStyle name="Normal 3 2 4 8 2 2 2" xfId="32583"/>
    <cellStyle name="Normal 3 2 4 8 2 3" xfId="32582"/>
    <cellStyle name="Normal 3 2 4 8 3" xfId="4190"/>
    <cellStyle name="Normal 3 2 4 8 3 2" xfId="4191"/>
    <cellStyle name="Normal 3 2 4 8 3 2 2" xfId="32585"/>
    <cellStyle name="Normal 3 2 4 8 3 3" xfId="32584"/>
    <cellStyle name="Normal 3 2 4 8 4" xfId="4192"/>
    <cellStyle name="Normal 3 2 4 8 4 2" xfId="32586"/>
    <cellStyle name="Normal 3 2 4 8 5" xfId="32587"/>
    <cellStyle name="Normal 3 2 4 8 6" xfId="32581"/>
    <cellStyle name="Normal 3 2 4 9" xfId="4193"/>
    <cellStyle name="Normal 3 2 4 9 2" xfId="4194"/>
    <cellStyle name="Normal 3 2 4 9 2 2" xfId="4195"/>
    <cellStyle name="Normal 3 2 4 9 2 3" xfId="32589"/>
    <cellStyle name="Normal 3 2 4 9 3" xfId="4196"/>
    <cellStyle name="Normal 3 2 4 9 3 2" xfId="4197"/>
    <cellStyle name="Normal 3 2 4 9 4" xfId="4198"/>
    <cellStyle name="Normal 3 2 4 9 5" xfId="32588"/>
    <cellStyle name="Normal 3 2 5" xfId="4199"/>
    <cellStyle name="Normal 3 2 5 10" xfId="4200"/>
    <cellStyle name="Normal 3 2 5 10 2" xfId="4201"/>
    <cellStyle name="Normal 3 2 5 10 2 2" xfId="32592"/>
    <cellStyle name="Normal 3 2 5 10 3" xfId="32591"/>
    <cellStyle name="Normal 3 2 5 11" xfId="4202"/>
    <cellStyle name="Normal 3 2 5 11 2" xfId="32594"/>
    <cellStyle name="Normal 3 2 5 11 3" xfId="32593"/>
    <cellStyle name="Normal 3 2 5 12" xfId="32595"/>
    <cellStyle name="Normal 3 2 5 13" xfId="32596"/>
    <cellStyle name="Normal 3 2 5 14" xfId="32590"/>
    <cellStyle name="Normal 3 2 5 2" xfId="4203"/>
    <cellStyle name="Normal 3 2 5 2 10" xfId="32598"/>
    <cellStyle name="Normal 3 2 5 2 11" xfId="32599"/>
    <cellStyle name="Normal 3 2 5 2 12" xfId="32597"/>
    <cellStyle name="Normal 3 2 5 2 2" xfId="4204"/>
    <cellStyle name="Normal 3 2 5 2 2 2" xfId="4205"/>
    <cellStyle name="Normal 3 2 5 2 2 2 2" xfId="4206"/>
    <cellStyle name="Normal 3 2 5 2 2 2 2 2" xfId="4207"/>
    <cellStyle name="Normal 3 2 5 2 2 2 2 3" xfId="4208"/>
    <cellStyle name="Normal 3 2 5 2 2 2 2 4" xfId="32602"/>
    <cellStyle name="Normal 3 2 5 2 2 2 3" xfId="4209"/>
    <cellStyle name="Normal 3 2 5 2 2 2 3 2" xfId="4210"/>
    <cellStyle name="Normal 3 2 5 2 2 2 4" xfId="4211"/>
    <cellStyle name="Normal 3 2 5 2 2 2 4 2" xfId="4212"/>
    <cellStyle name="Normal 3 2 5 2 2 2 5" xfId="4213"/>
    <cellStyle name="Normal 3 2 5 2 2 2 6" xfId="32601"/>
    <cellStyle name="Normal 3 2 5 2 2 3" xfId="4214"/>
    <cellStyle name="Normal 3 2 5 2 2 3 2" xfId="4215"/>
    <cellStyle name="Normal 3 2 5 2 2 3 2 2" xfId="4216"/>
    <cellStyle name="Normal 3 2 5 2 2 3 2 3" xfId="32604"/>
    <cellStyle name="Normal 3 2 5 2 2 3 3" xfId="4217"/>
    <cellStyle name="Normal 3 2 5 2 2 3 3 2" xfId="4218"/>
    <cellStyle name="Normal 3 2 5 2 2 3 4" xfId="4219"/>
    <cellStyle name="Normal 3 2 5 2 2 3 5" xfId="32603"/>
    <cellStyle name="Normal 3 2 5 2 2 4" xfId="4220"/>
    <cellStyle name="Normal 3 2 5 2 2 4 2" xfId="4221"/>
    <cellStyle name="Normal 3 2 5 2 2 4 2 2" xfId="32606"/>
    <cellStyle name="Normal 3 2 5 2 2 4 3" xfId="4222"/>
    <cellStyle name="Normal 3 2 5 2 2 4 4" xfId="32605"/>
    <cellStyle name="Normal 3 2 5 2 2 5" xfId="4223"/>
    <cellStyle name="Normal 3 2 5 2 2 5 2" xfId="4224"/>
    <cellStyle name="Normal 3 2 5 2 2 5 3" xfId="32607"/>
    <cellStyle name="Normal 3 2 5 2 2 6" xfId="4225"/>
    <cellStyle name="Normal 3 2 5 2 2 6 2" xfId="4226"/>
    <cellStyle name="Normal 3 2 5 2 2 6 3" xfId="32608"/>
    <cellStyle name="Normal 3 2 5 2 2 7" xfId="4227"/>
    <cellStyle name="Normal 3 2 5 2 2 8" xfId="32600"/>
    <cellStyle name="Normal 3 2 5 2 3" xfId="4228"/>
    <cellStyle name="Normal 3 2 5 2 3 2" xfId="4229"/>
    <cellStyle name="Normal 3 2 5 2 3 2 2" xfId="4230"/>
    <cellStyle name="Normal 3 2 5 2 3 2 2 2" xfId="32611"/>
    <cellStyle name="Normal 3 2 5 2 3 2 3" xfId="4231"/>
    <cellStyle name="Normal 3 2 5 2 3 2 4" xfId="32610"/>
    <cellStyle name="Normal 3 2 5 2 3 3" xfId="4232"/>
    <cellStyle name="Normal 3 2 5 2 3 3 2" xfId="4233"/>
    <cellStyle name="Normal 3 2 5 2 3 3 2 2" xfId="32613"/>
    <cellStyle name="Normal 3 2 5 2 3 3 3" xfId="32612"/>
    <cellStyle name="Normal 3 2 5 2 3 4" xfId="4234"/>
    <cellStyle name="Normal 3 2 5 2 3 4 2" xfId="4235"/>
    <cellStyle name="Normal 3 2 5 2 3 4 2 2" xfId="32615"/>
    <cellStyle name="Normal 3 2 5 2 3 4 3" xfId="32614"/>
    <cellStyle name="Normal 3 2 5 2 3 5" xfId="4236"/>
    <cellStyle name="Normal 3 2 5 2 3 5 2" xfId="32616"/>
    <cellStyle name="Normal 3 2 5 2 3 6" xfId="32617"/>
    <cellStyle name="Normal 3 2 5 2 3 7" xfId="32609"/>
    <cellStyle name="Normal 3 2 5 2 4" xfId="4237"/>
    <cellStyle name="Normal 3 2 5 2 4 2" xfId="4238"/>
    <cellStyle name="Normal 3 2 5 2 4 2 2" xfId="4239"/>
    <cellStyle name="Normal 3 2 5 2 4 2 2 2" xfId="32620"/>
    <cellStyle name="Normal 3 2 5 2 4 2 3" xfId="32619"/>
    <cellStyle name="Normal 3 2 5 2 4 3" xfId="4240"/>
    <cellStyle name="Normal 3 2 5 2 4 3 2" xfId="4241"/>
    <cellStyle name="Normal 3 2 5 2 4 3 2 2" xfId="32622"/>
    <cellStyle name="Normal 3 2 5 2 4 3 3" xfId="32621"/>
    <cellStyle name="Normal 3 2 5 2 4 4" xfId="4242"/>
    <cellStyle name="Normal 3 2 5 2 4 4 2" xfId="32624"/>
    <cellStyle name="Normal 3 2 5 2 4 4 3" xfId="32623"/>
    <cellStyle name="Normal 3 2 5 2 4 5" xfId="32625"/>
    <cellStyle name="Normal 3 2 5 2 4 6" xfId="32626"/>
    <cellStyle name="Normal 3 2 5 2 4 7" xfId="32618"/>
    <cellStyle name="Normal 3 2 5 2 5" xfId="4243"/>
    <cellStyle name="Normal 3 2 5 2 5 2" xfId="4244"/>
    <cellStyle name="Normal 3 2 5 2 5 2 2" xfId="32629"/>
    <cellStyle name="Normal 3 2 5 2 5 2 3" xfId="32628"/>
    <cellStyle name="Normal 3 2 5 2 5 3" xfId="4245"/>
    <cellStyle name="Normal 3 2 5 2 5 3 2" xfId="32631"/>
    <cellStyle name="Normal 3 2 5 2 5 3 3" xfId="32630"/>
    <cellStyle name="Normal 3 2 5 2 5 4" xfId="32632"/>
    <cellStyle name="Normal 3 2 5 2 5 4 2" xfId="32633"/>
    <cellStyle name="Normal 3 2 5 2 5 5" xfId="32634"/>
    <cellStyle name="Normal 3 2 5 2 5 6" xfId="32635"/>
    <cellStyle name="Normal 3 2 5 2 5 7" xfId="32627"/>
    <cellStyle name="Normal 3 2 5 2 6" xfId="4246"/>
    <cellStyle name="Normal 3 2 5 2 6 2" xfId="4247"/>
    <cellStyle name="Normal 3 2 5 2 6 2 2" xfId="32638"/>
    <cellStyle name="Normal 3 2 5 2 6 2 3" xfId="32637"/>
    <cellStyle name="Normal 3 2 5 2 6 3" xfId="32639"/>
    <cellStyle name="Normal 3 2 5 2 6 3 2" xfId="32640"/>
    <cellStyle name="Normal 3 2 5 2 6 4" xfId="32641"/>
    <cellStyle name="Normal 3 2 5 2 6 5" xfId="32642"/>
    <cellStyle name="Normal 3 2 5 2 6 6" xfId="32636"/>
    <cellStyle name="Normal 3 2 5 2 7" xfId="4248"/>
    <cellStyle name="Normal 3 2 5 2 7 2" xfId="4249"/>
    <cellStyle name="Normal 3 2 5 2 7 2 2" xfId="32644"/>
    <cellStyle name="Normal 3 2 5 2 7 3" xfId="32643"/>
    <cellStyle name="Normal 3 2 5 2 8" xfId="4250"/>
    <cellStyle name="Normal 3 2 5 2 8 2" xfId="32646"/>
    <cellStyle name="Normal 3 2 5 2 8 3" xfId="32645"/>
    <cellStyle name="Normal 3 2 5 2 9" xfId="32647"/>
    <cellStyle name="Normal 3 2 5 2 9 2" xfId="32648"/>
    <cellStyle name="Normal 3 2 5 3" xfId="4251"/>
    <cellStyle name="Normal 3 2 5 3 10" xfId="32650"/>
    <cellStyle name="Normal 3 2 5 3 11" xfId="32649"/>
    <cellStyle name="Normal 3 2 5 3 2" xfId="4252"/>
    <cellStyle name="Normal 3 2 5 3 2 2" xfId="4253"/>
    <cellStyle name="Normal 3 2 5 3 2 2 2" xfId="4254"/>
    <cellStyle name="Normal 3 2 5 3 2 2 2 2" xfId="32653"/>
    <cellStyle name="Normal 3 2 5 3 2 2 3" xfId="4255"/>
    <cellStyle name="Normal 3 2 5 3 2 2 4" xfId="32652"/>
    <cellStyle name="Normal 3 2 5 3 2 3" xfId="4256"/>
    <cellStyle name="Normal 3 2 5 3 2 3 2" xfId="4257"/>
    <cellStyle name="Normal 3 2 5 3 2 3 2 2" xfId="32655"/>
    <cellStyle name="Normal 3 2 5 3 2 3 3" xfId="32654"/>
    <cellStyle name="Normal 3 2 5 3 2 4" xfId="4258"/>
    <cellStyle name="Normal 3 2 5 3 2 4 2" xfId="4259"/>
    <cellStyle name="Normal 3 2 5 3 2 4 2 2" xfId="32657"/>
    <cellStyle name="Normal 3 2 5 3 2 4 3" xfId="32656"/>
    <cellStyle name="Normal 3 2 5 3 2 5" xfId="4260"/>
    <cellStyle name="Normal 3 2 5 3 2 5 2" xfId="32658"/>
    <cellStyle name="Normal 3 2 5 3 2 6" xfId="32659"/>
    <cellStyle name="Normal 3 2 5 3 2 7" xfId="32651"/>
    <cellStyle name="Normal 3 2 5 3 3" xfId="4261"/>
    <cellStyle name="Normal 3 2 5 3 3 2" xfId="4262"/>
    <cellStyle name="Normal 3 2 5 3 3 2 2" xfId="4263"/>
    <cellStyle name="Normal 3 2 5 3 3 2 2 2" xfId="32662"/>
    <cellStyle name="Normal 3 2 5 3 3 2 3" xfId="32661"/>
    <cellStyle name="Normal 3 2 5 3 3 3" xfId="4264"/>
    <cellStyle name="Normal 3 2 5 3 3 3 2" xfId="4265"/>
    <cellStyle name="Normal 3 2 5 3 3 3 2 2" xfId="32664"/>
    <cellStyle name="Normal 3 2 5 3 3 3 3" xfId="32663"/>
    <cellStyle name="Normal 3 2 5 3 3 4" xfId="4266"/>
    <cellStyle name="Normal 3 2 5 3 3 4 2" xfId="32666"/>
    <cellStyle name="Normal 3 2 5 3 3 4 3" xfId="32665"/>
    <cellStyle name="Normal 3 2 5 3 3 5" xfId="32667"/>
    <cellStyle name="Normal 3 2 5 3 3 6" xfId="32668"/>
    <cellStyle name="Normal 3 2 5 3 3 7" xfId="32660"/>
    <cellStyle name="Normal 3 2 5 3 4" xfId="4267"/>
    <cellStyle name="Normal 3 2 5 3 4 2" xfId="4268"/>
    <cellStyle name="Normal 3 2 5 3 4 2 2" xfId="32671"/>
    <cellStyle name="Normal 3 2 5 3 4 2 3" xfId="32670"/>
    <cellStyle name="Normal 3 2 5 3 4 3" xfId="4269"/>
    <cellStyle name="Normal 3 2 5 3 4 3 2" xfId="32673"/>
    <cellStyle name="Normal 3 2 5 3 4 3 3" xfId="32672"/>
    <cellStyle name="Normal 3 2 5 3 4 4" xfId="32674"/>
    <cellStyle name="Normal 3 2 5 3 4 4 2" xfId="32675"/>
    <cellStyle name="Normal 3 2 5 3 4 5" xfId="32676"/>
    <cellStyle name="Normal 3 2 5 3 4 6" xfId="32677"/>
    <cellStyle name="Normal 3 2 5 3 4 7" xfId="32669"/>
    <cellStyle name="Normal 3 2 5 3 5" xfId="4270"/>
    <cellStyle name="Normal 3 2 5 3 5 2" xfId="4271"/>
    <cellStyle name="Normal 3 2 5 3 5 2 2" xfId="32680"/>
    <cellStyle name="Normal 3 2 5 3 5 2 3" xfId="32679"/>
    <cellStyle name="Normal 3 2 5 3 5 3" xfId="32681"/>
    <cellStyle name="Normal 3 2 5 3 5 3 2" xfId="32682"/>
    <cellStyle name="Normal 3 2 5 3 5 4" xfId="32683"/>
    <cellStyle name="Normal 3 2 5 3 5 5" xfId="32684"/>
    <cellStyle name="Normal 3 2 5 3 5 6" xfId="32678"/>
    <cellStyle name="Normal 3 2 5 3 6" xfId="4272"/>
    <cellStyle name="Normal 3 2 5 3 6 2" xfId="4273"/>
    <cellStyle name="Normal 3 2 5 3 6 2 2" xfId="32686"/>
    <cellStyle name="Normal 3 2 5 3 6 3" xfId="32685"/>
    <cellStyle name="Normal 3 2 5 3 7" xfId="4274"/>
    <cellStyle name="Normal 3 2 5 3 7 2" xfId="32688"/>
    <cellStyle name="Normal 3 2 5 3 7 3" xfId="32687"/>
    <cellStyle name="Normal 3 2 5 3 8" xfId="32689"/>
    <cellStyle name="Normal 3 2 5 3 8 2" xfId="32690"/>
    <cellStyle name="Normal 3 2 5 3 9" xfId="32691"/>
    <cellStyle name="Normal 3 2 5 4" xfId="4275"/>
    <cellStyle name="Normal 3 2 5 4 10" xfId="32693"/>
    <cellStyle name="Normal 3 2 5 4 11" xfId="32692"/>
    <cellStyle name="Normal 3 2 5 4 2" xfId="4276"/>
    <cellStyle name="Normal 3 2 5 4 2 2" xfId="4277"/>
    <cellStyle name="Normal 3 2 5 4 2 2 2" xfId="4278"/>
    <cellStyle name="Normal 3 2 5 4 2 2 2 2" xfId="32696"/>
    <cellStyle name="Normal 3 2 5 4 2 2 3" xfId="4279"/>
    <cellStyle name="Normal 3 2 5 4 2 2 4" xfId="32695"/>
    <cellStyle name="Normal 3 2 5 4 2 3" xfId="4280"/>
    <cellStyle name="Normal 3 2 5 4 2 3 2" xfId="4281"/>
    <cellStyle name="Normal 3 2 5 4 2 3 2 2" xfId="32698"/>
    <cellStyle name="Normal 3 2 5 4 2 3 3" xfId="32697"/>
    <cellStyle name="Normal 3 2 5 4 2 4" xfId="4282"/>
    <cellStyle name="Normal 3 2 5 4 2 4 2" xfId="4283"/>
    <cellStyle name="Normal 3 2 5 4 2 4 2 2" xfId="32700"/>
    <cellStyle name="Normal 3 2 5 4 2 4 3" xfId="32699"/>
    <cellStyle name="Normal 3 2 5 4 2 5" xfId="4284"/>
    <cellStyle name="Normal 3 2 5 4 2 5 2" xfId="32701"/>
    <cellStyle name="Normal 3 2 5 4 2 6" xfId="32702"/>
    <cellStyle name="Normal 3 2 5 4 2 7" xfId="32694"/>
    <cellStyle name="Normal 3 2 5 4 3" xfId="4285"/>
    <cellStyle name="Normal 3 2 5 4 3 2" xfId="4286"/>
    <cellStyle name="Normal 3 2 5 4 3 2 2" xfId="4287"/>
    <cellStyle name="Normal 3 2 5 4 3 2 2 2" xfId="32705"/>
    <cellStyle name="Normal 3 2 5 4 3 2 3" xfId="32704"/>
    <cellStyle name="Normal 3 2 5 4 3 3" xfId="4288"/>
    <cellStyle name="Normal 3 2 5 4 3 3 2" xfId="4289"/>
    <cellStyle name="Normal 3 2 5 4 3 3 2 2" xfId="32707"/>
    <cellStyle name="Normal 3 2 5 4 3 3 3" xfId="32706"/>
    <cellStyle name="Normal 3 2 5 4 3 4" xfId="4290"/>
    <cellStyle name="Normal 3 2 5 4 3 4 2" xfId="32709"/>
    <cellStyle name="Normal 3 2 5 4 3 4 3" xfId="32708"/>
    <cellStyle name="Normal 3 2 5 4 3 5" xfId="32710"/>
    <cellStyle name="Normal 3 2 5 4 3 6" xfId="32711"/>
    <cellStyle name="Normal 3 2 5 4 3 7" xfId="32703"/>
    <cellStyle name="Normal 3 2 5 4 4" xfId="4291"/>
    <cellStyle name="Normal 3 2 5 4 4 2" xfId="4292"/>
    <cellStyle name="Normal 3 2 5 4 4 2 2" xfId="32714"/>
    <cellStyle name="Normal 3 2 5 4 4 2 3" xfId="32713"/>
    <cellStyle name="Normal 3 2 5 4 4 3" xfId="4293"/>
    <cellStyle name="Normal 3 2 5 4 4 3 2" xfId="32716"/>
    <cellStyle name="Normal 3 2 5 4 4 3 3" xfId="32715"/>
    <cellStyle name="Normal 3 2 5 4 4 4" xfId="32717"/>
    <cellStyle name="Normal 3 2 5 4 4 4 2" xfId="32718"/>
    <cellStyle name="Normal 3 2 5 4 4 5" xfId="32719"/>
    <cellStyle name="Normal 3 2 5 4 4 6" xfId="32720"/>
    <cellStyle name="Normal 3 2 5 4 4 7" xfId="32712"/>
    <cellStyle name="Normal 3 2 5 4 5" xfId="4294"/>
    <cellStyle name="Normal 3 2 5 4 5 2" xfId="4295"/>
    <cellStyle name="Normal 3 2 5 4 5 2 2" xfId="32723"/>
    <cellStyle name="Normal 3 2 5 4 5 2 3" xfId="32722"/>
    <cellStyle name="Normal 3 2 5 4 5 3" xfId="32724"/>
    <cellStyle name="Normal 3 2 5 4 5 3 2" xfId="32725"/>
    <cellStyle name="Normal 3 2 5 4 5 4" xfId="32726"/>
    <cellStyle name="Normal 3 2 5 4 5 5" xfId="32727"/>
    <cellStyle name="Normal 3 2 5 4 5 6" xfId="32721"/>
    <cellStyle name="Normal 3 2 5 4 6" xfId="4296"/>
    <cellStyle name="Normal 3 2 5 4 6 2" xfId="4297"/>
    <cellStyle name="Normal 3 2 5 4 6 2 2" xfId="32729"/>
    <cellStyle name="Normal 3 2 5 4 6 3" xfId="32728"/>
    <cellStyle name="Normal 3 2 5 4 7" xfId="4298"/>
    <cellStyle name="Normal 3 2 5 4 7 2" xfId="32731"/>
    <cellStyle name="Normal 3 2 5 4 7 3" xfId="32730"/>
    <cellStyle name="Normal 3 2 5 4 8" xfId="32732"/>
    <cellStyle name="Normal 3 2 5 4 8 2" xfId="32733"/>
    <cellStyle name="Normal 3 2 5 4 9" xfId="32734"/>
    <cellStyle name="Normal 3 2 5 5" xfId="4299"/>
    <cellStyle name="Normal 3 2 5 5 2" xfId="4300"/>
    <cellStyle name="Normal 3 2 5 5 2 2" xfId="4301"/>
    <cellStyle name="Normal 3 2 5 5 2 2 2" xfId="4302"/>
    <cellStyle name="Normal 3 2 5 5 2 2 3" xfId="32737"/>
    <cellStyle name="Normal 3 2 5 5 2 3" xfId="4303"/>
    <cellStyle name="Normal 3 2 5 5 2 3 2" xfId="4304"/>
    <cellStyle name="Normal 3 2 5 5 2 4" xfId="4305"/>
    <cellStyle name="Normal 3 2 5 5 2 5" xfId="32736"/>
    <cellStyle name="Normal 3 2 5 5 3" xfId="4306"/>
    <cellStyle name="Normal 3 2 5 5 3 2" xfId="4307"/>
    <cellStyle name="Normal 3 2 5 5 3 2 2" xfId="32739"/>
    <cellStyle name="Normal 3 2 5 5 3 3" xfId="4308"/>
    <cellStyle name="Normal 3 2 5 5 3 4" xfId="32738"/>
    <cellStyle name="Normal 3 2 5 5 4" xfId="4309"/>
    <cellStyle name="Normal 3 2 5 5 4 2" xfId="4310"/>
    <cellStyle name="Normal 3 2 5 5 4 2 2" xfId="32741"/>
    <cellStyle name="Normal 3 2 5 5 4 3" xfId="32740"/>
    <cellStyle name="Normal 3 2 5 5 5" xfId="4311"/>
    <cellStyle name="Normal 3 2 5 5 5 2" xfId="4312"/>
    <cellStyle name="Normal 3 2 5 5 5 3" xfId="32742"/>
    <cellStyle name="Normal 3 2 5 5 6" xfId="4313"/>
    <cellStyle name="Normal 3 2 5 5 6 2" xfId="32743"/>
    <cellStyle name="Normal 3 2 5 5 7" xfId="32735"/>
    <cellStyle name="Normal 3 2 5 6" xfId="4314"/>
    <cellStyle name="Normal 3 2 5 6 2" xfId="4315"/>
    <cellStyle name="Normal 3 2 5 6 2 2" xfId="4316"/>
    <cellStyle name="Normal 3 2 5 6 2 2 2" xfId="32746"/>
    <cellStyle name="Normal 3 2 5 6 2 3" xfId="32745"/>
    <cellStyle name="Normal 3 2 5 6 3" xfId="4317"/>
    <cellStyle name="Normal 3 2 5 6 3 2" xfId="4318"/>
    <cellStyle name="Normal 3 2 5 6 3 2 2" xfId="32748"/>
    <cellStyle name="Normal 3 2 5 6 3 3" xfId="32747"/>
    <cellStyle name="Normal 3 2 5 6 4" xfId="4319"/>
    <cellStyle name="Normal 3 2 5 6 4 2" xfId="32750"/>
    <cellStyle name="Normal 3 2 5 6 4 3" xfId="32749"/>
    <cellStyle name="Normal 3 2 5 6 5" xfId="32751"/>
    <cellStyle name="Normal 3 2 5 6 6" xfId="32752"/>
    <cellStyle name="Normal 3 2 5 6 7" xfId="32744"/>
    <cellStyle name="Normal 3 2 5 7" xfId="4320"/>
    <cellStyle name="Normal 3 2 5 7 2" xfId="4321"/>
    <cellStyle name="Normal 3 2 5 7 2 2" xfId="4322"/>
    <cellStyle name="Normal 3 2 5 7 2 2 2" xfId="32755"/>
    <cellStyle name="Normal 3 2 5 7 2 3" xfId="32754"/>
    <cellStyle name="Normal 3 2 5 7 3" xfId="4323"/>
    <cellStyle name="Normal 3 2 5 7 3 2" xfId="4324"/>
    <cellStyle name="Normal 3 2 5 7 3 2 2" xfId="32757"/>
    <cellStyle name="Normal 3 2 5 7 3 3" xfId="32756"/>
    <cellStyle name="Normal 3 2 5 7 4" xfId="4325"/>
    <cellStyle name="Normal 3 2 5 7 4 2" xfId="32759"/>
    <cellStyle name="Normal 3 2 5 7 4 3" xfId="32758"/>
    <cellStyle name="Normal 3 2 5 7 5" xfId="32760"/>
    <cellStyle name="Normal 3 2 5 7 6" xfId="32761"/>
    <cellStyle name="Normal 3 2 5 7 7" xfId="32753"/>
    <cellStyle name="Normal 3 2 5 8" xfId="4326"/>
    <cellStyle name="Normal 3 2 5 8 2" xfId="4327"/>
    <cellStyle name="Normal 3 2 5 8 2 2" xfId="32764"/>
    <cellStyle name="Normal 3 2 5 8 2 3" xfId="32763"/>
    <cellStyle name="Normal 3 2 5 8 3" xfId="4328"/>
    <cellStyle name="Normal 3 2 5 8 3 2" xfId="32766"/>
    <cellStyle name="Normal 3 2 5 8 3 3" xfId="32765"/>
    <cellStyle name="Normal 3 2 5 8 4" xfId="32767"/>
    <cellStyle name="Normal 3 2 5 8 5" xfId="32768"/>
    <cellStyle name="Normal 3 2 5 8 6" xfId="32762"/>
    <cellStyle name="Normal 3 2 5 9" xfId="4329"/>
    <cellStyle name="Normal 3 2 5 9 2" xfId="4330"/>
    <cellStyle name="Normal 3 2 5 9 2 2" xfId="32770"/>
    <cellStyle name="Normal 3 2 5 9 3" xfId="32769"/>
    <cellStyle name="Normal 3 2 6" xfId="4331"/>
    <cellStyle name="Normal 3 2 6 10" xfId="4332"/>
    <cellStyle name="Normal 3 2 6 10 2" xfId="4333"/>
    <cellStyle name="Normal 3 2 6 10 2 2" xfId="32773"/>
    <cellStyle name="Normal 3 2 6 10 3" xfId="32772"/>
    <cellStyle name="Normal 3 2 6 11" xfId="4334"/>
    <cellStyle name="Normal 3 2 6 11 2" xfId="32774"/>
    <cellStyle name="Normal 3 2 6 12" xfId="32775"/>
    <cellStyle name="Normal 3 2 6 13" xfId="32771"/>
    <cellStyle name="Normal 3 2 6 2" xfId="4335"/>
    <cellStyle name="Normal 3 2 6 2 10" xfId="32777"/>
    <cellStyle name="Normal 3 2 6 2 11" xfId="32776"/>
    <cellStyle name="Normal 3 2 6 2 2" xfId="4336"/>
    <cellStyle name="Normal 3 2 6 2 2 2" xfId="4337"/>
    <cellStyle name="Normal 3 2 6 2 2 2 2" xfId="4338"/>
    <cellStyle name="Normal 3 2 6 2 2 2 2 2" xfId="4339"/>
    <cellStyle name="Normal 3 2 6 2 2 2 2 3" xfId="4340"/>
    <cellStyle name="Normal 3 2 6 2 2 2 2 4" xfId="32780"/>
    <cellStyle name="Normal 3 2 6 2 2 2 3" xfId="4341"/>
    <cellStyle name="Normal 3 2 6 2 2 2 3 2" xfId="4342"/>
    <cellStyle name="Normal 3 2 6 2 2 2 4" xfId="4343"/>
    <cellStyle name="Normal 3 2 6 2 2 2 4 2" xfId="4344"/>
    <cellStyle name="Normal 3 2 6 2 2 2 5" xfId="4345"/>
    <cellStyle name="Normal 3 2 6 2 2 2 6" xfId="32779"/>
    <cellStyle name="Normal 3 2 6 2 2 3" xfId="4346"/>
    <cellStyle name="Normal 3 2 6 2 2 3 2" xfId="4347"/>
    <cellStyle name="Normal 3 2 6 2 2 3 2 2" xfId="4348"/>
    <cellStyle name="Normal 3 2 6 2 2 3 2 3" xfId="32782"/>
    <cellStyle name="Normal 3 2 6 2 2 3 3" xfId="4349"/>
    <cellStyle name="Normal 3 2 6 2 2 3 3 2" xfId="4350"/>
    <cellStyle name="Normal 3 2 6 2 2 3 4" xfId="4351"/>
    <cellStyle name="Normal 3 2 6 2 2 3 5" xfId="32781"/>
    <cellStyle name="Normal 3 2 6 2 2 4" xfId="4352"/>
    <cellStyle name="Normal 3 2 6 2 2 4 2" xfId="4353"/>
    <cellStyle name="Normal 3 2 6 2 2 4 2 2" xfId="32784"/>
    <cellStyle name="Normal 3 2 6 2 2 4 3" xfId="4354"/>
    <cellStyle name="Normal 3 2 6 2 2 4 4" xfId="32783"/>
    <cellStyle name="Normal 3 2 6 2 2 5" xfId="4355"/>
    <cellStyle name="Normal 3 2 6 2 2 5 2" xfId="4356"/>
    <cellStyle name="Normal 3 2 6 2 2 5 3" xfId="32785"/>
    <cellStyle name="Normal 3 2 6 2 2 6" xfId="4357"/>
    <cellStyle name="Normal 3 2 6 2 2 6 2" xfId="4358"/>
    <cellStyle name="Normal 3 2 6 2 2 6 3" xfId="32786"/>
    <cellStyle name="Normal 3 2 6 2 2 7" xfId="4359"/>
    <cellStyle name="Normal 3 2 6 2 2 8" xfId="32778"/>
    <cellStyle name="Normal 3 2 6 2 3" xfId="4360"/>
    <cellStyle name="Normal 3 2 6 2 3 2" xfId="4361"/>
    <cellStyle name="Normal 3 2 6 2 3 2 2" xfId="4362"/>
    <cellStyle name="Normal 3 2 6 2 3 2 2 2" xfId="32789"/>
    <cellStyle name="Normal 3 2 6 2 3 2 3" xfId="4363"/>
    <cellStyle name="Normal 3 2 6 2 3 2 4" xfId="32788"/>
    <cellStyle name="Normal 3 2 6 2 3 3" xfId="4364"/>
    <cellStyle name="Normal 3 2 6 2 3 3 2" xfId="4365"/>
    <cellStyle name="Normal 3 2 6 2 3 3 2 2" xfId="32791"/>
    <cellStyle name="Normal 3 2 6 2 3 3 3" xfId="32790"/>
    <cellStyle name="Normal 3 2 6 2 3 4" xfId="4366"/>
    <cellStyle name="Normal 3 2 6 2 3 4 2" xfId="4367"/>
    <cellStyle name="Normal 3 2 6 2 3 4 2 2" xfId="32793"/>
    <cellStyle name="Normal 3 2 6 2 3 4 3" xfId="32792"/>
    <cellStyle name="Normal 3 2 6 2 3 5" xfId="4368"/>
    <cellStyle name="Normal 3 2 6 2 3 5 2" xfId="32794"/>
    <cellStyle name="Normal 3 2 6 2 3 6" xfId="32795"/>
    <cellStyle name="Normal 3 2 6 2 3 7" xfId="32787"/>
    <cellStyle name="Normal 3 2 6 2 4" xfId="4369"/>
    <cellStyle name="Normal 3 2 6 2 4 2" xfId="4370"/>
    <cellStyle name="Normal 3 2 6 2 4 2 2" xfId="4371"/>
    <cellStyle name="Normal 3 2 6 2 4 2 2 2" xfId="32798"/>
    <cellStyle name="Normal 3 2 6 2 4 2 3" xfId="32797"/>
    <cellStyle name="Normal 3 2 6 2 4 3" xfId="4372"/>
    <cellStyle name="Normal 3 2 6 2 4 3 2" xfId="4373"/>
    <cellStyle name="Normal 3 2 6 2 4 3 2 2" xfId="32800"/>
    <cellStyle name="Normal 3 2 6 2 4 3 3" xfId="32799"/>
    <cellStyle name="Normal 3 2 6 2 4 4" xfId="4374"/>
    <cellStyle name="Normal 3 2 6 2 4 4 2" xfId="32802"/>
    <cellStyle name="Normal 3 2 6 2 4 4 3" xfId="32801"/>
    <cellStyle name="Normal 3 2 6 2 4 5" xfId="32803"/>
    <cellStyle name="Normal 3 2 6 2 4 6" xfId="32804"/>
    <cellStyle name="Normal 3 2 6 2 4 7" xfId="32796"/>
    <cellStyle name="Normal 3 2 6 2 5" xfId="4375"/>
    <cellStyle name="Normal 3 2 6 2 5 2" xfId="4376"/>
    <cellStyle name="Normal 3 2 6 2 5 2 2" xfId="32807"/>
    <cellStyle name="Normal 3 2 6 2 5 2 3" xfId="32806"/>
    <cellStyle name="Normal 3 2 6 2 5 3" xfId="4377"/>
    <cellStyle name="Normal 3 2 6 2 5 3 2" xfId="32809"/>
    <cellStyle name="Normal 3 2 6 2 5 3 3" xfId="32808"/>
    <cellStyle name="Normal 3 2 6 2 5 4" xfId="32810"/>
    <cellStyle name="Normal 3 2 6 2 5 5" xfId="32811"/>
    <cellStyle name="Normal 3 2 6 2 5 6" xfId="32805"/>
    <cellStyle name="Normal 3 2 6 2 6" xfId="4378"/>
    <cellStyle name="Normal 3 2 6 2 6 2" xfId="4379"/>
    <cellStyle name="Normal 3 2 6 2 6 2 2" xfId="32813"/>
    <cellStyle name="Normal 3 2 6 2 6 3" xfId="32812"/>
    <cellStyle name="Normal 3 2 6 2 7" xfId="4380"/>
    <cellStyle name="Normal 3 2 6 2 7 2" xfId="4381"/>
    <cellStyle name="Normal 3 2 6 2 7 2 2" xfId="32815"/>
    <cellStyle name="Normal 3 2 6 2 7 3" xfId="32814"/>
    <cellStyle name="Normal 3 2 6 2 8" xfId="4382"/>
    <cellStyle name="Normal 3 2 6 2 8 2" xfId="32817"/>
    <cellStyle name="Normal 3 2 6 2 8 3" xfId="32816"/>
    <cellStyle name="Normal 3 2 6 2 9" xfId="32818"/>
    <cellStyle name="Normal 3 2 6 3" xfId="4383"/>
    <cellStyle name="Normal 3 2 6 3 10" xfId="32820"/>
    <cellStyle name="Normal 3 2 6 3 11" xfId="32819"/>
    <cellStyle name="Normal 3 2 6 3 2" xfId="4384"/>
    <cellStyle name="Normal 3 2 6 3 2 2" xfId="4385"/>
    <cellStyle name="Normal 3 2 6 3 2 2 2" xfId="4386"/>
    <cellStyle name="Normal 3 2 6 3 2 2 2 2" xfId="32823"/>
    <cellStyle name="Normal 3 2 6 3 2 2 3" xfId="4387"/>
    <cellStyle name="Normal 3 2 6 3 2 2 4" xfId="32822"/>
    <cellStyle name="Normal 3 2 6 3 2 3" xfId="4388"/>
    <cellStyle name="Normal 3 2 6 3 2 3 2" xfId="4389"/>
    <cellStyle name="Normal 3 2 6 3 2 3 2 2" xfId="32825"/>
    <cellStyle name="Normal 3 2 6 3 2 3 3" xfId="32824"/>
    <cellStyle name="Normal 3 2 6 3 2 4" xfId="4390"/>
    <cellStyle name="Normal 3 2 6 3 2 4 2" xfId="4391"/>
    <cellStyle name="Normal 3 2 6 3 2 4 2 2" xfId="32827"/>
    <cellStyle name="Normal 3 2 6 3 2 4 3" xfId="32826"/>
    <cellStyle name="Normal 3 2 6 3 2 5" xfId="4392"/>
    <cellStyle name="Normal 3 2 6 3 2 5 2" xfId="32828"/>
    <cellStyle name="Normal 3 2 6 3 2 6" xfId="32829"/>
    <cellStyle name="Normal 3 2 6 3 2 7" xfId="32821"/>
    <cellStyle name="Normal 3 2 6 3 3" xfId="4393"/>
    <cellStyle name="Normal 3 2 6 3 3 2" xfId="4394"/>
    <cellStyle name="Normal 3 2 6 3 3 2 2" xfId="4395"/>
    <cellStyle name="Normal 3 2 6 3 3 2 2 2" xfId="32832"/>
    <cellStyle name="Normal 3 2 6 3 3 2 3" xfId="32831"/>
    <cellStyle name="Normal 3 2 6 3 3 3" xfId="4396"/>
    <cellStyle name="Normal 3 2 6 3 3 3 2" xfId="4397"/>
    <cellStyle name="Normal 3 2 6 3 3 3 2 2" xfId="32834"/>
    <cellStyle name="Normal 3 2 6 3 3 3 3" xfId="32833"/>
    <cellStyle name="Normal 3 2 6 3 3 4" xfId="4398"/>
    <cellStyle name="Normal 3 2 6 3 3 4 2" xfId="32836"/>
    <cellStyle name="Normal 3 2 6 3 3 4 3" xfId="32835"/>
    <cellStyle name="Normal 3 2 6 3 3 5" xfId="32837"/>
    <cellStyle name="Normal 3 2 6 3 3 6" xfId="32838"/>
    <cellStyle name="Normal 3 2 6 3 3 7" xfId="32830"/>
    <cellStyle name="Normal 3 2 6 3 4" xfId="4399"/>
    <cellStyle name="Normal 3 2 6 3 4 2" xfId="4400"/>
    <cellStyle name="Normal 3 2 6 3 4 2 2" xfId="32841"/>
    <cellStyle name="Normal 3 2 6 3 4 2 3" xfId="32840"/>
    <cellStyle name="Normal 3 2 6 3 4 3" xfId="4401"/>
    <cellStyle name="Normal 3 2 6 3 4 3 2" xfId="32843"/>
    <cellStyle name="Normal 3 2 6 3 4 3 3" xfId="32842"/>
    <cellStyle name="Normal 3 2 6 3 4 4" xfId="32844"/>
    <cellStyle name="Normal 3 2 6 3 4 4 2" xfId="32845"/>
    <cellStyle name="Normal 3 2 6 3 4 5" xfId="32846"/>
    <cellStyle name="Normal 3 2 6 3 4 6" xfId="32847"/>
    <cellStyle name="Normal 3 2 6 3 4 7" xfId="32839"/>
    <cellStyle name="Normal 3 2 6 3 5" xfId="4402"/>
    <cellStyle name="Normal 3 2 6 3 5 2" xfId="4403"/>
    <cellStyle name="Normal 3 2 6 3 5 2 2" xfId="32850"/>
    <cellStyle name="Normal 3 2 6 3 5 2 3" xfId="32849"/>
    <cellStyle name="Normal 3 2 6 3 5 3" xfId="32851"/>
    <cellStyle name="Normal 3 2 6 3 5 3 2" xfId="32852"/>
    <cellStyle name="Normal 3 2 6 3 5 4" xfId="32853"/>
    <cellStyle name="Normal 3 2 6 3 5 5" xfId="32854"/>
    <cellStyle name="Normal 3 2 6 3 5 6" xfId="32848"/>
    <cellStyle name="Normal 3 2 6 3 6" xfId="4404"/>
    <cellStyle name="Normal 3 2 6 3 6 2" xfId="4405"/>
    <cellStyle name="Normal 3 2 6 3 6 2 2" xfId="32856"/>
    <cellStyle name="Normal 3 2 6 3 6 3" xfId="32855"/>
    <cellStyle name="Normal 3 2 6 3 7" xfId="4406"/>
    <cellStyle name="Normal 3 2 6 3 7 2" xfId="32858"/>
    <cellStyle name="Normal 3 2 6 3 7 3" xfId="32857"/>
    <cellStyle name="Normal 3 2 6 3 8" xfId="32859"/>
    <cellStyle name="Normal 3 2 6 3 8 2" xfId="32860"/>
    <cellStyle name="Normal 3 2 6 3 9" xfId="32861"/>
    <cellStyle name="Normal 3 2 6 4" xfId="4407"/>
    <cellStyle name="Normal 3 2 6 4 2" xfId="4408"/>
    <cellStyle name="Normal 3 2 6 4 2 2" xfId="4409"/>
    <cellStyle name="Normal 3 2 6 4 2 2 2" xfId="4410"/>
    <cellStyle name="Normal 3 2 6 4 2 2 3" xfId="4411"/>
    <cellStyle name="Normal 3 2 6 4 2 2 4" xfId="32864"/>
    <cellStyle name="Normal 3 2 6 4 2 3" xfId="4412"/>
    <cellStyle name="Normal 3 2 6 4 2 3 2" xfId="4413"/>
    <cellStyle name="Normal 3 2 6 4 2 4" xfId="4414"/>
    <cellStyle name="Normal 3 2 6 4 2 4 2" xfId="4415"/>
    <cellStyle name="Normal 3 2 6 4 2 5" xfId="4416"/>
    <cellStyle name="Normal 3 2 6 4 2 6" xfId="32863"/>
    <cellStyle name="Normal 3 2 6 4 3" xfId="4417"/>
    <cellStyle name="Normal 3 2 6 4 3 2" xfId="4418"/>
    <cellStyle name="Normal 3 2 6 4 3 2 2" xfId="4419"/>
    <cellStyle name="Normal 3 2 6 4 3 2 3" xfId="32866"/>
    <cellStyle name="Normal 3 2 6 4 3 3" xfId="4420"/>
    <cellStyle name="Normal 3 2 6 4 3 3 2" xfId="4421"/>
    <cellStyle name="Normal 3 2 6 4 3 4" xfId="4422"/>
    <cellStyle name="Normal 3 2 6 4 3 5" xfId="32865"/>
    <cellStyle name="Normal 3 2 6 4 4" xfId="4423"/>
    <cellStyle name="Normal 3 2 6 4 4 2" xfId="4424"/>
    <cellStyle name="Normal 3 2 6 4 4 2 2" xfId="32868"/>
    <cellStyle name="Normal 3 2 6 4 4 3" xfId="4425"/>
    <cellStyle name="Normal 3 2 6 4 4 4" xfId="32867"/>
    <cellStyle name="Normal 3 2 6 4 5" xfId="4426"/>
    <cellStyle name="Normal 3 2 6 4 5 2" xfId="4427"/>
    <cellStyle name="Normal 3 2 6 4 5 3" xfId="32869"/>
    <cellStyle name="Normal 3 2 6 4 6" xfId="4428"/>
    <cellStyle name="Normal 3 2 6 4 6 2" xfId="4429"/>
    <cellStyle name="Normal 3 2 6 4 6 3" xfId="32870"/>
    <cellStyle name="Normal 3 2 6 4 7" xfId="4430"/>
    <cellStyle name="Normal 3 2 6 4 8" xfId="32862"/>
    <cellStyle name="Normal 3 2 6 5" xfId="4431"/>
    <cellStyle name="Normal 3 2 6 5 2" xfId="4432"/>
    <cellStyle name="Normal 3 2 6 5 2 2" xfId="4433"/>
    <cellStyle name="Normal 3 2 6 5 2 2 2" xfId="4434"/>
    <cellStyle name="Normal 3 2 6 5 2 2 3" xfId="32873"/>
    <cellStyle name="Normal 3 2 6 5 2 3" xfId="4435"/>
    <cellStyle name="Normal 3 2 6 5 2 3 2" xfId="4436"/>
    <cellStyle name="Normal 3 2 6 5 2 4" xfId="4437"/>
    <cellStyle name="Normal 3 2 6 5 2 5" xfId="32872"/>
    <cellStyle name="Normal 3 2 6 5 3" xfId="4438"/>
    <cellStyle name="Normal 3 2 6 5 3 2" xfId="4439"/>
    <cellStyle name="Normal 3 2 6 5 3 2 2" xfId="32875"/>
    <cellStyle name="Normal 3 2 6 5 3 3" xfId="4440"/>
    <cellStyle name="Normal 3 2 6 5 3 4" xfId="32874"/>
    <cellStyle name="Normal 3 2 6 5 4" xfId="4441"/>
    <cellStyle name="Normal 3 2 6 5 4 2" xfId="4442"/>
    <cellStyle name="Normal 3 2 6 5 4 2 2" xfId="32877"/>
    <cellStyle name="Normal 3 2 6 5 4 3" xfId="32876"/>
    <cellStyle name="Normal 3 2 6 5 5" xfId="4443"/>
    <cellStyle name="Normal 3 2 6 5 5 2" xfId="4444"/>
    <cellStyle name="Normal 3 2 6 5 5 3" xfId="32878"/>
    <cellStyle name="Normal 3 2 6 5 6" xfId="4445"/>
    <cellStyle name="Normal 3 2 6 5 6 2" xfId="32879"/>
    <cellStyle name="Normal 3 2 6 5 7" xfId="32871"/>
    <cellStyle name="Normal 3 2 6 6" xfId="4446"/>
    <cellStyle name="Normal 3 2 6 6 2" xfId="4447"/>
    <cellStyle name="Normal 3 2 6 6 2 2" xfId="4448"/>
    <cellStyle name="Normal 3 2 6 6 2 2 2" xfId="32882"/>
    <cellStyle name="Normal 3 2 6 6 2 3" xfId="32881"/>
    <cellStyle name="Normal 3 2 6 6 3" xfId="4449"/>
    <cellStyle name="Normal 3 2 6 6 3 2" xfId="4450"/>
    <cellStyle name="Normal 3 2 6 6 3 2 2" xfId="32884"/>
    <cellStyle name="Normal 3 2 6 6 3 3" xfId="32883"/>
    <cellStyle name="Normal 3 2 6 6 4" xfId="4451"/>
    <cellStyle name="Normal 3 2 6 6 4 2" xfId="32886"/>
    <cellStyle name="Normal 3 2 6 6 4 3" xfId="32885"/>
    <cellStyle name="Normal 3 2 6 6 5" xfId="32887"/>
    <cellStyle name="Normal 3 2 6 6 6" xfId="32888"/>
    <cellStyle name="Normal 3 2 6 6 7" xfId="32880"/>
    <cellStyle name="Normal 3 2 6 7" xfId="4452"/>
    <cellStyle name="Normal 3 2 6 7 2" xfId="4453"/>
    <cellStyle name="Normal 3 2 6 7 2 2" xfId="4454"/>
    <cellStyle name="Normal 3 2 6 7 2 2 2" xfId="32891"/>
    <cellStyle name="Normal 3 2 6 7 2 3" xfId="32890"/>
    <cellStyle name="Normal 3 2 6 7 3" xfId="4455"/>
    <cellStyle name="Normal 3 2 6 7 3 2" xfId="4456"/>
    <cellStyle name="Normal 3 2 6 7 3 2 2" xfId="32893"/>
    <cellStyle name="Normal 3 2 6 7 3 3" xfId="32892"/>
    <cellStyle name="Normal 3 2 6 7 4" xfId="4457"/>
    <cellStyle name="Normal 3 2 6 7 4 2" xfId="32894"/>
    <cellStyle name="Normal 3 2 6 7 5" xfId="32895"/>
    <cellStyle name="Normal 3 2 6 7 6" xfId="32889"/>
    <cellStyle name="Normal 3 2 6 8" xfId="4458"/>
    <cellStyle name="Normal 3 2 6 8 2" xfId="4459"/>
    <cellStyle name="Normal 3 2 6 8 2 2" xfId="32897"/>
    <cellStyle name="Normal 3 2 6 8 3" xfId="4460"/>
    <cellStyle name="Normal 3 2 6 8 4" xfId="32896"/>
    <cellStyle name="Normal 3 2 6 9" xfId="4461"/>
    <cellStyle name="Normal 3 2 6 9 2" xfId="4462"/>
    <cellStyle name="Normal 3 2 6 9 2 2" xfId="32899"/>
    <cellStyle name="Normal 3 2 6 9 3" xfId="32898"/>
    <cellStyle name="Normal 3 2 7" xfId="4463"/>
    <cellStyle name="Normal 3 2 7 10" xfId="4464"/>
    <cellStyle name="Normal 3 2 7 10 2" xfId="32901"/>
    <cellStyle name="Normal 3 2 7 11" xfId="32902"/>
    <cellStyle name="Normal 3 2 7 12" xfId="32900"/>
    <cellStyle name="Normal 3 2 7 2" xfId="4465"/>
    <cellStyle name="Normal 3 2 7 2 2" xfId="4466"/>
    <cellStyle name="Normal 3 2 7 2 2 2" xfId="4467"/>
    <cellStyle name="Normal 3 2 7 2 2 2 2" xfId="4468"/>
    <cellStyle name="Normal 3 2 7 2 2 2 3" xfId="4469"/>
    <cellStyle name="Normal 3 2 7 2 2 2 4" xfId="32905"/>
    <cellStyle name="Normal 3 2 7 2 2 3" xfId="4470"/>
    <cellStyle name="Normal 3 2 7 2 2 3 2" xfId="4471"/>
    <cellStyle name="Normal 3 2 7 2 2 4" xfId="4472"/>
    <cellStyle name="Normal 3 2 7 2 2 4 2" xfId="4473"/>
    <cellStyle name="Normal 3 2 7 2 2 5" xfId="4474"/>
    <cellStyle name="Normal 3 2 7 2 2 6" xfId="32904"/>
    <cellStyle name="Normal 3 2 7 2 3" xfId="4475"/>
    <cellStyle name="Normal 3 2 7 2 3 2" xfId="4476"/>
    <cellStyle name="Normal 3 2 7 2 3 2 2" xfId="4477"/>
    <cellStyle name="Normal 3 2 7 2 3 2 3" xfId="32907"/>
    <cellStyle name="Normal 3 2 7 2 3 3" xfId="4478"/>
    <cellStyle name="Normal 3 2 7 2 3 3 2" xfId="4479"/>
    <cellStyle name="Normal 3 2 7 2 3 4" xfId="4480"/>
    <cellStyle name="Normal 3 2 7 2 3 5" xfId="32906"/>
    <cellStyle name="Normal 3 2 7 2 4" xfId="4481"/>
    <cellStyle name="Normal 3 2 7 2 4 2" xfId="4482"/>
    <cellStyle name="Normal 3 2 7 2 4 2 2" xfId="32909"/>
    <cellStyle name="Normal 3 2 7 2 4 3" xfId="4483"/>
    <cellStyle name="Normal 3 2 7 2 4 4" xfId="32908"/>
    <cellStyle name="Normal 3 2 7 2 5" xfId="4484"/>
    <cellStyle name="Normal 3 2 7 2 5 2" xfId="4485"/>
    <cellStyle name="Normal 3 2 7 2 5 3" xfId="32910"/>
    <cellStyle name="Normal 3 2 7 2 6" xfId="4486"/>
    <cellStyle name="Normal 3 2 7 2 6 2" xfId="4487"/>
    <cellStyle name="Normal 3 2 7 2 6 3" xfId="32911"/>
    <cellStyle name="Normal 3 2 7 2 7" xfId="4488"/>
    <cellStyle name="Normal 3 2 7 2 8" xfId="32903"/>
    <cellStyle name="Normal 3 2 7 3" xfId="4489"/>
    <cellStyle name="Normal 3 2 7 3 2" xfId="4490"/>
    <cellStyle name="Normal 3 2 7 3 2 2" xfId="4491"/>
    <cellStyle name="Normal 3 2 7 3 2 2 2" xfId="4492"/>
    <cellStyle name="Normal 3 2 7 3 2 2 3" xfId="4493"/>
    <cellStyle name="Normal 3 2 7 3 2 2 4" xfId="32914"/>
    <cellStyle name="Normal 3 2 7 3 2 3" xfId="4494"/>
    <cellStyle name="Normal 3 2 7 3 2 3 2" xfId="4495"/>
    <cellStyle name="Normal 3 2 7 3 2 4" xfId="4496"/>
    <cellStyle name="Normal 3 2 7 3 2 4 2" xfId="4497"/>
    <cellStyle name="Normal 3 2 7 3 2 5" xfId="4498"/>
    <cellStyle name="Normal 3 2 7 3 2 6" xfId="32913"/>
    <cellStyle name="Normal 3 2 7 3 3" xfId="4499"/>
    <cellStyle name="Normal 3 2 7 3 3 2" xfId="4500"/>
    <cellStyle name="Normal 3 2 7 3 3 2 2" xfId="4501"/>
    <cellStyle name="Normal 3 2 7 3 3 2 3" xfId="32916"/>
    <cellStyle name="Normal 3 2 7 3 3 3" xfId="4502"/>
    <cellStyle name="Normal 3 2 7 3 3 3 2" xfId="4503"/>
    <cellStyle name="Normal 3 2 7 3 3 4" xfId="4504"/>
    <cellStyle name="Normal 3 2 7 3 3 5" xfId="32915"/>
    <cellStyle name="Normal 3 2 7 3 4" xfId="4505"/>
    <cellStyle name="Normal 3 2 7 3 4 2" xfId="4506"/>
    <cellStyle name="Normal 3 2 7 3 4 2 2" xfId="32918"/>
    <cellStyle name="Normal 3 2 7 3 4 3" xfId="4507"/>
    <cellStyle name="Normal 3 2 7 3 4 4" xfId="32917"/>
    <cellStyle name="Normal 3 2 7 3 5" xfId="4508"/>
    <cellStyle name="Normal 3 2 7 3 5 2" xfId="4509"/>
    <cellStyle name="Normal 3 2 7 3 5 3" xfId="32919"/>
    <cellStyle name="Normal 3 2 7 3 6" xfId="4510"/>
    <cellStyle name="Normal 3 2 7 3 6 2" xfId="4511"/>
    <cellStyle name="Normal 3 2 7 3 6 3" xfId="32920"/>
    <cellStyle name="Normal 3 2 7 3 7" xfId="4512"/>
    <cellStyle name="Normal 3 2 7 3 8" xfId="32912"/>
    <cellStyle name="Normal 3 2 7 4" xfId="4513"/>
    <cellStyle name="Normal 3 2 7 4 2" xfId="4514"/>
    <cellStyle name="Normal 3 2 7 4 2 2" xfId="4515"/>
    <cellStyle name="Normal 3 2 7 4 2 2 2" xfId="4516"/>
    <cellStyle name="Normal 3 2 7 4 2 2 3" xfId="32923"/>
    <cellStyle name="Normal 3 2 7 4 2 3" xfId="4517"/>
    <cellStyle name="Normal 3 2 7 4 2 3 2" xfId="4518"/>
    <cellStyle name="Normal 3 2 7 4 2 4" xfId="4519"/>
    <cellStyle name="Normal 3 2 7 4 2 5" xfId="32922"/>
    <cellStyle name="Normal 3 2 7 4 3" xfId="4520"/>
    <cellStyle name="Normal 3 2 7 4 3 2" xfId="4521"/>
    <cellStyle name="Normal 3 2 7 4 3 2 2" xfId="32925"/>
    <cellStyle name="Normal 3 2 7 4 3 3" xfId="4522"/>
    <cellStyle name="Normal 3 2 7 4 3 4" xfId="32924"/>
    <cellStyle name="Normal 3 2 7 4 4" xfId="4523"/>
    <cellStyle name="Normal 3 2 7 4 4 2" xfId="4524"/>
    <cellStyle name="Normal 3 2 7 4 4 2 2" xfId="32927"/>
    <cellStyle name="Normal 3 2 7 4 4 3" xfId="32926"/>
    <cellStyle name="Normal 3 2 7 4 5" xfId="4525"/>
    <cellStyle name="Normal 3 2 7 4 5 2" xfId="4526"/>
    <cellStyle name="Normal 3 2 7 4 5 3" xfId="32928"/>
    <cellStyle name="Normal 3 2 7 4 6" xfId="4527"/>
    <cellStyle name="Normal 3 2 7 4 6 2" xfId="32929"/>
    <cellStyle name="Normal 3 2 7 4 7" xfId="32921"/>
    <cellStyle name="Normal 3 2 7 5" xfId="4528"/>
    <cellStyle name="Normal 3 2 7 5 2" xfId="4529"/>
    <cellStyle name="Normal 3 2 7 5 2 2" xfId="4530"/>
    <cellStyle name="Normal 3 2 7 5 2 2 2" xfId="32932"/>
    <cellStyle name="Normal 3 2 7 5 2 3" xfId="32931"/>
    <cellStyle name="Normal 3 2 7 5 3" xfId="4531"/>
    <cellStyle name="Normal 3 2 7 5 3 2" xfId="4532"/>
    <cellStyle name="Normal 3 2 7 5 3 2 2" xfId="32934"/>
    <cellStyle name="Normal 3 2 7 5 3 3" xfId="32933"/>
    <cellStyle name="Normal 3 2 7 5 4" xfId="4533"/>
    <cellStyle name="Normal 3 2 7 5 4 2" xfId="32936"/>
    <cellStyle name="Normal 3 2 7 5 4 3" xfId="32935"/>
    <cellStyle name="Normal 3 2 7 5 5" xfId="32937"/>
    <cellStyle name="Normal 3 2 7 5 6" xfId="32938"/>
    <cellStyle name="Normal 3 2 7 5 7" xfId="32930"/>
    <cellStyle name="Normal 3 2 7 6" xfId="4534"/>
    <cellStyle name="Normal 3 2 7 6 2" xfId="4535"/>
    <cellStyle name="Normal 3 2 7 6 2 2" xfId="4536"/>
    <cellStyle name="Normal 3 2 7 6 2 2 2" xfId="32941"/>
    <cellStyle name="Normal 3 2 7 6 2 3" xfId="32940"/>
    <cellStyle name="Normal 3 2 7 6 3" xfId="4537"/>
    <cellStyle name="Normal 3 2 7 6 3 2" xfId="4538"/>
    <cellStyle name="Normal 3 2 7 6 3 2 2" xfId="32943"/>
    <cellStyle name="Normal 3 2 7 6 3 3" xfId="32942"/>
    <cellStyle name="Normal 3 2 7 6 4" xfId="4539"/>
    <cellStyle name="Normal 3 2 7 6 4 2" xfId="32944"/>
    <cellStyle name="Normal 3 2 7 6 5" xfId="32945"/>
    <cellStyle name="Normal 3 2 7 6 6" xfId="32939"/>
    <cellStyle name="Normal 3 2 7 7" xfId="4540"/>
    <cellStyle name="Normal 3 2 7 7 2" xfId="4541"/>
    <cellStyle name="Normal 3 2 7 7 2 2" xfId="32947"/>
    <cellStyle name="Normal 3 2 7 7 3" xfId="4542"/>
    <cellStyle name="Normal 3 2 7 7 4" xfId="32946"/>
    <cellStyle name="Normal 3 2 7 8" xfId="4543"/>
    <cellStyle name="Normal 3 2 7 8 2" xfId="4544"/>
    <cellStyle name="Normal 3 2 7 8 2 2" xfId="32949"/>
    <cellStyle name="Normal 3 2 7 8 3" xfId="32948"/>
    <cellStyle name="Normal 3 2 7 9" xfId="4545"/>
    <cellStyle name="Normal 3 2 7 9 2" xfId="4546"/>
    <cellStyle name="Normal 3 2 7 9 2 2" xfId="32951"/>
    <cellStyle name="Normal 3 2 7 9 3" xfId="32950"/>
    <cellStyle name="Normal 3 2 8" xfId="4547"/>
    <cellStyle name="Normal 3 2 8 10" xfId="32953"/>
    <cellStyle name="Normal 3 2 8 11" xfId="32952"/>
    <cellStyle name="Normal 3 2 8 2" xfId="4548"/>
    <cellStyle name="Normal 3 2 8 2 2" xfId="4549"/>
    <cellStyle name="Normal 3 2 8 2 2 2" xfId="4550"/>
    <cellStyle name="Normal 3 2 8 2 2 2 2" xfId="4551"/>
    <cellStyle name="Normal 3 2 8 2 2 2 3" xfId="4552"/>
    <cellStyle name="Normal 3 2 8 2 2 2 4" xfId="32956"/>
    <cellStyle name="Normal 3 2 8 2 2 3" xfId="4553"/>
    <cellStyle name="Normal 3 2 8 2 2 3 2" xfId="4554"/>
    <cellStyle name="Normal 3 2 8 2 2 4" xfId="4555"/>
    <cellStyle name="Normal 3 2 8 2 2 4 2" xfId="4556"/>
    <cellStyle name="Normal 3 2 8 2 2 5" xfId="4557"/>
    <cellStyle name="Normal 3 2 8 2 2 6" xfId="32955"/>
    <cellStyle name="Normal 3 2 8 2 3" xfId="4558"/>
    <cellStyle name="Normal 3 2 8 2 3 2" xfId="4559"/>
    <cellStyle name="Normal 3 2 8 2 3 2 2" xfId="4560"/>
    <cellStyle name="Normal 3 2 8 2 3 2 3" xfId="32958"/>
    <cellStyle name="Normal 3 2 8 2 3 3" xfId="4561"/>
    <cellStyle name="Normal 3 2 8 2 3 3 2" xfId="4562"/>
    <cellStyle name="Normal 3 2 8 2 3 4" xfId="4563"/>
    <cellStyle name="Normal 3 2 8 2 3 5" xfId="32957"/>
    <cellStyle name="Normal 3 2 8 2 4" xfId="4564"/>
    <cellStyle name="Normal 3 2 8 2 4 2" xfId="4565"/>
    <cellStyle name="Normal 3 2 8 2 4 2 2" xfId="32960"/>
    <cellStyle name="Normal 3 2 8 2 4 3" xfId="4566"/>
    <cellStyle name="Normal 3 2 8 2 4 4" xfId="32959"/>
    <cellStyle name="Normal 3 2 8 2 5" xfId="4567"/>
    <cellStyle name="Normal 3 2 8 2 5 2" xfId="4568"/>
    <cellStyle name="Normal 3 2 8 2 5 3" xfId="32961"/>
    <cellStyle name="Normal 3 2 8 2 6" xfId="4569"/>
    <cellStyle name="Normal 3 2 8 2 6 2" xfId="4570"/>
    <cellStyle name="Normal 3 2 8 2 6 3" xfId="32962"/>
    <cellStyle name="Normal 3 2 8 2 7" xfId="4571"/>
    <cellStyle name="Normal 3 2 8 2 8" xfId="32954"/>
    <cellStyle name="Normal 3 2 8 3" xfId="4572"/>
    <cellStyle name="Normal 3 2 8 3 2" xfId="4573"/>
    <cellStyle name="Normal 3 2 8 3 2 2" xfId="4574"/>
    <cellStyle name="Normal 3 2 8 3 2 2 2" xfId="32965"/>
    <cellStyle name="Normal 3 2 8 3 2 3" xfId="4575"/>
    <cellStyle name="Normal 3 2 8 3 2 4" xfId="32964"/>
    <cellStyle name="Normal 3 2 8 3 3" xfId="4576"/>
    <cellStyle name="Normal 3 2 8 3 3 2" xfId="4577"/>
    <cellStyle name="Normal 3 2 8 3 3 2 2" xfId="32967"/>
    <cellStyle name="Normal 3 2 8 3 3 3" xfId="32966"/>
    <cellStyle name="Normal 3 2 8 3 4" xfId="4578"/>
    <cellStyle name="Normal 3 2 8 3 4 2" xfId="4579"/>
    <cellStyle name="Normal 3 2 8 3 4 2 2" xfId="32969"/>
    <cellStyle name="Normal 3 2 8 3 4 3" xfId="32968"/>
    <cellStyle name="Normal 3 2 8 3 5" xfId="4580"/>
    <cellStyle name="Normal 3 2 8 3 5 2" xfId="32970"/>
    <cellStyle name="Normal 3 2 8 3 6" xfId="32971"/>
    <cellStyle name="Normal 3 2 8 3 7" xfId="32963"/>
    <cellStyle name="Normal 3 2 8 4" xfId="4581"/>
    <cellStyle name="Normal 3 2 8 4 2" xfId="4582"/>
    <cellStyle name="Normal 3 2 8 4 2 2" xfId="4583"/>
    <cellStyle name="Normal 3 2 8 4 2 2 2" xfId="32974"/>
    <cellStyle name="Normal 3 2 8 4 2 3" xfId="32973"/>
    <cellStyle name="Normal 3 2 8 4 3" xfId="4584"/>
    <cellStyle name="Normal 3 2 8 4 3 2" xfId="4585"/>
    <cellStyle name="Normal 3 2 8 4 3 2 2" xfId="32976"/>
    <cellStyle name="Normal 3 2 8 4 3 3" xfId="32975"/>
    <cellStyle name="Normal 3 2 8 4 4" xfId="4586"/>
    <cellStyle name="Normal 3 2 8 4 4 2" xfId="32978"/>
    <cellStyle name="Normal 3 2 8 4 4 3" xfId="32977"/>
    <cellStyle name="Normal 3 2 8 4 5" xfId="32979"/>
    <cellStyle name="Normal 3 2 8 4 6" xfId="32980"/>
    <cellStyle name="Normal 3 2 8 4 7" xfId="32972"/>
    <cellStyle name="Normal 3 2 8 5" xfId="4587"/>
    <cellStyle name="Normal 3 2 8 5 2" xfId="4588"/>
    <cellStyle name="Normal 3 2 8 5 2 2" xfId="32983"/>
    <cellStyle name="Normal 3 2 8 5 2 3" xfId="32982"/>
    <cellStyle name="Normal 3 2 8 5 3" xfId="4589"/>
    <cellStyle name="Normal 3 2 8 5 3 2" xfId="32985"/>
    <cellStyle name="Normal 3 2 8 5 3 3" xfId="32984"/>
    <cellStyle name="Normal 3 2 8 5 4" xfId="32986"/>
    <cellStyle name="Normal 3 2 8 5 5" xfId="32987"/>
    <cellStyle name="Normal 3 2 8 5 6" xfId="32981"/>
    <cellStyle name="Normal 3 2 8 6" xfId="4590"/>
    <cellStyle name="Normal 3 2 8 6 2" xfId="4591"/>
    <cellStyle name="Normal 3 2 8 6 2 2" xfId="32989"/>
    <cellStyle name="Normal 3 2 8 6 3" xfId="32988"/>
    <cellStyle name="Normal 3 2 8 7" xfId="4592"/>
    <cellStyle name="Normal 3 2 8 7 2" xfId="4593"/>
    <cellStyle name="Normal 3 2 8 7 2 2" xfId="32991"/>
    <cellStyle name="Normal 3 2 8 7 3" xfId="32990"/>
    <cellStyle name="Normal 3 2 8 8" xfId="4594"/>
    <cellStyle name="Normal 3 2 8 8 2" xfId="32993"/>
    <cellStyle name="Normal 3 2 8 8 3" xfId="32992"/>
    <cellStyle name="Normal 3 2 8 9" xfId="32994"/>
    <cellStyle name="Normal 3 2 9" xfId="4595"/>
    <cellStyle name="Normal 3 2 9 10" xfId="32996"/>
    <cellStyle name="Normal 3 2 9 11" xfId="32995"/>
    <cellStyle name="Normal 3 2 9 2" xfId="4596"/>
    <cellStyle name="Normal 3 2 9 2 2" xfId="4597"/>
    <cellStyle name="Normal 3 2 9 2 2 2" xfId="4598"/>
    <cellStyle name="Normal 3 2 9 2 2 2 2" xfId="32999"/>
    <cellStyle name="Normal 3 2 9 2 2 3" xfId="4599"/>
    <cellStyle name="Normal 3 2 9 2 2 4" xfId="32998"/>
    <cellStyle name="Normal 3 2 9 2 3" xfId="4600"/>
    <cellStyle name="Normal 3 2 9 2 3 2" xfId="4601"/>
    <cellStyle name="Normal 3 2 9 2 3 2 2" xfId="33001"/>
    <cellStyle name="Normal 3 2 9 2 3 3" xfId="33000"/>
    <cellStyle name="Normal 3 2 9 2 4" xfId="4602"/>
    <cellStyle name="Normal 3 2 9 2 4 2" xfId="4603"/>
    <cellStyle name="Normal 3 2 9 2 4 2 2" xfId="33003"/>
    <cellStyle name="Normal 3 2 9 2 4 3" xfId="33002"/>
    <cellStyle name="Normal 3 2 9 2 5" xfId="4604"/>
    <cellStyle name="Normal 3 2 9 2 5 2" xfId="33004"/>
    <cellStyle name="Normal 3 2 9 2 6" xfId="33005"/>
    <cellStyle name="Normal 3 2 9 2 7" xfId="32997"/>
    <cellStyle name="Normal 3 2 9 3" xfId="4605"/>
    <cellStyle name="Normal 3 2 9 3 2" xfId="4606"/>
    <cellStyle name="Normal 3 2 9 3 2 2" xfId="4607"/>
    <cellStyle name="Normal 3 2 9 3 2 2 2" xfId="33008"/>
    <cellStyle name="Normal 3 2 9 3 2 3" xfId="33007"/>
    <cellStyle name="Normal 3 2 9 3 3" xfId="4608"/>
    <cellStyle name="Normal 3 2 9 3 3 2" xfId="4609"/>
    <cellStyle name="Normal 3 2 9 3 3 2 2" xfId="33010"/>
    <cellStyle name="Normal 3 2 9 3 3 3" xfId="33009"/>
    <cellStyle name="Normal 3 2 9 3 4" xfId="4610"/>
    <cellStyle name="Normal 3 2 9 3 4 2" xfId="33012"/>
    <cellStyle name="Normal 3 2 9 3 4 3" xfId="33011"/>
    <cellStyle name="Normal 3 2 9 3 5" xfId="33013"/>
    <cellStyle name="Normal 3 2 9 3 6" xfId="33014"/>
    <cellStyle name="Normal 3 2 9 3 7" xfId="33006"/>
    <cellStyle name="Normal 3 2 9 4" xfId="4611"/>
    <cellStyle name="Normal 3 2 9 4 2" xfId="4612"/>
    <cellStyle name="Normal 3 2 9 4 2 2" xfId="33017"/>
    <cellStyle name="Normal 3 2 9 4 2 3" xfId="33016"/>
    <cellStyle name="Normal 3 2 9 4 3" xfId="4613"/>
    <cellStyle name="Normal 3 2 9 4 3 2" xfId="33019"/>
    <cellStyle name="Normal 3 2 9 4 3 3" xfId="33018"/>
    <cellStyle name="Normal 3 2 9 4 4" xfId="33020"/>
    <cellStyle name="Normal 3 2 9 4 4 2" xfId="33021"/>
    <cellStyle name="Normal 3 2 9 4 5" xfId="33022"/>
    <cellStyle name="Normal 3 2 9 4 6" xfId="33023"/>
    <cellStyle name="Normal 3 2 9 4 7" xfId="33015"/>
    <cellStyle name="Normal 3 2 9 5" xfId="4614"/>
    <cellStyle name="Normal 3 2 9 5 2" xfId="4615"/>
    <cellStyle name="Normal 3 2 9 5 2 2" xfId="33026"/>
    <cellStyle name="Normal 3 2 9 5 2 3" xfId="33025"/>
    <cellStyle name="Normal 3 2 9 5 3" xfId="33027"/>
    <cellStyle name="Normal 3 2 9 5 3 2" xfId="33028"/>
    <cellStyle name="Normal 3 2 9 5 4" xfId="33029"/>
    <cellStyle name="Normal 3 2 9 5 5" xfId="33030"/>
    <cellStyle name="Normal 3 2 9 5 6" xfId="33024"/>
    <cellStyle name="Normal 3 2 9 6" xfId="4616"/>
    <cellStyle name="Normal 3 2 9 6 2" xfId="4617"/>
    <cellStyle name="Normal 3 2 9 6 2 2" xfId="33032"/>
    <cellStyle name="Normal 3 2 9 6 3" xfId="33031"/>
    <cellStyle name="Normal 3 2 9 7" xfId="4618"/>
    <cellStyle name="Normal 3 2 9 7 2" xfId="33034"/>
    <cellStyle name="Normal 3 2 9 7 3" xfId="33033"/>
    <cellStyle name="Normal 3 2 9 8" xfId="33035"/>
    <cellStyle name="Normal 3 2 9 8 2" xfId="33036"/>
    <cellStyle name="Normal 3 2 9 9" xfId="33037"/>
    <cellStyle name="Normal 3 3" xfId="4619"/>
    <cellStyle name="Normal 3 3 10" xfId="4620"/>
    <cellStyle name="Normal 3 3 10 2" xfId="4621"/>
    <cellStyle name="Normal 3 3 10 2 2" xfId="4622"/>
    <cellStyle name="Normal 3 3 10 2 2 2" xfId="4623"/>
    <cellStyle name="Normal 3 3 10 2 2 3" xfId="33040"/>
    <cellStyle name="Normal 3 3 10 2 3" xfId="4624"/>
    <cellStyle name="Normal 3 3 10 2 3 2" xfId="4625"/>
    <cellStyle name="Normal 3 3 10 2 4" xfId="4626"/>
    <cellStyle name="Normal 3 3 10 2 5" xfId="33039"/>
    <cellStyle name="Normal 3 3 10 3" xfId="4627"/>
    <cellStyle name="Normal 3 3 10 3 2" xfId="4628"/>
    <cellStyle name="Normal 3 3 10 3 2 2" xfId="33042"/>
    <cellStyle name="Normal 3 3 10 3 3" xfId="4629"/>
    <cellStyle name="Normal 3 3 10 3 4" xfId="33041"/>
    <cellStyle name="Normal 3 3 10 4" xfId="4630"/>
    <cellStyle name="Normal 3 3 10 4 2" xfId="4631"/>
    <cellStyle name="Normal 3 3 10 4 2 2" xfId="33044"/>
    <cellStyle name="Normal 3 3 10 4 3" xfId="33043"/>
    <cellStyle name="Normal 3 3 10 5" xfId="4632"/>
    <cellStyle name="Normal 3 3 10 5 2" xfId="4633"/>
    <cellStyle name="Normal 3 3 10 5 3" xfId="33045"/>
    <cellStyle name="Normal 3 3 10 6" xfId="4634"/>
    <cellStyle name="Normal 3 3 10 6 2" xfId="33046"/>
    <cellStyle name="Normal 3 3 10 7" xfId="33038"/>
    <cellStyle name="Normal 3 3 11" xfId="4635"/>
    <cellStyle name="Normal 3 3 11 2" xfId="4636"/>
    <cellStyle name="Normal 3 3 11 2 2" xfId="4637"/>
    <cellStyle name="Normal 3 3 11 2 2 2" xfId="33049"/>
    <cellStyle name="Normal 3 3 11 2 3" xfId="33048"/>
    <cellStyle name="Normal 3 3 11 3" xfId="4638"/>
    <cellStyle name="Normal 3 3 11 3 2" xfId="4639"/>
    <cellStyle name="Normal 3 3 11 3 2 2" xfId="33051"/>
    <cellStyle name="Normal 3 3 11 3 3" xfId="33050"/>
    <cellStyle name="Normal 3 3 11 4" xfId="4640"/>
    <cellStyle name="Normal 3 3 11 4 2" xfId="33053"/>
    <cellStyle name="Normal 3 3 11 4 3" xfId="33052"/>
    <cellStyle name="Normal 3 3 11 5" xfId="33054"/>
    <cellStyle name="Normal 3 3 11 6" xfId="33055"/>
    <cellStyle name="Normal 3 3 11 7" xfId="33047"/>
    <cellStyle name="Normal 3 3 12" xfId="4641"/>
    <cellStyle name="Normal 3 3 12 2" xfId="4642"/>
    <cellStyle name="Normal 3 3 12 2 2" xfId="4643"/>
    <cellStyle name="Normal 3 3 12 2 2 2" xfId="33058"/>
    <cellStyle name="Normal 3 3 12 2 3" xfId="33057"/>
    <cellStyle name="Normal 3 3 12 3" xfId="4644"/>
    <cellStyle name="Normal 3 3 12 3 2" xfId="4645"/>
    <cellStyle name="Normal 3 3 12 3 2 2" xfId="33060"/>
    <cellStyle name="Normal 3 3 12 3 3" xfId="33059"/>
    <cellStyle name="Normal 3 3 12 4" xfId="4646"/>
    <cellStyle name="Normal 3 3 12 4 2" xfId="33061"/>
    <cellStyle name="Normal 3 3 12 5" xfId="33062"/>
    <cellStyle name="Normal 3 3 12 6" xfId="33056"/>
    <cellStyle name="Normal 3 3 13" xfId="4647"/>
    <cellStyle name="Normal 3 3 13 2" xfId="4648"/>
    <cellStyle name="Normal 3 3 13 2 2" xfId="33064"/>
    <cellStyle name="Normal 3 3 13 3" xfId="4649"/>
    <cellStyle name="Normal 3 3 13 4" xfId="33063"/>
    <cellStyle name="Normal 3 3 14" xfId="4650"/>
    <cellStyle name="Normal 3 3 14 2" xfId="4651"/>
    <cellStyle name="Normal 3 3 14 2 2" xfId="33066"/>
    <cellStyle name="Normal 3 3 14 3" xfId="33065"/>
    <cellStyle name="Normal 3 3 15" xfId="4652"/>
    <cellStyle name="Normal 3 3 15 2" xfId="4653"/>
    <cellStyle name="Normal 3 3 15 2 2" xfId="33068"/>
    <cellStyle name="Normal 3 3 15 3" xfId="33067"/>
    <cellStyle name="Normal 3 3 16" xfId="4654"/>
    <cellStyle name="Normal 3 3 16 2" xfId="33069"/>
    <cellStyle name="Normal 3 3 17" xfId="33070"/>
    <cellStyle name="Normal 3 3 18" xfId="33071"/>
    <cellStyle name="Normal 3 3 19" xfId="17674"/>
    <cellStyle name="Normal 3 3 2" xfId="4655"/>
    <cellStyle name="Normal 3 3 2 10" xfId="4656"/>
    <cellStyle name="Normal 3 3 2 10 2" xfId="4657"/>
    <cellStyle name="Normal 3 3 2 10 2 2" xfId="4658"/>
    <cellStyle name="Normal 3 3 2 10 2 2 2" xfId="33075"/>
    <cellStyle name="Normal 3 3 2 10 2 3" xfId="33074"/>
    <cellStyle name="Normal 3 3 2 10 3" xfId="4659"/>
    <cellStyle name="Normal 3 3 2 10 3 2" xfId="4660"/>
    <cellStyle name="Normal 3 3 2 10 3 2 2" xfId="33077"/>
    <cellStyle name="Normal 3 3 2 10 3 3" xfId="33076"/>
    <cellStyle name="Normal 3 3 2 10 4" xfId="4661"/>
    <cellStyle name="Normal 3 3 2 10 4 2" xfId="33079"/>
    <cellStyle name="Normal 3 3 2 10 4 3" xfId="33078"/>
    <cellStyle name="Normal 3 3 2 10 5" xfId="33080"/>
    <cellStyle name="Normal 3 3 2 10 6" xfId="33081"/>
    <cellStyle name="Normal 3 3 2 10 7" xfId="33073"/>
    <cellStyle name="Normal 3 3 2 11" xfId="4662"/>
    <cellStyle name="Normal 3 3 2 11 2" xfId="4663"/>
    <cellStyle name="Normal 3 3 2 11 2 2" xfId="33084"/>
    <cellStyle name="Normal 3 3 2 11 2 3" xfId="33083"/>
    <cellStyle name="Normal 3 3 2 11 3" xfId="4664"/>
    <cellStyle name="Normal 3 3 2 11 3 2" xfId="33086"/>
    <cellStyle name="Normal 3 3 2 11 3 3" xfId="33085"/>
    <cellStyle name="Normal 3 3 2 11 4" xfId="33087"/>
    <cellStyle name="Normal 3 3 2 11 4 2" xfId="33088"/>
    <cellStyle name="Normal 3 3 2 11 5" xfId="33089"/>
    <cellStyle name="Normal 3 3 2 11 6" xfId="33090"/>
    <cellStyle name="Normal 3 3 2 11 7" xfId="33082"/>
    <cellStyle name="Normal 3 3 2 12" xfId="4665"/>
    <cellStyle name="Normal 3 3 2 12 2" xfId="4666"/>
    <cellStyle name="Normal 3 3 2 12 2 2" xfId="33093"/>
    <cellStyle name="Normal 3 3 2 12 2 3" xfId="33092"/>
    <cellStyle name="Normal 3 3 2 12 3" xfId="33094"/>
    <cellStyle name="Normal 3 3 2 12 3 2" xfId="33095"/>
    <cellStyle name="Normal 3 3 2 12 4" xfId="33096"/>
    <cellStyle name="Normal 3 3 2 12 5" xfId="33097"/>
    <cellStyle name="Normal 3 3 2 12 6" xfId="33091"/>
    <cellStyle name="Normal 3 3 2 13" xfId="4667"/>
    <cellStyle name="Normal 3 3 2 13 2" xfId="4668"/>
    <cellStyle name="Normal 3 3 2 13 2 2" xfId="33099"/>
    <cellStyle name="Normal 3 3 2 13 3" xfId="33098"/>
    <cellStyle name="Normal 3 3 2 14" xfId="4669"/>
    <cellStyle name="Normal 3 3 2 14 2" xfId="33101"/>
    <cellStyle name="Normal 3 3 2 14 3" xfId="33100"/>
    <cellStyle name="Normal 3 3 2 15" xfId="33102"/>
    <cellStyle name="Normal 3 3 2 15 2" xfId="33103"/>
    <cellStyle name="Normal 3 3 2 16" xfId="33104"/>
    <cellStyle name="Normal 3 3 2 17" xfId="33105"/>
    <cellStyle name="Normal 3 3 2 18" xfId="33106"/>
    <cellStyle name="Normal 3 3 2 19" xfId="33072"/>
    <cellStyle name="Normal 3 3 2 2" xfId="4670"/>
    <cellStyle name="Normal 3 3 2 2 10" xfId="4671"/>
    <cellStyle name="Normal 3 3 2 2 10 2" xfId="4672"/>
    <cellStyle name="Normal 3 3 2 2 10 2 2" xfId="33110"/>
    <cellStyle name="Normal 3 3 2 2 10 2 3" xfId="33109"/>
    <cellStyle name="Normal 3 3 2 2 10 3" xfId="33111"/>
    <cellStyle name="Normal 3 3 2 2 10 3 2" xfId="33112"/>
    <cellStyle name="Normal 3 3 2 2 10 4" xfId="33113"/>
    <cellStyle name="Normal 3 3 2 2 10 4 2" xfId="33114"/>
    <cellStyle name="Normal 3 3 2 2 10 5" xfId="33115"/>
    <cellStyle name="Normal 3 3 2 2 10 6" xfId="33116"/>
    <cellStyle name="Normal 3 3 2 2 10 7" xfId="33108"/>
    <cellStyle name="Normal 3 3 2 2 11" xfId="4673"/>
    <cellStyle name="Normal 3 3 2 2 11 2" xfId="4674"/>
    <cellStyle name="Normal 3 3 2 2 11 2 2" xfId="33119"/>
    <cellStyle name="Normal 3 3 2 2 11 2 3" xfId="33118"/>
    <cellStyle name="Normal 3 3 2 2 11 3" xfId="33120"/>
    <cellStyle name="Normal 3 3 2 2 11 3 2" xfId="33121"/>
    <cellStyle name="Normal 3 3 2 2 11 4" xfId="33122"/>
    <cellStyle name="Normal 3 3 2 2 11 5" xfId="33123"/>
    <cellStyle name="Normal 3 3 2 2 11 6" xfId="33117"/>
    <cellStyle name="Normal 3 3 2 2 12" xfId="4675"/>
    <cellStyle name="Normal 3 3 2 2 12 2" xfId="33125"/>
    <cellStyle name="Normal 3 3 2 2 12 3" xfId="33124"/>
    <cellStyle name="Normal 3 3 2 2 13" xfId="33126"/>
    <cellStyle name="Normal 3 3 2 2 13 2" xfId="33127"/>
    <cellStyle name="Normal 3 3 2 2 14" xfId="33128"/>
    <cellStyle name="Normal 3 3 2 2 14 2" xfId="33129"/>
    <cellStyle name="Normal 3 3 2 2 15" xfId="33130"/>
    <cellStyle name="Normal 3 3 2 2 16" xfId="33131"/>
    <cellStyle name="Normal 3 3 2 2 17" xfId="33107"/>
    <cellStyle name="Normal 3 3 2 2 2" xfId="4676"/>
    <cellStyle name="Normal 3 3 2 2 2 10" xfId="4677"/>
    <cellStyle name="Normal 3 3 2 2 2 10 2" xfId="33134"/>
    <cellStyle name="Normal 3 3 2 2 2 10 3" xfId="33133"/>
    <cellStyle name="Normal 3 3 2 2 2 11" xfId="33135"/>
    <cellStyle name="Normal 3 3 2 2 2 11 2" xfId="33136"/>
    <cellStyle name="Normal 3 3 2 2 2 12" xfId="33137"/>
    <cellStyle name="Normal 3 3 2 2 2 13" xfId="33138"/>
    <cellStyle name="Normal 3 3 2 2 2 14" xfId="33132"/>
    <cellStyle name="Normal 3 3 2 2 2 2" xfId="4678"/>
    <cellStyle name="Normal 3 3 2 2 2 2 10" xfId="33140"/>
    <cellStyle name="Normal 3 3 2 2 2 2 11" xfId="33141"/>
    <cellStyle name="Normal 3 3 2 2 2 2 12" xfId="33139"/>
    <cellStyle name="Normal 3 3 2 2 2 2 2" xfId="4679"/>
    <cellStyle name="Normal 3 3 2 2 2 2 2 2" xfId="4680"/>
    <cellStyle name="Normal 3 3 2 2 2 2 2 2 2" xfId="4681"/>
    <cellStyle name="Normal 3 3 2 2 2 2 2 2 2 2" xfId="33144"/>
    <cellStyle name="Normal 3 3 2 2 2 2 2 2 3" xfId="4682"/>
    <cellStyle name="Normal 3 3 2 2 2 2 2 2 4" xfId="33143"/>
    <cellStyle name="Normal 3 3 2 2 2 2 2 3" xfId="4683"/>
    <cellStyle name="Normal 3 3 2 2 2 2 2 3 2" xfId="4684"/>
    <cellStyle name="Normal 3 3 2 2 2 2 2 3 2 2" xfId="33146"/>
    <cellStyle name="Normal 3 3 2 2 2 2 2 3 3" xfId="33145"/>
    <cellStyle name="Normal 3 3 2 2 2 2 2 4" xfId="4685"/>
    <cellStyle name="Normal 3 3 2 2 2 2 2 4 2" xfId="4686"/>
    <cellStyle name="Normal 3 3 2 2 2 2 2 4 2 2" xfId="33148"/>
    <cellStyle name="Normal 3 3 2 2 2 2 2 4 3" xfId="33147"/>
    <cellStyle name="Normal 3 3 2 2 2 2 2 5" xfId="4687"/>
    <cellStyle name="Normal 3 3 2 2 2 2 2 5 2" xfId="33149"/>
    <cellStyle name="Normal 3 3 2 2 2 2 2 6" xfId="33150"/>
    <cellStyle name="Normal 3 3 2 2 2 2 2 7" xfId="33142"/>
    <cellStyle name="Normal 3 3 2 2 2 2 3" xfId="4688"/>
    <cellStyle name="Normal 3 3 2 2 2 2 3 2" xfId="4689"/>
    <cellStyle name="Normal 3 3 2 2 2 2 3 2 2" xfId="4690"/>
    <cellStyle name="Normal 3 3 2 2 2 2 3 2 2 2" xfId="33153"/>
    <cellStyle name="Normal 3 3 2 2 2 2 3 2 3" xfId="33152"/>
    <cellStyle name="Normal 3 3 2 2 2 2 3 3" xfId="4691"/>
    <cellStyle name="Normal 3 3 2 2 2 2 3 3 2" xfId="4692"/>
    <cellStyle name="Normal 3 3 2 2 2 2 3 3 2 2" xfId="33155"/>
    <cellStyle name="Normal 3 3 2 2 2 2 3 3 3" xfId="33154"/>
    <cellStyle name="Normal 3 3 2 2 2 2 3 4" xfId="4693"/>
    <cellStyle name="Normal 3 3 2 2 2 2 3 4 2" xfId="33157"/>
    <cellStyle name="Normal 3 3 2 2 2 2 3 4 3" xfId="33156"/>
    <cellStyle name="Normal 3 3 2 2 2 2 3 5" xfId="33158"/>
    <cellStyle name="Normal 3 3 2 2 2 2 3 6" xfId="33159"/>
    <cellStyle name="Normal 3 3 2 2 2 2 3 7" xfId="33151"/>
    <cellStyle name="Normal 3 3 2 2 2 2 4" xfId="4694"/>
    <cellStyle name="Normal 3 3 2 2 2 2 4 2" xfId="4695"/>
    <cellStyle name="Normal 3 3 2 2 2 2 4 2 2" xfId="33162"/>
    <cellStyle name="Normal 3 3 2 2 2 2 4 2 3" xfId="33161"/>
    <cellStyle name="Normal 3 3 2 2 2 2 4 3" xfId="4696"/>
    <cellStyle name="Normal 3 3 2 2 2 2 4 3 2" xfId="33164"/>
    <cellStyle name="Normal 3 3 2 2 2 2 4 3 3" xfId="33163"/>
    <cellStyle name="Normal 3 3 2 2 2 2 4 4" xfId="33165"/>
    <cellStyle name="Normal 3 3 2 2 2 2 4 4 2" xfId="33166"/>
    <cellStyle name="Normal 3 3 2 2 2 2 4 5" xfId="33167"/>
    <cellStyle name="Normal 3 3 2 2 2 2 4 6" xfId="33168"/>
    <cellStyle name="Normal 3 3 2 2 2 2 4 7" xfId="33160"/>
    <cellStyle name="Normal 3 3 2 2 2 2 5" xfId="4697"/>
    <cellStyle name="Normal 3 3 2 2 2 2 5 2" xfId="4698"/>
    <cellStyle name="Normal 3 3 2 2 2 2 5 2 2" xfId="33171"/>
    <cellStyle name="Normal 3 3 2 2 2 2 5 2 3" xfId="33170"/>
    <cellStyle name="Normal 3 3 2 2 2 2 5 3" xfId="33172"/>
    <cellStyle name="Normal 3 3 2 2 2 2 5 3 2" xfId="33173"/>
    <cellStyle name="Normal 3 3 2 2 2 2 5 4" xfId="33174"/>
    <cellStyle name="Normal 3 3 2 2 2 2 5 4 2" xfId="33175"/>
    <cellStyle name="Normal 3 3 2 2 2 2 5 5" xfId="33176"/>
    <cellStyle name="Normal 3 3 2 2 2 2 5 6" xfId="33177"/>
    <cellStyle name="Normal 3 3 2 2 2 2 5 7" xfId="33169"/>
    <cellStyle name="Normal 3 3 2 2 2 2 6" xfId="4699"/>
    <cellStyle name="Normal 3 3 2 2 2 2 6 2" xfId="4700"/>
    <cellStyle name="Normal 3 3 2 2 2 2 6 2 2" xfId="33180"/>
    <cellStyle name="Normal 3 3 2 2 2 2 6 2 3" xfId="33179"/>
    <cellStyle name="Normal 3 3 2 2 2 2 6 3" xfId="33181"/>
    <cellStyle name="Normal 3 3 2 2 2 2 6 3 2" xfId="33182"/>
    <cellStyle name="Normal 3 3 2 2 2 2 6 4" xfId="33183"/>
    <cellStyle name="Normal 3 3 2 2 2 2 6 5" xfId="33184"/>
    <cellStyle name="Normal 3 3 2 2 2 2 6 6" xfId="33178"/>
    <cellStyle name="Normal 3 3 2 2 2 2 7" xfId="4701"/>
    <cellStyle name="Normal 3 3 2 2 2 2 7 2" xfId="33186"/>
    <cellStyle name="Normal 3 3 2 2 2 2 7 3" xfId="33185"/>
    <cellStyle name="Normal 3 3 2 2 2 2 8" xfId="33187"/>
    <cellStyle name="Normal 3 3 2 2 2 2 8 2" xfId="33188"/>
    <cellStyle name="Normal 3 3 2 2 2 2 9" xfId="33189"/>
    <cellStyle name="Normal 3 3 2 2 2 2 9 2" xfId="33190"/>
    <cellStyle name="Normal 3 3 2 2 2 3" xfId="4702"/>
    <cellStyle name="Normal 3 3 2 2 2 3 10" xfId="33192"/>
    <cellStyle name="Normal 3 3 2 2 2 3 11" xfId="33191"/>
    <cellStyle name="Normal 3 3 2 2 2 3 2" xfId="4703"/>
    <cellStyle name="Normal 3 3 2 2 2 3 2 2" xfId="4704"/>
    <cellStyle name="Normal 3 3 2 2 2 3 2 2 2" xfId="4705"/>
    <cellStyle name="Normal 3 3 2 2 2 3 2 2 2 2" xfId="33195"/>
    <cellStyle name="Normal 3 3 2 2 2 3 2 2 3" xfId="4706"/>
    <cellStyle name="Normal 3 3 2 2 2 3 2 2 4" xfId="33194"/>
    <cellStyle name="Normal 3 3 2 2 2 3 2 3" xfId="4707"/>
    <cellStyle name="Normal 3 3 2 2 2 3 2 3 2" xfId="4708"/>
    <cellStyle name="Normal 3 3 2 2 2 3 2 3 2 2" xfId="33197"/>
    <cellStyle name="Normal 3 3 2 2 2 3 2 3 3" xfId="33196"/>
    <cellStyle name="Normal 3 3 2 2 2 3 2 4" xfId="4709"/>
    <cellStyle name="Normal 3 3 2 2 2 3 2 4 2" xfId="4710"/>
    <cellStyle name="Normal 3 3 2 2 2 3 2 4 2 2" xfId="33199"/>
    <cellStyle name="Normal 3 3 2 2 2 3 2 4 3" xfId="33198"/>
    <cellStyle name="Normal 3 3 2 2 2 3 2 5" xfId="4711"/>
    <cellStyle name="Normal 3 3 2 2 2 3 2 5 2" xfId="33200"/>
    <cellStyle name="Normal 3 3 2 2 2 3 2 6" xfId="33201"/>
    <cellStyle name="Normal 3 3 2 2 2 3 2 7" xfId="33193"/>
    <cellStyle name="Normal 3 3 2 2 2 3 3" xfId="4712"/>
    <cellStyle name="Normal 3 3 2 2 2 3 3 2" xfId="4713"/>
    <cellStyle name="Normal 3 3 2 2 2 3 3 2 2" xfId="4714"/>
    <cellStyle name="Normal 3 3 2 2 2 3 3 2 2 2" xfId="33204"/>
    <cellStyle name="Normal 3 3 2 2 2 3 3 2 3" xfId="33203"/>
    <cellStyle name="Normal 3 3 2 2 2 3 3 3" xfId="4715"/>
    <cellStyle name="Normal 3 3 2 2 2 3 3 3 2" xfId="4716"/>
    <cellStyle name="Normal 3 3 2 2 2 3 3 3 2 2" xfId="33206"/>
    <cellStyle name="Normal 3 3 2 2 2 3 3 3 3" xfId="33205"/>
    <cellStyle name="Normal 3 3 2 2 2 3 3 4" xfId="4717"/>
    <cellStyle name="Normal 3 3 2 2 2 3 3 4 2" xfId="33208"/>
    <cellStyle name="Normal 3 3 2 2 2 3 3 4 3" xfId="33207"/>
    <cellStyle name="Normal 3 3 2 2 2 3 3 5" xfId="33209"/>
    <cellStyle name="Normal 3 3 2 2 2 3 3 6" xfId="33210"/>
    <cellStyle name="Normal 3 3 2 2 2 3 3 7" xfId="33202"/>
    <cellStyle name="Normal 3 3 2 2 2 3 4" xfId="4718"/>
    <cellStyle name="Normal 3 3 2 2 2 3 4 2" xfId="4719"/>
    <cellStyle name="Normal 3 3 2 2 2 3 4 2 2" xfId="33213"/>
    <cellStyle name="Normal 3 3 2 2 2 3 4 2 3" xfId="33212"/>
    <cellStyle name="Normal 3 3 2 2 2 3 4 3" xfId="4720"/>
    <cellStyle name="Normal 3 3 2 2 2 3 4 3 2" xfId="33215"/>
    <cellStyle name="Normal 3 3 2 2 2 3 4 3 3" xfId="33214"/>
    <cellStyle name="Normal 3 3 2 2 2 3 4 4" xfId="33216"/>
    <cellStyle name="Normal 3 3 2 2 2 3 4 4 2" xfId="33217"/>
    <cellStyle name="Normal 3 3 2 2 2 3 4 5" xfId="33218"/>
    <cellStyle name="Normal 3 3 2 2 2 3 4 6" xfId="33219"/>
    <cellStyle name="Normal 3 3 2 2 2 3 4 7" xfId="33211"/>
    <cellStyle name="Normal 3 3 2 2 2 3 5" xfId="4721"/>
    <cellStyle name="Normal 3 3 2 2 2 3 5 2" xfId="4722"/>
    <cellStyle name="Normal 3 3 2 2 2 3 5 2 2" xfId="33222"/>
    <cellStyle name="Normal 3 3 2 2 2 3 5 2 3" xfId="33221"/>
    <cellStyle name="Normal 3 3 2 2 2 3 5 3" xfId="33223"/>
    <cellStyle name="Normal 3 3 2 2 2 3 5 3 2" xfId="33224"/>
    <cellStyle name="Normal 3 3 2 2 2 3 5 4" xfId="33225"/>
    <cellStyle name="Normal 3 3 2 2 2 3 5 5" xfId="33226"/>
    <cellStyle name="Normal 3 3 2 2 2 3 5 6" xfId="33220"/>
    <cellStyle name="Normal 3 3 2 2 2 3 6" xfId="4723"/>
    <cellStyle name="Normal 3 3 2 2 2 3 6 2" xfId="4724"/>
    <cellStyle name="Normal 3 3 2 2 2 3 6 2 2" xfId="33228"/>
    <cellStyle name="Normal 3 3 2 2 2 3 6 3" xfId="33227"/>
    <cellStyle name="Normal 3 3 2 2 2 3 7" xfId="4725"/>
    <cellStyle name="Normal 3 3 2 2 2 3 7 2" xfId="33230"/>
    <cellStyle name="Normal 3 3 2 2 2 3 7 3" xfId="33229"/>
    <cellStyle name="Normal 3 3 2 2 2 3 8" xfId="33231"/>
    <cellStyle name="Normal 3 3 2 2 2 3 8 2" xfId="33232"/>
    <cellStyle name="Normal 3 3 2 2 2 3 9" xfId="33233"/>
    <cellStyle name="Normal 3 3 2 2 2 4" xfId="4726"/>
    <cellStyle name="Normal 3 3 2 2 2 4 10" xfId="33235"/>
    <cellStyle name="Normal 3 3 2 2 2 4 11" xfId="33234"/>
    <cellStyle name="Normal 3 3 2 2 2 4 2" xfId="4727"/>
    <cellStyle name="Normal 3 3 2 2 2 4 2 2" xfId="4728"/>
    <cellStyle name="Normal 3 3 2 2 2 4 2 2 2" xfId="4729"/>
    <cellStyle name="Normal 3 3 2 2 2 4 2 2 2 2" xfId="33238"/>
    <cellStyle name="Normal 3 3 2 2 2 4 2 2 3" xfId="33237"/>
    <cellStyle name="Normal 3 3 2 2 2 4 2 3" xfId="4730"/>
    <cellStyle name="Normal 3 3 2 2 2 4 2 3 2" xfId="4731"/>
    <cellStyle name="Normal 3 3 2 2 2 4 2 3 2 2" xfId="33240"/>
    <cellStyle name="Normal 3 3 2 2 2 4 2 3 3" xfId="33239"/>
    <cellStyle name="Normal 3 3 2 2 2 4 2 4" xfId="4732"/>
    <cellStyle name="Normal 3 3 2 2 2 4 2 4 2" xfId="33242"/>
    <cellStyle name="Normal 3 3 2 2 2 4 2 4 3" xfId="33241"/>
    <cellStyle name="Normal 3 3 2 2 2 4 2 5" xfId="33243"/>
    <cellStyle name="Normal 3 3 2 2 2 4 2 6" xfId="33244"/>
    <cellStyle name="Normal 3 3 2 2 2 4 2 7" xfId="33236"/>
    <cellStyle name="Normal 3 3 2 2 2 4 3" xfId="4733"/>
    <cellStyle name="Normal 3 3 2 2 2 4 3 2" xfId="4734"/>
    <cellStyle name="Normal 3 3 2 2 2 4 3 2 2" xfId="33247"/>
    <cellStyle name="Normal 3 3 2 2 2 4 3 2 3" xfId="33246"/>
    <cellStyle name="Normal 3 3 2 2 2 4 3 3" xfId="4735"/>
    <cellStyle name="Normal 3 3 2 2 2 4 3 3 2" xfId="33249"/>
    <cellStyle name="Normal 3 3 2 2 2 4 3 3 3" xfId="33248"/>
    <cellStyle name="Normal 3 3 2 2 2 4 3 4" xfId="33250"/>
    <cellStyle name="Normal 3 3 2 2 2 4 3 4 2" xfId="33251"/>
    <cellStyle name="Normal 3 3 2 2 2 4 3 5" xfId="33252"/>
    <cellStyle name="Normal 3 3 2 2 2 4 3 6" xfId="33253"/>
    <cellStyle name="Normal 3 3 2 2 2 4 3 7" xfId="33245"/>
    <cellStyle name="Normal 3 3 2 2 2 4 4" xfId="4736"/>
    <cellStyle name="Normal 3 3 2 2 2 4 4 2" xfId="4737"/>
    <cellStyle name="Normal 3 3 2 2 2 4 4 2 2" xfId="33256"/>
    <cellStyle name="Normal 3 3 2 2 2 4 4 2 3" xfId="33255"/>
    <cellStyle name="Normal 3 3 2 2 2 4 4 3" xfId="33257"/>
    <cellStyle name="Normal 3 3 2 2 2 4 4 3 2" xfId="33258"/>
    <cellStyle name="Normal 3 3 2 2 2 4 4 4" xfId="33259"/>
    <cellStyle name="Normal 3 3 2 2 2 4 4 4 2" xfId="33260"/>
    <cellStyle name="Normal 3 3 2 2 2 4 4 5" xfId="33261"/>
    <cellStyle name="Normal 3 3 2 2 2 4 4 6" xfId="33262"/>
    <cellStyle name="Normal 3 3 2 2 2 4 4 7" xfId="33254"/>
    <cellStyle name="Normal 3 3 2 2 2 4 5" xfId="4738"/>
    <cellStyle name="Normal 3 3 2 2 2 4 5 2" xfId="4739"/>
    <cellStyle name="Normal 3 3 2 2 2 4 5 2 2" xfId="33265"/>
    <cellStyle name="Normal 3 3 2 2 2 4 5 2 3" xfId="33264"/>
    <cellStyle name="Normal 3 3 2 2 2 4 5 3" xfId="33266"/>
    <cellStyle name="Normal 3 3 2 2 2 4 5 3 2" xfId="33267"/>
    <cellStyle name="Normal 3 3 2 2 2 4 5 4" xfId="33268"/>
    <cellStyle name="Normal 3 3 2 2 2 4 5 5" xfId="33269"/>
    <cellStyle name="Normal 3 3 2 2 2 4 5 6" xfId="33263"/>
    <cellStyle name="Normal 3 3 2 2 2 4 6" xfId="4740"/>
    <cellStyle name="Normal 3 3 2 2 2 4 6 2" xfId="33271"/>
    <cellStyle name="Normal 3 3 2 2 2 4 6 3" xfId="33270"/>
    <cellStyle name="Normal 3 3 2 2 2 4 7" xfId="33272"/>
    <cellStyle name="Normal 3 3 2 2 2 4 7 2" xfId="33273"/>
    <cellStyle name="Normal 3 3 2 2 2 4 8" xfId="33274"/>
    <cellStyle name="Normal 3 3 2 2 2 4 8 2" xfId="33275"/>
    <cellStyle name="Normal 3 3 2 2 2 4 9" xfId="33276"/>
    <cellStyle name="Normal 3 3 2 2 2 5" xfId="4741"/>
    <cellStyle name="Normal 3 3 2 2 2 5 2" xfId="4742"/>
    <cellStyle name="Normal 3 3 2 2 2 5 2 2" xfId="4743"/>
    <cellStyle name="Normal 3 3 2 2 2 5 2 2 2" xfId="33279"/>
    <cellStyle name="Normal 3 3 2 2 2 5 2 3" xfId="33278"/>
    <cellStyle name="Normal 3 3 2 2 2 5 3" xfId="4744"/>
    <cellStyle name="Normal 3 3 2 2 2 5 3 2" xfId="4745"/>
    <cellStyle name="Normal 3 3 2 2 2 5 3 2 2" xfId="33281"/>
    <cellStyle name="Normal 3 3 2 2 2 5 3 3" xfId="33280"/>
    <cellStyle name="Normal 3 3 2 2 2 5 4" xfId="4746"/>
    <cellStyle name="Normal 3 3 2 2 2 5 4 2" xfId="33283"/>
    <cellStyle name="Normal 3 3 2 2 2 5 4 3" xfId="33282"/>
    <cellStyle name="Normal 3 3 2 2 2 5 5" xfId="33284"/>
    <cellStyle name="Normal 3 3 2 2 2 5 6" xfId="33285"/>
    <cellStyle name="Normal 3 3 2 2 2 5 7" xfId="33277"/>
    <cellStyle name="Normal 3 3 2 2 2 6" xfId="4747"/>
    <cellStyle name="Normal 3 3 2 2 2 6 2" xfId="4748"/>
    <cellStyle name="Normal 3 3 2 2 2 6 2 2" xfId="4749"/>
    <cellStyle name="Normal 3 3 2 2 2 6 2 2 2" xfId="33288"/>
    <cellStyle name="Normal 3 3 2 2 2 6 2 3" xfId="33287"/>
    <cellStyle name="Normal 3 3 2 2 2 6 3" xfId="4750"/>
    <cellStyle name="Normal 3 3 2 2 2 6 3 2" xfId="4751"/>
    <cellStyle name="Normal 3 3 2 2 2 6 3 2 2" xfId="33290"/>
    <cellStyle name="Normal 3 3 2 2 2 6 3 3" xfId="33289"/>
    <cellStyle name="Normal 3 3 2 2 2 6 4" xfId="4752"/>
    <cellStyle name="Normal 3 3 2 2 2 6 4 2" xfId="33292"/>
    <cellStyle name="Normal 3 3 2 2 2 6 4 3" xfId="33291"/>
    <cellStyle name="Normal 3 3 2 2 2 6 5" xfId="33293"/>
    <cellStyle name="Normal 3 3 2 2 2 6 6" xfId="33294"/>
    <cellStyle name="Normal 3 3 2 2 2 6 7" xfId="33286"/>
    <cellStyle name="Normal 3 3 2 2 2 7" xfId="4753"/>
    <cellStyle name="Normal 3 3 2 2 2 7 2" xfId="4754"/>
    <cellStyle name="Normal 3 3 2 2 2 7 2 2" xfId="33297"/>
    <cellStyle name="Normal 3 3 2 2 2 7 2 3" xfId="33296"/>
    <cellStyle name="Normal 3 3 2 2 2 7 3" xfId="4755"/>
    <cellStyle name="Normal 3 3 2 2 2 7 3 2" xfId="33299"/>
    <cellStyle name="Normal 3 3 2 2 2 7 3 3" xfId="33298"/>
    <cellStyle name="Normal 3 3 2 2 2 7 4" xfId="33300"/>
    <cellStyle name="Normal 3 3 2 2 2 7 4 2" xfId="33301"/>
    <cellStyle name="Normal 3 3 2 2 2 7 5" xfId="33302"/>
    <cellStyle name="Normal 3 3 2 2 2 7 6" xfId="33303"/>
    <cellStyle name="Normal 3 3 2 2 2 7 7" xfId="33295"/>
    <cellStyle name="Normal 3 3 2 2 2 8" xfId="4756"/>
    <cellStyle name="Normal 3 3 2 2 2 8 2" xfId="4757"/>
    <cellStyle name="Normal 3 3 2 2 2 8 2 2" xfId="33306"/>
    <cellStyle name="Normal 3 3 2 2 2 8 2 3" xfId="33305"/>
    <cellStyle name="Normal 3 3 2 2 2 8 3" xfId="33307"/>
    <cellStyle name="Normal 3 3 2 2 2 8 3 2" xfId="33308"/>
    <cellStyle name="Normal 3 3 2 2 2 8 4" xfId="33309"/>
    <cellStyle name="Normal 3 3 2 2 2 8 5" xfId="33310"/>
    <cellStyle name="Normal 3 3 2 2 2 8 6" xfId="33304"/>
    <cellStyle name="Normal 3 3 2 2 2 9" xfId="4758"/>
    <cellStyle name="Normal 3 3 2 2 2 9 2" xfId="4759"/>
    <cellStyle name="Normal 3 3 2 2 2 9 2 2" xfId="33312"/>
    <cellStyle name="Normal 3 3 2 2 2 9 3" xfId="33311"/>
    <cellStyle name="Normal 3 3 2 2 3" xfId="4760"/>
    <cellStyle name="Normal 3 3 2 2 3 10" xfId="33314"/>
    <cellStyle name="Normal 3 3 2 2 3 10 2" xfId="33315"/>
    <cellStyle name="Normal 3 3 2 2 3 11" xfId="33316"/>
    <cellStyle name="Normal 3 3 2 2 3 11 2" xfId="33317"/>
    <cellStyle name="Normal 3 3 2 2 3 12" xfId="33318"/>
    <cellStyle name="Normal 3 3 2 2 3 13" xfId="33319"/>
    <cellStyle name="Normal 3 3 2 2 3 14" xfId="33313"/>
    <cellStyle name="Normal 3 3 2 2 3 2" xfId="4761"/>
    <cellStyle name="Normal 3 3 2 2 3 2 10" xfId="33321"/>
    <cellStyle name="Normal 3 3 2 2 3 2 11" xfId="33322"/>
    <cellStyle name="Normal 3 3 2 2 3 2 12" xfId="33320"/>
    <cellStyle name="Normal 3 3 2 2 3 2 2" xfId="4762"/>
    <cellStyle name="Normal 3 3 2 2 3 2 2 2" xfId="4763"/>
    <cellStyle name="Normal 3 3 2 2 3 2 2 2 2" xfId="4764"/>
    <cellStyle name="Normal 3 3 2 2 3 2 2 2 2 2" xfId="33325"/>
    <cellStyle name="Normal 3 3 2 2 3 2 2 2 3" xfId="4765"/>
    <cellStyle name="Normal 3 3 2 2 3 2 2 2 4" xfId="33324"/>
    <cellStyle name="Normal 3 3 2 2 3 2 2 3" xfId="4766"/>
    <cellStyle name="Normal 3 3 2 2 3 2 2 3 2" xfId="4767"/>
    <cellStyle name="Normal 3 3 2 2 3 2 2 3 2 2" xfId="33327"/>
    <cellStyle name="Normal 3 3 2 2 3 2 2 3 3" xfId="33326"/>
    <cellStyle name="Normal 3 3 2 2 3 2 2 4" xfId="4768"/>
    <cellStyle name="Normal 3 3 2 2 3 2 2 4 2" xfId="4769"/>
    <cellStyle name="Normal 3 3 2 2 3 2 2 4 2 2" xfId="33329"/>
    <cellStyle name="Normal 3 3 2 2 3 2 2 4 3" xfId="33328"/>
    <cellStyle name="Normal 3 3 2 2 3 2 2 5" xfId="4770"/>
    <cellStyle name="Normal 3 3 2 2 3 2 2 5 2" xfId="33330"/>
    <cellStyle name="Normal 3 3 2 2 3 2 2 6" xfId="33331"/>
    <cellStyle name="Normal 3 3 2 2 3 2 2 7" xfId="33323"/>
    <cellStyle name="Normal 3 3 2 2 3 2 3" xfId="4771"/>
    <cellStyle name="Normal 3 3 2 2 3 2 3 2" xfId="4772"/>
    <cellStyle name="Normal 3 3 2 2 3 2 3 2 2" xfId="4773"/>
    <cellStyle name="Normal 3 3 2 2 3 2 3 2 2 2" xfId="33334"/>
    <cellStyle name="Normal 3 3 2 2 3 2 3 2 3" xfId="33333"/>
    <cellStyle name="Normal 3 3 2 2 3 2 3 3" xfId="4774"/>
    <cellStyle name="Normal 3 3 2 2 3 2 3 3 2" xfId="4775"/>
    <cellStyle name="Normal 3 3 2 2 3 2 3 3 2 2" xfId="33336"/>
    <cellStyle name="Normal 3 3 2 2 3 2 3 3 3" xfId="33335"/>
    <cellStyle name="Normal 3 3 2 2 3 2 3 4" xfId="4776"/>
    <cellStyle name="Normal 3 3 2 2 3 2 3 4 2" xfId="33338"/>
    <cellStyle name="Normal 3 3 2 2 3 2 3 4 3" xfId="33337"/>
    <cellStyle name="Normal 3 3 2 2 3 2 3 5" xfId="33339"/>
    <cellStyle name="Normal 3 3 2 2 3 2 3 6" xfId="33340"/>
    <cellStyle name="Normal 3 3 2 2 3 2 3 7" xfId="33332"/>
    <cellStyle name="Normal 3 3 2 2 3 2 4" xfId="4777"/>
    <cellStyle name="Normal 3 3 2 2 3 2 4 2" xfId="4778"/>
    <cellStyle name="Normal 3 3 2 2 3 2 4 2 2" xfId="33343"/>
    <cellStyle name="Normal 3 3 2 2 3 2 4 2 3" xfId="33342"/>
    <cellStyle name="Normal 3 3 2 2 3 2 4 3" xfId="4779"/>
    <cellStyle name="Normal 3 3 2 2 3 2 4 3 2" xfId="33345"/>
    <cellStyle name="Normal 3 3 2 2 3 2 4 3 3" xfId="33344"/>
    <cellStyle name="Normal 3 3 2 2 3 2 4 4" xfId="33346"/>
    <cellStyle name="Normal 3 3 2 2 3 2 4 4 2" xfId="33347"/>
    <cellStyle name="Normal 3 3 2 2 3 2 4 5" xfId="33348"/>
    <cellStyle name="Normal 3 3 2 2 3 2 4 6" xfId="33349"/>
    <cellStyle name="Normal 3 3 2 2 3 2 4 7" xfId="33341"/>
    <cellStyle name="Normal 3 3 2 2 3 2 5" xfId="4780"/>
    <cellStyle name="Normal 3 3 2 2 3 2 5 2" xfId="4781"/>
    <cellStyle name="Normal 3 3 2 2 3 2 5 2 2" xfId="33352"/>
    <cellStyle name="Normal 3 3 2 2 3 2 5 2 3" xfId="33351"/>
    <cellStyle name="Normal 3 3 2 2 3 2 5 3" xfId="33353"/>
    <cellStyle name="Normal 3 3 2 2 3 2 5 3 2" xfId="33354"/>
    <cellStyle name="Normal 3 3 2 2 3 2 5 4" xfId="33355"/>
    <cellStyle name="Normal 3 3 2 2 3 2 5 4 2" xfId="33356"/>
    <cellStyle name="Normal 3 3 2 2 3 2 5 5" xfId="33357"/>
    <cellStyle name="Normal 3 3 2 2 3 2 5 6" xfId="33358"/>
    <cellStyle name="Normal 3 3 2 2 3 2 5 7" xfId="33350"/>
    <cellStyle name="Normal 3 3 2 2 3 2 6" xfId="4782"/>
    <cellStyle name="Normal 3 3 2 2 3 2 6 2" xfId="4783"/>
    <cellStyle name="Normal 3 3 2 2 3 2 6 2 2" xfId="33361"/>
    <cellStyle name="Normal 3 3 2 2 3 2 6 2 3" xfId="33360"/>
    <cellStyle name="Normal 3 3 2 2 3 2 6 3" xfId="33362"/>
    <cellStyle name="Normal 3 3 2 2 3 2 6 3 2" xfId="33363"/>
    <cellStyle name="Normal 3 3 2 2 3 2 6 4" xfId="33364"/>
    <cellStyle name="Normal 3 3 2 2 3 2 6 5" xfId="33365"/>
    <cellStyle name="Normal 3 3 2 2 3 2 6 6" xfId="33359"/>
    <cellStyle name="Normal 3 3 2 2 3 2 7" xfId="4784"/>
    <cellStyle name="Normal 3 3 2 2 3 2 7 2" xfId="33367"/>
    <cellStyle name="Normal 3 3 2 2 3 2 7 3" xfId="33366"/>
    <cellStyle name="Normal 3 3 2 2 3 2 8" xfId="33368"/>
    <cellStyle name="Normal 3 3 2 2 3 2 8 2" xfId="33369"/>
    <cellStyle name="Normal 3 3 2 2 3 2 9" xfId="33370"/>
    <cellStyle name="Normal 3 3 2 2 3 2 9 2" xfId="33371"/>
    <cellStyle name="Normal 3 3 2 2 3 3" xfId="4785"/>
    <cellStyle name="Normal 3 3 2 2 3 3 10" xfId="33373"/>
    <cellStyle name="Normal 3 3 2 2 3 3 11" xfId="33372"/>
    <cellStyle name="Normal 3 3 2 2 3 3 2" xfId="4786"/>
    <cellStyle name="Normal 3 3 2 2 3 3 2 2" xfId="4787"/>
    <cellStyle name="Normal 3 3 2 2 3 3 2 2 2" xfId="33376"/>
    <cellStyle name="Normal 3 3 2 2 3 3 2 2 3" xfId="33375"/>
    <cellStyle name="Normal 3 3 2 2 3 3 2 3" xfId="4788"/>
    <cellStyle name="Normal 3 3 2 2 3 3 2 3 2" xfId="33378"/>
    <cellStyle name="Normal 3 3 2 2 3 3 2 3 3" xfId="33377"/>
    <cellStyle name="Normal 3 3 2 2 3 3 2 4" xfId="33379"/>
    <cellStyle name="Normal 3 3 2 2 3 3 2 4 2" xfId="33380"/>
    <cellStyle name="Normal 3 3 2 2 3 3 2 5" xfId="33381"/>
    <cellStyle name="Normal 3 3 2 2 3 3 2 6" xfId="33382"/>
    <cellStyle name="Normal 3 3 2 2 3 3 2 7" xfId="33374"/>
    <cellStyle name="Normal 3 3 2 2 3 3 3" xfId="4789"/>
    <cellStyle name="Normal 3 3 2 2 3 3 3 2" xfId="4790"/>
    <cellStyle name="Normal 3 3 2 2 3 3 3 2 2" xfId="33385"/>
    <cellStyle name="Normal 3 3 2 2 3 3 3 2 3" xfId="33384"/>
    <cellStyle name="Normal 3 3 2 2 3 3 3 3" xfId="33386"/>
    <cellStyle name="Normal 3 3 2 2 3 3 3 3 2" xfId="33387"/>
    <cellStyle name="Normal 3 3 2 2 3 3 3 4" xfId="33388"/>
    <cellStyle name="Normal 3 3 2 2 3 3 3 4 2" xfId="33389"/>
    <cellStyle name="Normal 3 3 2 2 3 3 3 5" xfId="33390"/>
    <cellStyle name="Normal 3 3 2 2 3 3 3 6" xfId="33391"/>
    <cellStyle name="Normal 3 3 2 2 3 3 3 7" xfId="33383"/>
    <cellStyle name="Normal 3 3 2 2 3 3 4" xfId="4791"/>
    <cellStyle name="Normal 3 3 2 2 3 3 4 2" xfId="4792"/>
    <cellStyle name="Normal 3 3 2 2 3 3 4 2 2" xfId="33394"/>
    <cellStyle name="Normal 3 3 2 2 3 3 4 2 3" xfId="33393"/>
    <cellStyle name="Normal 3 3 2 2 3 3 4 3" xfId="33395"/>
    <cellStyle name="Normal 3 3 2 2 3 3 4 3 2" xfId="33396"/>
    <cellStyle name="Normal 3 3 2 2 3 3 4 4" xfId="33397"/>
    <cellStyle name="Normal 3 3 2 2 3 3 4 4 2" xfId="33398"/>
    <cellStyle name="Normal 3 3 2 2 3 3 4 5" xfId="33399"/>
    <cellStyle name="Normal 3 3 2 2 3 3 4 6" xfId="33400"/>
    <cellStyle name="Normal 3 3 2 2 3 3 4 7" xfId="33392"/>
    <cellStyle name="Normal 3 3 2 2 3 3 5" xfId="4793"/>
    <cellStyle name="Normal 3 3 2 2 3 3 5 2" xfId="33402"/>
    <cellStyle name="Normal 3 3 2 2 3 3 5 2 2" xfId="33403"/>
    <cellStyle name="Normal 3 3 2 2 3 3 5 3" xfId="33404"/>
    <cellStyle name="Normal 3 3 2 2 3 3 5 3 2" xfId="33405"/>
    <cellStyle name="Normal 3 3 2 2 3 3 5 4" xfId="33406"/>
    <cellStyle name="Normal 3 3 2 2 3 3 5 5" xfId="33407"/>
    <cellStyle name="Normal 3 3 2 2 3 3 5 6" xfId="33401"/>
    <cellStyle name="Normal 3 3 2 2 3 3 6" xfId="33408"/>
    <cellStyle name="Normal 3 3 2 2 3 3 6 2" xfId="33409"/>
    <cellStyle name="Normal 3 3 2 2 3 3 7" xfId="33410"/>
    <cellStyle name="Normal 3 3 2 2 3 3 7 2" xfId="33411"/>
    <cellStyle name="Normal 3 3 2 2 3 3 8" xfId="33412"/>
    <cellStyle name="Normal 3 3 2 2 3 3 8 2" xfId="33413"/>
    <cellStyle name="Normal 3 3 2 2 3 3 9" xfId="33414"/>
    <cellStyle name="Normal 3 3 2 2 3 4" xfId="4794"/>
    <cellStyle name="Normal 3 3 2 2 3 4 10" xfId="33416"/>
    <cellStyle name="Normal 3 3 2 2 3 4 11" xfId="33415"/>
    <cellStyle name="Normal 3 3 2 2 3 4 2" xfId="4795"/>
    <cellStyle name="Normal 3 3 2 2 3 4 2 2" xfId="4796"/>
    <cellStyle name="Normal 3 3 2 2 3 4 2 2 2" xfId="33419"/>
    <cellStyle name="Normal 3 3 2 2 3 4 2 2 3" xfId="33418"/>
    <cellStyle name="Normal 3 3 2 2 3 4 2 3" xfId="33420"/>
    <cellStyle name="Normal 3 3 2 2 3 4 2 3 2" xfId="33421"/>
    <cellStyle name="Normal 3 3 2 2 3 4 2 4" xfId="33422"/>
    <cellStyle name="Normal 3 3 2 2 3 4 2 4 2" xfId="33423"/>
    <cellStyle name="Normal 3 3 2 2 3 4 2 5" xfId="33424"/>
    <cellStyle name="Normal 3 3 2 2 3 4 2 6" xfId="33425"/>
    <cellStyle name="Normal 3 3 2 2 3 4 2 7" xfId="33417"/>
    <cellStyle name="Normal 3 3 2 2 3 4 3" xfId="4797"/>
    <cellStyle name="Normal 3 3 2 2 3 4 3 2" xfId="4798"/>
    <cellStyle name="Normal 3 3 2 2 3 4 3 2 2" xfId="33428"/>
    <cellStyle name="Normal 3 3 2 2 3 4 3 2 3" xfId="33427"/>
    <cellStyle name="Normal 3 3 2 2 3 4 3 3" xfId="33429"/>
    <cellStyle name="Normal 3 3 2 2 3 4 3 3 2" xfId="33430"/>
    <cellStyle name="Normal 3 3 2 2 3 4 3 4" xfId="33431"/>
    <cellStyle name="Normal 3 3 2 2 3 4 3 4 2" xfId="33432"/>
    <cellStyle name="Normal 3 3 2 2 3 4 3 5" xfId="33433"/>
    <cellStyle name="Normal 3 3 2 2 3 4 3 6" xfId="33434"/>
    <cellStyle name="Normal 3 3 2 2 3 4 3 7" xfId="33426"/>
    <cellStyle name="Normal 3 3 2 2 3 4 4" xfId="4799"/>
    <cellStyle name="Normal 3 3 2 2 3 4 4 2" xfId="33436"/>
    <cellStyle name="Normal 3 3 2 2 3 4 4 2 2" xfId="33437"/>
    <cellStyle name="Normal 3 3 2 2 3 4 4 3" xfId="33438"/>
    <cellStyle name="Normal 3 3 2 2 3 4 4 3 2" xfId="33439"/>
    <cellStyle name="Normal 3 3 2 2 3 4 4 4" xfId="33440"/>
    <cellStyle name="Normal 3 3 2 2 3 4 4 4 2" xfId="33441"/>
    <cellStyle name="Normal 3 3 2 2 3 4 4 5" xfId="33442"/>
    <cellStyle name="Normal 3 3 2 2 3 4 4 6" xfId="33443"/>
    <cellStyle name="Normal 3 3 2 2 3 4 4 7" xfId="33435"/>
    <cellStyle name="Normal 3 3 2 2 3 4 5" xfId="33444"/>
    <cellStyle name="Normal 3 3 2 2 3 4 5 2" xfId="33445"/>
    <cellStyle name="Normal 3 3 2 2 3 4 5 2 2" xfId="33446"/>
    <cellStyle name="Normal 3 3 2 2 3 4 5 3" xfId="33447"/>
    <cellStyle name="Normal 3 3 2 2 3 4 5 3 2" xfId="33448"/>
    <cellStyle name="Normal 3 3 2 2 3 4 5 4" xfId="33449"/>
    <cellStyle name="Normal 3 3 2 2 3 4 5 5" xfId="33450"/>
    <cellStyle name="Normal 3 3 2 2 3 4 6" xfId="33451"/>
    <cellStyle name="Normal 3 3 2 2 3 4 6 2" xfId="33452"/>
    <cellStyle name="Normal 3 3 2 2 3 4 7" xfId="33453"/>
    <cellStyle name="Normal 3 3 2 2 3 4 7 2" xfId="33454"/>
    <cellStyle name="Normal 3 3 2 2 3 4 8" xfId="33455"/>
    <cellStyle name="Normal 3 3 2 2 3 4 8 2" xfId="33456"/>
    <cellStyle name="Normal 3 3 2 2 3 4 9" xfId="33457"/>
    <cellStyle name="Normal 3 3 2 2 3 5" xfId="4800"/>
    <cellStyle name="Normal 3 3 2 2 3 5 2" xfId="4801"/>
    <cellStyle name="Normal 3 3 2 2 3 5 2 2" xfId="33460"/>
    <cellStyle name="Normal 3 3 2 2 3 5 2 3" xfId="33459"/>
    <cellStyle name="Normal 3 3 2 2 3 5 3" xfId="4802"/>
    <cellStyle name="Normal 3 3 2 2 3 5 3 2" xfId="33462"/>
    <cellStyle name="Normal 3 3 2 2 3 5 3 3" xfId="33461"/>
    <cellStyle name="Normal 3 3 2 2 3 5 4" xfId="33463"/>
    <cellStyle name="Normal 3 3 2 2 3 5 4 2" xfId="33464"/>
    <cellStyle name="Normal 3 3 2 2 3 5 5" xfId="33465"/>
    <cellStyle name="Normal 3 3 2 2 3 5 6" xfId="33466"/>
    <cellStyle name="Normal 3 3 2 2 3 5 7" xfId="33458"/>
    <cellStyle name="Normal 3 3 2 2 3 6" xfId="4803"/>
    <cellStyle name="Normal 3 3 2 2 3 6 2" xfId="4804"/>
    <cellStyle name="Normal 3 3 2 2 3 6 2 2" xfId="33469"/>
    <cellStyle name="Normal 3 3 2 2 3 6 2 3" xfId="33468"/>
    <cellStyle name="Normal 3 3 2 2 3 6 3" xfId="33470"/>
    <cellStyle name="Normal 3 3 2 2 3 6 3 2" xfId="33471"/>
    <cellStyle name="Normal 3 3 2 2 3 6 4" xfId="33472"/>
    <cellStyle name="Normal 3 3 2 2 3 6 4 2" xfId="33473"/>
    <cellStyle name="Normal 3 3 2 2 3 6 5" xfId="33474"/>
    <cellStyle name="Normal 3 3 2 2 3 6 6" xfId="33475"/>
    <cellStyle name="Normal 3 3 2 2 3 6 7" xfId="33467"/>
    <cellStyle name="Normal 3 3 2 2 3 7" xfId="4805"/>
    <cellStyle name="Normal 3 3 2 2 3 7 2" xfId="4806"/>
    <cellStyle name="Normal 3 3 2 2 3 7 2 2" xfId="33478"/>
    <cellStyle name="Normal 3 3 2 2 3 7 2 3" xfId="33477"/>
    <cellStyle name="Normal 3 3 2 2 3 7 3" xfId="33479"/>
    <cellStyle name="Normal 3 3 2 2 3 7 3 2" xfId="33480"/>
    <cellStyle name="Normal 3 3 2 2 3 7 4" xfId="33481"/>
    <cellStyle name="Normal 3 3 2 2 3 7 4 2" xfId="33482"/>
    <cellStyle name="Normal 3 3 2 2 3 7 5" xfId="33483"/>
    <cellStyle name="Normal 3 3 2 2 3 7 6" xfId="33484"/>
    <cellStyle name="Normal 3 3 2 2 3 7 7" xfId="33476"/>
    <cellStyle name="Normal 3 3 2 2 3 8" xfId="4807"/>
    <cellStyle name="Normal 3 3 2 2 3 8 2" xfId="33486"/>
    <cellStyle name="Normal 3 3 2 2 3 8 2 2" xfId="33487"/>
    <cellStyle name="Normal 3 3 2 2 3 8 3" xfId="33488"/>
    <cellStyle name="Normal 3 3 2 2 3 8 3 2" xfId="33489"/>
    <cellStyle name="Normal 3 3 2 2 3 8 4" xfId="33490"/>
    <cellStyle name="Normal 3 3 2 2 3 8 5" xfId="33491"/>
    <cellStyle name="Normal 3 3 2 2 3 8 6" xfId="33485"/>
    <cellStyle name="Normal 3 3 2 2 3 9" xfId="33492"/>
    <cellStyle name="Normal 3 3 2 2 3 9 2" xfId="33493"/>
    <cellStyle name="Normal 3 3 2 2 4" xfId="4808"/>
    <cellStyle name="Normal 3 3 2 2 4 10" xfId="33495"/>
    <cellStyle name="Normal 3 3 2 2 4 10 2" xfId="33496"/>
    <cellStyle name="Normal 3 3 2 2 4 11" xfId="33497"/>
    <cellStyle name="Normal 3 3 2 2 4 12" xfId="33498"/>
    <cellStyle name="Normal 3 3 2 2 4 13" xfId="33494"/>
    <cellStyle name="Normal 3 3 2 2 4 2" xfId="4809"/>
    <cellStyle name="Normal 3 3 2 2 4 2 10" xfId="33500"/>
    <cellStyle name="Normal 3 3 2 2 4 2 11" xfId="33499"/>
    <cellStyle name="Normal 3 3 2 2 4 2 2" xfId="4810"/>
    <cellStyle name="Normal 3 3 2 2 4 2 2 2" xfId="4811"/>
    <cellStyle name="Normal 3 3 2 2 4 2 2 2 2" xfId="33503"/>
    <cellStyle name="Normal 3 3 2 2 4 2 2 2 3" xfId="33502"/>
    <cellStyle name="Normal 3 3 2 2 4 2 2 3" xfId="4812"/>
    <cellStyle name="Normal 3 3 2 2 4 2 2 3 2" xfId="33505"/>
    <cellStyle name="Normal 3 3 2 2 4 2 2 3 3" xfId="33504"/>
    <cellStyle name="Normal 3 3 2 2 4 2 2 4" xfId="33506"/>
    <cellStyle name="Normal 3 3 2 2 4 2 2 4 2" xfId="33507"/>
    <cellStyle name="Normal 3 3 2 2 4 2 2 5" xfId="33508"/>
    <cellStyle name="Normal 3 3 2 2 4 2 2 6" xfId="33509"/>
    <cellStyle name="Normal 3 3 2 2 4 2 2 7" xfId="33501"/>
    <cellStyle name="Normal 3 3 2 2 4 2 3" xfId="4813"/>
    <cellStyle name="Normal 3 3 2 2 4 2 3 2" xfId="4814"/>
    <cellStyle name="Normal 3 3 2 2 4 2 3 2 2" xfId="33512"/>
    <cellStyle name="Normal 3 3 2 2 4 2 3 2 3" xfId="33511"/>
    <cellStyle name="Normal 3 3 2 2 4 2 3 3" xfId="33513"/>
    <cellStyle name="Normal 3 3 2 2 4 2 3 3 2" xfId="33514"/>
    <cellStyle name="Normal 3 3 2 2 4 2 3 4" xfId="33515"/>
    <cellStyle name="Normal 3 3 2 2 4 2 3 4 2" xfId="33516"/>
    <cellStyle name="Normal 3 3 2 2 4 2 3 5" xfId="33517"/>
    <cellStyle name="Normal 3 3 2 2 4 2 3 6" xfId="33518"/>
    <cellStyle name="Normal 3 3 2 2 4 2 3 7" xfId="33510"/>
    <cellStyle name="Normal 3 3 2 2 4 2 4" xfId="4815"/>
    <cellStyle name="Normal 3 3 2 2 4 2 4 2" xfId="4816"/>
    <cellStyle name="Normal 3 3 2 2 4 2 4 2 2" xfId="33521"/>
    <cellStyle name="Normal 3 3 2 2 4 2 4 2 3" xfId="33520"/>
    <cellStyle name="Normal 3 3 2 2 4 2 4 3" xfId="33522"/>
    <cellStyle name="Normal 3 3 2 2 4 2 4 3 2" xfId="33523"/>
    <cellStyle name="Normal 3 3 2 2 4 2 4 4" xfId="33524"/>
    <cellStyle name="Normal 3 3 2 2 4 2 4 4 2" xfId="33525"/>
    <cellStyle name="Normal 3 3 2 2 4 2 4 5" xfId="33526"/>
    <cellStyle name="Normal 3 3 2 2 4 2 4 6" xfId="33527"/>
    <cellStyle name="Normal 3 3 2 2 4 2 4 7" xfId="33519"/>
    <cellStyle name="Normal 3 3 2 2 4 2 5" xfId="4817"/>
    <cellStyle name="Normal 3 3 2 2 4 2 5 2" xfId="33529"/>
    <cellStyle name="Normal 3 3 2 2 4 2 5 2 2" xfId="33530"/>
    <cellStyle name="Normal 3 3 2 2 4 2 5 3" xfId="33531"/>
    <cellStyle name="Normal 3 3 2 2 4 2 5 3 2" xfId="33532"/>
    <cellStyle name="Normal 3 3 2 2 4 2 5 4" xfId="33533"/>
    <cellStyle name="Normal 3 3 2 2 4 2 5 5" xfId="33534"/>
    <cellStyle name="Normal 3 3 2 2 4 2 5 6" xfId="33528"/>
    <cellStyle name="Normal 3 3 2 2 4 2 6" xfId="33535"/>
    <cellStyle name="Normal 3 3 2 2 4 2 6 2" xfId="33536"/>
    <cellStyle name="Normal 3 3 2 2 4 2 7" xfId="33537"/>
    <cellStyle name="Normal 3 3 2 2 4 2 7 2" xfId="33538"/>
    <cellStyle name="Normal 3 3 2 2 4 2 8" xfId="33539"/>
    <cellStyle name="Normal 3 3 2 2 4 2 8 2" xfId="33540"/>
    <cellStyle name="Normal 3 3 2 2 4 2 9" xfId="33541"/>
    <cellStyle name="Normal 3 3 2 2 4 3" xfId="4818"/>
    <cellStyle name="Normal 3 3 2 2 4 3 10" xfId="33543"/>
    <cellStyle name="Normal 3 3 2 2 4 3 11" xfId="33542"/>
    <cellStyle name="Normal 3 3 2 2 4 3 2" xfId="4819"/>
    <cellStyle name="Normal 3 3 2 2 4 3 2 2" xfId="4820"/>
    <cellStyle name="Normal 3 3 2 2 4 3 2 2 2" xfId="33546"/>
    <cellStyle name="Normal 3 3 2 2 4 3 2 2 3" xfId="33545"/>
    <cellStyle name="Normal 3 3 2 2 4 3 2 3" xfId="33547"/>
    <cellStyle name="Normal 3 3 2 2 4 3 2 3 2" xfId="33548"/>
    <cellStyle name="Normal 3 3 2 2 4 3 2 4" xfId="33549"/>
    <cellStyle name="Normal 3 3 2 2 4 3 2 4 2" xfId="33550"/>
    <cellStyle name="Normal 3 3 2 2 4 3 2 5" xfId="33551"/>
    <cellStyle name="Normal 3 3 2 2 4 3 2 6" xfId="33552"/>
    <cellStyle name="Normal 3 3 2 2 4 3 2 7" xfId="33544"/>
    <cellStyle name="Normal 3 3 2 2 4 3 3" xfId="4821"/>
    <cellStyle name="Normal 3 3 2 2 4 3 3 2" xfId="4822"/>
    <cellStyle name="Normal 3 3 2 2 4 3 3 2 2" xfId="33555"/>
    <cellStyle name="Normal 3 3 2 2 4 3 3 2 3" xfId="33554"/>
    <cellStyle name="Normal 3 3 2 2 4 3 3 3" xfId="33556"/>
    <cellStyle name="Normal 3 3 2 2 4 3 3 3 2" xfId="33557"/>
    <cellStyle name="Normal 3 3 2 2 4 3 3 4" xfId="33558"/>
    <cellStyle name="Normal 3 3 2 2 4 3 3 4 2" xfId="33559"/>
    <cellStyle name="Normal 3 3 2 2 4 3 3 5" xfId="33560"/>
    <cellStyle name="Normal 3 3 2 2 4 3 3 6" xfId="33561"/>
    <cellStyle name="Normal 3 3 2 2 4 3 3 7" xfId="33553"/>
    <cellStyle name="Normal 3 3 2 2 4 3 4" xfId="4823"/>
    <cellStyle name="Normal 3 3 2 2 4 3 4 2" xfId="33563"/>
    <cellStyle name="Normal 3 3 2 2 4 3 4 2 2" xfId="33564"/>
    <cellStyle name="Normal 3 3 2 2 4 3 4 3" xfId="33565"/>
    <cellStyle name="Normal 3 3 2 2 4 3 4 3 2" xfId="33566"/>
    <cellStyle name="Normal 3 3 2 2 4 3 4 4" xfId="33567"/>
    <cellStyle name="Normal 3 3 2 2 4 3 4 4 2" xfId="33568"/>
    <cellStyle name="Normal 3 3 2 2 4 3 4 5" xfId="33569"/>
    <cellStyle name="Normal 3 3 2 2 4 3 4 6" xfId="33570"/>
    <cellStyle name="Normal 3 3 2 2 4 3 4 7" xfId="33562"/>
    <cellStyle name="Normal 3 3 2 2 4 3 5" xfId="33571"/>
    <cellStyle name="Normal 3 3 2 2 4 3 5 2" xfId="33572"/>
    <cellStyle name="Normal 3 3 2 2 4 3 5 2 2" xfId="33573"/>
    <cellStyle name="Normal 3 3 2 2 4 3 5 3" xfId="33574"/>
    <cellStyle name="Normal 3 3 2 2 4 3 5 3 2" xfId="33575"/>
    <cellStyle name="Normal 3 3 2 2 4 3 5 4" xfId="33576"/>
    <cellStyle name="Normal 3 3 2 2 4 3 5 5" xfId="33577"/>
    <cellStyle name="Normal 3 3 2 2 4 3 6" xfId="33578"/>
    <cellStyle name="Normal 3 3 2 2 4 3 6 2" xfId="33579"/>
    <cellStyle name="Normal 3 3 2 2 4 3 7" xfId="33580"/>
    <cellStyle name="Normal 3 3 2 2 4 3 7 2" xfId="33581"/>
    <cellStyle name="Normal 3 3 2 2 4 3 8" xfId="33582"/>
    <cellStyle name="Normal 3 3 2 2 4 3 8 2" xfId="33583"/>
    <cellStyle name="Normal 3 3 2 2 4 3 9" xfId="33584"/>
    <cellStyle name="Normal 3 3 2 2 4 4" xfId="4824"/>
    <cellStyle name="Normal 3 3 2 2 4 4 2" xfId="4825"/>
    <cellStyle name="Normal 3 3 2 2 4 4 2 2" xfId="33587"/>
    <cellStyle name="Normal 3 3 2 2 4 4 2 3" xfId="33586"/>
    <cellStyle name="Normal 3 3 2 2 4 4 3" xfId="4826"/>
    <cellStyle name="Normal 3 3 2 2 4 4 3 2" xfId="33589"/>
    <cellStyle name="Normal 3 3 2 2 4 4 3 3" xfId="33588"/>
    <cellStyle name="Normal 3 3 2 2 4 4 4" xfId="33590"/>
    <cellStyle name="Normal 3 3 2 2 4 4 4 2" xfId="33591"/>
    <cellStyle name="Normal 3 3 2 2 4 4 5" xfId="33592"/>
    <cellStyle name="Normal 3 3 2 2 4 4 6" xfId="33593"/>
    <cellStyle name="Normal 3 3 2 2 4 4 7" xfId="33585"/>
    <cellStyle name="Normal 3 3 2 2 4 5" xfId="4827"/>
    <cellStyle name="Normal 3 3 2 2 4 5 2" xfId="4828"/>
    <cellStyle name="Normal 3 3 2 2 4 5 2 2" xfId="33596"/>
    <cellStyle name="Normal 3 3 2 2 4 5 2 3" xfId="33595"/>
    <cellStyle name="Normal 3 3 2 2 4 5 3" xfId="33597"/>
    <cellStyle name="Normal 3 3 2 2 4 5 3 2" xfId="33598"/>
    <cellStyle name="Normal 3 3 2 2 4 5 4" xfId="33599"/>
    <cellStyle name="Normal 3 3 2 2 4 5 4 2" xfId="33600"/>
    <cellStyle name="Normal 3 3 2 2 4 5 5" xfId="33601"/>
    <cellStyle name="Normal 3 3 2 2 4 5 6" xfId="33602"/>
    <cellStyle name="Normal 3 3 2 2 4 5 7" xfId="33594"/>
    <cellStyle name="Normal 3 3 2 2 4 6" xfId="4829"/>
    <cellStyle name="Normal 3 3 2 2 4 6 2" xfId="4830"/>
    <cellStyle name="Normal 3 3 2 2 4 6 2 2" xfId="33605"/>
    <cellStyle name="Normal 3 3 2 2 4 6 2 3" xfId="33604"/>
    <cellStyle name="Normal 3 3 2 2 4 6 3" xfId="33606"/>
    <cellStyle name="Normal 3 3 2 2 4 6 3 2" xfId="33607"/>
    <cellStyle name="Normal 3 3 2 2 4 6 4" xfId="33608"/>
    <cellStyle name="Normal 3 3 2 2 4 6 4 2" xfId="33609"/>
    <cellStyle name="Normal 3 3 2 2 4 6 5" xfId="33610"/>
    <cellStyle name="Normal 3 3 2 2 4 6 6" xfId="33611"/>
    <cellStyle name="Normal 3 3 2 2 4 6 7" xfId="33603"/>
    <cellStyle name="Normal 3 3 2 2 4 7" xfId="4831"/>
    <cellStyle name="Normal 3 3 2 2 4 7 2" xfId="33613"/>
    <cellStyle name="Normal 3 3 2 2 4 7 2 2" xfId="33614"/>
    <cellStyle name="Normal 3 3 2 2 4 7 3" xfId="33615"/>
    <cellStyle name="Normal 3 3 2 2 4 7 3 2" xfId="33616"/>
    <cellStyle name="Normal 3 3 2 2 4 7 4" xfId="33617"/>
    <cellStyle name="Normal 3 3 2 2 4 7 5" xfId="33618"/>
    <cellStyle name="Normal 3 3 2 2 4 7 6" xfId="33612"/>
    <cellStyle name="Normal 3 3 2 2 4 8" xfId="33619"/>
    <cellStyle name="Normal 3 3 2 2 4 8 2" xfId="33620"/>
    <cellStyle name="Normal 3 3 2 2 4 9" xfId="33621"/>
    <cellStyle name="Normal 3 3 2 2 4 9 2" xfId="33622"/>
    <cellStyle name="Normal 3 3 2 2 5" xfId="4832"/>
    <cellStyle name="Normal 3 3 2 2 5 10" xfId="33624"/>
    <cellStyle name="Normal 3 3 2 2 5 11" xfId="33625"/>
    <cellStyle name="Normal 3 3 2 2 5 12" xfId="33623"/>
    <cellStyle name="Normal 3 3 2 2 5 2" xfId="4833"/>
    <cellStyle name="Normal 3 3 2 2 5 2 2" xfId="4834"/>
    <cellStyle name="Normal 3 3 2 2 5 2 2 2" xfId="4835"/>
    <cellStyle name="Normal 3 3 2 2 5 2 2 2 2" xfId="33628"/>
    <cellStyle name="Normal 3 3 2 2 5 2 2 3" xfId="4836"/>
    <cellStyle name="Normal 3 3 2 2 5 2 2 4" xfId="33627"/>
    <cellStyle name="Normal 3 3 2 2 5 2 3" xfId="4837"/>
    <cellStyle name="Normal 3 3 2 2 5 2 3 2" xfId="4838"/>
    <cellStyle name="Normal 3 3 2 2 5 2 3 2 2" xfId="33630"/>
    <cellStyle name="Normal 3 3 2 2 5 2 3 3" xfId="33629"/>
    <cellStyle name="Normal 3 3 2 2 5 2 4" xfId="4839"/>
    <cellStyle name="Normal 3 3 2 2 5 2 4 2" xfId="4840"/>
    <cellStyle name="Normal 3 3 2 2 5 2 4 2 2" xfId="33632"/>
    <cellStyle name="Normal 3 3 2 2 5 2 4 3" xfId="33631"/>
    <cellStyle name="Normal 3 3 2 2 5 2 5" xfId="4841"/>
    <cellStyle name="Normal 3 3 2 2 5 2 5 2" xfId="33633"/>
    <cellStyle name="Normal 3 3 2 2 5 2 6" xfId="33634"/>
    <cellStyle name="Normal 3 3 2 2 5 2 7" xfId="33626"/>
    <cellStyle name="Normal 3 3 2 2 5 3" xfId="4842"/>
    <cellStyle name="Normal 3 3 2 2 5 3 2" xfId="4843"/>
    <cellStyle name="Normal 3 3 2 2 5 3 2 2" xfId="4844"/>
    <cellStyle name="Normal 3 3 2 2 5 3 2 2 2" xfId="33637"/>
    <cellStyle name="Normal 3 3 2 2 5 3 2 3" xfId="33636"/>
    <cellStyle name="Normal 3 3 2 2 5 3 3" xfId="4845"/>
    <cellStyle name="Normal 3 3 2 2 5 3 3 2" xfId="4846"/>
    <cellStyle name="Normal 3 3 2 2 5 3 3 2 2" xfId="33639"/>
    <cellStyle name="Normal 3 3 2 2 5 3 3 3" xfId="33638"/>
    <cellStyle name="Normal 3 3 2 2 5 3 4" xfId="4847"/>
    <cellStyle name="Normal 3 3 2 2 5 3 4 2" xfId="33641"/>
    <cellStyle name="Normal 3 3 2 2 5 3 4 3" xfId="33640"/>
    <cellStyle name="Normal 3 3 2 2 5 3 5" xfId="33642"/>
    <cellStyle name="Normal 3 3 2 2 5 3 6" xfId="33643"/>
    <cellStyle name="Normal 3 3 2 2 5 3 7" xfId="33635"/>
    <cellStyle name="Normal 3 3 2 2 5 4" xfId="4848"/>
    <cellStyle name="Normal 3 3 2 2 5 4 2" xfId="4849"/>
    <cellStyle name="Normal 3 3 2 2 5 4 2 2" xfId="33646"/>
    <cellStyle name="Normal 3 3 2 2 5 4 2 3" xfId="33645"/>
    <cellStyle name="Normal 3 3 2 2 5 4 3" xfId="4850"/>
    <cellStyle name="Normal 3 3 2 2 5 4 3 2" xfId="33648"/>
    <cellStyle name="Normal 3 3 2 2 5 4 3 3" xfId="33647"/>
    <cellStyle name="Normal 3 3 2 2 5 4 4" xfId="33649"/>
    <cellStyle name="Normal 3 3 2 2 5 4 4 2" xfId="33650"/>
    <cellStyle name="Normal 3 3 2 2 5 4 5" xfId="33651"/>
    <cellStyle name="Normal 3 3 2 2 5 4 6" xfId="33652"/>
    <cellStyle name="Normal 3 3 2 2 5 4 7" xfId="33644"/>
    <cellStyle name="Normal 3 3 2 2 5 5" xfId="4851"/>
    <cellStyle name="Normal 3 3 2 2 5 5 2" xfId="4852"/>
    <cellStyle name="Normal 3 3 2 2 5 5 2 2" xfId="33655"/>
    <cellStyle name="Normal 3 3 2 2 5 5 2 3" xfId="33654"/>
    <cellStyle name="Normal 3 3 2 2 5 5 3" xfId="33656"/>
    <cellStyle name="Normal 3 3 2 2 5 5 3 2" xfId="33657"/>
    <cellStyle name="Normal 3 3 2 2 5 5 4" xfId="33658"/>
    <cellStyle name="Normal 3 3 2 2 5 5 4 2" xfId="33659"/>
    <cellStyle name="Normal 3 3 2 2 5 5 5" xfId="33660"/>
    <cellStyle name="Normal 3 3 2 2 5 5 6" xfId="33661"/>
    <cellStyle name="Normal 3 3 2 2 5 5 7" xfId="33653"/>
    <cellStyle name="Normal 3 3 2 2 5 6" xfId="4853"/>
    <cellStyle name="Normal 3 3 2 2 5 6 2" xfId="4854"/>
    <cellStyle name="Normal 3 3 2 2 5 6 2 2" xfId="33664"/>
    <cellStyle name="Normal 3 3 2 2 5 6 2 3" xfId="33663"/>
    <cellStyle name="Normal 3 3 2 2 5 6 3" xfId="33665"/>
    <cellStyle name="Normal 3 3 2 2 5 6 3 2" xfId="33666"/>
    <cellStyle name="Normal 3 3 2 2 5 6 4" xfId="33667"/>
    <cellStyle name="Normal 3 3 2 2 5 6 5" xfId="33668"/>
    <cellStyle name="Normal 3 3 2 2 5 6 6" xfId="33662"/>
    <cellStyle name="Normal 3 3 2 2 5 7" xfId="4855"/>
    <cellStyle name="Normal 3 3 2 2 5 7 2" xfId="33670"/>
    <cellStyle name="Normal 3 3 2 2 5 7 3" xfId="33669"/>
    <cellStyle name="Normal 3 3 2 2 5 8" xfId="33671"/>
    <cellStyle name="Normal 3 3 2 2 5 8 2" xfId="33672"/>
    <cellStyle name="Normal 3 3 2 2 5 9" xfId="33673"/>
    <cellStyle name="Normal 3 3 2 2 5 9 2" xfId="33674"/>
    <cellStyle name="Normal 3 3 2 2 6" xfId="4856"/>
    <cellStyle name="Normal 3 3 2 2 6 10" xfId="33676"/>
    <cellStyle name="Normal 3 3 2 2 6 11" xfId="33675"/>
    <cellStyle name="Normal 3 3 2 2 6 2" xfId="4857"/>
    <cellStyle name="Normal 3 3 2 2 6 2 2" xfId="4858"/>
    <cellStyle name="Normal 3 3 2 2 6 2 2 2" xfId="4859"/>
    <cellStyle name="Normal 3 3 2 2 6 2 2 2 2" xfId="33679"/>
    <cellStyle name="Normal 3 3 2 2 6 2 2 3" xfId="33678"/>
    <cellStyle name="Normal 3 3 2 2 6 2 3" xfId="4860"/>
    <cellStyle name="Normal 3 3 2 2 6 2 3 2" xfId="4861"/>
    <cellStyle name="Normal 3 3 2 2 6 2 3 2 2" xfId="33681"/>
    <cellStyle name="Normal 3 3 2 2 6 2 3 3" xfId="33680"/>
    <cellStyle name="Normal 3 3 2 2 6 2 4" xfId="4862"/>
    <cellStyle name="Normal 3 3 2 2 6 2 4 2" xfId="33683"/>
    <cellStyle name="Normal 3 3 2 2 6 2 4 3" xfId="33682"/>
    <cellStyle name="Normal 3 3 2 2 6 2 5" xfId="33684"/>
    <cellStyle name="Normal 3 3 2 2 6 2 6" xfId="33685"/>
    <cellStyle name="Normal 3 3 2 2 6 2 7" xfId="33677"/>
    <cellStyle name="Normal 3 3 2 2 6 3" xfId="4863"/>
    <cellStyle name="Normal 3 3 2 2 6 3 2" xfId="4864"/>
    <cellStyle name="Normal 3 3 2 2 6 3 2 2" xfId="33688"/>
    <cellStyle name="Normal 3 3 2 2 6 3 2 3" xfId="33687"/>
    <cellStyle name="Normal 3 3 2 2 6 3 3" xfId="4865"/>
    <cellStyle name="Normal 3 3 2 2 6 3 3 2" xfId="33690"/>
    <cellStyle name="Normal 3 3 2 2 6 3 3 3" xfId="33689"/>
    <cellStyle name="Normal 3 3 2 2 6 3 4" xfId="33691"/>
    <cellStyle name="Normal 3 3 2 2 6 3 4 2" xfId="33692"/>
    <cellStyle name="Normal 3 3 2 2 6 3 5" xfId="33693"/>
    <cellStyle name="Normal 3 3 2 2 6 3 6" xfId="33694"/>
    <cellStyle name="Normal 3 3 2 2 6 3 7" xfId="33686"/>
    <cellStyle name="Normal 3 3 2 2 6 4" xfId="4866"/>
    <cellStyle name="Normal 3 3 2 2 6 4 2" xfId="4867"/>
    <cellStyle name="Normal 3 3 2 2 6 4 2 2" xfId="33697"/>
    <cellStyle name="Normal 3 3 2 2 6 4 2 3" xfId="33696"/>
    <cellStyle name="Normal 3 3 2 2 6 4 3" xfId="33698"/>
    <cellStyle name="Normal 3 3 2 2 6 4 3 2" xfId="33699"/>
    <cellStyle name="Normal 3 3 2 2 6 4 4" xfId="33700"/>
    <cellStyle name="Normal 3 3 2 2 6 4 4 2" xfId="33701"/>
    <cellStyle name="Normal 3 3 2 2 6 4 5" xfId="33702"/>
    <cellStyle name="Normal 3 3 2 2 6 4 6" xfId="33703"/>
    <cellStyle name="Normal 3 3 2 2 6 4 7" xfId="33695"/>
    <cellStyle name="Normal 3 3 2 2 6 5" xfId="4868"/>
    <cellStyle name="Normal 3 3 2 2 6 5 2" xfId="4869"/>
    <cellStyle name="Normal 3 3 2 2 6 5 2 2" xfId="33706"/>
    <cellStyle name="Normal 3 3 2 2 6 5 2 3" xfId="33705"/>
    <cellStyle name="Normal 3 3 2 2 6 5 3" xfId="33707"/>
    <cellStyle name="Normal 3 3 2 2 6 5 3 2" xfId="33708"/>
    <cellStyle name="Normal 3 3 2 2 6 5 4" xfId="33709"/>
    <cellStyle name="Normal 3 3 2 2 6 5 5" xfId="33710"/>
    <cellStyle name="Normal 3 3 2 2 6 5 6" xfId="33704"/>
    <cellStyle name="Normal 3 3 2 2 6 6" xfId="4870"/>
    <cellStyle name="Normal 3 3 2 2 6 6 2" xfId="33712"/>
    <cellStyle name="Normal 3 3 2 2 6 6 3" xfId="33711"/>
    <cellStyle name="Normal 3 3 2 2 6 7" xfId="33713"/>
    <cellStyle name="Normal 3 3 2 2 6 7 2" xfId="33714"/>
    <cellStyle name="Normal 3 3 2 2 6 8" xfId="33715"/>
    <cellStyle name="Normal 3 3 2 2 6 8 2" xfId="33716"/>
    <cellStyle name="Normal 3 3 2 2 6 9" xfId="33717"/>
    <cellStyle name="Normal 3 3 2 2 7" xfId="4871"/>
    <cellStyle name="Normal 3 3 2 2 7 10" xfId="33719"/>
    <cellStyle name="Normal 3 3 2 2 7 11" xfId="33718"/>
    <cellStyle name="Normal 3 3 2 2 7 2" xfId="4872"/>
    <cellStyle name="Normal 3 3 2 2 7 2 2" xfId="4873"/>
    <cellStyle name="Normal 3 3 2 2 7 2 2 2" xfId="33722"/>
    <cellStyle name="Normal 3 3 2 2 7 2 2 3" xfId="33721"/>
    <cellStyle name="Normal 3 3 2 2 7 2 3" xfId="33723"/>
    <cellStyle name="Normal 3 3 2 2 7 2 3 2" xfId="33724"/>
    <cellStyle name="Normal 3 3 2 2 7 2 4" xfId="33725"/>
    <cellStyle name="Normal 3 3 2 2 7 2 4 2" xfId="33726"/>
    <cellStyle name="Normal 3 3 2 2 7 2 5" xfId="33727"/>
    <cellStyle name="Normal 3 3 2 2 7 2 6" xfId="33728"/>
    <cellStyle name="Normal 3 3 2 2 7 2 7" xfId="33720"/>
    <cellStyle name="Normal 3 3 2 2 7 3" xfId="4874"/>
    <cellStyle name="Normal 3 3 2 2 7 3 2" xfId="4875"/>
    <cellStyle name="Normal 3 3 2 2 7 3 2 2" xfId="33731"/>
    <cellStyle name="Normal 3 3 2 2 7 3 2 3" xfId="33730"/>
    <cellStyle name="Normal 3 3 2 2 7 3 3" xfId="33732"/>
    <cellStyle name="Normal 3 3 2 2 7 3 3 2" xfId="33733"/>
    <cellStyle name="Normal 3 3 2 2 7 3 4" xfId="33734"/>
    <cellStyle name="Normal 3 3 2 2 7 3 4 2" xfId="33735"/>
    <cellStyle name="Normal 3 3 2 2 7 3 5" xfId="33736"/>
    <cellStyle name="Normal 3 3 2 2 7 3 6" xfId="33737"/>
    <cellStyle name="Normal 3 3 2 2 7 3 7" xfId="33729"/>
    <cellStyle name="Normal 3 3 2 2 7 4" xfId="4876"/>
    <cellStyle name="Normal 3 3 2 2 7 4 2" xfId="33739"/>
    <cellStyle name="Normal 3 3 2 2 7 4 2 2" xfId="33740"/>
    <cellStyle name="Normal 3 3 2 2 7 4 3" xfId="33741"/>
    <cellStyle name="Normal 3 3 2 2 7 4 3 2" xfId="33742"/>
    <cellStyle name="Normal 3 3 2 2 7 4 4" xfId="33743"/>
    <cellStyle name="Normal 3 3 2 2 7 4 4 2" xfId="33744"/>
    <cellStyle name="Normal 3 3 2 2 7 4 5" xfId="33745"/>
    <cellStyle name="Normal 3 3 2 2 7 4 6" xfId="33746"/>
    <cellStyle name="Normal 3 3 2 2 7 4 7" xfId="33738"/>
    <cellStyle name="Normal 3 3 2 2 7 5" xfId="33747"/>
    <cellStyle name="Normal 3 3 2 2 7 5 2" xfId="33748"/>
    <cellStyle name="Normal 3 3 2 2 7 5 2 2" xfId="33749"/>
    <cellStyle name="Normal 3 3 2 2 7 5 3" xfId="33750"/>
    <cellStyle name="Normal 3 3 2 2 7 5 3 2" xfId="33751"/>
    <cellStyle name="Normal 3 3 2 2 7 5 4" xfId="33752"/>
    <cellStyle name="Normal 3 3 2 2 7 5 5" xfId="33753"/>
    <cellStyle name="Normal 3 3 2 2 7 6" xfId="33754"/>
    <cellStyle name="Normal 3 3 2 2 7 6 2" xfId="33755"/>
    <cellStyle name="Normal 3 3 2 2 7 7" xfId="33756"/>
    <cellStyle name="Normal 3 3 2 2 7 7 2" xfId="33757"/>
    <cellStyle name="Normal 3 3 2 2 7 8" xfId="33758"/>
    <cellStyle name="Normal 3 3 2 2 7 8 2" xfId="33759"/>
    <cellStyle name="Normal 3 3 2 2 7 9" xfId="33760"/>
    <cellStyle name="Normal 3 3 2 2 8" xfId="4877"/>
    <cellStyle name="Normal 3 3 2 2 8 2" xfId="4878"/>
    <cellStyle name="Normal 3 3 2 2 8 2 2" xfId="4879"/>
    <cellStyle name="Normal 3 3 2 2 8 2 2 2" xfId="33763"/>
    <cellStyle name="Normal 3 3 2 2 8 2 3" xfId="33762"/>
    <cellStyle name="Normal 3 3 2 2 8 3" xfId="4880"/>
    <cellStyle name="Normal 3 3 2 2 8 3 2" xfId="4881"/>
    <cellStyle name="Normal 3 3 2 2 8 3 2 2" xfId="33765"/>
    <cellStyle name="Normal 3 3 2 2 8 3 3" xfId="33764"/>
    <cellStyle name="Normal 3 3 2 2 8 4" xfId="4882"/>
    <cellStyle name="Normal 3 3 2 2 8 4 2" xfId="33767"/>
    <cellStyle name="Normal 3 3 2 2 8 4 3" xfId="33766"/>
    <cellStyle name="Normal 3 3 2 2 8 5" xfId="33768"/>
    <cellStyle name="Normal 3 3 2 2 8 6" xfId="33769"/>
    <cellStyle name="Normal 3 3 2 2 8 7" xfId="33761"/>
    <cellStyle name="Normal 3 3 2 2 9" xfId="4883"/>
    <cellStyle name="Normal 3 3 2 2 9 2" xfId="4884"/>
    <cellStyle name="Normal 3 3 2 2 9 2 2" xfId="33772"/>
    <cellStyle name="Normal 3 3 2 2 9 2 3" xfId="33771"/>
    <cellStyle name="Normal 3 3 2 2 9 3" xfId="4885"/>
    <cellStyle name="Normal 3 3 2 2 9 3 2" xfId="33774"/>
    <cellStyle name="Normal 3 3 2 2 9 3 3" xfId="33773"/>
    <cellStyle name="Normal 3 3 2 2 9 4" xfId="33775"/>
    <cellStyle name="Normal 3 3 2 2 9 4 2" xfId="33776"/>
    <cellStyle name="Normal 3 3 2 2 9 5" xfId="33777"/>
    <cellStyle name="Normal 3 3 2 2 9 6" xfId="33778"/>
    <cellStyle name="Normal 3 3 2 2 9 7" xfId="33770"/>
    <cellStyle name="Normal 3 3 2 3" xfId="4886"/>
    <cellStyle name="Normal 3 3 2 3 10" xfId="4887"/>
    <cellStyle name="Normal 3 3 2 3 10 2" xfId="4888"/>
    <cellStyle name="Normal 3 3 2 3 10 2 2" xfId="33781"/>
    <cellStyle name="Normal 3 3 2 3 10 3" xfId="33780"/>
    <cellStyle name="Normal 3 3 2 3 11" xfId="4889"/>
    <cellStyle name="Normal 3 3 2 3 11 2" xfId="33783"/>
    <cellStyle name="Normal 3 3 2 3 11 3" xfId="33782"/>
    <cellStyle name="Normal 3 3 2 3 12" xfId="33784"/>
    <cellStyle name="Normal 3 3 2 3 13" xfId="33785"/>
    <cellStyle name="Normal 3 3 2 3 14" xfId="33779"/>
    <cellStyle name="Normal 3 3 2 3 2" xfId="4890"/>
    <cellStyle name="Normal 3 3 2 3 2 10" xfId="33787"/>
    <cellStyle name="Normal 3 3 2 3 2 11" xfId="33788"/>
    <cellStyle name="Normal 3 3 2 3 2 12" xfId="33786"/>
    <cellStyle name="Normal 3 3 2 3 2 2" xfId="4891"/>
    <cellStyle name="Normal 3 3 2 3 2 2 2" xfId="4892"/>
    <cellStyle name="Normal 3 3 2 3 2 2 2 2" xfId="4893"/>
    <cellStyle name="Normal 3 3 2 3 2 2 2 2 2" xfId="4894"/>
    <cellStyle name="Normal 3 3 2 3 2 2 2 2 3" xfId="4895"/>
    <cellStyle name="Normal 3 3 2 3 2 2 2 2 4" xfId="33791"/>
    <cellStyle name="Normal 3 3 2 3 2 2 2 3" xfId="4896"/>
    <cellStyle name="Normal 3 3 2 3 2 2 2 3 2" xfId="4897"/>
    <cellStyle name="Normal 3 3 2 3 2 2 2 4" xfId="4898"/>
    <cellStyle name="Normal 3 3 2 3 2 2 2 4 2" xfId="4899"/>
    <cellStyle name="Normal 3 3 2 3 2 2 2 5" xfId="4900"/>
    <cellStyle name="Normal 3 3 2 3 2 2 2 6" xfId="33790"/>
    <cellStyle name="Normal 3 3 2 3 2 2 3" xfId="4901"/>
    <cellStyle name="Normal 3 3 2 3 2 2 3 2" xfId="4902"/>
    <cellStyle name="Normal 3 3 2 3 2 2 3 2 2" xfId="4903"/>
    <cellStyle name="Normal 3 3 2 3 2 2 3 2 3" xfId="33793"/>
    <cellStyle name="Normal 3 3 2 3 2 2 3 3" xfId="4904"/>
    <cellStyle name="Normal 3 3 2 3 2 2 3 3 2" xfId="4905"/>
    <cellStyle name="Normal 3 3 2 3 2 2 3 4" xfId="4906"/>
    <cellStyle name="Normal 3 3 2 3 2 2 3 5" xfId="33792"/>
    <cellStyle name="Normal 3 3 2 3 2 2 4" xfId="4907"/>
    <cellStyle name="Normal 3 3 2 3 2 2 4 2" xfId="4908"/>
    <cellStyle name="Normal 3 3 2 3 2 2 4 2 2" xfId="33795"/>
    <cellStyle name="Normal 3 3 2 3 2 2 4 3" xfId="4909"/>
    <cellStyle name="Normal 3 3 2 3 2 2 4 4" xfId="33794"/>
    <cellStyle name="Normal 3 3 2 3 2 2 5" xfId="4910"/>
    <cellStyle name="Normal 3 3 2 3 2 2 5 2" xfId="4911"/>
    <cellStyle name="Normal 3 3 2 3 2 2 5 3" xfId="33796"/>
    <cellStyle name="Normal 3 3 2 3 2 2 6" xfId="4912"/>
    <cellStyle name="Normal 3 3 2 3 2 2 6 2" xfId="4913"/>
    <cellStyle name="Normal 3 3 2 3 2 2 6 3" xfId="33797"/>
    <cellStyle name="Normal 3 3 2 3 2 2 7" xfId="4914"/>
    <cellStyle name="Normal 3 3 2 3 2 2 8" xfId="33789"/>
    <cellStyle name="Normal 3 3 2 3 2 3" xfId="4915"/>
    <cellStyle name="Normal 3 3 2 3 2 3 2" xfId="4916"/>
    <cellStyle name="Normal 3 3 2 3 2 3 2 2" xfId="4917"/>
    <cellStyle name="Normal 3 3 2 3 2 3 2 2 2" xfId="33800"/>
    <cellStyle name="Normal 3 3 2 3 2 3 2 3" xfId="4918"/>
    <cellStyle name="Normal 3 3 2 3 2 3 2 4" xfId="33799"/>
    <cellStyle name="Normal 3 3 2 3 2 3 3" xfId="4919"/>
    <cellStyle name="Normal 3 3 2 3 2 3 3 2" xfId="4920"/>
    <cellStyle name="Normal 3 3 2 3 2 3 3 2 2" xfId="33802"/>
    <cellStyle name="Normal 3 3 2 3 2 3 3 3" xfId="33801"/>
    <cellStyle name="Normal 3 3 2 3 2 3 4" xfId="4921"/>
    <cellStyle name="Normal 3 3 2 3 2 3 4 2" xfId="4922"/>
    <cellStyle name="Normal 3 3 2 3 2 3 4 2 2" xfId="33804"/>
    <cellStyle name="Normal 3 3 2 3 2 3 4 3" xfId="33803"/>
    <cellStyle name="Normal 3 3 2 3 2 3 5" xfId="4923"/>
    <cellStyle name="Normal 3 3 2 3 2 3 5 2" xfId="33805"/>
    <cellStyle name="Normal 3 3 2 3 2 3 6" xfId="33806"/>
    <cellStyle name="Normal 3 3 2 3 2 3 7" xfId="33798"/>
    <cellStyle name="Normal 3 3 2 3 2 4" xfId="4924"/>
    <cellStyle name="Normal 3 3 2 3 2 4 2" xfId="4925"/>
    <cellStyle name="Normal 3 3 2 3 2 4 2 2" xfId="4926"/>
    <cellStyle name="Normal 3 3 2 3 2 4 2 2 2" xfId="33809"/>
    <cellStyle name="Normal 3 3 2 3 2 4 2 3" xfId="33808"/>
    <cellStyle name="Normal 3 3 2 3 2 4 3" xfId="4927"/>
    <cellStyle name="Normal 3 3 2 3 2 4 3 2" xfId="4928"/>
    <cellStyle name="Normal 3 3 2 3 2 4 3 2 2" xfId="33811"/>
    <cellStyle name="Normal 3 3 2 3 2 4 3 3" xfId="33810"/>
    <cellStyle name="Normal 3 3 2 3 2 4 4" xfId="4929"/>
    <cellStyle name="Normal 3 3 2 3 2 4 4 2" xfId="33813"/>
    <cellStyle name="Normal 3 3 2 3 2 4 4 3" xfId="33812"/>
    <cellStyle name="Normal 3 3 2 3 2 4 5" xfId="33814"/>
    <cellStyle name="Normal 3 3 2 3 2 4 6" xfId="33815"/>
    <cellStyle name="Normal 3 3 2 3 2 4 7" xfId="33807"/>
    <cellStyle name="Normal 3 3 2 3 2 5" xfId="4930"/>
    <cellStyle name="Normal 3 3 2 3 2 5 2" xfId="4931"/>
    <cellStyle name="Normal 3 3 2 3 2 5 2 2" xfId="33818"/>
    <cellStyle name="Normal 3 3 2 3 2 5 2 3" xfId="33817"/>
    <cellStyle name="Normal 3 3 2 3 2 5 3" xfId="4932"/>
    <cellStyle name="Normal 3 3 2 3 2 5 3 2" xfId="33820"/>
    <cellStyle name="Normal 3 3 2 3 2 5 3 3" xfId="33819"/>
    <cellStyle name="Normal 3 3 2 3 2 5 4" xfId="33821"/>
    <cellStyle name="Normal 3 3 2 3 2 5 4 2" xfId="33822"/>
    <cellStyle name="Normal 3 3 2 3 2 5 5" xfId="33823"/>
    <cellStyle name="Normal 3 3 2 3 2 5 6" xfId="33824"/>
    <cellStyle name="Normal 3 3 2 3 2 5 7" xfId="33816"/>
    <cellStyle name="Normal 3 3 2 3 2 6" xfId="4933"/>
    <cellStyle name="Normal 3 3 2 3 2 6 2" xfId="4934"/>
    <cellStyle name="Normal 3 3 2 3 2 6 2 2" xfId="33827"/>
    <cellStyle name="Normal 3 3 2 3 2 6 2 3" xfId="33826"/>
    <cellStyle name="Normal 3 3 2 3 2 6 3" xfId="33828"/>
    <cellStyle name="Normal 3 3 2 3 2 6 3 2" xfId="33829"/>
    <cellStyle name="Normal 3 3 2 3 2 6 4" xfId="33830"/>
    <cellStyle name="Normal 3 3 2 3 2 6 5" xfId="33831"/>
    <cellStyle name="Normal 3 3 2 3 2 6 6" xfId="33825"/>
    <cellStyle name="Normal 3 3 2 3 2 7" xfId="4935"/>
    <cellStyle name="Normal 3 3 2 3 2 7 2" xfId="4936"/>
    <cellStyle name="Normal 3 3 2 3 2 7 2 2" xfId="33833"/>
    <cellStyle name="Normal 3 3 2 3 2 7 3" xfId="33832"/>
    <cellStyle name="Normal 3 3 2 3 2 8" xfId="4937"/>
    <cellStyle name="Normal 3 3 2 3 2 8 2" xfId="33835"/>
    <cellStyle name="Normal 3 3 2 3 2 8 3" xfId="33834"/>
    <cellStyle name="Normal 3 3 2 3 2 9" xfId="33836"/>
    <cellStyle name="Normal 3 3 2 3 2 9 2" xfId="33837"/>
    <cellStyle name="Normal 3 3 2 3 3" xfId="4938"/>
    <cellStyle name="Normal 3 3 2 3 3 10" xfId="33839"/>
    <cellStyle name="Normal 3 3 2 3 3 11" xfId="33838"/>
    <cellStyle name="Normal 3 3 2 3 3 2" xfId="4939"/>
    <cellStyle name="Normal 3 3 2 3 3 2 2" xfId="4940"/>
    <cellStyle name="Normal 3 3 2 3 3 2 2 2" xfId="4941"/>
    <cellStyle name="Normal 3 3 2 3 3 2 2 2 2" xfId="33842"/>
    <cellStyle name="Normal 3 3 2 3 3 2 2 3" xfId="4942"/>
    <cellStyle name="Normal 3 3 2 3 3 2 2 4" xfId="33841"/>
    <cellStyle name="Normal 3 3 2 3 3 2 3" xfId="4943"/>
    <cellStyle name="Normal 3 3 2 3 3 2 3 2" xfId="4944"/>
    <cellStyle name="Normal 3 3 2 3 3 2 3 2 2" xfId="33844"/>
    <cellStyle name="Normal 3 3 2 3 3 2 3 3" xfId="33843"/>
    <cellStyle name="Normal 3 3 2 3 3 2 4" xfId="4945"/>
    <cellStyle name="Normal 3 3 2 3 3 2 4 2" xfId="4946"/>
    <cellStyle name="Normal 3 3 2 3 3 2 4 2 2" xfId="33846"/>
    <cellStyle name="Normal 3 3 2 3 3 2 4 3" xfId="33845"/>
    <cellStyle name="Normal 3 3 2 3 3 2 5" xfId="4947"/>
    <cellStyle name="Normal 3 3 2 3 3 2 5 2" xfId="33847"/>
    <cellStyle name="Normal 3 3 2 3 3 2 6" xfId="33848"/>
    <cellStyle name="Normal 3 3 2 3 3 2 7" xfId="33840"/>
    <cellStyle name="Normal 3 3 2 3 3 3" xfId="4948"/>
    <cellStyle name="Normal 3 3 2 3 3 3 2" xfId="4949"/>
    <cellStyle name="Normal 3 3 2 3 3 3 2 2" xfId="4950"/>
    <cellStyle name="Normal 3 3 2 3 3 3 2 2 2" xfId="33851"/>
    <cellStyle name="Normal 3 3 2 3 3 3 2 3" xfId="33850"/>
    <cellStyle name="Normal 3 3 2 3 3 3 3" xfId="4951"/>
    <cellStyle name="Normal 3 3 2 3 3 3 3 2" xfId="4952"/>
    <cellStyle name="Normal 3 3 2 3 3 3 3 2 2" xfId="33853"/>
    <cellStyle name="Normal 3 3 2 3 3 3 3 3" xfId="33852"/>
    <cellStyle name="Normal 3 3 2 3 3 3 4" xfId="4953"/>
    <cellStyle name="Normal 3 3 2 3 3 3 4 2" xfId="33855"/>
    <cellStyle name="Normal 3 3 2 3 3 3 4 3" xfId="33854"/>
    <cellStyle name="Normal 3 3 2 3 3 3 5" xfId="33856"/>
    <cellStyle name="Normal 3 3 2 3 3 3 6" xfId="33857"/>
    <cellStyle name="Normal 3 3 2 3 3 3 7" xfId="33849"/>
    <cellStyle name="Normal 3 3 2 3 3 4" xfId="4954"/>
    <cellStyle name="Normal 3 3 2 3 3 4 2" xfId="4955"/>
    <cellStyle name="Normal 3 3 2 3 3 4 2 2" xfId="33860"/>
    <cellStyle name="Normal 3 3 2 3 3 4 2 3" xfId="33859"/>
    <cellStyle name="Normal 3 3 2 3 3 4 3" xfId="4956"/>
    <cellStyle name="Normal 3 3 2 3 3 4 3 2" xfId="33862"/>
    <cellStyle name="Normal 3 3 2 3 3 4 3 3" xfId="33861"/>
    <cellStyle name="Normal 3 3 2 3 3 4 4" xfId="33863"/>
    <cellStyle name="Normal 3 3 2 3 3 4 4 2" xfId="33864"/>
    <cellStyle name="Normal 3 3 2 3 3 4 5" xfId="33865"/>
    <cellStyle name="Normal 3 3 2 3 3 4 6" xfId="33866"/>
    <cellStyle name="Normal 3 3 2 3 3 4 7" xfId="33858"/>
    <cellStyle name="Normal 3 3 2 3 3 5" xfId="4957"/>
    <cellStyle name="Normal 3 3 2 3 3 5 2" xfId="4958"/>
    <cellStyle name="Normal 3 3 2 3 3 5 2 2" xfId="33869"/>
    <cellStyle name="Normal 3 3 2 3 3 5 2 3" xfId="33868"/>
    <cellStyle name="Normal 3 3 2 3 3 5 3" xfId="33870"/>
    <cellStyle name="Normal 3 3 2 3 3 5 3 2" xfId="33871"/>
    <cellStyle name="Normal 3 3 2 3 3 5 4" xfId="33872"/>
    <cellStyle name="Normal 3 3 2 3 3 5 5" xfId="33873"/>
    <cellStyle name="Normal 3 3 2 3 3 5 6" xfId="33867"/>
    <cellStyle name="Normal 3 3 2 3 3 6" xfId="4959"/>
    <cellStyle name="Normal 3 3 2 3 3 6 2" xfId="4960"/>
    <cellStyle name="Normal 3 3 2 3 3 6 2 2" xfId="33875"/>
    <cellStyle name="Normal 3 3 2 3 3 6 3" xfId="33874"/>
    <cellStyle name="Normal 3 3 2 3 3 7" xfId="4961"/>
    <cellStyle name="Normal 3 3 2 3 3 7 2" xfId="33877"/>
    <cellStyle name="Normal 3 3 2 3 3 7 3" xfId="33876"/>
    <cellStyle name="Normal 3 3 2 3 3 8" xfId="33878"/>
    <cellStyle name="Normal 3 3 2 3 3 8 2" xfId="33879"/>
    <cellStyle name="Normal 3 3 2 3 3 9" xfId="33880"/>
    <cellStyle name="Normal 3 3 2 3 4" xfId="4962"/>
    <cellStyle name="Normal 3 3 2 3 4 10" xfId="33882"/>
    <cellStyle name="Normal 3 3 2 3 4 11" xfId="33881"/>
    <cellStyle name="Normal 3 3 2 3 4 2" xfId="4963"/>
    <cellStyle name="Normal 3 3 2 3 4 2 2" xfId="4964"/>
    <cellStyle name="Normal 3 3 2 3 4 2 2 2" xfId="4965"/>
    <cellStyle name="Normal 3 3 2 3 4 2 2 2 2" xfId="33885"/>
    <cellStyle name="Normal 3 3 2 3 4 2 2 3" xfId="4966"/>
    <cellStyle name="Normal 3 3 2 3 4 2 2 4" xfId="33884"/>
    <cellStyle name="Normal 3 3 2 3 4 2 3" xfId="4967"/>
    <cellStyle name="Normal 3 3 2 3 4 2 3 2" xfId="4968"/>
    <cellStyle name="Normal 3 3 2 3 4 2 3 2 2" xfId="33887"/>
    <cellStyle name="Normal 3 3 2 3 4 2 3 3" xfId="33886"/>
    <cellStyle name="Normal 3 3 2 3 4 2 4" xfId="4969"/>
    <cellStyle name="Normal 3 3 2 3 4 2 4 2" xfId="4970"/>
    <cellStyle name="Normal 3 3 2 3 4 2 4 2 2" xfId="33889"/>
    <cellStyle name="Normal 3 3 2 3 4 2 4 3" xfId="33888"/>
    <cellStyle name="Normal 3 3 2 3 4 2 5" xfId="4971"/>
    <cellStyle name="Normal 3 3 2 3 4 2 5 2" xfId="33890"/>
    <cellStyle name="Normal 3 3 2 3 4 2 6" xfId="33891"/>
    <cellStyle name="Normal 3 3 2 3 4 2 7" xfId="33883"/>
    <cellStyle name="Normal 3 3 2 3 4 3" xfId="4972"/>
    <cellStyle name="Normal 3 3 2 3 4 3 2" xfId="4973"/>
    <cellStyle name="Normal 3 3 2 3 4 3 2 2" xfId="4974"/>
    <cellStyle name="Normal 3 3 2 3 4 3 2 2 2" xfId="33894"/>
    <cellStyle name="Normal 3 3 2 3 4 3 2 3" xfId="33893"/>
    <cellStyle name="Normal 3 3 2 3 4 3 3" xfId="4975"/>
    <cellStyle name="Normal 3 3 2 3 4 3 3 2" xfId="4976"/>
    <cellStyle name="Normal 3 3 2 3 4 3 3 2 2" xfId="33896"/>
    <cellStyle name="Normal 3 3 2 3 4 3 3 3" xfId="33895"/>
    <cellStyle name="Normal 3 3 2 3 4 3 4" xfId="4977"/>
    <cellStyle name="Normal 3 3 2 3 4 3 4 2" xfId="33898"/>
    <cellStyle name="Normal 3 3 2 3 4 3 4 3" xfId="33897"/>
    <cellStyle name="Normal 3 3 2 3 4 3 5" xfId="33899"/>
    <cellStyle name="Normal 3 3 2 3 4 3 6" xfId="33900"/>
    <cellStyle name="Normal 3 3 2 3 4 3 7" xfId="33892"/>
    <cellStyle name="Normal 3 3 2 3 4 4" xfId="4978"/>
    <cellStyle name="Normal 3 3 2 3 4 4 2" xfId="4979"/>
    <cellStyle name="Normal 3 3 2 3 4 4 2 2" xfId="33903"/>
    <cellStyle name="Normal 3 3 2 3 4 4 2 3" xfId="33902"/>
    <cellStyle name="Normal 3 3 2 3 4 4 3" xfId="4980"/>
    <cellStyle name="Normal 3 3 2 3 4 4 3 2" xfId="33905"/>
    <cellStyle name="Normal 3 3 2 3 4 4 3 3" xfId="33904"/>
    <cellStyle name="Normal 3 3 2 3 4 4 4" xfId="33906"/>
    <cellStyle name="Normal 3 3 2 3 4 4 4 2" xfId="33907"/>
    <cellStyle name="Normal 3 3 2 3 4 4 5" xfId="33908"/>
    <cellStyle name="Normal 3 3 2 3 4 4 6" xfId="33909"/>
    <cellStyle name="Normal 3 3 2 3 4 4 7" xfId="33901"/>
    <cellStyle name="Normal 3 3 2 3 4 5" xfId="4981"/>
    <cellStyle name="Normal 3 3 2 3 4 5 2" xfId="4982"/>
    <cellStyle name="Normal 3 3 2 3 4 5 2 2" xfId="33912"/>
    <cellStyle name="Normal 3 3 2 3 4 5 2 3" xfId="33911"/>
    <cellStyle name="Normal 3 3 2 3 4 5 3" xfId="33913"/>
    <cellStyle name="Normal 3 3 2 3 4 5 3 2" xfId="33914"/>
    <cellStyle name="Normal 3 3 2 3 4 5 4" xfId="33915"/>
    <cellStyle name="Normal 3 3 2 3 4 5 5" xfId="33916"/>
    <cellStyle name="Normal 3 3 2 3 4 5 6" xfId="33910"/>
    <cellStyle name="Normal 3 3 2 3 4 6" xfId="4983"/>
    <cellStyle name="Normal 3 3 2 3 4 6 2" xfId="4984"/>
    <cellStyle name="Normal 3 3 2 3 4 6 2 2" xfId="33918"/>
    <cellStyle name="Normal 3 3 2 3 4 6 3" xfId="33917"/>
    <cellStyle name="Normal 3 3 2 3 4 7" xfId="4985"/>
    <cellStyle name="Normal 3 3 2 3 4 7 2" xfId="33920"/>
    <cellStyle name="Normal 3 3 2 3 4 7 3" xfId="33919"/>
    <cellStyle name="Normal 3 3 2 3 4 8" xfId="33921"/>
    <cellStyle name="Normal 3 3 2 3 4 8 2" xfId="33922"/>
    <cellStyle name="Normal 3 3 2 3 4 9" xfId="33923"/>
    <cellStyle name="Normal 3 3 2 3 5" xfId="4986"/>
    <cellStyle name="Normal 3 3 2 3 5 2" xfId="4987"/>
    <cellStyle name="Normal 3 3 2 3 5 2 2" xfId="4988"/>
    <cellStyle name="Normal 3 3 2 3 5 2 2 2" xfId="4989"/>
    <cellStyle name="Normal 3 3 2 3 5 2 2 3" xfId="33926"/>
    <cellStyle name="Normal 3 3 2 3 5 2 3" xfId="4990"/>
    <cellStyle name="Normal 3 3 2 3 5 2 3 2" xfId="4991"/>
    <cellStyle name="Normal 3 3 2 3 5 2 4" xfId="4992"/>
    <cellStyle name="Normal 3 3 2 3 5 2 5" xfId="33925"/>
    <cellStyle name="Normal 3 3 2 3 5 3" xfId="4993"/>
    <cellStyle name="Normal 3 3 2 3 5 3 2" xfId="4994"/>
    <cellStyle name="Normal 3 3 2 3 5 3 2 2" xfId="33928"/>
    <cellStyle name="Normal 3 3 2 3 5 3 3" xfId="4995"/>
    <cellStyle name="Normal 3 3 2 3 5 3 4" xfId="33927"/>
    <cellStyle name="Normal 3 3 2 3 5 4" xfId="4996"/>
    <cellStyle name="Normal 3 3 2 3 5 4 2" xfId="4997"/>
    <cellStyle name="Normal 3 3 2 3 5 4 2 2" xfId="33930"/>
    <cellStyle name="Normal 3 3 2 3 5 4 3" xfId="33929"/>
    <cellStyle name="Normal 3 3 2 3 5 5" xfId="4998"/>
    <cellStyle name="Normal 3 3 2 3 5 5 2" xfId="4999"/>
    <cellStyle name="Normal 3 3 2 3 5 5 3" xfId="33931"/>
    <cellStyle name="Normal 3 3 2 3 5 6" xfId="5000"/>
    <cellStyle name="Normal 3 3 2 3 5 6 2" xfId="33932"/>
    <cellStyle name="Normal 3 3 2 3 5 7" xfId="33924"/>
    <cellStyle name="Normal 3 3 2 3 6" xfId="5001"/>
    <cellStyle name="Normal 3 3 2 3 6 2" xfId="5002"/>
    <cellStyle name="Normal 3 3 2 3 6 2 2" xfId="5003"/>
    <cellStyle name="Normal 3 3 2 3 6 2 2 2" xfId="33935"/>
    <cellStyle name="Normal 3 3 2 3 6 2 3" xfId="33934"/>
    <cellStyle name="Normal 3 3 2 3 6 3" xfId="5004"/>
    <cellStyle name="Normal 3 3 2 3 6 3 2" xfId="5005"/>
    <cellStyle name="Normal 3 3 2 3 6 3 2 2" xfId="33937"/>
    <cellStyle name="Normal 3 3 2 3 6 3 3" xfId="33936"/>
    <cellStyle name="Normal 3 3 2 3 6 4" xfId="5006"/>
    <cellStyle name="Normal 3 3 2 3 6 4 2" xfId="33939"/>
    <cellStyle name="Normal 3 3 2 3 6 4 3" xfId="33938"/>
    <cellStyle name="Normal 3 3 2 3 6 5" xfId="33940"/>
    <cellStyle name="Normal 3 3 2 3 6 6" xfId="33941"/>
    <cellStyle name="Normal 3 3 2 3 6 7" xfId="33933"/>
    <cellStyle name="Normal 3 3 2 3 7" xfId="5007"/>
    <cellStyle name="Normal 3 3 2 3 7 2" xfId="5008"/>
    <cellStyle name="Normal 3 3 2 3 7 2 2" xfId="5009"/>
    <cellStyle name="Normal 3 3 2 3 7 2 2 2" xfId="33944"/>
    <cellStyle name="Normal 3 3 2 3 7 2 3" xfId="33943"/>
    <cellStyle name="Normal 3 3 2 3 7 3" xfId="5010"/>
    <cellStyle name="Normal 3 3 2 3 7 3 2" xfId="5011"/>
    <cellStyle name="Normal 3 3 2 3 7 3 2 2" xfId="33946"/>
    <cellStyle name="Normal 3 3 2 3 7 3 3" xfId="33945"/>
    <cellStyle name="Normal 3 3 2 3 7 4" xfId="5012"/>
    <cellStyle name="Normal 3 3 2 3 7 4 2" xfId="33948"/>
    <cellStyle name="Normal 3 3 2 3 7 4 3" xfId="33947"/>
    <cellStyle name="Normal 3 3 2 3 7 5" xfId="33949"/>
    <cellStyle name="Normal 3 3 2 3 7 6" xfId="33950"/>
    <cellStyle name="Normal 3 3 2 3 7 7" xfId="33942"/>
    <cellStyle name="Normal 3 3 2 3 8" xfId="5013"/>
    <cellStyle name="Normal 3 3 2 3 8 2" xfId="5014"/>
    <cellStyle name="Normal 3 3 2 3 8 2 2" xfId="33953"/>
    <cellStyle name="Normal 3 3 2 3 8 2 3" xfId="33952"/>
    <cellStyle name="Normal 3 3 2 3 8 3" xfId="5015"/>
    <cellStyle name="Normal 3 3 2 3 8 3 2" xfId="33955"/>
    <cellStyle name="Normal 3 3 2 3 8 3 3" xfId="33954"/>
    <cellStyle name="Normal 3 3 2 3 8 4" xfId="33956"/>
    <cellStyle name="Normal 3 3 2 3 8 5" xfId="33957"/>
    <cellStyle name="Normal 3 3 2 3 8 6" xfId="33951"/>
    <cellStyle name="Normal 3 3 2 3 9" xfId="5016"/>
    <cellStyle name="Normal 3 3 2 3 9 2" xfId="5017"/>
    <cellStyle name="Normal 3 3 2 3 9 2 2" xfId="33959"/>
    <cellStyle name="Normal 3 3 2 3 9 3" xfId="33958"/>
    <cellStyle name="Normal 3 3 2 4" xfId="5018"/>
    <cellStyle name="Normal 3 3 2 4 10" xfId="5019"/>
    <cellStyle name="Normal 3 3 2 4 10 2" xfId="33962"/>
    <cellStyle name="Normal 3 3 2 4 10 3" xfId="33961"/>
    <cellStyle name="Normal 3 3 2 4 11" xfId="33963"/>
    <cellStyle name="Normal 3 3 2 4 11 2" xfId="33964"/>
    <cellStyle name="Normal 3 3 2 4 12" xfId="33965"/>
    <cellStyle name="Normal 3 3 2 4 13" xfId="33966"/>
    <cellStyle name="Normal 3 3 2 4 14" xfId="33960"/>
    <cellStyle name="Normal 3 3 2 4 2" xfId="5020"/>
    <cellStyle name="Normal 3 3 2 4 2 10" xfId="33968"/>
    <cellStyle name="Normal 3 3 2 4 2 11" xfId="33969"/>
    <cellStyle name="Normal 3 3 2 4 2 12" xfId="33967"/>
    <cellStyle name="Normal 3 3 2 4 2 2" xfId="5021"/>
    <cellStyle name="Normal 3 3 2 4 2 2 2" xfId="5022"/>
    <cellStyle name="Normal 3 3 2 4 2 2 2 2" xfId="5023"/>
    <cellStyle name="Normal 3 3 2 4 2 2 2 2 2" xfId="33972"/>
    <cellStyle name="Normal 3 3 2 4 2 2 2 3" xfId="5024"/>
    <cellStyle name="Normal 3 3 2 4 2 2 2 4" xfId="33971"/>
    <cellStyle name="Normal 3 3 2 4 2 2 3" xfId="5025"/>
    <cellStyle name="Normal 3 3 2 4 2 2 3 2" xfId="5026"/>
    <cellStyle name="Normal 3 3 2 4 2 2 3 2 2" xfId="33974"/>
    <cellStyle name="Normal 3 3 2 4 2 2 3 3" xfId="33973"/>
    <cellStyle name="Normal 3 3 2 4 2 2 4" xfId="5027"/>
    <cellStyle name="Normal 3 3 2 4 2 2 4 2" xfId="5028"/>
    <cellStyle name="Normal 3 3 2 4 2 2 4 2 2" xfId="33976"/>
    <cellStyle name="Normal 3 3 2 4 2 2 4 3" xfId="33975"/>
    <cellStyle name="Normal 3 3 2 4 2 2 5" xfId="5029"/>
    <cellStyle name="Normal 3 3 2 4 2 2 5 2" xfId="33977"/>
    <cellStyle name="Normal 3 3 2 4 2 2 6" xfId="33978"/>
    <cellStyle name="Normal 3 3 2 4 2 2 7" xfId="33970"/>
    <cellStyle name="Normal 3 3 2 4 2 3" xfId="5030"/>
    <cellStyle name="Normal 3 3 2 4 2 3 2" xfId="5031"/>
    <cellStyle name="Normal 3 3 2 4 2 3 2 2" xfId="5032"/>
    <cellStyle name="Normal 3 3 2 4 2 3 2 2 2" xfId="33981"/>
    <cellStyle name="Normal 3 3 2 4 2 3 2 3" xfId="33980"/>
    <cellStyle name="Normal 3 3 2 4 2 3 3" xfId="5033"/>
    <cellStyle name="Normal 3 3 2 4 2 3 3 2" xfId="5034"/>
    <cellStyle name="Normal 3 3 2 4 2 3 3 2 2" xfId="33983"/>
    <cellStyle name="Normal 3 3 2 4 2 3 3 3" xfId="33982"/>
    <cellStyle name="Normal 3 3 2 4 2 3 4" xfId="5035"/>
    <cellStyle name="Normal 3 3 2 4 2 3 4 2" xfId="33985"/>
    <cellStyle name="Normal 3 3 2 4 2 3 4 3" xfId="33984"/>
    <cellStyle name="Normal 3 3 2 4 2 3 5" xfId="33986"/>
    <cellStyle name="Normal 3 3 2 4 2 3 6" xfId="33987"/>
    <cellStyle name="Normal 3 3 2 4 2 3 7" xfId="33979"/>
    <cellStyle name="Normal 3 3 2 4 2 4" xfId="5036"/>
    <cellStyle name="Normal 3 3 2 4 2 4 2" xfId="5037"/>
    <cellStyle name="Normal 3 3 2 4 2 4 2 2" xfId="33990"/>
    <cellStyle name="Normal 3 3 2 4 2 4 2 3" xfId="33989"/>
    <cellStyle name="Normal 3 3 2 4 2 4 3" xfId="5038"/>
    <cellStyle name="Normal 3 3 2 4 2 4 3 2" xfId="33992"/>
    <cellStyle name="Normal 3 3 2 4 2 4 3 3" xfId="33991"/>
    <cellStyle name="Normal 3 3 2 4 2 4 4" xfId="33993"/>
    <cellStyle name="Normal 3 3 2 4 2 4 4 2" xfId="33994"/>
    <cellStyle name="Normal 3 3 2 4 2 4 5" xfId="33995"/>
    <cellStyle name="Normal 3 3 2 4 2 4 6" xfId="33996"/>
    <cellStyle name="Normal 3 3 2 4 2 4 7" xfId="33988"/>
    <cellStyle name="Normal 3 3 2 4 2 5" xfId="5039"/>
    <cellStyle name="Normal 3 3 2 4 2 5 2" xfId="5040"/>
    <cellStyle name="Normal 3 3 2 4 2 5 2 2" xfId="33999"/>
    <cellStyle name="Normal 3 3 2 4 2 5 2 3" xfId="33998"/>
    <cellStyle name="Normal 3 3 2 4 2 5 3" xfId="34000"/>
    <cellStyle name="Normal 3 3 2 4 2 5 3 2" xfId="34001"/>
    <cellStyle name="Normal 3 3 2 4 2 5 4" xfId="34002"/>
    <cellStyle name="Normal 3 3 2 4 2 5 4 2" xfId="34003"/>
    <cellStyle name="Normal 3 3 2 4 2 5 5" xfId="34004"/>
    <cellStyle name="Normal 3 3 2 4 2 5 6" xfId="34005"/>
    <cellStyle name="Normal 3 3 2 4 2 5 7" xfId="33997"/>
    <cellStyle name="Normal 3 3 2 4 2 6" xfId="5041"/>
    <cellStyle name="Normal 3 3 2 4 2 6 2" xfId="5042"/>
    <cellStyle name="Normal 3 3 2 4 2 6 2 2" xfId="34008"/>
    <cellStyle name="Normal 3 3 2 4 2 6 2 3" xfId="34007"/>
    <cellStyle name="Normal 3 3 2 4 2 6 3" xfId="34009"/>
    <cellStyle name="Normal 3 3 2 4 2 6 3 2" xfId="34010"/>
    <cellStyle name="Normal 3 3 2 4 2 6 4" xfId="34011"/>
    <cellStyle name="Normal 3 3 2 4 2 6 5" xfId="34012"/>
    <cellStyle name="Normal 3 3 2 4 2 6 6" xfId="34006"/>
    <cellStyle name="Normal 3 3 2 4 2 7" xfId="5043"/>
    <cellStyle name="Normal 3 3 2 4 2 7 2" xfId="34014"/>
    <cellStyle name="Normal 3 3 2 4 2 7 3" xfId="34013"/>
    <cellStyle name="Normal 3 3 2 4 2 8" xfId="34015"/>
    <cellStyle name="Normal 3 3 2 4 2 8 2" xfId="34016"/>
    <cellStyle name="Normal 3 3 2 4 2 9" xfId="34017"/>
    <cellStyle name="Normal 3 3 2 4 2 9 2" xfId="34018"/>
    <cellStyle name="Normal 3 3 2 4 3" xfId="5044"/>
    <cellStyle name="Normal 3 3 2 4 3 10" xfId="34020"/>
    <cellStyle name="Normal 3 3 2 4 3 11" xfId="34019"/>
    <cellStyle name="Normal 3 3 2 4 3 2" xfId="5045"/>
    <cellStyle name="Normal 3 3 2 4 3 2 2" xfId="5046"/>
    <cellStyle name="Normal 3 3 2 4 3 2 2 2" xfId="5047"/>
    <cellStyle name="Normal 3 3 2 4 3 2 2 2 2" xfId="34023"/>
    <cellStyle name="Normal 3 3 2 4 3 2 2 3" xfId="5048"/>
    <cellStyle name="Normal 3 3 2 4 3 2 2 4" xfId="34022"/>
    <cellStyle name="Normal 3 3 2 4 3 2 3" xfId="5049"/>
    <cellStyle name="Normal 3 3 2 4 3 2 3 2" xfId="5050"/>
    <cellStyle name="Normal 3 3 2 4 3 2 3 2 2" xfId="34025"/>
    <cellStyle name="Normal 3 3 2 4 3 2 3 3" xfId="34024"/>
    <cellStyle name="Normal 3 3 2 4 3 2 4" xfId="5051"/>
    <cellStyle name="Normal 3 3 2 4 3 2 4 2" xfId="5052"/>
    <cellStyle name="Normal 3 3 2 4 3 2 4 2 2" xfId="34027"/>
    <cellStyle name="Normal 3 3 2 4 3 2 4 3" xfId="34026"/>
    <cellStyle name="Normal 3 3 2 4 3 2 5" xfId="5053"/>
    <cellStyle name="Normal 3 3 2 4 3 2 5 2" xfId="34028"/>
    <cellStyle name="Normal 3 3 2 4 3 2 6" xfId="34029"/>
    <cellStyle name="Normal 3 3 2 4 3 2 7" xfId="34021"/>
    <cellStyle name="Normal 3 3 2 4 3 3" xfId="5054"/>
    <cellStyle name="Normal 3 3 2 4 3 3 2" xfId="5055"/>
    <cellStyle name="Normal 3 3 2 4 3 3 2 2" xfId="5056"/>
    <cellStyle name="Normal 3 3 2 4 3 3 2 2 2" xfId="34032"/>
    <cellStyle name="Normal 3 3 2 4 3 3 2 3" xfId="34031"/>
    <cellStyle name="Normal 3 3 2 4 3 3 3" xfId="5057"/>
    <cellStyle name="Normal 3 3 2 4 3 3 3 2" xfId="5058"/>
    <cellStyle name="Normal 3 3 2 4 3 3 3 2 2" xfId="34034"/>
    <cellStyle name="Normal 3 3 2 4 3 3 3 3" xfId="34033"/>
    <cellStyle name="Normal 3 3 2 4 3 3 4" xfId="5059"/>
    <cellStyle name="Normal 3 3 2 4 3 3 4 2" xfId="34036"/>
    <cellStyle name="Normal 3 3 2 4 3 3 4 3" xfId="34035"/>
    <cellStyle name="Normal 3 3 2 4 3 3 5" xfId="34037"/>
    <cellStyle name="Normal 3 3 2 4 3 3 6" xfId="34038"/>
    <cellStyle name="Normal 3 3 2 4 3 3 7" xfId="34030"/>
    <cellStyle name="Normal 3 3 2 4 3 4" xfId="5060"/>
    <cellStyle name="Normal 3 3 2 4 3 4 2" xfId="5061"/>
    <cellStyle name="Normal 3 3 2 4 3 4 2 2" xfId="34041"/>
    <cellStyle name="Normal 3 3 2 4 3 4 2 3" xfId="34040"/>
    <cellStyle name="Normal 3 3 2 4 3 4 3" xfId="5062"/>
    <cellStyle name="Normal 3 3 2 4 3 4 3 2" xfId="34043"/>
    <cellStyle name="Normal 3 3 2 4 3 4 3 3" xfId="34042"/>
    <cellStyle name="Normal 3 3 2 4 3 4 4" xfId="34044"/>
    <cellStyle name="Normal 3 3 2 4 3 4 4 2" xfId="34045"/>
    <cellStyle name="Normal 3 3 2 4 3 4 5" xfId="34046"/>
    <cellStyle name="Normal 3 3 2 4 3 4 6" xfId="34047"/>
    <cellStyle name="Normal 3 3 2 4 3 4 7" xfId="34039"/>
    <cellStyle name="Normal 3 3 2 4 3 5" xfId="5063"/>
    <cellStyle name="Normal 3 3 2 4 3 5 2" xfId="5064"/>
    <cellStyle name="Normal 3 3 2 4 3 5 2 2" xfId="34050"/>
    <cellStyle name="Normal 3 3 2 4 3 5 2 3" xfId="34049"/>
    <cellStyle name="Normal 3 3 2 4 3 5 3" xfId="34051"/>
    <cellStyle name="Normal 3 3 2 4 3 5 3 2" xfId="34052"/>
    <cellStyle name="Normal 3 3 2 4 3 5 4" xfId="34053"/>
    <cellStyle name="Normal 3 3 2 4 3 5 5" xfId="34054"/>
    <cellStyle name="Normal 3 3 2 4 3 5 6" xfId="34048"/>
    <cellStyle name="Normal 3 3 2 4 3 6" xfId="5065"/>
    <cellStyle name="Normal 3 3 2 4 3 6 2" xfId="5066"/>
    <cellStyle name="Normal 3 3 2 4 3 6 2 2" xfId="34056"/>
    <cellStyle name="Normal 3 3 2 4 3 6 3" xfId="34055"/>
    <cellStyle name="Normal 3 3 2 4 3 7" xfId="5067"/>
    <cellStyle name="Normal 3 3 2 4 3 7 2" xfId="34058"/>
    <cellStyle name="Normal 3 3 2 4 3 7 3" xfId="34057"/>
    <cellStyle name="Normal 3 3 2 4 3 8" xfId="34059"/>
    <cellStyle name="Normal 3 3 2 4 3 8 2" xfId="34060"/>
    <cellStyle name="Normal 3 3 2 4 3 9" xfId="34061"/>
    <cellStyle name="Normal 3 3 2 4 4" xfId="5068"/>
    <cellStyle name="Normal 3 3 2 4 4 10" xfId="34063"/>
    <cellStyle name="Normal 3 3 2 4 4 11" xfId="34062"/>
    <cellStyle name="Normal 3 3 2 4 4 2" xfId="5069"/>
    <cellStyle name="Normal 3 3 2 4 4 2 2" xfId="5070"/>
    <cellStyle name="Normal 3 3 2 4 4 2 2 2" xfId="5071"/>
    <cellStyle name="Normal 3 3 2 4 4 2 2 2 2" xfId="34066"/>
    <cellStyle name="Normal 3 3 2 4 4 2 2 3" xfId="34065"/>
    <cellStyle name="Normal 3 3 2 4 4 2 3" xfId="5072"/>
    <cellStyle name="Normal 3 3 2 4 4 2 3 2" xfId="5073"/>
    <cellStyle name="Normal 3 3 2 4 4 2 3 2 2" xfId="34068"/>
    <cellStyle name="Normal 3 3 2 4 4 2 3 3" xfId="34067"/>
    <cellStyle name="Normal 3 3 2 4 4 2 4" xfId="5074"/>
    <cellStyle name="Normal 3 3 2 4 4 2 4 2" xfId="34070"/>
    <cellStyle name="Normal 3 3 2 4 4 2 4 3" xfId="34069"/>
    <cellStyle name="Normal 3 3 2 4 4 2 5" xfId="34071"/>
    <cellStyle name="Normal 3 3 2 4 4 2 6" xfId="34072"/>
    <cellStyle name="Normal 3 3 2 4 4 2 7" xfId="34064"/>
    <cellStyle name="Normal 3 3 2 4 4 3" xfId="5075"/>
    <cellStyle name="Normal 3 3 2 4 4 3 2" xfId="5076"/>
    <cellStyle name="Normal 3 3 2 4 4 3 2 2" xfId="34075"/>
    <cellStyle name="Normal 3 3 2 4 4 3 2 3" xfId="34074"/>
    <cellStyle name="Normal 3 3 2 4 4 3 3" xfId="5077"/>
    <cellStyle name="Normal 3 3 2 4 4 3 3 2" xfId="34077"/>
    <cellStyle name="Normal 3 3 2 4 4 3 3 3" xfId="34076"/>
    <cellStyle name="Normal 3 3 2 4 4 3 4" xfId="34078"/>
    <cellStyle name="Normal 3 3 2 4 4 3 4 2" xfId="34079"/>
    <cellStyle name="Normal 3 3 2 4 4 3 5" xfId="34080"/>
    <cellStyle name="Normal 3 3 2 4 4 3 6" xfId="34081"/>
    <cellStyle name="Normal 3 3 2 4 4 3 7" xfId="34073"/>
    <cellStyle name="Normal 3 3 2 4 4 4" xfId="5078"/>
    <cellStyle name="Normal 3 3 2 4 4 4 2" xfId="5079"/>
    <cellStyle name="Normal 3 3 2 4 4 4 2 2" xfId="34084"/>
    <cellStyle name="Normal 3 3 2 4 4 4 2 3" xfId="34083"/>
    <cellStyle name="Normal 3 3 2 4 4 4 3" xfId="34085"/>
    <cellStyle name="Normal 3 3 2 4 4 4 3 2" xfId="34086"/>
    <cellStyle name="Normal 3 3 2 4 4 4 4" xfId="34087"/>
    <cellStyle name="Normal 3 3 2 4 4 4 4 2" xfId="34088"/>
    <cellStyle name="Normal 3 3 2 4 4 4 5" xfId="34089"/>
    <cellStyle name="Normal 3 3 2 4 4 4 6" xfId="34090"/>
    <cellStyle name="Normal 3 3 2 4 4 4 7" xfId="34082"/>
    <cellStyle name="Normal 3 3 2 4 4 5" xfId="5080"/>
    <cellStyle name="Normal 3 3 2 4 4 5 2" xfId="5081"/>
    <cellStyle name="Normal 3 3 2 4 4 5 2 2" xfId="34093"/>
    <cellStyle name="Normal 3 3 2 4 4 5 2 3" xfId="34092"/>
    <cellStyle name="Normal 3 3 2 4 4 5 3" xfId="34094"/>
    <cellStyle name="Normal 3 3 2 4 4 5 3 2" xfId="34095"/>
    <cellStyle name="Normal 3 3 2 4 4 5 4" xfId="34096"/>
    <cellStyle name="Normal 3 3 2 4 4 5 5" xfId="34097"/>
    <cellStyle name="Normal 3 3 2 4 4 5 6" xfId="34091"/>
    <cellStyle name="Normal 3 3 2 4 4 6" xfId="5082"/>
    <cellStyle name="Normal 3 3 2 4 4 6 2" xfId="34099"/>
    <cellStyle name="Normal 3 3 2 4 4 6 3" xfId="34098"/>
    <cellStyle name="Normal 3 3 2 4 4 7" xfId="34100"/>
    <cellStyle name="Normal 3 3 2 4 4 7 2" xfId="34101"/>
    <cellStyle name="Normal 3 3 2 4 4 8" xfId="34102"/>
    <cellStyle name="Normal 3 3 2 4 4 8 2" xfId="34103"/>
    <cellStyle name="Normal 3 3 2 4 4 9" xfId="34104"/>
    <cellStyle name="Normal 3 3 2 4 5" xfId="5083"/>
    <cellStyle name="Normal 3 3 2 4 5 2" xfId="5084"/>
    <cellStyle name="Normal 3 3 2 4 5 2 2" xfId="5085"/>
    <cellStyle name="Normal 3 3 2 4 5 2 2 2" xfId="34107"/>
    <cellStyle name="Normal 3 3 2 4 5 2 3" xfId="34106"/>
    <cellStyle name="Normal 3 3 2 4 5 3" xfId="5086"/>
    <cellStyle name="Normal 3 3 2 4 5 3 2" xfId="5087"/>
    <cellStyle name="Normal 3 3 2 4 5 3 2 2" xfId="34109"/>
    <cellStyle name="Normal 3 3 2 4 5 3 3" xfId="34108"/>
    <cellStyle name="Normal 3 3 2 4 5 4" xfId="5088"/>
    <cellStyle name="Normal 3 3 2 4 5 4 2" xfId="34111"/>
    <cellStyle name="Normal 3 3 2 4 5 4 3" xfId="34110"/>
    <cellStyle name="Normal 3 3 2 4 5 5" xfId="34112"/>
    <cellStyle name="Normal 3 3 2 4 5 6" xfId="34113"/>
    <cellStyle name="Normal 3 3 2 4 5 7" xfId="34105"/>
    <cellStyle name="Normal 3 3 2 4 6" xfId="5089"/>
    <cellStyle name="Normal 3 3 2 4 6 2" xfId="5090"/>
    <cellStyle name="Normal 3 3 2 4 6 2 2" xfId="5091"/>
    <cellStyle name="Normal 3 3 2 4 6 2 2 2" xfId="34116"/>
    <cellStyle name="Normal 3 3 2 4 6 2 3" xfId="34115"/>
    <cellStyle name="Normal 3 3 2 4 6 3" xfId="5092"/>
    <cellStyle name="Normal 3 3 2 4 6 3 2" xfId="5093"/>
    <cellStyle name="Normal 3 3 2 4 6 3 2 2" xfId="34118"/>
    <cellStyle name="Normal 3 3 2 4 6 3 3" xfId="34117"/>
    <cellStyle name="Normal 3 3 2 4 6 4" xfId="5094"/>
    <cellStyle name="Normal 3 3 2 4 6 4 2" xfId="34120"/>
    <cellStyle name="Normal 3 3 2 4 6 4 3" xfId="34119"/>
    <cellStyle name="Normal 3 3 2 4 6 5" xfId="34121"/>
    <cellStyle name="Normal 3 3 2 4 6 6" xfId="34122"/>
    <cellStyle name="Normal 3 3 2 4 6 7" xfId="34114"/>
    <cellStyle name="Normal 3 3 2 4 7" xfId="5095"/>
    <cellStyle name="Normal 3 3 2 4 7 2" xfId="5096"/>
    <cellStyle name="Normal 3 3 2 4 7 2 2" xfId="34125"/>
    <cellStyle name="Normal 3 3 2 4 7 2 3" xfId="34124"/>
    <cellStyle name="Normal 3 3 2 4 7 3" xfId="5097"/>
    <cellStyle name="Normal 3 3 2 4 7 3 2" xfId="34127"/>
    <cellStyle name="Normal 3 3 2 4 7 3 3" xfId="34126"/>
    <cellStyle name="Normal 3 3 2 4 7 4" xfId="34128"/>
    <cellStyle name="Normal 3 3 2 4 7 4 2" xfId="34129"/>
    <cellStyle name="Normal 3 3 2 4 7 5" xfId="34130"/>
    <cellStyle name="Normal 3 3 2 4 7 6" xfId="34131"/>
    <cellStyle name="Normal 3 3 2 4 7 7" xfId="34123"/>
    <cellStyle name="Normal 3 3 2 4 8" xfId="5098"/>
    <cellStyle name="Normal 3 3 2 4 8 2" xfId="5099"/>
    <cellStyle name="Normal 3 3 2 4 8 2 2" xfId="34134"/>
    <cellStyle name="Normal 3 3 2 4 8 2 3" xfId="34133"/>
    <cellStyle name="Normal 3 3 2 4 8 3" xfId="34135"/>
    <cellStyle name="Normal 3 3 2 4 8 3 2" xfId="34136"/>
    <cellStyle name="Normal 3 3 2 4 8 4" xfId="34137"/>
    <cellStyle name="Normal 3 3 2 4 8 5" xfId="34138"/>
    <cellStyle name="Normal 3 3 2 4 8 6" xfId="34132"/>
    <cellStyle name="Normal 3 3 2 4 9" xfId="5100"/>
    <cellStyle name="Normal 3 3 2 4 9 2" xfId="5101"/>
    <cellStyle name="Normal 3 3 2 4 9 2 2" xfId="34140"/>
    <cellStyle name="Normal 3 3 2 4 9 3" xfId="34139"/>
    <cellStyle name="Normal 3 3 2 5" xfId="5102"/>
    <cellStyle name="Normal 3 3 2 5 10" xfId="34142"/>
    <cellStyle name="Normal 3 3 2 5 10 2" xfId="34143"/>
    <cellStyle name="Normal 3 3 2 5 11" xfId="34144"/>
    <cellStyle name="Normal 3 3 2 5 12" xfId="34145"/>
    <cellStyle name="Normal 3 3 2 5 13" xfId="34141"/>
    <cellStyle name="Normal 3 3 2 5 2" xfId="5103"/>
    <cellStyle name="Normal 3 3 2 5 2 10" xfId="34147"/>
    <cellStyle name="Normal 3 3 2 5 2 11" xfId="34146"/>
    <cellStyle name="Normal 3 3 2 5 2 2" xfId="5104"/>
    <cellStyle name="Normal 3 3 2 5 2 2 2" xfId="5105"/>
    <cellStyle name="Normal 3 3 2 5 2 2 2 2" xfId="5106"/>
    <cellStyle name="Normal 3 3 2 5 2 2 2 2 2" xfId="34150"/>
    <cellStyle name="Normal 3 3 2 5 2 2 2 3" xfId="5107"/>
    <cellStyle name="Normal 3 3 2 5 2 2 2 4" xfId="34149"/>
    <cellStyle name="Normal 3 3 2 5 2 2 3" xfId="5108"/>
    <cellStyle name="Normal 3 3 2 5 2 2 3 2" xfId="5109"/>
    <cellStyle name="Normal 3 3 2 5 2 2 3 2 2" xfId="34152"/>
    <cellStyle name="Normal 3 3 2 5 2 2 3 3" xfId="34151"/>
    <cellStyle name="Normal 3 3 2 5 2 2 4" xfId="5110"/>
    <cellStyle name="Normal 3 3 2 5 2 2 4 2" xfId="5111"/>
    <cellStyle name="Normal 3 3 2 5 2 2 4 2 2" xfId="34154"/>
    <cellStyle name="Normal 3 3 2 5 2 2 4 3" xfId="34153"/>
    <cellStyle name="Normal 3 3 2 5 2 2 5" xfId="5112"/>
    <cellStyle name="Normal 3 3 2 5 2 2 5 2" xfId="34155"/>
    <cellStyle name="Normal 3 3 2 5 2 2 6" xfId="34156"/>
    <cellStyle name="Normal 3 3 2 5 2 2 7" xfId="34148"/>
    <cellStyle name="Normal 3 3 2 5 2 3" xfId="5113"/>
    <cellStyle name="Normal 3 3 2 5 2 3 2" xfId="5114"/>
    <cellStyle name="Normal 3 3 2 5 2 3 2 2" xfId="5115"/>
    <cellStyle name="Normal 3 3 2 5 2 3 2 2 2" xfId="34159"/>
    <cellStyle name="Normal 3 3 2 5 2 3 2 3" xfId="34158"/>
    <cellStyle name="Normal 3 3 2 5 2 3 3" xfId="5116"/>
    <cellStyle name="Normal 3 3 2 5 2 3 3 2" xfId="5117"/>
    <cellStyle name="Normal 3 3 2 5 2 3 3 2 2" xfId="34161"/>
    <cellStyle name="Normal 3 3 2 5 2 3 3 3" xfId="34160"/>
    <cellStyle name="Normal 3 3 2 5 2 3 4" xfId="5118"/>
    <cellStyle name="Normal 3 3 2 5 2 3 4 2" xfId="34163"/>
    <cellStyle name="Normal 3 3 2 5 2 3 4 3" xfId="34162"/>
    <cellStyle name="Normal 3 3 2 5 2 3 5" xfId="34164"/>
    <cellStyle name="Normal 3 3 2 5 2 3 6" xfId="34165"/>
    <cellStyle name="Normal 3 3 2 5 2 3 7" xfId="34157"/>
    <cellStyle name="Normal 3 3 2 5 2 4" xfId="5119"/>
    <cellStyle name="Normal 3 3 2 5 2 4 2" xfId="5120"/>
    <cellStyle name="Normal 3 3 2 5 2 4 2 2" xfId="34168"/>
    <cellStyle name="Normal 3 3 2 5 2 4 2 3" xfId="34167"/>
    <cellStyle name="Normal 3 3 2 5 2 4 3" xfId="5121"/>
    <cellStyle name="Normal 3 3 2 5 2 4 3 2" xfId="34170"/>
    <cellStyle name="Normal 3 3 2 5 2 4 3 3" xfId="34169"/>
    <cellStyle name="Normal 3 3 2 5 2 4 4" xfId="34171"/>
    <cellStyle name="Normal 3 3 2 5 2 4 4 2" xfId="34172"/>
    <cellStyle name="Normal 3 3 2 5 2 4 5" xfId="34173"/>
    <cellStyle name="Normal 3 3 2 5 2 4 6" xfId="34174"/>
    <cellStyle name="Normal 3 3 2 5 2 4 7" xfId="34166"/>
    <cellStyle name="Normal 3 3 2 5 2 5" xfId="5122"/>
    <cellStyle name="Normal 3 3 2 5 2 5 2" xfId="5123"/>
    <cellStyle name="Normal 3 3 2 5 2 5 2 2" xfId="34177"/>
    <cellStyle name="Normal 3 3 2 5 2 5 2 3" xfId="34176"/>
    <cellStyle name="Normal 3 3 2 5 2 5 3" xfId="34178"/>
    <cellStyle name="Normal 3 3 2 5 2 5 3 2" xfId="34179"/>
    <cellStyle name="Normal 3 3 2 5 2 5 4" xfId="34180"/>
    <cellStyle name="Normal 3 3 2 5 2 5 5" xfId="34181"/>
    <cellStyle name="Normal 3 3 2 5 2 5 6" xfId="34175"/>
    <cellStyle name="Normal 3 3 2 5 2 6" xfId="5124"/>
    <cellStyle name="Normal 3 3 2 5 2 6 2" xfId="5125"/>
    <cellStyle name="Normal 3 3 2 5 2 6 2 2" xfId="34183"/>
    <cellStyle name="Normal 3 3 2 5 2 6 3" xfId="34182"/>
    <cellStyle name="Normal 3 3 2 5 2 7" xfId="5126"/>
    <cellStyle name="Normal 3 3 2 5 2 7 2" xfId="34185"/>
    <cellStyle name="Normal 3 3 2 5 2 7 3" xfId="34184"/>
    <cellStyle name="Normal 3 3 2 5 2 8" xfId="34186"/>
    <cellStyle name="Normal 3 3 2 5 2 8 2" xfId="34187"/>
    <cellStyle name="Normal 3 3 2 5 2 9" xfId="34188"/>
    <cellStyle name="Normal 3 3 2 5 3" xfId="5127"/>
    <cellStyle name="Normal 3 3 2 5 3 10" xfId="34190"/>
    <cellStyle name="Normal 3 3 2 5 3 11" xfId="34189"/>
    <cellStyle name="Normal 3 3 2 5 3 2" xfId="5128"/>
    <cellStyle name="Normal 3 3 2 5 3 2 2" xfId="5129"/>
    <cellStyle name="Normal 3 3 2 5 3 2 2 2" xfId="34193"/>
    <cellStyle name="Normal 3 3 2 5 3 2 2 3" xfId="34192"/>
    <cellStyle name="Normal 3 3 2 5 3 2 3" xfId="5130"/>
    <cellStyle name="Normal 3 3 2 5 3 2 3 2" xfId="34195"/>
    <cellStyle name="Normal 3 3 2 5 3 2 3 3" xfId="34194"/>
    <cellStyle name="Normal 3 3 2 5 3 2 4" xfId="34196"/>
    <cellStyle name="Normal 3 3 2 5 3 2 4 2" xfId="34197"/>
    <cellStyle name="Normal 3 3 2 5 3 2 5" xfId="34198"/>
    <cellStyle name="Normal 3 3 2 5 3 2 6" xfId="34199"/>
    <cellStyle name="Normal 3 3 2 5 3 2 7" xfId="34191"/>
    <cellStyle name="Normal 3 3 2 5 3 3" xfId="5131"/>
    <cellStyle name="Normal 3 3 2 5 3 3 2" xfId="5132"/>
    <cellStyle name="Normal 3 3 2 5 3 3 2 2" xfId="34202"/>
    <cellStyle name="Normal 3 3 2 5 3 3 2 3" xfId="34201"/>
    <cellStyle name="Normal 3 3 2 5 3 3 3" xfId="34203"/>
    <cellStyle name="Normal 3 3 2 5 3 3 3 2" xfId="34204"/>
    <cellStyle name="Normal 3 3 2 5 3 3 4" xfId="34205"/>
    <cellStyle name="Normal 3 3 2 5 3 3 4 2" xfId="34206"/>
    <cellStyle name="Normal 3 3 2 5 3 3 5" xfId="34207"/>
    <cellStyle name="Normal 3 3 2 5 3 3 6" xfId="34208"/>
    <cellStyle name="Normal 3 3 2 5 3 3 7" xfId="34200"/>
    <cellStyle name="Normal 3 3 2 5 3 4" xfId="5133"/>
    <cellStyle name="Normal 3 3 2 5 3 4 2" xfId="5134"/>
    <cellStyle name="Normal 3 3 2 5 3 4 2 2" xfId="34211"/>
    <cellStyle name="Normal 3 3 2 5 3 4 2 3" xfId="34210"/>
    <cellStyle name="Normal 3 3 2 5 3 4 3" xfId="34212"/>
    <cellStyle name="Normal 3 3 2 5 3 4 3 2" xfId="34213"/>
    <cellStyle name="Normal 3 3 2 5 3 4 4" xfId="34214"/>
    <cellStyle name="Normal 3 3 2 5 3 4 4 2" xfId="34215"/>
    <cellStyle name="Normal 3 3 2 5 3 4 5" xfId="34216"/>
    <cellStyle name="Normal 3 3 2 5 3 4 6" xfId="34217"/>
    <cellStyle name="Normal 3 3 2 5 3 4 7" xfId="34209"/>
    <cellStyle name="Normal 3 3 2 5 3 5" xfId="5135"/>
    <cellStyle name="Normal 3 3 2 5 3 5 2" xfId="34219"/>
    <cellStyle name="Normal 3 3 2 5 3 5 2 2" xfId="34220"/>
    <cellStyle name="Normal 3 3 2 5 3 5 3" xfId="34221"/>
    <cellStyle name="Normal 3 3 2 5 3 5 3 2" xfId="34222"/>
    <cellStyle name="Normal 3 3 2 5 3 5 4" xfId="34223"/>
    <cellStyle name="Normal 3 3 2 5 3 5 5" xfId="34224"/>
    <cellStyle name="Normal 3 3 2 5 3 5 6" xfId="34218"/>
    <cellStyle name="Normal 3 3 2 5 3 6" xfId="34225"/>
    <cellStyle name="Normal 3 3 2 5 3 6 2" xfId="34226"/>
    <cellStyle name="Normal 3 3 2 5 3 7" xfId="34227"/>
    <cellStyle name="Normal 3 3 2 5 3 7 2" xfId="34228"/>
    <cellStyle name="Normal 3 3 2 5 3 8" xfId="34229"/>
    <cellStyle name="Normal 3 3 2 5 3 8 2" xfId="34230"/>
    <cellStyle name="Normal 3 3 2 5 3 9" xfId="34231"/>
    <cellStyle name="Normal 3 3 2 5 4" xfId="5136"/>
    <cellStyle name="Normal 3 3 2 5 4 2" xfId="5137"/>
    <cellStyle name="Normal 3 3 2 5 4 2 2" xfId="5138"/>
    <cellStyle name="Normal 3 3 2 5 4 2 2 2" xfId="34234"/>
    <cellStyle name="Normal 3 3 2 5 4 2 3" xfId="34233"/>
    <cellStyle name="Normal 3 3 2 5 4 3" xfId="5139"/>
    <cellStyle name="Normal 3 3 2 5 4 3 2" xfId="5140"/>
    <cellStyle name="Normal 3 3 2 5 4 3 2 2" xfId="34236"/>
    <cellStyle name="Normal 3 3 2 5 4 3 3" xfId="34235"/>
    <cellStyle name="Normal 3 3 2 5 4 4" xfId="5141"/>
    <cellStyle name="Normal 3 3 2 5 4 4 2" xfId="34238"/>
    <cellStyle name="Normal 3 3 2 5 4 4 3" xfId="34237"/>
    <cellStyle name="Normal 3 3 2 5 4 5" xfId="34239"/>
    <cellStyle name="Normal 3 3 2 5 4 6" xfId="34240"/>
    <cellStyle name="Normal 3 3 2 5 4 7" xfId="34232"/>
    <cellStyle name="Normal 3 3 2 5 5" xfId="5142"/>
    <cellStyle name="Normal 3 3 2 5 5 2" xfId="5143"/>
    <cellStyle name="Normal 3 3 2 5 5 2 2" xfId="34243"/>
    <cellStyle name="Normal 3 3 2 5 5 2 3" xfId="34242"/>
    <cellStyle name="Normal 3 3 2 5 5 3" xfId="5144"/>
    <cellStyle name="Normal 3 3 2 5 5 3 2" xfId="34245"/>
    <cellStyle name="Normal 3 3 2 5 5 3 3" xfId="34244"/>
    <cellStyle name="Normal 3 3 2 5 5 4" xfId="34246"/>
    <cellStyle name="Normal 3 3 2 5 5 4 2" xfId="34247"/>
    <cellStyle name="Normal 3 3 2 5 5 5" xfId="34248"/>
    <cellStyle name="Normal 3 3 2 5 5 6" xfId="34249"/>
    <cellStyle name="Normal 3 3 2 5 5 7" xfId="34241"/>
    <cellStyle name="Normal 3 3 2 5 6" xfId="5145"/>
    <cellStyle name="Normal 3 3 2 5 6 2" xfId="5146"/>
    <cellStyle name="Normal 3 3 2 5 6 2 2" xfId="34252"/>
    <cellStyle name="Normal 3 3 2 5 6 2 3" xfId="34251"/>
    <cellStyle name="Normal 3 3 2 5 6 3" xfId="34253"/>
    <cellStyle name="Normal 3 3 2 5 6 3 2" xfId="34254"/>
    <cellStyle name="Normal 3 3 2 5 6 4" xfId="34255"/>
    <cellStyle name="Normal 3 3 2 5 6 4 2" xfId="34256"/>
    <cellStyle name="Normal 3 3 2 5 6 5" xfId="34257"/>
    <cellStyle name="Normal 3 3 2 5 6 6" xfId="34258"/>
    <cellStyle name="Normal 3 3 2 5 6 7" xfId="34250"/>
    <cellStyle name="Normal 3 3 2 5 7" xfId="5147"/>
    <cellStyle name="Normal 3 3 2 5 7 2" xfId="5148"/>
    <cellStyle name="Normal 3 3 2 5 7 2 2" xfId="34261"/>
    <cellStyle name="Normal 3 3 2 5 7 2 3" xfId="34260"/>
    <cellStyle name="Normal 3 3 2 5 7 3" xfId="34262"/>
    <cellStyle name="Normal 3 3 2 5 7 3 2" xfId="34263"/>
    <cellStyle name="Normal 3 3 2 5 7 4" xfId="34264"/>
    <cellStyle name="Normal 3 3 2 5 7 5" xfId="34265"/>
    <cellStyle name="Normal 3 3 2 5 7 6" xfId="34259"/>
    <cellStyle name="Normal 3 3 2 5 8" xfId="5149"/>
    <cellStyle name="Normal 3 3 2 5 8 2" xfId="34267"/>
    <cellStyle name="Normal 3 3 2 5 8 3" xfId="34266"/>
    <cellStyle name="Normal 3 3 2 5 9" xfId="34268"/>
    <cellStyle name="Normal 3 3 2 5 9 2" xfId="34269"/>
    <cellStyle name="Normal 3 3 2 6" xfId="5150"/>
    <cellStyle name="Normal 3 3 2 6 10" xfId="34271"/>
    <cellStyle name="Normal 3 3 2 6 11" xfId="34272"/>
    <cellStyle name="Normal 3 3 2 6 12" xfId="34270"/>
    <cellStyle name="Normal 3 3 2 6 2" xfId="5151"/>
    <cellStyle name="Normal 3 3 2 6 2 2" xfId="5152"/>
    <cellStyle name="Normal 3 3 2 6 2 2 2" xfId="5153"/>
    <cellStyle name="Normal 3 3 2 6 2 2 2 2" xfId="34275"/>
    <cellStyle name="Normal 3 3 2 6 2 2 3" xfId="5154"/>
    <cellStyle name="Normal 3 3 2 6 2 2 4" xfId="34274"/>
    <cellStyle name="Normal 3 3 2 6 2 3" xfId="5155"/>
    <cellStyle name="Normal 3 3 2 6 2 3 2" xfId="5156"/>
    <cellStyle name="Normal 3 3 2 6 2 3 2 2" xfId="34277"/>
    <cellStyle name="Normal 3 3 2 6 2 3 3" xfId="34276"/>
    <cellStyle name="Normal 3 3 2 6 2 4" xfId="5157"/>
    <cellStyle name="Normal 3 3 2 6 2 4 2" xfId="5158"/>
    <cellStyle name="Normal 3 3 2 6 2 4 2 2" xfId="34279"/>
    <cellStyle name="Normal 3 3 2 6 2 4 3" xfId="34278"/>
    <cellStyle name="Normal 3 3 2 6 2 5" xfId="5159"/>
    <cellStyle name="Normal 3 3 2 6 2 5 2" xfId="34280"/>
    <cellStyle name="Normal 3 3 2 6 2 6" xfId="34281"/>
    <cellStyle name="Normal 3 3 2 6 2 7" xfId="34273"/>
    <cellStyle name="Normal 3 3 2 6 3" xfId="5160"/>
    <cellStyle name="Normal 3 3 2 6 3 2" xfId="5161"/>
    <cellStyle name="Normal 3 3 2 6 3 2 2" xfId="5162"/>
    <cellStyle name="Normal 3 3 2 6 3 2 2 2" xfId="34284"/>
    <cellStyle name="Normal 3 3 2 6 3 2 3" xfId="34283"/>
    <cellStyle name="Normal 3 3 2 6 3 3" xfId="5163"/>
    <cellStyle name="Normal 3 3 2 6 3 3 2" xfId="5164"/>
    <cellStyle name="Normal 3 3 2 6 3 3 2 2" xfId="34286"/>
    <cellStyle name="Normal 3 3 2 6 3 3 3" xfId="34285"/>
    <cellStyle name="Normal 3 3 2 6 3 4" xfId="5165"/>
    <cellStyle name="Normal 3 3 2 6 3 4 2" xfId="34288"/>
    <cellStyle name="Normal 3 3 2 6 3 4 3" xfId="34287"/>
    <cellStyle name="Normal 3 3 2 6 3 5" xfId="34289"/>
    <cellStyle name="Normal 3 3 2 6 3 6" xfId="34290"/>
    <cellStyle name="Normal 3 3 2 6 3 7" xfId="34282"/>
    <cellStyle name="Normal 3 3 2 6 4" xfId="5166"/>
    <cellStyle name="Normal 3 3 2 6 4 2" xfId="5167"/>
    <cellStyle name="Normal 3 3 2 6 4 2 2" xfId="34293"/>
    <cellStyle name="Normal 3 3 2 6 4 2 3" xfId="34292"/>
    <cellStyle name="Normal 3 3 2 6 4 3" xfId="5168"/>
    <cellStyle name="Normal 3 3 2 6 4 3 2" xfId="34295"/>
    <cellStyle name="Normal 3 3 2 6 4 3 3" xfId="34294"/>
    <cellStyle name="Normal 3 3 2 6 4 4" xfId="34296"/>
    <cellStyle name="Normal 3 3 2 6 4 4 2" xfId="34297"/>
    <cellStyle name="Normal 3 3 2 6 4 5" xfId="34298"/>
    <cellStyle name="Normal 3 3 2 6 4 6" xfId="34299"/>
    <cellStyle name="Normal 3 3 2 6 4 7" xfId="34291"/>
    <cellStyle name="Normal 3 3 2 6 5" xfId="5169"/>
    <cellStyle name="Normal 3 3 2 6 5 2" xfId="5170"/>
    <cellStyle name="Normal 3 3 2 6 5 2 2" xfId="34302"/>
    <cellStyle name="Normal 3 3 2 6 5 2 3" xfId="34301"/>
    <cellStyle name="Normal 3 3 2 6 5 3" xfId="34303"/>
    <cellStyle name="Normal 3 3 2 6 5 3 2" xfId="34304"/>
    <cellStyle name="Normal 3 3 2 6 5 4" xfId="34305"/>
    <cellStyle name="Normal 3 3 2 6 5 4 2" xfId="34306"/>
    <cellStyle name="Normal 3 3 2 6 5 5" xfId="34307"/>
    <cellStyle name="Normal 3 3 2 6 5 6" xfId="34308"/>
    <cellStyle name="Normal 3 3 2 6 5 7" xfId="34300"/>
    <cellStyle name="Normal 3 3 2 6 6" xfId="5171"/>
    <cellStyle name="Normal 3 3 2 6 6 2" xfId="5172"/>
    <cellStyle name="Normal 3 3 2 6 6 2 2" xfId="34311"/>
    <cellStyle name="Normal 3 3 2 6 6 2 3" xfId="34310"/>
    <cellStyle name="Normal 3 3 2 6 6 3" xfId="34312"/>
    <cellStyle name="Normal 3 3 2 6 6 3 2" xfId="34313"/>
    <cellStyle name="Normal 3 3 2 6 6 4" xfId="34314"/>
    <cellStyle name="Normal 3 3 2 6 6 5" xfId="34315"/>
    <cellStyle name="Normal 3 3 2 6 6 6" xfId="34309"/>
    <cellStyle name="Normal 3 3 2 6 7" xfId="5173"/>
    <cellStyle name="Normal 3 3 2 6 7 2" xfId="34317"/>
    <cellStyle name="Normal 3 3 2 6 7 3" xfId="34316"/>
    <cellStyle name="Normal 3 3 2 6 8" xfId="34318"/>
    <cellStyle name="Normal 3 3 2 6 8 2" xfId="34319"/>
    <cellStyle name="Normal 3 3 2 6 9" xfId="34320"/>
    <cellStyle name="Normal 3 3 2 6 9 2" xfId="34321"/>
    <cellStyle name="Normal 3 3 2 7" xfId="5174"/>
    <cellStyle name="Normal 3 3 2 7 10" xfId="34323"/>
    <cellStyle name="Normal 3 3 2 7 11" xfId="34322"/>
    <cellStyle name="Normal 3 3 2 7 2" xfId="5175"/>
    <cellStyle name="Normal 3 3 2 7 2 2" xfId="5176"/>
    <cellStyle name="Normal 3 3 2 7 2 2 2" xfId="5177"/>
    <cellStyle name="Normal 3 3 2 7 2 2 2 2" xfId="34326"/>
    <cellStyle name="Normal 3 3 2 7 2 2 3" xfId="5178"/>
    <cellStyle name="Normal 3 3 2 7 2 2 4" xfId="34325"/>
    <cellStyle name="Normal 3 3 2 7 2 3" xfId="5179"/>
    <cellStyle name="Normal 3 3 2 7 2 3 2" xfId="5180"/>
    <cellStyle name="Normal 3 3 2 7 2 3 2 2" xfId="34328"/>
    <cellStyle name="Normal 3 3 2 7 2 3 3" xfId="34327"/>
    <cellStyle name="Normal 3 3 2 7 2 4" xfId="5181"/>
    <cellStyle name="Normal 3 3 2 7 2 4 2" xfId="5182"/>
    <cellStyle name="Normal 3 3 2 7 2 4 2 2" xfId="34330"/>
    <cellStyle name="Normal 3 3 2 7 2 4 3" xfId="34329"/>
    <cellStyle name="Normal 3 3 2 7 2 5" xfId="5183"/>
    <cellStyle name="Normal 3 3 2 7 2 5 2" xfId="34331"/>
    <cellStyle name="Normal 3 3 2 7 2 6" xfId="34332"/>
    <cellStyle name="Normal 3 3 2 7 2 7" xfId="34324"/>
    <cellStyle name="Normal 3 3 2 7 3" xfId="5184"/>
    <cellStyle name="Normal 3 3 2 7 3 2" xfId="5185"/>
    <cellStyle name="Normal 3 3 2 7 3 2 2" xfId="5186"/>
    <cellStyle name="Normal 3 3 2 7 3 2 2 2" xfId="34335"/>
    <cellStyle name="Normal 3 3 2 7 3 2 3" xfId="34334"/>
    <cellStyle name="Normal 3 3 2 7 3 3" xfId="5187"/>
    <cellStyle name="Normal 3 3 2 7 3 3 2" xfId="5188"/>
    <cellStyle name="Normal 3 3 2 7 3 3 2 2" xfId="34337"/>
    <cellStyle name="Normal 3 3 2 7 3 3 3" xfId="34336"/>
    <cellStyle name="Normal 3 3 2 7 3 4" xfId="5189"/>
    <cellStyle name="Normal 3 3 2 7 3 4 2" xfId="34339"/>
    <cellStyle name="Normal 3 3 2 7 3 4 3" xfId="34338"/>
    <cellStyle name="Normal 3 3 2 7 3 5" xfId="34340"/>
    <cellStyle name="Normal 3 3 2 7 3 6" xfId="34341"/>
    <cellStyle name="Normal 3 3 2 7 3 7" xfId="34333"/>
    <cellStyle name="Normal 3 3 2 7 4" xfId="5190"/>
    <cellStyle name="Normal 3 3 2 7 4 2" xfId="5191"/>
    <cellStyle name="Normal 3 3 2 7 4 2 2" xfId="34344"/>
    <cellStyle name="Normal 3 3 2 7 4 2 3" xfId="34343"/>
    <cellStyle name="Normal 3 3 2 7 4 3" xfId="5192"/>
    <cellStyle name="Normal 3 3 2 7 4 3 2" xfId="34346"/>
    <cellStyle name="Normal 3 3 2 7 4 3 3" xfId="34345"/>
    <cellStyle name="Normal 3 3 2 7 4 4" xfId="34347"/>
    <cellStyle name="Normal 3 3 2 7 4 4 2" xfId="34348"/>
    <cellStyle name="Normal 3 3 2 7 4 5" xfId="34349"/>
    <cellStyle name="Normal 3 3 2 7 4 6" xfId="34350"/>
    <cellStyle name="Normal 3 3 2 7 4 7" xfId="34342"/>
    <cellStyle name="Normal 3 3 2 7 5" xfId="5193"/>
    <cellStyle name="Normal 3 3 2 7 5 2" xfId="5194"/>
    <cellStyle name="Normal 3 3 2 7 5 2 2" xfId="34353"/>
    <cellStyle name="Normal 3 3 2 7 5 2 3" xfId="34352"/>
    <cellStyle name="Normal 3 3 2 7 5 3" xfId="34354"/>
    <cellStyle name="Normal 3 3 2 7 5 3 2" xfId="34355"/>
    <cellStyle name="Normal 3 3 2 7 5 4" xfId="34356"/>
    <cellStyle name="Normal 3 3 2 7 5 5" xfId="34357"/>
    <cellStyle name="Normal 3 3 2 7 5 6" xfId="34351"/>
    <cellStyle name="Normal 3 3 2 7 6" xfId="5195"/>
    <cellStyle name="Normal 3 3 2 7 6 2" xfId="5196"/>
    <cellStyle name="Normal 3 3 2 7 6 2 2" xfId="34359"/>
    <cellStyle name="Normal 3 3 2 7 6 3" xfId="34358"/>
    <cellStyle name="Normal 3 3 2 7 7" xfId="5197"/>
    <cellStyle name="Normal 3 3 2 7 7 2" xfId="34361"/>
    <cellStyle name="Normal 3 3 2 7 7 3" xfId="34360"/>
    <cellStyle name="Normal 3 3 2 7 8" xfId="34362"/>
    <cellStyle name="Normal 3 3 2 7 8 2" xfId="34363"/>
    <cellStyle name="Normal 3 3 2 7 9" xfId="34364"/>
    <cellStyle name="Normal 3 3 2 8" xfId="5198"/>
    <cellStyle name="Normal 3 3 2 8 10" xfId="34366"/>
    <cellStyle name="Normal 3 3 2 8 11" xfId="34365"/>
    <cellStyle name="Normal 3 3 2 8 2" xfId="5199"/>
    <cellStyle name="Normal 3 3 2 8 2 2" xfId="5200"/>
    <cellStyle name="Normal 3 3 2 8 2 2 2" xfId="5201"/>
    <cellStyle name="Normal 3 3 2 8 2 2 2 2" xfId="34369"/>
    <cellStyle name="Normal 3 3 2 8 2 2 3" xfId="34368"/>
    <cellStyle name="Normal 3 3 2 8 2 3" xfId="5202"/>
    <cellStyle name="Normal 3 3 2 8 2 3 2" xfId="5203"/>
    <cellStyle name="Normal 3 3 2 8 2 3 2 2" xfId="34371"/>
    <cellStyle name="Normal 3 3 2 8 2 3 3" xfId="34370"/>
    <cellStyle name="Normal 3 3 2 8 2 4" xfId="5204"/>
    <cellStyle name="Normal 3 3 2 8 2 4 2" xfId="34373"/>
    <cellStyle name="Normal 3 3 2 8 2 4 3" xfId="34372"/>
    <cellStyle name="Normal 3 3 2 8 2 5" xfId="34374"/>
    <cellStyle name="Normal 3 3 2 8 2 6" xfId="34375"/>
    <cellStyle name="Normal 3 3 2 8 2 7" xfId="34367"/>
    <cellStyle name="Normal 3 3 2 8 3" xfId="5205"/>
    <cellStyle name="Normal 3 3 2 8 3 2" xfId="5206"/>
    <cellStyle name="Normal 3 3 2 8 3 2 2" xfId="34378"/>
    <cellStyle name="Normal 3 3 2 8 3 2 3" xfId="34377"/>
    <cellStyle name="Normal 3 3 2 8 3 3" xfId="5207"/>
    <cellStyle name="Normal 3 3 2 8 3 3 2" xfId="34380"/>
    <cellStyle name="Normal 3 3 2 8 3 3 3" xfId="34379"/>
    <cellStyle name="Normal 3 3 2 8 3 4" xfId="34381"/>
    <cellStyle name="Normal 3 3 2 8 3 4 2" xfId="34382"/>
    <cellStyle name="Normal 3 3 2 8 3 5" xfId="34383"/>
    <cellStyle name="Normal 3 3 2 8 3 6" xfId="34384"/>
    <cellStyle name="Normal 3 3 2 8 3 7" xfId="34376"/>
    <cellStyle name="Normal 3 3 2 8 4" xfId="5208"/>
    <cellStyle name="Normal 3 3 2 8 4 2" xfId="5209"/>
    <cellStyle name="Normal 3 3 2 8 4 2 2" xfId="34387"/>
    <cellStyle name="Normal 3 3 2 8 4 2 3" xfId="34386"/>
    <cellStyle name="Normal 3 3 2 8 4 3" xfId="34388"/>
    <cellStyle name="Normal 3 3 2 8 4 3 2" xfId="34389"/>
    <cellStyle name="Normal 3 3 2 8 4 4" xfId="34390"/>
    <cellStyle name="Normal 3 3 2 8 4 4 2" xfId="34391"/>
    <cellStyle name="Normal 3 3 2 8 4 5" xfId="34392"/>
    <cellStyle name="Normal 3 3 2 8 4 6" xfId="34393"/>
    <cellStyle name="Normal 3 3 2 8 4 7" xfId="34385"/>
    <cellStyle name="Normal 3 3 2 8 5" xfId="5210"/>
    <cellStyle name="Normal 3 3 2 8 5 2" xfId="5211"/>
    <cellStyle name="Normal 3 3 2 8 5 2 2" xfId="34396"/>
    <cellStyle name="Normal 3 3 2 8 5 2 3" xfId="34395"/>
    <cellStyle name="Normal 3 3 2 8 5 3" xfId="34397"/>
    <cellStyle name="Normal 3 3 2 8 5 3 2" xfId="34398"/>
    <cellStyle name="Normal 3 3 2 8 5 4" xfId="34399"/>
    <cellStyle name="Normal 3 3 2 8 5 5" xfId="34400"/>
    <cellStyle name="Normal 3 3 2 8 5 6" xfId="34394"/>
    <cellStyle name="Normal 3 3 2 8 6" xfId="5212"/>
    <cellStyle name="Normal 3 3 2 8 6 2" xfId="34402"/>
    <cellStyle name="Normal 3 3 2 8 6 3" xfId="34401"/>
    <cellStyle name="Normal 3 3 2 8 7" xfId="34403"/>
    <cellStyle name="Normal 3 3 2 8 7 2" xfId="34404"/>
    <cellStyle name="Normal 3 3 2 8 8" xfId="34405"/>
    <cellStyle name="Normal 3 3 2 8 8 2" xfId="34406"/>
    <cellStyle name="Normal 3 3 2 8 9" xfId="34407"/>
    <cellStyle name="Normal 3 3 2 9" xfId="5213"/>
    <cellStyle name="Normal 3 3 2 9 2" xfId="5214"/>
    <cellStyle name="Normal 3 3 2 9 2 2" xfId="5215"/>
    <cellStyle name="Normal 3 3 2 9 2 2 2" xfId="34410"/>
    <cellStyle name="Normal 3 3 2 9 2 3" xfId="34409"/>
    <cellStyle name="Normal 3 3 2 9 3" xfId="5216"/>
    <cellStyle name="Normal 3 3 2 9 3 2" xfId="5217"/>
    <cellStyle name="Normal 3 3 2 9 3 2 2" xfId="34412"/>
    <cellStyle name="Normal 3 3 2 9 3 3" xfId="34411"/>
    <cellStyle name="Normal 3 3 2 9 4" xfId="5218"/>
    <cellStyle name="Normal 3 3 2 9 4 2" xfId="34414"/>
    <cellStyle name="Normal 3 3 2 9 4 3" xfId="34413"/>
    <cellStyle name="Normal 3 3 2 9 5" xfId="34415"/>
    <cellStyle name="Normal 3 3 2 9 6" xfId="34416"/>
    <cellStyle name="Normal 3 3 2 9 7" xfId="34408"/>
    <cellStyle name="Normal 3 3 3" xfId="5219"/>
    <cellStyle name="Normal 3 3 3 10" xfId="5220"/>
    <cellStyle name="Normal 3 3 3 10 2" xfId="5221"/>
    <cellStyle name="Normal 3 3 3 10 2 2" xfId="34419"/>
    <cellStyle name="Normal 3 3 3 10 3" xfId="5222"/>
    <cellStyle name="Normal 3 3 3 10 4" xfId="34418"/>
    <cellStyle name="Normal 3 3 3 11" xfId="5223"/>
    <cellStyle name="Normal 3 3 3 11 2" xfId="5224"/>
    <cellStyle name="Normal 3 3 3 11 2 2" xfId="34421"/>
    <cellStyle name="Normal 3 3 3 11 3" xfId="34420"/>
    <cellStyle name="Normal 3 3 3 12" xfId="5225"/>
    <cellStyle name="Normal 3 3 3 12 2" xfId="5226"/>
    <cellStyle name="Normal 3 3 3 12 3" xfId="34422"/>
    <cellStyle name="Normal 3 3 3 13" xfId="5227"/>
    <cellStyle name="Normal 3 3 3 13 2" xfId="34423"/>
    <cellStyle name="Normal 3 3 3 14" xfId="34417"/>
    <cellStyle name="Normal 3 3 3 2" xfId="5228"/>
    <cellStyle name="Normal 3 3 3 2 10" xfId="5229"/>
    <cellStyle name="Normal 3 3 3 2 10 2" xfId="5230"/>
    <cellStyle name="Normal 3 3 3 2 10 3" xfId="34425"/>
    <cellStyle name="Normal 3 3 3 2 11" xfId="5231"/>
    <cellStyle name="Normal 3 3 3 2 11 2" xfId="34426"/>
    <cellStyle name="Normal 3 3 3 2 12" xfId="34424"/>
    <cellStyle name="Normal 3 3 3 2 2" xfId="5232"/>
    <cellStyle name="Normal 3 3 3 2 2 2" xfId="5233"/>
    <cellStyle name="Normal 3 3 3 2 2 2 2" xfId="5234"/>
    <cellStyle name="Normal 3 3 3 2 2 2 2 2" xfId="5235"/>
    <cellStyle name="Normal 3 3 3 2 2 2 2 2 2" xfId="5236"/>
    <cellStyle name="Normal 3 3 3 2 2 2 2 2 3" xfId="5237"/>
    <cellStyle name="Normal 3 3 3 2 2 2 2 3" xfId="5238"/>
    <cellStyle name="Normal 3 3 3 2 2 2 2 3 2" xfId="5239"/>
    <cellStyle name="Normal 3 3 3 2 2 2 2 4" xfId="5240"/>
    <cellStyle name="Normal 3 3 3 2 2 2 2 4 2" xfId="5241"/>
    <cellStyle name="Normal 3 3 3 2 2 2 2 5" xfId="5242"/>
    <cellStyle name="Normal 3 3 3 2 2 2 2 6" xfId="34429"/>
    <cellStyle name="Normal 3 3 3 2 2 2 3" xfId="5243"/>
    <cellStyle name="Normal 3 3 3 2 2 2 3 2" xfId="5244"/>
    <cellStyle name="Normal 3 3 3 2 2 2 3 2 2" xfId="5245"/>
    <cellStyle name="Normal 3 3 3 2 2 2 3 3" xfId="5246"/>
    <cellStyle name="Normal 3 3 3 2 2 2 3 3 2" xfId="5247"/>
    <cellStyle name="Normal 3 3 3 2 2 2 3 4" xfId="5248"/>
    <cellStyle name="Normal 3 3 3 2 2 2 4" xfId="5249"/>
    <cellStyle name="Normal 3 3 3 2 2 2 4 2" xfId="5250"/>
    <cellStyle name="Normal 3 3 3 2 2 2 4 3" xfId="5251"/>
    <cellStyle name="Normal 3 3 3 2 2 2 5" xfId="5252"/>
    <cellStyle name="Normal 3 3 3 2 2 2 5 2" xfId="5253"/>
    <cellStyle name="Normal 3 3 3 2 2 2 6" xfId="5254"/>
    <cellStyle name="Normal 3 3 3 2 2 2 6 2" xfId="5255"/>
    <cellStyle name="Normal 3 3 3 2 2 2 7" xfId="5256"/>
    <cellStyle name="Normal 3 3 3 2 2 2 8" xfId="34428"/>
    <cellStyle name="Normal 3 3 3 2 2 3" xfId="5257"/>
    <cellStyle name="Normal 3 3 3 2 2 3 2" xfId="5258"/>
    <cellStyle name="Normal 3 3 3 2 2 3 2 2" xfId="5259"/>
    <cellStyle name="Normal 3 3 3 2 2 3 2 3" xfId="5260"/>
    <cellStyle name="Normal 3 3 3 2 2 3 2 4" xfId="34431"/>
    <cellStyle name="Normal 3 3 3 2 2 3 3" xfId="5261"/>
    <cellStyle name="Normal 3 3 3 2 2 3 3 2" xfId="5262"/>
    <cellStyle name="Normal 3 3 3 2 2 3 4" xfId="5263"/>
    <cellStyle name="Normal 3 3 3 2 2 3 4 2" xfId="5264"/>
    <cellStyle name="Normal 3 3 3 2 2 3 5" xfId="5265"/>
    <cellStyle name="Normal 3 3 3 2 2 3 6" xfId="34430"/>
    <cellStyle name="Normal 3 3 3 2 2 4" xfId="5266"/>
    <cellStyle name="Normal 3 3 3 2 2 4 2" xfId="5267"/>
    <cellStyle name="Normal 3 3 3 2 2 4 2 2" xfId="5268"/>
    <cellStyle name="Normal 3 3 3 2 2 4 2 3" xfId="34433"/>
    <cellStyle name="Normal 3 3 3 2 2 4 3" xfId="5269"/>
    <cellStyle name="Normal 3 3 3 2 2 4 3 2" xfId="5270"/>
    <cellStyle name="Normal 3 3 3 2 2 4 4" xfId="5271"/>
    <cellStyle name="Normal 3 3 3 2 2 4 5" xfId="34432"/>
    <cellStyle name="Normal 3 3 3 2 2 5" xfId="5272"/>
    <cellStyle name="Normal 3 3 3 2 2 5 2" xfId="5273"/>
    <cellStyle name="Normal 3 3 3 2 2 5 3" xfId="5274"/>
    <cellStyle name="Normal 3 3 3 2 2 5 4" xfId="34434"/>
    <cellStyle name="Normal 3 3 3 2 2 6" xfId="5275"/>
    <cellStyle name="Normal 3 3 3 2 2 6 2" xfId="5276"/>
    <cellStyle name="Normal 3 3 3 2 2 6 3" xfId="34435"/>
    <cellStyle name="Normal 3 3 3 2 2 7" xfId="5277"/>
    <cellStyle name="Normal 3 3 3 2 2 7 2" xfId="5278"/>
    <cellStyle name="Normal 3 3 3 2 2 8" xfId="5279"/>
    <cellStyle name="Normal 3 3 3 2 2 9" xfId="34427"/>
    <cellStyle name="Normal 3 3 3 2 3" xfId="5280"/>
    <cellStyle name="Normal 3 3 3 2 3 2" xfId="5281"/>
    <cellStyle name="Normal 3 3 3 2 3 2 2" xfId="5282"/>
    <cellStyle name="Normal 3 3 3 2 3 2 2 2" xfId="5283"/>
    <cellStyle name="Normal 3 3 3 2 3 2 2 3" xfId="5284"/>
    <cellStyle name="Normal 3 3 3 2 3 2 2 4" xfId="34438"/>
    <cellStyle name="Normal 3 3 3 2 3 2 3" xfId="5285"/>
    <cellStyle name="Normal 3 3 3 2 3 2 3 2" xfId="5286"/>
    <cellStyle name="Normal 3 3 3 2 3 2 4" xfId="5287"/>
    <cellStyle name="Normal 3 3 3 2 3 2 4 2" xfId="5288"/>
    <cellStyle name="Normal 3 3 3 2 3 2 5" xfId="5289"/>
    <cellStyle name="Normal 3 3 3 2 3 2 6" xfId="34437"/>
    <cellStyle name="Normal 3 3 3 2 3 3" xfId="5290"/>
    <cellStyle name="Normal 3 3 3 2 3 3 2" xfId="5291"/>
    <cellStyle name="Normal 3 3 3 2 3 3 2 2" xfId="5292"/>
    <cellStyle name="Normal 3 3 3 2 3 3 2 3" xfId="34440"/>
    <cellStyle name="Normal 3 3 3 2 3 3 3" xfId="5293"/>
    <cellStyle name="Normal 3 3 3 2 3 3 3 2" xfId="5294"/>
    <cellStyle name="Normal 3 3 3 2 3 3 4" xfId="5295"/>
    <cellStyle name="Normal 3 3 3 2 3 3 5" xfId="34439"/>
    <cellStyle name="Normal 3 3 3 2 3 4" xfId="5296"/>
    <cellStyle name="Normal 3 3 3 2 3 4 2" xfId="5297"/>
    <cellStyle name="Normal 3 3 3 2 3 4 2 2" xfId="34442"/>
    <cellStyle name="Normal 3 3 3 2 3 4 3" xfId="5298"/>
    <cellStyle name="Normal 3 3 3 2 3 4 4" xfId="34441"/>
    <cellStyle name="Normal 3 3 3 2 3 5" xfId="5299"/>
    <cellStyle name="Normal 3 3 3 2 3 5 2" xfId="5300"/>
    <cellStyle name="Normal 3 3 3 2 3 5 3" xfId="34443"/>
    <cellStyle name="Normal 3 3 3 2 3 6" xfId="5301"/>
    <cellStyle name="Normal 3 3 3 2 3 6 2" xfId="5302"/>
    <cellStyle name="Normal 3 3 3 2 3 6 3" xfId="34444"/>
    <cellStyle name="Normal 3 3 3 2 3 7" xfId="5303"/>
    <cellStyle name="Normal 3 3 3 2 3 8" xfId="34436"/>
    <cellStyle name="Normal 3 3 3 2 4" xfId="5304"/>
    <cellStyle name="Normal 3 3 3 2 4 2" xfId="5305"/>
    <cellStyle name="Normal 3 3 3 2 4 2 2" xfId="5306"/>
    <cellStyle name="Normal 3 3 3 2 4 2 2 2" xfId="5307"/>
    <cellStyle name="Normal 3 3 3 2 4 2 2 3" xfId="5308"/>
    <cellStyle name="Normal 3 3 3 2 4 2 2 4" xfId="34447"/>
    <cellStyle name="Normal 3 3 3 2 4 2 3" xfId="5309"/>
    <cellStyle name="Normal 3 3 3 2 4 2 3 2" xfId="5310"/>
    <cellStyle name="Normal 3 3 3 2 4 2 4" xfId="5311"/>
    <cellStyle name="Normal 3 3 3 2 4 2 4 2" xfId="5312"/>
    <cellStyle name="Normal 3 3 3 2 4 2 5" xfId="5313"/>
    <cellStyle name="Normal 3 3 3 2 4 2 6" xfId="34446"/>
    <cellStyle name="Normal 3 3 3 2 4 3" xfId="5314"/>
    <cellStyle name="Normal 3 3 3 2 4 3 2" xfId="5315"/>
    <cellStyle name="Normal 3 3 3 2 4 3 2 2" xfId="5316"/>
    <cellStyle name="Normal 3 3 3 2 4 3 2 3" xfId="34449"/>
    <cellStyle name="Normal 3 3 3 2 4 3 3" xfId="5317"/>
    <cellStyle name="Normal 3 3 3 2 4 3 3 2" xfId="5318"/>
    <cellStyle name="Normal 3 3 3 2 4 3 4" xfId="5319"/>
    <cellStyle name="Normal 3 3 3 2 4 3 5" xfId="34448"/>
    <cellStyle name="Normal 3 3 3 2 4 4" xfId="5320"/>
    <cellStyle name="Normal 3 3 3 2 4 4 2" xfId="5321"/>
    <cellStyle name="Normal 3 3 3 2 4 4 2 2" xfId="34451"/>
    <cellStyle name="Normal 3 3 3 2 4 4 3" xfId="5322"/>
    <cellStyle name="Normal 3 3 3 2 4 4 4" xfId="34450"/>
    <cellStyle name="Normal 3 3 3 2 4 5" xfId="5323"/>
    <cellStyle name="Normal 3 3 3 2 4 5 2" xfId="5324"/>
    <cellStyle name="Normal 3 3 3 2 4 5 3" xfId="34452"/>
    <cellStyle name="Normal 3 3 3 2 4 6" xfId="5325"/>
    <cellStyle name="Normal 3 3 3 2 4 6 2" xfId="5326"/>
    <cellStyle name="Normal 3 3 3 2 4 6 3" xfId="34453"/>
    <cellStyle name="Normal 3 3 3 2 4 7" xfId="5327"/>
    <cellStyle name="Normal 3 3 3 2 4 8" xfId="34445"/>
    <cellStyle name="Normal 3 3 3 2 5" xfId="5328"/>
    <cellStyle name="Normal 3 3 3 2 5 2" xfId="5329"/>
    <cellStyle name="Normal 3 3 3 2 5 2 2" xfId="5330"/>
    <cellStyle name="Normal 3 3 3 2 5 2 2 2" xfId="5331"/>
    <cellStyle name="Normal 3 3 3 2 5 2 2 3" xfId="34456"/>
    <cellStyle name="Normal 3 3 3 2 5 2 3" xfId="5332"/>
    <cellStyle name="Normal 3 3 3 2 5 2 3 2" xfId="5333"/>
    <cellStyle name="Normal 3 3 3 2 5 2 4" xfId="5334"/>
    <cellStyle name="Normal 3 3 3 2 5 2 5" xfId="34455"/>
    <cellStyle name="Normal 3 3 3 2 5 3" xfId="5335"/>
    <cellStyle name="Normal 3 3 3 2 5 3 2" xfId="5336"/>
    <cellStyle name="Normal 3 3 3 2 5 3 2 2" xfId="34458"/>
    <cellStyle name="Normal 3 3 3 2 5 3 3" xfId="5337"/>
    <cellStyle name="Normal 3 3 3 2 5 3 4" xfId="34457"/>
    <cellStyle name="Normal 3 3 3 2 5 4" xfId="5338"/>
    <cellStyle name="Normal 3 3 3 2 5 4 2" xfId="5339"/>
    <cellStyle name="Normal 3 3 3 2 5 4 2 2" xfId="34460"/>
    <cellStyle name="Normal 3 3 3 2 5 4 3" xfId="34459"/>
    <cellStyle name="Normal 3 3 3 2 5 5" xfId="5340"/>
    <cellStyle name="Normal 3 3 3 2 5 5 2" xfId="5341"/>
    <cellStyle name="Normal 3 3 3 2 5 5 3" xfId="34461"/>
    <cellStyle name="Normal 3 3 3 2 5 6" xfId="5342"/>
    <cellStyle name="Normal 3 3 3 2 5 6 2" xfId="34462"/>
    <cellStyle name="Normal 3 3 3 2 5 7" xfId="34454"/>
    <cellStyle name="Normal 3 3 3 2 6" xfId="5343"/>
    <cellStyle name="Normal 3 3 3 2 6 2" xfId="5344"/>
    <cellStyle name="Normal 3 3 3 2 6 2 2" xfId="5345"/>
    <cellStyle name="Normal 3 3 3 2 6 2 2 2" xfId="34465"/>
    <cellStyle name="Normal 3 3 3 2 6 2 3" xfId="34464"/>
    <cellStyle name="Normal 3 3 3 2 6 3" xfId="5346"/>
    <cellStyle name="Normal 3 3 3 2 6 3 2" xfId="5347"/>
    <cellStyle name="Normal 3 3 3 2 6 3 2 2" xfId="34467"/>
    <cellStyle name="Normal 3 3 3 2 6 3 3" xfId="34466"/>
    <cellStyle name="Normal 3 3 3 2 6 4" xfId="5348"/>
    <cellStyle name="Normal 3 3 3 2 6 4 2" xfId="34468"/>
    <cellStyle name="Normal 3 3 3 2 6 5" xfId="34469"/>
    <cellStyle name="Normal 3 3 3 2 6 6" xfId="34463"/>
    <cellStyle name="Normal 3 3 3 2 7" xfId="5349"/>
    <cellStyle name="Normal 3 3 3 2 7 2" xfId="5350"/>
    <cellStyle name="Normal 3 3 3 2 7 2 2" xfId="5351"/>
    <cellStyle name="Normal 3 3 3 2 7 2 3" xfId="34471"/>
    <cellStyle name="Normal 3 3 3 2 7 3" xfId="5352"/>
    <cellStyle name="Normal 3 3 3 2 7 3 2" xfId="5353"/>
    <cellStyle name="Normal 3 3 3 2 7 4" xfId="5354"/>
    <cellStyle name="Normal 3 3 3 2 7 5" xfId="34470"/>
    <cellStyle name="Normal 3 3 3 2 8" xfId="5355"/>
    <cellStyle name="Normal 3 3 3 2 8 2" xfId="5356"/>
    <cellStyle name="Normal 3 3 3 2 8 2 2" xfId="34473"/>
    <cellStyle name="Normal 3 3 3 2 8 3" xfId="5357"/>
    <cellStyle name="Normal 3 3 3 2 8 4" xfId="34472"/>
    <cellStyle name="Normal 3 3 3 2 9" xfId="5358"/>
    <cellStyle name="Normal 3 3 3 2 9 2" xfId="5359"/>
    <cellStyle name="Normal 3 3 3 2 9 2 2" xfId="34475"/>
    <cellStyle name="Normal 3 3 3 2 9 3" xfId="34474"/>
    <cellStyle name="Normal 3 3 3 3" xfId="5360"/>
    <cellStyle name="Normal 3 3 3 3 10" xfId="5361"/>
    <cellStyle name="Normal 3 3 3 3 10 2" xfId="34477"/>
    <cellStyle name="Normal 3 3 3 3 11" xfId="34476"/>
    <cellStyle name="Normal 3 3 3 3 2" xfId="5362"/>
    <cellStyle name="Normal 3 3 3 3 2 2" xfId="5363"/>
    <cellStyle name="Normal 3 3 3 3 2 2 2" xfId="5364"/>
    <cellStyle name="Normal 3 3 3 3 2 2 2 2" xfId="5365"/>
    <cellStyle name="Normal 3 3 3 3 2 2 2 3" xfId="5366"/>
    <cellStyle name="Normal 3 3 3 3 2 2 2 4" xfId="34480"/>
    <cellStyle name="Normal 3 3 3 3 2 2 3" xfId="5367"/>
    <cellStyle name="Normal 3 3 3 3 2 2 3 2" xfId="5368"/>
    <cellStyle name="Normal 3 3 3 3 2 2 4" xfId="5369"/>
    <cellStyle name="Normal 3 3 3 3 2 2 4 2" xfId="5370"/>
    <cellStyle name="Normal 3 3 3 3 2 2 5" xfId="5371"/>
    <cellStyle name="Normal 3 3 3 3 2 2 6" xfId="34479"/>
    <cellStyle name="Normal 3 3 3 3 2 3" xfId="5372"/>
    <cellStyle name="Normal 3 3 3 3 2 3 2" xfId="5373"/>
    <cellStyle name="Normal 3 3 3 3 2 3 2 2" xfId="5374"/>
    <cellStyle name="Normal 3 3 3 3 2 3 2 3" xfId="34482"/>
    <cellStyle name="Normal 3 3 3 3 2 3 3" xfId="5375"/>
    <cellStyle name="Normal 3 3 3 3 2 3 3 2" xfId="5376"/>
    <cellStyle name="Normal 3 3 3 3 2 3 4" xfId="5377"/>
    <cellStyle name="Normal 3 3 3 3 2 3 5" xfId="34481"/>
    <cellStyle name="Normal 3 3 3 3 2 4" xfId="5378"/>
    <cellStyle name="Normal 3 3 3 3 2 4 2" xfId="5379"/>
    <cellStyle name="Normal 3 3 3 3 2 4 2 2" xfId="34484"/>
    <cellStyle name="Normal 3 3 3 3 2 4 3" xfId="5380"/>
    <cellStyle name="Normal 3 3 3 3 2 4 4" xfId="34483"/>
    <cellStyle name="Normal 3 3 3 3 2 5" xfId="5381"/>
    <cellStyle name="Normal 3 3 3 3 2 5 2" xfId="5382"/>
    <cellStyle name="Normal 3 3 3 3 2 5 3" xfId="34485"/>
    <cellStyle name="Normal 3 3 3 3 2 6" xfId="5383"/>
    <cellStyle name="Normal 3 3 3 3 2 6 2" xfId="5384"/>
    <cellStyle name="Normal 3 3 3 3 2 6 3" xfId="34486"/>
    <cellStyle name="Normal 3 3 3 3 2 7" xfId="5385"/>
    <cellStyle name="Normal 3 3 3 3 2 8" xfId="34478"/>
    <cellStyle name="Normal 3 3 3 3 3" xfId="5386"/>
    <cellStyle name="Normal 3 3 3 3 3 2" xfId="5387"/>
    <cellStyle name="Normal 3 3 3 3 3 2 2" xfId="5388"/>
    <cellStyle name="Normal 3 3 3 3 3 2 2 2" xfId="5389"/>
    <cellStyle name="Normal 3 3 3 3 3 2 2 3" xfId="5390"/>
    <cellStyle name="Normal 3 3 3 3 3 2 2 4" xfId="34489"/>
    <cellStyle name="Normal 3 3 3 3 3 2 3" xfId="5391"/>
    <cellStyle name="Normal 3 3 3 3 3 2 3 2" xfId="5392"/>
    <cellStyle name="Normal 3 3 3 3 3 2 4" xfId="5393"/>
    <cellStyle name="Normal 3 3 3 3 3 2 4 2" xfId="5394"/>
    <cellStyle name="Normal 3 3 3 3 3 2 5" xfId="5395"/>
    <cellStyle name="Normal 3 3 3 3 3 2 6" xfId="34488"/>
    <cellStyle name="Normal 3 3 3 3 3 3" xfId="5396"/>
    <cellStyle name="Normal 3 3 3 3 3 3 2" xfId="5397"/>
    <cellStyle name="Normal 3 3 3 3 3 3 2 2" xfId="5398"/>
    <cellStyle name="Normal 3 3 3 3 3 3 2 3" xfId="34491"/>
    <cellStyle name="Normal 3 3 3 3 3 3 3" xfId="5399"/>
    <cellStyle name="Normal 3 3 3 3 3 3 3 2" xfId="5400"/>
    <cellStyle name="Normal 3 3 3 3 3 3 4" xfId="5401"/>
    <cellStyle name="Normal 3 3 3 3 3 3 5" xfId="34490"/>
    <cellStyle name="Normal 3 3 3 3 3 4" xfId="5402"/>
    <cellStyle name="Normal 3 3 3 3 3 4 2" xfId="5403"/>
    <cellStyle name="Normal 3 3 3 3 3 4 2 2" xfId="34493"/>
    <cellStyle name="Normal 3 3 3 3 3 4 3" xfId="5404"/>
    <cellStyle name="Normal 3 3 3 3 3 4 4" xfId="34492"/>
    <cellStyle name="Normal 3 3 3 3 3 5" xfId="5405"/>
    <cellStyle name="Normal 3 3 3 3 3 5 2" xfId="5406"/>
    <cellStyle name="Normal 3 3 3 3 3 5 3" xfId="34494"/>
    <cellStyle name="Normal 3 3 3 3 3 6" xfId="5407"/>
    <cellStyle name="Normal 3 3 3 3 3 6 2" xfId="5408"/>
    <cellStyle name="Normal 3 3 3 3 3 6 3" xfId="34495"/>
    <cellStyle name="Normal 3 3 3 3 3 7" xfId="5409"/>
    <cellStyle name="Normal 3 3 3 3 3 8" xfId="34487"/>
    <cellStyle name="Normal 3 3 3 3 4" xfId="5410"/>
    <cellStyle name="Normal 3 3 3 3 4 2" xfId="5411"/>
    <cellStyle name="Normal 3 3 3 3 4 2 2" xfId="5412"/>
    <cellStyle name="Normal 3 3 3 3 4 2 2 2" xfId="5413"/>
    <cellStyle name="Normal 3 3 3 3 4 2 2 3" xfId="34498"/>
    <cellStyle name="Normal 3 3 3 3 4 2 3" xfId="5414"/>
    <cellStyle name="Normal 3 3 3 3 4 2 3 2" xfId="5415"/>
    <cellStyle name="Normal 3 3 3 3 4 2 4" xfId="5416"/>
    <cellStyle name="Normal 3 3 3 3 4 2 5" xfId="34497"/>
    <cellStyle name="Normal 3 3 3 3 4 3" xfId="5417"/>
    <cellStyle name="Normal 3 3 3 3 4 3 2" xfId="5418"/>
    <cellStyle name="Normal 3 3 3 3 4 3 2 2" xfId="34500"/>
    <cellStyle name="Normal 3 3 3 3 4 3 3" xfId="5419"/>
    <cellStyle name="Normal 3 3 3 3 4 3 4" xfId="34499"/>
    <cellStyle name="Normal 3 3 3 3 4 4" xfId="5420"/>
    <cellStyle name="Normal 3 3 3 3 4 4 2" xfId="5421"/>
    <cellStyle name="Normal 3 3 3 3 4 4 2 2" xfId="34502"/>
    <cellStyle name="Normal 3 3 3 3 4 4 3" xfId="34501"/>
    <cellStyle name="Normal 3 3 3 3 4 5" xfId="5422"/>
    <cellStyle name="Normal 3 3 3 3 4 5 2" xfId="5423"/>
    <cellStyle name="Normal 3 3 3 3 4 5 3" xfId="34503"/>
    <cellStyle name="Normal 3 3 3 3 4 6" xfId="5424"/>
    <cellStyle name="Normal 3 3 3 3 4 6 2" xfId="34504"/>
    <cellStyle name="Normal 3 3 3 3 4 7" xfId="34496"/>
    <cellStyle name="Normal 3 3 3 3 5" xfId="5425"/>
    <cellStyle name="Normal 3 3 3 3 5 2" xfId="5426"/>
    <cellStyle name="Normal 3 3 3 3 5 2 2" xfId="5427"/>
    <cellStyle name="Normal 3 3 3 3 5 2 2 2" xfId="34507"/>
    <cellStyle name="Normal 3 3 3 3 5 2 3" xfId="34506"/>
    <cellStyle name="Normal 3 3 3 3 5 3" xfId="5428"/>
    <cellStyle name="Normal 3 3 3 3 5 3 2" xfId="5429"/>
    <cellStyle name="Normal 3 3 3 3 5 3 2 2" xfId="34509"/>
    <cellStyle name="Normal 3 3 3 3 5 3 3" xfId="34508"/>
    <cellStyle name="Normal 3 3 3 3 5 4" xfId="5430"/>
    <cellStyle name="Normal 3 3 3 3 5 4 2" xfId="34510"/>
    <cellStyle name="Normal 3 3 3 3 5 5" xfId="34511"/>
    <cellStyle name="Normal 3 3 3 3 5 6" xfId="34505"/>
    <cellStyle name="Normal 3 3 3 3 6" xfId="5431"/>
    <cellStyle name="Normal 3 3 3 3 6 2" xfId="5432"/>
    <cellStyle name="Normal 3 3 3 3 6 2 2" xfId="5433"/>
    <cellStyle name="Normal 3 3 3 3 6 2 3" xfId="34513"/>
    <cellStyle name="Normal 3 3 3 3 6 3" xfId="5434"/>
    <cellStyle name="Normal 3 3 3 3 6 3 2" xfId="5435"/>
    <cellStyle name="Normal 3 3 3 3 6 4" xfId="5436"/>
    <cellStyle name="Normal 3 3 3 3 6 5" xfId="34512"/>
    <cellStyle name="Normal 3 3 3 3 7" xfId="5437"/>
    <cellStyle name="Normal 3 3 3 3 7 2" xfId="5438"/>
    <cellStyle name="Normal 3 3 3 3 7 2 2" xfId="34515"/>
    <cellStyle name="Normal 3 3 3 3 7 3" xfId="5439"/>
    <cellStyle name="Normal 3 3 3 3 7 4" xfId="34514"/>
    <cellStyle name="Normal 3 3 3 3 8" xfId="5440"/>
    <cellStyle name="Normal 3 3 3 3 8 2" xfId="5441"/>
    <cellStyle name="Normal 3 3 3 3 8 2 2" xfId="34517"/>
    <cellStyle name="Normal 3 3 3 3 8 3" xfId="34516"/>
    <cellStyle name="Normal 3 3 3 3 9" xfId="5442"/>
    <cellStyle name="Normal 3 3 3 3 9 2" xfId="5443"/>
    <cellStyle name="Normal 3 3 3 3 9 3" xfId="34518"/>
    <cellStyle name="Normal 3 3 3 4" xfId="5444"/>
    <cellStyle name="Normal 3 3 3 4 10" xfId="34520"/>
    <cellStyle name="Normal 3 3 3 4 11" xfId="34519"/>
    <cellStyle name="Normal 3 3 3 4 2" xfId="5445"/>
    <cellStyle name="Normal 3 3 3 4 2 2" xfId="5446"/>
    <cellStyle name="Normal 3 3 3 4 2 2 2" xfId="5447"/>
    <cellStyle name="Normal 3 3 3 4 2 2 2 2" xfId="5448"/>
    <cellStyle name="Normal 3 3 3 4 2 2 2 3" xfId="5449"/>
    <cellStyle name="Normal 3 3 3 4 2 2 2 4" xfId="34523"/>
    <cellStyle name="Normal 3 3 3 4 2 2 3" xfId="5450"/>
    <cellStyle name="Normal 3 3 3 4 2 2 3 2" xfId="5451"/>
    <cellStyle name="Normal 3 3 3 4 2 2 4" xfId="5452"/>
    <cellStyle name="Normal 3 3 3 4 2 2 4 2" xfId="5453"/>
    <cellStyle name="Normal 3 3 3 4 2 2 5" xfId="5454"/>
    <cellStyle name="Normal 3 3 3 4 2 2 6" xfId="34522"/>
    <cellStyle name="Normal 3 3 3 4 2 3" xfId="5455"/>
    <cellStyle name="Normal 3 3 3 4 2 3 2" xfId="5456"/>
    <cellStyle name="Normal 3 3 3 4 2 3 2 2" xfId="5457"/>
    <cellStyle name="Normal 3 3 3 4 2 3 2 3" xfId="34525"/>
    <cellStyle name="Normal 3 3 3 4 2 3 3" xfId="5458"/>
    <cellStyle name="Normal 3 3 3 4 2 3 3 2" xfId="5459"/>
    <cellStyle name="Normal 3 3 3 4 2 3 4" xfId="5460"/>
    <cellStyle name="Normal 3 3 3 4 2 3 5" xfId="34524"/>
    <cellStyle name="Normal 3 3 3 4 2 4" xfId="5461"/>
    <cellStyle name="Normal 3 3 3 4 2 4 2" xfId="5462"/>
    <cellStyle name="Normal 3 3 3 4 2 4 2 2" xfId="34527"/>
    <cellStyle name="Normal 3 3 3 4 2 4 3" xfId="5463"/>
    <cellStyle name="Normal 3 3 3 4 2 4 4" xfId="34526"/>
    <cellStyle name="Normal 3 3 3 4 2 5" xfId="5464"/>
    <cellStyle name="Normal 3 3 3 4 2 5 2" xfId="5465"/>
    <cellStyle name="Normal 3 3 3 4 2 5 3" xfId="34528"/>
    <cellStyle name="Normal 3 3 3 4 2 6" xfId="5466"/>
    <cellStyle name="Normal 3 3 3 4 2 6 2" xfId="5467"/>
    <cellStyle name="Normal 3 3 3 4 2 6 3" xfId="34529"/>
    <cellStyle name="Normal 3 3 3 4 2 7" xfId="5468"/>
    <cellStyle name="Normal 3 3 3 4 2 8" xfId="34521"/>
    <cellStyle name="Normal 3 3 3 4 3" xfId="5469"/>
    <cellStyle name="Normal 3 3 3 4 3 2" xfId="5470"/>
    <cellStyle name="Normal 3 3 3 4 3 2 2" xfId="5471"/>
    <cellStyle name="Normal 3 3 3 4 3 2 2 2" xfId="34532"/>
    <cellStyle name="Normal 3 3 3 4 3 2 3" xfId="5472"/>
    <cellStyle name="Normal 3 3 3 4 3 2 4" xfId="34531"/>
    <cellStyle name="Normal 3 3 3 4 3 3" xfId="5473"/>
    <cellStyle name="Normal 3 3 3 4 3 3 2" xfId="5474"/>
    <cellStyle name="Normal 3 3 3 4 3 3 2 2" xfId="34534"/>
    <cellStyle name="Normal 3 3 3 4 3 3 3" xfId="34533"/>
    <cellStyle name="Normal 3 3 3 4 3 4" xfId="5475"/>
    <cellStyle name="Normal 3 3 3 4 3 4 2" xfId="5476"/>
    <cellStyle name="Normal 3 3 3 4 3 4 2 2" xfId="34536"/>
    <cellStyle name="Normal 3 3 3 4 3 4 3" xfId="34535"/>
    <cellStyle name="Normal 3 3 3 4 3 5" xfId="5477"/>
    <cellStyle name="Normal 3 3 3 4 3 5 2" xfId="34537"/>
    <cellStyle name="Normal 3 3 3 4 3 6" xfId="34538"/>
    <cellStyle name="Normal 3 3 3 4 3 7" xfId="34530"/>
    <cellStyle name="Normal 3 3 3 4 4" xfId="5478"/>
    <cellStyle name="Normal 3 3 3 4 4 2" xfId="5479"/>
    <cellStyle name="Normal 3 3 3 4 4 2 2" xfId="5480"/>
    <cellStyle name="Normal 3 3 3 4 4 2 2 2" xfId="34541"/>
    <cellStyle name="Normal 3 3 3 4 4 2 3" xfId="34540"/>
    <cellStyle name="Normal 3 3 3 4 4 3" xfId="5481"/>
    <cellStyle name="Normal 3 3 3 4 4 3 2" xfId="5482"/>
    <cellStyle name="Normal 3 3 3 4 4 3 2 2" xfId="34543"/>
    <cellStyle name="Normal 3 3 3 4 4 3 3" xfId="34542"/>
    <cellStyle name="Normal 3 3 3 4 4 4" xfId="5483"/>
    <cellStyle name="Normal 3 3 3 4 4 4 2" xfId="34545"/>
    <cellStyle name="Normal 3 3 3 4 4 4 3" xfId="34544"/>
    <cellStyle name="Normal 3 3 3 4 4 5" xfId="34546"/>
    <cellStyle name="Normal 3 3 3 4 4 6" xfId="34547"/>
    <cellStyle name="Normal 3 3 3 4 4 7" xfId="34539"/>
    <cellStyle name="Normal 3 3 3 4 5" xfId="5484"/>
    <cellStyle name="Normal 3 3 3 4 5 2" xfId="5485"/>
    <cellStyle name="Normal 3 3 3 4 5 2 2" xfId="34550"/>
    <cellStyle name="Normal 3 3 3 4 5 2 3" xfId="34549"/>
    <cellStyle name="Normal 3 3 3 4 5 3" xfId="5486"/>
    <cellStyle name="Normal 3 3 3 4 5 3 2" xfId="34552"/>
    <cellStyle name="Normal 3 3 3 4 5 3 3" xfId="34551"/>
    <cellStyle name="Normal 3 3 3 4 5 4" xfId="34553"/>
    <cellStyle name="Normal 3 3 3 4 5 5" xfId="34554"/>
    <cellStyle name="Normal 3 3 3 4 5 6" xfId="34548"/>
    <cellStyle name="Normal 3 3 3 4 6" xfId="5487"/>
    <cellStyle name="Normal 3 3 3 4 6 2" xfId="5488"/>
    <cellStyle name="Normal 3 3 3 4 6 2 2" xfId="34556"/>
    <cellStyle name="Normal 3 3 3 4 6 3" xfId="34555"/>
    <cellStyle name="Normal 3 3 3 4 7" xfId="5489"/>
    <cellStyle name="Normal 3 3 3 4 7 2" xfId="5490"/>
    <cellStyle name="Normal 3 3 3 4 7 2 2" xfId="34558"/>
    <cellStyle name="Normal 3 3 3 4 7 3" xfId="34557"/>
    <cellStyle name="Normal 3 3 3 4 8" xfId="5491"/>
    <cellStyle name="Normal 3 3 3 4 8 2" xfId="34560"/>
    <cellStyle name="Normal 3 3 3 4 8 3" xfId="34559"/>
    <cellStyle name="Normal 3 3 3 4 9" xfId="34561"/>
    <cellStyle name="Normal 3 3 3 5" xfId="5492"/>
    <cellStyle name="Normal 3 3 3 5 2" xfId="5493"/>
    <cellStyle name="Normal 3 3 3 5 2 2" xfId="5494"/>
    <cellStyle name="Normal 3 3 3 5 2 2 2" xfId="5495"/>
    <cellStyle name="Normal 3 3 3 5 2 2 3" xfId="5496"/>
    <cellStyle name="Normal 3 3 3 5 2 2 4" xfId="34564"/>
    <cellStyle name="Normal 3 3 3 5 2 3" xfId="5497"/>
    <cellStyle name="Normal 3 3 3 5 2 3 2" xfId="5498"/>
    <cellStyle name="Normal 3 3 3 5 2 4" xfId="5499"/>
    <cellStyle name="Normal 3 3 3 5 2 4 2" xfId="5500"/>
    <cellStyle name="Normal 3 3 3 5 2 5" xfId="5501"/>
    <cellStyle name="Normal 3 3 3 5 2 6" xfId="34563"/>
    <cellStyle name="Normal 3 3 3 5 3" xfId="5502"/>
    <cellStyle name="Normal 3 3 3 5 3 2" xfId="5503"/>
    <cellStyle name="Normal 3 3 3 5 3 2 2" xfId="5504"/>
    <cellStyle name="Normal 3 3 3 5 3 2 3" xfId="34566"/>
    <cellStyle name="Normal 3 3 3 5 3 3" xfId="5505"/>
    <cellStyle name="Normal 3 3 3 5 3 3 2" xfId="5506"/>
    <cellStyle name="Normal 3 3 3 5 3 4" xfId="5507"/>
    <cellStyle name="Normal 3 3 3 5 3 5" xfId="34565"/>
    <cellStyle name="Normal 3 3 3 5 4" xfId="5508"/>
    <cellStyle name="Normal 3 3 3 5 4 2" xfId="5509"/>
    <cellStyle name="Normal 3 3 3 5 4 2 2" xfId="34568"/>
    <cellStyle name="Normal 3 3 3 5 4 3" xfId="5510"/>
    <cellStyle name="Normal 3 3 3 5 4 4" xfId="34567"/>
    <cellStyle name="Normal 3 3 3 5 5" xfId="5511"/>
    <cellStyle name="Normal 3 3 3 5 5 2" xfId="5512"/>
    <cellStyle name="Normal 3 3 3 5 5 3" xfId="34569"/>
    <cellStyle name="Normal 3 3 3 5 6" xfId="5513"/>
    <cellStyle name="Normal 3 3 3 5 6 2" xfId="5514"/>
    <cellStyle name="Normal 3 3 3 5 6 3" xfId="34570"/>
    <cellStyle name="Normal 3 3 3 5 7" xfId="5515"/>
    <cellStyle name="Normal 3 3 3 5 8" xfId="34562"/>
    <cellStyle name="Normal 3 3 3 6" xfId="5516"/>
    <cellStyle name="Normal 3 3 3 6 2" xfId="5517"/>
    <cellStyle name="Normal 3 3 3 6 2 2" xfId="5518"/>
    <cellStyle name="Normal 3 3 3 6 2 2 2" xfId="5519"/>
    <cellStyle name="Normal 3 3 3 6 2 2 3" xfId="5520"/>
    <cellStyle name="Normal 3 3 3 6 2 2 4" xfId="34573"/>
    <cellStyle name="Normal 3 3 3 6 2 3" xfId="5521"/>
    <cellStyle name="Normal 3 3 3 6 2 3 2" xfId="5522"/>
    <cellStyle name="Normal 3 3 3 6 2 4" xfId="5523"/>
    <cellStyle name="Normal 3 3 3 6 2 4 2" xfId="5524"/>
    <cellStyle name="Normal 3 3 3 6 2 5" xfId="5525"/>
    <cellStyle name="Normal 3 3 3 6 2 6" xfId="34572"/>
    <cellStyle name="Normal 3 3 3 6 3" xfId="5526"/>
    <cellStyle name="Normal 3 3 3 6 3 2" xfId="5527"/>
    <cellStyle name="Normal 3 3 3 6 3 2 2" xfId="5528"/>
    <cellStyle name="Normal 3 3 3 6 3 2 3" xfId="34575"/>
    <cellStyle name="Normal 3 3 3 6 3 3" xfId="5529"/>
    <cellStyle name="Normal 3 3 3 6 3 3 2" xfId="5530"/>
    <cellStyle name="Normal 3 3 3 6 3 4" xfId="5531"/>
    <cellStyle name="Normal 3 3 3 6 3 5" xfId="34574"/>
    <cellStyle name="Normal 3 3 3 6 4" xfId="5532"/>
    <cellStyle name="Normal 3 3 3 6 4 2" xfId="5533"/>
    <cellStyle name="Normal 3 3 3 6 4 2 2" xfId="34577"/>
    <cellStyle name="Normal 3 3 3 6 4 3" xfId="5534"/>
    <cellStyle name="Normal 3 3 3 6 4 4" xfId="34576"/>
    <cellStyle name="Normal 3 3 3 6 5" xfId="5535"/>
    <cellStyle name="Normal 3 3 3 6 5 2" xfId="5536"/>
    <cellStyle name="Normal 3 3 3 6 5 3" xfId="34578"/>
    <cellStyle name="Normal 3 3 3 6 6" xfId="5537"/>
    <cellStyle name="Normal 3 3 3 6 6 2" xfId="5538"/>
    <cellStyle name="Normal 3 3 3 6 6 3" xfId="34579"/>
    <cellStyle name="Normal 3 3 3 6 7" xfId="5539"/>
    <cellStyle name="Normal 3 3 3 6 8" xfId="34571"/>
    <cellStyle name="Normal 3 3 3 7" xfId="5540"/>
    <cellStyle name="Normal 3 3 3 7 2" xfId="5541"/>
    <cellStyle name="Normal 3 3 3 7 2 2" xfId="5542"/>
    <cellStyle name="Normal 3 3 3 7 2 2 2" xfId="5543"/>
    <cellStyle name="Normal 3 3 3 7 2 2 3" xfId="34582"/>
    <cellStyle name="Normal 3 3 3 7 2 3" xfId="5544"/>
    <cellStyle name="Normal 3 3 3 7 2 3 2" xfId="5545"/>
    <cellStyle name="Normal 3 3 3 7 2 4" xfId="5546"/>
    <cellStyle name="Normal 3 3 3 7 2 5" xfId="34581"/>
    <cellStyle name="Normal 3 3 3 7 3" xfId="5547"/>
    <cellStyle name="Normal 3 3 3 7 3 2" xfId="5548"/>
    <cellStyle name="Normal 3 3 3 7 3 2 2" xfId="34584"/>
    <cellStyle name="Normal 3 3 3 7 3 3" xfId="5549"/>
    <cellStyle name="Normal 3 3 3 7 3 4" xfId="34583"/>
    <cellStyle name="Normal 3 3 3 7 4" xfId="5550"/>
    <cellStyle name="Normal 3 3 3 7 4 2" xfId="5551"/>
    <cellStyle name="Normal 3 3 3 7 4 2 2" xfId="34586"/>
    <cellStyle name="Normal 3 3 3 7 4 3" xfId="34585"/>
    <cellStyle name="Normal 3 3 3 7 5" xfId="5552"/>
    <cellStyle name="Normal 3 3 3 7 5 2" xfId="5553"/>
    <cellStyle name="Normal 3 3 3 7 5 3" xfId="34587"/>
    <cellStyle name="Normal 3 3 3 7 6" xfId="5554"/>
    <cellStyle name="Normal 3 3 3 7 6 2" xfId="34588"/>
    <cellStyle name="Normal 3 3 3 7 7" xfId="34580"/>
    <cellStyle name="Normal 3 3 3 8" xfId="5555"/>
    <cellStyle name="Normal 3 3 3 8 2" xfId="5556"/>
    <cellStyle name="Normal 3 3 3 8 2 2" xfId="5557"/>
    <cellStyle name="Normal 3 3 3 8 2 2 2" xfId="34591"/>
    <cellStyle name="Normal 3 3 3 8 2 3" xfId="34590"/>
    <cellStyle name="Normal 3 3 3 8 3" xfId="5558"/>
    <cellStyle name="Normal 3 3 3 8 3 2" xfId="5559"/>
    <cellStyle name="Normal 3 3 3 8 3 2 2" xfId="34593"/>
    <cellStyle name="Normal 3 3 3 8 3 3" xfId="34592"/>
    <cellStyle name="Normal 3 3 3 8 4" xfId="5560"/>
    <cellStyle name="Normal 3 3 3 8 4 2" xfId="34594"/>
    <cellStyle name="Normal 3 3 3 8 5" xfId="34595"/>
    <cellStyle name="Normal 3 3 3 8 6" xfId="34589"/>
    <cellStyle name="Normal 3 3 3 9" xfId="5561"/>
    <cellStyle name="Normal 3 3 3 9 2" xfId="5562"/>
    <cellStyle name="Normal 3 3 3 9 2 2" xfId="5563"/>
    <cellStyle name="Normal 3 3 3 9 2 3" xfId="34597"/>
    <cellStyle name="Normal 3 3 3 9 3" xfId="5564"/>
    <cellStyle name="Normal 3 3 3 9 3 2" xfId="5565"/>
    <cellStyle name="Normal 3 3 3 9 4" xfId="5566"/>
    <cellStyle name="Normal 3 3 3 9 5" xfId="34596"/>
    <cellStyle name="Normal 3 3 4" xfId="5567"/>
    <cellStyle name="Normal 3 3 4 10" xfId="5568"/>
    <cellStyle name="Normal 3 3 4 10 2" xfId="5569"/>
    <cellStyle name="Normal 3 3 4 10 2 2" xfId="34600"/>
    <cellStyle name="Normal 3 3 4 10 3" xfId="34599"/>
    <cellStyle name="Normal 3 3 4 11" xfId="5570"/>
    <cellStyle name="Normal 3 3 4 11 2" xfId="34602"/>
    <cellStyle name="Normal 3 3 4 11 3" xfId="34601"/>
    <cellStyle name="Normal 3 3 4 12" xfId="34603"/>
    <cellStyle name="Normal 3 3 4 13" xfId="34604"/>
    <cellStyle name="Normal 3 3 4 14" xfId="34598"/>
    <cellStyle name="Normal 3 3 4 2" xfId="5571"/>
    <cellStyle name="Normal 3 3 4 2 10" xfId="34606"/>
    <cellStyle name="Normal 3 3 4 2 11" xfId="34607"/>
    <cellStyle name="Normal 3 3 4 2 12" xfId="34605"/>
    <cellStyle name="Normal 3 3 4 2 2" xfId="5572"/>
    <cellStyle name="Normal 3 3 4 2 2 2" xfId="5573"/>
    <cellStyle name="Normal 3 3 4 2 2 2 2" xfId="5574"/>
    <cellStyle name="Normal 3 3 4 2 2 2 2 2" xfId="5575"/>
    <cellStyle name="Normal 3 3 4 2 2 2 2 3" xfId="5576"/>
    <cellStyle name="Normal 3 3 4 2 2 2 2 4" xfId="34610"/>
    <cellStyle name="Normal 3 3 4 2 2 2 3" xfId="5577"/>
    <cellStyle name="Normal 3 3 4 2 2 2 3 2" xfId="5578"/>
    <cellStyle name="Normal 3 3 4 2 2 2 4" xfId="5579"/>
    <cellStyle name="Normal 3 3 4 2 2 2 4 2" xfId="5580"/>
    <cellStyle name="Normal 3 3 4 2 2 2 5" xfId="5581"/>
    <cellStyle name="Normal 3 3 4 2 2 2 6" xfId="34609"/>
    <cellStyle name="Normal 3 3 4 2 2 3" xfId="5582"/>
    <cellStyle name="Normal 3 3 4 2 2 3 2" xfId="5583"/>
    <cellStyle name="Normal 3 3 4 2 2 3 2 2" xfId="5584"/>
    <cellStyle name="Normal 3 3 4 2 2 3 2 3" xfId="34612"/>
    <cellStyle name="Normal 3 3 4 2 2 3 3" xfId="5585"/>
    <cellStyle name="Normal 3 3 4 2 2 3 3 2" xfId="5586"/>
    <cellStyle name="Normal 3 3 4 2 2 3 4" xfId="5587"/>
    <cellStyle name="Normal 3 3 4 2 2 3 5" xfId="34611"/>
    <cellStyle name="Normal 3 3 4 2 2 4" xfId="5588"/>
    <cellStyle name="Normal 3 3 4 2 2 4 2" xfId="5589"/>
    <cellStyle name="Normal 3 3 4 2 2 4 2 2" xfId="34614"/>
    <cellStyle name="Normal 3 3 4 2 2 4 3" xfId="5590"/>
    <cellStyle name="Normal 3 3 4 2 2 4 4" xfId="34613"/>
    <cellStyle name="Normal 3 3 4 2 2 5" xfId="5591"/>
    <cellStyle name="Normal 3 3 4 2 2 5 2" xfId="5592"/>
    <cellStyle name="Normal 3 3 4 2 2 5 3" xfId="34615"/>
    <cellStyle name="Normal 3 3 4 2 2 6" xfId="5593"/>
    <cellStyle name="Normal 3 3 4 2 2 6 2" xfId="5594"/>
    <cellStyle name="Normal 3 3 4 2 2 6 3" xfId="34616"/>
    <cellStyle name="Normal 3 3 4 2 2 7" xfId="5595"/>
    <cellStyle name="Normal 3 3 4 2 2 8" xfId="34608"/>
    <cellStyle name="Normal 3 3 4 2 3" xfId="5596"/>
    <cellStyle name="Normal 3 3 4 2 3 2" xfId="5597"/>
    <cellStyle name="Normal 3 3 4 2 3 2 2" xfId="5598"/>
    <cellStyle name="Normal 3 3 4 2 3 2 2 2" xfId="34619"/>
    <cellStyle name="Normal 3 3 4 2 3 2 3" xfId="5599"/>
    <cellStyle name="Normal 3 3 4 2 3 2 4" xfId="34618"/>
    <cellStyle name="Normal 3 3 4 2 3 3" xfId="5600"/>
    <cellStyle name="Normal 3 3 4 2 3 3 2" xfId="5601"/>
    <cellStyle name="Normal 3 3 4 2 3 3 2 2" xfId="34621"/>
    <cellStyle name="Normal 3 3 4 2 3 3 3" xfId="34620"/>
    <cellStyle name="Normal 3 3 4 2 3 4" xfId="5602"/>
    <cellStyle name="Normal 3 3 4 2 3 4 2" xfId="5603"/>
    <cellStyle name="Normal 3 3 4 2 3 4 2 2" xfId="34623"/>
    <cellStyle name="Normal 3 3 4 2 3 4 3" xfId="34622"/>
    <cellStyle name="Normal 3 3 4 2 3 5" xfId="5604"/>
    <cellStyle name="Normal 3 3 4 2 3 5 2" xfId="34624"/>
    <cellStyle name="Normal 3 3 4 2 3 6" xfId="34625"/>
    <cellStyle name="Normal 3 3 4 2 3 7" xfId="34617"/>
    <cellStyle name="Normal 3 3 4 2 4" xfId="5605"/>
    <cellStyle name="Normal 3 3 4 2 4 2" xfId="5606"/>
    <cellStyle name="Normal 3 3 4 2 4 2 2" xfId="5607"/>
    <cellStyle name="Normal 3 3 4 2 4 2 2 2" xfId="34628"/>
    <cellStyle name="Normal 3 3 4 2 4 2 3" xfId="34627"/>
    <cellStyle name="Normal 3 3 4 2 4 3" xfId="5608"/>
    <cellStyle name="Normal 3 3 4 2 4 3 2" xfId="5609"/>
    <cellStyle name="Normal 3 3 4 2 4 3 2 2" xfId="34630"/>
    <cellStyle name="Normal 3 3 4 2 4 3 3" xfId="34629"/>
    <cellStyle name="Normal 3 3 4 2 4 4" xfId="5610"/>
    <cellStyle name="Normal 3 3 4 2 4 4 2" xfId="34632"/>
    <cellStyle name="Normal 3 3 4 2 4 4 3" xfId="34631"/>
    <cellStyle name="Normal 3 3 4 2 4 5" xfId="34633"/>
    <cellStyle name="Normal 3 3 4 2 4 6" xfId="34634"/>
    <cellStyle name="Normal 3 3 4 2 4 7" xfId="34626"/>
    <cellStyle name="Normal 3 3 4 2 5" xfId="5611"/>
    <cellStyle name="Normal 3 3 4 2 5 2" xfId="5612"/>
    <cellStyle name="Normal 3 3 4 2 5 2 2" xfId="34637"/>
    <cellStyle name="Normal 3 3 4 2 5 2 3" xfId="34636"/>
    <cellStyle name="Normal 3 3 4 2 5 3" xfId="5613"/>
    <cellStyle name="Normal 3 3 4 2 5 3 2" xfId="34639"/>
    <cellStyle name="Normal 3 3 4 2 5 3 3" xfId="34638"/>
    <cellStyle name="Normal 3 3 4 2 5 4" xfId="34640"/>
    <cellStyle name="Normal 3 3 4 2 5 4 2" xfId="34641"/>
    <cellStyle name="Normal 3 3 4 2 5 5" xfId="34642"/>
    <cellStyle name="Normal 3 3 4 2 5 6" xfId="34643"/>
    <cellStyle name="Normal 3 3 4 2 5 7" xfId="34635"/>
    <cellStyle name="Normal 3 3 4 2 6" xfId="5614"/>
    <cellStyle name="Normal 3 3 4 2 6 2" xfId="5615"/>
    <cellStyle name="Normal 3 3 4 2 6 2 2" xfId="34646"/>
    <cellStyle name="Normal 3 3 4 2 6 2 3" xfId="34645"/>
    <cellStyle name="Normal 3 3 4 2 6 3" xfId="34647"/>
    <cellStyle name="Normal 3 3 4 2 6 3 2" xfId="34648"/>
    <cellStyle name="Normal 3 3 4 2 6 4" xfId="34649"/>
    <cellStyle name="Normal 3 3 4 2 6 5" xfId="34650"/>
    <cellStyle name="Normal 3 3 4 2 6 6" xfId="34644"/>
    <cellStyle name="Normal 3 3 4 2 7" xfId="5616"/>
    <cellStyle name="Normal 3 3 4 2 7 2" xfId="5617"/>
    <cellStyle name="Normal 3 3 4 2 7 2 2" xfId="34652"/>
    <cellStyle name="Normal 3 3 4 2 7 3" xfId="34651"/>
    <cellStyle name="Normal 3 3 4 2 8" xfId="5618"/>
    <cellStyle name="Normal 3 3 4 2 8 2" xfId="34654"/>
    <cellStyle name="Normal 3 3 4 2 8 3" xfId="34653"/>
    <cellStyle name="Normal 3 3 4 2 9" xfId="34655"/>
    <cellStyle name="Normal 3 3 4 2 9 2" xfId="34656"/>
    <cellStyle name="Normal 3 3 4 3" xfId="5619"/>
    <cellStyle name="Normal 3 3 4 3 10" xfId="34658"/>
    <cellStyle name="Normal 3 3 4 3 11" xfId="34657"/>
    <cellStyle name="Normal 3 3 4 3 2" xfId="5620"/>
    <cellStyle name="Normal 3 3 4 3 2 2" xfId="5621"/>
    <cellStyle name="Normal 3 3 4 3 2 2 2" xfId="5622"/>
    <cellStyle name="Normal 3 3 4 3 2 2 2 2" xfId="34661"/>
    <cellStyle name="Normal 3 3 4 3 2 2 3" xfId="5623"/>
    <cellStyle name="Normal 3 3 4 3 2 2 4" xfId="34660"/>
    <cellStyle name="Normal 3 3 4 3 2 3" xfId="5624"/>
    <cellStyle name="Normal 3 3 4 3 2 3 2" xfId="5625"/>
    <cellStyle name="Normal 3 3 4 3 2 3 2 2" xfId="34663"/>
    <cellStyle name="Normal 3 3 4 3 2 3 3" xfId="34662"/>
    <cellStyle name="Normal 3 3 4 3 2 4" xfId="5626"/>
    <cellStyle name="Normal 3 3 4 3 2 4 2" xfId="5627"/>
    <cellStyle name="Normal 3 3 4 3 2 4 2 2" xfId="34665"/>
    <cellStyle name="Normal 3 3 4 3 2 4 3" xfId="34664"/>
    <cellStyle name="Normal 3 3 4 3 2 5" xfId="5628"/>
    <cellStyle name="Normal 3 3 4 3 2 5 2" xfId="34666"/>
    <cellStyle name="Normal 3 3 4 3 2 6" xfId="34667"/>
    <cellStyle name="Normal 3 3 4 3 2 7" xfId="34659"/>
    <cellStyle name="Normal 3 3 4 3 3" xfId="5629"/>
    <cellStyle name="Normal 3 3 4 3 3 2" xfId="5630"/>
    <cellStyle name="Normal 3 3 4 3 3 2 2" xfId="5631"/>
    <cellStyle name="Normal 3 3 4 3 3 2 2 2" xfId="34670"/>
    <cellStyle name="Normal 3 3 4 3 3 2 3" xfId="34669"/>
    <cellStyle name="Normal 3 3 4 3 3 3" xfId="5632"/>
    <cellStyle name="Normal 3 3 4 3 3 3 2" xfId="5633"/>
    <cellStyle name="Normal 3 3 4 3 3 3 2 2" xfId="34672"/>
    <cellStyle name="Normal 3 3 4 3 3 3 3" xfId="34671"/>
    <cellStyle name="Normal 3 3 4 3 3 4" xfId="5634"/>
    <cellStyle name="Normal 3 3 4 3 3 4 2" xfId="34674"/>
    <cellStyle name="Normal 3 3 4 3 3 4 3" xfId="34673"/>
    <cellStyle name="Normal 3 3 4 3 3 5" xfId="34675"/>
    <cellStyle name="Normal 3 3 4 3 3 6" xfId="34676"/>
    <cellStyle name="Normal 3 3 4 3 3 7" xfId="34668"/>
    <cellStyle name="Normal 3 3 4 3 4" xfId="5635"/>
    <cellStyle name="Normal 3 3 4 3 4 2" xfId="5636"/>
    <cellStyle name="Normal 3 3 4 3 4 2 2" xfId="34679"/>
    <cellStyle name="Normal 3 3 4 3 4 2 3" xfId="34678"/>
    <cellStyle name="Normal 3 3 4 3 4 3" xfId="5637"/>
    <cellStyle name="Normal 3 3 4 3 4 3 2" xfId="34681"/>
    <cellStyle name="Normal 3 3 4 3 4 3 3" xfId="34680"/>
    <cellStyle name="Normal 3 3 4 3 4 4" xfId="34682"/>
    <cellStyle name="Normal 3 3 4 3 4 4 2" xfId="34683"/>
    <cellStyle name="Normal 3 3 4 3 4 5" xfId="34684"/>
    <cellStyle name="Normal 3 3 4 3 4 6" xfId="34685"/>
    <cellStyle name="Normal 3 3 4 3 4 7" xfId="34677"/>
    <cellStyle name="Normal 3 3 4 3 5" xfId="5638"/>
    <cellStyle name="Normal 3 3 4 3 5 2" xfId="5639"/>
    <cellStyle name="Normal 3 3 4 3 5 2 2" xfId="34688"/>
    <cellStyle name="Normal 3 3 4 3 5 2 3" xfId="34687"/>
    <cellStyle name="Normal 3 3 4 3 5 3" xfId="34689"/>
    <cellStyle name="Normal 3 3 4 3 5 3 2" xfId="34690"/>
    <cellStyle name="Normal 3 3 4 3 5 4" xfId="34691"/>
    <cellStyle name="Normal 3 3 4 3 5 5" xfId="34692"/>
    <cellStyle name="Normal 3 3 4 3 5 6" xfId="34686"/>
    <cellStyle name="Normal 3 3 4 3 6" xfId="5640"/>
    <cellStyle name="Normal 3 3 4 3 6 2" xfId="5641"/>
    <cellStyle name="Normal 3 3 4 3 6 2 2" xfId="34694"/>
    <cellStyle name="Normal 3 3 4 3 6 3" xfId="34693"/>
    <cellStyle name="Normal 3 3 4 3 7" xfId="5642"/>
    <cellStyle name="Normal 3 3 4 3 7 2" xfId="34696"/>
    <cellStyle name="Normal 3 3 4 3 7 3" xfId="34695"/>
    <cellStyle name="Normal 3 3 4 3 8" xfId="34697"/>
    <cellStyle name="Normal 3 3 4 3 8 2" xfId="34698"/>
    <cellStyle name="Normal 3 3 4 3 9" xfId="34699"/>
    <cellStyle name="Normal 3 3 4 4" xfId="5643"/>
    <cellStyle name="Normal 3 3 4 4 10" xfId="34701"/>
    <cellStyle name="Normal 3 3 4 4 11" xfId="34700"/>
    <cellStyle name="Normal 3 3 4 4 2" xfId="5644"/>
    <cellStyle name="Normal 3 3 4 4 2 2" xfId="5645"/>
    <cellStyle name="Normal 3 3 4 4 2 2 2" xfId="5646"/>
    <cellStyle name="Normal 3 3 4 4 2 2 2 2" xfId="34704"/>
    <cellStyle name="Normal 3 3 4 4 2 2 3" xfId="5647"/>
    <cellStyle name="Normal 3 3 4 4 2 2 4" xfId="34703"/>
    <cellStyle name="Normal 3 3 4 4 2 3" xfId="5648"/>
    <cellStyle name="Normal 3 3 4 4 2 3 2" xfId="5649"/>
    <cellStyle name="Normal 3 3 4 4 2 3 2 2" xfId="34706"/>
    <cellStyle name="Normal 3 3 4 4 2 3 3" xfId="34705"/>
    <cellStyle name="Normal 3 3 4 4 2 4" xfId="5650"/>
    <cellStyle name="Normal 3 3 4 4 2 4 2" xfId="5651"/>
    <cellStyle name="Normal 3 3 4 4 2 4 2 2" xfId="34708"/>
    <cellStyle name="Normal 3 3 4 4 2 4 3" xfId="34707"/>
    <cellStyle name="Normal 3 3 4 4 2 5" xfId="5652"/>
    <cellStyle name="Normal 3 3 4 4 2 5 2" xfId="34709"/>
    <cellStyle name="Normal 3 3 4 4 2 6" xfId="34710"/>
    <cellStyle name="Normal 3 3 4 4 2 7" xfId="34702"/>
    <cellStyle name="Normal 3 3 4 4 3" xfId="5653"/>
    <cellStyle name="Normal 3 3 4 4 3 2" xfId="5654"/>
    <cellStyle name="Normal 3 3 4 4 3 2 2" xfId="5655"/>
    <cellStyle name="Normal 3 3 4 4 3 2 2 2" xfId="34713"/>
    <cellStyle name="Normal 3 3 4 4 3 2 3" xfId="34712"/>
    <cellStyle name="Normal 3 3 4 4 3 3" xfId="5656"/>
    <cellStyle name="Normal 3 3 4 4 3 3 2" xfId="5657"/>
    <cellStyle name="Normal 3 3 4 4 3 3 2 2" xfId="34715"/>
    <cellStyle name="Normal 3 3 4 4 3 3 3" xfId="34714"/>
    <cellStyle name="Normal 3 3 4 4 3 4" xfId="5658"/>
    <cellStyle name="Normal 3 3 4 4 3 4 2" xfId="34717"/>
    <cellStyle name="Normal 3 3 4 4 3 4 3" xfId="34716"/>
    <cellStyle name="Normal 3 3 4 4 3 5" xfId="34718"/>
    <cellStyle name="Normal 3 3 4 4 3 6" xfId="34719"/>
    <cellStyle name="Normal 3 3 4 4 3 7" xfId="34711"/>
    <cellStyle name="Normal 3 3 4 4 4" xfId="5659"/>
    <cellStyle name="Normal 3 3 4 4 4 2" xfId="5660"/>
    <cellStyle name="Normal 3 3 4 4 4 2 2" xfId="34722"/>
    <cellStyle name="Normal 3 3 4 4 4 2 3" xfId="34721"/>
    <cellStyle name="Normal 3 3 4 4 4 3" xfId="5661"/>
    <cellStyle name="Normal 3 3 4 4 4 3 2" xfId="34724"/>
    <cellStyle name="Normal 3 3 4 4 4 3 3" xfId="34723"/>
    <cellStyle name="Normal 3 3 4 4 4 4" xfId="34725"/>
    <cellStyle name="Normal 3 3 4 4 4 4 2" xfId="34726"/>
    <cellStyle name="Normal 3 3 4 4 4 5" xfId="34727"/>
    <cellStyle name="Normal 3 3 4 4 4 6" xfId="34728"/>
    <cellStyle name="Normal 3 3 4 4 4 7" xfId="34720"/>
    <cellStyle name="Normal 3 3 4 4 5" xfId="5662"/>
    <cellStyle name="Normal 3 3 4 4 5 2" xfId="5663"/>
    <cellStyle name="Normal 3 3 4 4 5 2 2" xfId="34731"/>
    <cellStyle name="Normal 3 3 4 4 5 2 3" xfId="34730"/>
    <cellStyle name="Normal 3 3 4 4 5 3" xfId="34732"/>
    <cellStyle name="Normal 3 3 4 4 5 3 2" xfId="34733"/>
    <cellStyle name="Normal 3 3 4 4 5 4" xfId="34734"/>
    <cellStyle name="Normal 3 3 4 4 5 5" xfId="34735"/>
    <cellStyle name="Normal 3 3 4 4 5 6" xfId="34729"/>
    <cellStyle name="Normal 3 3 4 4 6" xfId="5664"/>
    <cellStyle name="Normal 3 3 4 4 6 2" xfId="5665"/>
    <cellStyle name="Normal 3 3 4 4 6 2 2" xfId="34737"/>
    <cellStyle name="Normal 3 3 4 4 6 3" xfId="34736"/>
    <cellStyle name="Normal 3 3 4 4 7" xfId="5666"/>
    <cellStyle name="Normal 3 3 4 4 7 2" xfId="34739"/>
    <cellStyle name="Normal 3 3 4 4 7 3" xfId="34738"/>
    <cellStyle name="Normal 3 3 4 4 8" xfId="34740"/>
    <cellStyle name="Normal 3 3 4 4 8 2" xfId="34741"/>
    <cellStyle name="Normal 3 3 4 4 9" xfId="34742"/>
    <cellStyle name="Normal 3 3 4 5" xfId="5667"/>
    <cellStyle name="Normal 3 3 4 5 2" xfId="5668"/>
    <cellStyle name="Normal 3 3 4 5 2 2" xfId="5669"/>
    <cellStyle name="Normal 3 3 4 5 2 2 2" xfId="5670"/>
    <cellStyle name="Normal 3 3 4 5 2 2 3" xfId="34745"/>
    <cellStyle name="Normal 3 3 4 5 2 3" xfId="5671"/>
    <cellStyle name="Normal 3 3 4 5 2 3 2" xfId="5672"/>
    <cellStyle name="Normal 3 3 4 5 2 4" xfId="5673"/>
    <cellStyle name="Normal 3 3 4 5 2 5" xfId="34744"/>
    <cellStyle name="Normal 3 3 4 5 3" xfId="5674"/>
    <cellStyle name="Normal 3 3 4 5 3 2" xfId="5675"/>
    <cellStyle name="Normal 3 3 4 5 3 2 2" xfId="34747"/>
    <cellStyle name="Normal 3 3 4 5 3 3" xfId="5676"/>
    <cellStyle name="Normal 3 3 4 5 3 4" xfId="34746"/>
    <cellStyle name="Normal 3 3 4 5 4" xfId="5677"/>
    <cellStyle name="Normal 3 3 4 5 4 2" xfId="5678"/>
    <cellStyle name="Normal 3 3 4 5 4 2 2" xfId="34749"/>
    <cellStyle name="Normal 3 3 4 5 4 3" xfId="34748"/>
    <cellStyle name="Normal 3 3 4 5 5" xfId="5679"/>
    <cellStyle name="Normal 3 3 4 5 5 2" xfId="5680"/>
    <cellStyle name="Normal 3 3 4 5 5 3" xfId="34750"/>
    <cellStyle name="Normal 3 3 4 5 6" xfId="5681"/>
    <cellStyle name="Normal 3 3 4 5 6 2" xfId="34751"/>
    <cellStyle name="Normal 3 3 4 5 7" xfId="34743"/>
    <cellStyle name="Normal 3 3 4 6" xfId="5682"/>
    <cellStyle name="Normal 3 3 4 6 2" xfId="5683"/>
    <cellStyle name="Normal 3 3 4 6 2 2" xfId="5684"/>
    <cellStyle name="Normal 3 3 4 6 2 2 2" xfId="34754"/>
    <cellStyle name="Normal 3 3 4 6 2 3" xfId="34753"/>
    <cellStyle name="Normal 3 3 4 6 3" xfId="5685"/>
    <cellStyle name="Normal 3 3 4 6 3 2" xfId="5686"/>
    <cellStyle name="Normal 3 3 4 6 3 2 2" xfId="34756"/>
    <cellStyle name="Normal 3 3 4 6 3 3" xfId="34755"/>
    <cellStyle name="Normal 3 3 4 6 4" xfId="5687"/>
    <cellStyle name="Normal 3 3 4 6 4 2" xfId="34758"/>
    <cellStyle name="Normal 3 3 4 6 4 3" xfId="34757"/>
    <cellStyle name="Normal 3 3 4 6 5" xfId="34759"/>
    <cellStyle name="Normal 3 3 4 6 6" xfId="34760"/>
    <cellStyle name="Normal 3 3 4 6 7" xfId="34752"/>
    <cellStyle name="Normal 3 3 4 7" xfId="5688"/>
    <cellStyle name="Normal 3 3 4 7 2" xfId="5689"/>
    <cellStyle name="Normal 3 3 4 7 2 2" xfId="5690"/>
    <cellStyle name="Normal 3 3 4 7 2 2 2" xfId="34763"/>
    <cellStyle name="Normal 3 3 4 7 2 3" xfId="34762"/>
    <cellStyle name="Normal 3 3 4 7 3" xfId="5691"/>
    <cellStyle name="Normal 3 3 4 7 3 2" xfId="5692"/>
    <cellStyle name="Normal 3 3 4 7 3 2 2" xfId="34765"/>
    <cellStyle name="Normal 3 3 4 7 3 3" xfId="34764"/>
    <cellStyle name="Normal 3 3 4 7 4" xfId="5693"/>
    <cellStyle name="Normal 3 3 4 7 4 2" xfId="34767"/>
    <cellStyle name="Normal 3 3 4 7 4 3" xfId="34766"/>
    <cellStyle name="Normal 3 3 4 7 5" xfId="34768"/>
    <cellStyle name="Normal 3 3 4 7 6" xfId="34769"/>
    <cellStyle name="Normal 3 3 4 7 7" xfId="34761"/>
    <cellStyle name="Normal 3 3 4 8" xfId="5694"/>
    <cellStyle name="Normal 3 3 4 8 2" xfId="5695"/>
    <cellStyle name="Normal 3 3 4 8 2 2" xfId="34772"/>
    <cellStyle name="Normal 3 3 4 8 2 3" xfId="34771"/>
    <cellStyle name="Normal 3 3 4 8 3" xfId="5696"/>
    <cellStyle name="Normal 3 3 4 8 3 2" xfId="34774"/>
    <cellStyle name="Normal 3 3 4 8 3 3" xfId="34773"/>
    <cellStyle name="Normal 3 3 4 8 4" xfId="34775"/>
    <cellStyle name="Normal 3 3 4 8 5" xfId="34776"/>
    <cellStyle name="Normal 3 3 4 8 6" xfId="34770"/>
    <cellStyle name="Normal 3 3 4 9" xfId="5697"/>
    <cellStyle name="Normal 3 3 4 9 2" xfId="5698"/>
    <cellStyle name="Normal 3 3 4 9 2 2" xfId="34778"/>
    <cellStyle name="Normal 3 3 4 9 3" xfId="34777"/>
    <cellStyle name="Normal 3 3 5" xfId="5699"/>
    <cellStyle name="Normal 3 3 5 10" xfId="5700"/>
    <cellStyle name="Normal 3 3 5 10 2" xfId="5701"/>
    <cellStyle name="Normal 3 3 5 10 2 2" xfId="34781"/>
    <cellStyle name="Normal 3 3 5 10 3" xfId="34780"/>
    <cellStyle name="Normal 3 3 5 11" xfId="5702"/>
    <cellStyle name="Normal 3 3 5 11 2" xfId="34782"/>
    <cellStyle name="Normal 3 3 5 12" xfId="34783"/>
    <cellStyle name="Normal 3 3 5 13" xfId="34779"/>
    <cellStyle name="Normal 3 3 5 2" xfId="5703"/>
    <cellStyle name="Normal 3 3 5 2 10" xfId="34785"/>
    <cellStyle name="Normal 3 3 5 2 11" xfId="34784"/>
    <cellStyle name="Normal 3 3 5 2 2" xfId="5704"/>
    <cellStyle name="Normal 3 3 5 2 2 2" xfId="5705"/>
    <cellStyle name="Normal 3 3 5 2 2 2 2" xfId="5706"/>
    <cellStyle name="Normal 3 3 5 2 2 2 2 2" xfId="5707"/>
    <cellStyle name="Normal 3 3 5 2 2 2 2 3" xfId="5708"/>
    <cellStyle name="Normal 3 3 5 2 2 2 2 4" xfId="34788"/>
    <cellStyle name="Normal 3 3 5 2 2 2 3" xfId="5709"/>
    <cellStyle name="Normal 3 3 5 2 2 2 3 2" xfId="5710"/>
    <cellStyle name="Normal 3 3 5 2 2 2 4" xfId="5711"/>
    <cellStyle name="Normal 3 3 5 2 2 2 4 2" xfId="5712"/>
    <cellStyle name="Normal 3 3 5 2 2 2 5" xfId="5713"/>
    <cellStyle name="Normal 3 3 5 2 2 2 6" xfId="34787"/>
    <cellStyle name="Normal 3 3 5 2 2 3" xfId="5714"/>
    <cellStyle name="Normal 3 3 5 2 2 3 2" xfId="5715"/>
    <cellStyle name="Normal 3 3 5 2 2 3 2 2" xfId="5716"/>
    <cellStyle name="Normal 3 3 5 2 2 3 2 3" xfId="34790"/>
    <cellStyle name="Normal 3 3 5 2 2 3 3" xfId="5717"/>
    <cellStyle name="Normal 3 3 5 2 2 3 3 2" xfId="5718"/>
    <cellStyle name="Normal 3 3 5 2 2 3 4" xfId="5719"/>
    <cellStyle name="Normal 3 3 5 2 2 3 5" xfId="34789"/>
    <cellStyle name="Normal 3 3 5 2 2 4" xfId="5720"/>
    <cellStyle name="Normal 3 3 5 2 2 4 2" xfId="5721"/>
    <cellStyle name="Normal 3 3 5 2 2 4 2 2" xfId="34792"/>
    <cellStyle name="Normal 3 3 5 2 2 4 3" xfId="5722"/>
    <cellStyle name="Normal 3 3 5 2 2 4 4" xfId="34791"/>
    <cellStyle name="Normal 3 3 5 2 2 5" xfId="5723"/>
    <cellStyle name="Normal 3 3 5 2 2 5 2" xfId="5724"/>
    <cellStyle name="Normal 3 3 5 2 2 5 3" xfId="34793"/>
    <cellStyle name="Normal 3 3 5 2 2 6" xfId="5725"/>
    <cellStyle name="Normal 3 3 5 2 2 6 2" xfId="5726"/>
    <cellStyle name="Normal 3 3 5 2 2 6 3" xfId="34794"/>
    <cellStyle name="Normal 3 3 5 2 2 7" xfId="5727"/>
    <cellStyle name="Normal 3 3 5 2 2 8" xfId="34786"/>
    <cellStyle name="Normal 3 3 5 2 3" xfId="5728"/>
    <cellStyle name="Normal 3 3 5 2 3 2" xfId="5729"/>
    <cellStyle name="Normal 3 3 5 2 3 2 2" xfId="5730"/>
    <cellStyle name="Normal 3 3 5 2 3 2 2 2" xfId="34797"/>
    <cellStyle name="Normal 3 3 5 2 3 2 3" xfId="5731"/>
    <cellStyle name="Normal 3 3 5 2 3 2 4" xfId="34796"/>
    <cellStyle name="Normal 3 3 5 2 3 3" xfId="5732"/>
    <cellStyle name="Normal 3 3 5 2 3 3 2" xfId="5733"/>
    <cellStyle name="Normal 3 3 5 2 3 3 2 2" xfId="34799"/>
    <cellStyle name="Normal 3 3 5 2 3 3 3" xfId="34798"/>
    <cellStyle name="Normal 3 3 5 2 3 4" xfId="5734"/>
    <cellStyle name="Normal 3 3 5 2 3 4 2" xfId="5735"/>
    <cellStyle name="Normal 3 3 5 2 3 4 2 2" xfId="34801"/>
    <cellStyle name="Normal 3 3 5 2 3 4 3" xfId="34800"/>
    <cellStyle name="Normal 3 3 5 2 3 5" xfId="5736"/>
    <cellStyle name="Normal 3 3 5 2 3 5 2" xfId="34802"/>
    <cellStyle name="Normal 3 3 5 2 3 6" xfId="34803"/>
    <cellStyle name="Normal 3 3 5 2 3 7" xfId="34795"/>
    <cellStyle name="Normal 3 3 5 2 4" xfId="5737"/>
    <cellStyle name="Normal 3 3 5 2 4 2" xfId="5738"/>
    <cellStyle name="Normal 3 3 5 2 4 2 2" xfId="5739"/>
    <cellStyle name="Normal 3 3 5 2 4 2 2 2" xfId="34806"/>
    <cellStyle name="Normal 3 3 5 2 4 2 3" xfId="34805"/>
    <cellStyle name="Normal 3 3 5 2 4 3" xfId="5740"/>
    <cellStyle name="Normal 3 3 5 2 4 3 2" xfId="5741"/>
    <cellStyle name="Normal 3 3 5 2 4 3 2 2" xfId="34808"/>
    <cellStyle name="Normal 3 3 5 2 4 3 3" xfId="34807"/>
    <cellStyle name="Normal 3 3 5 2 4 4" xfId="5742"/>
    <cellStyle name="Normal 3 3 5 2 4 4 2" xfId="34810"/>
    <cellStyle name="Normal 3 3 5 2 4 4 3" xfId="34809"/>
    <cellStyle name="Normal 3 3 5 2 4 5" xfId="34811"/>
    <cellStyle name="Normal 3 3 5 2 4 6" xfId="34812"/>
    <cellStyle name="Normal 3 3 5 2 4 7" xfId="34804"/>
    <cellStyle name="Normal 3 3 5 2 5" xfId="5743"/>
    <cellStyle name="Normal 3 3 5 2 5 2" xfId="5744"/>
    <cellStyle name="Normal 3 3 5 2 5 2 2" xfId="34815"/>
    <cellStyle name="Normal 3 3 5 2 5 2 3" xfId="34814"/>
    <cellStyle name="Normal 3 3 5 2 5 3" xfId="5745"/>
    <cellStyle name="Normal 3 3 5 2 5 3 2" xfId="34817"/>
    <cellStyle name="Normal 3 3 5 2 5 3 3" xfId="34816"/>
    <cellStyle name="Normal 3 3 5 2 5 4" xfId="34818"/>
    <cellStyle name="Normal 3 3 5 2 5 5" xfId="34819"/>
    <cellStyle name="Normal 3 3 5 2 5 6" xfId="34813"/>
    <cellStyle name="Normal 3 3 5 2 6" xfId="5746"/>
    <cellStyle name="Normal 3 3 5 2 6 2" xfId="5747"/>
    <cellStyle name="Normal 3 3 5 2 6 2 2" xfId="34821"/>
    <cellStyle name="Normal 3 3 5 2 6 3" xfId="34820"/>
    <cellStyle name="Normal 3 3 5 2 7" xfId="5748"/>
    <cellStyle name="Normal 3 3 5 2 7 2" xfId="5749"/>
    <cellStyle name="Normal 3 3 5 2 7 2 2" xfId="34823"/>
    <cellStyle name="Normal 3 3 5 2 7 3" xfId="34822"/>
    <cellStyle name="Normal 3 3 5 2 8" xfId="5750"/>
    <cellStyle name="Normal 3 3 5 2 8 2" xfId="34825"/>
    <cellStyle name="Normal 3 3 5 2 8 3" xfId="34824"/>
    <cellStyle name="Normal 3 3 5 2 9" xfId="34826"/>
    <cellStyle name="Normal 3 3 5 3" xfId="5751"/>
    <cellStyle name="Normal 3 3 5 3 10" xfId="34828"/>
    <cellStyle name="Normal 3 3 5 3 11" xfId="34827"/>
    <cellStyle name="Normal 3 3 5 3 2" xfId="5752"/>
    <cellStyle name="Normal 3 3 5 3 2 2" xfId="5753"/>
    <cellStyle name="Normal 3 3 5 3 2 2 2" xfId="5754"/>
    <cellStyle name="Normal 3 3 5 3 2 2 2 2" xfId="34831"/>
    <cellStyle name="Normal 3 3 5 3 2 2 3" xfId="5755"/>
    <cellStyle name="Normal 3 3 5 3 2 2 4" xfId="34830"/>
    <cellStyle name="Normal 3 3 5 3 2 3" xfId="5756"/>
    <cellStyle name="Normal 3 3 5 3 2 3 2" xfId="5757"/>
    <cellStyle name="Normal 3 3 5 3 2 3 2 2" xfId="34833"/>
    <cellStyle name="Normal 3 3 5 3 2 3 3" xfId="34832"/>
    <cellStyle name="Normal 3 3 5 3 2 4" xfId="5758"/>
    <cellStyle name="Normal 3 3 5 3 2 4 2" xfId="5759"/>
    <cellStyle name="Normal 3 3 5 3 2 4 2 2" xfId="34835"/>
    <cellStyle name="Normal 3 3 5 3 2 4 3" xfId="34834"/>
    <cellStyle name="Normal 3 3 5 3 2 5" xfId="5760"/>
    <cellStyle name="Normal 3 3 5 3 2 5 2" xfId="34836"/>
    <cellStyle name="Normal 3 3 5 3 2 6" xfId="34837"/>
    <cellStyle name="Normal 3 3 5 3 2 7" xfId="34829"/>
    <cellStyle name="Normal 3 3 5 3 3" xfId="5761"/>
    <cellStyle name="Normal 3 3 5 3 3 2" xfId="5762"/>
    <cellStyle name="Normal 3 3 5 3 3 2 2" xfId="5763"/>
    <cellStyle name="Normal 3 3 5 3 3 2 2 2" xfId="34840"/>
    <cellStyle name="Normal 3 3 5 3 3 2 3" xfId="34839"/>
    <cellStyle name="Normal 3 3 5 3 3 3" xfId="5764"/>
    <cellStyle name="Normal 3 3 5 3 3 3 2" xfId="5765"/>
    <cellStyle name="Normal 3 3 5 3 3 3 2 2" xfId="34842"/>
    <cellStyle name="Normal 3 3 5 3 3 3 3" xfId="34841"/>
    <cellStyle name="Normal 3 3 5 3 3 4" xfId="5766"/>
    <cellStyle name="Normal 3 3 5 3 3 4 2" xfId="34844"/>
    <cellStyle name="Normal 3 3 5 3 3 4 3" xfId="34843"/>
    <cellStyle name="Normal 3 3 5 3 3 5" xfId="34845"/>
    <cellStyle name="Normal 3 3 5 3 3 6" xfId="34846"/>
    <cellStyle name="Normal 3 3 5 3 3 7" xfId="34838"/>
    <cellStyle name="Normal 3 3 5 3 4" xfId="5767"/>
    <cellStyle name="Normal 3 3 5 3 4 2" xfId="5768"/>
    <cellStyle name="Normal 3 3 5 3 4 2 2" xfId="34849"/>
    <cellStyle name="Normal 3 3 5 3 4 2 3" xfId="34848"/>
    <cellStyle name="Normal 3 3 5 3 4 3" xfId="5769"/>
    <cellStyle name="Normal 3 3 5 3 4 3 2" xfId="34851"/>
    <cellStyle name="Normal 3 3 5 3 4 3 3" xfId="34850"/>
    <cellStyle name="Normal 3 3 5 3 4 4" xfId="34852"/>
    <cellStyle name="Normal 3 3 5 3 4 4 2" xfId="34853"/>
    <cellStyle name="Normal 3 3 5 3 4 5" xfId="34854"/>
    <cellStyle name="Normal 3 3 5 3 4 6" xfId="34855"/>
    <cellStyle name="Normal 3 3 5 3 4 7" xfId="34847"/>
    <cellStyle name="Normal 3 3 5 3 5" xfId="5770"/>
    <cellStyle name="Normal 3 3 5 3 5 2" xfId="5771"/>
    <cellStyle name="Normal 3 3 5 3 5 2 2" xfId="34858"/>
    <cellStyle name="Normal 3 3 5 3 5 2 3" xfId="34857"/>
    <cellStyle name="Normal 3 3 5 3 5 3" xfId="34859"/>
    <cellStyle name="Normal 3 3 5 3 5 3 2" xfId="34860"/>
    <cellStyle name="Normal 3 3 5 3 5 4" xfId="34861"/>
    <cellStyle name="Normal 3 3 5 3 5 5" xfId="34862"/>
    <cellStyle name="Normal 3 3 5 3 5 6" xfId="34856"/>
    <cellStyle name="Normal 3 3 5 3 6" xfId="5772"/>
    <cellStyle name="Normal 3 3 5 3 6 2" xfId="5773"/>
    <cellStyle name="Normal 3 3 5 3 6 2 2" xfId="34864"/>
    <cellStyle name="Normal 3 3 5 3 6 3" xfId="34863"/>
    <cellStyle name="Normal 3 3 5 3 7" xfId="5774"/>
    <cellStyle name="Normal 3 3 5 3 7 2" xfId="34866"/>
    <cellStyle name="Normal 3 3 5 3 7 3" xfId="34865"/>
    <cellStyle name="Normal 3 3 5 3 8" xfId="34867"/>
    <cellStyle name="Normal 3 3 5 3 8 2" xfId="34868"/>
    <cellStyle name="Normal 3 3 5 3 9" xfId="34869"/>
    <cellStyle name="Normal 3 3 5 4" xfId="5775"/>
    <cellStyle name="Normal 3 3 5 4 2" xfId="5776"/>
    <cellStyle name="Normal 3 3 5 4 2 2" xfId="5777"/>
    <cellStyle name="Normal 3 3 5 4 2 2 2" xfId="5778"/>
    <cellStyle name="Normal 3 3 5 4 2 2 3" xfId="5779"/>
    <cellStyle name="Normal 3 3 5 4 2 2 4" xfId="34872"/>
    <cellStyle name="Normal 3 3 5 4 2 3" xfId="5780"/>
    <cellStyle name="Normal 3 3 5 4 2 3 2" xfId="5781"/>
    <cellStyle name="Normal 3 3 5 4 2 4" xfId="5782"/>
    <cellStyle name="Normal 3 3 5 4 2 4 2" xfId="5783"/>
    <cellStyle name="Normal 3 3 5 4 2 5" xfId="5784"/>
    <cellStyle name="Normal 3 3 5 4 2 6" xfId="34871"/>
    <cellStyle name="Normal 3 3 5 4 3" xfId="5785"/>
    <cellStyle name="Normal 3 3 5 4 3 2" xfId="5786"/>
    <cellStyle name="Normal 3 3 5 4 3 2 2" xfId="5787"/>
    <cellStyle name="Normal 3 3 5 4 3 2 3" xfId="34874"/>
    <cellStyle name="Normal 3 3 5 4 3 3" xfId="5788"/>
    <cellStyle name="Normal 3 3 5 4 3 3 2" xfId="5789"/>
    <cellStyle name="Normal 3 3 5 4 3 4" xfId="5790"/>
    <cellStyle name="Normal 3 3 5 4 3 5" xfId="34873"/>
    <cellStyle name="Normal 3 3 5 4 4" xfId="5791"/>
    <cellStyle name="Normal 3 3 5 4 4 2" xfId="5792"/>
    <cellStyle name="Normal 3 3 5 4 4 2 2" xfId="34876"/>
    <cellStyle name="Normal 3 3 5 4 4 3" xfId="5793"/>
    <cellStyle name="Normal 3 3 5 4 4 4" xfId="34875"/>
    <cellStyle name="Normal 3 3 5 4 5" xfId="5794"/>
    <cellStyle name="Normal 3 3 5 4 5 2" xfId="5795"/>
    <cellStyle name="Normal 3 3 5 4 5 3" xfId="34877"/>
    <cellStyle name="Normal 3 3 5 4 6" xfId="5796"/>
    <cellStyle name="Normal 3 3 5 4 6 2" xfId="5797"/>
    <cellStyle name="Normal 3 3 5 4 6 3" xfId="34878"/>
    <cellStyle name="Normal 3 3 5 4 7" xfId="5798"/>
    <cellStyle name="Normal 3 3 5 4 8" xfId="34870"/>
    <cellStyle name="Normal 3 3 5 5" xfId="5799"/>
    <cellStyle name="Normal 3 3 5 5 2" xfId="5800"/>
    <cellStyle name="Normal 3 3 5 5 2 2" xfId="5801"/>
    <cellStyle name="Normal 3 3 5 5 2 2 2" xfId="5802"/>
    <cellStyle name="Normal 3 3 5 5 2 2 3" xfId="34881"/>
    <cellStyle name="Normal 3 3 5 5 2 3" xfId="5803"/>
    <cellStyle name="Normal 3 3 5 5 2 3 2" xfId="5804"/>
    <cellStyle name="Normal 3 3 5 5 2 4" xfId="5805"/>
    <cellStyle name="Normal 3 3 5 5 2 5" xfId="34880"/>
    <cellStyle name="Normal 3 3 5 5 3" xfId="5806"/>
    <cellStyle name="Normal 3 3 5 5 3 2" xfId="5807"/>
    <cellStyle name="Normal 3 3 5 5 3 2 2" xfId="34883"/>
    <cellStyle name="Normal 3 3 5 5 3 3" xfId="5808"/>
    <cellStyle name="Normal 3 3 5 5 3 4" xfId="34882"/>
    <cellStyle name="Normal 3 3 5 5 4" xfId="5809"/>
    <cellStyle name="Normal 3 3 5 5 4 2" xfId="5810"/>
    <cellStyle name="Normal 3 3 5 5 4 2 2" xfId="34885"/>
    <cellStyle name="Normal 3 3 5 5 4 3" xfId="34884"/>
    <cellStyle name="Normal 3 3 5 5 5" xfId="5811"/>
    <cellStyle name="Normal 3 3 5 5 5 2" xfId="5812"/>
    <cellStyle name="Normal 3 3 5 5 5 3" xfId="34886"/>
    <cellStyle name="Normal 3 3 5 5 6" xfId="5813"/>
    <cellStyle name="Normal 3 3 5 5 6 2" xfId="34887"/>
    <cellStyle name="Normal 3 3 5 5 7" xfId="34879"/>
    <cellStyle name="Normal 3 3 5 6" xfId="5814"/>
    <cellStyle name="Normal 3 3 5 6 2" xfId="5815"/>
    <cellStyle name="Normal 3 3 5 6 2 2" xfId="5816"/>
    <cellStyle name="Normal 3 3 5 6 2 2 2" xfId="34890"/>
    <cellStyle name="Normal 3 3 5 6 2 3" xfId="34889"/>
    <cellStyle name="Normal 3 3 5 6 3" xfId="5817"/>
    <cellStyle name="Normal 3 3 5 6 3 2" xfId="5818"/>
    <cellStyle name="Normal 3 3 5 6 3 2 2" xfId="34892"/>
    <cellStyle name="Normal 3 3 5 6 3 3" xfId="34891"/>
    <cellStyle name="Normal 3 3 5 6 4" xfId="5819"/>
    <cellStyle name="Normal 3 3 5 6 4 2" xfId="34894"/>
    <cellStyle name="Normal 3 3 5 6 4 3" xfId="34893"/>
    <cellStyle name="Normal 3 3 5 6 5" xfId="34895"/>
    <cellStyle name="Normal 3 3 5 6 6" xfId="34896"/>
    <cellStyle name="Normal 3 3 5 6 7" xfId="34888"/>
    <cellStyle name="Normal 3 3 5 7" xfId="5820"/>
    <cellStyle name="Normal 3 3 5 7 2" xfId="5821"/>
    <cellStyle name="Normal 3 3 5 7 2 2" xfId="5822"/>
    <cellStyle name="Normal 3 3 5 7 2 2 2" xfId="34899"/>
    <cellStyle name="Normal 3 3 5 7 2 3" xfId="34898"/>
    <cellStyle name="Normal 3 3 5 7 3" xfId="5823"/>
    <cellStyle name="Normal 3 3 5 7 3 2" xfId="5824"/>
    <cellStyle name="Normal 3 3 5 7 3 2 2" xfId="34901"/>
    <cellStyle name="Normal 3 3 5 7 3 3" xfId="34900"/>
    <cellStyle name="Normal 3 3 5 7 4" xfId="5825"/>
    <cellStyle name="Normal 3 3 5 7 4 2" xfId="34902"/>
    <cellStyle name="Normal 3 3 5 7 5" xfId="34903"/>
    <cellStyle name="Normal 3 3 5 7 6" xfId="34897"/>
    <cellStyle name="Normal 3 3 5 8" xfId="5826"/>
    <cellStyle name="Normal 3 3 5 8 2" xfId="5827"/>
    <cellStyle name="Normal 3 3 5 8 2 2" xfId="34905"/>
    <cellStyle name="Normal 3 3 5 8 3" xfId="5828"/>
    <cellStyle name="Normal 3 3 5 8 4" xfId="34904"/>
    <cellStyle name="Normal 3 3 5 9" xfId="5829"/>
    <cellStyle name="Normal 3 3 5 9 2" xfId="5830"/>
    <cellStyle name="Normal 3 3 5 9 2 2" xfId="34907"/>
    <cellStyle name="Normal 3 3 5 9 3" xfId="34906"/>
    <cellStyle name="Normal 3 3 6" xfId="5831"/>
    <cellStyle name="Normal 3 3 6 10" xfId="5832"/>
    <cellStyle name="Normal 3 3 6 10 2" xfId="34909"/>
    <cellStyle name="Normal 3 3 6 11" xfId="34910"/>
    <cellStyle name="Normal 3 3 6 12" xfId="34908"/>
    <cellStyle name="Normal 3 3 6 2" xfId="5833"/>
    <cellStyle name="Normal 3 3 6 2 2" xfId="5834"/>
    <cellStyle name="Normal 3 3 6 2 2 2" xfId="5835"/>
    <cellStyle name="Normal 3 3 6 2 2 2 2" xfId="5836"/>
    <cellStyle name="Normal 3 3 6 2 2 2 3" xfId="5837"/>
    <cellStyle name="Normal 3 3 6 2 2 2 4" xfId="34913"/>
    <cellStyle name="Normal 3 3 6 2 2 3" xfId="5838"/>
    <cellStyle name="Normal 3 3 6 2 2 3 2" xfId="5839"/>
    <cellStyle name="Normal 3 3 6 2 2 4" xfId="5840"/>
    <cellStyle name="Normal 3 3 6 2 2 4 2" xfId="5841"/>
    <cellStyle name="Normal 3 3 6 2 2 5" xfId="5842"/>
    <cellStyle name="Normal 3 3 6 2 2 6" xfId="34912"/>
    <cellStyle name="Normal 3 3 6 2 3" xfId="5843"/>
    <cellStyle name="Normal 3 3 6 2 3 2" xfId="5844"/>
    <cellStyle name="Normal 3 3 6 2 3 2 2" xfId="5845"/>
    <cellStyle name="Normal 3 3 6 2 3 2 3" xfId="34915"/>
    <cellStyle name="Normal 3 3 6 2 3 3" xfId="5846"/>
    <cellStyle name="Normal 3 3 6 2 3 3 2" xfId="5847"/>
    <cellStyle name="Normal 3 3 6 2 3 4" xfId="5848"/>
    <cellStyle name="Normal 3 3 6 2 3 5" xfId="34914"/>
    <cellStyle name="Normal 3 3 6 2 4" xfId="5849"/>
    <cellStyle name="Normal 3 3 6 2 4 2" xfId="5850"/>
    <cellStyle name="Normal 3 3 6 2 4 2 2" xfId="34917"/>
    <cellStyle name="Normal 3 3 6 2 4 3" xfId="5851"/>
    <cellStyle name="Normal 3 3 6 2 4 4" xfId="34916"/>
    <cellStyle name="Normal 3 3 6 2 5" xfId="5852"/>
    <cellStyle name="Normal 3 3 6 2 5 2" xfId="5853"/>
    <cellStyle name="Normal 3 3 6 2 5 3" xfId="34918"/>
    <cellStyle name="Normal 3 3 6 2 6" xfId="5854"/>
    <cellStyle name="Normal 3 3 6 2 6 2" xfId="5855"/>
    <cellStyle name="Normal 3 3 6 2 6 3" xfId="34919"/>
    <cellStyle name="Normal 3 3 6 2 7" xfId="5856"/>
    <cellStyle name="Normal 3 3 6 2 8" xfId="34911"/>
    <cellStyle name="Normal 3 3 6 3" xfId="5857"/>
    <cellStyle name="Normal 3 3 6 3 2" xfId="5858"/>
    <cellStyle name="Normal 3 3 6 3 2 2" xfId="5859"/>
    <cellStyle name="Normal 3 3 6 3 2 2 2" xfId="5860"/>
    <cellStyle name="Normal 3 3 6 3 2 2 3" xfId="5861"/>
    <cellStyle name="Normal 3 3 6 3 2 2 4" xfId="34922"/>
    <cellStyle name="Normal 3 3 6 3 2 3" xfId="5862"/>
    <cellStyle name="Normal 3 3 6 3 2 3 2" xfId="5863"/>
    <cellStyle name="Normal 3 3 6 3 2 4" xfId="5864"/>
    <cellStyle name="Normal 3 3 6 3 2 4 2" xfId="5865"/>
    <cellStyle name="Normal 3 3 6 3 2 5" xfId="5866"/>
    <cellStyle name="Normal 3 3 6 3 2 6" xfId="34921"/>
    <cellStyle name="Normal 3 3 6 3 3" xfId="5867"/>
    <cellStyle name="Normal 3 3 6 3 3 2" xfId="5868"/>
    <cellStyle name="Normal 3 3 6 3 3 2 2" xfId="5869"/>
    <cellStyle name="Normal 3 3 6 3 3 2 3" xfId="34924"/>
    <cellStyle name="Normal 3 3 6 3 3 3" xfId="5870"/>
    <cellStyle name="Normal 3 3 6 3 3 3 2" xfId="5871"/>
    <cellStyle name="Normal 3 3 6 3 3 4" xfId="5872"/>
    <cellStyle name="Normal 3 3 6 3 3 5" xfId="34923"/>
    <cellStyle name="Normal 3 3 6 3 4" xfId="5873"/>
    <cellStyle name="Normal 3 3 6 3 4 2" xfId="5874"/>
    <cellStyle name="Normal 3 3 6 3 4 2 2" xfId="34926"/>
    <cellStyle name="Normal 3 3 6 3 4 3" xfId="5875"/>
    <cellStyle name="Normal 3 3 6 3 4 4" xfId="34925"/>
    <cellStyle name="Normal 3 3 6 3 5" xfId="5876"/>
    <cellStyle name="Normal 3 3 6 3 5 2" xfId="5877"/>
    <cellStyle name="Normal 3 3 6 3 5 3" xfId="34927"/>
    <cellStyle name="Normal 3 3 6 3 6" xfId="5878"/>
    <cellStyle name="Normal 3 3 6 3 6 2" xfId="5879"/>
    <cellStyle name="Normal 3 3 6 3 6 3" xfId="34928"/>
    <cellStyle name="Normal 3 3 6 3 7" xfId="5880"/>
    <cellStyle name="Normal 3 3 6 3 8" xfId="34920"/>
    <cellStyle name="Normal 3 3 6 4" xfId="5881"/>
    <cellStyle name="Normal 3 3 6 4 2" xfId="5882"/>
    <cellStyle name="Normal 3 3 6 4 2 2" xfId="5883"/>
    <cellStyle name="Normal 3 3 6 4 2 2 2" xfId="5884"/>
    <cellStyle name="Normal 3 3 6 4 2 2 3" xfId="34931"/>
    <cellStyle name="Normal 3 3 6 4 2 3" xfId="5885"/>
    <cellStyle name="Normal 3 3 6 4 2 3 2" xfId="5886"/>
    <cellStyle name="Normal 3 3 6 4 2 4" xfId="5887"/>
    <cellStyle name="Normal 3 3 6 4 2 5" xfId="34930"/>
    <cellStyle name="Normal 3 3 6 4 3" xfId="5888"/>
    <cellStyle name="Normal 3 3 6 4 3 2" xfId="5889"/>
    <cellStyle name="Normal 3 3 6 4 3 2 2" xfId="34933"/>
    <cellStyle name="Normal 3 3 6 4 3 3" xfId="5890"/>
    <cellStyle name="Normal 3 3 6 4 3 4" xfId="34932"/>
    <cellStyle name="Normal 3 3 6 4 4" xfId="5891"/>
    <cellStyle name="Normal 3 3 6 4 4 2" xfId="5892"/>
    <cellStyle name="Normal 3 3 6 4 4 2 2" xfId="34935"/>
    <cellStyle name="Normal 3 3 6 4 4 3" xfId="34934"/>
    <cellStyle name="Normal 3 3 6 4 5" xfId="5893"/>
    <cellStyle name="Normal 3 3 6 4 5 2" xfId="5894"/>
    <cellStyle name="Normal 3 3 6 4 5 3" xfId="34936"/>
    <cellStyle name="Normal 3 3 6 4 6" xfId="5895"/>
    <cellStyle name="Normal 3 3 6 4 6 2" xfId="34937"/>
    <cellStyle name="Normal 3 3 6 4 7" xfId="34929"/>
    <cellStyle name="Normal 3 3 6 5" xfId="5896"/>
    <cellStyle name="Normal 3 3 6 5 2" xfId="5897"/>
    <cellStyle name="Normal 3 3 6 5 2 2" xfId="5898"/>
    <cellStyle name="Normal 3 3 6 5 2 2 2" xfId="34940"/>
    <cellStyle name="Normal 3 3 6 5 2 3" xfId="34939"/>
    <cellStyle name="Normal 3 3 6 5 3" xfId="5899"/>
    <cellStyle name="Normal 3 3 6 5 3 2" xfId="5900"/>
    <cellStyle name="Normal 3 3 6 5 3 2 2" xfId="34942"/>
    <cellStyle name="Normal 3 3 6 5 3 3" xfId="34941"/>
    <cellStyle name="Normal 3 3 6 5 4" xfId="5901"/>
    <cellStyle name="Normal 3 3 6 5 4 2" xfId="34944"/>
    <cellStyle name="Normal 3 3 6 5 4 3" xfId="34943"/>
    <cellStyle name="Normal 3 3 6 5 5" xfId="34945"/>
    <cellStyle name="Normal 3 3 6 5 6" xfId="34946"/>
    <cellStyle name="Normal 3 3 6 5 7" xfId="34938"/>
    <cellStyle name="Normal 3 3 6 6" xfId="5902"/>
    <cellStyle name="Normal 3 3 6 6 2" xfId="5903"/>
    <cellStyle name="Normal 3 3 6 6 2 2" xfId="5904"/>
    <cellStyle name="Normal 3 3 6 6 2 2 2" xfId="34949"/>
    <cellStyle name="Normal 3 3 6 6 2 3" xfId="34948"/>
    <cellStyle name="Normal 3 3 6 6 3" xfId="5905"/>
    <cellStyle name="Normal 3 3 6 6 3 2" xfId="5906"/>
    <cellStyle name="Normal 3 3 6 6 3 2 2" xfId="34951"/>
    <cellStyle name="Normal 3 3 6 6 3 3" xfId="34950"/>
    <cellStyle name="Normal 3 3 6 6 4" xfId="5907"/>
    <cellStyle name="Normal 3 3 6 6 4 2" xfId="34952"/>
    <cellStyle name="Normal 3 3 6 6 5" xfId="34953"/>
    <cellStyle name="Normal 3 3 6 6 6" xfId="34947"/>
    <cellStyle name="Normal 3 3 6 7" xfId="5908"/>
    <cellStyle name="Normal 3 3 6 7 2" xfId="5909"/>
    <cellStyle name="Normal 3 3 6 7 2 2" xfId="34955"/>
    <cellStyle name="Normal 3 3 6 7 3" xfId="5910"/>
    <cellStyle name="Normal 3 3 6 7 4" xfId="34954"/>
    <cellStyle name="Normal 3 3 6 8" xfId="5911"/>
    <cellStyle name="Normal 3 3 6 8 2" xfId="5912"/>
    <cellStyle name="Normal 3 3 6 8 2 2" xfId="34957"/>
    <cellStyle name="Normal 3 3 6 8 3" xfId="34956"/>
    <cellStyle name="Normal 3 3 6 9" xfId="5913"/>
    <cellStyle name="Normal 3 3 6 9 2" xfId="5914"/>
    <cellStyle name="Normal 3 3 6 9 2 2" xfId="34959"/>
    <cellStyle name="Normal 3 3 6 9 3" xfId="34958"/>
    <cellStyle name="Normal 3 3 7" xfId="5915"/>
    <cellStyle name="Normal 3 3 7 10" xfId="34961"/>
    <cellStyle name="Normal 3 3 7 11" xfId="34960"/>
    <cellStyle name="Normal 3 3 7 2" xfId="5916"/>
    <cellStyle name="Normal 3 3 7 2 2" xfId="5917"/>
    <cellStyle name="Normal 3 3 7 2 2 2" xfId="5918"/>
    <cellStyle name="Normal 3 3 7 2 2 2 2" xfId="5919"/>
    <cellStyle name="Normal 3 3 7 2 2 2 3" xfId="5920"/>
    <cellStyle name="Normal 3 3 7 2 2 2 4" xfId="34964"/>
    <cellStyle name="Normal 3 3 7 2 2 3" xfId="5921"/>
    <cellStyle name="Normal 3 3 7 2 2 3 2" xfId="5922"/>
    <cellStyle name="Normal 3 3 7 2 2 4" xfId="5923"/>
    <cellStyle name="Normal 3 3 7 2 2 4 2" xfId="5924"/>
    <cellStyle name="Normal 3 3 7 2 2 5" xfId="5925"/>
    <cellStyle name="Normal 3 3 7 2 2 6" xfId="34963"/>
    <cellStyle name="Normal 3 3 7 2 3" xfId="5926"/>
    <cellStyle name="Normal 3 3 7 2 3 2" xfId="5927"/>
    <cellStyle name="Normal 3 3 7 2 3 2 2" xfId="5928"/>
    <cellStyle name="Normal 3 3 7 2 3 2 3" xfId="34966"/>
    <cellStyle name="Normal 3 3 7 2 3 3" xfId="5929"/>
    <cellStyle name="Normal 3 3 7 2 3 3 2" xfId="5930"/>
    <cellStyle name="Normal 3 3 7 2 3 4" xfId="5931"/>
    <cellStyle name="Normal 3 3 7 2 3 5" xfId="34965"/>
    <cellStyle name="Normal 3 3 7 2 4" xfId="5932"/>
    <cellStyle name="Normal 3 3 7 2 4 2" xfId="5933"/>
    <cellStyle name="Normal 3 3 7 2 4 2 2" xfId="34968"/>
    <cellStyle name="Normal 3 3 7 2 4 3" xfId="5934"/>
    <cellStyle name="Normal 3 3 7 2 4 4" xfId="34967"/>
    <cellStyle name="Normal 3 3 7 2 5" xfId="5935"/>
    <cellStyle name="Normal 3 3 7 2 5 2" xfId="5936"/>
    <cellStyle name="Normal 3 3 7 2 5 3" xfId="34969"/>
    <cellStyle name="Normal 3 3 7 2 6" xfId="5937"/>
    <cellStyle name="Normal 3 3 7 2 6 2" xfId="5938"/>
    <cellStyle name="Normal 3 3 7 2 6 3" xfId="34970"/>
    <cellStyle name="Normal 3 3 7 2 7" xfId="5939"/>
    <cellStyle name="Normal 3 3 7 2 8" xfId="34962"/>
    <cellStyle name="Normal 3 3 7 3" xfId="5940"/>
    <cellStyle name="Normal 3 3 7 3 2" xfId="5941"/>
    <cellStyle name="Normal 3 3 7 3 2 2" xfId="5942"/>
    <cellStyle name="Normal 3 3 7 3 2 2 2" xfId="34973"/>
    <cellStyle name="Normal 3 3 7 3 2 3" xfId="5943"/>
    <cellStyle name="Normal 3 3 7 3 2 4" xfId="34972"/>
    <cellStyle name="Normal 3 3 7 3 3" xfId="5944"/>
    <cellStyle name="Normal 3 3 7 3 3 2" xfId="5945"/>
    <cellStyle name="Normal 3 3 7 3 3 2 2" xfId="34975"/>
    <cellStyle name="Normal 3 3 7 3 3 3" xfId="34974"/>
    <cellStyle name="Normal 3 3 7 3 4" xfId="5946"/>
    <cellStyle name="Normal 3 3 7 3 4 2" xfId="5947"/>
    <cellStyle name="Normal 3 3 7 3 4 2 2" xfId="34977"/>
    <cellStyle name="Normal 3 3 7 3 4 3" xfId="34976"/>
    <cellStyle name="Normal 3 3 7 3 5" xfId="5948"/>
    <cellStyle name="Normal 3 3 7 3 5 2" xfId="34978"/>
    <cellStyle name="Normal 3 3 7 3 6" xfId="34979"/>
    <cellStyle name="Normal 3 3 7 3 7" xfId="34971"/>
    <cellStyle name="Normal 3 3 7 4" xfId="5949"/>
    <cellStyle name="Normal 3 3 7 4 2" xfId="5950"/>
    <cellStyle name="Normal 3 3 7 4 2 2" xfId="5951"/>
    <cellStyle name="Normal 3 3 7 4 2 2 2" xfId="34982"/>
    <cellStyle name="Normal 3 3 7 4 2 3" xfId="34981"/>
    <cellStyle name="Normal 3 3 7 4 3" xfId="5952"/>
    <cellStyle name="Normal 3 3 7 4 3 2" xfId="5953"/>
    <cellStyle name="Normal 3 3 7 4 3 2 2" xfId="34984"/>
    <cellStyle name="Normal 3 3 7 4 3 3" xfId="34983"/>
    <cellStyle name="Normal 3 3 7 4 4" xfId="5954"/>
    <cellStyle name="Normal 3 3 7 4 4 2" xfId="34986"/>
    <cellStyle name="Normal 3 3 7 4 4 3" xfId="34985"/>
    <cellStyle name="Normal 3 3 7 4 5" xfId="34987"/>
    <cellStyle name="Normal 3 3 7 4 6" xfId="34988"/>
    <cellStyle name="Normal 3 3 7 4 7" xfId="34980"/>
    <cellStyle name="Normal 3 3 7 5" xfId="5955"/>
    <cellStyle name="Normal 3 3 7 5 2" xfId="5956"/>
    <cellStyle name="Normal 3 3 7 5 2 2" xfId="34991"/>
    <cellStyle name="Normal 3 3 7 5 2 3" xfId="34990"/>
    <cellStyle name="Normal 3 3 7 5 3" xfId="5957"/>
    <cellStyle name="Normal 3 3 7 5 3 2" xfId="34993"/>
    <cellStyle name="Normal 3 3 7 5 3 3" xfId="34992"/>
    <cellStyle name="Normal 3 3 7 5 4" xfId="34994"/>
    <cellStyle name="Normal 3 3 7 5 5" xfId="34995"/>
    <cellStyle name="Normal 3 3 7 5 6" xfId="34989"/>
    <cellStyle name="Normal 3 3 7 6" xfId="5958"/>
    <cellStyle name="Normal 3 3 7 6 2" xfId="5959"/>
    <cellStyle name="Normal 3 3 7 6 2 2" xfId="34997"/>
    <cellStyle name="Normal 3 3 7 6 3" xfId="34996"/>
    <cellStyle name="Normal 3 3 7 7" xfId="5960"/>
    <cellStyle name="Normal 3 3 7 7 2" xfId="5961"/>
    <cellStyle name="Normal 3 3 7 7 2 2" xfId="34999"/>
    <cellStyle name="Normal 3 3 7 7 3" xfId="34998"/>
    <cellStyle name="Normal 3 3 7 8" xfId="5962"/>
    <cellStyle name="Normal 3 3 7 8 2" xfId="35001"/>
    <cellStyle name="Normal 3 3 7 8 3" xfId="35000"/>
    <cellStyle name="Normal 3 3 7 9" xfId="35002"/>
    <cellStyle name="Normal 3 3 8" xfId="5963"/>
    <cellStyle name="Normal 3 3 8 10" xfId="35004"/>
    <cellStyle name="Normal 3 3 8 11" xfId="35003"/>
    <cellStyle name="Normal 3 3 8 2" xfId="5964"/>
    <cellStyle name="Normal 3 3 8 2 2" xfId="5965"/>
    <cellStyle name="Normal 3 3 8 2 2 2" xfId="5966"/>
    <cellStyle name="Normal 3 3 8 2 2 2 2" xfId="35007"/>
    <cellStyle name="Normal 3 3 8 2 2 3" xfId="5967"/>
    <cellStyle name="Normal 3 3 8 2 2 4" xfId="35006"/>
    <cellStyle name="Normal 3 3 8 2 3" xfId="5968"/>
    <cellStyle name="Normal 3 3 8 2 3 2" xfId="5969"/>
    <cellStyle name="Normal 3 3 8 2 3 2 2" xfId="35009"/>
    <cellStyle name="Normal 3 3 8 2 3 3" xfId="35008"/>
    <cellStyle name="Normal 3 3 8 2 4" xfId="5970"/>
    <cellStyle name="Normal 3 3 8 2 4 2" xfId="5971"/>
    <cellStyle name="Normal 3 3 8 2 4 2 2" xfId="35011"/>
    <cellStyle name="Normal 3 3 8 2 4 3" xfId="35010"/>
    <cellStyle name="Normal 3 3 8 2 5" xfId="5972"/>
    <cellStyle name="Normal 3 3 8 2 5 2" xfId="35012"/>
    <cellStyle name="Normal 3 3 8 2 6" xfId="35013"/>
    <cellStyle name="Normal 3 3 8 2 7" xfId="35005"/>
    <cellStyle name="Normal 3 3 8 3" xfId="5973"/>
    <cellStyle name="Normal 3 3 8 3 2" xfId="5974"/>
    <cellStyle name="Normal 3 3 8 3 2 2" xfId="5975"/>
    <cellStyle name="Normal 3 3 8 3 2 2 2" xfId="35016"/>
    <cellStyle name="Normal 3 3 8 3 2 3" xfId="35015"/>
    <cellStyle name="Normal 3 3 8 3 3" xfId="5976"/>
    <cellStyle name="Normal 3 3 8 3 3 2" xfId="5977"/>
    <cellStyle name="Normal 3 3 8 3 3 2 2" xfId="35018"/>
    <cellStyle name="Normal 3 3 8 3 3 3" xfId="35017"/>
    <cellStyle name="Normal 3 3 8 3 4" xfId="5978"/>
    <cellStyle name="Normal 3 3 8 3 4 2" xfId="35020"/>
    <cellStyle name="Normal 3 3 8 3 4 3" xfId="35019"/>
    <cellStyle name="Normal 3 3 8 3 5" xfId="35021"/>
    <cellStyle name="Normal 3 3 8 3 6" xfId="35022"/>
    <cellStyle name="Normal 3 3 8 3 7" xfId="35014"/>
    <cellStyle name="Normal 3 3 8 4" xfId="5979"/>
    <cellStyle name="Normal 3 3 8 4 2" xfId="5980"/>
    <cellStyle name="Normal 3 3 8 4 2 2" xfId="35025"/>
    <cellStyle name="Normal 3 3 8 4 2 3" xfId="35024"/>
    <cellStyle name="Normal 3 3 8 4 3" xfId="5981"/>
    <cellStyle name="Normal 3 3 8 4 3 2" xfId="35027"/>
    <cellStyle name="Normal 3 3 8 4 3 3" xfId="35026"/>
    <cellStyle name="Normal 3 3 8 4 4" xfId="35028"/>
    <cellStyle name="Normal 3 3 8 4 4 2" xfId="35029"/>
    <cellStyle name="Normal 3 3 8 4 5" xfId="35030"/>
    <cellStyle name="Normal 3 3 8 4 6" xfId="35031"/>
    <cellStyle name="Normal 3 3 8 4 7" xfId="35023"/>
    <cellStyle name="Normal 3 3 8 5" xfId="5982"/>
    <cellStyle name="Normal 3 3 8 5 2" xfId="5983"/>
    <cellStyle name="Normal 3 3 8 5 2 2" xfId="35034"/>
    <cellStyle name="Normal 3 3 8 5 2 3" xfId="35033"/>
    <cellStyle name="Normal 3 3 8 5 3" xfId="35035"/>
    <cellStyle name="Normal 3 3 8 5 3 2" xfId="35036"/>
    <cellStyle name="Normal 3 3 8 5 4" xfId="35037"/>
    <cellStyle name="Normal 3 3 8 5 5" xfId="35038"/>
    <cellStyle name="Normal 3 3 8 5 6" xfId="35032"/>
    <cellStyle name="Normal 3 3 8 6" xfId="5984"/>
    <cellStyle name="Normal 3 3 8 6 2" xfId="5985"/>
    <cellStyle name="Normal 3 3 8 6 2 2" xfId="35040"/>
    <cellStyle name="Normal 3 3 8 6 3" xfId="35039"/>
    <cellStyle name="Normal 3 3 8 7" xfId="5986"/>
    <cellStyle name="Normal 3 3 8 7 2" xfId="35042"/>
    <cellStyle name="Normal 3 3 8 7 3" xfId="35041"/>
    <cellStyle name="Normal 3 3 8 8" xfId="35043"/>
    <cellStyle name="Normal 3 3 8 8 2" xfId="35044"/>
    <cellStyle name="Normal 3 3 8 9" xfId="35045"/>
    <cellStyle name="Normal 3 3 9" xfId="5987"/>
    <cellStyle name="Normal 3 3 9 2" xfId="5988"/>
    <cellStyle name="Normal 3 3 9 2 2" xfId="5989"/>
    <cellStyle name="Normal 3 3 9 2 2 2" xfId="5990"/>
    <cellStyle name="Normal 3 3 9 2 2 3" xfId="5991"/>
    <cellStyle name="Normal 3 3 9 2 2 4" xfId="35048"/>
    <cellStyle name="Normal 3 3 9 2 3" xfId="5992"/>
    <cellStyle name="Normal 3 3 9 2 3 2" xfId="5993"/>
    <cellStyle name="Normal 3 3 9 2 4" xfId="5994"/>
    <cellStyle name="Normal 3 3 9 2 4 2" xfId="5995"/>
    <cellStyle name="Normal 3 3 9 2 5" xfId="5996"/>
    <cellStyle name="Normal 3 3 9 2 6" xfId="35047"/>
    <cellStyle name="Normal 3 3 9 3" xfId="5997"/>
    <cellStyle name="Normal 3 3 9 3 2" xfId="5998"/>
    <cellStyle name="Normal 3 3 9 3 2 2" xfId="5999"/>
    <cellStyle name="Normal 3 3 9 3 2 3" xfId="35050"/>
    <cellStyle name="Normal 3 3 9 3 3" xfId="6000"/>
    <cellStyle name="Normal 3 3 9 3 3 2" xfId="6001"/>
    <cellStyle name="Normal 3 3 9 3 4" xfId="6002"/>
    <cellStyle name="Normal 3 3 9 3 5" xfId="35049"/>
    <cellStyle name="Normal 3 3 9 4" xfId="6003"/>
    <cellStyle name="Normal 3 3 9 4 2" xfId="6004"/>
    <cellStyle name="Normal 3 3 9 4 2 2" xfId="35052"/>
    <cellStyle name="Normal 3 3 9 4 3" xfId="6005"/>
    <cellStyle name="Normal 3 3 9 4 4" xfId="35051"/>
    <cellStyle name="Normal 3 3 9 5" xfId="6006"/>
    <cellStyle name="Normal 3 3 9 5 2" xfId="6007"/>
    <cellStyle name="Normal 3 3 9 5 3" xfId="35053"/>
    <cellStyle name="Normal 3 3 9 6" xfId="6008"/>
    <cellStyle name="Normal 3 3 9 6 2" xfId="6009"/>
    <cellStyle name="Normal 3 3 9 6 3" xfId="35054"/>
    <cellStyle name="Normal 3 3 9 7" xfId="6010"/>
    <cellStyle name="Normal 3 3 9 8" xfId="35046"/>
    <cellStyle name="Normal 3 4" xfId="6011"/>
    <cellStyle name="Normal 3 4 10" xfId="6012"/>
    <cellStyle name="Normal 3 4 10 2" xfId="6013"/>
    <cellStyle name="Normal 3 4 10 2 2" xfId="6014"/>
    <cellStyle name="Normal 3 4 10 3" xfId="6015"/>
    <cellStyle name="Normal 3 4 10 3 2" xfId="6016"/>
    <cellStyle name="Normal 3 4 10 4" xfId="6017"/>
    <cellStyle name="Normal 3 4 11" xfId="6018"/>
    <cellStyle name="Normal 3 4 11 2" xfId="6019"/>
    <cellStyle name="Normal 3 4 11 3" xfId="6020"/>
    <cellStyle name="Normal 3 4 12" xfId="6021"/>
    <cellStyle name="Normal 3 4 12 2" xfId="6022"/>
    <cellStyle name="Normal 3 4 13" xfId="6023"/>
    <cellStyle name="Normal 3 4 13 2" xfId="6024"/>
    <cellStyle name="Normal 3 4 14" xfId="6025"/>
    <cellStyle name="Normal 3 4 15" xfId="35055"/>
    <cellStyle name="Normal 3 4 2" xfId="6026"/>
    <cellStyle name="Normal 3 4 2 10" xfId="6027"/>
    <cellStyle name="Normal 3 4 2 10 2" xfId="6028"/>
    <cellStyle name="Normal 3 4 2 11" xfId="6029"/>
    <cellStyle name="Normal 3 4 2 11 2" xfId="6030"/>
    <cellStyle name="Normal 3 4 2 12" xfId="6031"/>
    <cellStyle name="Normal 3 4 2 13" xfId="35056"/>
    <cellStyle name="Normal 3 4 2 2" xfId="6032"/>
    <cellStyle name="Normal 3 4 2 2 10" xfId="6033"/>
    <cellStyle name="Normal 3 4 2 2 2" xfId="6034"/>
    <cellStyle name="Normal 3 4 2 2 2 2" xfId="6035"/>
    <cellStyle name="Normal 3 4 2 2 2 2 2" xfId="6036"/>
    <cellStyle name="Normal 3 4 2 2 2 2 2 2" xfId="6037"/>
    <cellStyle name="Normal 3 4 2 2 2 2 2 3" xfId="6038"/>
    <cellStyle name="Normal 3 4 2 2 2 2 3" xfId="6039"/>
    <cellStyle name="Normal 3 4 2 2 2 2 3 2" xfId="6040"/>
    <cellStyle name="Normal 3 4 2 2 2 2 4" xfId="6041"/>
    <cellStyle name="Normal 3 4 2 2 2 2 4 2" xfId="6042"/>
    <cellStyle name="Normal 3 4 2 2 2 2 5" xfId="6043"/>
    <cellStyle name="Normal 3 4 2 2 2 3" xfId="6044"/>
    <cellStyle name="Normal 3 4 2 2 2 3 2" xfId="6045"/>
    <cellStyle name="Normal 3 4 2 2 2 3 2 2" xfId="6046"/>
    <cellStyle name="Normal 3 4 2 2 2 3 3" xfId="6047"/>
    <cellStyle name="Normal 3 4 2 2 2 3 3 2" xfId="6048"/>
    <cellStyle name="Normal 3 4 2 2 2 3 4" xfId="6049"/>
    <cellStyle name="Normal 3 4 2 2 2 4" xfId="6050"/>
    <cellStyle name="Normal 3 4 2 2 2 4 2" xfId="6051"/>
    <cellStyle name="Normal 3 4 2 2 2 4 3" xfId="6052"/>
    <cellStyle name="Normal 3 4 2 2 2 5" xfId="6053"/>
    <cellStyle name="Normal 3 4 2 2 2 5 2" xfId="6054"/>
    <cellStyle name="Normal 3 4 2 2 2 6" xfId="6055"/>
    <cellStyle name="Normal 3 4 2 2 2 6 2" xfId="6056"/>
    <cellStyle name="Normal 3 4 2 2 2 7" xfId="6057"/>
    <cellStyle name="Normal 3 4 2 2 3" xfId="6058"/>
    <cellStyle name="Normal 3 4 2 2 3 2" xfId="6059"/>
    <cellStyle name="Normal 3 4 2 2 3 2 2" xfId="6060"/>
    <cellStyle name="Normal 3 4 2 2 3 2 2 2" xfId="6061"/>
    <cellStyle name="Normal 3 4 2 2 3 2 2 3" xfId="6062"/>
    <cellStyle name="Normal 3 4 2 2 3 2 3" xfId="6063"/>
    <cellStyle name="Normal 3 4 2 2 3 2 3 2" xfId="6064"/>
    <cellStyle name="Normal 3 4 2 2 3 2 4" xfId="6065"/>
    <cellStyle name="Normal 3 4 2 2 3 2 4 2" xfId="6066"/>
    <cellStyle name="Normal 3 4 2 2 3 2 5" xfId="6067"/>
    <cellStyle name="Normal 3 4 2 2 3 3" xfId="6068"/>
    <cellStyle name="Normal 3 4 2 2 3 3 2" xfId="6069"/>
    <cellStyle name="Normal 3 4 2 2 3 3 2 2" xfId="6070"/>
    <cellStyle name="Normal 3 4 2 2 3 3 3" xfId="6071"/>
    <cellStyle name="Normal 3 4 2 2 3 3 3 2" xfId="6072"/>
    <cellStyle name="Normal 3 4 2 2 3 3 4" xfId="6073"/>
    <cellStyle name="Normal 3 4 2 2 3 4" xfId="6074"/>
    <cellStyle name="Normal 3 4 2 2 3 4 2" xfId="6075"/>
    <cellStyle name="Normal 3 4 2 2 3 4 3" xfId="6076"/>
    <cellStyle name="Normal 3 4 2 2 3 5" xfId="6077"/>
    <cellStyle name="Normal 3 4 2 2 3 5 2" xfId="6078"/>
    <cellStyle name="Normal 3 4 2 2 3 6" xfId="6079"/>
    <cellStyle name="Normal 3 4 2 2 3 6 2" xfId="6080"/>
    <cellStyle name="Normal 3 4 2 2 3 7" xfId="6081"/>
    <cellStyle name="Normal 3 4 2 2 4" xfId="6082"/>
    <cellStyle name="Normal 3 4 2 2 4 2" xfId="6083"/>
    <cellStyle name="Normal 3 4 2 2 4 2 2" xfId="6084"/>
    <cellStyle name="Normal 3 4 2 2 4 2 2 2" xfId="6085"/>
    <cellStyle name="Normal 3 4 2 2 4 2 3" xfId="6086"/>
    <cellStyle name="Normal 3 4 2 2 4 2 3 2" xfId="6087"/>
    <cellStyle name="Normal 3 4 2 2 4 2 4" xfId="6088"/>
    <cellStyle name="Normal 3 4 2 2 4 3" xfId="6089"/>
    <cellStyle name="Normal 3 4 2 2 4 3 2" xfId="6090"/>
    <cellStyle name="Normal 3 4 2 2 4 3 3" xfId="6091"/>
    <cellStyle name="Normal 3 4 2 2 4 4" xfId="6092"/>
    <cellStyle name="Normal 3 4 2 2 4 4 2" xfId="6093"/>
    <cellStyle name="Normal 3 4 2 2 4 5" xfId="6094"/>
    <cellStyle name="Normal 3 4 2 2 4 5 2" xfId="6095"/>
    <cellStyle name="Normal 3 4 2 2 4 6" xfId="6096"/>
    <cellStyle name="Normal 3 4 2 2 5" xfId="6097"/>
    <cellStyle name="Normal 3 4 2 2 5 2" xfId="6098"/>
    <cellStyle name="Normal 3 4 2 2 5 2 2" xfId="6099"/>
    <cellStyle name="Normal 3 4 2 2 5 3" xfId="6100"/>
    <cellStyle name="Normal 3 4 2 2 5 3 2" xfId="6101"/>
    <cellStyle name="Normal 3 4 2 2 5 4" xfId="6102"/>
    <cellStyle name="Normal 3 4 2 2 6" xfId="6103"/>
    <cellStyle name="Normal 3 4 2 2 6 2" xfId="6104"/>
    <cellStyle name="Normal 3 4 2 2 6 2 2" xfId="6105"/>
    <cellStyle name="Normal 3 4 2 2 6 3" xfId="6106"/>
    <cellStyle name="Normal 3 4 2 2 6 3 2" xfId="6107"/>
    <cellStyle name="Normal 3 4 2 2 6 4" xfId="6108"/>
    <cellStyle name="Normal 3 4 2 2 7" xfId="6109"/>
    <cellStyle name="Normal 3 4 2 2 7 2" xfId="6110"/>
    <cellStyle name="Normal 3 4 2 2 7 3" xfId="6111"/>
    <cellStyle name="Normal 3 4 2 2 8" xfId="6112"/>
    <cellStyle name="Normal 3 4 2 2 8 2" xfId="6113"/>
    <cellStyle name="Normal 3 4 2 2 9" xfId="6114"/>
    <cellStyle name="Normal 3 4 2 2 9 2" xfId="6115"/>
    <cellStyle name="Normal 3 4 2 3" xfId="6116"/>
    <cellStyle name="Normal 3 4 2 3 2" xfId="6117"/>
    <cellStyle name="Normal 3 4 2 3 2 2" xfId="6118"/>
    <cellStyle name="Normal 3 4 2 3 2 2 2" xfId="6119"/>
    <cellStyle name="Normal 3 4 2 3 2 2 2 2" xfId="6120"/>
    <cellStyle name="Normal 3 4 2 3 2 2 2 3" xfId="6121"/>
    <cellStyle name="Normal 3 4 2 3 2 2 3" xfId="6122"/>
    <cellStyle name="Normal 3 4 2 3 2 2 3 2" xfId="6123"/>
    <cellStyle name="Normal 3 4 2 3 2 2 4" xfId="6124"/>
    <cellStyle name="Normal 3 4 2 3 2 2 4 2" xfId="6125"/>
    <cellStyle name="Normal 3 4 2 3 2 2 5" xfId="6126"/>
    <cellStyle name="Normal 3 4 2 3 2 3" xfId="6127"/>
    <cellStyle name="Normal 3 4 2 3 2 3 2" xfId="6128"/>
    <cellStyle name="Normal 3 4 2 3 2 3 2 2" xfId="6129"/>
    <cellStyle name="Normal 3 4 2 3 2 3 3" xfId="6130"/>
    <cellStyle name="Normal 3 4 2 3 2 3 3 2" xfId="6131"/>
    <cellStyle name="Normal 3 4 2 3 2 3 4" xfId="6132"/>
    <cellStyle name="Normal 3 4 2 3 2 4" xfId="6133"/>
    <cellStyle name="Normal 3 4 2 3 2 4 2" xfId="6134"/>
    <cellStyle name="Normal 3 4 2 3 2 4 3" xfId="6135"/>
    <cellStyle name="Normal 3 4 2 3 2 5" xfId="6136"/>
    <cellStyle name="Normal 3 4 2 3 2 5 2" xfId="6137"/>
    <cellStyle name="Normal 3 4 2 3 2 6" xfId="6138"/>
    <cellStyle name="Normal 3 4 2 3 2 6 2" xfId="6139"/>
    <cellStyle name="Normal 3 4 2 3 2 7" xfId="6140"/>
    <cellStyle name="Normal 3 4 2 3 3" xfId="6141"/>
    <cellStyle name="Normal 3 4 2 3 3 2" xfId="6142"/>
    <cellStyle name="Normal 3 4 2 3 3 2 2" xfId="6143"/>
    <cellStyle name="Normal 3 4 2 3 3 2 3" xfId="6144"/>
    <cellStyle name="Normal 3 4 2 3 3 3" xfId="6145"/>
    <cellStyle name="Normal 3 4 2 3 3 3 2" xfId="6146"/>
    <cellStyle name="Normal 3 4 2 3 3 4" xfId="6147"/>
    <cellStyle name="Normal 3 4 2 3 3 4 2" xfId="6148"/>
    <cellStyle name="Normal 3 4 2 3 3 5" xfId="6149"/>
    <cellStyle name="Normal 3 4 2 3 4" xfId="6150"/>
    <cellStyle name="Normal 3 4 2 3 4 2" xfId="6151"/>
    <cellStyle name="Normal 3 4 2 3 4 2 2" xfId="6152"/>
    <cellStyle name="Normal 3 4 2 3 4 3" xfId="6153"/>
    <cellStyle name="Normal 3 4 2 3 4 3 2" xfId="6154"/>
    <cellStyle name="Normal 3 4 2 3 4 4" xfId="6155"/>
    <cellStyle name="Normal 3 4 2 3 5" xfId="6156"/>
    <cellStyle name="Normal 3 4 2 3 5 2" xfId="6157"/>
    <cellStyle name="Normal 3 4 2 3 5 3" xfId="6158"/>
    <cellStyle name="Normal 3 4 2 3 6" xfId="6159"/>
    <cellStyle name="Normal 3 4 2 3 6 2" xfId="6160"/>
    <cellStyle name="Normal 3 4 2 3 7" xfId="6161"/>
    <cellStyle name="Normal 3 4 2 3 7 2" xfId="6162"/>
    <cellStyle name="Normal 3 4 2 3 8" xfId="6163"/>
    <cellStyle name="Normal 3 4 2 4" xfId="6164"/>
    <cellStyle name="Normal 3 4 2 4 2" xfId="6165"/>
    <cellStyle name="Normal 3 4 2 4 2 2" xfId="6166"/>
    <cellStyle name="Normal 3 4 2 4 2 2 2" xfId="6167"/>
    <cellStyle name="Normal 3 4 2 4 2 2 3" xfId="6168"/>
    <cellStyle name="Normal 3 4 2 4 2 3" xfId="6169"/>
    <cellStyle name="Normal 3 4 2 4 2 3 2" xfId="6170"/>
    <cellStyle name="Normal 3 4 2 4 2 4" xfId="6171"/>
    <cellStyle name="Normal 3 4 2 4 2 4 2" xfId="6172"/>
    <cellStyle name="Normal 3 4 2 4 2 5" xfId="6173"/>
    <cellStyle name="Normal 3 4 2 4 3" xfId="6174"/>
    <cellStyle name="Normal 3 4 2 4 3 2" xfId="6175"/>
    <cellStyle name="Normal 3 4 2 4 3 2 2" xfId="6176"/>
    <cellStyle name="Normal 3 4 2 4 3 3" xfId="6177"/>
    <cellStyle name="Normal 3 4 2 4 3 3 2" xfId="6178"/>
    <cellStyle name="Normal 3 4 2 4 3 4" xfId="6179"/>
    <cellStyle name="Normal 3 4 2 4 4" xfId="6180"/>
    <cellStyle name="Normal 3 4 2 4 4 2" xfId="6181"/>
    <cellStyle name="Normal 3 4 2 4 4 3" xfId="6182"/>
    <cellStyle name="Normal 3 4 2 4 5" xfId="6183"/>
    <cellStyle name="Normal 3 4 2 4 5 2" xfId="6184"/>
    <cellStyle name="Normal 3 4 2 4 6" xfId="6185"/>
    <cellStyle name="Normal 3 4 2 4 6 2" xfId="6186"/>
    <cellStyle name="Normal 3 4 2 4 7" xfId="6187"/>
    <cellStyle name="Normal 3 4 2 5" xfId="6188"/>
    <cellStyle name="Normal 3 4 2 5 2" xfId="6189"/>
    <cellStyle name="Normal 3 4 2 5 2 2" xfId="6190"/>
    <cellStyle name="Normal 3 4 2 5 2 2 2" xfId="6191"/>
    <cellStyle name="Normal 3 4 2 5 2 2 3" xfId="6192"/>
    <cellStyle name="Normal 3 4 2 5 2 3" xfId="6193"/>
    <cellStyle name="Normal 3 4 2 5 2 3 2" xfId="6194"/>
    <cellStyle name="Normal 3 4 2 5 2 4" xfId="6195"/>
    <cellStyle name="Normal 3 4 2 5 2 4 2" xfId="6196"/>
    <cellStyle name="Normal 3 4 2 5 2 5" xfId="6197"/>
    <cellStyle name="Normal 3 4 2 5 3" xfId="6198"/>
    <cellStyle name="Normal 3 4 2 5 3 2" xfId="6199"/>
    <cellStyle name="Normal 3 4 2 5 3 2 2" xfId="6200"/>
    <cellStyle name="Normal 3 4 2 5 3 3" xfId="6201"/>
    <cellStyle name="Normal 3 4 2 5 3 3 2" xfId="6202"/>
    <cellStyle name="Normal 3 4 2 5 3 4" xfId="6203"/>
    <cellStyle name="Normal 3 4 2 5 4" xfId="6204"/>
    <cellStyle name="Normal 3 4 2 5 4 2" xfId="6205"/>
    <cellStyle name="Normal 3 4 2 5 4 3" xfId="6206"/>
    <cellStyle name="Normal 3 4 2 5 5" xfId="6207"/>
    <cellStyle name="Normal 3 4 2 5 5 2" xfId="6208"/>
    <cellStyle name="Normal 3 4 2 5 6" xfId="6209"/>
    <cellStyle name="Normal 3 4 2 5 6 2" xfId="6210"/>
    <cellStyle name="Normal 3 4 2 5 7" xfId="6211"/>
    <cellStyle name="Normal 3 4 2 6" xfId="6212"/>
    <cellStyle name="Normal 3 4 2 6 2" xfId="6213"/>
    <cellStyle name="Normal 3 4 2 6 2 2" xfId="6214"/>
    <cellStyle name="Normal 3 4 2 6 2 2 2" xfId="6215"/>
    <cellStyle name="Normal 3 4 2 6 2 3" xfId="6216"/>
    <cellStyle name="Normal 3 4 2 6 2 3 2" xfId="6217"/>
    <cellStyle name="Normal 3 4 2 6 2 4" xfId="6218"/>
    <cellStyle name="Normal 3 4 2 6 3" xfId="6219"/>
    <cellStyle name="Normal 3 4 2 6 3 2" xfId="6220"/>
    <cellStyle name="Normal 3 4 2 6 3 3" xfId="6221"/>
    <cellStyle name="Normal 3 4 2 6 4" xfId="6222"/>
    <cellStyle name="Normal 3 4 2 6 4 2" xfId="6223"/>
    <cellStyle name="Normal 3 4 2 6 5" xfId="6224"/>
    <cellStyle name="Normal 3 4 2 6 5 2" xfId="6225"/>
    <cellStyle name="Normal 3 4 2 6 6" xfId="6226"/>
    <cellStyle name="Normal 3 4 2 7" xfId="6227"/>
    <cellStyle name="Normal 3 4 2 7 2" xfId="6228"/>
    <cellStyle name="Normal 3 4 2 7 2 2" xfId="6229"/>
    <cellStyle name="Normal 3 4 2 7 3" xfId="6230"/>
    <cellStyle name="Normal 3 4 2 7 3 2" xfId="6231"/>
    <cellStyle name="Normal 3 4 2 7 4" xfId="6232"/>
    <cellStyle name="Normal 3 4 2 8" xfId="6233"/>
    <cellStyle name="Normal 3 4 2 8 2" xfId="6234"/>
    <cellStyle name="Normal 3 4 2 8 2 2" xfId="6235"/>
    <cellStyle name="Normal 3 4 2 8 3" xfId="6236"/>
    <cellStyle name="Normal 3 4 2 8 3 2" xfId="6237"/>
    <cellStyle name="Normal 3 4 2 8 4" xfId="6238"/>
    <cellStyle name="Normal 3 4 2 9" xfId="6239"/>
    <cellStyle name="Normal 3 4 2 9 2" xfId="6240"/>
    <cellStyle name="Normal 3 4 2 9 3" xfId="6241"/>
    <cellStyle name="Normal 3 4 3" xfId="6242"/>
    <cellStyle name="Normal 3 4 3 10" xfId="6243"/>
    <cellStyle name="Normal 3 4 3 10 2" xfId="6244"/>
    <cellStyle name="Normal 3 4 3 11" xfId="6245"/>
    <cellStyle name="Normal 3 4 3 2" xfId="6246"/>
    <cellStyle name="Normal 3 4 3 2 2" xfId="6247"/>
    <cellStyle name="Normal 3 4 3 2 2 2" xfId="6248"/>
    <cellStyle name="Normal 3 4 3 2 2 2 2" xfId="6249"/>
    <cellStyle name="Normal 3 4 3 2 2 2 2 2" xfId="6250"/>
    <cellStyle name="Normal 3 4 3 2 2 2 2 3" xfId="6251"/>
    <cellStyle name="Normal 3 4 3 2 2 2 3" xfId="6252"/>
    <cellStyle name="Normal 3 4 3 2 2 2 3 2" xfId="6253"/>
    <cellStyle name="Normal 3 4 3 2 2 2 4" xfId="6254"/>
    <cellStyle name="Normal 3 4 3 2 2 2 4 2" xfId="6255"/>
    <cellStyle name="Normal 3 4 3 2 2 2 5" xfId="6256"/>
    <cellStyle name="Normal 3 4 3 2 2 3" xfId="6257"/>
    <cellStyle name="Normal 3 4 3 2 2 3 2" xfId="6258"/>
    <cellStyle name="Normal 3 4 3 2 2 3 2 2" xfId="6259"/>
    <cellStyle name="Normal 3 4 3 2 2 3 3" xfId="6260"/>
    <cellStyle name="Normal 3 4 3 2 2 3 3 2" xfId="6261"/>
    <cellStyle name="Normal 3 4 3 2 2 3 4" xfId="6262"/>
    <cellStyle name="Normal 3 4 3 2 2 4" xfId="6263"/>
    <cellStyle name="Normal 3 4 3 2 2 4 2" xfId="6264"/>
    <cellStyle name="Normal 3 4 3 2 2 4 3" xfId="6265"/>
    <cellStyle name="Normal 3 4 3 2 2 5" xfId="6266"/>
    <cellStyle name="Normal 3 4 3 2 2 5 2" xfId="6267"/>
    <cellStyle name="Normal 3 4 3 2 2 6" xfId="6268"/>
    <cellStyle name="Normal 3 4 3 2 2 6 2" xfId="6269"/>
    <cellStyle name="Normal 3 4 3 2 2 7" xfId="6270"/>
    <cellStyle name="Normal 3 4 3 2 3" xfId="6271"/>
    <cellStyle name="Normal 3 4 3 2 3 2" xfId="6272"/>
    <cellStyle name="Normal 3 4 3 2 3 2 2" xfId="6273"/>
    <cellStyle name="Normal 3 4 3 2 3 2 3" xfId="6274"/>
    <cellStyle name="Normal 3 4 3 2 3 3" xfId="6275"/>
    <cellStyle name="Normal 3 4 3 2 3 3 2" xfId="6276"/>
    <cellStyle name="Normal 3 4 3 2 3 4" xfId="6277"/>
    <cellStyle name="Normal 3 4 3 2 3 4 2" xfId="6278"/>
    <cellStyle name="Normal 3 4 3 2 3 5" xfId="6279"/>
    <cellStyle name="Normal 3 4 3 2 4" xfId="6280"/>
    <cellStyle name="Normal 3 4 3 2 4 2" xfId="6281"/>
    <cellStyle name="Normal 3 4 3 2 4 2 2" xfId="6282"/>
    <cellStyle name="Normal 3 4 3 2 4 3" xfId="6283"/>
    <cellStyle name="Normal 3 4 3 2 4 3 2" xfId="6284"/>
    <cellStyle name="Normal 3 4 3 2 4 4" xfId="6285"/>
    <cellStyle name="Normal 3 4 3 2 5" xfId="6286"/>
    <cellStyle name="Normal 3 4 3 2 5 2" xfId="6287"/>
    <cellStyle name="Normal 3 4 3 2 5 3" xfId="6288"/>
    <cellStyle name="Normal 3 4 3 2 6" xfId="6289"/>
    <cellStyle name="Normal 3 4 3 2 6 2" xfId="6290"/>
    <cellStyle name="Normal 3 4 3 2 7" xfId="6291"/>
    <cellStyle name="Normal 3 4 3 2 7 2" xfId="6292"/>
    <cellStyle name="Normal 3 4 3 2 8" xfId="6293"/>
    <cellStyle name="Normal 3 4 3 3" xfId="6294"/>
    <cellStyle name="Normal 3 4 3 3 2" xfId="6295"/>
    <cellStyle name="Normal 3 4 3 3 2 2" xfId="6296"/>
    <cellStyle name="Normal 3 4 3 3 2 2 2" xfId="6297"/>
    <cellStyle name="Normal 3 4 3 3 2 2 3" xfId="6298"/>
    <cellStyle name="Normal 3 4 3 3 2 3" xfId="6299"/>
    <cellStyle name="Normal 3 4 3 3 2 3 2" xfId="6300"/>
    <cellStyle name="Normal 3 4 3 3 2 4" xfId="6301"/>
    <cellStyle name="Normal 3 4 3 3 2 4 2" xfId="6302"/>
    <cellStyle name="Normal 3 4 3 3 2 5" xfId="6303"/>
    <cellStyle name="Normal 3 4 3 3 3" xfId="6304"/>
    <cellStyle name="Normal 3 4 3 3 3 2" xfId="6305"/>
    <cellStyle name="Normal 3 4 3 3 3 2 2" xfId="6306"/>
    <cellStyle name="Normal 3 4 3 3 3 3" xfId="6307"/>
    <cellStyle name="Normal 3 4 3 3 3 3 2" xfId="6308"/>
    <cellStyle name="Normal 3 4 3 3 3 4" xfId="6309"/>
    <cellStyle name="Normal 3 4 3 3 4" xfId="6310"/>
    <cellStyle name="Normal 3 4 3 3 4 2" xfId="6311"/>
    <cellStyle name="Normal 3 4 3 3 4 3" xfId="6312"/>
    <cellStyle name="Normal 3 4 3 3 5" xfId="6313"/>
    <cellStyle name="Normal 3 4 3 3 5 2" xfId="6314"/>
    <cellStyle name="Normal 3 4 3 3 6" xfId="6315"/>
    <cellStyle name="Normal 3 4 3 3 6 2" xfId="6316"/>
    <cellStyle name="Normal 3 4 3 3 7" xfId="6317"/>
    <cellStyle name="Normal 3 4 3 4" xfId="6318"/>
    <cellStyle name="Normal 3 4 3 4 2" xfId="6319"/>
    <cellStyle name="Normal 3 4 3 4 2 2" xfId="6320"/>
    <cellStyle name="Normal 3 4 3 4 2 2 2" xfId="6321"/>
    <cellStyle name="Normal 3 4 3 4 2 2 3" xfId="6322"/>
    <cellStyle name="Normal 3 4 3 4 2 3" xfId="6323"/>
    <cellStyle name="Normal 3 4 3 4 2 3 2" xfId="6324"/>
    <cellStyle name="Normal 3 4 3 4 2 4" xfId="6325"/>
    <cellStyle name="Normal 3 4 3 4 2 4 2" xfId="6326"/>
    <cellStyle name="Normal 3 4 3 4 2 5" xfId="6327"/>
    <cellStyle name="Normal 3 4 3 4 3" xfId="6328"/>
    <cellStyle name="Normal 3 4 3 4 3 2" xfId="6329"/>
    <cellStyle name="Normal 3 4 3 4 3 2 2" xfId="6330"/>
    <cellStyle name="Normal 3 4 3 4 3 3" xfId="6331"/>
    <cellStyle name="Normal 3 4 3 4 3 3 2" xfId="6332"/>
    <cellStyle name="Normal 3 4 3 4 3 4" xfId="6333"/>
    <cellStyle name="Normal 3 4 3 4 4" xfId="6334"/>
    <cellStyle name="Normal 3 4 3 4 4 2" xfId="6335"/>
    <cellStyle name="Normal 3 4 3 4 4 3" xfId="6336"/>
    <cellStyle name="Normal 3 4 3 4 5" xfId="6337"/>
    <cellStyle name="Normal 3 4 3 4 5 2" xfId="6338"/>
    <cellStyle name="Normal 3 4 3 4 6" xfId="6339"/>
    <cellStyle name="Normal 3 4 3 4 6 2" xfId="6340"/>
    <cellStyle name="Normal 3 4 3 4 7" xfId="6341"/>
    <cellStyle name="Normal 3 4 3 5" xfId="6342"/>
    <cellStyle name="Normal 3 4 3 5 2" xfId="6343"/>
    <cellStyle name="Normal 3 4 3 5 2 2" xfId="6344"/>
    <cellStyle name="Normal 3 4 3 5 2 2 2" xfId="6345"/>
    <cellStyle name="Normal 3 4 3 5 2 3" xfId="6346"/>
    <cellStyle name="Normal 3 4 3 5 2 3 2" xfId="6347"/>
    <cellStyle name="Normal 3 4 3 5 2 4" xfId="6348"/>
    <cellStyle name="Normal 3 4 3 5 3" xfId="6349"/>
    <cellStyle name="Normal 3 4 3 5 3 2" xfId="6350"/>
    <cellStyle name="Normal 3 4 3 5 3 3" xfId="6351"/>
    <cellStyle name="Normal 3 4 3 5 4" xfId="6352"/>
    <cellStyle name="Normal 3 4 3 5 4 2" xfId="6353"/>
    <cellStyle name="Normal 3 4 3 5 5" xfId="6354"/>
    <cellStyle name="Normal 3 4 3 5 5 2" xfId="6355"/>
    <cellStyle name="Normal 3 4 3 5 6" xfId="6356"/>
    <cellStyle name="Normal 3 4 3 6" xfId="6357"/>
    <cellStyle name="Normal 3 4 3 6 2" xfId="6358"/>
    <cellStyle name="Normal 3 4 3 6 2 2" xfId="6359"/>
    <cellStyle name="Normal 3 4 3 6 3" xfId="6360"/>
    <cellStyle name="Normal 3 4 3 6 3 2" xfId="6361"/>
    <cellStyle name="Normal 3 4 3 6 4" xfId="6362"/>
    <cellStyle name="Normal 3 4 3 7" xfId="6363"/>
    <cellStyle name="Normal 3 4 3 7 2" xfId="6364"/>
    <cellStyle name="Normal 3 4 3 7 2 2" xfId="6365"/>
    <cellStyle name="Normal 3 4 3 7 3" xfId="6366"/>
    <cellStyle name="Normal 3 4 3 7 3 2" xfId="6367"/>
    <cellStyle name="Normal 3 4 3 7 4" xfId="6368"/>
    <cellStyle name="Normal 3 4 3 8" xfId="6369"/>
    <cellStyle name="Normal 3 4 3 8 2" xfId="6370"/>
    <cellStyle name="Normal 3 4 3 8 3" xfId="6371"/>
    <cellStyle name="Normal 3 4 3 9" xfId="6372"/>
    <cellStyle name="Normal 3 4 3 9 2" xfId="6373"/>
    <cellStyle name="Normal 3 4 4" xfId="6374"/>
    <cellStyle name="Normal 3 4 4 10" xfId="6375"/>
    <cellStyle name="Normal 3 4 4 2" xfId="6376"/>
    <cellStyle name="Normal 3 4 4 2 2" xfId="6377"/>
    <cellStyle name="Normal 3 4 4 2 2 2" xfId="6378"/>
    <cellStyle name="Normal 3 4 4 2 2 2 2" xfId="6379"/>
    <cellStyle name="Normal 3 4 4 2 2 2 3" xfId="6380"/>
    <cellStyle name="Normal 3 4 4 2 2 3" xfId="6381"/>
    <cellStyle name="Normal 3 4 4 2 2 3 2" xfId="6382"/>
    <cellStyle name="Normal 3 4 4 2 2 4" xfId="6383"/>
    <cellStyle name="Normal 3 4 4 2 2 4 2" xfId="6384"/>
    <cellStyle name="Normal 3 4 4 2 2 5" xfId="6385"/>
    <cellStyle name="Normal 3 4 4 2 3" xfId="6386"/>
    <cellStyle name="Normal 3 4 4 2 3 2" xfId="6387"/>
    <cellStyle name="Normal 3 4 4 2 3 2 2" xfId="6388"/>
    <cellStyle name="Normal 3 4 4 2 3 3" xfId="6389"/>
    <cellStyle name="Normal 3 4 4 2 3 3 2" xfId="6390"/>
    <cellStyle name="Normal 3 4 4 2 3 4" xfId="6391"/>
    <cellStyle name="Normal 3 4 4 2 4" xfId="6392"/>
    <cellStyle name="Normal 3 4 4 2 4 2" xfId="6393"/>
    <cellStyle name="Normal 3 4 4 2 4 3" xfId="6394"/>
    <cellStyle name="Normal 3 4 4 2 5" xfId="6395"/>
    <cellStyle name="Normal 3 4 4 2 5 2" xfId="6396"/>
    <cellStyle name="Normal 3 4 4 2 6" xfId="6397"/>
    <cellStyle name="Normal 3 4 4 2 6 2" xfId="6398"/>
    <cellStyle name="Normal 3 4 4 2 7" xfId="6399"/>
    <cellStyle name="Normal 3 4 4 3" xfId="6400"/>
    <cellStyle name="Normal 3 4 4 3 2" xfId="6401"/>
    <cellStyle name="Normal 3 4 4 3 2 2" xfId="6402"/>
    <cellStyle name="Normal 3 4 4 3 2 2 2" xfId="6403"/>
    <cellStyle name="Normal 3 4 4 3 2 2 3" xfId="6404"/>
    <cellStyle name="Normal 3 4 4 3 2 3" xfId="6405"/>
    <cellStyle name="Normal 3 4 4 3 2 3 2" xfId="6406"/>
    <cellStyle name="Normal 3 4 4 3 2 4" xfId="6407"/>
    <cellStyle name="Normal 3 4 4 3 2 4 2" xfId="6408"/>
    <cellStyle name="Normal 3 4 4 3 2 5" xfId="6409"/>
    <cellStyle name="Normal 3 4 4 3 3" xfId="6410"/>
    <cellStyle name="Normal 3 4 4 3 3 2" xfId="6411"/>
    <cellStyle name="Normal 3 4 4 3 3 2 2" xfId="6412"/>
    <cellStyle name="Normal 3 4 4 3 3 3" xfId="6413"/>
    <cellStyle name="Normal 3 4 4 3 3 3 2" xfId="6414"/>
    <cellStyle name="Normal 3 4 4 3 3 4" xfId="6415"/>
    <cellStyle name="Normal 3 4 4 3 4" xfId="6416"/>
    <cellStyle name="Normal 3 4 4 3 4 2" xfId="6417"/>
    <cellStyle name="Normal 3 4 4 3 4 3" xfId="6418"/>
    <cellStyle name="Normal 3 4 4 3 5" xfId="6419"/>
    <cellStyle name="Normal 3 4 4 3 5 2" xfId="6420"/>
    <cellStyle name="Normal 3 4 4 3 6" xfId="6421"/>
    <cellStyle name="Normal 3 4 4 3 6 2" xfId="6422"/>
    <cellStyle name="Normal 3 4 4 3 7" xfId="6423"/>
    <cellStyle name="Normal 3 4 4 4" xfId="6424"/>
    <cellStyle name="Normal 3 4 4 4 2" xfId="6425"/>
    <cellStyle name="Normal 3 4 4 4 2 2" xfId="6426"/>
    <cellStyle name="Normal 3 4 4 4 2 2 2" xfId="6427"/>
    <cellStyle name="Normal 3 4 4 4 2 3" xfId="6428"/>
    <cellStyle name="Normal 3 4 4 4 2 3 2" xfId="6429"/>
    <cellStyle name="Normal 3 4 4 4 2 4" xfId="6430"/>
    <cellStyle name="Normal 3 4 4 4 3" xfId="6431"/>
    <cellStyle name="Normal 3 4 4 4 3 2" xfId="6432"/>
    <cellStyle name="Normal 3 4 4 4 3 3" xfId="6433"/>
    <cellStyle name="Normal 3 4 4 4 4" xfId="6434"/>
    <cellStyle name="Normal 3 4 4 4 4 2" xfId="6435"/>
    <cellStyle name="Normal 3 4 4 4 5" xfId="6436"/>
    <cellStyle name="Normal 3 4 4 4 5 2" xfId="6437"/>
    <cellStyle name="Normal 3 4 4 4 6" xfId="6438"/>
    <cellStyle name="Normal 3 4 4 5" xfId="6439"/>
    <cellStyle name="Normal 3 4 4 5 2" xfId="6440"/>
    <cellStyle name="Normal 3 4 4 5 2 2" xfId="6441"/>
    <cellStyle name="Normal 3 4 4 5 3" xfId="6442"/>
    <cellStyle name="Normal 3 4 4 5 3 2" xfId="6443"/>
    <cellStyle name="Normal 3 4 4 5 4" xfId="6444"/>
    <cellStyle name="Normal 3 4 4 6" xfId="6445"/>
    <cellStyle name="Normal 3 4 4 6 2" xfId="6446"/>
    <cellStyle name="Normal 3 4 4 6 2 2" xfId="6447"/>
    <cellStyle name="Normal 3 4 4 6 3" xfId="6448"/>
    <cellStyle name="Normal 3 4 4 6 3 2" xfId="6449"/>
    <cellStyle name="Normal 3 4 4 6 4" xfId="6450"/>
    <cellStyle name="Normal 3 4 4 7" xfId="6451"/>
    <cellStyle name="Normal 3 4 4 7 2" xfId="6452"/>
    <cellStyle name="Normal 3 4 4 7 3" xfId="6453"/>
    <cellStyle name="Normal 3 4 4 8" xfId="6454"/>
    <cellStyle name="Normal 3 4 4 8 2" xfId="6455"/>
    <cellStyle name="Normal 3 4 4 9" xfId="6456"/>
    <cellStyle name="Normal 3 4 4 9 2" xfId="6457"/>
    <cellStyle name="Normal 3 4 5" xfId="6458"/>
    <cellStyle name="Normal 3 4 5 2" xfId="6459"/>
    <cellStyle name="Normal 3 4 5 2 2" xfId="6460"/>
    <cellStyle name="Normal 3 4 5 2 2 2" xfId="6461"/>
    <cellStyle name="Normal 3 4 5 2 2 2 2" xfId="6462"/>
    <cellStyle name="Normal 3 4 5 2 2 2 3" xfId="6463"/>
    <cellStyle name="Normal 3 4 5 2 2 3" xfId="6464"/>
    <cellStyle name="Normal 3 4 5 2 2 3 2" xfId="6465"/>
    <cellStyle name="Normal 3 4 5 2 2 4" xfId="6466"/>
    <cellStyle name="Normal 3 4 5 2 2 4 2" xfId="6467"/>
    <cellStyle name="Normal 3 4 5 2 2 5" xfId="6468"/>
    <cellStyle name="Normal 3 4 5 2 3" xfId="6469"/>
    <cellStyle name="Normal 3 4 5 2 3 2" xfId="6470"/>
    <cellStyle name="Normal 3 4 5 2 3 2 2" xfId="6471"/>
    <cellStyle name="Normal 3 4 5 2 3 3" xfId="6472"/>
    <cellStyle name="Normal 3 4 5 2 3 3 2" xfId="6473"/>
    <cellStyle name="Normal 3 4 5 2 3 4" xfId="6474"/>
    <cellStyle name="Normal 3 4 5 2 4" xfId="6475"/>
    <cellStyle name="Normal 3 4 5 2 4 2" xfId="6476"/>
    <cellStyle name="Normal 3 4 5 2 4 3" xfId="6477"/>
    <cellStyle name="Normal 3 4 5 2 5" xfId="6478"/>
    <cellStyle name="Normal 3 4 5 2 5 2" xfId="6479"/>
    <cellStyle name="Normal 3 4 5 2 6" xfId="6480"/>
    <cellStyle name="Normal 3 4 5 2 6 2" xfId="6481"/>
    <cellStyle name="Normal 3 4 5 2 7" xfId="6482"/>
    <cellStyle name="Normal 3 4 5 3" xfId="6483"/>
    <cellStyle name="Normal 3 4 5 3 2" xfId="6484"/>
    <cellStyle name="Normal 3 4 5 3 2 2" xfId="6485"/>
    <cellStyle name="Normal 3 4 5 3 2 3" xfId="6486"/>
    <cellStyle name="Normal 3 4 5 3 3" xfId="6487"/>
    <cellStyle name="Normal 3 4 5 3 3 2" xfId="6488"/>
    <cellStyle name="Normal 3 4 5 3 4" xfId="6489"/>
    <cellStyle name="Normal 3 4 5 3 4 2" xfId="6490"/>
    <cellStyle name="Normal 3 4 5 3 5" xfId="6491"/>
    <cellStyle name="Normal 3 4 5 4" xfId="6492"/>
    <cellStyle name="Normal 3 4 5 4 2" xfId="6493"/>
    <cellStyle name="Normal 3 4 5 4 2 2" xfId="6494"/>
    <cellStyle name="Normal 3 4 5 4 3" xfId="6495"/>
    <cellStyle name="Normal 3 4 5 4 3 2" xfId="6496"/>
    <cellStyle name="Normal 3 4 5 4 4" xfId="6497"/>
    <cellStyle name="Normal 3 4 5 5" xfId="6498"/>
    <cellStyle name="Normal 3 4 5 5 2" xfId="6499"/>
    <cellStyle name="Normal 3 4 5 5 3" xfId="6500"/>
    <cellStyle name="Normal 3 4 5 6" xfId="6501"/>
    <cellStyle name="Normal 3 4 5 6 2" xfId="6502"/>
    <cellStyle name="Normal 3 4 5 7" xfId="6503"/>
    <cellStyle name="Normal 3 4 5 7 2" xfId="6504"/>
    <cellStyle name="Normal 3 4 5 8" xfId="6505"/>
    <cellStyle name="Normal 3 4 6" xfId="6506"/>
    <cellStyle name="Normal 3 4 6 2" xfId="6507"/>
    <cellStyle name="Normal 3 4 6 2 2" xfId="6508"/>
    <cellStyle name="Normal 3 4 6 2 2 2" xfId="6509"/>
    <cellStyle name="Normal 3 4 6 2 2 3" xfId="6510"/>
    <cellStyle name="Normal 3 4 6 2 3" xfId="6511"/>
    <cellStyle name="Normal 3 4 6 2 3 2" xfId="6512"/>
    <cellStyle name="Normal 3 4 6 2 4" xfId="6513"/>
    <cellStyle name="Normal 3 4 6 2 4 2" xfId="6514"/>
    <cellStyle name="Normal 3 4 6 2 5" xfId="6515"/>
    <cellStyle name="Normal 3 4 6 3" xfId="6516"/>
    <cellStyle name="Normal 3 4 6 3 2" xfId="6517"/>
    <cellStyle name="Normal 3 4 6 3 2 2" xfId="6518"/>
    <cellStyle name="Normal 3 4 6 3 3" xfId="6519"/>
    <cellStyle name="Normal 3 4 6 3 3 2" xfId="6520"/>
    <cellStyle name="Normal 3 4 6 3 4" xfId="6521"/>
    <cellStyle name="Normal 3 4 6 4" xfId="6522"/>
    <cellStyle name="Normal 3 4 6 4 2" xfId="6523"/>
    <cellStyle name="Normal 3 4 6 4 3" xfId="6524"/>
    <cellStyle name="Normal 3 4 6 5" xfId="6525"/>
    <cellStyle name="Normal 3 4 6 5 2" xfId="6526"/>
    <cellStyle name="Normal 3 4 6 6" xfId="6527"/>
    <cellStyle name="Normal 3 4 6 6 2" xfId="6528"/>
    <cellStyle name="Normal 3 4 6 7" xfId="6529"/>
    <cellStyle name="Normal 3 4 7" xfId="6530"/>
    <cellStyle name="Normal 3 4 7 2" xfId="6531"/>
    <cellStyle name="Normal 3 4 7 2 2" xfId="6532"/>
    <cellStyle name="Normal 3 4 7 2 2 2" xfId="6533"/>
    <cellStyle name="Normal 3 4 7 2 2 3" xfId="6534"/>
    <cellStyle name="Normal 3 4 7 2 3" xfId="6535"/>
    <cellStyle name="Normal 3 4 7 2 3 2" xfId="6536"/>
    <cellStyle name="Normal 3 4 7 2 4" xfId="6537"/>
    <cellStyle name="Normal 3 4 7 2 4 2" xfId="6538"/>
    <cellStyle name="Normal 3 4 7 2 5" xfId="6539"/>
    <cellStyle name="Normal 3 4 7 3" xfId="6540"/>
    <cellStyle name="Normal 3 4 7 3 2" xfId="6541"/>
    <cellStyle name="Normal 3 4 7 3 2 2" xfId="6542"/>
    <cellStyle name="Normal 3 4 7 3 3" xfId="6543"/>
    <cellStyle name="Normal 3 4 7 3 3 2" xfId="6544"/>
    <cellStyle name="Normal 3 4 7 3 4" xfId="6545"/>
    <cellStyle name="Normal 3 4 7 4" xfId="6546"/>
    <cellStyle name="Normal 3 4 7 4 2" xfId="6547"/>
    <cellStyle name="Normal 3 4 7 4 3" xfId="6548"/>
    <cellStyle name="Normal 3 4 7 5" xfId="6549"/>
    <cellStyle name="Normal 3 4 7 5 2" xfId="6550"/>
    <cellStyle name="Normal 3 4 7 6" xfId="6551"/>
    <cellStyle name="Normal 3 4 7 6 2" xfId="6552"/>
    <cellStyle name="Normal 3 4 7 7" xfId="6553"/>
    <cellStyle name="Normal 3 4 8" xfId="6554"/>
    <cellStyle name="Normal 3 4 8 2" xfId="6555"/>
    <cellStyle name="Normal 3 4 8 2 2" xfId="6556"/>
    <cellStyle name="Normal 3 4 8 2 2 2" xfId="6557"/>
    <cellStyle name="Normal 3 4 8 2 3" xfId="6558"/>
    <cellStyle name="Normal 3 4 8 2 3 2" xfId="6559"/>
    <cellStyle name="Normal 3 4 8 2 4" xfId="6560"/>
    <cellStyle name="Normal 3 4 8 3" xfId="6561"/>
    <cellStyle name="Normal 3 4 8 3 2" xfId="6562"/>
    <cellStyle name="Normal 3 4 8 3 3" xfId="6563"/>
    <cellStyle name="Normal 3 4 8 4" xfId="6564"/>
    <cellStyle name="Normal 3 4 8 4 2" xfId="6565"/>
    <cellStyle name="Normal 3 4 8 5" xfId="6566"/>
    <cellStyle name="Normal 3 4 8 5 2" xfId="6567"/>
    <cellStyle name="Normal 3 4 8 6" xfId="6568"/>
    <cellStyle name="Normal 3 4 9" xfId="6569"/>
    <cellStyle name="Normal 3 4 9 2" xfId="6570"/>
    <cellStyle name="Normal 3 4 9 2 2" xfId="6571"/>
    <cellStyle name="Normal 3 4 9 3" xfId="6572"/>
    <cellStyle name="Normal 3 4 9 3 2" xfId="6573"/>
    <cellStyle name="Normal 3 4 9 4" xfId="6574"/>
    <cellStyle name="Normal 3 5" xfId="6575"/>
    <cellStyle name="Normal 3 5 10" xfId="6576"/>
    <cellStyle name="Normal 3 5 10 2" xfId="6577"/>
    <cellStyle name="Normal 3 5 10 3" xfId="6578"/>
    <cellStyle name="Normal 3 5 11" xfId="6579"/>
    <cellStyle name="Normal 3 5 11 2" xfId="6580"/>
    <cellStyle name="Normal 3 5 12" xfId="6581"/>
    <cellStyle name="Normal 3 5 12 2" xfId="6582"/>
    <cellStyle name="Normal 3 5 13" xfId="6583"/>
    <cellStyle name="Normal 3 5 14" xfId="35057"/>
    <cellStyle name="Normal 3 5 2" xfId="6584"/>
    <cellStyle name="Normal 3 5 2 10" xfId="6585"/>
    <cellStyle name="Normal 3 5 2 10 2" xfId="6586"/>
    <cellStyle name="Normal 3 5 2 11" xfId="6587"/>
    <cellStyle name="Normal 3 5 2 2" xfId="6588"/>
    <cellStyle name="Normal 3 5 2 2 2" xfId="6589"/>
    <cellStyle name="Normal 3 5 2 2 2 2" xfId="6590"/>
    <cellStyle name="Normal 3 5 2 2 2 2 2" xfId="6591"/>
    <cellStyle name="Normal 3 5 2 2 2 2 2 2" xfId="6592"/>
    <cellStyle name="Normal 3 5 2 2 2 2 2 3" xfId="6593"/>
    <cellStyle name="Normal 3 5 2 2 2 2 3" xfId="6594"/>
    <cellStyle name="Normal 3 5 2 2 2 2 3 2" xfId="6595"/>
    <cellStyle name="Normal 3 5 2 2 2 2 4" xfId="6596"/>
    <cellStyle name="Normal 3 5 2 2 2 2 4 2" xfId="6597"/>
    <cellStyle name="Normal 3 5 2 2 2 2 5" xfId="6598"/>
    <cellStyle name="Normal 3 5 2 2 2 3" xfId="6599"/>
    <cellStyle name="Normal 3 5 2 2 2 3 2" xfId="6600"/>
    <cellStyle name="Normal 3 5 2 2 2 3 2 2" xfId="6601"/>
    <cellStyle name="Normal 3 5 2 2 2 3 3" xfId="6602"/>
    <cellStyle name="Normal 3 5 2 2 2 3 3 2" xfId="6603"/>
    <cellStyle name="Normal 3 5 2 2 2 3 4" xfId="6604"/>
    <cellStyle name="Normal 3 5 2 2 2 4" xfId="6605"/>
    <cellStyle name="Normal 3 5 2 2 2 4 2" xfId="6606"/>
    <cellStyle name="Normal 3 5 2 2 2 4 3" xfId="6607"/>
    <cellStyle name="Normal 3 5 2 2 2 5" xfId="6608"/>
    <cellStyle name="Normal 3 5 2 2 2 5 2" xfId="6609"/>
    <cellStyle name="Normal 3 5 2 2 2 6" xfId="6610"/>
    <cellStyle name="Normal 3 5 2 2 2 6 2" xfId="6611"/>
    <cellStyle name="Normal 3 5 2 2 2 7" xfId="6612"/>
    <cellStyle name="Normal 3 5 2 2 3" xfId="6613"/>
    <cellStyle name="Normal 3 5 2 2 3 2" xfId="6614"/>
    <cellStyle name="Normal 3 5 2 2 3 2 2" xfId="6615"/>
    <cellStyle name="Normal 3 5 2 2 3 2 3" xfId="6616"/>
    <cellStyle name="Normal 3 5 2 2 3 3" xfId="6617"/>
    <cellStyle name="Normal 3 5 2 2 3 3 2" xfId="6618"/>
    <cellStyle name="Normal 3 5 2 2 3 4" xfId="6619"/>
    <cellStyle name="Normal 3 5 2 2 3 4 2" xfId="6620"/>
    <cellStyle name="Normal 3 5 2 2 3 5" xfId="6621"/>
    <cellStyle name="Normal 3 5 2 2 4" xfId="6622"/>
    <cellStyle name="Normal 3 5 2 2 4 2" xfId="6623"/>
    <cellStyle name="Normal 3 5 2 2 4 2 2" xfId="6624"/>
    <cellStyle name="Normal 3 5 2 2 4 3" xfId="6625"/>
    <cellStyle name="Normal 3 5 2 2 4 3 2" xfId="6626"/>
    <cellStyle name="Normal 3 5 2 2 4 4" xfId="6627"/>
    <cellStyle name="Normal 3 5 2 2 5" xfId="6628"/>
    <cellStyle name="Normal 3 5 2 2 5 2" xfId="6629"/>
    <cellStyle name="Normal 3 5 2 2 5 3" xfId="6630"/>
    <cellStyle name="Normal 3 5 2 2 6" xfId="6631"/>
    <cellStyle name="Normal 3 5 2 2 6 2" xfId="6632"/>
    <cellStyle name="Normal 3 5 2 2 7" xfId="6633"/>
    <cellStyle name="Normal 3 5 2 2 7 2" xfId="6634"/>
    <cellStyle name="Normal 3 5 2 2 8" xfId="6635"/>
    <cellStyle name="Normal 3 5 2 3" xfId="6636"/>
    <cellStyle name="Normal 3 5 2 3 2" xfId="6637"/>
    <cellStyle name="Normal 3 5 2 3 2 2" xfId="6638"/>
    <cellStyle name="Normal 3 5 2 3 2 2 2" xfId="6639"/>
    <cellStyle name="Normal 3 5 2 3 2 2 3" xfId="6640"/>
    <cellStyle name="Normal 3 5 2 3 2 3" xfId="6641"/>
    <cellStyle name="Normal 3 5 2 3 2 3 2" xfId="6642"/>
    <cellStyle name="Normal 3 5 2 3 2 4" xfId="6643"/>
    <cellStyle name="Normal 3 5 2 3 2 4 2" xfId="6644"/>
    <cellStyle name="Normal 3 5 2 3 2 5" xfId="6645"/>
    <cellStyle name="Normal 3 5 2 3 3" xfId="6646"/>
    <cellStyle name="Normal 3 5 2 3 3 2" xfId="6647"/>
    <cellStyle name="Normal 3 5 2 3 3 2 2" xfId="6648"/>
    <cellStyle name="Normal 3 5 2 3 3 3" xfId="6649"/>
    <cellStyle name="Normal 3 5 2 3 3 3 2" xfId="6650"/>
    <cellStyle name="Normal 3 5 2 3 3 4" xfId="6651"/>
    <cellStyle name="Normal 3 5 2 3 4" xfId="6652"/>
    <cellStyle name="Normal 3 5 2 3 4 2" xfId="6653"/>
    <cellStyle name="Normal 3 5 2 3 4 3" xfId="6654"/>
    <cellStyle name="Normal 3 5 2 3 5" xfId="6655"/>
    <cellStyle name="Normal 3 5 2 3 5 2" xfId="6656"/>
    <cellStyle name="Normal 3 5 2 3 6" xfId="6657"/>
    <cellStyle name="Normal 3 5 2 3 6 2" xfId="6658"/>
    <cellStyle name="Normal 3 5 2 3 7" xfId="6659"/>
    <cellStyle name="Normal 3 5 2 4" xfId="6660"/>
    <cellStyle name="Normal 3 5 2 4 2" xfId="6661"/>
    <cellStyle name="Normal 3 5 2 4 2 2" xfId="6662"/>
    <cellStyle name="Normal 3 5 2 4 2 2 2" xfId="6663"/>
    <cellStyle name="Normal 3 5 2 4 2 2 3" xfId="6664"/>
    <cellStyle name="Normal 3 5 2 4 2 3" xfId="6665"/>
    <cellStyle name="Normal 3 5 2 4 2 3 2" xfId="6666"/>
    <cellStyle name="Normal 3 5 2 4 2 4" xfId="6667"/>
    <cellStyle name="Normal 3 5 2 4 2 4 2" xfId="6668"/>
    <cellStyle name="Normal 3 5 2 4 2 5" xfId="6669"/>
    <cellStyle name="Normal 3 5 2 4 3" xfId="6670"/>
    <cellStyle name="Normal 3 5 2 4 3 2" xfId="6671"/>
    <cellStyle name="Normal 3 5 2 4 3 2 2" xfId="6672"/>
    <cellStyle name="Normal 3 5 2 4 3 3" xfId="6673"/>
    <cellStyle name="Normal 3 5 2 4 3 3 2" xfId="6674"/>
    <cellStyle name="Normal 3 5 2 4 3 4" xfId="6675"/>
    <cellStyle name="Normal 3 5 2 4 4" xfId="6676"/>
    <cellStyle name="Normal 3 5 2 4 4 2" xfId="6677"/>
    <cellStyle name="Normal 3 5 2 4 4 3" xfId="6678"/>
    <cellStyle name="Normal 3 5 2 4 5" xfId="6679"/>
    <cellStyle name="Normal 3 5 2 4 5 2" xfId="6680"/>
    <cellStyle name="Normal 3 5 2 4 6" xfId="6681"/>
    <cellStyle name="Normal 3 5 2 4 6 2" xfId="6682"/>
    <cellStyle name="Normal 3 5 2 4 7" xfId="6683"/>
    <cellStyle name="Normal 3 5 2 5" xfId="6684"/>
    <cellStyle name="Normal 3 5 2 5 2" xfId="6685"/>
    <cellStyle name="Normal 3 5 2 5 2 2" xfId="6686"/>
    <cellStyle name="Normal 3 5 2 5 2 2 2" xfId="6687"/>
    <cellStyle name="Normal 3 5 2 5 2 3" xfId="6688"/>
    <cellStyle name="Normal 3 5 2 5 2 3 2" xfId="6689"/>
    <cellStyle name="Normal 3 5 2 5 2 4" xfId="6690"/>
    <cellStyle name="Normal 3 5 2 5 3" xfId="6691"/>
    <cellStyle name="Normal 3 5 2 5 3 2" xfId="6692"/>
    <cellStyle name="Normal 3 5 2 5 3 3" xfId="6693"/>
    <cellStyle name="Normal 3 5 2 5 4" xfId="6694"/>
    <cellStyle name="Normal 3 5 2 5 4 2" xfId="6695"/>
    <cellStyle name="Normal 3 5 2 5 5" xfId="6696"/>
    <cellStyle name="Normal 3 5 2 5 5 2" xfId="6697"/>
    <cellStyle name="Normal 3 5 2 5 6" xfId="6698"/>
    <cellStyle name="Normal 3 5 2 6" xfId="6699"/>
    <cellStyle name="Normal 3 5 2 6 2" xfId="6700"/>
    <cellStyle name="Normal 3 5 2 6 2 2" xfId="6701"/>
    <cellStyle name="Normal 3 5 2 6 3" xfId="6702"/>
    <cellStyle name="Normal 3 5 2 6 3 2" xfId="6703"/>
    <cellStyle name="Normal 3 5 2 6 4" xfId="6704"/>
    <cellStyle name="Normal 3 5 2 7" xfId="6705"/>
    <cellStyle name="Normal 3 5 2 7 2" xfId="6706"/>
    <cellStyle name="Normal 3 5 2 7 2 2" xfId="6707"/>
    <cellStyle name="Normal 3 5 2 7 3" xfId="6708"/>
    <cellStyle name="Normal 3 5 2 7 3 2" xfId="6709"/>
    <cellStyle name="Normal 3 5 2 7 4" xfId="6710"/>
    <cellStyle name="Normal 3 5 2 8" xfId="6711"/>
    <cellStyle name="Normal 3 5 2 8 2" xfId="6712"/>
    <cellStyle name="Normal 3 5 2 8 3" xfId="6713"/>
    <cellStyle name="Normal 3 5 2 9" xfId="6714"/>
    <cellStyle name="Normal 3 5 2 9 2" xfId="6715"/>
    <cellStyle name="Normal 3 5 3" xfId="6716"/>
    <cellStyle name="Normal 3 5 3 10" xfId="6717"/>
    <cellStyle name="Normal 3 5 3 2" xfId="6718"/>
    <cellStyle name="Normal 3 5 3 2 2" xfId="6719"/>
    <cellStyle name="Normal 3 5 3 2 2 2" xfId="6720"/>
    <cellStyle name="Normal 3 5 3 2 2 2 2" xfId="6721"/>
    <cellStyle name="Normal 3 5 3 2 2 2 3" xfId="6722"/>
    <cellStyle name="Normal 3 5 3 2 2 3" xfId="6723"/>
    <cellStyle name="Normal 3 5 3 2 2 3 2" xfId="6724"/>
    <cellStyle name="Normal 3 5 3 2 2 4" xfId="6725"/>
    <cellStyle name="Normal 3 5 3 2 2 4 2" xfId="6726"/>
    <cellStyle name="Normal 3 5 3 2 2 5" xfId="6727"/>
    <cellStyle name="Normal 3 5 3 2 3" xfId="6728"/>
    <cellStyle name="Normal 3 5 3 2 3 2" xfId="6729"/>
    <cellStyle name="Normal 3 5 3 2 3 2 2" xfId="6730"/>
    <cellStyle name="Normal 3 5 3 2 3 3" xfId="6731"/>
    <cellStyle name="Normal 3 5 3 2 3 3 2" xfId="6732"/>
    <cellStyle name="Normal 3 5 3 2 3 4" xfId="6733"/>
    <cellStyle name="Normal 3 5 3 2 4" xfId="6734"/>
    <cellStyle name="Normal 3 5 3 2 4 2" xfId="6735"/>
    <cellStyle name="Normal 3 5 3 2 4 3" xfId="6736"/>
    <cellStyle name="Normal 3 5 3 2 5" xfId="6737"/>
    <cellStyle name="Normal 3 5 3 2 5 2" xfId="6738"/>
    <cellStyle name="Normal 3 5 3 2 6" xfId="6739"/>
    <cellStyle name="Normal 3 5 3 2 6 2" xfId="6740"/>
    <cellStyle name="Normal 3 5 3 2 7" xfId="6741"/>
    <cellStyle name="Normal 3 5 3 3" xfId="6742"/>
    <cellStyle name="Normal 3 5 3 3 2" xfId="6743"/>
    <cellStyle name="Normal 3 5 3 3 2 2" xfId="6744"/>
    <cellStyle name="Normal 3 5 3 3 2 2 2" xfId="6745"/>
    <cellStyle name="Normal 3 5 3 3 2 2 3" xfId="6746"/>
    <cellStyle name="Normal 3 5 3 3 2 3" xfId="6747"/>
    <cellStyle name="Normal 3 5 3 3 2 3 2" xfId="6748"/>
    <cellStyle name="Normal 3 5 3 3 2 4" xfId="6749"/>
    <cellStyle name="Normal 3 5 3 3 2 4 2" xfId="6750"/>
    <cellStyle name="Normal 3 5 3 3 2 5" xfId="6751"/>
    <cellStyle name="Normal 3 5 3 3 3" xfId="6752"/>
    <cellStyle name="Normal 3 5 3 3 3 2" xfId="6753"/>
    <cellStyle name="Normal 3 5 3 3 3 2 2" xfId="6754"/>
    <cellStyle name="Normal 3 5 3 3 3 3" xfId="6755"/>
    <cellStyle name="Normal 3 5 3 3 3 3 2" xfId="6756"/>
    <cellStyle name="Normal 3 5 3 3 3 4" xfId="6757"/>
    <cellStyle name="Normal 3 5 3 3 4" xfId="6758"/>
    <cellStyle name="Normal 3 5 3 3 4 2" xfId="6759"/>
    <cellStyle name="Normal 3 5 3 3 4 3" xfId="6760"/>
    <cellStyle name="Normal 3 5 3 3 5" xfId="6761"/>
    <cellStyle name="Normal 3 5 3 3 5 2" xfId="6762"/>
    <cellStyle name="Normal 3 5 3 3 6" xfId="6763"/>
    <cellStyle name="Normal 3 5 3 3 6 2" xfId="6764"/>
    <cellStyle name="Normal 3 5 3 3 7" xfId="6765"/>
    <cellStyle name="Normal 3 5 3 4" xfId="6766"/>
    <cellStyle name="Normal 3 5 3 4 2" xfId="6767"/>
    <cellStyle name="Normal 3 5 3 4 2 2" xfId="6768"/>
    <cellStyle name="Normal 3 5 3 4 2 2 2" xfId="6769"/>
    <cellStyle name="Normal 3 5 3 4 2 3" xfId="6770"/>
    <cellStyle name="Normal 3 5 3 4 2 3 2" xfId="6771"/>
    <cellStyle name="Normal 3 5 3 4 2 4" xfId="6772"/>
    <cellStyle name="Normal 3 5 3 4 3" xfId="6773"/>
    <cellStyle name="Normal 3 5 3 4 3 2" xfId="6774"/>
    <cellStyle name="Normal 3 5 3 4 3 3" xfId="6775"/>
    <cellStyle name="Normal 3 5 3 4 4" xfId="6776"/>
    <cellStyle name="Normal 3 5 3 4 4 2" xfId="6777"/>
    <cellStyle name="Normal 3 5 3 4 5" xfId="6778"/>
    <cellStyle name="Normal 3 5 3 4 5 2" xfId="6779"/>
    <cellStyle name="Normal 3 5 3 4 6" xfId="6780"/>
    <cellStyle name="Normal 3 5 3 5" xfId="6781"/>
    <cellStyle name="Normal 3 5 3 5 2" xfId="6782"/>
    <cellStyle name="Normal 3 5 3 5 2 2" xfId="6783"/>
    <cellStyle name="Normal 3 5 3 5 3" xfId="6784"/>
    <cellStyle name="Normal 3 5 3 5 3 2" xfId="6785"/>
    <cellStyle name="Normal 3 5 3 5 4" xfId="6786"/>
    <cellStyle name="Normal 3 5 3 6" xfId="6787"/>
    <cellStyle name="Normal 3 5 3 6 2" xfId="6788"/>
    <cellStyle name="Normal 3 5 3 6 2 2" xfId="6789"/>
    <cellStyle name="Normal 3 5 3 6 3" xfId="6790"/>
    <cellStyle name="Normal 3 5 3 6 3 2" xfId="6791"/>
    <cellStyle name="Normal 3 5 3 6 4" xfId="6792"/>
    <cellStyle name="Normal 3 5 3 7" xfId="6793"/>
    <cellStyle name="Normal 3 5 3 7 2" xfId="6794"/>
    <cellStyle name="Normal 3 5 3 7 3" xfId="6795"/>
    <cellStyle name="Normal 3 5 3 8" xfId="6796"/>
    <cellStyle name="Normal 3 5 3 8 2" xfId="6797"/>
    <cellStyle name="Normal 3 5 3 9" xfId="6798"/>
    <cellStyle name="Normal 3 5 3 9 2" xfId="6799"/>
    <cellStyle name="Normal 3 5 4" xfId="6800"/>
    <cellStyle name="Normal 3 5 4 2" xfId="6801"/>
    <cellStyle name="Normal 3 5 4 2 2" xfId="6802"/>
    <cellStyle name="Normal 3 5 4 2 2 2" xfId="6803"/>
    <cellStyle name="Normal 3 5 4 2 2 2 2" xfId="6804"/>
    <cellStyle name="Normal 3 5 4 2 2 2 3" xfId="6805"/>
    <cellStyle name="Normal 3 5 4 2 2 3" xfId="6806"/>
    <cellStyle name="Normal 3 5 4 2 2 3 2" xfId="6807"/>
    <cellStyle name="Normal 3 5 4 2 2 4" xfId="6808"/>
    <cellStyle name="Normal 3 5 4 2 2 4 2" xfId="6809"/>
    <cellStyle name="Normal 3 5 4 2 2 5" xfId="6810"/>
    <cellStyle name="Normal 3 5 4 2 3" xfId="6811"/>
    <cellStyle name="Normal 3 5 4 2 3 2" xfId="6812"/>
    <cellStyle name="Normal 3 5 4 2 3 2 2" xfId="6813"/>
    <cellStyle name="Normal 3 5 4 2 3 3" xfId="6814"/>
    <cellStyle name="Normal 3 5 4 2 3 3 2" xfId="6815"/>
    <cellStyle name="Normal 3 5 4 2 3 4" xfId="6816"/>
    <cellStyle name="Normal 3 5 4 2 4" xfId="6817"/>
    <cellStyle name="Normal 3 5 4 2 4 2" xfId="6818"/>
    <cellStyle name="Normal 3 5 4 2 4 3" xfId="6819"/>
    <cellStyle name="Normal 3 5 4 2 5" xfId="6820"/>
    <cellStyle name="Normal 3 5 4 2 5 2" xfId="6821"/>
    <cellStyle name="Normal 3 5 4 2 6" xfId="6822"/>
    <cellStyle name="Normal 3 5 4 2 6 2" xfId="6823"/>
    <cellStyle name="Normal 3 5 4 2 7" xfId="6824"/>
    <cellStyle name="Normal 3 5 4 3" xfId="6825"/>
    <cellStyle name="Normal 3 5 4 3 2" xfId="6826"/>
    <cellStyle name="Normal 3 5 4 3 2 2" xfId="6827"/>
    <cellStyle name="Normal 3 5 4 3 2 3" xfId="6828"/>
    <cellStyle name="Normal 3 5 4 3 3" xfId="6829"/>
    <cellStyle name="Normal 3 5 4 3 3 2" xfId="6830"/>
    <cellStyle name="Normal 3 5 4 3 4" xfId="6831"/>
    <cellStyle name="Normal 3 5 4 3 4 2" xfId="6832"/>
    <cellStyle name="Normal 3 5 4 3 5" xfId="6833"/>
    <cellStyle name="Normal 3 5 4 4" xfId="6834"/>
    <cellStyle name="Normal 3 5 4 4 2" xfId="6835"/>
    <cellStyle name="Normal 3 5 4 4 2 2" xfId="6836"/>
    <cellStyle name="Normal 3 5 4 4 3" xfId="6837"/>
    <cellStyle name="Normal 3 5 4 4 3 2" xfId="6838"/>
    <cellStyle name="Normal 3 5 4 4 4" xfId="6839"/>
    <cellStyle name="Normal 3 5 4 5" xfId="6840"/>
    <cellStyle name="Normal 3 5 4 5 2" xfId="6841"/>
    <cellStyle name="Normal 3 5 4 5 3" xfId="6842"/>
    <cellStyle name="Normal 3 5 4 6" xfId="6843"/>
    <cellStyle name="Normal 3 5 4 6 2" xfId="6844"/>
    <cellStyle name="Normal 3 5 4 7" xfId="6845"/>
    <cellStyle name="Normal 3 5 4 7 2" xfId="6846"/>
    <cellStyle name="Normal 3 5 4 8" xfId="6847"/>
    <cellStyle name="Normal 3 5 5" xfId="6848"/>
    <cellStyle name="Normal 3 5 5 2" xfId="6849"/>
    <cellStyle name="Normal 3 5 5 2 2" xfId="6850"/>
    <cellStyle name="Normal 3 5 5 2 2 2" xfId="6851"/>
    <cellStyle name="Normal 3 5 5 2 2 3" xfId="6852"/>
    <cellStyle name="Normal 3 5 5 2 3" xfId="6853"/>
    <cellStyle name="Normal 3 5 5 2 3 2" xfId="6854"/>
    <cellStyle name="Normal 3 5 5 2 4" xfId="6855"/>
    <cellStyle name="Normal 3 5 5 2 4 2" xfId="6856"/>
    <cellStyle name="Normal 3 5 5 2 5" xfId="6857"/>
    <cellStyle name="Normal 3 5 5 3" xfId="6858"/>
    <cellStyle name="Normal 3 5 5 3 2" xfId="6859"/>
    <cellStyle name="Normal 3 5 5 3 2 2" xfId="6860"/>
    <cellStyle name="Normal 3 5 5 3 3" xfId="6861"/>
    <cellStyle name="Normal 3 5 5 3 3 2" xfId="6862"/>
    <cellStyle name="Normal 3 5 5 3 4" xfId="6863"/>
    <cellStyle name="Normal 3 5 5 4" xfId="6864"/>
    <cellStyle name="Normal 3 5 5 4 2" xfId="6865"/>
    <cellStyle name="Normal 3 5 5 4 3" xfId="6866"/>
    <cellStyle name="Normal 3 5 5 5" xfId="6867"/>
    <cellStyle name="Normal 3 5 5 5 2" xfId="6868"/>
    <cellStyle name="Normal 3 5 5 6" xfId="6869"/>
    <cellStyle name="Normal 3 5 5 6 2" xfId="6870"/>
    <cellStyle name="Normal 3 5 5 7" xfId="6871"/>
    <cellStyle name="Normal 3 5 6" xfId="6872"/>
    <cellStyle name="Normal 3 5 6 2" xfId="6873"/>
    <cellStyle name="Normal 3 5 6 2 2" xfId="6874"/>
    <cellStyle name="Normal 3 5 6 2 2 2" xfId="6875"/>
    <cellStyle name="Normal 3 5 6 2 2 3" xfId="6876"/>
    <cellStyle name="Normal 3 5 6 2 3" xfId="6877"/>
    <cellStyle name="Normal 3 5 6 2 3 2" xfId="6878"/>
    <cellStyle name="Normal 3 5 6 2 4" xfId="6879"/>
    <cellStyle name="Normal 3 5 6 2 4 2" xfId="6880"/>
    <cellStyle name="Normal 3 5 6 2 5" xfId="6881"/>
    <cellStyle name="Normal 3 5 6 3" xfId="6882"/>
    <cellStyle name="Normal 3 5 6 3 2" xfId="6883"/>
    <cellStyle name="Normal 3 5 6 3 2 2" xfId="6884"/>
    <cellStyle name="Normal 3 5 6 3 3" xfId="6885"/>
    <cellStyle name="Normal 3 5 6 3 3 2" xfId="6886"/>
    <cellStyle name="Normal 3 5 6 3 4" xfId="6887"/>
    <cellStyle name="Normal 3 5 6 4" xfId="6888"/>
    <cellStyle name="Normal 3 5 6 4 2" xfId="6889"/>
    <cellStyle name="Normal 3 5 6 4 3" xfId="6890"/>
    <cellStyle name="Normal 3 5 6 5" xfId="6891"/>
    <cellStyle name="Normal 3 5 6 5 2" xfId="6892"/>
    <cellStyle name="Normal 3 5 6 6" xfId="6893"/>
    <cellStyle name="Normal 3 5 6 6 2" xfId="6894"/>
    <cellStyle name="Normal 3 5 6 7" xfId="6895"/>
    <cellStyle name="Normal 3 5 7" xfId="6896"/>
    <cellStyle name="Normal 3 5 7 2" xfId="6897"/>
    <cellStyle name="Normal 3 5 7 2 2" xfId="6898"/>
    <cellStyle name="Normal 3 5 7 2 2 2" xfId="6899"/>
    <cellStyle name="Normal 3 5 7 2 3" xfId="6900"/>
    <cellStyle name="Normal 3 5 7 2 3 2" xfId="6901"/>
    <cellStyle name="Normal 3 5 7 2 4" xfId="6902"/>
    <cellStyle name="Normal 3 5 7 3" xfId="6903"/>
    <cellStyle name="Normal 3 5 7 3 2" xfId="6904"/>
    <cellStyle name="Normal 3 5 7 3 3" xfId="6905"/>
    <cellStyle name="Normal 3 5 7 4" xfId="6906"/>
    <cellStyle name="Normal 3 5 7 4 2" xfId="6907"/>
    <cellStyle name="Normal 3 5 7 5" xfId="6908"/>
    <cellStyle name="Normal 3 5 7 5 2" xfId="6909"/>
    <cellStyle name="Normal 3 5 7 6" xfId="6910"/>
    <cellStyle name="Normal 3 5 8" xfId="6911"/>
    <cellStyle name="Normal 3 5 8 2" xfId="6912"/>
    <cellStyle name="Normal 3 5 8 2 2" xfId="6913"/>
    <cellStyle name="Normal 3 5 8 3" xfId="6914"/>
    <cellStyle name="Normal 3 5 8 3 2" xfId="6915"/>
    <cellStyle name="Normal 3 5 8 4" xfId="6916"/>
    <cellStyle name="Normal 3 5 9" xfId="6917"/>
    <cellStyle name="Normal 3 5 9 2" xfId="6918"/>
    <cellStyle name="Normal 3 5 9 2 2" xfId="6919"/>
    <cellStyle name="Normal 3 5 9 3" xfId="6920"/>
    <cellStyle name="Normal 3 5 9 3 2" xfId="6921"/>
    <cellStyle name="Normal 3 5 9 4" xfId="6922"/>
    <cellStyle name="Normal 3 6" xfId="6923"/>
    <cellStyle name="Normal 3 6 10" xfId="6924"/>
    <cellStyle name="Normal 3 6 10 2" xfId="6925"/>
    <cellStyle name="Normal 3 6 11" xfId="6926"/>
    <cellStyle name="Normal 3 6 2" xfId="6927"/>
    <cellStyle name="Normal 3 6 2 2" xfId="6928"/>
    <cellStyle name="Normal 3 6 2 2 2" xfId="6929"/>
    <cellStyle name="Normal 3 6 2 2 2 2" xfId="6930"/>
    <cellStyle name="Normal 3 6 2 2 2 2 2" xfId="6931"/>
    <cellStyle name="Normal 3 6 2 2 2 2 3" xfId="6932"/>
    <cellStyle name="Normal 3 6 2 2 2 3" xfId="6933"/>
    <cellStyle name="Normal 3 6 2 2 2 3 2" xfId="6934"/>
    <cellStyle name="Normal 3 6 2 2 2 4" xfId="6935"/>
    <cellStyle name="Normal 3 6 2 2 2 4 2" xfId="6936"/>
    <cellStyle name="Normal 3 6 2 2 2 5" xfId="6937"/>
    <cellStyle name="Normal 3 6 2 2 3" xfId="6938"/>
    <cellStyle name="Normal 3 6 2 2 3 2" xfId="6939"/>
    <cellStyle name="Normal 3 6 2 2 3 2 2" xfId="6940"/>
    <cellStyle name="Normal 3 6 2 2 3 3" xfId="6941"/>
    <cellStyle name="Normal 3 6 2 2 3 3 2" xfId="6942"/>
    <cellStyle name="Normal 3 6 2 2 3 4" xfId="6943"/>
    <cellStyle name="Normal 3 6 2 2 4" xfId="6944"/>
    <cellStyle name="Normal 3 6 2 2 4 2" xfId="6945"/>
    <cellStyle name="Normal 3 6 2 2 4 3" xfId="6946"/>
    <cellStyle name="Normal 3 6 2 2 5" xfId="6947"/>
    <cellStyle name="Normal 3 6 2 2 5 2" xfId="6948"/>
    <cellStyle name="Normal 3 6 2 2 6" xfId="6949"/>
    <cellStyle name="Normal 3 6 2 2 6 2" xfId="6950"/>
    <cellStyle name="Normal 3 6 2 2 7" xfId="6951"/>
    <cellStyle name="Normal 3 6 2 3" xfId="6952"/>
    <cellStyle name="Normal 3 6 2 3 2" xfId="6953"/>
    <cellStyle name="Normal 3 6 2 3 2 2" xfId="6954"/>
    <cellStyle name="Normal 3 6 2 3 2 3" xfId="6955"/>
    <cellStyle name="Normal 3 6 2 3 3" xfId="6956"/>
    <cellStyle name="Normal 3 6 2 3 3 2" xfId="6957"/>
    <cellStyle name="Normal 3 6 2 3 4" xfId="6958"/>
    <cellStyle name="Normal 3 6 2 3 4 2" xfId="6959"/>
    <cellStyle name="Normal 3 6 2 3 5" xfId="6960"/>
    <cellStyle name="Normal 3 6 2 4" xfId="6961"/>
    <cellStyle name="Normal 3 6 2 4 2" xfId="6962"/>
    <cellStyle name="Normal 3 6 2 4 2 2" xfId="6963"/>
    <cellStyle name="Normal 3 6 2 4 3" xfId="6964"/>
    <cellStyle name="Normal 3 6 2 4 3 2" xfId="6965"/>
    <cellStyle name="Normal 3 6 2 4 4" xfId="6966"/>
    <cellStyle name="Normal 3 6 2 5" xfId="6967"/>
    <cellStyle name="Normal 3 6 2 5 2" xfId="6968"/>
    <cellStyle name="Normal 3 6 2 5 3" xfId="6969"/>
    <cellStyle name="Normal 3 6 2 6" xfId="6970"/>
    <cellStyle name="Normal 3 6 2 6 2" xfId="6971"/>
    <cellStyle name="Normal 3 6 2 7" xfId="6972"/>
    <cellStyle name="Normal 3 6 2 7 2" xfId="6973"/>
    <cellStyle name="Normal 3 6 2 8" xfId="6974"/>
    <cellStyle name="Normal 3 6 3" xfId="6975"/>
    <cellStyle name="Normal 3 6 3 2" xfId="6976"/>
    <cellStyle name="Normal 3 6 3 2 2" xfId="6977"/>
    <cellStyle name="Normal 3 6 3 2 2 2" xfId="6978"/>
    <cellStyle name="Normal 3 6 3 2 2 3" xfId="6979"/>
    <cellStyle name="Normal 3 6 3 2 3" xfId="6980"/>
    <cellStyle name="Normal 3 6 3 2 3 2" xfId="6981"/>
    <cellStyle name="Normal 3 6 3 2 4" xfId="6982"/>
    <cellStyle name="Normal 3 6 3 2 4 2" xfId="6983"/>
    <cellStyle name="Normal 3 6 3 2 5" xfId="6984"/>
    <cellStyle name="Normal 3 6 3 3" xfId="6985"/>
    <cellStyle name="Normal 3 6 3 3 2" xfId="6986"/>
    <cellStyle name="Normal 3 6 3 3 2 2" xfId="6987"/>
    <cellStyle name="Normal 3 6 3 3 3" xfId="6988"/>
    <cellStyle name="Normal 3 6 3 3 3 2" xfId="6989"/>
    <cellStyle name="Normal 3 6 3 3 4" xfId="6990"/>
    <cellStyle name="Normal 3 6 3 4" xfId="6991"/>
    <cellStyle name="Normal 3 6 3 4 2" xfId="6992"/>
    <cellStyle name="Normal 3 6 3 4 3" xfId="6993"/>
    <cellStyle name="Normal 3 6 3 5" xfId="6994"/>
    <cellStyle name="Normal 3 6 3 5 2" xfId="6995"/>
    <cellStyle name="Normal 3 6 3 6" xfId="6996"/>
    <cellStyle name="Normal 3 6 3 6 2" xfId="6997"/>
    <cellStyle name="Normal 3 6 3 7" xfId="6998"/>
    <cellStyle name="Normal 3 6 4" xfId="6999"/>
    <cellStyle name="Normal 3 6 4 2" xfId="7000"/>
    <cellStyle name="Normal 3 6 4 2 2" xfId="7001"/>
    <cellStyle name="Normal 3 6 4 2 2 2" xfId="7002"/>
    <cellStyle name="Normal 3 6 4 2 2 3" xfId="7003"/>
    <cellStyle name="Normal 3 6 4 2 3" xfId="7004"/>
    <cellStyle name="Normal 3 6 4 2 3 2" xfId="7005"/>
    <cellStyle name="Normal 3 6 4 2 4" xfId="7006"/>
    <cellStyle name="Normal 3 6 4 2 4 2" xfId="7007"/>
    <cellStyle name="Normal 3 6 4 2 5" xfId="7008"/>
    <cellStyle name="Normal 3 6 4 3" xfId="7009"/>
    <cellStyle name="Normal 3 6 4 3 2" xfId="7010"/>
    <cellStyle name="Normal 3 6 4 3 2 2" xfId="7011"/>
    <cellStyle name="Normal 3 6 4 3 3" xfId="7012"/>
    <cellStyle name="Normal 3 6 4 3 3 2" xfId="7013"/>
    <cellStyle name="Normal 3 6 4 3 4" xfId="7014"/>
    <cellStyle name="Normal 3 6 4 4" xfId="7015"/>
    <cellStyle name="Normal 3 6 4 4 2" xfId="7016"/>
    <cellStyle name="Normal 3 6 4 4 3" xfId="7017"/>
    <cellStyle name="Normal 3 6 4 5" xfId="7018"/>
    <cellStyle name="Normal 3 6 4 5 2" xfId="7019"/>
    <cellStyle name="Normal 3 6 4 6" xfId="7020"/>
    <cellStyle name="Normal 3 6 4 6 2" xfId="7021"/>
    <cellStyle name="Normal 3 6 4 7" xfId="7022"/>
    <cellStyle name="Normal 3 6 5" xfId="7023"/>
    <cellStyle name="Normal 3 6 5 2" xfId="7024"/>
    <cellStyle name="Normal 3 6 5 2 2" xfId="7025"/>
    <cellStyle name="Normal 3 6 5 2 2 2" xfId="7026"/>
    <cellStyle name="Normal 3 6 5 2 3" xfId="7027"/>
    <cellStyle name="Normal 3 6 5 2 3 2" xfId="7028"/>
    <cellStyle name="Normal 3 6 5 2 4" xfId="7029"/>
    <cellStyle name="Normal 3 6 5 3" xfId="7030"/>
    <cellStyle name="Normal 3 6 5 3 2" xfId="7031"/>
    <cellStyle name="Normal 3 6 5 3 3" xfId="7032"/>
    <cellStyle name="Normal 3 6 5 4" xfId="7033"/>
    <cellStyle name="Normal 3 6 5 4 2" xfId="7034"/>
    <cellStyle name="Normal 3 6 5 5" xfId="7035"/>
    <cellStyle name="Normal 3 6 5 5 2" xfId="7036"/>
    <cellStyle name="Normal 3 6 5 6" xfId="7037"/>
    <cellStyle name="Normal 3 6 6" xfId="7038"/>
    <cellStyle name="Normal 3 6 6 2" xfId="7039"/>
    <cellStyle name="Normal 3 6 6 2 2" xfId="7040"/>
    <cellStyle name="Normal 3 6 6 3" xfId="7041"/>
    <cellStyle name="Normal 3 6 6 3 2" xfId="7042"/>
    <cellStyle name="Normal 3 6 6 4" xfId="7043"/>
    <cellStyle name="Normal 3 6 7" xfId="7044"/>
    <cellStyle name="Normal 3 6 7 2" xfId="7045"/>
    <cellStyle name="Normal 3 6 7 2 2" xfId="7046"/>
    <cellStyle name="Normal 3 6 7 3" xfId="7047"/>
    <cellStyle name="Normal 3 6 7 3 2" xfId="7048"/>
    <cellStyle name="Normal 3 6 7 4" xfId="7049"/>
    <cellStyle name="Normal 3 6 8" xfId="7050"/>
    <cellStyle name="Normal 3 6 8 2" xfId="7051"/>
    <cellStyle name="Normal 3 6 8 3" xfId="7052"/>
    <cellStyle name="Normal 3 6 9" xfId="7053"/>
    <cellStyle name="Normal 3 6 9 2" xfId="7054"/>
    <cellStyle name="Normal 3 7" xfId="7055"/>
    <cellStyle name="Normal 3 7 10" xfId="7056"/>
    <cellStyle name="Normal 3 7 10 2" xfId="7057"/>
    <cellStyle name="Normal 3 7 11" xfId="7058"/>
    <cellStyle name="Normal 3 7 2" xfId="7059"/>
    <cellStyle name="Normal 3 7 2 2" xfId="7060"/>
    <cellStyle name="Normal 3 7 2 2 2" xfId="7061"/>
    <cellStyle name="Normal 3 7 2 2 2 2" xfId="7062"/>
    <cellStyle name="Normal 3 7 2 2 2 2 2" xfId="7063"/>
    <cellStyle name="Normal 3 7 2 2 2 2 3" xfId="7064"/>
    <cellStyle name="Normal 3 7 2 2 2 3" xfId="7065"/>
    <cellStyle name="Normal 3 7 2 2 2 3 2" xfId="7066"/>
    <cellStyle name="Normal 3 7 2 2 2 4" xfId="7067"/>
    <cellStyle name="Normal 3 7 2 2 2 4 2" xfId="7068"/>
    <cellStyle name="Normal 3 7 2 2 2 5" xfId="7069"/>
    <cellStyle name="Normal 3 7 2 2 3" xfId="7070"/>
    <cellStyle name="Normal 3 7 2 2 3 2" xfId="7071"/>
    <cellStyle name="Normal 3 7 2 2 3 2 2" xfId="7072"/>
    <cellStyle name="Normal 3 7 2 2 3 3" xfId="7073"/>
    <cellStyle name="Normal 3 7 2 2 3 3 2" xfId="7074"/>
    <cellStyle name="Normal 3 7 2 2 3 4" xfId="7075"/>
    <cellStyle name="Normal 3 7 2 2 4" xfId="7076"/>
    <cellStyle name="Normal 3 7 2 2 4 2" xfId="7077"/>
    <cellStyle name="Normal 3 7 2 2 4 3" xfId="7078"/>
    <cellStyle name="Normal 3 7 2 2 5" xfId="7079"/>
    <cellStyle name="Normal 3 7 2 2 5 2" xfId="7080"/>
    <cellStyle name="Normal 3 7 2 2 6" xfId="7081"/>
    <cellStyle name="Normal 3 7 2 2 6 2" xfId="7082"/>
    <cellStyle name="Normal 3 7 2 2 7" xfId="7083"/>
    <cellStyle name="Normal 3 7 2 3" xfId="7084"/>
    <cellStyle name="Normal 3 7 2 3 2" xfId="7085"/>
    <cellStyle name="Normal 3 7 2 3 2 2" xfId="7086"/>
    <cellStyle name="Normal 3 7 2 3 2 3" xfId="7087"/>
    <cellStyle name="Normal 3 7 2 3 3" xfId="7088"/>
    <cellStyle name="Normal 3 7 2 3 3 2" xfId="7089"/>
    <cellStyle name="Normal 3 7 2 3 4" xfId="7090"/>
    <cellStyle name="Normal 3 7 2 3 4 2" xfId="7091"/>
    <cellStyle name="Normal 3 7 2 3 5" xfId="7092"/>
    <cellStyle name="Normal 3 7 2 4" xfId="7093"/>
    <cellStyle name="Normal 3 7 2 4 2" xfId="7094"/>
    <cellStyle name="Normal 3 7 2 4 2 2" xfId="7095"/>
    <cellStyle name="Normal 3 7 2 4 3" xfId="7096"/>
    <cellStyle name="Normal 3 7 2 4 3 2" xfId="7097"/>
    <cellStyle name="Normal 3 7 2 4 4" xfId="7098"/>
    <cellStyle name="Normal 3 7 2 5" xfId="7099"/>
    <cellStyle name="Normal 3 7 2 5 2" xfId="7100"/>
    <cellStyle name="Normal 3 7 2 5 3" xfId="7101"/>
    <cellStyle name="Normal 3 7 2 6" xfId="7102"/>
    <cellStyle name="Normal 3 7 2 6 2" xfId="7103"/>
    <cellStyle name="Normal 3 7 2 7" xfId="7104"/>
    <cellStyle name="Normal 3 7 2 7 2" xfId="7105"/>
    <cellStyle name="Normal 3 7 2 8" xfId="7106"/>
    <cellStyle name="Normal 3 7 3" xfId="7107"/>
    <cellStyle name="Normal 3 7 3 2" xfId="7108"/>
    <cellStyle name="Normal 3 7 3 2 2" xfId="7109"/>
    <cellStyle name="Normal 3 7 3 2 2 2" xfId="7110"/>
    <cellStyle name="Normal 3 7 3 2 2 3" xfId="7111"/>
    <cellStyle name="Normal 3 7 3 2 3" xfId="7112"/>
    <cellStyle name="Normal 3 7 3 2 3 2" xfId="7113"/>
    <cellStyle name="Normal 3 7 3 2 4" xfId="7114"/>
    <cellStyle name="Normal 3 7 3 2 4 2" xfId="7115"/>
    <cellStyle name="Normal 3 7 3 2 5" xfId="7116"/>
    <cellStyle name="Normal 3 7 3 3" xfId="7117"/>
    <cellStyle name="Normal 3 7 3 3 2" xfId="7118"/>
    <cellStyle name="Normal 3 7 3 3 2 2" xfId="7119"/>
    <cellStyle name="Normal 3 7 3 3 3" xfId="7120"/>
    <cellStyle name="Normal 3 7 3 3 3 2" xfId="7121"/>
    <cellStyle name="Normal 3 7 3 3 4" xfId="7122"/>
    <cellStyle name="Normal 3 7 3 4" xfId="7123"/>
    <cellStyle name="Normal 3 7 3 4 2" xfId="7124"/>
    <cellStyle name="Normal 3 7 3 4 3" xfId="7125"/>
    <cellStyle name="Normal 3 7 3 5" xfId="7126"/>
    <cellStyle name="Normal 3 7 3 5 2" xfId="7127"/>
    <cellStyle name="Normal 3 7 3 6" xfId="7128"/>
    <cellStyle name="Normal 3 7 3 6 2" xfId="7129"/>
    <cellStyle name="Normal 3 7 3 7" xfId="7130"/>
    <cellStyle name="Normal 3 7 4" xfId="7131"/>
    <cellStyle name="Normal 3 7 4 2" xfId="7132"/>
    <cellStyle name="Normal 3 7 4 2 2" xfId="7133"/>
    <cellStyle name="Normal 3 7 4 2 2 2" xfId="7134"/>
    <cellStyle name="Normal 3 7 4 2 2 3" xfId="7135"/>
    <cellStyle name="Normal 3 7 4 2 3" xfId="7136"/>
    <cellStyle name="Normal 3 7 4 2 3 2" xfId="7137"/>
    <cellStyle name="Normal 3 7 4 2 4" xfId="7138"/>
    <cellStyle name="Normal 3 7 4 2 4 2" xfId="7139"/>
    <cellStyle name="Normal 3 7 4 2 5" xfId="7140"/>
    <cellStyle name="Normal 3 7 4 3" xfId="7141"/>
    <cellStyle name="Normal 3 7 4 3 2" xfId="7142"/>
    <cellStyle name="Normal 3 7 4 3 2 2" xfId="7143"/>
    <cellStyle name="Normal 3 7 4 3 3" xfId="7144"/>
    <cellStyle name="Normal 3 7 4 3 3 2" xfId="7145"/>
    <cellStyle name="Normal 3 7 4 3 4" xfId="7146"/>
    <cellStyle name="Normal 3 7 4 4" xfId="7147"/>
    <cellStyle name="Normal 3 7 4 4 2" xfId="7148"/>
    <cellStyle name="Normal 3 7 4 4 3" xfId="7149"/>
    <cellStyle name="Normal 3 7 4 5" xfId="7150"/>
    <cellStyle name="Normal 3 7 4 5 2" xfId="7151"/>
    <cellStyle name="Normal 3 7 4 6" xfId="7152"/>
    <cellStyle name="Normal 3 7 4 6 2" xfId="7153"/>
    <cellStyle name="Normal 3 7 4 7" xfId="7154"/>
    <cellStyle name="Normal 3 7 5" xfId="7155"/>
    <cellStyle name="Normal 3 7 5 2" xfId="7156"/>
    <cellStyle name="Normal 3 7 5 2 2" xfId="7157"/>
    <cellStyle name="Normal 3 7 5 2 2 2" xfId="7158"/>
    <cellStyle name="Normal 3 7 5 2 3" xfId="7159"/>
    <cellStyle name="Normal 3 7 5 2 3 2" xfId="7160"/>
    <cellStyle name="Normal 3 7 5 2 4" xfId="7161"/>
    <cellStyle name="Normal 3 7 5 3" xfId="7162"/>
    <cellStyle name="Normal 3 7 5 3 2" xfId="7163"/>
    <cellStyle name="Normal 3 7 5 3 3" xfId="7164"/>
    <cellStyle name="Normal 3 7 5 4" xfId="7165"/>
    <cellStyle name="Normal 3 7 5 4 2" xfId="7166"/>
    <cellStyle name="Normal 3 7 5 5" xfId="7167"/>
    <cellStyle name="Normal 3 7 5 5 2" xfId="7168"/>
    <cellStyle name="Normal 3 7 5 6" xfId="7169"/>
    <cellStyle name="Normal 3 7 6" xfId="7170"/>
    <cellStyle name="Normal 3 7 6 2" xfId="7171"/>
    <cellStyle name="Normal 3 7 6 2 2" xfId="7172"/>
    <cellStyle name="Normal 3 7 6 3" xfId="7173"/>
    <cellStyle name="Normal 3 7 6 3 2" xfId="7174"/>
    <cellStyle name="Normal 3 7 6 4" xfId="7175"/>
    <cellStyle name="Normal 3 7 7" xfId="7176"/>
    <cellStyle name="Normal 3 7 7 2" xfId="7177"/>
    <cellStyle name="Normal 3 7 7 2 2" xfId="7178"/>
    <cellStyle name="Normal 3 7 7 3" xfId="7179"/>
    <cellStyle name="Normal 3 7 7 3 2" xfId="7180"/>
    <cellStyle name="Normal 3 7 7 4" xfId="7181"/>
    <cellStyle name="Normal 3 7 8" xfId="7182"/>
    <cellStyle name="Normal 3 7 8 2" xfId="7183"/>
    <cellStyle name="Normal 3 7 8 3" xfId="7184"/>
    <cellStyle name="Normal 3 7 9" xfId="7185"/>
    <cellStyle name="Normal 3 7 9 2" xfId="7186"/>
    <cellStyle name="Normal 3 8" xfId="7187"/>
    <cellStyle name="Normal 3 8 10" xfId="7188"/>
    <cellStyle name="Normal 3 8 2" xfId="7189"/>
    <cellStyle name="Normal 3 8 2 2" xfId="7190"/>
    <cellStyle name="Normal 3 8 2 2 2" xfId="7191"/>
    <cellStyle name="Normal 3 8 2 2 2 2" xfId="7192"/>
    <cellStyle name="Normal 3 8 2 2 2 3" xfId="7193"/>
    <cellStyle name="Normal 3 8 2 2 3" xfId="7194"/>
    <cellStyle name="Normal 3 8 2 2 3 2" xfId="7195"/>
    <cellStyle name="Normal 3 8 2 2 4" xfId="7196"/>
    <cellStyle name="Normal 3 8 2 2 4 2" xfId="7197"/>
    <cellStyle name="Normal 3 8 2 2 5" xfId="7198"/>
    <cellStyle name="Normal 3 8 2 3" xfId="7199"/>
    <cellStyle name="Normal 3 8 2 3 2" xfId="7200"/>
    <cellStyle name="Normal 3 8 2 3 2 2" xfId="7201"/>
    <cellStyle name="Normal 3 8 2 3 3" xfId="7202"/>
    <cellStyle name="Normal 3 8 2 3 3 2" xfId="7203"/>
    <cellStyle name="Normal 3 8 2 3 4" xfId="7204"/>
    <cellStyle name="Normal 3 8 2 4" xfId="7205"/>
    <cellStyle name="Normal 3 8 2 4 2" xfId="7206"/>
    <cellStyle name="Normal 3 8 2 4 3" xfId="7207"/>
    <cellStyle name="Normal 3 8 2 5" xfId="7208"/>
    <cellStyle name="Normal 3 8 2 5 2" xfId="7209"/>
    <cellStyle name="Normal 3 8 2 6" xfId="7210"/>
    <cellStyle name="Normal 3 8 2 6 2" xfId="7211"/>
    <cellStyle name="Normal 3 8 2 7" xfId="7212"/>
    <cellStyle name="Normal 3 8 3" xfId="7213"/>
    <cellStyle name="Normal 3 8 3 2" xfId="7214"/>
    <cellStyle name="Normal 3 8 3 2 2" xfId="7215"/>
    <cellStyle name="Normal 3 8 3 2 2 2" xfId="7216"/>
    <cellStyle name="Normal 3 8 3 2 2 3" xfId="7217"/>
    <cellStyle name="Normal 3 8 3 2 3" xfId="7218"/>
    <cellStyle name="Normal 3 8 3 2 3 2" xfId="7219"/>
    <cellStyle name="Normal 3 8 3 2 4" xfId="7220"/>
    <cellStyle name="Normal 3 8 3 2 4 2" xfId="7221"/>
    <cellStyle name="Normal 3 8 3 2 5" xfId="7222"/>
    <cellStyle name="Normal 3 8 3 3" xfId="7223"/>
    <cellStyle name="Normal 3 8 3 3 2" xfId="7224"/>
    <cellStyle name="Normal 3 8 3 3 2 2" xfId="7225"/>
    <cellStyle name="Normal 3 8 3 3 3" xfId="7226"/>
    <cellStyle name="Normal 3 8 3 3 3 2" xfId="7227"/>
    <cellStyle name="Normal 3 8 3 3 4" xfId="7228"/>
    <cellStyle name="Normal 3 8 3 4" xfId="7229"/>
    <cellStyle name="Normal 3 8 3 4 2" xfId="7230"/>
    <cellStyle name="Normal 3 8 3 4 3" xfId="7231"/>
    <cellStyle name="Normal 3 8 3 5" xfId="7232"/>
    <cellStyle name="Normal 3 8 3 5 2" xfId="7233"/>
    <cellStyle name="Normal 3 8 3 6" xfId="7234"/>
    <cellStyle name="Normal 3 8 3 6 2" xfId="7235"/>
    <cellStyle name="Normal 3 8 3 7" xfId="7236"/>
    <cellStyle name="Normal 3 8 4" xfId="7237"/>
    <cellStyle name="Normal 3 8 4 2" xfId="7238"/>
    <cellStyle name="Normal 3 8 4 2 2" xfId="7239"/>
    <cellStyle name="Normal 3 8 4 2 2 2" xfId="7240"/>
    <cellStyle name="Normal 3 8 4 2 3" xfId="7241"/>
    <cellStyle name="Normal 3 8 4 2 3 2" xfId="7242"/>
    <cellStyle name="Normal 3 8 4 2 4" xfId="7243"/>
    <cellStyle name="Normal 3 8 4 3" xfId="7244"/>
    <cellStyle name="Normal 3 8 4 3 2" xfId="7245"/>
    <cellStyle name="Normal 3 8 4 3 3" xfId="7246"/>
    <cellStyle name="Normal 3 8 4 4" xfId="7247"/>
    <cellStyle name="Normal 3 8 4 4 2" xfId="7248"/>
    <cellStyle name="Normal 3 8 4 5" xfId="7249"/>
    <cellStyle name="Normal 3 8 4 5 2" xfId="7250"/>
    <cellStyle name="Normal 3 8 4 6" xfId="7251"/>
    <cellStyle name="Normal 3 8 5" xfId="7252"/>
    <cellStyle name="Normal 3 8 5 2" xfId="7253"/>
    <cellStyle name="Normal 3 8 5 2 2" xfId="7254"/>
    <cellStyle name="Normal 3 8 5 3" xfId="7255"/>
    <cellStyle name="Normal 3 8 5 3 2" xfId="7256"/>
    <cellStyle name="Normal 3 8 5 4" xfId="7257"/>
    <cellStyle name="Normal 3 8 6" xfId="7258"/>
    <cellStyle name="Normal 3 8 6 2" xfId="7259"/>
    <cellStyle name="Normal 3 8 6 2 2" xfId="7260"/>
    <cellStyle name="Normal 3 8 6 3" xfId="7261"/>
    <cellStyle name="Normal 3 8 6 3 2" xfId="7262"/>
    <cellStyle name="Normal 3 8 6 4" xfId="7263"/>
    <cellStyle name="Normal 3 8 7" xfId="7264"/>
    <cellStyle name="Normal 3 8 7 2" xfId="7265"/>
    <cellStyle name="Normal 3 8 7 3" xfId="7266"/>
    <cellStyle name="Normal 3 8 8" xfId="7267"/>
    <cellStyle name="Normal 3 8 8 2" xfId="7268"/>
    <cellStyle name="Normal 3 8 9" xfId="7269"/>
    <cellStyle name="Normal 3 8 9 2" xfId="7270"/>
    <cellStyle name="Normal 3 9" xfId="7271"/>
    <cellStyle name="Normal 3 9 2" xfId="7272"/>
    <cellStyle name="Normal 3 9 2 2" xfId="7273"/>
    <cellStyle name="Normal 3 9 2 2 2" xfId="7274"/>
    <cellStyle name="Normal 3 9 2 2 2 2" xfId="7275"/>
    <cellStyle name="Normal 3 9 2 2 2 3" xfId="7276"/>
    <cellStyle name="Normal 3 9 2 2 3" xfId="7277"/>
    <cellStyle name="Normal 3 9 2 2 3 2" xfId="7278"/>
    <cellStyle name="Normal 3 9 2 2 4" xfId="7279"/>
    <cellStyle name="Normal 3 9 2 2 4 2" xfId="7280"/>
    <cellStyle name="Normal 3 9 2 2 5" xfId="7281"/>
    <cellStyle name="Normal 3 9 2 3" xfId="7282"/>
    <cellStyle name="Normal 3 9 2 3 2" xfId="7283"/>
    <cellStyle name="Normal 3 9 2 3 2 2" xfId="7284"/>
    <cellStyle name="Normal 3 9 2 3 3" xfId="7285"/>
    <cellStyle name="Normal 3 9 2 3 3 2" xfId="7286"/>
    <cellStyle name="Normal 3 9 2 3 4" xfId="7287"/>
    <cellStyle name="Normal 3 9 2 4" xfId="7288"/>
    <cellStyle name="Normal 3 9 2 4 2" xfId="7289"/>
    <cellStyle name="Normal 3 9 2 4 3" xfId="7290"/>
    <cellStyle name="Normal 3 9 2 5" xfId="7291"/>
    <cellStyle name="Normal 3 9 2 5 2" xfId="7292"/>
    <cellStyle name="Normal 3 9 2 6" xfId="7293"/>
    <cellStyle name="Normal 3 9 2 6 2" xfId="7294"/>
    <cellStyle name="Normal 3 9 2 7" xfId="7295"/>
    <cellStyle name="Normal 3 9 3" xfId="7296"/>
    <cellStyle name="Normal 3 9 3 2" xfId="7297"/>
    <cellStyle name="Normal 3 9 3 2 2" xfId="7298"/>
    <cellStyle name="Normal 3 9 3 2 3" xfId="7299"/>
    <cellStyle name="Normal 3 9 3 3" xfId="7300"/>
    <cellStyle name="Normal 3 9 3 3 2" xfId="7301"/>
    <cellStyle name="Normal 3 9 3 4" xfId="7302"/>
    <cellStyle name="Normal 3 9 3 4 2" xfId="7303"/>
    <cellStyle name="Normal 3 9 3 5" xfId="7304"/>
    <cellStyle name="Normal 3 9 4" xfId="7305"/>
    <cellStyle name="Normal 3 9 4 2" xfId="7306"/>
    <cellStyle name="Normal 3 9 4 2 2" xfId="7307"/>
    <cellStyle name="Normal 3 9 4 3" xfId="7308"/>
    <cellStyle name="Normal 3 9 4 3 2" xfId="7309"/>
    <cellStyle name="Normal 3 9 4 4" xfId="7310"/>
    <cellStyle name="Normal 3 9 5" xfId="7311"/>
    <cellStyle name="Normal 3 9 5 2" xfId="7312"/>
    <cellStyle name="Normal 3 9 5 3" xfId="7313"/>
    <cellStyle name="Normal 3 9 6" xfId="7314"/>
    <cellStyle name="Normal 3 9 6 2" xfId="7315"/>
    <cellStyle name="Normal 3 9 7" xfId="7316"/>
    <cellStyle name="Normal 3 9 7 2" xfId="7317"/>
    <cellStyle name="Normal 3 9 8" xfId="7318"/>
    <cellStyle name="Normal 30" xfId="12008"/>
    <cellStyle name="Normal 30 2" xfId="12009"/>
    <cellStyle name="Normal 30 3" xfId="35058"/>
    <cellStyle name="Normal 31" xfId="12010"/>
    <cellStyle name="Normal 31 2" xfId="12011"/>
    <cellStyle name="Normal 31 3" xfId="35059"/>
    <cellStyle name="Normal 32" xfId="12012"/>
    <cellStyle name="Normal 32 2" xfId="12013"/>
    <cellStyle name="Normal 32 3" xfId="35060"/>
    <cellStyle name="Normal 33" xfId="12014"/>
    <cellStyle name="Normal 33 2" xfId="12015"/>
    <cellStyle name="Normal 33 3" xfId="35061"/>
    <cellStyle name="Normal 34" xfId="12016"/>
    <cellStyle name="Normal 34 2" xfId="12017"/>
    <cellStyle name="Normal 34 3" xfId="35062"/>
    <cellStyle name="Normal 35" xfId="12018"/>
    <cellStyle name="Normal 35 2" xfId="12019"/>
    <cellStyle name="Normal 35 3" xfId="12020"/>
    <cellStyle name="Normal 35 4" xfId="35063"/>
    <cellStyle name="Normal 36" xfId="12021"/>
    <cellStyle name="Normal 36 2" xfId="12022"/>
    <cellStyle name="Normal 36 3" xfId="35064"/>
    <cellStyle name="Normal 37" xfId="12023"/>
    <cellStyle name="Normal 37 2" xfId="12024"/>
    <cellStyle name="Normal 37 3" xfId="35065"/>
    <cellStyle name="Normal 38" xfId="12025"/>
    <cellStyle name="Normal 38 2" xfId="35067"/>
    <cellStyle name="Normal 38 3" xfId="35066"/>
    <cellStyle name="Normal 39" xfId="12026"/>
    <cellStyle name="Normal 39 2" xfId="35068"/>
    <cellStyle name="Normal 4" xfId="7319"/>
    <cellStyle name="Normal 4 2" xfId="12027"/>
    <cellStyle name="Normal 4 2 2" xfId="12028"/>
    <cellStyle name="Normal 4 2 2 2" xfId="12029"/>
    <cellStyle name="Normal 4 2 2 2 2" xfId="35069"/>
    <cellStyle name="Normal 4 2 2 3" xfId="12030"/>
    <cellStyle name="Normal 4 2 3" xfId="17692"/>
    <cellStyle name="Normal 4 2 4" xfId="17677"/>
    <cellStyle name="Normal 4 3" xfId="12031"/>
    <cellStyle name="Normal 4 3 2" xfId="12032"/>
    <cellStyle name="Normal 4 3 2 2" xfId="12033"/>
    <cellStyle name="Normal 4 3 2 3" xfId="12034"/>
    <cellStyle name="Normal 4 3 2 4" xfId="35071"/>
    <cellStyle name="Normal 4 3 3" xfId="12035"/>
    <cellStyle name="Normal 4 3 3 2" xfId="35072"/>
    <cellStyle name="Normal 4 3 4" xfId="35070"/>
    <cellStyle name="Normal 4 4" xfId="12036"/>
    <cellStyle name="Normal 4 4 2" xfId="12037"/>
    <cellStyle name="Normal 4 4 2 2" xfId="12038"/>
    <cellStyle name="Normal 4 4 2 3" xfId="35074"/>
    <cellStyle name="Normal 4 4 3" xfId="12039"/>
    <cellStyle name="Normal 4 4 4" xfId="12040"/>
    <cellStyle name="Normal 4 4 5" xfId="35073"/>
    <cellStyle name="Normal 4 5" xfId="12041"/>
    <cellStyle name="Normal 4 5 2" xfId="12042"/>
    <cellStyle name="Normal 4 5 2 2" xfId="12043"/>
    <cellStyle name="Normal 4 5 3" xfId="12044"/>
    <cellStyle name="Normal 4 5 4" xfId="12045"/>
    <cellStyle name="Normal 4 5 5" xfId="35075"/>
    <cellStyle name="Normal 4 6" xfId="17675"/>
    <cellStyle name="Normal 40" xfId="12046"/>
    <cellStyle name="Normal 40 2" xfId="35076"/>
    <cellStyle name="Normal 41" xfId="12047"/>
    <cellStyle name="Normal 41 2" xfId="35077"/>
    <cellStyle name="Normal 42" xfId="12048"/>
    <cellStyle name="Normal 42 2" xfId="35078"/>
    <cellStyle name="Normal 43" xfId="12049"/>
    <cellStyle name="Normal 43 2" xfId="35079"/>
    <cellStyle name="Normal 44" xfId="12050"/>
    <cellStyle name="Normal 44 2" xfId="35080"/>
    <cellStyle name="Normal 45" xfId="12051"/>
    <cellStyle name="Normal 45 2" xfId="35081"/>
    <cellStyle name="Normal 46" xfId="12052"/>
    <cellStyle name="Normal 46 2" xfId="35082"/>
    <cellStyle name="Normal 47" xfId="12053"/>
    <cellStyle name="Normal 47 2" xfId="35083"/>
    <cellStyle name="Normal 48" xfId="12054"/>
    <cellStyle name="Normal 48 2" xfId="12055"/>
    <cellStyle name="Normal 48 3" xfId="35084"/>
    <cellStyle name="Normal 49" xfId="12056"/>
    <cellStyle name="Normal 49 2" xfId="35085"/>
    <cellStyle name="Normal 5" xfId="7320"/>
    <cellStyle name="Normal 5 10" xfId="35086"/>
    <cellStyle name="Normal 5 10 2" xfId="35087"/>
    <cellStyle name="Normal 5 10 2 2" xfId="35088"/>
    <cellStyle name="Normal 5 10 3" xfId="35089"/>
    <cellStyle name="Normal 5 10 3 2" xfId="35090"/>
    <cellStyle name="Normal 5 10 4" xfId="35091"/>
    <cellStyle name="Normal 5 10 4 2" xfId="35092"/>
    <cellStyle name="Normal 5 10 5" xfId="35093"/>
    <cellStyle name="Normal 5 10 6" xfId="35094"/>
    <cellStyle name="Normal 5 11" xfId="35095"/>
    <cellStyle name="Normal 5 11 2" xfId="35096"/>
    <cellStyle name="Normal 5 11 2 2" xfId="35097"/>
    <cellStyle name="Normal 5 11 3" xfId="35098"/>
    <cellStyle name="Normal 5 11 3 2" xfId="35099"/>
    <cellStyle name="Normal 5 11 4" xfId="35100"/>
    <cellStyle name="Normal 5 11 5" xfId="35101"/>
    <cellStyle name="Normal 5 12" xfId="35102"/>
    <cellStyle name="Normal 5 12 2" xfId="35103"/>
    <cellStyle name="Normal 5 13" xfId="35104"/>
    <cellStyle name="Normal 5 13 2" xfId="35105"/>
    <cellStyle name="Normal 5 14" xfId="35106"/>
    <cellStyle name="Normal 5 14 2" xfId="35107"/>
    <cellStyle name="Normal 5 15" xfId="35108"/>
    <cellStyle name="Normal 5 16" xfId="35109"/>
    <cellStyle name="Normal 5 17" xfId="35110"/>
    <cellStyle name="Normal 5 18" xfId="17678"/>
    <cellStyle name="Normal 5 2" xfId="12057"/>
    <cellStyle name="Normal 5 2 10" xfId="35111"/>
    <cellStyle name="Normal 5 2 10 2" xfId="35112"/>
    <cellStyle name="Normal 5 2 11" xfId="35113"/>
    <cellStyle name="Normal 5 2 11 2" xfId="35114"/>
    <cellStyle name="Normal 5 2 12" xfId="35115"/>
    <cellStyle name="Normal 5 2 13" xfId="35116"/>
    <cellStyle name="Normal 5 2 14" xfId="17694"/>
    <cellStyle name="Normal 5 2 2" xfId="12058"/>
    <cellStyle name="Normal 5 2 2 10" xfId="35118"/>
    <cellStyle name="Normal 5 2 2 11" xfId="35119"/>
    <cellStyle name="Normal 5 2 2 12" xfId="35117"/>
    <cellStyle name="Normal 5 2 2 2" xfId="12059"/>
    <cellStyle name="Normal 5 2 2 2 2" xfId="12060"/>
    <cellStyle name="Normal 5 2 2 2 2 2" xfId="35122"/>
    <cellStyle name="Normal 5 2 2 2 2 3" xfId="35121"/>
    <cellStyle name="Normal 5 2 2 2 3" xfId="35123"/>
    <cellStyle name="Normal 5 2 2 2 3 2" xfId="35124"/>
    <cellStyle name="Normal 5 2 2 2 4" xfId="35125"/>
    <cellStyle name="Normal 5 2 2 2 4 2" xfId="35126"/>
    <cellStyle name="Normal 5 2 2 2 5" xfId="35127"/>
    <cellStyle name="Normal 5 2 2 2 6" xfId="35128"/>
    <cellStyle name="Normal 5 2 2 2 7" xfId="35120"/>
    <cellStyle name="Normal 5 2 2 3" xfId="12061"/>
    <cellStyle name="Normal 5 2 2 3 2" xfId="35130"/>
    <cellStyle name="Normal 5 2 2 3 2 2" xfId="35131"/>
    <cellStyle name="Normal 5 2 2 3 3" xfId="35132"/>
    <cellStyle name="Normal 5 2 2 3 3 2" xfId="35133"/>
    <cellStyle name="Normal 5 2 2 3 4" xfId="35134"/>
    <cellStyle name="Normal 5 2 2 3 4 2" xfId="35135"/>
    <cellStyle name="Normal 5 2 2 3 5" xfId="35136"/>
    <cellStyle name="Normal 5 2 2 3 6" xfId="35137"/>
    <cellStyle name="Normal 5 2 2 3 7" xfId="35129"/>
    <cellStyle name="Normal 5 2 2 4" xfId="12062"/>
    <cellStyle name="Normal 5 2 2 4 2" xfId="35139"/>
    <cellStyle name="Normal 5 2 2 4 2 2" xfId="35140"/>
    <cellStyle name="Normal 5 2 2 4 3" xfId="35141"/>
    <cellStyle name="Normal 5 2 2 4 3 2" xfId="35142"/>
    <cellStyle name="Normal 5 2 2 4 4" xfId="35143"/>
    <cellStyle name="Normal 5 2 2 4 4 2" xfId="35144"/>
    <cellStyle name="Normal 5 2 2 4 5" xfId="35145"/>
    <cellStyle name="Normal 5 2 2 4 6" xfId="35146"/>
    <cellStyle name="Normal 5 2 2 4 7" xfId="35138"/>
    <cellStyle name="Normal 5 2 2 5" xfId="35147"/>
    <cellStyle name="Normal 5 2 2 5 2" xfId="35148"/>
    <cellStyle name="Normal 5 2 2 5 2 2" xfId="35149"/>
    <cellStyle name="Normal 5 2 2 5 3" xfId="35150"/>
    <cellStyle name="Normal 5 2 2 5 3 2" xfId="35151"/>
    <cellStyle name="Normal 5 2 2 5 4" xfId="35152"/>
    <cellStyle name="Normal 5 2 2 5 4 2" xfId="35153"/>
    <cellStyle name="Normal 5 2 2 5 5" xfId="35154"/>
    <cellStyle name="Normal 5 2 2 5 6" xfId="35155"/>
    <cellStyle name="Normal 5 2 2 6" xfId="35156"/>
    <cellStyle name="Normal 5 2 2 6 2" xfId="35157"/>
    <cellStyle name="Normal 5 2 2 6 2 2" xfId="35158"/>
    <cellStyle name="Normal 5 2 2 6 3" xfId="35159"/>
    <cellStyle name="Normal 5 2 2 6 3 2" xfId="35160"/>
    <cellStyle name="Normal 5 2 2 6 4" xfId="35161"/>
    <cellStyle name="Normal 5 2 2 6 5" xfId="35162"/>
    <cellStyle name="Normal 5 2 2 7" xfId="35163"/>
    <cellStyle name="Normal 5 2 2 7 2" xfId="35164"/>
    <cellStyle name="Normal 5 2 2 8" xfId="35165"/>
    <cellStyle name="Normal 5 2 2 8 2" xfId="35166"/>
    <cellStyle name="Normal 5 2 2 9" xfId="35167"/>
    <cellStyle name="Normal 5 2 2 9 2" xfId="35168"/>
    <cellStyle name="Normal 5 2 3" xfId="12063"/>
    <cellStyle name="Normal 5 2 3 10" xfId="35170"/>
    <cellStyle name="Normal 5 2 3 11" xfId="35169"/>
    <cellStyle name="Normal 5 2 3 2" xfId="12064"/>
    <cellStyle name="Normal 5 2 3 2 2" xfId="35172"/>
    <cellStyle name="Normal 5 2 3 2 2 2" xfId="35173"/>
    <cellStyle name="Normal 5 2 3 2 3" xfId="35174"/>
    <cellStyle name="Normal 5 2 3 2 3 2" xfId="35175"/>
    <cellStyle name="Normal 5 2 3 2 4" xfId="35176"/>
    <cellStyle name="Normal 5 2 3 2 4 2" xfId="35177"/>
    <cellStyle name="Normal 5 2 3 2 5" xfId="35178"/>
    <cellStyle name="Normal 5 2 3 2 6" xfId="35179"/>
    <cellStyle name="Normal 5 2 3 2 7" xfId="35171"/>
    <cellStyle name="Normal 5 2 3 3" xfId="35180"/>
    <cellStyle name="Normal 5 2 3 3 2" xfId="35181"/>
    <cellStyle name="Normal 5 2 3 3 2 2" xfId="35182"/>
    <cellStyle name="Normal 5 2 3 3 3" xfId="35183"/>
    <cellStyle name="Normal 5 2 3 3 3 2" xfId="35184"/>
    <cellStyle name="Normal 5 2 3 3 4" xfId="35185"/>
    <cellStyle name="Normal 5 2 3 3 4 2" xfId="35186"/>
    <cellStyle name="Normal 5 2 3 3 5" xfId="35187"/>
    <cellStyle name="Normal 5 2 3 3 6" xfId="35188"/>
    <cellStyle name="Normal 5 2 3 4" xfId="35189"/>
    <cellStyle name="Normal 5 2 3 4 2" xfId="35190"/>
    <cellStyle name="Normal 5 2 3 4 2 2" xfId="35191"/>
    <cellStyle name="Normal 5 2 3 4 3" xfId="35192"/>
    <cellStyle name="Normal 5 2 3 4 3 2" xfId="35193"/>
    <cellStyle name="Normal 5 2 3 4 4" xfId="35194"/>
    <cellStyle name="Normal 5 2 3 4 4 2" xfId="35195"/>
    <cellStyle name="Normal 5 2 3 4 5" xfId="35196"/>
    <cellStyle name="Normal 5 2 3 4 6" xfId="35197"/>
    <cellStyle name="Normal 5 2 3 5" xfId="35198"/>
    <cellStyle name="Normal 5 2 3 5 2" xfId="35199"/>
    <cellStyle name="Normal 5 2 3 5 2 2" xfId="35200"/>
    <cellStyle name="Normal 5 2 3 5 3" xfId="35201"/>
    <cellStyle name="Normal 5 2 3 5 3 2" xfId="35202"/>
    <cellStyle name="Normal 5 2 3 5 4" xfId="35203"/>
    <cellStyle name="Normal 5 2 3 5 5" xfId="35204"/>
    <cellStyle name="Normal 5 2 3 6" xfId="35205"/>
    <cellStyle name="Normal 5 2 3 6 2" xfId="35206"/>
    <cellStyle name="Normal 5 2 3 7" xfId="35207"/>
    <cellStyle name="Normal 5 2 3 7 2" xfId="35208"/>
    <cellStyle name="Normal 5 2 3 8" xfId="35209"/>
    <cellStyle name="Normal 5 2 3 8 2" xfId="35210"/>
    <cellStyle name="Normal 5 2 3 9" xfId="35211"/>
    <cellStyle name="Normal 5 2 4" xfId="12065"/>
    <cellStyle name="Normal 5 2 4 10" xfId="35213"/>
    <cellStyle name="Normal 5 2 4 11" xfId="35212"/>
    <cellStyle name="Normal 5 2 4 2" xfId="35214"/>
    <cellStyle name="Normal 5 2 4 2 2" xfId="35215"/>
    <cellStyle name="Normal 5 2 4 2 2 2" xfId="35216"/>
    <cellStyle name="Normal 5 2 4 2 3" xfId="35217"/>
    <cellStyle name="Normal 5 2 4 2 3 2" xfId="35218"/>
    <cellStyle name="Normal 5 2 4 2 4" xfId="35219"/>
    <cellStyle name="Normal 5 2 4 2 4 2" xfId="35220"/>
    <cellStyle name="Normal 5 2 4 2 5" xfId="35221"/>
    <cellStyle name="Normal 5 2 4 2 6" xfId="35222"/>
    <cellStyle name="Normal 5 2 4 3" xfId="35223"/>
    <cellStyle name="Normal 5 2 4 3 2" xfId="35224"/>
    <cellStyle name="Normal 5 2 4 3 2 2" xfId="35225"/>
    <cellStyle name="Normal 5 2 4 3 3" xfId="35226"/>
    <cellStyle name="Normal 5 2 4 3 3 2" xfId="35227"/>
    <cellStyle name="Normal 5 2 4 3 4" xfId="35228"/>
    <cellStyle name="Normal 5 2 4 3 4 2" xfId="35229"/>
    <cellStyle name="Normal 5 2 4 3 5" xfId="35230"/>
    <cellStyle name="Normal 5 2 4 3 6" xfId="35231"/>
    <cellStyle name="Normal 5 2 4 4" xfId="35232"/>
    <cellStyle name="Normal 5 2 4 4 2" xfId="35233"/>
    <cellStyle name="Normal 5 2 4 4 2 2" xfId="35234"/>
    <cellStyle name="Normal 5 2 4 4 3" xfId="35235"/>
    <cellStyle name="Normal 5 2 4 4 3 2" xfId="35236"/>
    <cellStyle name="Normal 5 2 4 4 4" xfId="35237"/>
    <cellStyle name="Normal 5 2 4 4 4 2" xfId="35238"/>
    <cellStyle name="Normal 5 2 4 4 5" xfId="35239"/>
    <cellStyle name="Normal 5 2 4 4 6" xfId="35240"/>
    <cellStyle name="Normal 5 2 4 5" xfId="35241"/>
    <cellStyle name="Normal 5 2 4 5 2" xfId="35242"/>
    <cellStyle name="Normal 5 2 4 5 2 2" xfId="35243"/>
    <cellStyle name="Normal 5 2 4 5 3" xfId="35244"/>
    <cellStyle name="Normal 5 2 4 5 3 2" xfId="35245"/>
    <cellStyle name="Normal 5 2 4 5 4" xfId="35246"/>
    <cellStyle name="Normal 5 2 4 5 5" xfId="35247"/>
    <cellStyle name="Normal 5 2 4 6" xfId="35248"/>
    <cellStyle name="Normal 5 2 4 6 2" xfId="35249"/>
    <cellStyle name="Normal 5 2 4 7" xfId="35250"/>
    <cellStyle name="Normal 5 2 4 7 2" xfId="35251"/>
    <cellStyle name="Normal 5 2 4 8" xfId="35252"/>
    <cellStyle name="Normal 5 2 4 8 2" xfId="35253"/>
    <cellStyle name="Normal 5 2 4 9" xfId="35254"/>
    <cellStyle name="Normal 5 2 5" xfId="35255"/>
    <cellStyle name="Normal 5 2 5 2" xfId="35256"/>
    <cellStyle name="Normal 5 2 5 2 2" xfId="35257"/>
    <cellStyle name="Normal 5 2 5 3" xfId="35258"/>
    <cellStyle name="Normal 5 2 5 3 2" xfId="35259"/>
    <cellStyle name="Normal 5 2 5 4" xfId="35260"/>
    <cellStyle name="Normal 5 2 5 4 2" xfId="35261"/>
    <cellStyle name="Normal 5 2 5 5" xfId="35262"/>
    <cellStyle name="Normal 5 2 5 6" xfId="35263"/>
    <cellStyle name="Normal 5 2 6" xfId="35264"/>
    <cellStyle name="Normal 5 2 6 2" xfId="35265"/>
    <cellStyle name="Normal 5 2 6 2 2" xfId="35266"/>
    <cellStyle name="Normal 5 2 6 3" xfId="35267"/>
    <cellStyle name="Normal 5 2 6 3 2" xfId="35268"/>
    <cellStyle name="Normal 5 2 6 4" xfId="35269"/>
    <cellStyle name="Normal 5 2 6 4 2" xfId="35270"/>
    <cellStyle name="Normal 5 2 6 5" xfId="35271"/>
    <cellStyle name="Normal 5 2 6 6" xfId="35272"/>
    <cellStyle name="Normal 5 2 7" xfId="35273"/>
    <cellStyle name="Normal 5 2 7 2" xfId="35274"/>
    <cellStyle name="Normal 5 2 7 2 2" xfId="35275"/>
    <cellStyle name="Normal 5 2 7 3" xfId="35276"/>
    <cellStyle name="Normal 5 2 7 3 2" xfId="35277"/>
    <cellStyle name="Normal 5 2 7 4" xfId="35278"/>
    <cellStyle name="Normal 5 2 7 4 2" xfId="35279"/>
    <cellStyle name="Normal 5 2 7 5" xfId="35280"/>
    <cellStyle name="Normal 5 2 7 6" xfId="35281"/>
    <cellStyle name="Normal 5 2 8" xfId="35282"/>
    <cellStyle name="Normal 5 2 8 2" xfId="35283"/>
    <cellStyle name="Normal 5 2 8 2 2" xfId="35284"/>
    <cellStyle name="Normal 5 2 8 3" xfId="35285"/>
    <cellStyle name="Normal 5 2 8 3 2" xfId="35286"/>
    <cellStyle name="Normal 5 2 8 4" xfId="35287"/>
    <cellStyle name="Normal 5 2 8 5" xfId="35288"/>
    <cellStyle name="Normal 5 2 9" xfId="35289"/>
    <cellStyle name="Normal 5 2 9 2" xfId="35290"/>
    <cellStyle name="Normal 5 3" xfId="12066"/>
    <cellStyle name="Normal 5 3 10" xfId="35291"/>
    <cellStyle name="Normal 5 3 10 2" xfId="35292"/>
    <cellStyle name="Normal 5 3 11" xfId="35293"/>
    <cellStyle name="Normal 5 3 11 2" xfId="35294"/>
    <cellStyle name="Normal 5 3 12" xfId="35295"/>
    <cellStyle name="Normal 5 3 13" xfId="35296"/>
    <cellStyle name="Normal 5 3 14" xfId="17693"/>
    <cellStyle name="Normal 5 3 2" xfId="12067"/>
    <cellStyle name="Normal 5 3 2 10" xfId="35298"/>
    <cellStyle name="Normal 5 3 2 11" xfId="35299"/>
    <cellStyle name="Normal 5 3 2 12" xfId="35297"/>
    <cellStyle name="Normal 5 3 2 2" xfId="12068"/>
    <cellStyle name="Normal 5 3 2 2 2" xfId="35301"/>
    <cellStyle name="Normal 5 3 2 2 2 2" xfId="35302"/>
    <cellStyle name="Normal 5 3 2 2 3" xfId="35303"/>
    <cellStyle name="Normal 5 3 2 2 3 2" xfId="35304"/>
    <cellStyle name="Normal 5 3 2 2 4" xfId="35305"/>
    <cellStyle name="Normal 5 3 2 2 4 2" xfId="35306"/>
    <cellStyle name="Normal 5 3 2 2 5" xfId="35307"/>
    <cellStyle name="Normal 5 3 2 2 6" xfId="35308"/>
    <cellStyle name="Normal 5 3 2 2 7" xfId="35300"/>
    <cellStyle name="Normal 5 3 2 3" xfId="35309"/>
    <cellStyle name="Normal 5 3 2 3 2" xfId="35310"/>
    <cellStyle name="Normal 5 3 2 3 2 2" xfId="35311"/>
    <cellStyle name="Normal 5 3 2 3 3" xfId="35312"/>
    <cellStyle name="Normal 5 3 2 3 3 2" xfId="35313"/>
    <cellStyle name="Normal 5 3 2 3 4" xfId="35314"/>
    <cellStyle name="Normal 5 3 2 3 4 2" xfId="35315"/>
    <cellStyle name="Normal 5 3 2 3 5" xfId="35316"/>
    <cellStyle name="Normal 5 3 2 3 6" xfId="35317"/>
    <cellStyle name="Normal 5 3 2 4" xfId="35318"/>
    <cellStyle name="Normal 5 3 2 4 2" xfId="35319"/>
    <cellStyle name="Normal 5 3 2 4 2 2" xfId="35320"/>
    <cellStyle name="Normal 5 3 2 4 3" xfId="35321"/>
    <cellStyle name="Normal 5 3 2 4 3 2" xfId="35322"/>
    <cellStyle name="Normal 5 3 2 4 4" xfId="35323"/>
    <cellStyle name="Normal 5 3 2 4 4 2" xfId="35324"/>
    <cellStyle name="Normal 5 3 2 4 5" xfId="35325"/>
    <cellStyle name="Normal 5 3 2 4 6" xfId="35326"/>
    <cellStyle name="Normal 5 3 2 5" xfId="35327"/>
    <cellStyle name="Normal 5 3 2 5 2" xfId="35328"/>
    <cellStyle name="Normal 5 3 2 5 2 2" xfId="35329"/>
    <cellStyle name="Normal 5 3 2 5 3" xfId="35330"/>
    <cellStyle name="Normal 5 3 2 5 3 2" xfId="35331"/>
    <cellStyle name="Normal 5 3 2 5 4" xfId="35332"/>
    <cellStyle name="Normal 5 3 2 5 4 2" xfId="35333"/>
    <cellStyle name="Normal 5 3 2 5 5" xfId="35334"/>
    <cellStyle name="Normal 5 3 2 5 6" xfId="35335"/>
    <cellStyle name="Normal 5 3 2 6" xfId="35336"/>
    <cellStyle name="Normal 5 3 2 6 2" xfId="35337"/>
    <cellStyle name="Normal 5 3 2 6 2 2" xfId="35338"/>
    <cellStyle name="Normal 5 3 2 6 3" xfId="35339"/>
    <cellStyle name="Normal 5 3 2 6 3 2" xfId="35340"/>
    <cellStyle name="Normal 5 3 2 6 4" xfId="35341"/>
    <cellStyle name="Normal 5 3 2 6 5" xfId="35342"/>
    <cellStyle name="Normal 5 3 2 7" xfId="35343"/>
    <cellStyle name="Normal 5 3 2 7 2" xfId="35344"/>
    <cellStyle name="Normal 5 3 2 8" xfId="35345"/>
    <cellStyle name="Normal 5 3 2 8 2" xfId="35346"/>
    <cellStyle name="Normal 5 3 2 9" xfId="35347"/>
    <cellStyle name="Normal 5 3 2 9 2" xfId="35348"/>
    <cellStyle name="Normal 5 3 3" xfId="12069"/>
    <cellStyle name="Normal 5 3 3 10" xfId="35350"/>
    <cellStyle name="Normal 5 3 3 11" xfId="35349"/>
    <cellStyle name="Normal 5 3 3 2" xfId="35351"/>
    <cellStyle name="Normal 5 3 3 2 2" xfId="35352"/>
    <cellStyle name="Normal 5 3 3 2 2 2" xfId="35353"/>
    <cellStyle name="Normal 5 3 3 2 3" xfId="35354"/>
    <cellStyle name="Normal 5 3 3 2 3 2" xfId="35355"/>
    <cellStyle name="Normal 5 3 3 2 4" xfId="35356"/>
    <cellStyle name="Normal 5 3 3 2 4 2" xfId="35357"/>
    <cellStyle name="Normal 5 3 3 2 5" xfId="35358"/>
    <cellStyle name="Normal 5 3 3 2 6" xfId="35359"/>
    <cellStyle name="Normal 5 3 3 3" xfId="35360"/>
    <cellStyle name="Normal 5 3 3 3 2" xfId="35361"/>
    <cellStyle name="Normal 5 3 3 3 2 2" xfId="35362"/>
    <cellStyle name="Normal 5 3 3 3 3" xfId="35363"/>
    <cellStyle name="Normal 5 3 3 3 3 2" xfId="35364"/>
    <cellStyle name="Normal 5 3 3 3 4" xfId="35365"/>
    <cellStyle name="Normal 5 3 3 3 4 2" xfId="35366"/>
    <cellStyle name="Normal 5 3 3 3 5" xfId="35367"/>
    <cellStyle name="Normal 5 3 3 3 6" xfId="35368"/>
    <cellStyle name="Normal 5 3 3 4" xfId="35369"/>
    <cellStyle name="Normal 5 3 3 4 2" xfId="35370"/>
    <cellStyle name="Normal 5 3 3 4 2 2" xfId="35371"/>
    <cellStyle name="Normal 5 3 3 4 3" xfId="35372"/>
    <cellStyle name="Normal 5 3 3 4 3 2" xfId="35373"/>
    <cellStyle name="Normal 5 3 3 4 4" xfId="35374"/>
    <cellStyle name="Normal 5 3 3 4 4 2" xfId="35375"/>
    <cellStyle name="Normal 5 3 3 4 5" xfId="35376"/>
    <cellStyle name="Normal 5 3 3 4 6" xfId="35377"/>
    <cellStyle name="Normal 5 3 3 5" xfId="35378"/>
    <cellStyle name="Normal 5 3 3 5 2" xfId="35379"/>
    <cellStyle name="Normal 5 3 3 5 2 2" xfId="35380"/>
    <cellStyle name="Normal 5 3 3 5 3" xfId="35381"/>
    <cellStyle name="Normal 5 3 3 5 3 2" xfId="35382"/>
    <cellStyle name="Normal 5 3 3 5 4" xfId="35383"/>
    <cellStyle name="Normal 5 3 3 5 5" xfId="35384"/>
    <cellStyle name="Normal 5 3 3 6" xfId="35385"/>
    <cellStyle name="Normal 5 3 3 6 2" xfId="35386"/>
    <cellStyle name="Normal 5 3 3 7" xfId="35387"/>
    <cellStyle name="Normal 5 3 3 7 2" xfId="35388"/>
    <cellStyle name="Normal 5 3 3 8" xfId="35389"/>
    <cellStyle name="Normal 5 3 3 8 2" xfId="35390"/>
    <cellStyle name="Normal 5 3 3 9" xfId="35391"/>
    <cellStyle name="Normal 5 3 4" xfId="12070"/>
    <cellStyle name="Normal 5 3 4 10" xfId="35393"/>
    <cellStyle name="Normal 5 3 4 11" xfId="35392"/>
    <cellStyle name="Normal 5 3 4 2" xfId="35394"/>
    <cellStyle name="Normal 5 3 4 2 2" xfId="35395"/>
    <cellStyle name="Normal 5 3 4 2 2 2" xfId="35396"/>
    <cellStyle name="Normal 5 3 4 2 3" xfId="35397"/>
    <cellStyle name="Normal 5 3 4 2 3 2" xfId="35398"/>
    <cellStyle name="Normal 5 3 4 2 4" xfId="35399"/>
    <cellStyle name="Normal 5 3 4 2 4 2" xfId="35400"/>
    <cellStyle name="Normal 5 3 4 2 5" xfId="35401"/>
    <cellStyle name="Normal 5 3 4 2 6" xfId="35402"/>
    <cellStyle name="Normal 5 3 4 3" xfId="35403"/>
    <cellStyle name="Normal 5 3 4 3 2" xfId="35404"/>
    <cellStyle name="Normal 5 3 4 3 2 2" xfId="35405"/>
    <cellStyle name="Normal 5 3 4 3 3" xfId="35406"/>
    <cellStyle name="Normal 5 3 4 3 3 2" xfId="35407"/>
    <cellStyle name="Normal 5 3 4 3 4" xfId="35408"/>
    <cellStyle name="Normal 5 3 4 3 4 2" xfId="35409"/>
    <cellStyle name="Normal 5 3 4 3 5" xfId="35410"/>
    <cellStyle name="Normal 5 3 4 3 6" xfId="35411"/>
    <cellStyle name="Normal 5 3 4 4" xfId="35412"/>
    <cellStyle name="Normal 5 3 4 4 2" xfId="35413"/>
    <cellStyle name="Normal 5 3 4 4 2 2" xfId="35414"/>
    <cellStyle name="Normal 5 3 4 4 3" xfId="35415"/>
    <cellStyle name="Normal 5 3 4 4 3 2" xfId="35416"/>
    <cellStyle name="Normal 5 3 4 4 4" xfId="35417"/>
    <cellStyle name="Normal 5 3 4 4 4 2" xfId="35418"/>
    <cellStyle name="Normal 5 3 4 4 5" xfId="35419"/>
    <cellStyle name="Normal 5 3 4 4 6" xfId="35420"/>
    <cellStyle name="Normal 5 3 4 5" xfId="35421"/>
    <cellStyle name="Normal 5 3 4 5 2" xfId="35422"/>
    <cellStyle name="Normal 5 3 4 5 2 2" xfId="35423"/>
    <cellStyle name="Normal 5 3 4 5 3" xfId="35424"/>
    <cellStyle name="Normal 5 3 4 5 3 2" xfId="35425"/>
    <cellStyle name="Normal 5 3 4 5 4" xfId="35426"/>
    <cellStyle name="Normal 5 3 4 5 5" xfId="35427"/>
    <cellStyle name="Normal 5 3 4 6" xfId="35428"/>
    <cellStyle name="Normal 5 3 4 6 2" xfId="35429"/>
    <cellStyle name="Normal 5 3 4 7" xfId="35430"/>
    <cellStyle name="Normal 5 3 4 7 2" xfId="35431"/>
    <cellStyle name="Normal 5 3 4 8" xfId="35432"/>
    <cellStyle name="Normal 5 3 4 8 2" xfId="35433"/>
    <cellStyle name="Normal 5 3 4 9" xfId="35434"/>
    <cellStyle name="Normal 5 3 5" xfId="35435"/>
    <cellStyle name="Normal 5 3 5 2" xfId="35436"/>
    <cellStyle name="Normal 5 3 5 2 2" xfId="35437"/>
    <cellStyle name="Normal 5 3 5 3" xfId="35438"/>
    <cellStyle name="Normal 5 3 5 3 2" xfId="35439"/>
    <cellStyle name="Normal 5 3 5 4" xfId="35440"/>
    <cellStyle name="Normal 5 3 5 4 2" xfId="35441"/>
    <cellStyle name="Normal 5 3 5 5" xfId="35442"/>
    <cellStyle name="Normal 5 3 5 6" xfId="35443"/>
    <cellStyle name="Normal 5 3 6" xfId="35444"/>
    <cellStyle name="Normal 5 3 6 2" xfId="35445"/>
    <cellStyle name="Normal 5 3 6 2 2" xfId="35446"/>
    <cellStyle name="Normal 5 3 6 3" xfId="35447"/>
    <cellStyle name="Normal 5 3 6 3 2" xfId="35448"/>
    <cellStyle name="Normal 5 3 6 4" xfId="35449"/>
    <cellStyle name="Normal 5 3 6 4 2" xfId="35450"/>
    <cellStyle name="Normal 5 3 6 5" xfId="35451"/>
    <cellStyle name="Normal 5 3 6 6" xfId="35452"/>
    <cellStyle name="Normal 5 3 7" xfId="35453"/>
    <cellStyle name="Normal 5 3 7 2" xfId="35454"/>
    <cellStyle name="Normal 5 3 7 2 2" xfId="35455"/>
    <cellStyle name="Normal 5 3 7 3" xfId="35456"/>
    <cellStyle name="Normal 5 3 7 3 2" xfId="35457"/>
    <cellStyle name="Normal 5 3 7 4" xfId="35458"/>
    <cellStyle name="Normal 5 3 7 4 2" xfId="35459"/>
    <cellStyle name="Normal 5 3 7 5" xfId="35460"/>
    <cellStyle name="Normal 5 3 7 6" xfId="35461"/>
    <cellStyle name="Normal 5 3 8" xfId="35462"/>
    <cellStyle name="Normal 5 3 8 2" xfId="35463"/>
    <cellStyle name="Normal 5 3 8 2 2" xfId="35464"/>
    <cellStyle name="Normal 5 3 8 3" xfId="35465"/>
    <cellStyle name="Normal 5 3 8 3 2" xfId="35466"/>
    <cellStyle name="Normal 5 3 8 4" xfId="35467"/>
    <cellStyle name="Normal 5 3 8 5" xfId="35468"/>
    <cellStyle name="Normal 5 3 9" xfId="35469"/>
    <cellStyle name="Normal 5 3 9 2" xfId="35470"/>
    <cellStyle name="Normal 5 4" xfId="12071"/>
    <cellStyle name="Normal 5 4 10" xfId="35472"/>
    <cellStyle name="Normal 5 4 10 2" xfId="35473"/>
    <cellStyle name="Normal 5 4 11" xfId="35474"/>
    <cellStyle name="Normal 5 4 12" xfId="35475"/>
    <cellStyle name="Normal 5 4 13" xfId="35471"/>
    <cellStyle name="Normal 5 4 2" xfId="12072"/>
    <cellStyle name="Normal 5 4 2 10" xfId="35477"/>
    <cellStyle name="Normal 5 4 2 11" xfId="35476"/>
    <cellStyle name="Normal 5 4 2 2" xfId="12073"/>
    <cellStyle name="Normal 5 4 2 2 2" xfId="35479"/>
    <cellStyle name="Normal 5 4 2 2 2 2" xfId="35480"/>
    <cellStyle name="Normal 5 4 2 2 3" xfId="35481"/>
    <cellStyle name="Normal 5 4 2 2 3 2" xfId="35482"/>
    <cellStyle name="Normal 5 4 2 2 4" xfId="35483"/>
    <cellStyle name="Normal 5 4 2 2 4 2" xfId="35484"/>
    <cellStyle name="Normal 5 4 2 2 5" xfId="35485"/>
    <cellStyle name="Normal 5 4 2 2 6" xfId="35486"/>
    <cellStyle name="Normal 5 4 2 2 7" xfId="35478"/>
    <cellStyle name="Normal 5 4 2 3" xfId="35487"/>
    <cellStyle name="Normal 5 4 2 3 2" xfId="35488"/>
    <cellStyle name="Normal 5 4 2 3 2 2" xfId="35489"/>
    <cellStyle name="Normal 5 4 2 3 3" xfId="35490"/>
    <cellStyle name="Normal 5 4 2 3 3 2" xfId="35491"/>
    <cellStyle name="Normal 5 4 2 3 4" xfId="35492"/>
    <cellStyle name="Normal 5 4 2 3 4 2" xfId="35493"/>
    <cellStyle name="Normal 5 4 2 3 5" xfId="35494"/>
    <cellStyle name="Normal 5 4 2 3 6" xfId="35495"/>
    <cellStyle name="Normal 5 4 2 4" xfId="35496"/>
    <cellStyle name="Normal 5 4 2 4 2" xfId="35497"/>
    <cellStyle name="Normal 5 4 2 4 2 2" xfId="35498"/>
    <cellStyle name="Normal 5 4 2 4 3" xfId="35499"/>
    <cellStyle name="Normal 5 4 2 4 3 2" xfId="35500"/>
    <cellStyle name="Normal 5 4 2 4 4" xfId="35501"/>
    <cellStyle name="Normal 5 4 2 4 4 2" xfId="35502"/>
    <cellStyle name="Normal 5 4 2 4 5" xfId="35503"/>
    <cellStyle name="Normal 5 4 2 4 6" xfId="35504"/>
    <cellStyle name="Normal 5 4 2 5" xfId="35505"/>
    <cellStyle name="Normal 5 4 2 5 2" xfId="35506"/>
    <cellStyle name="Normal 5 4 2 5 2 2" xfId="35507"/>
    <cellStyle name="Normal 5 4 2 5 3" xfId="35508"/>
    <cellStyle name="Normal 5 4 2 5 3 2" xfId="35509"/>
    <cellStyle name="Normal 5 4 2 5 4" xfId="35510"/>
    <cellStyle name="Normal 5 4 2 5 5" xfId="35511"/>
    <cellStyle name="Normal 5 4 2 6" xfId="35512"/>
    <cellStyle name="Normal 5 4 2 6 2" xfId="35513"/>
    <cellStyle name="Normal 5 4 2 7" xfId="35514"/>
    <cellStyle name="Normal 5 4 2 7 2" xfId="35515"/>
    <cellStyle name="Normal 5 4 2 8" xfId="35516"/>
    <cellStyle name="Normal 5 4 2 8 2" xfId="35517"/>
    <cellStyle name="Normal 5 4 2 9" xfId="35518"/>
    <cellStyle name="Normal 5 4 3" xfId="12074"/>
    <cellStyle name="Normal 5 4 3 10" xfId="35520"/>
    <cellStyle name="Normal 5 4 3 11" xfId="35519"/>
    <cellStyle name="Normal 5 4 3 2" xfId="35521"/>
    <cellStyle name="Normal 5 4 3 2 2" xfId="35522"/>
    <cellStyle name="Normal 5 4 3 2 2 2" xfId="35523"/>
    <cellStyle name="Normal 5 4 3 2 3" xfId="35524"/>
    <cellStyle name="Normal 5 4 3 2 3 2" xfId="35525"/>
    <cellStyle name="Normal 5 4 3 2 4" xfId="35526"/>
    <cellStyle name="Normal 5 4 3 2 4 2" xfId="35527"/>
    <cellStyle name="Normal 5 4 3 2 5" xfId="35528"/>
    <cellStyle name="Normal 5 4 3 2 6" xfId="35529"/>
    <cellStyle name="Normal 5 4 3 3" xfId="35530"/>
    <cellStyle name="Normal 5 4 3 3 2" xfId="35531"/>
    <cellStyle name="Normal 5 4 3 3 2 2" xfId="35532"/>
    <cellStyle name="Normal 5 4 3 3 3" xfId="35533"/>
    <cellStyle name="Normal 5 4 3 3 3 2" xfId="35534"/>
    <cellStyle name="Normal 5 4 3 3 4" xfId="35535"/>
    <cellStyle name="Normal 5 4 3 3 4 2" xfId="35536"/>
    <cellStyle name="Normal 5 4 3 3 5" xfId="35537"/>
    <cellStyle name="Normal 5 4 3 3 6" xfId="35538"/>
    <cellStyle name="Normal 5 4 3 4" xfId="35539"/>
    <cellStyle name="Normal 5 4 3 4 2" xfId="35540"/>
    <cellStyle name="Normal 5 4 3 4 2 2" xfId="35541"/>
    <cellStyle name="Normal 5 4 3 4 3" xfId="35542"/>
    <cellStyle name="Normal 5 4 3 4 3 2" xfId="35543"/>
    <cellStyle name="Normal 5 4 3 4 4" xfId="35544"/>
    <cellStyle name="Normal 5 4 3 4 4 2" xfId="35545"/>
    <cellStyle name="Normal 5 4 3 4 5" xfId="35546"/>
    <cellStyle name="Normal 5 4 3 4 6" xfId="35547"/>
    <cellStyle name="Normal 5 4 3 5" xfId="35548"/>
    <cellStyle name="Normal 5 4 3 5 2" xfId="35549"/>
    <cellStyle name="Normal 5 4 3 5 2 2" xfId="35550"/>
    <cellStyle name="Normal 5 4 3 5 3" xfId="35551"/>
    <cellStyle name="Normal 5 4 3 5 3 2" xfId="35552"/>
    <cellStyle name="Normal 5 4 3 5 4" xfId="35553"/>
    <cellStyle name="Normal 5 4 3 5 5" xfId="35554"/>
    <cellStyle name="Normal 5 4 3 6" xfId="35555"/>
    <cellStyle name="Normal 5 4 3 6 2" xfId="35556"/>
    <cellStyle name="Normal 5 4 3 7" xfId="35557"/>
    <cellStyle name="Normal 5 4 3 7 2" xfId="35558"/>
    <cellStyle name="Normal 5 4 3 8" xfId="35559"/>
    <cellStyle name="Normal 5 4 3 8 2" xfId="35560"/>
    <cellStyle name="Normal 5 4 3 9" xfId="35561"/>
    <cellStyle name="Normal 5 4 4" xfId="12075"/>
    <cellStyle name="Normal 5 4 4 2" xfId="35563"/>
    <cellStyle name="Normal 5 4 4 2 2" xfId="35564"/>
    <cellStyle name="Normal 5 4 4 3" xfId="35565"/>
    <cellStyle name="Normal 5 4 4 3 2" xfId="35566"/>
    <cellStyle name="Normal 5 4 4 4" xfId="35567"/>
    <cellStyle name="Normal 5 4 4 4 2" xfId="35568"/>
    <cellStyle name="Normal 5 4 4 5" xfId="35569"/>
    <cellStyle name="Normal 5 4 4 6" xfId="35570"/>
    <cellStyle name="Normal 5 4 4 7" xfId="35562"/>
    <cellStyle name="Normal 5 4 5" xfId="35571"/>
    <cellStyle name="Normal 5 4 5 2" xfId="35572"/>
    <cellStyle name="Normal 5 4 5 2 2" xfId="35573"/>
    <cellStyle name="Normal 5 4 5 3" xfId="35574"/>
    <cellStyle name="Normal 5 4 5 3 2" xfId="35575"/>
    <cellStyle name="Normal 5 4 5 4" xfId="35576"/>
    <cellStyle name="Normal 5 4 5 4 2" xfId="35577"/>
    <cellStyle name="Normal 5 4 5 5" xfId="35578"/>
    <cellStyle name="Normal 5 4 5 6" xfId="35579"/>
    <cellStyle name="Normal 5 4 6" xfId="35580"/>
    <cellStyle name="Normal 5 4 6 2" xfId="35581"/>
    <cellStyle name="Normal 5 4 6 2 2" xfId="35582"/>
    <cellStyle name="Normal 5 4 6 3" xfId="35583"/>
    <cellStyle name="Normal 5 4 6 3 2" xfId="35584"/>
    <cellStyle name="Normal 5 4 6 4" xfId="35585"/>
    <cellStyle name="Normal 5 4 6 4 2" xfId="35586"/>
    <cellStyle name="Normal 5 4 6 5" xfId="35587"/>
    <cellStyle name="Normal 5 4 6 6" xfId="35588"/>
    <cellStyle name="Normal 5 4 7" xfId="35589"/>
    <cellStyle name="Normal 5 4 7 2" xfId="35590"/>
    <cellStyle name="Normal 5 4 7 2 2" xfId="35591"/>
    <cellStyle name="Normal 5 4 7 3" xfId="35592"/>
    <cellStyle name="Normal 5 4 7 3 2" xfId="35593"/>
    <cellStyle name="Normal 5 4 7 4" xfId="35594"/>
    <cellStyle name="Normal 5 4 7 5" xfId="35595"/>
    <cellStyle name="Normal 5 4 8" xfId="35596"/>
    <cellStyle name="Normal 5 4 8 2" xfId="35597"/>
    <cellStyle name="Normal 5 4 9" xfId="35598"/>
    <cellStyle name="Normal 5 4 9 2" xfId="35599"/>
    <cellStyle name="Normal 5 5" xfId="12076"/>
    <cellStyle name="Normal 5 5 10" xfId="35601"/>
    <cellStyle name="Normal 5 5 11" xfId="35602"/>
    <cellStyle name="Normal 5 5 12" xfId="35600"/>
    <cellStyle name="Normal 5 5 2" xfId="12077"/>
    <cellStyle name="Normal 5 5 2 2" xfId="12078"/>
    <cellStyle name="Normal 5 5 2 2 2" xfId="35605"/>
    <cellStyle name="Normal 5 5 2 2 3" xfId="35604"/>
    <cellStyle name="Normal 5 5 2 3" xfId="35606"/>
    <cellStyle name="Normal 5 5 2 3 2" xfId="35607"/>
    <cellStyle name="Normal 5 5 2 4" xfId="35608"/>
    <cellStyle name="Normal 5 5 2 4 2" xfId="35609"/>
    <cellStyle name="Normal 5 5 2 5" xfId="35610"/>
    <cellStyle name="Normal 5 5 2 6" xfId="35611"/>
    <cellStyle name="Normal 5 5 2 7" xfId="35603"/>
    <cellStyle name="Normal 5 5 3" xfId="12079"/>
    <cellStyle name="Normal 5 5 3 2" xfId="35613"/>
    <cellStyle name="Normal 5 5 3 2 2" xfId="35614"/>
    <cellStyle name="Normal 5 5 3 3" xfId="35615"/>
    <cellStyle name="Normal 5 5 3 3 2" xfId="35616"/>
    <cellStyle name="Normal 5 5 3 4" xfId="35617"/>
    <cellStyle name="Normal 5 5 3 4 2" xfId="35618"/>
    <cellStyle name="Normal 5 5 3 5" xfId="35619"/>
    <cellStyle name="Normal 5 5 3 6" xfId="35620"/>
    <cellStyle name="Normal 5 5 3 7" xfId="35612"/>
    <cellStyle name="Normal 5 5 4" xfId="12080"/>
    <cellStyle name="Normal 5 5 4 2" xfId="35622"/>
    <cellStyle name="Normal 5 5 4 2 2" xfId="35623"/>
    <cellStyle name="Normal 5 5 4 3" xfId="35624"/>
    <cellStyle name="Normal 5 5 4 3 2" xfId="35625"/>
    <cellStyle name="Normal 5 5 4 4" xfId="35626"/>
    <cellStyle name="Normal 5 5 4 4 2" xfId="35627"/>
    <cellStyle name="Normal 5 5 4 5" xfId="35628"/>
    <cellStyle name="Normal 5 5 4 6" xfId="35629"/>
    <cellStyle name="Normal 5 5 4 7" xfId="35621"/>
    <cellStyle name="Normal 5 5 5" xfId="35630"/>
    <cellStyle name="Normal 5 5 5 2" xfId="35631"/>
    <cellStyle name="Normal 5 5 5 2 2" xfId="35632"/>
    <cellStyle name="Normal 5 5 5 3" xfId="35633"/>
    <cellStyle name="Normal 5 5 5 3 2" xfId="35634"/>
    <cellStyle name="Normal 5 5 5 4" xfId="35635"/>
    <cellStyle name="Normal 5 5 5 4 2" xfId="35636"/>
    <cellStyle name="Normal 5 5 5 5" xfId="35637"/>
    <cellStyle name="Normal 5 5 5 6" xfId="35638"/>
    <cellStyle name="Normal 5 5 6" xfId="35639"/>
    <cellStyle name="Normal 5 5 6 2" xfId="35640"/>
    <cellStyle name="Normal 5 5 6 2 2" xfId="35641"/>
    <cellStyle name="Normal 5 5 6 3" xfId="35642"/>
    <cellStyle name="Normal 5 5 6 3 2" xfId="35643"/>
    <cellStyle name="Normal 5 5 6 4" xfId="35644"/>
    <cellStyle name="Normal 5 5 6 5" xfId="35645"/>
    <cellStyle name="Normal 5 5 7" xfId="35646"/>
    <cellStyle name="Normal 5 5 7 2" xfId="35647"/>
    <cellStyle name="Normal 5 5 8" xfId="35648"/>
    <cellStyle name="Normal 5 5 8 2" xfId="35649"/>
    <cellStyle name="Normal 5 5 9" xfId="35650"/>
    <cellStyle name="Normal 5 5 9 2" xfId="35651"/>
    <cellStyle name="Normal 5 6" xfId="12081"/>
    <cellStyle name="Normal 5 6 10" xfId="35653"/>
    <cellStyle name="Normal 5 6 11" xfId="35652"/>
    <cellStyle name="Normal 5 6 2" xfId="12082"/>
    <cellStyle name="Normal 5 6 2 2" xfId="35655"/>
    <cellStyle name="Normal 5 6 2 2 2" xfId="35656"/>
    <cellStyle name="Normal 5 6 2 3" xfId="35657"/>
    <cellStyle name="Normal 5 6 2 3 2" xfId="35658"/>
    <cellStyle name="Normal 5 6 2 4" xfId="35659"/>
    <cellStyle name="Normal 5 6 2 4 2" xfId="35660"/>
    <cellStyle name="Normal 5 6 2 5" xfId="35661"/>
    <cellStyle name="Normal 5 6 2 6" xfId="35662"/>
    <cellStyle name="Normal 5 6 2 7" xfId="35654"/>
    <cellStyle name="Normal 5 6 3" xfId="35663"/>
    <cellStyle name="Normal 5 6 3 2" xfId="35664"/>
    <cellStyle name="Normal 5 6 3 2 2" xfId="35665"/>
    <cellStyle name="Normal 5 6 3 3" xfId="35666"/>
    <cellStyle name="Normal 5 6 3 3 2" xfId="35667"/>
    <cellStyle name="Normal 5 6 3 4" xfId="35668"/>
    <cellStyle name="Normal 5 6 3 4 2" xfId="35669"/>
    <cellStyle name="Normal 5 6 3 5" xfId="35670"/>
    <cellStyle name="Normal 5 6 3 6" xfId="35671"/>
    <cellStyle name="Normal 5 6 4" xfId="35672"/>
    <cellStyle name="Normal 5 6 4 2" xfId="35673"/>
    <cellStyle name="Normal 5 6 4 2 2" xfId="35674"/>
    <cellStyle name="Normal 5 6 4 3" xfId="35675"/>
    <cellStyle name="Normal 5 6 4 3 2" xfId="35676"/>
    <cellStyle name="Normal 5 6 4 4" xfId="35677"/>
    <cellStyle name="Normal 5 6 4 4 2" xfId="35678"/>
    <cellStyle name="Normal 5 6 4 5" xfId="35679"/>
    <cellStyle name="Normal 5 6 4 6" xfId="35680"/>
    <cellStyle name="Normal 5 6 5" xfId="35681"/>
    <cellStyle name="Normal 5 6 5 2" xfId="35682"/>
    <cellStyle name="Normal 5 6 5 2 2" xfId="35683"/>
    <cellStyle name="Normal 5 6 5 3" xfId="35684"/>
    <cellStyle name="Normal 5 6 5 3 2" xfId="35685"/>
    <cellStyle name="Normal 5 6 5 4" xfId="35686"/>
    <cellStyle name="Normal 5 6 5 5" xfId="35687"/>
    <cellStyle name="Normal 5 6 6" xfId="35688"/>
    <cellStyle name="Normal 5 6 6 2" xfId="35689"/>
    <cellStyle name="Normal 5 6 7" xfId="35690"/>
    <cellStyle name="Normal 5 6 7 2" xfId="35691"/>
    <cellStyle name="Normal 5 6 8" xfId="35692"/>
    <cellStyle name="Normal 5 6 8 2" xfId="35693"/>
    <cellStyle name="Normal 5 6 9" xfId="35694"/>
    <cellStyle name="Normal 5 7" xfId="12083"/>
    <cellStyle name="Normal 5 7 10" xfId="35696"/>
    <cellStyle name="Normal 5 7 11" xfId="35695"/>
    <cellStyle name="Normal 5 7 2" xfId="35697"/>
    <cellStyle name="Normal 5 7 2 2" xfId="35698"/>
    <cellStyle name="Normal 5 7 2 2 2" xfId="35699"/>
    <cellStyle name="Normal 5 7 2 3" xfId="35700"/>
    <cellStyle name="Normal 5 7 2 3 2" xfId="35701"/>
    <cellStyle name="Normal 5 7 2 4" xfId="35702"/>
    <cellStyle name="Normal 5 7 2 4 2" xfId="35703"/>
    <cellStyle name="Normal 5 7 2 5" xfId="35704"/>
    <cellStyle name="Normal 5 7 2 6" xfId="35705"/>
    <cellStyle name="Normal 5 7 3" xfId="35706"/>
    <cellStyle name="Normal 5 7 3 2" xfId="35707"/>
    <cellStyle name="Normal 5 7 3 2 2" xfId="35708"/>
    <cellStyle name="Normal 5 7 3 3" xfId="35709"/>
    <cellStyle name="Normal 5 7 3 3 2" xfId="35710"/>
    <cellStyle name="Normal 5 7 3 4" xfId="35711"/>
    <cellStyle name="Normal 5 7 3 4 2" xfId="35712"/>
    <cellStyle name="Normal 5 7 3 5" xfId="35713"/>
    <cellStyle name="Normal 5 7 3 6" xfId="35714"/>
    <cellStyle name="Normal 5 7 4" xfId="35715"/>
    <cellStyle name="Normal 5 7 4 2" xfId="35716"/>
    <cellStyle name="Normal 5 7 4 2 2" xfId="35717"/>
    <cellStyle name="Normal 5 7 4 3" xfId="35718"/>
    <cellStyle name="Normal 5 7 4 3 2" xfId="35719"/>
    <cellStyle name="Normal 5 7 4 4" xfId="35720"/>
    <cellStyle name="Normal 5 7 4 4 2" xfId="35721"/>
    <cellStyle name="Normal 5 7 4 5" xfId="35722"/>
    <cellStyle name="Normal 5 7 4 6" xfId="35723"/>
    <cellStyle name="Normal 5 7 5" xfId="35724"/>
    <cellStyle name="Normal 5 7 5 2" xfId="35725"/>
    <cellStyle name="Normal 5 7 5 2 2" xfId="35726"/>
    <cellStyle name="Normal 5 7 5 3" xfId="35727"/>
    <cellStyle name="Normal 5 7 5 3 2" xfId="35728"/>
    <cellStyle name="Normal 5 7 5 4" xfId="35729"/>
    <cellStyle name="Normal 5 7 5 5" xfId="35730"/>
    <cellStyle name="Normal 5 7 6" xfId="35731"/>
    <cellStyle name="Normal 5 7 6 2" xfId="35732"/>
    <cellStyle name="Normal 5 7 7" xfId="35733"/>
    <cellStyle name="Normal 5 7 7 2" xfId="35734"/>
    <cellStyle name="Normal 5 7 8" xfId="35735"/>
    <cellStyle name="Normal 5 7 8 2" xfId="35736"/>
    <cellStyle name="Normal 5 7 9" xfId="35737"/>
    <cellStyle name="Normal 5 8" xfId="35738"/>
    <cellStyle name="Normal 5 8 2" xfId="35739"/>
    <cellStyle name="Normal 5 8 2 2" xfId="35740"/>
    <cellStyle name="Normal 5 8 3" xfId="35741"/>
    <cellStyle name="Normal 5 8 3 2" xfId="35742"/>
    <cellStyle name="Normal 5 8 4" xfId="35743"/>
    <cellStyle name="Normal 5 8 4 2" xfId="35744"/>
    <cellStyle name="Normal 5 8 5" xfId="35745"/>
    <cellStyle name="Normal 5 8 6" xfId="35746"/>
    <cellStyle name="Normal 5 9" xfId="35747"/>
    <cellStyle name="Normal 5 9 2" xfId="35748"/>
    <cellStyle name="Normal 5 9 2 2" xfId="35749"/>
    <cellStyle name="Normal 5 9 3" xfId="35750"/>
    <cellStyle name="Normal 5 9 3 2" xfId="35751"/>
    <cellStyle name="Normal 5 9 4" xfId="35752"/>
    <cellStyle name="Normal 5 9 4 2" xfId="35753"/>
    <cellStyle name="Normal 5 9 5" xfId="35754"/>
    <cellStyle name="Normal 5 9 6" xfId="35755"/>
    <cellStyle name="Normal 50" xfId="12084"/>
    <cellStyle name="Normal 50 2" xfId="35756"/>
    <cellStyle name="Normal 51" xfId="12085"/>
    <cellStyle name="Normal 51 2" xfId="35757"/>
    <cellStyle name="Normal 52" xfId="12086"/>
    <cellStyle name="Normal 52 2" xfId="12087"/>
    <cellStyle name="Normal 52 2 2" xfId="12088"/>
    <cellStyle name="Normal 52 3" xfId="12089"/>
    <cellStyle name="Normal 52 4" xfId="12090"/>
    <cellStyle name="Normal 52 5" xfId="35758"/>
    <cellStyle name="Normal 53" xfId="12091"/>
    <cellStyle name="Normal 53 2" xfId="12092"/>
    <cellStyle name="Normal 53 2 2" xfId="12093"/>
    <cellStyle name="Normal 53 3" xfId="12094"/>
    <cellStyle name="Normal 53 4" xfId="12095"/>
    <cellStyle name="Normal 53 5" xfId="35759"/>
    <cellStyle name="Normal 54" xfId="12096"/>
    <cellStyle name="Normal 54 2" xfId="12097"/>
    <cellStyle name="Normal 54 2 2" xfId="12098"/>
    <cellStyle name="Normal 54 3" xfId="12099"/>
    <cellStyle name="Normal 54 4" xfId="12100"/>
    <cellStyle name="Normal 54 5" xfId="35760"/>
    <cellStyle name="Normal 55" xfId="12101"/>
    <cellStyle name="Normal 55 2" xfId="12102"/>
    <cellStyle name="Normal 55 3" xfId="35761"/>
    <cellStyle name="Normal 56" xfId="12103"/>
    <cellStyle name="Normal 56 2" xfId="12104"/>
    <cellStyle name="Normal 56 3" xfId="35762"/>
    <cellStyle name="Normal 57" xfId="12105"/>
    <cellStyle name="Normal 57 2" xfId="12106"/>
    <cellStyle name="Normal 57 2 2" xfId="35764"/>
    <cellStyle name="Normal 57 3" xfId="35763"/>
    <cellStyle name="Normal 58" xfId="12107"/>
    <cellStyle name="Normal 58 2" xfId="12108"/>
    <cellStyle name="Normal 58 2 2" xfId="35766"/>
    <cellStyle name="Normal 58 3" xfId="35765"/>
    <cellStyle name="Normal 59" xfId="12109"/>
    <cellStyle name="Normal 59 2" xfId="12110"/>
    <cellStyle name="Normal 59 3" xfId="12111"/>
    <cellStyle name="Normal 59 4" xfId="35767"/>
    <cellStyle name="Normal 6" xfId="7321"/>
    <cellStyle name="Normal 6 10" xfId="35768"/>
    <cellStyle name="Normal 6 10 2" xfId="35769"/>
    <cellStyle name="Normal 6 10 2 2" xfId="35770"/>
    <cellStyle name="Normal 6 10 3" xfId="35771"/>
    <cellStyle name="Normal 6 10 3 2" xfId="35772"/>
    <cellStyle name="Normal 6 10 4" xfId="35773"/>
    <cellStyle name="Normal 6 10 4 2" xfId="35774"/>
    <cellStyle name="Normal 6 10 5" xfId="35775"/>
    <cellStyle name="Normal 6 10 6" xfId="35776"/>
    <cellStyle name="Normal 6 11" xfId="35777"/>
    <cellStyle name="Normal 6 11 2" xfId="35778"/>
    <cellStyle name="Normal 6 11 2 2" xfId="35779"/>
    <cellStyle name="Normal 6 11 3" xfId="35780"/>
    <cellStyle name="Normal 6 11 3 2" xfId="35781"/>
    <cellStyle name="Normal 6 11 4" xfId="35782"/>
    <cellStyle name="Normal 6 11 5" xfId="35783"/>
    <cellStyle name="Normal 6 12" xfId="35784"/>
    <cellStyle name="Normal 6 12 2" xfId="35785"/>
    <cellStyle name="Normal 6 13" xfId="35786"/>
    <cellStyle name="Normal 6 13 2" xfId="35787"/>
    <cellStyle name="Normal 6 14" xfId="35788"/>
    <cellStyle name="Normal 6 14 2" xfId="35789"/>
    <cellStyle name="Normal 6 15" xfId="35790"/>
    <cellStyle name="Normal 6 16" xfId="35791"/>
    <cellStyle name="Normal 6 17" xfId="35792"/>
    <cellStyle name="Normal 6 18" xfId="17698"/>
    <cellStyle name="Normal 6 2" xfId="12112"/>
    <cellStyle name="Normal 6 2 10" xfId="35794"/>
    <cellStyle name="Normal 6 2 10 2" xfId="35795"/>
    <cellStyle name="Normal 6 2 11" xfId="35796"/>
    <cellStyle name="Normal 6 2 11 2" xfId="35797"/>
    <cellStyle name="Normal 6 2 12" xfId="35798"/>
    <cellStyle name="Normal 6 2 13" xfId="35799"/>
    <cellStyle name="Normal 6 2 14" xfId="35793"/>
    <cellStyle name="Normal 6 2 2" xfId="12113"/>
    <cellStyle name="Normal 6 2 2 10" xfId="35801"/>
    <cellStyle name="Normal 6 2 2 11" xfId="35802"/>
    <cellStyle name="Normal 6 2 2 12" xfId="35800"/>
    <cellStyle name="Normal 6 2 2 2" xfId="12114"/>
    <cellStyle name="Normal 6 2 2 2 2" xfId="12115"/>
    <cellStyle name="Normal 6 2 2 2 2 2" xfId="12116"/>
    <cellStyle name="Normal 6 2 2 2 2 2 2" xfId="35805"/>
    <cellStyle name="Normal 6 2 2 2 2 3" xfId="35804"/>
    <cellStyle name="Normal 6 2 2 2 3" xfId="12117"/>
    <cellStyle name="Normal 6 2 2 2 3 2" xfId="35807"/>
    <cellStyle name="Normal 6 2 2 2 3 3" xfId="35806"/>
    <cellStyle name="Normal 6 2 2 2 4" xfId="12118"/>
    <cellStyle name="Normal 6 2 2 2 4 2" xfId="35809"/>
    <cellStyle name="Normal 6 2 2 2 4 3" xfId="35808"/>
    <cellStyle name="Normal 6 2 2 2 5" xfId="35810"/>
    <cellStyle name="Normal 6 2 2 2 6" xfId="35811"/>
    <cellStyle name="Normal 6 2 2 2 7" xfId="35803"/>
    <cellStyle name="Normal 6 2 2 3" xfId="12119"/>
    <cellStyle name="Normal 6 2 2 3 2" xfId="12120"/>
    <cellStyle name="Normal 6 2 2 3 2 2" xfId="35814"/>
    <cellStyle name="Normal 6 2 2 3 2 3" xfId="35813"/>
    <cellStyle name="Normal 6 2 2 3 3" xfId="35815"/>
    <cellStyle name="Normal 6 2 2 3 3 2" xfId="35816"/>
    <cellStyle name="Normal 6 2 2 3 4" xfId="35817"/>
    <cellStyle name="Normal 6 2 2 3 4 2" xfId="35818"/>
    <cellStyle name="Normal 6 2 2 3 5" xfId="35819"/>
    <cellStyle name="Normal 6 2 2 3 6" xfId="35820"/>
    <cellStyle name="Normal 6 2 2 3 7" xfId="35812"/>
    <cellStyle name="Normal 6 2 2 4" xfId="12121"/>
    <cellStyle name="Normal 6 2 2 4 2" xfId="35822"/>
    <cellStyle name="Normal 6 2 2 4 2 2" xfId="35823"/>
    <cellStyle name="Normal 6 2 2 4 3" xfId="35824"/>
    <cellStyle name="Normal 6 2 2 4 3 2" xfId="35825"/>
    <cellStyle name="Normal 6 2 2 4 4" xfId="35826"/>
    <cellStyle name="Normal 6 2 2 4 4 2" xfId="35827"/>
    <cellStyle name="Normal 6 2 2 4 5" xfId="35828"/>
    <cellStyle name="Normal 6 2 2 4 6" xfId="35829"/>
    <cellStyle name="Normal 6 2 2 4 7" xfId="35821"/>
    <cellStyle name="Normal 6 2 2 5" xfId="12122"/>
    <cellStyle name="Normal 6 2 2 5 2" xfId="35831"/>
    <cellStyle name="Normal 6 2 2 5 2 2" xfId="35832"/>
    <cellStyle name="Normal 6 2 2 5 3" xfId="35833"/>
    <cellStyle name="Normal 6 2 2 5 3 2" xfId="35834"/>
    <cellStyle name="Normal 6 2 2 5 4" xfId="35835"/>
    <cellStyle name="Normal 6 2 2 5 4 2" xfId="35836"/>
    <cellStyle name="Normal 6 2 2 5 5" xfId="35837"/>
    <cellStyle name="Normal 6 2 2 5 6" xfId="35838"/>
    <cellStyle name="Normal 6 2 2 5 7" xfId="35830"/>
    <cellStyle name="Normal 6 2 2 6" xfId="35839"/>
    <cellStyle name="Normal 6 2 2 6 2" xfId="35840"/>
    <cellStyle name="Normal 6 2 2 6 2 2" xfId="35841"/>
    <cellStyle name="Normal 6 2 2 6 3" xfId="35842"/>
    <cellStyle name="Normal 6 2 2 6 3 2" xfId="35843"/>
    <cellStyle name="Normal 6 2 2 6 4" xfId="35844"/>
    <cellStyle name="Normal 6 2 2 6 5" xfId="35845"/>
    <cellStyle name="Normal 6 2 2 7" xfId="35846"/>
    <cellStyle name="Normal 6 2 2 7 2" xfId="35847"/>
    <cellStyle name="Normal 6 2 2 8" xfId="35848"/>
    <cellStyle name="Normal 6 2 2 8 2" xfId="35849"/>
    <cellStyle name="Normal 6 2 2 9" xfId="35850"/>
    <cellStyle name="Normal 6 2 2 9 2" xfId="35851"/>
    <cellStyle name="Normal 6 2 3" xfId="12123"/>
    <cellStyle name="Normal 6 2 3 10" xfId="35853"/>
    <cellStyle name="Normal 6 2 3 11" xfId="35852"/>
    <cellStyle name="Normal 6 2 3 2" xfId="12124"/>
    <cellStyle name="Normal 6 2 3 2 2" xfId="12125"/>
    <cellStyle name="Normal 6 2 3 2 2 2" xfId="35856"/>
    <cellStyle name="Normal 6 2 3 2 2 3" xfId="35855"/>
    <cellStyle name="Normal 6 2 3 2 3" xfId="35857"/>
    <cellStyle name="Normal 6 2 3 2 3 2" xfId="35858"/>
    <cellStyle name="Normal 6 2 3 2 4" xfId="35859"/>
    <cellStyle name="Normal 6 2 3 2 4 2" xfId="35860"/>
    <cellStyle name="Normal 6 2 3 2 5" xfId="35861"/>
    <cellStyle name="Normal 6 2 3 2 6" xfId="35862"/>
    <cellStyle name="Normal 6 2 3 2 7" xfId="35854"/>
    <cellStyle name="Normal 6 2 3 3" xfId="12126"/>
    <cellStyle name="Normal 6 2 3 3 2" xfId="35864"/>
    <cellStyle name="Normal 6 2 3 3 2 2" xfId="35865"/>
    <cellStyle name="Normal 6 2 3 3 3" xfId="35866"/>
    <cellStyle name="Normal 6 2 3 3 3 2" xfId="35867"/>
    <cellStyle name="Normal 6 2 3 3 4" xfId="35868"/>
    <cellStyle name="Normal 6 2 3 3 4 2" xfId="35869"/>
    <cellStyle name="Normal 6 2 3 3 5" xfId="35870"/>
    <cellStyle name="Normal 6 2 3 3 6" xfId="35871"/>
    <cellStyle name="Normal 6 2 3 3 7" xfId="35863"/>
    <cellStyle name="Normal 6 2 3 4" xfId="12127"/>
    <cellStyle name="Normal 6 2 3 4 2" xfId="35873"/>
    <cellStyle name="Normal 6 2 3 4 2 2" xfId="35874"/>
    <cellStyle name="Normal 6 2 3 4 3" xfId="35875"/>
    <cellStyle name="Normal 6 2 3 4 3 2" xfId="35876"/>
    <cellStyle name="Normal 6 2 3 4 4" xfId="35877"/>
    <cellStyle name="Normal 6 2 3 4 4 2" xfId="35878"/>
    <cellStyle name="Normal 6 2 3 4 5" xfId="35879"/>
    <cellStyle name="Normal 6 2 3 4 6" xfId="35880"/>
    <cellStyle name="Normal 6 2 3 4 7" xfId="35872"/>
    <cellStyle name="Normal 6 2 3 5" xfId="35881"/>
    <cellStyle name="Normal 6 2 3 5 2" xfId="35882"/>
    <cellStyle name="Normal 6 2 3 5 2 2" xfId="35883"/>
    <cellStyle name="Normal 6 2 3 5 3" xfId="35884"/>
    <cellStyle name="Normal 6 2 3 5 3 2" xfId="35885"/>
    <cellStyle name="Normal 6 2 3 5 4" xfId="35886"/>
    <cellStyle name="Normal 6 2 3 5 5" xfId="35887"/>
    <cellStyle name="Normal 6 2 3 6" xfId="35888"/>
    <cellStyle name="Normal 6 2 3 6 2" xfId="35889"/>
    <cellStyle name="Normal 6 2 3 7" xfId="35890"/>
    <cellStyle name="Normal 6 2 3 7 2" xfId="35891"/>
    <cellStyle name="Normal 6 2 3 8" xfId="35892"/>
    <cellStyle name="Normal 6 2 3 8 2" xfId="35893"/>
    <cellStyle name="Normal 6 2 3 9" xfId="35894"/>
    <cellStyle name="Normal 6 2 4" xfId="12128"/>
    <cellStyle name="Normal 6 2 4 10" xfId="35896"/>
    <cellStyle name="Normal 6 2 4 11" xfId="35895"/>
    <cellStyle name="Normal 6 2 4 2" xfId="12129"/>
    <cellStyle name="Normal 6 2 4 2 2" xfId="12130"/>
    <cellStyle name="Normal 6 2 4 2 2 2" xfId="35899"/>
    <cellStyle name="Normal 6 2 4 2 2 3" xfId="35898"/>
    <cellStyle name="Normal 6 2 4 2 3" xfId="35900"/>
    <cellStyle name="Normal 6 2 4 2 3 2" xfId="35901"/>
    <cellStyle name="Normal 6 2 4 2 4" xfId="35902"/>
    <cellStyle name="Normal 6 2 4 2 4 2" xfId="35903"/>
    <cellStyle name="Normal 6 2 4 2 5" xfId="35904"/>
    <cellStyle name="Normal 6 2 4 2 6" xfId="35905"/>
    <cellStyle name="Normal 6 2 4 2 7" xfId="35897"/>
    <cellStyle name="Normal 6 2 4 3" xfId="12131"/>
    <cellStyle name="Normal 6 2 4 3 2" xfId="35907"/>
    <cellStyle name="Normal 6 2 4 3 2 2" xfId="35908"/>
    <cellStyle name="Normal 6 2 4 3 3" xfId="35909"/>
    <cellStyle name="Normal 6 2 4 3 3 2" xfId="35910"/>
    <cellStyle name="Normal 6 2 4 3 4" xfId="35911"/>
    <cellStyle name="Normal 6 2 4 3 4 2" xfId="35912"/>
    <cellStyle name="Normal 6 2 4 3 5" xfId="35913"/>
    <cellStyle name="Normal 6 2 4 3 6" xfId="35914"/>
    <cellStyle name="Normal 6 2 4 3 7" xfId="35906"/>
    <cellStyle name="Normal 6 2 4 4" xfId="12132"/>
    <cellStyle name="Normal 6 2 4 4 2" xfId="35916"/>
    <cellStyle name="Normal 6 2 4 4 2 2" xfId="35917"/>
    <cellStyle name="Normal 6 2 4 4 3" xfId="35918"/>
    <cellStyle name="Normal 6 2 4 4 3 2" xfId="35919"/>
    <cellStyle name="Normal 6 2 4 4 4" xfId="35920"/>
    <cellStyle name="Normal 6 2 4 4 4 2" xfId="35921"/>
    <cellStyle name="Normal 6 2 4 4 5" xfId="35922"/>
    <cellStyle name="Normal 6 2 4 4 6" xfId="35923"/>
    <cellStyle name="Normal 6 2 4 4 7" xfId="35915"/>
    <cellStyle name="Normal 6 2 4 5" xfId="35924"/>
    <cellStyle name="Normal 6 2 4 5 2" xfId="35925"/>
    <cellStyle name="Normal 6 2 4 5 2 2" xfId="35926"/>
    <cellStyle name="Normal 6 2 4 5 3" xfId="35927"/>
    <cellStyle name="Normal 6 2 4 5 3 2" xfId="35928"/>
    <cellStyle name="Normal 6 2 4 5 4" xfId="35929"/>
    <cellStyle name="Normal 6 2 4 5 5" xfId="35930"/>
    <cellStyle name="Normal 6 2 4 6" xfId="35931"/>
    <cellStyle name="Normal 6 2 4 6 2" xfId="35932"/>
    <cellStyle name="Normal 6 2 4 7" xfId="35933"/>
    <cellStyle name="Normal 6 2 4 7 2" xfId="35934"/>
    <cellStyle name="Normal 6 2 4 8" xfId="35935"/>
    <cellStyle name="Normal 6 2 4 8 2" xfId="35936"/>
    <cellStyle name="Normal 6 2 4 9" xfId="35937"/>
    <cellStyle name="Normal 6 2 5" xfId="12133"/>
    <cellStyle name="Normal 6 2 5 2" xfId="12134"/>
    <cellStyle name="Normal 6 2 5 2 2" xfId="12135"/>
    <cellStyle name="Normal 6 2 5 2 2 2" xfId="35940"/>
    <cellStyle name="Normal 6 2 5 2 3" xfId="35939"/>
    <cellStyle name="Normal 6 2 5 3" xfId="12136"/>
    <cellStyle name="Normal 6 2 5 3 2" xfId="35942"/>
    <cellStyle name="Normal 6 2 5 3 3" xfId="35941"/>
    <cellStyle name="Normal 6 2 5 4" xfId="12137"/>
    <cellStyle name="Normal 6 2 5 4 2" xfId="35944"/>
    <cellStyle name="Normal 6 2 5 4 3" xfId="35943"/>
    <cellStyle name="Normal 6 2 5 5" xfId="35945"/>
    <cellStyle name="Normal 6 2 5 6" xfId="35946"/>
    <cellStyle name="Normal 6 2 5 7" xfId="35938"/>
    <cellStyle name="Normal 6 2 6" xfId="12138"/>
    <cellStyle name="Normal 6 2 6 2" xfId="12139"/>
    <cellStyle name="Normal 6 2 6 2 2" xfId="35949"/>
    <cellStyle name="Normal 6 2 6 2 3" xfId="35948"/>
    <cellStyle name="Normal 6 2 6 3" xfId="35950"/>
    <cellStyle name="Normal 6 2 6 3 2" xfId="35951"/>
    <cellStyle name="Normal 6 2 6 4" xfId="35952"/>
    <cellStyle name="Normal 6 2 6 4 2" xfId="35953"/>
    <cellStyle name="Normal 6 2 6 5" xfId="35954"/>
    <cellStyle name="Normal 6 2 6 6" xfId="35955"/>
    <cellStyle name="Normal 6 2 6 7" xfId="35947"/>
    <cellStyle name="Normal 6 2 7" xfId="12140"/>
    <cellStyle name="Normal 6 2 7 2" xfId="35957"/>
    <cellStyle name="Normal 6 2 7 2 2" xfId="35958"/>
    <cellStyle name="Normal 6 2 7 3" xfId="35959"/>
    <cellStyle name="Normal 6 2 7 3 2" xfId="35960"/>
    <cellStyle name="Normal 6 2 7 4" xfId="35961"/>
    <cellStyle name="Normal 6 2 7 4 2" xfId="35962"/>
    <cellStyle name="Normal 6 2 7 5" xfId="35963"/>
    <cellStyle name="Normal 6 2 7 6" xfId="35964"/>
    <cellStyle name="Normal 6 2 7 7" xfId="35956"/>
    <cellStyle name="Normal 6 2 8" xfId="12141"/>
    <cellStyle name="Normal 6 2 8 2" xfId="35966"/>
    <cellStyle name="Normal 6 2 8 2 2" xfId="35967"/>
    <cellStyle name="Normal 6 2 8 3" xfId="35968"/>
    <cellStyle name="Normal 6 2 8 3 2" xfId="35969"/>
    <cellStyle name="Normal 6 2 8 4" xfId="35970"/>
    <cellStyle name="Normal 6 2 8 5" xfId="35971"/>
    <cellStyle name="Normal 6 2 8 6" xfId="35965"/>
    <cellStyle name="Normal 6 2 9" xfId="35972"/>
    <cellStyle name="Normal 6 2 9 2" xfId="35973"/>
    <cellStyle name="Normal 6 3" xfId="12142"/>
    <cellStyle name="Normal 6 3 10" xfId="35975"/>
    <cellStyle name="Normal 6 3 10 2" xfId="35976"/>
    <cellStyle name="Normal 6 3 11" xfId="35977"/>
    <cellStyle name="Normal 6 3 11 2" xfId="35978"/>
    <cellStyle name="Normal 6 3 12" xfId="35979"/>
    <cellStyle name="Normal 6 3 13" xfId="35980"/>
    <cellStyle name="Normal 6 3 14" xfId="35974"/>
    <cellStyle name="Normal 6 3 2" xfId="12143"/>
    <cellStyle name="Normal 6 3 2 10" xfId="35982"/>
    <cellStyle name="Normal 6 3 2 11" xfId="35983"/>
    <cellStyle name="Normal 6 3 2 12" xfId="35981"/>
    <cellStyle name="Normal 6 3 2 2" xfId="12144"/>
    <cellStyle name="Normal 6 3 2 2 2" xfId="12145"/>
    <cellStyle name="Normal 6 3 2 2 2 2" xfId="35986"/>
    <cellStyle name="Normal 6 3 2 2 2 3" xfId="35985"/>
    <cellStyle name="Normal 6 3 2 2 3" xfId="35987"/>
    <cellStyle name="Normal 6 3 2 2 3 2" xfId="35988"/>
    <cellStyle name="Normal 6 3 2 2 4" xfId="35989"/>
    <cellStyle name="Normal 6 3 2 2 4 2" xfId="35990"/>
    <cellStyle name="Normal 6 3 2 2 5" xfId="35991"/>
    <cellStyle name="Normal 6 3 2 2 6" xfId="35992"/>
    <cellStyle name="Normal 6 3 2 2 7" xfId="35984"/>
    <cellStyle name="Normal 6 3 2 3" xfId="12146"/>
    <cellStyle name="Normal 6 3 2 3 2" xfId="35994"/>
    <cellStyle name="Normal 6 3 2 3 2 2" xfId="35995"/>
    <cellStyle name="Normal 6 3 2 3 3" xfId="35996"/>
    <cellStyle name="Normal 6 3 2 3 3 2" xfId="35997"/>
    <cellStyle name="Normal 6 3 2 3 4" xfId="35998"/>
    <cellStyle name="Normal 6 3 2 3 4 2" xfId="35999"/>
    <cellStyle name="Normal 6 3 2 3 5" xfId="36000"/>
    <cellStyle name="Normal 6 3 2 3 6" xfId="36001"/>
    <cellStyle name="Normal 6 3 2 3 7" xfId="35993"/>
    <cellStyle name="Normal 6 3 2 4" xfId="12147"/>
    <cellStyle name="Normal 6 3 2 4 2" xfId="36003"/>
    <cellStyle name="Normal 6 3 2 4 2 2" xfId="36004"/>
    <cellStyle name="Normal 6 3 2 4 3" xfId="36005"/>
    <cellStyle name="Normal 6 3 2 4 3 2" xfId="36006"/>
    <cellStyle name="Normal 6 3 2 4 4" xfId="36007"/>
    <cellStyle name="Normal 6 3 2 4 4 2" xfId="36008"/>
    <cellStyle name="Normal 6 3 2 4 5" xfId="36009"/>
    <cellStyle name="Normal 6 3 2 4 6" xfId="36010"/>
    <cellStyle name="Normal 6 3 2 4 7" xfId="36002"/>
    <cellStyle name="Normal 6 3 2 5" xfId="36011"/>
    <cellStyle name="Normal 6 3 2 5 2" xfId="36012"/>
    <cellStyle name="Normal 6 3 2 5 2 2" xfId="36013"/>
    <cellStyle name="Normal 6 3 2 5 3" xfId="36014"/>
    <cellStyle name="Normal 6 3 2 5 3 2" xfId="36015"/>
    <cellStyle name="Normal 6 3 2 5 4" xfId="36016"/>
    <cellStyle name="Normal 6 3 2 5 4 2" xfId="36017"/>
    <cellStyle name="Normal 6 3 2 5 5" xfId="36018"/>
    <cellStyle name="Normal 6 3 2 5 6" xfId="36019"/>
    <cellStyle name="Normal 6 3 2 6" xfId="36020"/>
    <cellStyle name="Normal 6 3 2 6 2" xfId="36021"/>
    <cellStyle name="Normal 6 3 2 6 2 2" xfId="36022"/>
    <cellStyle name="Normal 6 3 2 6 3" xfId="36023"/>
    <cellStyle name="Normal 6 3 2 6 3 2" xfId="36024"/>
    <cellStyle name="Normal 6 3 2 6 4" xfId="36025"/>
    <cellStyle name="Normal 6 3 2 6 5" xfId="36026"/>
    <cellStyle name="Normal 6 3 2 7" xfId="36027"/>
    <cellStyle name="Normal 6 3 2 7 2" xfId="36028"/>
    <cellStyle name="Normal 6 3 2 8" xfId="36029"/>
    <cellStyle name="Normal 6 3 2 8 2" xfId="36030"/>
    <cellStyle name="Normal 6 3 2 9" xfId="36031"/>
    <cellStyle name="Normal 6 3 2 9 2" xfId="36032"/>
    <cellStyle name="Normal 6 3 3" xfId="12148"/>
    <cellStyle name="Normal 6 3 3 10" xfId="36034"/>
    <cellStyle name="Normal 6 3 3 11" xfId="36033"/>
    <cellStyle name="Normal 6 3 3 2" xfId="12149"/>
    <cellStyle name="Normal 6 3 3 2 2" xfId="36036"/>
    <cellStyle name="Normal 6 3 3 2 2 2" xfId="36037"/>
    <cellStyle name="Normal 6 3 3 2 3" xfId="36038"/>
    <cellStyle name="Normal 6 3 3 2 3 2" xfId="36039"/>
    <cellStyle name="Normal 6 3 3 2 4" xfId="36040"/>
    <cellStyle name="Normal 6 3 3 2 4 2" xfId="36041"/>
    <cellStyle name="Normal 6 3 3 2 5" xfId="36042"/>
    <cellStyle name="Normal 6 3 3 2 6" xfId="36043"/>
    <cellStyle name="Normal 6 3 3 2 7" xfId="36035"/>
    <cellStyle name="Normal 6 3 3 3" xfId="36044"/>
    <cellStyle name="Normal 6 3 3 3 2" xfId="36045"/>
    <cellStyle name="Normal 6 3 3 3 2 2" xfId="36046"/>
    <cellStyle name="Normal 6 3 3 3 3" xfId="36047"/>
    <cellStyle name="Normal 6 3 3 3 3 2" xfId="36048"/>
    <cellStyle name="Normal 6 3 3 3 4" xfId="36049"/>
    <cellStyle name="Normal 6 3 3 3 4 2" xfId="36050"/>
    <cellStyle name="Normal 6 3 3 3 5" xfId="36051"/>
    <cellStyle name="Normal 6 3 3 3 6" xfId="36052"/>
    <cellStyle name="Normal 6 3 3 4" xfId="36053"/>
    <cellStyle name="Normal 6 3 3 4 2" xfId="36054"/>
    <cellStyle name="Normal 6 3 3 4 2 2" xfId="36055"/>
    <cellStyle name="Normal 6 3 3 4 3" xfId="36056"/>
    <cellStyle name="Normal 6 3 3 4 3 2" xfId="36057"/>
    <cellStyle name="Normal 6 3 3 4 4" xfId="36058"/>
    <cellStyle name="Normal 6 3 3 4 4 2" xfId="36059"/>
    <cellStyle name="Normal 6 3 3 4 5" xfId="36060"/>
    <cellStyle name="Normal 6 3 3 4 6" xfId="36061"/>
    <cellStyle name="Normal 6 3 3 5" xfId="36062"/>
    <cellStyle name="Normal 6 3 3 5 2" xfId="36063"/>
    <cellStyle name="Normal 6 3 3 5 2 2" xfId="36064"/>
    <cellStyle name="Normal 6 3 3 5 3" xfId="36065"/>
    <cellStyle name="Normal 6 3 3 5 3 2" xfId="36066"/>
    <cellStyle name="Normal 6 3 3 5 4" xfId="36067"/>
    <cellStyle name="Normal 6 3 3 5 5" xfId="36068"/>
    <cellStyle name="Normal 6 3 3 6" xfId="36069"/>
    <cellStyle name="Normal 6 3 3 6 2" xfId="36070"/>
    <cellStyle name="Normal 6 3 3 7" xfId="36071"/>
    <cellStyle name="Normal 6 3 3 7 2" xfId="36072"/>
    <cellStyle name="Normal 6 3 3 8" xfId="36073"/>
    <cellStyle name="Normal 6 3 3 8 2" xfId="36074"/>
    <cellStyle name="Normal 6 3 3 9" xfId="36075"/>
    <cellStyle name="Normal 6 3 4" xfId="12150"/>
    <cellStyle name="Normal 6 3 4 10" xfId="36077"/>
    <cellStyle name="Normal 6 3 4 11" xfId="36076"/>
    <cellStyle name="Normal 6 3 4 2" xfId="36078"/>
    <cellStyle name="Normal 6 3 4 2 2" xfId="36079"/>
    <cellStyle name="Normal 6 3 4 2 2 2" xfId="36080"/>
    <cellStyle name="Normal 6 3 4 2 3" xfId="36081"/>
    <cellStyle name="Normal 6 3 4 2 3 2" xfId="36082"/>
    <cellStyle name="Normal 6 3 4 2 4" xfId="36083"/>
    <cellStyle name="Normal 6 3 4 2 4 2" xfId="36084"/>
    <cellStyle name="Normal 6 3 4 2 5" xfId="36085"/>
    <cellStyle name="Normal 6 3 4 2 6" xfId="36086"/>
    <cellStyle name="Normal 6 3 4 3" xfId="36087"/>
    <cellStyle name="Normal 6 3 4 3 2" xfId="36088"/>
    <cellStyle name="Normal 6 3 4 3 2 2" xfId="36089"/>
    <cellStyle name="Normal 6 3 4 3 3" xfId="36090"/>
    <cellStyle name="Normal 6 3 4 3 3 2" xfId="36091"/>
    <cellStyle name="Normal 6 3 4 3 4" xfId="36092"/>
    <cellStyle name="Normal 6 3 4 3 4 2" xfId="36093"/>
    <cellStyle name="Normal 6 3 4 3 5" xfId="36094"/>
    <cellStyle name="Normal 6 3 4 3 6" xfId="36095"/>
    <cellStyle name="Normal 6 3 4 4" xfId="36096"/>
    <cellStyle name="Normal 6 3 4 4 2" xfId="36097"/>
    <cellStyle name="Normal 6 3 4 4 2 2" xfId="36098"/>
    <cellStyle name="Normal 6 3 4 4 3" xfId="36099"/>
    <cellStyle name="Normal 6 3 4 4 3 2" xfId="36100"/>
    <cellStyle name="Normal 6 3 4 4 4" xfId="36101"/>
    <cellStyle name="Normal 6 3 4 4 4 2" xfId="36102"/>
    <cellStyle name="Normal 6 3 4 4 5" xfId="36103"/>
    <cellStyle name="Normal 6 3 4 4 6" xfId="36104"/>
    <cellStyle name="Normal 6 3 4 5" xfId="36105"/>
    <cellStyle name="Normal 6 3 4 5 2" xfId="36106"/>
    <cellStyle name="Normal 6 3 4 5 2 2" xfId="36107"/>
    <cellStyle name="Normal 6 3 4 5 3" xfId="36108"/>
    <cellStyle name="Normal 6 3 4 5 3 2" xfId="36109"/>
    <cellStyle name="Normal 6 3 4 5 4" xfId="36110"/>
    <cellStyle name="Normal 6 3 4 5 5" xfId="36111"/>
    <cellStyle name="Normal 6 3 4 6" xfId="36112"/>
    <cellStyle name="Normal 6 3 4 6 2" xfId="36113"/>
    <cellStyle name="Normal 6 3 4 7" xfId="36114"/>
    <cellStyle name="Normal 6 3 4 7 2" xfId="36115"/>
    <cellStyle name="Normal 6 3 4 8" xfId="36116"/>
    <cellStyle name="Normal 6 3 4 8 2" xfId="36117"/>
    <cellStyle name="Normal 6 3 4 9" xfId="36118"/>
    <cellStyle name="Normal 6 3 5" xfId="12151"/>
    <cellStyle name="Normal 6 3 5 2" xfId="36120"/>
    <cellStyle name="Normal 6 3 5 2 2" xfId="36121"/>
    <cellStyle name="Normal 6 3 5 3" xfId="36122"/>
    <cellStyle name="Normal 6 3 5 3 2" xfId="36123"/>
    <cellStyle name="Normal 6 3 5 4" xfId="36124"/>
    <cellStyle name="Normal 6 3 5 4 2" xfId="36125"/>
    <cellStyle name="Normal 6 3 5 5" xfId="36126"/>
    <cellStyle name="Normal 6 3 5 6" xfId="36127"/>
    <cellStyle name="Normal 6 3 5 7" xfId="36119"/>
    <cellStyle name="Normal 6 3 6" xfId="36128"/>
    <cellStyle name="Normal 6 3 6 2" xfId="36129"/>
    <cellStyle name="Normal 6 3 6 2 2" xfId="36130"/>
    <cellStyle name="Normal 6 3 6 3" xfId="36131"/>
    <cellStyle name="Normal 6 3 6 3 2" xfId="36132"/>
    <cellStyle name="Normal 6 3 6 4" xfId="36133"/>
    <cellStyle name="Normal 6 3 6 4 2" xfId="36134"/>
    <cellStyle name="Normal 6 3 6 5" xfId="36135"/>
    <cellStyle name="Normal 6 3 6 6" xfId="36136"/>
    <cellStyle name="Normal 6 3 7" xfId="36137"/>
    <cellStyle name="Normal 6 3 7 2" xfId="36138"/>
    <cellStyle name="Normal 6 3 7 2 2" xfId="36139"/>
    <cellStyle name="Normal 6 3 7 3" xfId="36140"/>
    <cellStyle name="Normal 6 3 7 3 2" xfId="36141"/>
    <cellStyle name="Normal 6 3 7 4" xfId="36142"/>
    <cellStyle name="Normal 6 3 7 4 2" xfId="36143"/>
    <cellStyle name="Normal 6 3 7 5" xfId="36144"/>
    <cellStyle name="Normal 6 3 7 6" xfId="36145"/>
    <cellStyle name="Normal 6 3 8" xfId="36146"/>
    <cellStyle name="Normal 6 3 8 2" xfId="36147"/>
    <cellStyle name="Normal 6 3 8 2 2" xfId="36148"/>
    <cellStyle name="Normal 6 3 8 3" xfId="36149"/>
    <cellStyle name="Normal 6 3 8 3 2" xfId="36150"/>
    <cellStyle name="Normal 6 3 8 4" xfId="36151"/>
    <cellStyle name="Normal 6 3 8 5" xfId="36152"/>
    <cellStyle name="Normal 6 3 9" xfId="36153"/>
    <cellStyle name="Normal 6 3 9 2" xfId="36154"/>
    <cellStyle name="Normal 6 4" xfId="12152"/>
    <cellStyle name="Normal 6 4 10" xfId="36156"/>
    <cellStyle name="Normal 6 4 10 2" xfId="36157"/>
    <cellStyle name="Normal 6 4 11" xfId="36158"/>
    <cellStyle name="Normal 6 4 12" xfId="36159"/>
    <cellStyle name="Normal 6 4 13" xfId="36155"/>
    <cellStyle name="Normal 6 4 2" xfId="12153"/>
    <cellStyle name="Normal 6 4 2 10" xfId="36161"/>
    <cellStyle name="Normal 6 4 2 11" xfId="36160"/>
    <cellStyle name="Normal 6 4 2 2" xfId="12154"/>
    <cellStyle name="Normal 6 4 2 2 2" xfId="36163"/>
    <cellStyle name="Normal 6 4 2 2 2 2" xfId="36164"/>
    <cellStyle name="Normal 6 4 2 2 3" xfId="36165"/>
    <cellStyle name="Normal 6 4 2 2 3 2" xfId="36166"/>
    <cellStyle name="Normal 6 4 2 2 4" xfId="36167"/>
    <cellStyle name="Normal 6 4 2 2 4 2" xfId="36168"/>
    <cellStyle name="Normal 6 4 2 2 5" xfId="36169"/>
    <cellStyle name="Normal 6 4 2 2 6" xfId="36170"/>
    <cellStyle name="Normal 6 4 2 2 7" xfId="36162"/>
    <cellStyle name="Normal 6 4 2 3" xfId="12155"/>
    <cellStyle name="Normal 6 4 2 3 2" xfId="36172"/>
    <cellStyle name="Normal 6 4 2 3 2 2" xfId="36173"/>
    <cellStyle name="Normal 6 4 2 3 3" xfId="36174"/>
    <cellStyle name="Normal 6 4 2 3 3 2" xfId="36175"/>
    <cellStyle name="Normal 6 4 2 3 4" xfId="36176"/>
    <cellStyle name="Normal 6 4 2 3 4 2" xfId="36177"/>
    <cellStyle name="Normal 6 4 2 3 5" xfId="36178"/>
    <cellStyle name="Normal 6 4 2 3 6" xfId="36179"/>
    <cellStyle name="Normal 6 4 2 3 7" xfId="36171"/>
    <cellStyle name="Normal 6 4 2 4" xfId="36180"/>
    <cellStyle name="Normal 6 4 2 4 2" xfId="36181"/>
    <cellStyle name="Normal 6 4 2 4 2 2" xfId="36182"/>
    <cellStyle name="Normal 6 4 2 4 3" xfId="36183"/>
    <cellStyle name="Normal 6 4 2 4 3 2" xfId="36184"/>
    <cellStyle name="Normal 6 4 2 4 4" xfId="36185"/>
    <cellStyle name="Normal 6 4 2 4 4 2" xfId="36186"/>
    <cellStyle name="Normal 6 4 2 4 5" xfId="36187"/>
    <cellStyle name="Normal 6 4 2 4 6" xfId="36188"/>
    <cellStyle name="Normal 6 4 2 5" xfId="36189"/>
    <cellStyle name="Normal 6 4 2 5 2" xfId="36190"/>
    <cellStyle name="Normal 6 4 2 5 2 2" xfId="36191"/>
    <cellStyle name="Normal 6 4 2 5 3" xfId="36192"/>
    <cellStyle name="Normal 6 4 2 5 3 2" xfId="36193"/>
    <cellStyle name="Normal 6 4 2 5 4" xfId="36194"/>
    <cellStyle name="Normal 6 4 2 5 5" xfId="36195"/>
    <cellStyle name="Normal 6 4 2 6" xfId="36196"/>
    <cellStyle name="Normal 6 4 2 6 2" xfId="36197"/>
    <cellStyle name="Normal 6 4 2 7" xfId="36198"/>
    <cellStyle name="Normal 6 4 2 7 2" xfId="36199"/>
    <cellStyle name="Normal 6 4 2 8" xfId="36200"/>
    <cellStyle name="Normal 6 4 2 8 2" xfId="36201"/>
    <cellStyle name="Normal 6 4 2 9" xfId="36202"/>
    <cellStyle name="Normal 6 4 3" xfId="12156"/>
    <cellStyle name="Normal 6 4 3 10" xfId="36204"/>
    <cellStyle name="Normal 6 4 3 11" xfId="36203"/>
    <cellStyle name="Normal 6 4 3 2" xfId="36205"/>
    <cellStyle name="Normal 6 4 3 2 2" xfId="36206"/>
    <cellStyle name="Normal 6 4 3 2 2 2" xfId="36207"/>
    <cellStyle name="Normal 6 4 3 2 3" xfId="36208"/>
    <cellStyle name="Normal 6 4 3 2 3 2" xfId="36209"/>
    <cellStyle name="Normal 6 4 3 2 4" xfId="36210"/>
    <cellStyle name="Normal 6 4 3 2 4 2" xfId="36211"/>
    <cellStyle name="Normal 6 4 3 2 5" xfId="36212"/>
    <cellStyle name="Normal 6 4 3 2 6" xfId="36213"/>
    <cellStyle name="Normal 6 4 3 3" xfId="36214"/>
    <cellStyle name="Normal 6 4 3 3 2" xfId="36215"/>
    <cellStyle name="Normal 6 4 3 3 2 2" xfId="36216"/>
    <cellStyle name="Normal 6 4 3 3 3" xfId="36217"/>
    <cellStyle name="Normal 6 4 3 3 3 2" xfId="36218"/>
    <cellStyle name="Normal 6 4 3 3 4" xfId="36219"/>
    <cellStyle name="Normal 6 4 3 3 4 2" xfId="36220"/>
    <cellStyle name="Normal 6 4 3 3 5" xfId="36221"/>
    <cellStyle name="Normal 6 4 3 3 6" xfId="36222"/>
    <cellStyle name="Normal 6 4 3 4" xfId="36223"/>
    <cellStyle name="Normal 6 4 3 4 2" xfId="36224"/>
    <cellStyle name="Normal 6 4 3 4 2 2" xfId="36225"/>
    <cellStyle name="Normal 6 4 3 4 3" xfId="36226"/>
    <cellStyle name="Normal 6 4 3 4 3 2" xfId="36227"/>
    <cellStyle name="Normal 6 4 3 4 4" xfId="36228"/>
    <cellStyle name="Normal 6 4 3 4 4 2" xfId="36229"/>
    <cellStyle name="Normal 6 4 3 4 5" xfId="36230"/>
    <cellStyle name="Normal 6 4 3 4 6" xfId="36231"/>
    <cellStyle name="Normal 6 4 3 5" xfId="36232"/>
    <cellStyle name="Normal 6 4 3 5 2" xfId="36233"/>
    <cellStyle name="Normal 6 4 3 5 2 2" xfId="36234"/>
    <cellStyle name="Normal 6 4 3 5 3" xfId="36235"/>
    <cellStyle name="Normal 6 4 3 5 3 2" xfId="36236"/>
    <cellStyle name="Normal 6 4 3 5 4" xfId="36237"/>
    <cellStyle name="Normal 6 4 3 5 5" xfId="36238"/>
    <cellStyle name="Normal 6 4 3 6" xfId="36239"/>
    <cellStyle name="Normal 6 4 3 6 2" xfId="36240"/>
    <cellStyle name="Normal 6 4 3 7" xfId="36241"/>
    <cellStyle name="Normal 6 4 3 7 2" xfId="36242"/>
    <cellStyle name="Normal 6 4 3 8" xfId="36243"/>
    <cellStyle name="Normal 6 4 3 8 2" xfId="36244"/>
    <cellStyle name="Normal 6 4 3 9" xfId="36245"/>
    <cellStyle name="Normal 6 4 4" xfId="36246"/>
    <cellStyle name="Normal 6 4 4 2" xfId="36247"/>
    <cellStyle name="Normal 6 4 4 2 2" xfId="36248"/>
    <cellStyle name="Normal 6 4 4 3" xfId="36249"/>
    <cellStyle name="Normal 6 4 4 3 2" xfId="36250"/>
    <cellStyle name="Normal 6 4 4 4" xfId="36251"/>
    <cellStyle name="Normal 6 4 4 4 2" xfId="36252"/>
    <cellStyle name="Normal 6 4 4 5" xfId="36253"/>
    <cellStyle name="Normal 6 4 4 6" xfId="36254"/>
    <cellStyle name="Normal 6 4 5" xfId="36255"/>
    <cellStyle name="Normal 6 4 5 2" xfId="36256"/>
    <cellStyle name="Normal 6 4 5 2 2" xfId="36257"/>
    <cellStyle name="Normal 6 4 5 3" xfId="36258"/>
    <cellStyle name="Normal 6 4 5 3 2" xfId="36259"/>
    <cellStyle name="Normal 6 4 5 4" xfId="36260"/>
    <cellStyle name="Normal 6 4 5 4 2" xfId="36261"/>
    <cellStyle name="Normal 6 4 5 5" xfId="36262"/>
    <cellStyle name="Normal 6 4 5 6" xfId="36263"/>
    <cellStyle name="Normal 6 4 6" xfId="36264"/>
    <cellStyle name="Normal 6 4 6 2" xfId="36265"/>
    <cellStyle name="Normal 6 4 6 2 2" xfId="36266"/>
    <cellStyle name="Normal 6 4 6 3" xfId="36267"/>
    <cellStyle name="Normal 6 4 6 3 2" xfId="36268"/>
    <cellStyle name="Normal 6 4 6 4" xfId="36269"/>
    <cellStyle name="Normal 6 4 6 4 2" xfId="36270"/>
    <cellStyle name="Normal 6 4 6 5" xfId="36271"/>
    <cellStyle name="Normal 6 4 6 6" xfId="36272"/>
    <cellStyle name="Normal 6 4 7" xfId="36273"/>
    <cellStyle name="Normal 6 4 7 2" xfId="36274"/>
    <cellStyle name="Normal 6 4 7 2 2" xfId="36275"/>
    <cellStyle name="Normal 6 4 7 3" xfId="36276"/>
    <cellStyle name="Normal 6 4 7 3 2" xfId="36277"/>
    <cellStyle name="Normal 6 4 7 4" xfId="36278"/>
    <cellStyle name="Normal 6 4 7 5" xfId="36279"/>
    <cellStyle name="Normal 6 4 8" xfId="36280"/>
    <cellStyle name="Normal 6 4 8 2" xfId="36281"/>
    <cellStyle name="Normal 6 4 9" xfId="36282"/>
    <cellStyle name="Normal 6 4 9 2" xfId="36283"/>
    <cellStyle name="Normal 6 5" xfId="12157"/>
    <cellStyle name="Normal 6 5 10" xfId="36285"/>
    <cellStyle name="Normal 6 5 11" xfId="36286"/>
    <cellStyle name="Normal 6 5 12" xfId="36284"/>
    <cellStyle name="Normal 6 5 2" xfId="12158"/>
    <cellStyle name="Normal 6 5 2 2" xfId="12159"/>
    <cellStyle name="Normal 6 5 2 2 2" xfId="36289"/>
    <cellStyle name="Normal 6 5 2 2 3" xfId="36288"/>
    <cellStyle name="Normal 6 5 2 3" xfId="36290"/>
    <cellStyle name="Normal 6 5 2 3 2" xfId="36291"/>
    <cellStyle name="Normal 6 5 2 4" xfId="36292"/>
    <cellStyle name="Normal 6 5 2 4 2" xfId="36293"/>
    <cellStyle name="Normal 6 5 2 5" xfId="36294"/>
    <cellStyle name="Normal 6 5 2 6" xfId="36295"/>
    <cellStyle name="Normal 6 5 2 7" xfId="36287"/>
    <cellStyle name="Normal 6 5 3" xfId="12160"/>
    <cellStyle name="Normal 6 5 3 2" xfId="36297"/>
    <cellStyle name="Normal 6 5 3 2 2" xfId="36298"/>
    <cellStyle name="Normal 6 5 3 3" xfId="36299"/>
    <cellStyle name="Normal 6 5 3 3 2" xfId="36300"/>
    <cellStyle name="Normal 6 5 3 4" xfId="36301"/>
    <cellStyle name="Normal 6 5 3 4 2" xfId="36302"/>
    <cellStyle name="Normal 6 5 3 5" xfId="36303"/>
    <cellStyle name="Normal 6 5 3 6" xfId="36304"/>
    <cellStyle name="Normal 6 5 3 7" xfId="36296"/>
    <cellStyle name="Normal 6 5 4" xfId="12161"/>
    <cellStyle name="Normal 6 5 4 2" xfId="36306"/>
    <cellStyle name="Normal 6 5 4 2 2" xfId="36307"/>
    <cellStyle name="Normal 6 5 4 3" xfId="36308"/>
    <cellStyle name="Normal 6 5 4 3 2" xfId="36309"/>
    <cellStyle name="Normal 6 5 4 4" xfId="36310"/>
    <cellStyle name="Normal 6 5 4 4 2" xfId="36311"/>
    <cellStyle name="Normal 6 5 4 5" xfId="36312"/>
    <cellStyle name="Normal 6 5 4 6" xfId="36313"/>
    <cellStyle name="Normal 6 5 4 7" xfId="36305"/>
    <cellStyle name="Normal 6 5 5" xfId="36314"/>
    <cellStyle name="Normal 6 5 5 2" xfId="36315"/>
    <cellStyle name="Normal 6 5 5 2 2" xfId="36316"/>
    <cellStyle name="Normal 6 5 5 3" xfId="36317"/>
    <cellStyle name="Normal 6 5 5 3 2" xfId="36318"/>
    <cellStyle name="Normal 6 5 5 4" xfId="36319"/>
    <cellStyle name="Normal 6 5 5 4 2" xfId="36320"/>
    <cellStyle name="Normal 6 5 5 5" xfId="36321"/>
    <cellStyle name="Normal 6 5 5 6" xfId="36322"/>
    <cellStyle name="Normal 6 5 6" xfId="36323"/>
    <cellStyle name="Normal 6 5 6 2" xfId="36324"/>
    <cellStyle name="Normal 6 5 6 2 2" xfId="36325"/>
    <cellStyle name="Normal 6 5 6 3" xfId="36326"/>
    <cellStyle name="Normal 6 5 6 3 2" xfId="36327"/>
    <cellStyle name="Normal 6 5 6 4" xfId="36328"/>
    <cellStyle name="Normal 6 5 6 5" xfId="36329"/>
    <cellStyle name="Normal 6 5 7" xfId="36330"/>
    <cellStyle name="Normal 6 5 7 2" xfId="36331"/>
    <cellStyle name="Normal 6 5 8" xfId="36332"/>
    <cellStyle name="Normal 6 5 8 2" xfId="36333"/>
    <cellStyle name="Normal 6 5 9" xfId="36334"/>
    <cellStyle name="Normal 6 5 9 2" xfId="36335"/>
    <cellStyle name="Normal 6 6" xfId="12162"/>
    <cellStyle name="Normal 6 6 10" xfId="36337"/>
    <cellStyle name="Normal 6 6 11" xfId="36336"/>
    <cellStyle name="Normal 6 6 2" xfId="12163"/>
    <cellStyle name="Normal 6 6 2 2" xfId="12164"/>
    <cellStyle name="Normal 6 6 2 2 2" xfId="36340"/>
    <cellStyle name="Normal 6 6 2 2 3" xfId="36339"/>
    <cellStyle name="Normal 6 6 2 3" xfId="36341"/>
    <cellStyle name="Normal 6 6 2 3 2" xfId="36342"/>
    <cellStyle name="Normal 6 6 2 4" xfId="36343"/>
    <cellStyle name="Normal 6 6 2 4 2" xfId="36344"/>
    <cellStyle name="Normal 6 6 2 5" xfId="36345"/>
    <cellStyle name="Normal 6 6 2 6" xfId="36346"/>
    <cellStyle name="Normal 6 6 2 7" xfId="36338"/>
    <cellStyle name="Normal 6 6 3" xfId="12165"/>
    <cellStyle name="Normal 6 6 3 2" xfId="36348"/>
    <cellStyle name="Normal 6 6 3 2 2" xfId="36349"/>
    <cellStyle name="Normal 6 6 3 3" xfId="36350"/>
    <cellStyle name="Normal 6 6 3 3 2" xfId="36351"/>
    <cellStyle name="Normal 6 6 3 4" xfId="36352"/>
    <cellStyle name="Normal 6 6 3 4 2" xfId="36353"/>
    <cellStyle name="Normal 6 6 3 5" xfId="36354"/>
    <cellStyle name="Normal 6 6 3 6" xfId="36355"/>
    <cellStyle name="Normal 6 6 3 7" xfId="36347"/>
    <cellStyle name="Normal 6 6 4" xfId="12166"/>
    <cellStyle name="Normal 6 6 4 2" xfId="36357"/>
    <cellStyle name="Normal 6 6 4 2 2" xfId="36358"/>
    <cellStyle name="Normal 6 6 4 3" xfId="36359"/>
    <cellStyle name="Normal 6 6 4 3 2" xfId="36360"/>
    <cellStyle name="Normal 6 6 4 4" xfId="36361"/>
    <cellStyle name="Normal 6 6 4 4 2" xfId="36362"/>
    <cellStyle name="Normal 6 6 4 5" xfId="36363"/>
    <cellStyle name="Normal 6 6 4 6" xfId="36364"/>
    <cellStyle name="Normal 6 6 4 7" xfId="36356"/>
    <cellStyle name="Normal 6 6 5" xfId="36365"/>
    <cellStyle name="Normal 6 6 5 2" xfId="36366"/>
    <cellStyle name="Normal 6 6 5 2 2" xfId="36367"/>
    <cellStyle name="Normal 6 6 5 3" xfId="36368"/>
    <cellStyle name="Normal 6 6 5 3 2" xfId="36369"/>
    <cellStyle name="Normal 6 6 5 4" xfId="36370"/>
    <cellStyle name="Normal 6 6 5 5" xfId="36371"/>
    <cellStyle name="Normal 6 6 6" xfId="36372"/>
    <cellStyle name="Normal 6 6 6 2" xfId="36373"/>
    <cellStyle name="Normal 6 6 7" xfId="36374"/>
    <cellStyle name="Normal 6 6 7 2" xfId="36375"/>
    <cellStyle name="Normal 6 6 8" xfId="36376"/>
    <cellStyle name="Normal 6 6 8 2" xfId="36377"/>
    <cellStyle name="Normal 6 6 9" xfId="36378"/>
    <cellStyle name="Normal 6 7" xfId="12167"/>
    <cellStyle name="Normal 6 7 10" xfId="36380"/>
    <cellStyle name="Normal 6 7 11" xfId="36379"/>
    <cellStyle name="Normal 6 7 2" xfId="12168"/>
    <cellStyle name="Normal 6 7 2 2" xfId="36382"/>
    <cellStyle name="Normal 6 7 2 2 2" xfId="36383"/>
    <cellStyle name="Normal 6 7 2 3" xfId="36384"/>
    <cellStyle name="Normal 6 7 2 3 2" xfId="36385"/>
    <cellStyle name="Normal 6 7 2 4" xfId="36386"/>
    <cellStyle name="Normal 6 7 2 4 2" xfId="36387"/>
    <cellStyle name="Normal 6 7 2 5" xfId="36388"/>
    <cellStyle name="Normal 6 7 2 6" xfId="36389"/>
    <cellStyle name="Normal 6 7 2 7" xfId="36381"/>
    <cellStyle name="Normal 6 7 3" xfId="36390"/>
    <cellStyle name="Normal 6 7 3 2" xfId="36391"/>
    <cellStyle name="Normal 6 7 3 2 2" xfId="36392"/>
    <cellStyle name="Normal 6 7 3 3" xfId="36393"/>
    <cellStyle name="Normal 6 7 3 3 2" xfId="36394"/>
    <cellStyle name="Normal 6 7 3 4" xfId="36395"/>
    <cellStyle name="Normal 6 7 3 4 2" xfId="36396"/>
    <cellStyle name="Normal 6 7 3 5" xfId="36397"/>
    <cellStyle name="Normal 6 7 3 6" xfId="36398"/>
    <cellStyle name="Normal 6 7 4" xfId="36399"/>
    <cellStyle name="Normal 6 7 4 2" xfId="36400"/>
    <cellStyle name="Normal 6 7 4 2 2" xfId="36401"/>
    <cellStyle name="Normal 6 7 4 3" xfId="36402"/>
    <cellStyle name="Normal 6 7 4 3 2" xfId="36403"/>
    <cellStyle name="Normal 6 7 4 4" xfId="36404"/>
    <cellStyle name="Normal 6 7 4 4 2" xfId="36405"/>
    <cellStyle name="Normal 6 7 4 5" xfId="36406"/>
    <cellStyle name="Normal 6 7 4 6" xfId="36407"/>
    <cellStyle name="Normal 6 7 5" xfId="36408"/>
    <cellStyle name="Normal 6 7 5 2" xfId="36409"/>
    <cellStyle name="Normal 6 7 5 2 2" xfId="36410"/>
    <cellStyle name="Normal 6 7 5 3" xfId="36411"/>
    <cellStyle name="Normal 6 7 5 3 2" xfId="36412"/>
    <cellStyle name="Normal 6 7 5 4" xfId="36413"/>
    <cellStyle name="Normal 6 7 5 5" xfId="36414"/>
    <cellStyle name="Normal 6 7 6" xfId="36415"/>
    <cellStyle name="Normal 6 7 6 2" xfId="36416"/>
    <cellStyle name="Normal 6 7 7" xfId="36417"/>
    <cellStyle name="Normal 6 7 7 2" xfId="36418"/>
    <cellStyle name="Normal 6 7 8" xfId="36419"/>
    <cellStyle name="Normal 6 7 8 2" xfId="36420"/>
    <cellStyle name="Normal 6 7 9" xfId="36421"/>
    <cellStyle name="Normal 6 8" xfId="12169"/>
    <cellStyle name="Normal 6 8 2" xfId="36423"/>
    <cellStyle name="Normal 6 8 2 2" xfId="36424"/>
    <cellStyle name="Normal 6 8 3" xfId="36425"/>
    <cellStyle name="Normal 6 8 3 2" xfId="36426"/>
    <cellStyle name="Normal 6 8 4" xfId="36427"/>
    <cellStyle name="Normal 6 8 4 2" xfId="36428"/>
    <cellStyle name="Normal 6 8 5" xfId="36429"/>
    <cellStyle name="Normal 6 8 6" xfId="36430"/>
    <cellStyle name="Normal 6 8 7" xfId="36422"/>
    <cellStyle name="Normal 6 9" xfId="36431"/>
    <cellStyle name="Normal 6 9 2" xfId="36432"/>
    <cellStyle name="Normal 6 9 2 2" xfId="36433"/>
    <cellStyle name="Normal 6 9 3" xfId="36434"/>
    <cellStyle name="Normal 6 9 3 2" xfId="36435"/>
    <cellStyle name="Normal 6 9 4" xfId="36436"/>
    <cellStyle name="Normal 6 9 4 2" xfId="36437"/>
    <cellStyle name="Normal 6 9 5" xfId="36438"/>
    <cellStyle name="Normal 6 9 6" xfId="36439"/>
    <cellStyle name="Normal 60" xfId="12170"/>
    <cellStyle name="Normal 60 2" xfId="12171"/>
    <cellStyle name="Normal 60 3" xfId="12172"/>
    <cellStyle name="Normal 60 4" xfId="36440"/>
    <cellStyle name="Normal 61" xfId="12173"/>
    <cellStyle name="Normal 61 2" xfId="36441"/>
    <cellStyle name="Normal 62" xfId="12174"/>
    <cellStyle name="Normal 62 2" xfId="36442"/>
    <cellStyle name="Normal 63" xfId="12175"/>
    <cellStyle name="Normal 63 2" xfId="36443"/>
    <cellStyle name="Normal 64" xfId="12176"/>
    <cellStyle name="Normal 64 2" xfId="36444"/>
    <cellStyle name="Normal 65" xfId="12177"/>
    <cellStyle name="Normal 65 2" xfId="36445"/>
    <cellStyle name="Normal 66" xfId="12178"/>
    <cellStyle name="Normal 66 2" xfId="36446"/>
    <cellStyle name="Normal 67" xfId="12179"/>
    <cellStyle name="Normal 67 2" xfId="36447"/>
    <cellStyle name="Normal 68" xfId="12180"/>
    <cellStyle name="Normal 68 2" xfId="36448"/>
    <cellStyle name="Normal 69" xfId="12181"/>
    <cellStyle name="Normal 69 2" xfId="36449"/>
    <cellStyle name="Normal 7" xfId="7322"/>
    <cellStyle name="Normal 7 10" xfId="36451"/>
    <cellStyle name="Normal 7 10 2" xfId="36452"/>
    <cellStyle name="Normal 7 10 2 2" xfId="36453"/>
    <cellStyle name="Normal 7 10 3" xfId="36454"/>
    <cellStyle name="Normal 7 10 3 2" xfId="36455"/>
    <cellStyle name="Normal 7 10 4" xfId="36456"/>
    <cellStyle name="Normal 7 10 4 2" xfId="36457"/>
    <cellStyle name="Normal 7 10 5" xfId="36458"/>
    <cellStyle name="Normal 7 10 6" xfId="36459"/>
    <cellStyle name="Normal 7 11" xfId="36460"/>
    <cellStyle name="Normal 7 11 2" xfId="36461"/>
    <cellStyle name="Normal 7 11 2 2" xfId="36462"/>
    <cellStyle name="Normal 7 11 3" xfId="36463"/>
    <cellStyle name="Normal 7 11 3 2" xfId="36464"/>
    <cellStyle name="Normal 7 11 4" xfId="36465"/>
    <cellStyle name="Normal 7 11 4 2" xfId="36466"/>
    <cellStyle name="Normal 7 11 5" xfId="36467"/>
    <cellStyle name="Normal 7 11 6" xfId="36468"/>
    <cellStyle name="Normal 7 12" xfId="36469"/>
    <cellStyle name="Normal 7 12 2" xfId="36470"/>
    <cellStyle name="Normal 7 12 2 2" xfId="36471"/>
    <cellStyle name="Normal 7 12 3" xfId="36472"/>
    <cellStyle name="Normal 7 12 3 2" xfId="36473"/>
    <cellStyle name="Normal 7 12 4" xfId="36474"/>
    <cellStyle name="Normal 7 12 4 2" xfId="36475"/>
    <cellStyle name="Normal 7 12 5" xfId="36476"/>
    <cellStyle name="Normal 7 12 6" xfId="36477"/>
    <cellStyle name="Normal 7 13" xfId="36478"/>
    <cellStyle name="Normal 7 13 2" xfId="36479"/>
    <cellStyle name="Normal 7 13 2 2" xfId="36480"/>
    <cellStyle name="Normal 7 13 3" xfId="36481"/>
    <cellStyle name="Normal 7 13 3 2" xfId="36482"/>
    <cellStyle name="Normal 7 13 4" xfId="36483"/>
    <cellStyle name="Normal 7 13 5" xfId="36484"/>
    <cellStyle name="Normal 7 14" xfId="36485"/>
    <cellStyle name="Normal 7 14 2" xfId="36486"/>
    <cellStyle name="Normal 7 15" xfId="36487"/>
    <cellStyle name="Normal 7 15 2" xfId="36488"/>
    <cellStyle name="Normal 7 16" xfId="36489"/>
    <cellStyle name="Normal 7 16 2" xfId="36490"/>
    <cellStyle name="Normal 7 17" xfId="36491"/>
    <cellStyle name="Normal 7 18" xfId="36492"/>
    <cellStyle name="Normal 7 19" xfId="36493"/>
    <cellStyle name="Normal 7 2" xfId="7323"/>
    <cellStyle name="Normal 7 2 10" xfId="36495"/>
    <cellStyle name="Normal 7 2 10 2" xfId="36496"/>
    <cellStyle name="Normal 7 2 10 2 2" xfId="36497"/>
    <cellStyle name="Normal 7 2 10 3" xfId="36498"/>
    <cellStyle name="Normal 7 2 10 3 2" xfId="36499"/>
    <cellStyle name="Normal 7 2 10 4" xfId="36500"/>
    <cellStyle name="Normal 7 2 10 4 2" xfId="36501"/>
    <cellStyle name="Normal 7 2 10 5" xfId="36502"/>
    <cellStyle name="Normal 7 2 10 6" xfId="36503"/>
    <cellStyle name="Normal 7 2 11" xfId="36504"/>
    <cellStyle name="Normal 7 2 11 2" xfId="36505"/>
    <cellStyle name="Normal 7 2 11 2 2" xfId="36506"/>
    <cellStyle name="Normal 7 2 11 3" xfId="36507"/>
    <cellStyle name="Normal 7 2 11 3 2" xfId="36508"/>
    <cellStyle name="Normal 7 2 11 4" xfId="36509"/>
    <cellStyle name="Normal 7 2 11 5" xfId="36510"/>
    <cellStyle name="Normal 7 2 12" xfId="36511"/>
    <cellStyle name="Normal 7 2 12 2" xfId="36512"/>
    <cellStyle name="Normal 7 2 13" xfId="36513"/>
    <cellStyle name="Normal 7 2 13 2" xfId="36514"/>
    <cellStyle name="Normal 7 2 14" xfId="36515"/>
    <cellStyle name="Normal 7 2 14 2" xfId="36516"/>
    <cellStyle name="Normal 7 2 15" xfId="36517"/>
    <cellStyle name="Normal 7 2 16" xfId="36518"/>
    <cellStyle name="Normal 7 2 17" xfId="36494"/>
    <cellStyle name="Normal 7 2 2" xfId="12182"/>
    <cellStyle name="Normal 7 2 2 10" xfId="36520"/>
    <cellStyle name="Normal 7 2 2 10 2" xfId="36521"/>
    <cellStyle name="Normal 7 2 2 11" xfId="36522"/>
    <cellStyle name="Normal 7 2 2 11 2" xfId="36523"/>
    <cellStyle name="Normal 7 2 2 12" xfId="36524"/>
    <cellStyle name="Normal 7 2 2 13" xfId="36525"/>
    <cellStyle name="Normal 7 2 2 14" xfId="36519"/>
    <cellStyle name="Normal 7 2 2 2" xfId="12183"/>
    <cellStyle name="Normal 7 2 2 2 10" xfId="36527"/>
    <cellStyle name="Normal 7 2 2 2 11" xfId="36528"/>
    <cellStyle name="Normal 7 2 2 2 12" xfId="36526"/>
    <cellStyle name="Normal 7 2 2 2 2" xfId="12184"/>
    <cellStyle name="Normal 7 2 2 2 2 2" xfId="36530"/>
    <cellStyle name="Normal 7 2 2 2 2 2 2" xfId="36531"/>
    <cellStyle name="Normal 7 2 2 2 2 3" xfId="36532"/>
    <cellStyle name="Normal 7 2 2 2 2 3 2" xfId="36533"/>
    <cellStyle name="Normal 7 2 2 2 2 4" xfId="36534"/>
    <cellStyle name="Normal 7 2 2 2 2 4 2" xfId="36535"/>
    <cellStyle name="Normal 7 2 2 2 2 5" xfId="36536"/>
    <cellStyle name="Normal 7 2 2 2 2 6" xfId="36537"/>
    <cellStyle name="Normal 7 2 2 2 2 7" xfId="36529"/>
    <cellStyle name="Normal 7 2 2 2 3" xfId="36538"/>
    <cellStyle name="Normal 7 2 2 2 3 2" xfId="36539"/>
    <cellStyle name="Normal 7 2 2 2 3 2 2" xfId="36540"/>
    <cellStyle name="Normal 7 2 2 2 3 3" xfId="36541"/>
    <cellStyle name="Normal 7 2 2 2 3 3 2" xfId="36542"/>
    <cellStyle name="Normal 7 2 2 2 3 4" xfId="36543"/>
    <cellStyle name="Normal 7 2 2 2 3 4 2" xfId="36544"/>
    <cellStyle name="Normal 7 2 2 2 3 5" xfId="36545"/>
    <cellStyle name="Normal 7 2 2 2 3 6" xfId="36546"/>
    <cellStyle name="Normal 7 2 2 2 4" xfId="36547"/>
    <cellStyle name="Normal 7 2 2 2 4 2" xfId="36548"/>
    <cellStyle name="Normal 7 2 2 2 4 2 2" xfId="36549"/>
    <cellStyle name="Normal 7 2 2 2 4 3" xfId="36550"/>
    <cellStyle name="Normal 7 2 2 2 4 3 2" xfId="36551"/>
    <cellStyle name="Normal 7 2 2 2 4 4" xfId="36552"/>
    <cellStyle name="Normal 7 2 2 2 4 4 2" xfId="36553"/>
    <cellStyle name="Normal 7 2 2 2 4 5" xfId="36554"/>
    <cellStyle name="Normal 7 2 2 2 4 6" xfId="36555"/>
    <cellStyle name="Normal 7 2 2 2 5" xfId="36556"/>
    <cellStyle name="Normal 7 2 2 2 5 2" xfId="36557"/>
    <cellStyle name="Normal 7 2 2 2 5 2 2" xfId="36558"/>
    <cellStyle name="Normal 7 2 2 2 5 3" xfId="36559"/>
    <cellStyle name="Normal 7 2 2 2 5 3 2" xfId="36560"/>
    <cellStyle name="Normal 7 2 2 2 5 4" xfId="36561"/>
    <cellStyle name="Normal 7 2 2 2 5 4 2" xfId="36562"/>
    <cellStyle name="Normal 7 2 2 2 5 5" xfId="36563"/>
    <cellStyle name="Normal 7 2 2 2 5 6" xfId="36564"/>
    <cellStyle name="Normal 7 2 2 2 6" xfId="36565"/>
    <cellStyle name="Normal 7 2 2 2 6 2" xfId="36566"/>
    <cellStyle name="Normal 7 2 2 2 6 2 2" xfId="36567"/>
    <cellStyle name="Normal 7 2 2 2 6 3" xfId="36568"/>
    <cellStyle name="Normal 7 2 2 2 6 3 2" xfId="36569"/>
    <cellStyle name="Normal 7 2 2 2 6 4" xfId="36570"/>
    <cellStyle name="Normal 7 2 2 2 6 5" xfId="36571"/>
    <cellStyle name="Normal 7 2 2 2 7" xfId="36572"/>
    <cellStyle name="Normal 7 2 2 2 7 2" xfId="36573"/>
    <cellStyle name="Normal 7 2 2 2 8" xfId="36574"/>
    <cellStyle name="Normal 7 2 2 2 8 2" xfId="36575"/>
    <cellStyle name="Normal 7 2 2 2 9" xfId="36576"/>
    <cellStyle name="Normal 7 2 2 2 9 2" xfId="36577"/>
    <cellStyle name="Normal 7 2 2 3" xfId="12185"/>
    <cellStyle name="Normal 7 2 2 3 10" xfId="36579"/>
    <cellStyle name="Normal 7 2 2 3 11" xfId="36578"/>
    <cellStyle name="Normal 7 2 2 3 2" xfId="36580"/>
    <cellStyle name="Normal 7 2 2 3 2 2" xfId="36581"/>
    <cellStyle name="Normal 7 2 2 3 2 2 2" xfId="36582"/>
    <cellStyle name="Normal 7 2 2 3 2 3" xfId="36583"/>
    <cellStyle name="Normal 7 2 2 3 2 3 2" xfId="36584"/>
    <cellStyle name="Normal 7 2 2 3 2 4" xfId="36585"/>
    <cellStyle name="Normal 7 2 2 3 2 4 2" xfId="36586"/>
    <cellStyle name="Normal 7 2 2 3 2 5" xfId="36587"/>
    <cellStyle name="Normal 7 2 2 3 2 6" xfId="36588"/>
    <cellStyle name="Normal 7 2 2 3 3" xfId="36589"/>
    <cellStyle name="Normal 7 2 2 3 3 2" xfId="36590"/>
    <cellStyle name="Normal 7 2 2 3 3 2 2" xfId="36591"/>
    <cellStyle name="Normal 7 2 2 3 3 3" xfId="36592"/>
    <cellStyle name="Normal 7 2 2 3 3 3 2" xfId="36593"/>
    <cellStyle name="Normal 7 2 2 3 3 4" xfId="36594"/>
    <cellStyle name="Normal 7 2 2 3 3 4 2" xfId="36595"/>
    <cellStyle name="Normal 7 2 2 3 3 5" xfId="36596"/>
    <cellStyle name="Normal 7 2 2 3 3 6" xfId="36597"/>
    <cellStyle name="Normal 7 2 2 3 4" xfId="36598"/>
    <cellStyle name="Normal 7 2 2 3 4 2" xfId="36599"/>
    <cellStyle name="Normal 7 2 2 3 4 2 2" xfId="36600"/>
    <cellStyle name="Normal 7 2 2 3 4 3" xfId="36601"/>
    <cellStyle name="Normal 7 2 2 3 4 3 2" xfId="36602"/>
    <cellStyle name="Normal 7 2 2 3 4 4" xfId="36603"/>
    <cellStyle name="Normal 7 2 2 3 4 4 2" xfId="36604"/>
    <cellStyle name="Normal 7 2 2 3 4 5" xfId="36605"/>
    <cellStyle name="Normal 7 2 2 3 4 6" xfId="36606"/>
    <cellStyle name="Normal 7 2 2 3 5" xfId="36607"/>
    <cellStyle name="Normal 7 2 2 3 5 2" xfId="36608"/>
    <cellStyle name="Normal 7 2 2 3 5 2 2" xfId="36609"/>
    <cellStyle name="Normal 7 2 2 3 5 3" xfId="36610"/>
    <cellStyle name="Normal 7 2 2 3 5 3 2" xfId="36611"/>
    <cellStyle name="Normal 7 2 2 3 5 4" xfId="36612"/>
    <cellStyle name="Normal 7 2 2 3 5 5" xfId="36613"/>
    <cellStyle name="Normal 7 2 2 3 6" xfId="36614"/>
    <cellStyle name="Normal 7 2 2 3 6 2" xfId="36615"/>
    <cellStyle name="Normal 7 2 2 3 7" xfId="36616"/>
    <cellStyle name="Normal 7 2 2 3 7 2" xfId="36617"/>
    <cellStyle name="Normal 7 2 2 3 8" xfId="36618"/>
    <cellStyle name="Normal 7 2 2 3 8 2" xfId="36619"/>
    <cellStyle name="Normal 7 2 2 3 9" xfId="36620"/>
    <cellStyle name="Normal 7 2 2 4" xfId="12186"/>
    <cellStyle name="Normal 7 2 2 4 10" xfId="36622"/>
    <cellStyle name="Normal 7 2 2 4 11" xfId="36621"/>
    <cellStyle name="Normal 7 2 2 4 2" xfId="36623"/>
    <cellStyle name="Normal 7 2 2 4 2 2" xfId="36624"/>
    <cellStyle name="Normal 7 2 2 4 2 2 2" xfId="36625"/>
    <cellStyle name="Normal 7 2 2 4 2 3" xfId="36626"/>
    <cellStyle name="Normal 7 2 2 4 2 3 2" xfId="36627"/>
    <cellStyle name="Normal 7 2 2 4 2 4" xfId="36628"/>
    <cellStyle name="Normal 7 2 2 4 2 4 2" xfId="36629"/>
    <cellStyle name="Normal 7 2 2 4 2 5" xfId="36630"/>
    <cellStyle name="Normal 7 2 2 4 2 6" xfId="36631"/>
    <cellStyle name="Normal 7 2 2 4 3" xfId="36632"/>
    <cellStyle name="Normal 7 2 2 4 3 2" xfId="36633"/>
    <cellStyle name="Normal 7 2 2 4 3 2 2" xfId="36634"/>
    <cellStyle name="Normal 7 2 2 4 3 3" xfId="36635"/>
    <cellStyle name="Normal 7 2 2 4 3 3 2" xfId="36636"/>
    <cellStyle name="Normal 7 2 2 4 3 4" xfId="36637"/>
    <cellStyle name="Normal 7 2 2 4 3 4 2" xfId="36638"/>
    <cellStyle name="Normal 7 2 2 4 3 5" xfId="36639"/>
    <cellStyle name="Normal 7 2 2 4 3 6" xfId="36640"/>
    <cellStyle name="Normal 7 2 2 4 4" xfId="36641"/>
    <cellStyle name="Normal 7 2 2 4 4 2" xfId="36642"/>
    <cellStyle name="Normal 7 2 2 4 4 2 2" xfId="36643"/>
    <cellStyle name="Normal 7 2 2 4 4 3" xfId="36644"/>
    <cellStyle name="Normal 7 2 2 4 4 3 2" xfId="36645"/>
    <cellStyle name="Normal 7 2 2 4 4 4" xfId="36646"/>
    <cellStyle name="Normal 7 2 2 4 4 4 2" xfId="36647"/>
    <cellStyle name="Normal 7 2 2 4 4 5" xfId="36648"/>
    <cellStyle name="Normal 7 2 2 4 4 6" xfId="36649"/>
    <cellStyle name="Normal 7 2 2 4 5" xfId="36650"/>
    <cellStyle name="Normal 7 2 2 4 5 2" xfId="36651"/>
    <cellStyle name="Normal 7 2 2 4 5 2 2" xfId="36652"/>
    <cellStyle name="Normal 7 2 2 4 5 3" xfId="36653"/>
    <cellStyle name="Normal 7 2 2 4 5 3 2" xfId="36654"/>
    <cellStyle name="Normal 7 2 2 4 5 4" xfId="36655"/>
    <cellStyle name="Normal 7 2 2 4 5 5" xfId="36656"/>
    <cellStyle name="Normal 7 2 2 4 6" xfId="36657"/>
    <cellStyle name="Normal 7 2 2 4 6 2" xfId="36658"/>
    <cellStyle name="Normal 7 2 2 4 7" xfId="36659"/>
    <cellStyle name="Normal 7 2 2 4 7 2" xfId="36660"/>
    <cellStyle name="Normal 7 2 2 4 8" xfId="36661"/>
    <cellStyle name="Normal 7 2 2 4 8 2" xfId="36662"/>
    <cellStyle name="Normal 7 2 2 4 9" xfId="36663"/>
    <cellStyle name="Normal 7 2 2 5" xfId="36664"/>
    <cellStyle name="Normal 7 2 2 5 2" xfId="36665"/>
    <cellStyle name="Normal 7 2 2 5 2 2" xfId="36666"/>
    <cellStyle name="Normal 7 2 2 5 3" xfId="36667"/>
    <cellStyle name="Normal 7 2 2 5 3 2" xfId="36668"/>
    <cellStyle name="Normal 7 2 2 5 4" xfId="36669"/>
    <cellStyle name="Normal 7 2 2 5 4 2" xfId="36670"/>
    <cellStyle name="Normal 7 2 2 5 5" xfId="36671"/>
    <cellStyle name="Normal 7 2 2 5 6" xfId="36672"/>
    <cellStyle name="Normal 7 2 2 6" xfId="36673"/>
    <cellStyle name="Normal 7 2 2 6 2" xfId="36674"/>
    <cellStyle name="Normal 7 2 2 6 2 2" xfId="36675"/>
    <cellStyle name="Normal 7 2 2 6 3" xfId="36676"/>
    <cellStyle name="Normal 7 2 2 6 3 2" xfId="36677"/>
    <cellStyle name="Normal 7 2 2 6 4" xfId="36678"/>
    <cellStyle name="Normal 7 2 2 6 4 2" xfId="36679"/>
    <cellStyle name="Normal 7 2 2 6 5" xfId="36680"/>
    <cellStyle name="Normal 7 2 2 6 6" xfId="36681"/>
    <cellStyle name="Normal 7 2 2 7" xfId="36682"/>
    <cellStyle name="Normal 7 2 2 7 2" xfId="36683"/>
    <cellStyle name="Normal 7 2 2 7 2 2" xfId="36684"/>
    <cellStyle name="Normal 7 2 2 7 3" xfId="36685"/>
    <cellStyle name="Normal 7 2 2 7 3 2" xfId="36686"/>
    <cellStyle name="Normal 7 2 2 7 4" xfId="36687"/>
    <cellStyle name="Normal 7 2 2 7 4 2" xfId="36688"/>
    <cellStyle name="Normal 7 2 2 7 5" xfId="36689"/>
    <cellStyle name="Normal 7 2 2 7 6" xfId="36690"/>
    <cellStyle name="Normal 7 2 2 8" xfId="36691"/>
    <cellStyle name="Normal 7 2 2 8 2" xfId="36692"/>
    <cellStyle name="Normal 7 2 2 8 2 2" xfId="36693"/>
    <cellStyle name="Normal 7 2 2 8 3" xfId="36694"/>
    <cellStyle name="Normal 7 2 2 8 3 2" xfId="36695"/>
    <cellStyle name="Normal 7 2 2 8 4" xfId="36696"/>
    <cellStyle name="Normal 7 2 2 8 5" xfId="36697"/>
    <cellStyle name="Normal 7 2 2 9" xfId="36698"/>
    <cellStyle name="Normal 7 2 2 9 2" xfId="36699"/>
    <cellStyle name="Normal 7 2 3" xfId="12187"/>
    <cellStyle name="Normal 7 2 3 10" xfId="36701"/>
    <cellStyle name="Normal 7 2 3 10 2" xfId="36702"/>
    <cellStyle name="Normal 7 2 3 11" xfId="36703"/>
    <cellStyle name="Normal 7 2 3 11 2" xfId="36704"/>
    <cellStyle name="Normal 7 2 3 12" xfId="36705"/>
    <cellStyle name="Normal 7 2 3 13" xfId="36706"/>
    <cellStyle name="Normal 7 2 3 14" xfId="36700"/>
    <cellStyle name="Normal 7 2 3 2" xfId="12188"/>
    <cellStyle name="Normal 7 2 3 2 10" xfId="36708"/>
    <cellStyle name="Normal 7 2 3 2 11" xfId="36709"/>
    <cellStyle name="Normal 7 2 3 2 12" xfId="36707"/>
    <cellStyle name="Normal 7 2 3 2 2" xfId="36710"/>
    <cellStyle name="Normal 7 2 3 2 2 2" xfId="36711"/>
    <cellStyle name="Normal 7 2 3 2 2 2 2" xfId="36712"/>
    <cellStyle name="Normal 7 2 3 2 2 3" xfId="36713"/>
    <cellStyle name="Normal 7 2 3 2 2 3 2" xfId="36714"/>
    <cellStyle name="Normal 7 2 3 2 2 4" xfId="36715"/>
    <cellStyle name="Normal 7 2 3 2 2 4 2" xfId="36716"/>
    <cellStyle name="Normal 7 2 3 2 2 5" xfId="36717"/>
    <cellStyle name="Normal 7 2 3 2 2 6" xfId="36718"/>
    <cellStyle name="Normal 7 2 3 2 3" xfId="36719"/>
    <cellStyle name="Normal 7 2 3 2 3 2" xfId="36720"/>
    <cellStyle name="Normal 7 2 3 2 3 2 2" xfId="36721"/>
    <cellStyle name="Normal 7 2 3 2 3 3" xfId="36722"/>
    <cellStyle name="Normal 7 2 3 2 3 3 2" xfId="36723"/>
    <cellStyle name="Normal 7 2 3 2 3 4" xfId="36724"/>
    <cellStyle name="Normal 7 2 3 2 3 4 2" xfId="36725"/>
    <cellStyle name="Normal 7 2 3 2 3 5" xfId="36726"/>
    <cellStyle name="Normal 7 2 3 2 3 6" xfId="36727"/>
    <cellStyle name="Normal 7 2 3 2 4" xfId="36728"/>
    <cellStyle name="Normal 7 2 3 2 4 2" xfId="36729"/>
    <cellStyle name="Normal 7 2 3 2 4 2 2" xfId="36730"/>
    <cellStyle name="Normal 7 2 3 2 4 3" xfId="36731"/>
    <cellStyle name="Normal 7 2 3 2 4 3 2" xfId="36732"/>
    <cellStyle name="Normal 7 2 3 2 4 4" xfId="36733"/>
    <cellStyle name="Normal 7 2 3 2 4 4 2" xfId="36734"/>
    <cellStyle name="Normal 7 2 3 2 4 5" xfId="36735"/>
    <cellStyle name="Normal 7 2 3 2 4 6" xfId="36736"/>
    <cellStyle name="Normal 7 2 3 2 5" xfId="36737"/>
    <cellStyle name="Normal 7 2 3 2 5 2" xfId="36738"/>
    <cellStyle name="Normal 7 2 3 2 5 2 2" xfId="36739"/>
    <cellStyle name="Normal 7 2 3 2 5 3" xfId="36740"/>
    <cellStyle name="Normal 7 2 3 2 5 3 2" xfId="36741"/>
    <cellStyle name="Normal 7 2 3 2 5 4" xfId="36742"/>
    <cellStyle name="Normal 7 2 3 2 5 4 2" xfId="36743"/>
    <cellStyle name="Normal 7 2 3 2 5 5" xfId="36744"/>
    <cellStyle name="Normal 7 2 3 2 5 6" xfId="36745"/>
    <cellStyle name="Normal 7 2 3 2 6" xfId="36746"/>
    <cellStyle name="Normal 7 2 3 2 6 2" xfId="36747"/>
    <cellStyle name="Normal 7 2 3 2 6 2 2" xfId="36748"/>
    <cellStyle name="Normal 7 2 3 2 6 3" xfId="36749"/>
    <cellStyle name="Normal 7 2 3 2 6 3 2" xfId="36750"/>
    <cellStyle name="Normal 7 2 3 2 6 4" xfId="36751"/>
    <cellStyle name="Normal 7 2 3 2 6 5" xfId="36752"/>
    <cellStyle name="Normal 7 2 3 2 7" xfId="36753"/>
    <cellStyle name="Normal 7 2 3 2 7 2" xfId="36754"/>
    <cellStyle name="Normal 7 2 3 2 8" xfId="36755"/>
    <cellStyle name="Normal 7 2 3 2 8 2" xfId="36756"/>
    <cellStyle name="Normal 7 2 3 2 9" xfId="36757"/>
    <cellStyle name="Normal 7 2 3 2 9 2" xfId="36758"/>
    <cellStyle name="Normal 7 2 3 3" xfId="36759"/>
    <cellStyle name="Normal 7 2 3 3 10" xfId="36760"/>
    <cellStyle name="Normal 7 2 3 3 2" xfId="36761"/>
    <cellStyle name="Normal 7 2 3 3 2 2" xfId="36762"/>
    <cellStyle name="Normal 7 2 3 3 2 2 2" xfId="36763"/>
    <cellStyle name="Normal 7 2 3 3 2 3" xfId="36764"/>
    <cellStyle name="Normal 7 2 3 3 2 3 2" xfId="36765"/>
    <cellStyle name="Normal 7 2 3 3 2 4" xfId="36766"/>
    <cellStyle name="Normal 7 2 3 3 2 4 2" xfId="36767"/>
    <cellStyle name="Normal 7 2 3 3 2 5" xfId="36768"/>
    <cellStyle name="Normal 7 2 3 3 2 6" xfId="36769"/>
    <cellStyle name="Normal 7 2 3 3 3" xfId="36770"/>
    <cellStyle name="Normal 7 2 3 3 3 2" xfId="36771"/>
    <cellStyle name="Normal 7 2 3 3 3 2 2" xfId="36772"/>
    <cellStyle name="Normal 7 2 3 3 3 3" xfId="36773"/>
    <cellStyle name="Normal 7 2 3 3 3 3 2" xfId="36774"/>
    <cellStyle name="Normal 7 2 3 3 3 4" xfId="36775"/>
    <cellStyle name="Normal 7 2 3 3 3 4 2" xfId="36776"/>
    <cellStyle name="Normal 7 2 3 3 3 5" xfId="36777"/>
    <cellStyle name="Normal 7 2 3 3 3 6" xfId="36778"/>
    <cellStyle name="Normal 7 2 3 3 4" xfId="36779"/>
    <cellStyle name="Normal 7 2 3 3 4 2" xfId="36780"/>
    <cellStyle name="Normal 7 2 3 3 4 2 2" xfId="36781"/>
    <cellStyle name="Normal 7 2 3 3 4 3" xfId="36782"/>
    <cellStyle name="Normal 7 2 3 3 4 3 2" xfId="36783"/>
    <cellStyle name="Normal 7 2 3 3 4 4" xfId="36784"/>
    <cellStyle name="Normal 7 2 3 3 4 4 2" xfId="36785"/>
    <cellStyle name="Normal 7 2 3 3 4 5" xfId="36786"/>
    <cellStyle name="Normal 7 2 3 3 4 6" xfId="36787"/>
    <cellStyle name="Normal 7 2 3 3 5" xfId="36788"/>
    <cellStyle name="Normal 7 2 3 3 5 2" xfId="36789"/>
    <cellStyle name="Normal 7 2 3 3 5 2 2" xfId="36790"/>
    <cellStyle name="Normal 7 2 3 3 5 3" xfId="36791"/>
    <cellStyle name="Normal 7 2 3 3 5 3 2" xfId="36792"/>
    <cellStyle name="Normal 7 2 3 3 5 4" xfId="36793"/>
    <cellStyle name="Normal 7 2 3 3 5 5" xfId="36794"/>
    <cellStyle name="Normal 7 2 3 3 6" xfId="36795"/>
    <cellStyle name="Normal 7 2 3 3 6 2" xfId="36796"/>
    <cellStyle name="Normal 7 2 3 3 7" xfId="36797"/>
    <cellStyle name="Normal 7 2 3 3 7 2" xfId="36798"/>
    <cellStyle name="Normal 7 2 3 3 8" xfId="36799"/>
    <cellStyle name="Normal 7 2 3 3 8 2" xfId="36800"/>
    <cellStyle name="Normal 7 2 3 3 9" xfId="36801"/>
    <cellStyle name="Normal 7 2 3 4" xfId="36802"/>
    <cellStyle name="Normal 7 2 3 4 10" xfId="36803"/>
    <cellStyle name="Normal 7 2 3 4 2" xfId="36804"/>
    <cellStyle name="Normal 7 2 3 4 2 2" xfId="36805"/>
    <cellStyle name="Normal 7 2 3 4 2 2 2" xfId="36806"/>
    <cellStyle name="Normal 7 2 3 4 2 3" xfId="36807"/>
    <cellStyle name="Normal 7 2 3 4 2 3 2" xfId="36808"/>
    <cellStyle name="Normal 7 2 3 4 2 4" xfId="36809"/>
    <cellStyle name="Normal 7 2 3 4 2 4 2" xfId="36810"/>
    <cellStyle name="Normal 7 2 3 4 2 5" xfId="36811"/>
    <cellStyle name="Normal 7 2 3 4 2 6" xfId="36812"/>
    <cellStyle name="Normal 7 2 3 4 3" xfId="36813"/>
    <cellStyle name="Normal 7 2 3 4 3 2" xfId="36814"/>
    <cellStyle name="Normal 7 2 3 4 3 2 2" xfId="36815"/>
    <cellStyle name="Normal 7 2 3 4 3 3" xfId="36816"/>
    <cellStyle name="Normal 7 2 3 4 3 3 2" xfId="36817"/>
    <cellStyle name="Normal 7 2 3 4 3 4" xfId="36818"/>
    <cellStyle name="Normal 7 2 3 4 3 4 2" xfId="36819"/>
    <cellStyle name="Normal 7 2 3 4 3 5" xfId="36820"/>
    <cellStyle name="Normal 7 2 3 4 3 6" xfId="36821"/>
    <cellStyle name="Normal 7 2 3 4 4" xfId="36822"/>
    <cellStyle name="Normal 7 2 3 4 4 2" xfId="36823"/>
    <cellStyle name="Normal 7 2 3 4 4 2 2" xfId="36824"/>
    <cellStyle name="Normal 7 2 3 4 4 3" xfId="36825"/>
    <cellStyle name="Normal 7 2 3 4 4 3 2" xfId="36826"/>
    <cellStyle name="Normal 7 2 3 4 4 4" xfId="36827"/>
    <cellStyle name="Normal 7 2 3 4 4 4 2" xfId="36828"/>
    <cellStyle name="Normal 7 2 3 4 4 5" xfId="36829"/>
    <cellStyle name="Normal 7 2 3 4 4 6" xfId="36830"/>
    <cellStyle name="Normal 7 2 3 4 5" xfId="36831"/>
    <cellStyle name="Normal 7 2 3 4 5 2" xfId="36832"/>
    <cellStyle name="Normal 7 2 3 4 5 2 2" xfId="36833"/>
    <cellStyle name="Normal 7 2 3 4 5 3" xfId="36834"/>
    <cellStyle name="Normal 7 2 3 4 5 3 2" xfId="36835"/>
    <cellStyle name="Normal 7 2 3 4 5 4" xfId="36836"/>
    <cellStyle name="Normal 7 2 3 4 5 5" xfId="36837"/>
    <cellStyle name="Normal 7 2 3 4 6" xfId="36838"/>
    <cellStyle name="Normal 7 2 3 4 6 2" xfId="36839"/>
    <cellStyle name="Normal 7 2 3 4 7" xfId="36840"/>
    <cellStyle name="Normal 7 2 3 4 7 2" xfId="36841"/>
    <cellStyle name="Normal 7 2 3 4 8" xfId="36842"/>
    <cellStyle name="Normal 7 2 3 4 8 2" xfId="36843"/>
    <cellStyle name="Normal 7 2 3 4 9" xfId="36844"/>
    <cellStyle name="Normal 7 2 3 5" xfId="36845"/>
    <cellStyle name="Normal 7 2 3 5 2" xfId="36846"/>
    <cellStyle name="Normal 7 2 3 5 2 2" xfId="36847"/>
    <cellStyle name="Normal 7 2 3 5 3" xfId="36848"/>
    <cellStyle name="Normal 7 2 3 5 3 2" xfId="36849"/>
    <cellStyle name="Normal 7 2 3 5 4" xfId="36850"/>
    <cellStyle name="Normal 7 2 3 5 4 2" xfId="36851"/>
    <cellStyle name="Normal 7 2 3 5 5" xfId="36852"/>
    <cellStyle name="Normal 7 2 3 5 6" xfId="36853"/>
    <cellStyle name="Normal 7 2 3 6" xfId="36854"/>
    <cellStyle name="Normal 7 2 3 6 2" xfId="36855"/>
    <cellStyle name="Normal 7 2 3 6 2 2" xfId="36856"/>
    <cellStyle name="Normal 7 2 3 6 3" xfId="36857"/>
    <cellStyle name="Normal 7 2 3 6 3 2" xfId="36858"/>
    <cellStyle name="Normal 7 2 3 6 4" xfId="36859"/>
    <cellStyle name="Normal 7 2 3 6 4 2" xfId="36860"/>
    <cellStyle name="Normal 7 2 3 6 5" xfId="36861"/>
    <cellStyle name="Normal 7 2 3 6 6" xfId="36862"/>
    <cellStyle name="Normal 7 2 3 7" xfId="36863"/>
    <cellStyle name="Normal 7 2 3 7 2" xfId="36864"/>
    <cellStyle name="Normal 7 2 3 7 2 2" xfId="36865"/>
    <cellStyle name="Normal 7 2 3 7 3" xfId="36866"/>
    <cellStyle name="Normal 7 2 3 7 3 2" xfId="36867"/>
    <cellStyle name="Normal 7 2 3 7 4" xfId="36868"/>
    <cellStyle name="Normal 7 2 3 7 4 2" xfId="36869"/>
    <cellStyle name="Normal 7 2 3 7 5" xfId="36870"/>
    <cellStyle name="Normal 7 2 3 7 6" xfId="36871"/>
    <cellStyle name="Normal 7 2 3 8" xfId="36872"/>
    <cellStyle name="Normal 7 2 3 8 2" xfId="36873"/>
    <cellStyle name="Normal 7 2 3 8 2 2" xfId="36874"/>
    <cellStyle name="Normal 7 2 3 8 3" xfId="36875"/>
    <cellStyle name="Normal 7 2 3 8 3 2" xfId="36876"/>
    <cellStyle name="Normal 7 2 3 8 4" xfId="36877"/>
    <cellStyle name="Normal 7 2 3 8 5" xfId="36878"/>
    <cellStyle name="Normal 7 2 3 9" xfId="36879"/>
    <cellStyle name="Normal 7 2 3 9 2" xfId="36880"/>
    <cellStyle name="Normal 7 2 4" xfId="12189"/>
    <cellStyle name="Normal 7 2 4 10" xfId="36882"/>
    <cellStyle name="Normal 7 2 4 10 2" xfId="36883"/>
    <cellStyle name="Normal 7 2 4 11" xfId="36884"/>
    <cellStyle name="Normal 7 2 4 12" xfId="36885"/>
    <cellStyle name="Normal 7 2 4 13" xfId="36881"/>
    <cellStyle name="Normal 7 2 4 2" xfId="36886"/>
    <cellStyle name="Normal 7 2 4 2 10" xfId="36887"/>
    <cellStyle name="Normal 7 2 4 2 2" xfId="36888"/>
    <cellStyle name="Normal 7 2 4 2 2 2" xfId="36889"/>
    <cellStyle name="Normal 7 2 4 2 2 2 2" xfId="36890"/>
    <cellStyle name="Normal 7 2 4 2 2 3" xfId="36891"/>
    <cellStyle name="Normal 7 2 4 2 2 3 2" xfId="36892"/>
    <cellStyle name="Normal 7 2 4 2 2 4" xfId="36893"/>
    <cellStyle name="Normal 7 2 4 2 2 4 2" xfId="36894"/>
    <cellStyle name="Normal 7 2 4 2 2 5" xfId="36895"/>
    <cellStyle name="Normal 7 2 4 2 2 6" xfId="36896"/>
    <cellStyle name="Normal 7 2 4 2 3" xfId="36897"/>
    <cellStyle name="Normal 7 2 4 2 3 2" xfId="36898"/>
    <cellStyle name="Normal 7 2 4 2 3 2 2" xfId="36899"/>
    <cellStyle name="Normal 7 2 4 2 3 3" xfId="36900"/>
    <cellStyle name="Normal 7 2 4 2 3 3 2" xfId="36901"/>
    <cellStyle name="Normal 7 2 4 2 3 4" xfId="36902"/>
    <cellStyle name="Normal 7 2 4 2 3 4 2" xfId="36903"/>
    <cellStyle name="Normal 7 2 4 2 3 5" xfId="36904"/>
    <cellStyle name="Normal 7 2 4 2 3 6" xfId="36905"/>
    <cellStyle name="Normal 7 2 4 2 4" xfId="36906"/>
    <cellStyle name="Normal 7 2 4 2 4 2" xfId="36907"/>
    <cellStyle name="Normal 7 2 4 2 4 2 2" xfId="36908"/>
    <cellStyle name="Normal 7 2 4 2 4 3" xfId="36909"/>
    <cellStyle name="Normal 7 2 4 2 4 3 2" xfId="36910"/>
    <cellStyle name="Normal 7 2 4 2 4 4" xfId="36911"/>
    <cellStyle name="Normal 7 2 4 2 4 4 2" xfId="36912"/>
    <cellStyle name="Normal 7 2 4 2 4 5" xfId="36913"/>
    <cellStyle name="Normal 7 2 4 2 4 6" xfId="36914"/>
    <cellStyle name="Normal 7 2 4 2 5" xfId="36915"/>
    <cellStyle name="Normal 7 2 4 2 5 2" xfId="36916"/>
    <cellStyle name="Normal 7 2 4 2 5 2 2" xfId="36917"/>
    <cellStyle name="Normal 7 2 4 2 5 3" xfId="36918"/>
    <cellStyle name="Normal 7 2 4 2 5 3 2" xfId="36919"/>
    <cellStyle name="Normal 7 2 4 2 5 4" xfId="36920"/>
    <cellStyle name="Normal 7 2 4 2 5 5" xfId="36921"/>
    <cellStyle name="Normal 7 2 4 2 6" xfId="36922"/>
    <cellStyle name="Normal 7 2 4 2 6 2" xfId="36923"/>
    <cellStyle name="Normal 7 2 4 2 7" xfId="36924"/>
    <cellStyle name="Normal 7 2 4 2 7 2" xfId="36925"/>
    <cellStyle name="Normal 7 2 4 2 8" xfId="36926"/>
    <cellStyle name="Normal 7 2 4 2 8 2" xfId="36927"/>
    <cellStyle name="Normal 7 2 4 2 9" xfId="36928"/>
    <cellStyle name="Normal 7 2 4 3" xfId="36929"/>
    <cellStyle name="Normal 7 2 4 3 10" xfId="36930"/>
    <cellStyle name="Normal 7 2 4 3 2" xfId="36931"/>
    <cellStyle name="Normal 7 2 4 3 2 2" xfId="36932"/>
    <cellStyle name="Normal 7 2 4 3 2 2 2" xfId="36933"/>
    <cellStyle name="Normal 7 2 4 3 2 3" xfId="36934"/>
    <cellStyle name="Normal 7 2 4 3 2 3 2" xfId="36935"/>
    <cellStyle name="Normal 7 2 4 3 2 4" xfId="36936"/>
    <cellStyle name="Normal 7 2 4 3 2 4 2" xfId="36937"/>
    <cellStyle name="Normal 7 2 4 3 2 5" xfId="36938"/>
    <cellStyle name="Normal 7 2 4 3 2 6" xfId="36939"/>
    <cellStyle name="Normal 7 2 4 3 3" xfId="36940"/>
    <cellStyle name="Normal 7 2 4 3 3 2" xfId="36941"/>
    <cellStyle name="Normal 7 2 4 3 3 2 2" xfId="36942"/>
    <cellStyle name="Normal 7 2 4 3 3 3" xfId="36943"/>
    <cellStyle name="Normal 7 2 4 3 3 3 2" xfId="36944"/>
    <cellStyle name="Normal 7 2 4 3 3 4" xfId="36945"/>
    <cellStyle name="Normal 7 2 4 3 3 4 2" xfId="36946"/>
    <cellStyle name="Normal 7 2 4 3 3 5" xfId="36947"/>
    <cellStyle name="Normal 7 2 4 3 3 6" xfId="36948"/>
    <cellStyle name="Normal 7 2 4 3 4" xfId="36949"/>
    <cellStyle name="Normal 7 2 4 3 4 2" xfId="36950"/>
    <cellStyle name="Normal 7 2 4 3 4 2 2" xfId="36951"/>
    <cellStyle name="Normal 7 2 4 3 4 3" xfId="36952"/>
    <cellStyle name="Normal 7 2 4 3 4 3 2" xfId="36953"/>
    <cellStyle name="Normal 7 2 4 3 4 4" xfId="36954"/>
    <cellStyle name="Normal 7 2 4 3 4 4 2" xfId="36955"/>
    <cellStyle name="Normal 7 2 4 3 4 5" xfId="36956"/>
    <cellStyle name="Normal 7 2 4 3 4 6" xfId="36957"/>
    <cellStyle name="Normal 7 2 4 3 5" xfId="36958"/>
    <cellStyle name="Normal 7 2 4 3 5 2" xfId="36959"/>
    <cellStyle name="Normal 7 2 4 3 5 2 2" xfId="36960"/>
    <cellStyle name="Normal 7 2 4 3 5 3" xfId="36961"/>
    <cellStyle name="Normal 7 2 4 3 5 3 2" xfId="36962"/>
    <cellStyle name="Normal 7 2 4 3 5 4" xfId="36963"/>
    <cellStyle name="Normal 7 2 4 3 5 5" xfId="36964"/>
    <cellStyle name="Normal 7 2 4 3 6" xfId="36965"/>
    <cellStyle name="Normal 7 2 4 3 6 2" xfId="36966"/>
    <cellStyle name="Normal 7 2 4 3 7" xfId="36967"/>
    <cellStyle name="Normal 7 2 4 3 7 2" xfId="36968"/>
    <cellStyle name="Normal 7 2 4 3 8" xfId="36969"/>
    <cellStyle name="Normal 7 2 4 3 8 2" xfId="36970"/>
    <cellStyle name="Normal 7 2 4 3 9" xfId="36971"/>
    <cellStyle name="Normal 7 2 4 4" xfId="36972"/>
    <cellStyle name="Normal 7 2 4 4 2" xfId="36973"/>
    <cellStyle name="Normal 7 2 4 4 2 2" xfId="36974"/>
    <cellStyle name="Normal 7 2 4 4 3" xfId="36975"/>
    <cellStyle name="Normal 7 2 4 4 3 2" xfId="36976"/>
    <cellStyle name="Normal 7 2 4 4 4" xfId="36977"/>
    <cellStyle name="Normal 7 2 4 4 4 2" xfId="36978"/>
    <cellStyle name="Normal 7 2 4 4 5" xfId="36979"/>
    <cellStyle name="Normal 7 2 4 4 6" xfId="36980"/>
    <cellStyle name="Normal 7 2 4 5" xfId="36981"/>
    <cellStyle name="Normal 7 2 4 5 2" xfId="36982"/>
    <cellStyle name="Normal 7 2 4 5 2 2" xfId="36983"/>
    <cellStyle name="Normal 7 2 4 5 3" xfId="36984"/>
    <cellStyle name="Normal 7 2 4 5 3 2" xfId="36985"/>
    <cellStyle name="Normal 7 2 4 5 4" xfId="36986"/>
    <cellStyle name="Normal 7 2 4 5 4 2" xfId="36987"/>
    <cellStyle name="Normal 7 2 4 5 5" xfId="36988"/>
    <cellStyle name="Normal 7 2 4 5 6" xfId="36989"/>
    <cellStyle name="Normal 7 2 4 6" xfId="36990"/>
    <cellStyle name="Normal 7 2 4 6 2" xfId="36991"/>
    <cellStyle name="Normal 7 2 4 6 2 2" xfId="36992"/>
    <cellStyle name="Normal 7 2 4 6 3" xfId="36993"/>
    <cellStyle name="Normal 7 2 4 6 3 2" xfId="36994"/>
    <cellStyle name="Normal 7 2 4 6 4" xfId="36995"/>
    <cellStyle name="Normal 7 2 4 6 4 2" xfId="36996"/>
    <cellStyle name="Normal 7 2 4 6 5" xfId="36997"/>
    <cellStyle name="Normal 7 2 4 6 6" xfId="36998"/>
    <cellStyle name="Normal 7 2 4 7" xfId="36999"/>
    <cellStyle name="Normal 7 2 4 7 2" xfId="37000"/>
    <cellStyle name="Normal 7 2 4 7 2 2" xfId="37001"/>
    <cellStyle name="Normal 7 2 4 7 3" xfId="37002"/>
    <cellStyle name="Normal 7 2 4 7 3 2" xfId="37003"/>
    <cellStyle name="Normal 7 2 4 7 4" xfId="37004"/>
    <cellStyle name="Normal 7 2 4 7 5" xfId="37005"/>
    <cellStyle name="Normal 7 2 4 8" xfId="37006"/>
    <cellStyle name="Normal 7 2 4 8 2" xfId="37007"/>
    <cellStyle name="Normal 7 2 4 9" xfId="37008"/>
    <cellStyle name="Normal 7 2 4 9 2" xfId="37009"/>
    <cellStyle name="Normal 7 2 5" xfId="12190"/>
    <cellStyle name="Normal 7 2 5 10" xfId="37011"/>
    <cellStyle name="Normal 7 2 5 11" xfId="37012"/>
    <cellStyle name="Normal 7 2 5 12" xfId="37010"/>
    <cellStyle name="Normal 7 2 5 2" xfId="37013"/>
    <cellStyle name="Normal 7 2 5 2 2" xfId="37014"/>
    <cellStyle name="Normal 7 2 5 2 2 2" xfId="37015"/>
    <cellStyle name="Normal 7 2 5 2 3" xfId="37016"/>
    <cellStyle name="Normal 7 2 5 2 3 2" xfId="37017"/>
    <cellStyle name="Normal 7 2 5 2 4" xfId="37018"/>
    <cellStyle name="Normal 7 2 5 2 4 2" xfId="37019"/>
    <cellStyle name="Normal 7 2 5 2 5" xfId="37020"/>
    <cellStyle name="Normal 7 2 5 2 6" xfId="37021"/>
    <cellStyle name="Normal 7 2 5 3" xfId="37022"/>
    <cellStyle name="Normal 7 2 5 3 2" xfId="37023"/>
    <cellStyle name="Normal 7 2 5 3 2 2" xfId="37024"/>
    <cellStyle name="Normal 7 2 5 3 3" xfId="37025"/>
    <cellStyle name="Normal 7 2 5 3 3 2" xfId="37026"/>
    <cellStyle name="Normal 7 2 5 3 4" xfId="37027"/>
    <cellStyle name="Normal 7 2 5 3 4 2" xfId="37028"/>
    <cellStyle name="Normal 7 2 5 3 5" xfId="37029"/>
    <cellStyle name="Normal 7 2 5 3 6" xfId="37030"/>
    <cellStyle name="Normal 7 2 5 4" xfId="37031"/>
    <cellStyle name="Normal 7 2 5 4 2" xfId="37032"/>
    <cellStyle name="Normal 7 2 5 4 2 2" xfId="37033"/>
    <cellStyle name="Normal 7 2 5 4 3" xfId="37034"/>
    <cellStyle name="Normal 7 2 5 4 3 2" xfId="37035"/>
    <cellStyle name="Normal 7 2 5 4 4" xfId="37036"/>
    <cellStyle name="Normal 7 2 5 4 4 2" xfId="37037"/>
    <cellStyle name="Normal 7 2 5 4 5" xfId="37038"/>
    <cellStyle name="Normal 7 2 5 4 6" xfId="37039"/>
    <cellStyle name="Normal 7 2 5 5" xfId="37040"/>
    <cellStyle name="Normal 7 2 5 5 2" xfId="37041"/>
    <cellStyle name="Normal 7 2 5 5 2 2" xfId="37042"/>
    <cellStyle name="Normal 7 2 5 5 3" xfId="37043"/>
    <cellStyle name="Normal 7 2 5 5 3 2" xfId="37044"/>
    <cellStyle name="Normal 7 2 5 5 4" xfId="37045"/>
    <cellStyle name="Normal 7 2 5 5 4 2" xfId="37046"/>
    <cellStyle name="Normal 7 2 5 5 5" xfId="37047"/>
    <cellStyle name="Normal 7 2 5 5 6" xfId="37048"/>
    <cellStyle name="Normal 7 2 5 6" xfId="37049"/>
    <cellStyle name="Normal 7 2 5 6 2" xfId="37050"/>
    <cellStyle name="Normal 7 2 5 6 2 2" xfId="37051"/>
    <cellStyle name="Normal 7 2 5 6 3" xfId="37052"/>
    <cellStyle name="Normal 7 2 5 6 3 2" xfId="37053"/>
    <cellStyle name="Normal 7 2 5 6 4" xfId="37054"/>
    <cellStyle name="Normal 7 2 5 6 5" xfId="37055"/>
    <cellStyle name="Normal 7 2 5 7" xfId="37056"/>
    <cellStyle name="Normal 7 2 5 7 2" xfId="37057"/>
    <cellStyle name="Normal 7 2 5 8" xfId="37058"/>
    <cellStyle name="Normal 7 2 5 8 2" xfId="37059"/>
    <cellStyle name="Normal 7 2 5 9" xfId="37060"/>
    <cellStyle name="Normal 7 2 5 9 2" xfId="37061"/>
    <cellStyle name="Normal 7 2 6" xfId="37062"/>
    <cellStyle name="Normal 7 2 6 10" xfId="37063"/>
    <cellStyle name="Normal 7 2 6 2" xfId="37064"/>
    <cellStyle name="Normal 7 2 6 2 2" xfId="37065"/>
    <cellStyle name="Normal 7 2 6 2 2 2" xfId="37066"/>
    <cellStyle name="Normal 7 2 6 2 3" xfId="37067"/>
    <cellStyle name="Normal 7 2 6 2 3 2" xfId="37068"/>
    <cellStyle name="Normal 7 2 6 2 4" xfId="37069"/>
    <cellStyle name="Normal 7 2 6 2 4 2" xfId="37070"/>
    <cellStyle name="Normal 7 2 6 2 5" xfId="37071"/>
    <cellStyle name="Normal 7 2 6 2 6" xfId="37072"/>
    <cellStyle name="Normal 7 2 6 3" xfId="37073"/>
    <cellStyle name="Normal 7 2 6 3 2" xfId="37074"/>
    <cellStyle name="Normal 7 2 6 3 2 2" xfId="37075"/>
    <cellStyle name="Normal 7 2 6 3 3" xfId="37076"/>
    <cellStyle name="Normal 7 2 6 3 3 2" xfId="37077"/>
    <cellStyle name="Normal 7 2 6 3 4" xfId="37078"/>
    <cellStyle name="Normal 7 2 6 3 4 2" xfId="37079"/>
    <cellStyle name="Normal 7 2 6 3 5" xfId="37080"/>
    <cellStyle name="Normal 7 2 6 3 6" xfId="37081"/>
    <cellStyle name="Normal 7 2 6 4" xfId="37082"/>
    <cellStyle name="Normal 7 2 6 4 2" xfId="37083"/>
    <cellStyle name="Normal 7 2 6 4 2 2" xfId="37084"/>
    <cellStyle name="Normal 7 2 6 4 3" xfId="37085"/>
    <cellStyle name="Normal 7 2 6 4 3 2" xfId="37086"/>
    <cellStyle name="Normal 7 2 6 4 4" xfId="37087"/>
    <cellStyle name="Normal 7 2 6 4 4 2" xfId="37088"/>
    <cellStyle name="Normal 7 2 6 4 5" xfId="37089"/>
    <cellStyle name="Normal 7 2 6 4 6" xfId="37090"/>
    <cellStyle name="Normal 7 2 6 5" xfId="37091"/>
    <cellStyle name="Normal 7 2 6 5 2" xfId="37092"/>
    <cellStyle name="Normal 7 2 6 5 2 2" xfId="37093"/>
    <cellStyle name="Normal 7 2 6 5 3" xfId="37094"/>
    <cellStyle name="Normal 7 2 6 5 3 2" xfId="37095"/>
    <cellStyle name="Normal 7 2 6 5 4" xfId="37096"/>
    <cellStyle name="Normal 7 2 6 5 5" xfId="37097"/>
    <cellStyle name="Normal 7 2 6 6" xfId="37098"/>
    <cellStyle name="Normal 7 2 6 6 2" xfId="37099"/>
    <cellStyle name="Normal 7 2 6 7" xfId="37100"/>
    <cellStyle name="Normal 7 2 6 7 2" xfId="37101"/>
    <cellStyle name="Normal 7 2 6 8" xfId="37102"/>
    <cellStyle name="Normal 7 2 6 8 2" xfId="37103"/>
    <cellStyle name="Normal 7 2 6 9" xfId="37104"/>
    <cellStyle name="Normal 7 2 7" xfId="37105"/>
    <cellStyle name="Normal 7 2 7 10" xfId="37106"/>
    <cellStyle name="Normal 7 2 7 2" xfId="37107"/>
    <cellStyle name="Normal 7 2 7 2 2" xfId="37108"/>
    <cellStyle name="Normal 7 2 7 2 2 2" xfId="37109"/>
    <cellStyle name="Normal 7 2 7 2 3" xfId="37110"/>
    <cellStyle name="Normal 7 2 7 2 3 2" xfId="37111"/>
    <cellStyle name="Normal 7 2 7 2 4" xfId="37112"/>
    <cellStyle name="Normal 7 2 7 2 4 2" xfId="37113"/>
    <cellStyle name="Normal 7 2 7 2 5" xfId="37114"/>
    <cellStyle name="Normal 7 2 7 2 6" xfId="37115"/>
    <cellStyle name="Normal 7 2 7 3" xfId="37116"/>
    <cellStyle name="Normal 7 2 7 3 2" xfId="37117"/>
    <cellStyle name="Normal 7 2 7 3 2 2" xfId="37118"/>
    <cellStyle name="Normal 7 2 7 3 3" xfId="37119"/>
    <cellStyle name="Normal 7 2 7 3 3 2" xfId="37120"/>
    <cellStyle name="Normal 7 2 7 3 4" xfId="37121"/>
    <cellStyle name="Normal 7 2 7 3 4 2" xfId="37122"/>
    <cellStyle name="Normal 7 2 7 3 5" xfId="37123"/>
    <cellStyle name="Normal 7 2 7 3 6" xfId="37124"/>
    <cellStyle name="Normal 7 2 7 4" xfId="37125"/>
    <cellStyle name="Normal 7 2 7 4 2" xfId="37126"/>
    <cellStyle name="Normal 7 2 7 4 2 2" xfId="37127"/>
    <cellStyle name="Normal 7 2 7 4 3" xfId="37128"/>
    <cellStyle name="Normal 7 2 7 4 3 2" xfId="37129"/>
    <cellStyle name="Normal 7 2 7 4 4" xfId="37130"/>
    <cellStyle name="Normal 7 2 7 4 4 2" xfId="37131"/>
    <cellStyle name="Normal 7 2 7 4 5" xfId="37132"/>
    <cellStyle name="Normal 7 2 7 4 6" xfId="37133"/>
    <cellStyle name="Normal 7 2 7 5" xfId="37134"/>
    <cellStyle name="Normal 7 2 7 5 2" xfId="37135"/>
    <cellStyle name="Normal 7 2 7 5 2 2" xfId="37136"/>
    <cellStyle name="Normal 7 2 7 5 3" xfId="37137"/>
    <cellStyle name="Normal 7 2 7 5 3 2" xfId="37138"/>
    <cellStyle name="Normal 7 2 7 5 4" xfId="37139"/>
    <cellStyle name="Normal 7 2 7 5 5" xfId="37140"/>
    <cellStyle name="Normal 7 2 7 6" xfId="37141"/>
    <cellStyle name="Normal 7 2 7 6 2" xfId="37142"/>
    <cellStyle name="Normal 7 2 7 7" xfId="37143"/>
    <cellStyle name="Normal 7 2 7 7 2" xfId="37144"/>
    <cellStyle name="Normal 7 2 7 8" xfId="37145"/>
    <cellStyle name="Normal 7 2 7 8 2" xfId="37146"/>
    <cellStyle name="Normal 7 2 7 9" xfId="37147"/>
    <cellStyle name="Normal 7 2 8" xfId="37148"/>
    <cellStyle name="Normal 7 2 8 2" xfId="37149"/>
    <cellStyle name="Normal 7 2 8 2 2" xfId="37150"/>
    <cellStyle name="Normal 7 2 8 3" xfId="37151"/>
    <cellStyle name="Normal 7 2 8 3 2" xfId="37152"/>
    <cellStyle name="Normal 7 2 8 4" xfId="37153"/>
    <cellStyle name="Normal 7 2 8 4 2" xfId="37154"/>
    <cellStyle name="Normal 7 2 8 5" xfId="37155"/>
    <cellStyle name="Normal 7 2 8 6" xfId="37156"/>
    <cellStyle name="Normal 7 2 9" xfId="37157"/>
    <cellStyle name="Normal 7 2 9 2" xfId="37158"/>
    <cellStyle name="Normal 7 2 9 2 2" xfId="37159"/>
    <cellStyle name="Normal 7 2 9 3" xfId="37160"/>
    <cellStyle name="Normal 7 2 9 3 2" xfId="37161"/>
    <cellStyle name="Normal 7 2 9 4" xfId="37162"/>
    <cellStyle name="Normal 7 2 9 4 2" xfId="37163"/>
    <cellStyle name="Normal 7 2 9 5" xfId="37164"/>
    <cellStyle name="Normal 7 2 9 6" xfId="37165"/>
    <cellStyle name="Normal 7 20" xfId="36450"/>
    <cellStyle name="Normal 7 3" xfId="12191"/>
    <cellStyle name="Normal 7 3 10" xfId="37167"/>
    <cellStyle name="Normal 7 3 10 2" xfId="37168"/>
    <cellStyle name="Normal 7 3 10 2 2" xfId="37169"/>
    <cellStyle name="Normal 7 3 10 3" xfId="37170"/>
    <cellStyle name="Normal 7 3 10 3 2" xfId="37171"/>
    <cellStyle name="Normal 7 3 10 4" xfId="37172"/>
    <cellStyle name="Normal 7 3 10 4 2" xfId="37173"/>
    <cellStyle name="Normal 7 3 10 5" xfId="37174"/>
    <cellStyle name="Normal 7 3 10 6" xfId="37175"/>
    <cellStyle name="Normal 7 3 11" xfId="37176"/>
    <cellStyle name="Normal 7 3 11 2" xfId="37177"/>
    <cellStyle name="Normal 7 3 11 2 2" xfId="37178"/>
    <cellStyle name="Normal 7 3 11 3" xfId="37179"/>
    <cellStyle name="Normal 7 3 11 3 2" xfId="37180"/>
    <cellStyle name="Normal 7 3 11 4" xfId="37181"/>
    <cellStyle name="Normal 7 3 11 5" xfId="37182"/>
    <cellStyle name="Normal 7 3 12" xfId="37183"/>
    <cellStyle name="Normal 7 3 12 2" xfId="37184"/>
    <cellStyle name="Normal 7 3 13" xfId="37185"/>
    <cellStyle name="Normal 7 3 13 2" xfId="37186"/>
    <cellStyle name="Normal 7 3 14" xfId="37187"/>
    <cellStyle name="Normal 7 3 14 2" xfId="37188"/>
    <cellStyle name="Normal 7 3 15" xfId="37189"/>
    <cellStyle name="Normal 7 3 16" xfId="37190"/>
    <cellStyle name="Normal 7 3 17" xfId="37166"/>
    <cellStyle name="Normal 7 3 2" xfId="12192"/>
    <cellStyle name="Normal 7 3 2 10" xfId="37192"/>
    <cellStyle name="Normal 7 3 2 10 2" xfId="37193"/>
    <cellStyle name="Normal 7 3 2 11" xfId="37194"/>
    <cellStyle name="Normal 7 3 2 11 2" xfId="37195"/>
    <cellStyle name="Normal 7 3 2 12" xfId="37196"/>
    <cellStyle name="Normal 7 3 2 13" xfId="37197"/>
    <cellStyle name="Normal 7 3 2 14" xfId="37191"/>
    <cellStyle name="Normal 7 3 2 2" xfId="12193"/>
    <cellStyle name="Normal 7 3 2 2 10" xfId="37199"/>
    <cellStyle name="Normal 7 3 2 2 11" xfId="37200"/>
    <cellStyle name="Normal 7 3 2 2 12" xfId="37198"/>
    <cellStyle name="Normal 7 3 2 2 2" xfId="37201"/>
    <cellStyle name="Normal 7 3 2 2 2 2" xfId="37202"/>
    <cellStyle name="Normal 7 3 2 2 2 2 2" xfId="37203"/>
    <cellStyle name="Normal 7 3 2 2 2 3" xfId="37204"/>
    <cellStyle name="Normal 7 3 2 2 2 3 2" xfId="37205"/>
    <cellStyle name="Normal 7 3 2 2 2 4" xfId="37206"/>
    <cellStyle name="Normal 7 3 2 2 2 4 2" xfId="37207"/>
    <cellStyle name="Normal 7 3 2 2 2 5" xfId="37208"/>
    <cellStyle name="Normal 7 3 2 2 2 6" xfId="37209"/>
    <cellStyle name="Normal 7 3 2 2 3" xfId="37210"/>
    <cellStyle name="Normal 7 3 2 2 3 2" xfId="37211"/>
    <cellStyle name="Normal 7 3 2 2 3 2 2" xfId="37212"/>
    <cellStyle name="Normal 7 3 2 2 3 3" xfId="37213"/>
    <cellStyle name="Normal 7 3 2 2 3 3 2" xfId="37214"/>
    <cellStyle name="Normal 7 3 2 2 3 4" xfId="37215"/>
    <cellStyle name="Normal 7 3 2 2 3 4 2" xfId="37216"/>
    <cellStyle name="Normal 7 3 2 2 3 5" xfId="37217"/>
    <cellStyle name="Normal 7 3 2 2 3 6" xfId="37218"/>
    <cellStyle name="Normal 7 3 2 2 4" xfId="37219"/>
    <cellStyle name="Normal 7 3 2 2 4 2" xfId="37220"/>
    <cellStyle name="Normal 7 3 2 2 4 2 2" xfId="37221"/>
    <cellStyle name="Normal 7 3 2 2 4 3" xfId="37222"/>
    <cellStyle name="Normal 7 3 2 2 4 3 2" xfId="37223"/>
    <cellStyle name="Normal 7 3 2 2 4 4" xfId="37224"/>
    <cellStyle name="Normal 7 3 2 2 4 4 2" xfId="37225"/>
    <cellStyle name="Normal 7 3 2 2 4 5" xfId="37226"/>
    <cellStyle name="Normal 7 3 2 2 4 6" xfId="37227"/>
    <cellStyle name="Normal 7 3 2 2 5" xfId="37228"/>
    <cellStyle name="Normal 7 3 2 2 5 2" xfId="37229"/>
    <cellStyle name="Normal 7 3 2 2 5 2 2" xfId="37230"/>
    <cellStyle name="Normal 7 3 2 2 5 3" xfId="37231"/>
    <cellStyle name="Normal 7 3 2 2 5 3 2" xfId="37232"/>
    <cellStyle name="Normal 7 3 2 2 5 4" xfId="37233"/>
    <cellStyle name="Normal 7 3 2 2 5 4 2" xfId="37234"/>
    <cellStyle name="Normal 7 3 2 2 5 5" xfId="37235"/>
    <cellStyle name="Normal 7 3 2 2 5 6" xfId="37236"/>
    <cellStyle name="Normal 7 3 2 2 6" xfId="37237"/>
    <cellStyle name="Normal 7 3 2 2 6 2" xfId="37238"/>
    <cellStyle name="Normal 7 3 2 2 6 2 2" xfId="37239"/>
    <cellStyle name="Normal 7 3 2 2 6 3" xfId="37240"/>
    <cellStyle name="Normal 7 3 2 2 6 3 2" xfId="37241"/>
    <cellStyle name="Normal 7 3 2 2 6 4" xfId="37242"/>
    <cellStyle name="Normal 7 3 2 2 6 5" xfId="37243"/>
    <cellStyle name="Normal 7 3 2 2 7" xfId="37244"/>
    <cellStyle name="Normal 7 3 2 2 7 2" xfId="37245"/>
    <cellStyle name="Normal 7 3 2 2 8" xfId="37246"/>
    <cellStyle name="Normal 7 3 2 2 8 2" xfId="37247"/>
    <cellStyle name="Normal 7 3 2 2 9" xfId="37248"/>
    <cellStyle name="Normal 7 3 2 2 9 2" xfId="37249"/>
    <cellStyle name="Normal 7 3 2 3" xfId="12194"/>
    <cellStyle name="Normal 7 3 2 3 10" xfId="37251"/>
    <cellStyle name="Normal 7 3 2 3 11" xfId="37250"/>
    <cellStyle name="Normal 7 3 2 3 2" xfId="37252"/>
    <cellStyle name="Normal 7 3 2 3 2 2" xfId="37253"/>
    <cellStyle name="Normal 7 3 2 3 2 2 2" xfId="37254"/>
    <cellStyle name="Normal 7 3 2 3 2 3" xfId="37255"/>
    <cellStyle name="Normal 7 3 2 3 2 3 2" xfId="37256"/>
    <cellStyle name="Normal 7 3 2 3 2 4" xfId="37257"/>
    <cellStyle name="Normal 7 3 2 3 2 4 2" xfId="37258"/>
    <cellStyle name="Normal 7 3 2 3 2 5" xfId="37259"/>
    <cellStyle name="Normal 7 3 2 3 2 6" xfId="37260"/>
    <cellStyle name="Normal 7 3 2 3 3" xfId="37261"/>
    <cellStyle name="Normal 7 3 2 3 3 2" xfId="37262"/>
    <cellStyle name="Normal 7 3 2 3 3 2 2" xfId="37263"/>
    <cellStyle name="Normal 7 3 2 3 3 3" xfId="37264"/>
    <cellStyle name="Normal 7 3 2 3 3 3 2" xfId="37265"/>
    <cellStyle name="Normal 7 3 2 3 3 4" xfId="37266"/>
    <cellStyle name="Normal 7 3 2 3 3 4 2" xfId="37267"/>
    <cellStyle name="Normal 7 3 2 3 3 5" xfId="37268"/>
    <cellStyle name="Normal 7 3 2 3 3 6" xfId="37269"/>
    <cellStyle name="Normal 7 3 2 3 4" xfId="37270"/>
    <cellStyle name="Normal 7 3 2 3 4 2" xfId="37271"/>
    <cellStyle name="Normal 7 3 2 3 4 2 2" xfId="37272"/>
    <cellStyle name="Normal 7 3 2 3 4 3" xfId="37273"/>
    <cellStyle name="Normal 7 3 2 3 4 3 2" xfId="37274"/>
    <cellStyle name="Normal 7 3 2 3 4 4" xfId="37275"/>
    <cellStyle name="Normal 7 3 2 3 4 4 2" xfId="37276"/>
    <cellStyle name="Normal 7 3 2 3 4 5" xfId="37277"/>
    <cellStyle name="Normal 7 3 2 3 4 6" xfId="37278"/>
    <cellStyle name="Normal 7 3 2 3 5" xfId="37279"/>
    <cellStyle name="Normal 7 3 2 3 5 2" xfId="37280"/>
    <cellStyle name="Normal 7 3 2 3 5 2 2" xfId="37281"/>
    <cellStyle name="Normal 7 3 2 3 5 3" xfId="37282"/>
    <cellStyle name="Normal 7 3 2 3 5 3 2" xfId="37283"/>
    <cellStyle name="Normal 7 3 2 3 5 4" xfId="37284"/>
    <cellStyle name="Normal 7 3 2 3 5 5" xfId="37285"/>
    <cellStyle name="Normal 7 3 2 3 6" xfId="37286"/>
    <cellStyle name="Normal 7 3 2 3 6 2" xfId="37287"/>
    <cellStyle name="Normal 7 3 2 3 7" xfId="37288"/>
    <cellStyle name="Normal 7 3 2 3 7 2" xfId="37289"/>
    <cellStyle name="Normal 7 3 2 3 8" xfId="37290"/>
    <cellStyle name="Normal 7 3 2 3 8 2" xfId="37291"/>
    <cellStyle name="Normal 7 3 2 3 9" xfId="37292"/>
    <cellStyle name="Normal 7 3 2 4" xfId="37293"/>
    <cellStyle name="Normal 7 3 2 4 10" xfId="37294"/>
    <cellStyle name="Normal 7 3 2 4 2" xfId="37295"/>
    <cellStyle name="Normal 7 3 2 4 2 2" xfId="37296"/>
    <cellStyle name="Normal 7 3 2 4 2 2 2" xfId="37297"/>
    <cellStyle name="Normal 7 3 2 4 2 3" xfId="37298"/>
    <cellStyle name="Normal 7 3 2 4 2 3 2" xfId="37299"/>
    <cellStyle name="Normal 7 3 2 4 2 4" xfId="37300"/>
    <cellStyle name="Normal 7 3 2 4 2 4 2" xfId="37301"/>
    <cellStyle name="Normal 7 3 2 4 2 5" xfId="37302"/>
    <cellStyle name="Normal 7 3 2 4 2 6" xfId="37303"/>
    <cellStyle name="Normal 7 3 2 4 3" xfId="37304"/>
    <cellStyle name="Normal 7 3 2 4 3 2" xfId="37305"/>
    <cellStyle name="Normal 7 3 2 4 3 2 2" xfId="37306"/>
    <cellStyle name="Normal 7 3 2 4 3 3" xfId="37307"/>
    <cellStyle name="Normal 7 3 2 4 3 3 2" xfId="37308"/>
    <cellStyle name="Normal 7 3 2 4 3 4" xfId="37309"/>
    <cellStyle name="Normal 7 3 2 4 3 4 2" xfId="37310"/>
    <cellStyle name="Normal 7 3 2 4 3 5" xfId="37311"/>
    <cellStyle name="Normal 7 3 2 4 3 6" xfId="37312"/>
    <cellStyle name="Normal 7 3 2 4 4" xfId="37313"/>
    <cellStyle name="Normal 7 3 2 4 4 2" xfId="37314"/>
    <cellStyle name="Normal 7 3 2 4 4 2 2" xfId="37315"/>
    <cellStyle name="Normal 7 3 2 4 4 3" xfId="37316"/>
    <cellStyle name="Normal 7 3 2 4 4 3 2" xfId="37317"/>
    <cellStyle name="Normal 7 3 2 4 4 4" xfId="37318"/>
    <cellStyle name="Normal 7 3 2 4 4 4 2" xfId="37319"/>
    <cellStyle name="Normal 7 3 2 4 4 5" xfId="37320"/>
    <cellStyle name="Normal 7 3 2 4 4 6" xfId="37321"/>
    <cellStyle name="Normal 7 3 2 4 5" xfId="37322"/>
    <cellStyle name="Normal 7 3 2 4 5 2" xfId="37323"/>
    <cellStyle name="Normal 7 3 2 4 5 2 2" xfId="37324"/>
    <cellStyle name="Normal 7 3 2 4 5 3" xfId="37325"/>
    <cellStyle name="Normal 7 3 2 4 5 3 2" xfId="37326"/>
    <cellStyle name="Normal 7 3 2 4 5 4" xfId="37327"/>
    <cellStyle name="Normal 7 3 2 4 5 5" xfId="37328"/>
    <cellStyle name="Normal 7 3 2 4 6" xfId="37329"/>
    <cellStyle name="Normal 7 3 2 4 6 2" xfId="37330"/>
    <cellStyle name="Normal 7 3 2 4 7" xfId="37331"/>
    <cellStyle name="Normal 7 3 2 4 7 2" xfId="37332"/>
    <cellStyle name="Normal 7 3 2 4 8" xfId="37333"/>
    <cellStyle name="Normal 7 3 2 4 8 2" xfId="37334"/>
    <cellStyle name="Normal 7 3 2 4 9" xfId="37335"/>
    <cellStyle name="Normal 7 3 2 5" xfId="37336"/>
    <cellStyle name="Normal 7 3 2 5 2" xfId="37337"/>
    <cellStyle name="Normal 7 3 2 5 2 2" xfId="37338"/>
    <cellStyle name="Normal 7 3 2 5 3" xfId="37339"/>
    <cellStyle name="Normal 7 3 2 5 3 2" xfId="37340"/>
    <cellStyle name="Normal 7 3 2 5 4" xfId="37341"/>
    <cellStyle name="Normal 7 3 2 5 4 2" xfId="37342"/>
    <cellStyle name="Normal 7 3 2 5 5" xfId="37343"/>
    <cellStyle name="Normal 7 3 2 5 6" xfId="37344"/>
    <cellStyle name="Normal 7 3 2 6" xfId="37345"/>
    <cellStyle name="Normal 7 3 2 6 2" xfId="37346"/>
    <cellStyle name="Normal 7 3 2 6 2 2" xfId="37347"/>
    <cellStyle name="Normal 7 3 2 6 3" xfId="37348"/>
    <cellStyle name="Normal 7 3 2 6 3 2" xfId="37349"/>
    <cellStyle name="Normal 7 3 2 6 4" xfId="37350"/>
    <cellStyle name="Normal 7 3 2 6 4 2" xfId="37351"/>
    <cellStyle name="Normal 7 3 2 6 5" xfId="37352"/>
    <cellStyle name="Normal 7 3 2 6 6" xfId="37353"/>
    <cellStyle name="Normal 7 3 2 7" xfId="37354"/>
    <cellStyle name="Normal 7 3 2 7 2" xfId="37355"/>
    <cellStyle name="Normal 7 3 2 7 2 2" xfId="37356"/>
    <cellStyle name="Normal 7 3 2 7 3" xfId="37357"/>
    <cellStyle name="Normal 7 3 2 7 3 2" xfId="37358"/>
    <cellStyle name="Normal 7 3 2 7 4" xfId="37359"/>
    <cellStyle name="Normal 7 3 2 7 4 2" xfId="37360"/>
    <cellStyle name="Normal 7 3 2 7 5" xfId="37361"/>
    <cellStyle name="Normal 7 3 2 7 6" xfId="37362"/>
    <cellStyle name="Normal 7 3 2 8" xfId="37363"/>
    <cellStyle name="Normal 7 3 2 8 2" xfId="37364"/>
    <cellStyle name="Normal 7 3 2 8 2 2" xfId="37365"/>
    <cellStyle name="Normal 7 3 2 8 3" xfId="37366"/>
    <cellStyle name="Normal 7 3 2 8 3 2" xfId="37367"/>
    <cellStyle name="Normal 7 3 2 8 4" xfId="37368"/>
    <cellStyle name="Normal 7 3 2 8 5" xfId="37369"/>
    <cellStyle name="Normal 7 3 2 9" xfId="37370"/>
    <cellStyle name="Normal 7 3 2 9 2" xfId="37371"/>
    <cellStyle name="Normal 7 3 3" xfId="12195"/>
    <cellStyle name="Normal 7 3 3 10" xfId="37373"/>
    <cellStyle name="Normal 7 3 3 10 2" xfId="37374"/>
    <cellStyle name="Normal 7 3 3 11" xfId="37375"/>
    <cellStyle name="Normal 7 3 3 11 2" xfId="37376"/>
    <cellStyle name="Normal 7 3 3 12" xfId="37377"/>
    <cellStyle name="Normal 7 3 3 13" xfId="37378"/>
    <cellStyle name="Normal 7 3 3 14" xfId="37372"/>
    <cellStyle name="Normal 7 3 3 2" xfId="37379"/>
    <cellStyle name="Normal 7 3 3 2 10" xfId="37380"/>
    <cellStyle name="Normal 7 3 3 2 11" xfId="37381"/>
    <cellStyle name="Normal 7 3 3 2 2" xfId="37382"/>
    <cellStyle name="Normal 7 3 3 2 2 2" xfId="37383"/>
    <cellStyle name="Normal 7 3 3 2 2 2 2" xfId="37384"/>
    <cellStyle name="Normal 7 3 3 2 2 3" xfId="37385"/>
    <cellStyle name="Normal 7 3 3 2 2 3 2" xfId="37386"/>
    <cellStyle name="Normal 7 3 3 2 2 4" xfId="37387"/>
    <cellStyle name="Normal 7 3 3 2 2 4 2" xfId="37388"/>
    <cellStyle name="Normal 7 3 3 2 2 5" xfId="37389"/>
    <cellStyle name="Normal 7 3 3 2 2 6" xfId="37390"/>
    <cellStyle name="Normal 7 3 3 2 3" xfId="37391"/>
    <cellStyle name="Normal 7 3 3 2 3 2" xfId="37392"/>
    <cellStyle name="Normal 7 3 3 2 3 2 2" xfId="37393"/>
    <cellStyle name="Normal 7 3 3 2 3 3" xfId="37394"/>
    <cellStyle name="Normal 7 3 3 2 3 3 2" xfId="37395"/>
    <cellStyle name="Normal 7 3 3 2 3 4" xfId="37396"/>
    <cellStyle name="Normal 7 3 3 2 3 4 2" xfId="37397"/>
    <cellStyle name="Normal 7 3 3 2 3 5" xfId="37398"/>
    <cellStyle name="Normal 7 3 3 2 3 6" xfId="37399"/>
    <cellStyle name="Normal 7 3 3 2 4" xfId="37400"/>
    <cellStyle name="Normal 7 3 3 2 4 2" xfId="37401"/>
    <cellStyle name="Normal 7 3 3 2 4 2 2" xfId="37402"/>
    <cellStyle name="Normal 7 3 3 2 4 3" xfId="37403"/>
    <cellStyle name="Normal 7 3 3 2 4 3 2" xfId="37404"/>
    <cellStyle name="Normal 7 3 3 2 4 4" xfId="37405"/>
    <cellStyle name="Normal 7 3 3 2 4 4 2" xfId="37406"/>
    <cellStyle name="Normal 7 3 3 2 4 5" xfId="37407"/>
    <cellStyle name="Normal 7 3 3 2 4 6" xfId="37408"/>
    <cellStyle name="Normal 7 3 3 2 5" xfId="37409"/>
    <cellStyle name="Normal 7 3 3 2 5 2" xfId="37410"/>
    <cellStyle name="Normal 7 3 3 2 5 2 2" xfId="37411"/>
    <cellStyle name="Normal 7 3 3 2 5 3" xfId="37412"/>
    <cellStyle name="Normal 7 3 3 2 5 3 2" xfId="37413"/>
    <cellStyle name="Normal 7 3 3 2 5 4" xfId="37414"/>
    <cellStyle name="Normal 7 3 3 2 5 4 2" xfId="37415"/>
    <cellStyle name="Normal 7 3 3 2 5 5" xfId="37416"/>
    <cellStyle name="Normal 7 3 3 2 5 6" xfId="37417"/>
    <cellStyle name="Normal 7 3 3 2 6" xfId="37418"/>
    <cellStyle name="Normal 7 3 3 2 6 2" xfId="37419"/>
    <cellStyle name="Normal 7 3 3 2 6 2 2" xfId="37420"/>
    <cellStyle name="Normal 7 3 3 2 6 3" xfId="37421"/>
    <cellStyle name="Normal 7 3 3 2 6 3 2" xfId="37422"/>
    <cellStyle name="Normal 7 3 3 2 6 4" xfId="37423"/>
    <cellStyle name="Normal 7 3 3 2 6 5" xfId="37424"/>
    <cellStyle name="Normal 7 3 3 2 7" xfId="37425"/>
    <cellStyle name="Normal 7 3 3 2 7 2" xfId="37426"/>
    <cellStyle name="Normal 7 3 3 2 8" xfId="37427"/>
    <cellStyle name="Normal 7 3 3 2 8 2" xfId="37428"/>
    <cellStyle name="Normal 7 3 3 2 9" xfId="37429"/>
    <cellStyle name="Normal 7 3 3 2 9 2" xfId="37430"/>
    <cellStyle name="Normal 7 3 3 3" xfId="37431"/>
    <cellStyle name="Normal 7 3 3 3 10" xfId="37432"/>
    <cellStyle name="Normal 7 3 3 3 2" xfId="37433"/>
    <cellStyle name="Normal 7 3 3 3 2 2" xfId="37434"/>
    <cellStyle name="Normal 7 3 3 3 2 2 2" xfId="37435"/>
    <cellStyle name="Normal 7 3 3 3 2 3" xfId="37436"/>
    <cellStyle name="Normal 7 3 3 3 2 3 2" xfId="37437"/>
    <cellStyle name="Normal 7 3 3 3 2 4" xfId="37438"/>
    <cellStyle name="Normal 7 3 3 3 2 4 2" xfId="37439"/>
    <cellStyle name="Normal 7 3 3 3 2 5" xfId="37440"/>
    <cellStyle name="Normal 7 3 3 3 2 6" xfId="37441"/>
    <cellStyle name="Normal 7 3 3 3 3" xfId="37442"/>
    <cellStyle name="Normal 7 3 3 3 3 2" xfId="37443"/>
    <cellStyle name="Normal 7 3 3 3 3 2 2" xfId="37444"/>
    <cellStyle name="Normal 7 3 3 3 3 3" xfId="37445"/>
    <cellStyle name="Normal 7 3 3 3 3 3 2" xfId="37446"/>
    <cellStyle name="Normal 7 3 3 3 3 4" xfId="37447"/>
    <cellStyle name="Normal 7 3 3 3 3 4 2" xfId="37448"/>
    <cellStyle name="Normal 7 3 3 3 3 5" xfId="37449"/>
    <cellStyle name="Normal 7 3 3 3 3 6" xfId="37450"/>
    <cellStyle name="Normal 7 3 3 3 4" xfId="37451"/>
    <cellStyle name="Normal 7 3 3 3 4 2" xfId="37452"/>
    <cellStyle name="Normal 7 3 3 3 4 2 2" xfId="37453"/>
    <cellStyle name="Normal 7 3 3 3 4 3" xfId="37454"/>
    <cellStyle name="Normal 7 3 3 3 4 3 2" xfId="37455"/>
    <cellStyle name="Normal 7 3 3 3 4 4" xfId="37456"/>
    <cellStyle name="Normal 7 3 3 3 4 4 2" xfId="37457"/>
    <cellStyle name="Normal 7 3 3 3 4 5" xfId="37458"/>
    <cellStyle name="Normal 7 3 3 3 4 6" xfId="37459"/>
    <cellStyle name="Normal 7 3 3 3 5" xfId="37460"/>
    <cellStyle name="Normal 7 3 3 3 5 2" xfId="37461"/>
    <cellStyle name="Normal 7 3 3 3 5 2 2" xfId="37462"/>
    <cellStyle name="Normal 7 3 3 3 5 3" xfId="37463"/>
    <cellStyle name="Normal 7 3 3 3 5 3 2" xfId="37464"/>
    <cellStyle name="Normal 7 3 3 3 5 4" xfId="37465"/>
    <cellStyle name="Normal 7 3 3 3 5 5" xfId="37466"/>
    <cellStyle name="Normal 7 3 3 3 6" xfId="37467"/>
    <cellStyle name="Normal 7 3 3 3 6 2" xfId="37468"/>
    <cellStyle name="Normal 7 3 3 3 7" xfId="37469"/>
    <cellStyle name="Normal 7 3 3 3 7 2" xfId="37470"/>
    <cellStyle name="Normal 7 3 3 3 8" xfId="37471"/>
    <cellStyle name="Normal 7 3 3 3 8 2" xfId="37472"/>
    <cellStyle name="Normal 7 3 3 3 9" xfId="37473"/>
    <cellStyle name="Normal 7 3 3 4" xfId="37474"/>
    <cellStyle name="Normal 7 3 3 4 10" xfId="37475"/>
    <cellStyle name="Normal 7 3 3 4 2" xfId="37476"/>
    <cellStyle name="Normal 7 3 3 4 2 2" xfId="37477"/>
    <cellStyle name="Normal 7 3 3 4 2 2 2" xfId="37478"/>
    <cellStyle name="Normal 7 3 3 4 2 3" xfId="37479"/>
    <cellStyle name="Normal 7 3 3 4 2 3 2" xfId="37480"/>
    <cellStyle name="Normal 7 3 3 4 2 4" xfId="37481"/>
    <cellStyle name="Normal 7 3 3 4 2 4 2" xfId="37482"/>
    <cellStyle name="Normal 7 3 3 4 2 5" xfId="37483"/>
    <cellStyle name="Normal 7 3 3 4 2 6" xfId="37484"/>
    <cellStyle name="Normal 7 3 3 4 3" xfId="37485"/>
    <cellStyle name="Normal 7 3 3 4 3 2" xfId="37486"/>
    <cellStyle name="Normal 7 3 3 4 3 2 2" xfId="37487"/>
    <cellStyle name="Normal 7 3 3 4 3 3" xfId="37488"/>
    <cellStyle name="Normal 7 3 3 4 3 3 2" xfId="37489"/>
    <cellStyle name="Normal 7 3 3 4 3 4" xfId="37490"/>
    <cellStyle name="Normal 7 3 3 4 3 4 2" xfId="37491"/>
    <cellStyle name="Normal 7 3 3 4 3 5" xfId="37492"/>
    <cellStyle name="Normal 7 3 3 4 3 6" xfId="37493"/>
    <cellStyle name="Normal 7 3 3 4 4" xfId="37494"/>
    <cellStyle name="Normal 7 3 3 4 4 2" xfId="37495"/>
    <cellStyle name="Normal 7 3 3 4 4 2 2" xfId="37496"/>
    <cellStyle name="Normal 7 3 3 4 4 3" xfId="37497"/>
    <cellStyle name="Normal 7 3 3 4 4 3 2" xfId="37498"/>
    <cellStyle name="Normal 7 3 3 4 4 4" xfId="37499"/>
    <cellStyle name="Normal 7 3 3 4 4 4 2" xfId="37500"/>
    <cellStyle name="Normal 7 3 3 4 4 5" xfId="37501"/>
    <cellStyle name="Normal 7 3 3 4 4 6" xfId="37502"/>
    <cellStyle name="Normal 7 3 3 4 5" xfId="37503"/>
    <cellStyle name="Normal 7 3 3 4 5 2" xfId="37504"/>
    <cellStyle name="Normal 7 3 3 4 5 2 2" xfId="37505"/>
    <cellStyle name="Normal 7 3 3 4 5 3" xfId="37506"/>
    <cellStyle name="Normal 7 3 3 4 5 3 2" xfId="37507"/>
    <cellStyle name="Normal 7 3 3 4 5 4" xfId="37508"/>
    <cellStyle name="Normal 7 3 3 4 5 5" xfId="37509"/>
    <cellStyle name="Normal 7 3 3 4 6" xfId="37510"/>
    <cellStyle name="Normal 7 3 3 4 6 2" xfId="37511"/>
    <cellStyle name="Normal 7 3 3 4 7" xfId="37512"/>
    <cellStyle name="Normal 7 3 3 4 7 2" xfId="37513"/>
    <cellStyle name="Normal 7 3 3 4 8" xfId="37514"/>
    <cellStyle name="Normal 7 3 3 4 8 2" xfId="37515"/>
    <cellStyle name="Normal 7 3 3 4 9" xfId="37516"/>
    <cellStyle name="Normal 7 3 3 5" xfId="37517"/>
    <cellStyle name="Normal 7 3 3 5 2" xfId="37518"/>
    <cellStyle name="Normal 7 3 3 5 2 2" xfId="37519"/>
    <cellStyle name="Normal 7 3 3 5 3" xfId="37520"/>
    <cellStyle name="Normal 7 3 3 5 3 2" xfId="37521"/>
    <cellStyle name="Normal 7 3 3 5 4" xfId="37522"/>
    <cellStyle name="Normal 7 3 3 5 4 2" xfId="37523"/>
    <cellStyle name="Normal 7 3 3 5 5" xfId="37524"/>
    <cellStyle name="Normal 7 3 3 5 6" xfId="37525"/>
    <cellStyle name="Normal 7 3 3 6" xfId="37526"/>
    <cellStyle name="Normal 7 3 3 6 2" xfId="37527"/>
    <cellStyle name="Normal 7 3 3 6 2 2" xfId="37528"/>
    <cellStyle name="Normal 7 3 3 6 3" xfId="37529"/>
    <cellStyle name="Normal 7 3 3 6 3 2" xfId="37530"/>
    <cellStyle name="Normal 7 3 3 6 4" xfId="37531"/>
    <cellStyle name="Normal 7 3 3 6 4 2" xfId="37532"/>
    <cellStyle name="Normal 7 3 3 6 5" xfId="37533"/>
    <cellStyle name="Normal 7 3 3 6 6" xfId="37534"/>
    <cellStyle name="Normal 7 3 3 7" xfId="37535"/>
    <cellStyle name="Normal 7 3 3 7 2" xfId="37536"/>
    <cellStyle name="Normal 7 3 3 7 2 2" xfId="37537"/>
    <cellStyle name="Normal 7 3 3 7 3" xfId="37538"/>
    <cellStyle name="Normal 7 3 3 7 3 2" xfId="37539"/>
    <cellStyle name="Normal 7 3 3 7 4" xfId="37540"/>
    <cellStyle name="Normal 7 3 3 7 4 2" xfId="37541"/>
    <cellStyle name="Normal 7 3 3 7 5" xfId="37542"/>
    <cellStyle name="Normal 7 3 3 7 6" xfId="37543"/>
    <cellStyle name="Normal 7 3 3 8" xfId="37544"/>
    <cellStyle name="Normal 7 3 3 8 2" xfId="37545"/>
    <cellStyle name="Normal 7 3 3 8 2 2" xfId="37546"/>
    <cellStyle name="Normal 7 3 3 8 3" xfId="37547"/>
    <cellStyle name="Normal 7 3 3 8 3 2" xfId="37548"/>
    <cellStyle name="Normal 7 3 3 8 4" xfId="37549"/>
    <cellStyle name="Normal 7 3 3 8 5" xfId="37550"/>
    <cellStyle name="Normal 7 3 3 9" xfId="37551"/>
    <cellStyle name="Normal 7 3 3 9 2" xfId="37552"/>
    <cellStyle name="Normal 7 3 4" xfId="37553"/>
    <cellStyle name="Normal 7 3 4 10" xfId="37554"/>
    <cellStyle name="Normal 7 3 4 10 2" xfId="37555"/>
    <cellStyle name="Normal 7 3 4 11" xfId="37556"/>
    <cellStyle name="Normal 7 3 4 12" xfId="37557"/>
    <cellStyle name="Normal 7 3 4 2" xfId="37558"/>
    <cellStyle name="Normal 7 3 4 2 10" xfId="37559"/>
    <cellStyle name="Normal 7 3 4 2 2" xfId="37560"/>
    <cellStyle name="Normal 7 3 4 2 2 2" xfId="37561"/>
    <cellStyle name="Normal 7 3 4 2 2 2 2" xfId="37562"/>
    <cellStyle name="Normal 7 3 4 2 2 3" xfId="37563"/>
    <cellStyle name="Normal 7 3 4 2 2 3 2" xfId="37564"/>
    <cellStyle name="Normal 7 3 4 2 2 4" xfId="37565"/>
    <cellStyle name="Normal 7 3 4 2 2 4 2" xfId="37566"/>
    <cellStyle name="Normal 7 3 4 2 2 5" xfId="37567"/>
    <cellStyle name="Normal 7 3 4 2 2 6" xfId="37568"/>
    <cellStyle name="Normal 7 3 4 2 3" xfId="37569"/>
    <cellStyle name="Normal 7 3 4 2 3 2" xfId="37570"/>
    <cellStyle name="Normal 7 3 4 2 3 2 2" xfId="37571"/>
    <cellStyle name="Normal 7 3 4 2 3 3" xfId="37572"/>
    <cellStyle name="Normal 7 3 4 2 3 3 2" xfId="37573"/>
    <cellStyle name="Normal 7 3 4 2 3 4" xfId="37574"/>
    <cellStyle name="Normal 7 3 4 2 3 4 2" xfId="37575"/>
    <cellStyle name="Normal 7 3 4 2 3 5" xfId="37576"/>
    <cellStyle name="Normal 7 3 4 2 3 6" xfId="37577"/>
    <cellStyle name="Normal 7 3 4 2 4" xfId="37578"/>
    <cellStyle name="Normal 7 3 4 2 4 2" xfId="37579"/>
    <cellStyle name="Normal 7 3 4 2 4 2 2" xfId="37580"/>
    <cellStyle name="Normal 7 3 4 2 4 3" xfId="37581"/>
    <cellStyle name="Normal 7 3 4 2 4 3 2" xfId="37582"/>
    <cellStyle name="Normal 7 3 4 2 4 4" xfId="37583"/>
    <cellStyle name="Normal 7 3 4 2 4 4 2" xfId="37584"/>
    <cellStyle name="Normal 7 3 4 2 4 5" xfId="37585"/>
    <cellStyle name="Normal 7 3 4 2 4 6" xfId="37586"/>
    <cellStyle name="Normal 7 3 4 2 5" xfId="37587"/>
    <cellStyle name="Normal 7 3 4 2 5 2" xfId="37588"/>
    <cellStyle name="Normal 7 3 4 2 5 2 2" xfId="37589"/>
    <cellStyle name="Normal 7 3 4 2 5 3" xfId="37590"/>
    <cellStyle name="Normal 7 3 4 2 5 3 2" xfId="37591"/>
    <cellStyle name="Normal 7 3 4 2 5 4" xfId="37592"/>
    <cellStyle name="Normal 7 3 4 2 5 5" xfId="37593"/>
    <cellStyle name="Normal 7 3 4 2 6" xfId="37594"/>
    <cellStyle name="Normal 7 3 4 2 6 2" xfId="37595"/>
    <cellStyle name="Normal 7 3 4 2 7" xfId="37596"/>
    <cellStyle name="Normal 7 3 4 2 7 2" xfId="37597"/>
    <cellStyle name="Normal 7 3 4 2 8" xfId="37598"/>
    <cellStyle name="Normal 7 3 4 2 8 2" xfId="37599"/>
    <cellStyle name="Normal 7 3 4 2 9" xfId="37600"/>
    <cellStyle name="Normal 7 3 4 3" xfId="37601"/>
    <cellStyle name="Normal 7 3 4 3 10" xfId="37602"/>
    <cellStyle name="Normal 7 3 4 3 2" xfId="37603"/>
    <cellStyle name="Normal 7 3 4 3 2 2" xfId="37604"/>
    <cellStyle name="Normal 7 3 4 3 2 2 2" xfId="37605"/>
    <cellStyle name="Normal 7 3 4 3 2 3" xfId="37606"/>
    <cellStyle name="Normal 7 3 4 3 2 3 2" xfId="37607"/>
    <cellStyle name="Normal 7 3 4 3 2 4" xfId="37608"/>
    <cellStyle name="Normal 7 3 4 3 2 4 2" xfId="37609"/>
    <cellStyle name="Normal 7 3 4 3 2 5" xfId="37610"/>
    <cellStyle name="Normal 7 3 4 3 2 6" xfId="37611"/>
    <cellStyle name="Normal 7 3 4 3 3" xfId="37612"/>
    <cellStyle name="Normal 7 3 4 3 3 2" xfId="37613"/>
    <cellStyle name="Normal 7 3 4 3 3 2 2" xfId="37614"/>
    <cellStyle name="Normal 7 3 4 3 3 3" xfId="37615"/>
    <cellStyle name="Normal 7 3 4 3 3 3 2" xfId="37616"/>
    <cellStyle name="Normal 7 3 4 3 3 4" xfId="37617"/>
    <cellStyle name="Normal 7 3 4 3 3 4 2" xfId="37618"/>
    <cellStyle name="Normal 7 3 4 3 3 5" xfId="37619"/>
    <cellStyle name="Normal 7 3 4 3 3 6" xfId="37620"/>
    <cellStyle name="Normal 7 3 4 3 4" xfId="37621"/>
    <cellStyle name="Normal 7 3 4 3 4 2" xfId="37622"/>
    <cellStyle name="Normal 7 3 4 3 4 2 2" xfId="37623"/>
    <cellStyle name="Normal 7 3 4 3 4 3" xfId="37624"/>
    <cellStyle name="Normal 7 3 4 3 4 3 2" xfId="37625"/>
    <cellStyle name="Normal 7 3 4 3 4 4" xfId="37626"/>
    <cellStyle name="Normal 7 3 4 3 4 4 2" xfId="37627"/>
    <cellStyle name="Normal 7 3 4 3 4 5" xfId="37628"/>
    <cellStyle name="Normal 7 3 4 3 4 6" xfId="37629"/>
    <cellStyle name="Normal 7 3 4 3 5" xfId="37630"/>
    <cellStyle name="Normal 7 3 4 3 5 2" xfId="37631"/>
    <cellStyle name="Normal 7 3 4 3 5 2 2" xfId="37632"/>
    <cellStyle name="Normal 7 3 4 3 5 3" xfId="37633"/>
    <cellStyle name="Normal 7 3 4 3 5 3 2" xfId="37634"/>
    <cellStyle name="Normal 7 3 4 3 5 4" xfId="37635"/>
    <cellStyle name="Normal 7 3 4 3 5 5" xfId="37636"/>
    <cellStyle name="Normal 7 3 4 3 6" xfId="37637"/>
    <cellStyle name="Normal 7 3 4 3 6 2" xfId="37638"/>
    <cellStyle name="Normal 7 3 4 3 7" xfId="37639"/>
    <cellStyle name="Normal 7 3 4 3 7 2" xfId="37640"/>
    <cellStyle name="Normal 7 3 4 3 8" xfId="37641"/>
    <cellStyle name="Normal 7 3 4 3 8 2" xfId="37642"/>
    <cellStyle name="Normal 7 3 4 3 9" xfId="37643"/>
    <cellStyle name="Normal 7 3 4 4" xfId="37644"/>
    <cellStyle name="Normal 7 3 4 4 2" xfId="37645"/>
    <cellStyle name="Normal 7 3 4 4 2 2" xfId="37646"/>
    <cellStyle name="Normal 7 3 4 4 3" xfId="37647"/>
    <cellStyle name="Normal 7 3 4 4 3 2" xfId="37648"/>
    <cellStyle name="Normal 7 3 4 4 4" xfId="37649"/>
    <cellStyle name="Normal 7 3 4 4 4 2" xfId="37650"/>
    <cellStyle name="Normal 7 3 4 4 5" xfId="37651"/>
    <cellStyle name="Normal 7 3 4 4 6" xfId="37652"/>
    <cellStyle name="Normal 7 3 4 5" xfId="37653"/>
    <cellStyle name="Normal 7 3 4 5 2" xfId="37654"/>
    <cellStyle name="Normal 7 3 4 5 2 2" xfId="37655"/>
    <cellStyle name="Normal 7 3 4 5 3" xfId="37656"/>
    <cellStyle name="Normal 7 3 4 5 3 2" xfId="37657"/>
    <cellStyle name="Normal 7 3 4 5 4" xfId="37658"/>
    <cellStyle name="Normal 7 3 4 5 4 2" xfId="37659"/>
    <cellStyle name="Normal 7 3 4 5 5" xfId="37660"/>
    <cellStyle name="Normal 7 3 4 5 6" xfId="37661"/>
    <cellStyle name="Normal 7 3 4 6" xfId="37662"/>
    <cellStyle name="Normal 7 3 4 6 2" xfId="37663"/>
    <cellStyle name="Normal 7 3 4 6 2 2" xfId="37664"/>
    <cellStyle name="Normal 7 3 4 6 3" xfId="37665"/>
    <cellStyle name="Normal 7 3 4 6 3 2" xfId="37666"/>
    <cellStyle name="Normal 7 3 4 6 4" xfId="37667"/>
    <cellStyle name="Normal 7 3 4 6 4 2" xfId="37668"/>
    <cellStyle name="Normal 7 3 4 6 5" xfId="37669"/>
    <cellStyle name="Normal 7 3 4 6 6" xfId="37670"/>
    <cellStyle name="Normal 7 3 4 7" xfId="37671"/>
    <cellStyle name="Normal 7 3 4 7 2" xfId="37672"/>
    <cellStyle name="Normal 7 3 4 7 2 2" xfId="37673"/>
    <cellStyle name="Normal 7 3 4 7 3" xfId="37674"/>
    <cellStyle name="Normal 7 3 4 7 3 2" xfId="37675"/>
    <cellStyle name="Normal 7 3 4 7 4" xfId="37676"/>
    <cellStyle name="Normal 7 3 4 7 5" xfId="37677"/>
    <cellStyle name="Normal 7 3 4 8" xfId="37678"/>
    <cellStyle name="Normal 7 3 4 8 2" xfId="37679"/>
    <cellStyle name="Normal 7 3 4 9" xfId="37680"/>
    <cellStyle name="Normal 7 3 4 9 2" xfId="37681"/>
    <cellStyle name="Normal 7 3 5" xfId="37682"/>
    <cellStyle name="Normal 7 3 5 10" xfId="37683"/>
    <cellStyle name="Normal 7 3 5 11" xfId="37684"/>
    <cellStyle name="Normal 7 3 5 2" xfId="37685"/>
    <cellStyle name="Normal 7 3 5 2 2" xfId="37686"/>
    <cellStyle name="Normal 7 3 5 2 2 2" xfId="37687"/>
    <cellStyle name="Normal 7 3 5 2 3" xfId="37688"/>
    <cellStyle name="Normal 7 3 5 2 3 2" xfId="37689"/>
    <cellStyle name="Normal 7 3 5 2 4" xfId="37690"/>
    <cellStyle name="Normal 7 3 5 2 4 2" xfId="37691"/>
    <cellStyle name="Normal 7 3 5 2 5" xfId="37692"/>
    <cellStyle name="Normal 7 3 5 2 6" xfId="37693"/>
    <cellStyle name="Normal 7 3 5 3" xfId="37694"/>
    <cellStyle name="Normal 7 3 5 3 2" xfId="37695"/>
    <cellStyle name="Normal 7 3 5 3 2 2" xfId="37696"/>
    <cellStyle name="Normal 7 3 5 3 3" xfId="37697"/>
    <cellStyle name="Normal 7 3 5 3 3 2" xfId="37698"/>
    <cellStyle name="Normal 7 3 5 3 4" xfId="37699"/>
    <cellStyle name="Normal 7 3 5 3 4 2" xfId="37700"/>
    <cellStyle name="Normal 7 3 5 3 5" xfId="37701"/>
    <cellStyle name="Normal 7 3 5 3 6" xfId="37702"/>
    <cellStyle name="Normal 7 3 5 4" xfId="37703"/>
    <cellStyle name="Normal 7 3 5 4 2" xfId="37704"/>
    <cellStyle name="Normal 7 3 5 4 2 2" xfId="37705"/>
    <cellStyle name="Normal 7 3 5 4 3" xfId="37706"/>
    <cellStyle name="Normal 7 3 5 4 3 2" xfId="37707"/>
    <cellStyle name="Normal 7 3 5 4 4" xfId="37708"/>
    <cellStyle name="Normal 7 3 5 4 4 2" xfId="37709"/>
    <cellStyle name="Normal 7 3 5 4 5" xfId="37710"/>
    <cellStyle name="Normal 7 3 5 4 6" xfId="37711"/>
    <cellStyle name="Normal 7 3 5 5" xfId="37712"/>
    <cellStyle name="Normal 7 3 5 5 2" xfId="37713"/>
    <cellStyle name="Normal 7 3 5 5 2 2" xfId="37714"/>
    <cellStyle name="Normal 7 3 5 5 3" xfId="37715"/>
    <cellStyle name="Normal 7 3 5 5 3 2" xfId="37716"/>
    <cellStyle name="Normal 7 3 5 5 4" xfId="37717"/>
    <cellStyle name="Normal 7 3 5 5 4 2" xfId="37718"/>
    <cellStyle name="Normal 7 3 5 5 5" xfId="37719"/>
    <cellStyle name="Normal 7 3 5 5 6" xfId="37720"/>
    <cellStyle name="Normal 7 3 5 6" xfId="37721"/>
    <cellStyle name="Normal 7 3 5 6 2" xfId="37722"/>
    <cellStyle name="Normal 7 3 5 6 2 2" xfId="37723"/>
    <cellStyle name="Normal 7 3 5 6 3" xfId="37724"/>
    <cellStyle name="Normal 7 3 5 6 3 2" xfId="37725"/>
    <cellStyle name="Normal 7 3 5 6 4" xfId="37726"/>
    <cellStyle name="Normal 7 3 5 6 5" xfId="37727"/>
    <cellStyle name="Normal 7 3 5 7" xfId="37728"/>
    <cellStyle name="Normal 7 3 5 7 2" xfId="37729"/>
    <cellStyle name="Normal 7 3 5 8" xfId="37730"/>
    <cellStyle name="Normal 7 3 5 8 2" xfId="37731"/>
    <cellStyle name="Normal 7 3 5 9" xfId="37732"/>
    <cellStyle name="Normal 7 3 5 9 2" xfId="37733"/>
    <cellStyle name="Normal 7 3 6" xfId="37734"/>
    <cellStyle name="Normal 7 3 6 10" xfId="37735"/>
    <cellStyle name="Normal 7 3 6 2" xfId="37736"/>
    <cellStyle name="Normal 7 3 6 2 2" xfId="37737"/>
    <cellStyle name="Normal 7 3 6 2 2 2" xfId="37738"/>
    <cellStyle name="Normal 7 3 6 2 3" xfId="37739"/>
    <cellStyle name="Normal 7 3 6 2 3 2" xfId="37740"/>
    <cellStyle name="Normal 7 3 6 2 4" xfId="37741"/>
    <cellStyle name="Normal 7 3 6 2 4 2" xfId="37742"/>
    <cellStyle name="Normal 7 3 6 2 5" xfId="37743"/>
    <cellStyle name="Normal 7 3 6 2 6" xfId="37744"/>
    <cellStyle name="Normal 7 3 6 3" xfId="37745"/>
    <cellStyle name="Normal 7 3 6 3 2" xfId="37746"/>
    <cellStyle name="Normal 7 3 6 3 2 2" xfId="37747"/>
    <cellStyle name="Normal 7 3 6 3 3" xfId="37748"/>
    <cellStyle name="Normal 7 3 6 3 3 2" xfId="37749"/>
    <cellStyle name="Normal 7 3 6 3 4" xfId="37750"/>
    <cellStyle name="Normal 7 3 6 3 4 2" xfId="37751"/>
    <cellStyle name="Normal 7 3 6 3 5" xfId="37752"/>
    <cellStyle name="Normal 7 3 6 3 6" xfId="37753"/>
    <cellStyle name="Normal 7 3 6 4" xfId="37754"/>
    <cellStyle name="Normal 7 3 6 4 2" xfId="37755"/>
    <cellStyle name="Normal 7 3 6 4 2 2" xfId="37756"/>
    <cellStyle name="Normal 7 3 6 4 3" xfId="37757"/>
    <cellStyle name="Normal 7 3 6 4 3 2" xfId="37758"/>
    <cellStyle name="Normal 7 3 6 4 4" xfId="37759"/>
    <cellStyle name="Normal 7 3 6 4 4 2" xfId="37760"/>
    <cellStyle name="Normal 7 3 6 4 5" xfId="37761"/>
    <cellStyle name="Normal 7 3 6 4 6" xfId="37762"/>
    <cellStyle name="Normal 7 3 6 5" xfId="37763"/>
    <cellStyle name="Normal 7 3 6 5 2" xfId="37764"/>
    <cellStyle name="Normal 7 3 6 5 2 2" xfId="37765"/>
    <cellStyle name="Normal 7 3 6 5 3" xfId="37766"/>
    <cellStyle name="Normal 7 3 6 5 3 2" xfId="37767"/>
    <cellStyle name="Normal 7 3 6 5 4" xfId="37768"/>
    <cellStyle name="Normal 7 3 6 5 5" xfId="37769"/>
    <cellStyle name="Normal 7 3 6 6" xfId="37770"/>
    <cellStyle name="Normal 7 3 6 6 2" xfId="37771"/>
    <cellStyle name="Normal 7 3 6 7" xfId="37772"/>
    <cellStyle name="Normal 7 3 6 7 2" xfId="37773"/>
    <cellStyle name="Normal 7 3 6 8" xfId="37774"/>
    <cellStyle name="Normal 7 3 6 8 2" xfId="37775"/>
    <cellStyle name="Normal 7 3 6 9" xfId="37776"/>
    <cellStyle name="Normal 7 3 7" xfId="37777"/>
    <cellStyle name="Normal 7 3 7 10" xfId="37778"/>
    <cellStyle name="Normal 7 3 7 2" xfId="37779"/>
    <cellStyle name="Normal 7 3 7 2 2" xfId="37780"/>
    <cellStyle name="Normal 7 3 7 2 2 2" xfId="37781"/>
    <cellStyle name="Normal 7 3 7 2 3" xfId="37782"/>
    <cellStyle name="Normal 7 3 7 2 3 2" xfId="37783"/>
    <cellStyle name="Normal 7 3 7 2 4" xfId="37784"/>
    <cellStyle name="Normal 7 3 7 2 4 2" xfId="37785"/>
    <cellStyle name="Normal 7 3 7 2 5" xfId="37786"/>
    <cellStyle name="Normal 7 3 7 2 6" xfId="37787"/>
    <cellStyle name="Normal 7 3 7 3" xfId="37788"/>
    <cellStyle name="Normal 7 3 7 3 2" xfId="37789"/>
    <cellStyle name="Normal 7 3 7 3 2 2" xfId="37790"/>
    <cellStyle name="Normal 7 3 7 3 3" xfId="37791"/>
    <cellStyle name="Normal 7 3 7 3 3 2" xfId="37792"/>
    <cellStyle name="Normal 7 3 7 3 4" xfId="37793"/>
    <cellStyle name="Normal 7 3 7 3 4 2" xfId="37794"/>
    <cellStyle name="Normal 7 3 7 3 5" xfId="37795"/>
    <cellStyle name="Normal 7 3 7 3 6" xfId="37796"/>
    <cellStyle name="Normal 7 3 7 4" xfId="37797"/>
    <cellStyle name="Normal 7 3 7 4 2" xfId="37798"/>
    <cellStyle name="Normal 7 3 7 4 2 2" xfId="37799"/>
    <cellStyle name="Normal 7 3 7 4 3" xfId="37800"/>
    <cellStyle name="Normal 7 3 7 4 3 2" xfId="37801"/>
    <cellStyle name="Normal 7 3 7 4 4" xfId="37802"/>
    <cellStyle name="Normal 7 3 7 4 4 2" xfId="37803"/>
    <cellStyle name="Normal 7 3 7 4 5" xfId="37804"/>
    <cellStyle name="Normal 7 3 7 4 6" xfId="37805"/>
    <cellStyle name="Normal 7 3 7 5" xfId="37806"/>
    <cellStyle name="Normal 7 3 7 5 2" xfId="37807"/>
    <cellStyle name="Normal 7 3 7 5 2 2" xfId="37808"/>
    <cellStyle name="Normal 7 3 7 5 3" xfId="37809"/>
    <cellStyle name="Normal 7 3 7 5 3 2" xfId="37810"/>
    <cellStyle name="Normal 7 3 7 5 4" xfId="37811"/>
    <cellStyle name="Normal 7 3 7 5 5" xfId="37812"/>
    <cellStyle name="Normal 7 3 7 6" xfId="37813"/>
    <cellStyle name="Normal 7 3 7 6 2" xfId="37814"/>
    <cellStyle name="Normal 7 3 7 7" xfId="37815"/>
    <cellStyle name="Normal 7 3 7 7 2" xfId="37816"/>
    <cellStyle name="Normal 7 3 7 8" xfId="37817"/>
    <cellStyle name="Normal 7 3 7 8 2" xfId="37818"/>
    <cellStyle name="Normal 7 3 7 9" xfId="37819"/>
    <cellStyle name="Normal 7 3 8" xfId="37820"/>
    <cellStyle name="Normal 7 3 8 2" xfId="37821"/>
    <cellStyle name="Normal 7 3 8 2 2" xfId="37822"/>
    <cellStyle name="Normal 7 3 8 3" xfId="37823"/>
    <cellStyle name="Normal 7 3 8 3 2" xfId="37824"/>
    <cellStyle name="Normal 7 3 8 4" xfId="37825"/>
    <cellStyle name="Normal 7 3 8 4 2" xfId="37826"/>
    <cellStyle name="Normal 7 3 8 5" xfId="37827"/>
    <cellStyle name="Normal 7 3 8 6" xfId="37828"/>
    <cellStyle name="Normal 7 3 9" xfId="37829"/>
    <cellStyle name="Normal 7 3 9 2" xfId="37830"/>
    <cellStyle name="Normal 7 3 9 2 2" xfId="37831"/>
    <cellStyle name="Normal 7 3 9 3" xfId="37832"/>
    <cellStyle name="Normal 7 3 9 3 2" xfId="37833"/>
    <cellStyle name="Normal 7 3 9 4" xfId="37834"/>
    <cellStyle name="Normal 7 3 9 4 2" xfId="37835"/>
    <cellStyle name="Normal 7 3 9 5" xfId="37836"/>
    <cellStyle name="Normal 7 3 9 6" xfId="37837"/>
    <cellStyle name="Normal 7 4" xfId="12196"/>
    <cellStyle name="Normal 7 4 10" xfId="37839"/>
    <cellStyle name="Normal 7 4 10 2" xfId="37840"/>
    <cellStyle name="Normal 7 4 11" xfId="37841"/>
    <cellStyle name="Normal 7 4 11 2" xfId="37842"/>
    <cellStyle name="Normal 7 4 12" xfId="37843"/>
    <cellStyle name="Normal 7 4 13" xfId="37844"/>
    <cellStyle name="Normal 7 4 14" xfId="37838"/>
    <cellStyle name="Normal 7 4 2" xfId="12197"/>
    <cellStyle name="Normal 7 4 2 10" xfId="37846"/>
    <cellStyle name="Normal 7 4 2 11" xfId="37847"/>
    <cellStyle name="Normal 7 4 2 12" xfId="37845"/>
    <cellStyle name="Normal 7 4 2 2" xfId="12198"/>
    <cellStyle name="Normal 7 4 2 2 2" xfId="37849"/>
    <cellStyle name="Normal 7 4 2 2 2 2" xfId="37850"/>
    <cellStyle name="Normal 7 4 2 2 3" xfId="37851"/>
    <cellStyle name="Normal 7 4 2 2 3 2" xfId="37852"/>
    <cellStyle name="Normal 7 4 2 2 4" xfId="37853"/>
    <cellStyle name="Normal 7 4 2 2 4 2" xfId="37854"/>
    <cellStyle name="Normal 7 4 2 2 5" xfId="37855"/>
    <cellStyle name="Normal 7 4 2 2 6" xfId="37856"/>
    <cellStyle name="Normal 7 4 2 2 7" xfId="37848"/>
    <cellStyle name="Normal 7 4 2 3" xfId="37857"/>
    <cellStyle name="Normal 7 4 2 3 2" xfId="37858"/>
    <cellStyle name="Normal 7 4 2 3 2 2" xfId="37859"/>
    <cellStyle name="Normal 7 4 2 3 3" xfId="37860"/>
    <cellStyle name="Normal 7 4 2 3 3 2" xfId="37861"/>
    <cellStyle name="Normal 7 4 2 3 4" xfId="37862"/>
    <cellStyle name="Normal 7 4 2 3 4 2" xfId="37863"/>
    <cellStyle name="Normal 7 4 2 3 5" xfId="37864"/>
    <cellStyle name="Normal 7 4 2 3 6" xfId="37865"/>
    <cellStyle name="Normal 7 4 2 4" xfId="37866"/>
    <cellStyle name="Normal 7 4 2 4 2" xfId="37867"/>
    <cellStyle name="Normal 7 4 2 4 2 2" xfId="37868"/>
    <cellStyle name="Normal 7 4 2 4 3" xfId="37869"/>
    <cellStyle name="Normal 7 4 2 4 3 2" xfId="37870"/>
    <cellStyle name="Normal 7 4 2 4 4" xfId="37871"/>
    <cellStyle name="Normal 7 4 2 4 4 2" xfId="37872"/>
    <cellStyle name="Normal 7 4 2 4 5" xfId="37873"/>
    <cellStyle name="Normal 7 4 2 4 6" xfId="37874"/>
    <cellStyle name="Normal 7 4 2 5" xfId="37875"/>
    <cellStyle name="Normal 7 4 2 5 2" xfId="37876"/>
    <cellStyle name="Normal 7 4 2 5 2 2" xfId="37877"/>
    <cellStyle name="Normal 7 4 2 5 3" xfId="37878"/>
    <cellStyle name="Normal 7 4 2 5 3 2" xfId="37879"/>
    <cellStyle name="Normal 7 4 2 5 4" xfId="37880"/>
    <cellStyle name="Normal 7 4 2 5 4 2" xfId="37881"/>
    <cellStyle name="Normal 7 4 2 5 5" xfId="37882"/>
    <cellStyle name="Normal 7 4 2 5 6" xfId="37883"/>
    <cellStyle name="Normal 7 4 2 6" xfId="37884"/>
    <cellStyle name="Normal 7 4 2 6 2" xfId="37885"/>
    <cellStyle name="Normal 7 4 2 6 2 2" xfId="37886"/>
    <cellStyle name="Normal 7 4 2 6 3" xfId="37887"/>
    <cellStyle name="Normal 7 4 2 6 3 2" xfId="37888"/>
    <cellStyle name="Normal 7 4 2 6 4" xfId="37889"/>
    <cellStyle name="Normal 7 4 2 6 5" xfId="37890"/>
    <cellStyle name="Normal 7 4 2 7" xfId="37891"/>
    <cellStyle name="Normal 7 4 2 7 2" xfId="37892"/>
    <cellStyle name="Normal 7 4 2 8" xfId="37893"/>
    <cellStyle name="Normal 7 4 2 8 2" xfId="37894"/>
    <cellStyle name="Normal 7 4 2 9" xfId="37895"/>
    <cellStyle name="Normal 7 4 2 9 2" xfId="37896"/>
    <cellStyle name="Normal 7 4 3" xfId="12199"/>
    <cellStyle name="Normal 7 4 3 10" xfId="37898"/>
    <cellStyle name="Normal 7 4 3 11" xfId="37897"/>
    <cellStyle name="Normal 7 4 3 2" xfId="37899"/>
    <cellStyle name="Normal 7 4 3 2 2" xfId="37900"/>
    <cellStyle name="Normal 7 4 3 2 2 2" xfId="37901"/>
    <cellStyle name="Normal 7 4 3 2 3" xfId="37902"/>
    <cellStyle name="Normal 7 4 3 2 3 2" xfId="37903"/>
    <cellStyle name="Normal 7 4 3 2 4" xfId="37904"/>
    <cellStyle name="Normal 7 4 3 2 4 2" xfId="37905"/>
    <cellStyle name="Normal 7 4 3 2 5" xfId="37906"/>
    <cellStyle name="Normal 7 4 3 2 6" xfId="37907"/>
    <cellStyle name="Normal 7 4 3 3" xfId="37908"/>
    <cellStyle name="Normal 7 4 3 3 2" xfId="37909"/>
    <cellStyle name="Normal 7 4 3 3 2 2" xfId="37910"/>
    <cellStyle name="Normal 7 4 3 3 3" xfId="37911"/>
    <cellStyle name="Normal 7 4 3 3 3 2" xfId="37912"/>
    <cellStyle name="Normal 7 4 3 3 4" xfId="37913"/>
    <cellStyle name="Normal 7 4 3 3 4 2" xfId="37914"/>
    <cellStyle name="Normal 7 4 3 3 5" xfId="37915"/>
    <cellStyle name="Normal 7 4 3 3 6" xfId="37916"/>
    <cellStyle name="Normal 7 4 3 4" xfId="37917"/>
    <cellStyle name="Normal 7 4 3 4 2" xfId="37918"/>
    <cellStyle name="Normal 7 4 3 4 2 2" xfId="37919"/>
    <cellStyle name="Normal 7 4 3 4 3" xfId="37920"/>
    <cellStyle name="Normal 7 4 3 4 3 2" xfId="37921"/>
    <cellStyle name="Normal 7 4 3 4 4" xfId="37922"/>
    <cellStyle name="Normal 7 4 3 4 4 2" xfId="37923"/>
    <cellStyle name="Normal 7 4 3 4 5" xfId="37924"/>
    <cellStyle name="Normal 7 4 3 4 6" xfId="37925"/>
    <cellStyle name="Normal 7 4 3 5" xfId="37926"/>
    <cellStyle name="Normal 7 4 3 5 2" xfId="37927"/>
    <cellStyle name="Normal 7 4 3 5 2 2" xfId="37928"/>
    <cellStyle name="Normal 7 4 3 5 3" xfId="37929"/>
    <cellStyle name="Normal 7 4 3 5 3 2" xfId="37930"/>
    <cellStyle name="Normal 7 4 3 5 4" xfId="37931"/>
    <cellStyle name="Normal 7 4 3 5 5" xfId="37932"/>
    <cellStyle name="Normal 7 4 3 6" xfId="37933"/>
    <cellStyle name="Normal 7 4 3 6 2" xfId="37934"/>
    <cellStyle name="Normal 7 4 3 7" xfId="37935"/>
    <cellStyle name="Normal 7 4 3 7 2" xfId="37936"/>
    <cellStyle name="Normal 7 4 3 8" xfId="37937"/>
    <cellStyle name="Normal 7 4 3 8 2" xfId="37938"/>
    <cellStyle name="Normal 7 4 3 9" xfId="37939"/>
    <cellStyle name="Normal 7 4 4" xfId="12200"/>
    <cellStyle name="Normal 7 4 4 10" xfId="37941"/>
    <cellStyle name="Normal 7 4 4 11" xfId="37940"/>
    <cellStyle name="Normal 7 4 4 2" xfId="37942"/>
    <cellStyle name="Normal 7 4 4 2 2" xfId="37943"/>
    <cellStyle name="Normal 7 4 4 2 2 2" xfId="37944"/>
    <cellStyle name="Normal 7 4 4 2 3" xfId="37945"/>
    <cellStyle name="Normal 7 4 4 2 3 2" xfId="37946"/>
    <cellStyle name="Normal 7 4 4 2 4" xfId="37947"/>
    <cellStyle name="Normal 7 4 4 2 4 2" xfId="37948"/>
    <cellStyle name="Normal 7 4 4 2 5" xfId="37949"/>
    <cellStyle name="Normal 7 4 4 2 6" xfId="37950"/>
    <cellStyle name="Normal 7 4 4 3" xfId="37951"/>
    <cellStyle name="Normal 7 4 4 3 2" xfId="37952"/>
    <cellStyle name="Normal 7 4 4 3 2 2" xfId="37953"/>
    <cellStyle name="Normal 7 4 4 3 3" xfId="37954"/>
    <cellStyle name="Normal 7 4 4 3 3 2" xfId="37955"/>
    <cellStyle name="Normal 7 4 4 3 4" xfId="37956"/>
    <cellStyle name="Normal 7 4 4 3 4 2" xfId="37957"/>
    <cellStyle name="Normal 7 4 4 3 5" xfId="37958"/>
    <cellStyle name="Normal 7 4 4 3 6" xfId="37959"/>
    <cellStyle name="Normal 7 4 4 4" xfId="37960"/>
    <cellStyle name="Normal 7 4 4 4 2" xfId="37961"/>
    <cellStyle name="Normal 7 4 4 4 2 2" xfId="37962"/>
    <cellStyle name="Normal 7 4 4 4 3" xfId="37963"/>
    <cellStyle name="Normal 7 4 4 4 3 2" xfId="37964"/>
    <cellStyle name="Normal 7 4 4 4 4" xfId="37965"/>
    <cellStyle name="Normal 7 4 4 4 4 2" xfId="37966"/>
    <cellStyle name="Normal 7 4 4 4 5" xfId="37967"/>
    <cellStyle name="Normal 7 4 4 4 6" xfId="37968"/>
    <cellStyle name="Normal 7 4 4 5" xfId="37969"/>
    <cellStyle name="Normal 7 4 4 5 2" xfId="37970"/>
    <cellStyle name="Normal 7 4 4 5 2 2" xfId="37971"/>
    <cellStyle name="Normal 7 4 4 5 3" xfId="37972"/>
    <cellStyle name="Normal 7 4 4 5 3 2" xfId="37973"/>
    <cellStyle name="Normal 7 4 4 5 4" xfId="37974"/>
    <cellStyle name="Normal 7 4 4 5 5" xfId="37975"/>
    <cellStyle name="Normal 7 4 4 6" xfId="37976"/>
    <cellStyle name="Normal 7 4 4 6 2" xfId="37977"/>
    <cellStyle name="Normal 7 4 4 7" xfId="37978"/>
    <cellStyle name="Normal 7 4 4 7 2" xfId="37979"/>
    <cellStyle name="Normal 7 4 4 8" xfId="37980"/>
    <cellStyle name="Normal 7 4 4 8 2" xfId="37981"/>
    <cellStyle name="Normal 7 4 4 9" xfId="37982"/>
    <cellStyle name="Normal 7 4 5" xfId="37983"/>
    <cellStyle name="Normal 7 4 5 2" xfId="37984"/>
    <cellStyle name="Normal 7 4 5 2 2" xfId="37985"/>
    <cellStyle name="Normal 7 4 5 3" xfId="37986"/>
    <cellStyle name="Normal 7 4 5 3 2" xfId="37987"/>
    <cellStyle name="Normal 7 4 5 4" xfId="37988"/>
    <cellStyle name="Normal 7 4 5 4 2" xfId="37989"/>
    <cellStyle name="Normal 7 4 5 5" xfId="37990"/>
    <cellStyle name="Normal 7 4 5 6" xfId="37991"/>
    <cellStyle name="Normal 7 4 6" xfId="37992"/>
    <cellStyle name="Normal 7 4 6 2" xfId="37993"/>
    <cellStyle name="Normal 7 4 6 2 2" xfId="37994"/>
    <cellStyle name="Normal 7 4 6 3" xfId="37995"/>
    <cellStyle name="Normal 7 4 6 3 2" xfId="37996"/>
    <cellStyle name="Normal 7 4 6 4" xfId="37997"/>
    <cellStyle name="Normal 7 4 6 4 2" xfId="37998"/>
    <cellStyle name="Normal 7 4 6 5" xfId="37999"/>
    <cellStyle name="Normal 7 4 6 6" xfId="38000"/>
    <cellStyle name="Normal 7 4 7" xfId="38001"/>
    <cellStyle name="Normal 7 4 7 2" xfId="38002"/>
    <cellStyle name="Normal 7 4 7 2 2" xfId="38003"/>
    <cellStyle name="Normal 7 4 7 3" xfId="38004"/>
    <cellStyle name="Normal 7 4 7 3 2" xfId="38005"/>
    <cellStyle name="Normal 7 4 7 4" xfId="38006"/>
    <cellStyle name="Normal 7 4 7 4 2" xfId="38007"/>
    <cellStyle name="Normal 7 4 7 5" xfId="38008"/>
    <cellStyle name="Normal 7 4 7 6" xfId="38009"/>
    <cellStyle name="Normal 7 4 8" xfId="38010"/>
    <cellStyle name="Normal 7 4 8 2" xfId="38011"/>
    <cellStyle name="Normal 7 4 8 2 2" xfId="38012"/>
    <cellStyle name="Normal 7 4 8 3" xfId="38013"/>
    <cellStyle name="Normal 7 4 8 3 2" xfId="38014"/>
    <cellStyle name="Normal 7 4 8 4" xfId="38015"/>
    <cellStyle name="Normal 7 4 8 5" xfId="38016"/>
    <cellStyle name="Normal 7 4 9" xfId="38017"/>
    <cellStyle name="Normal 7 4 9 2" xfId="38018"/>
    <cellStyle name="Normal 7 5" xfId="12201"/>
    <cellStyle name="Normal 7 5 10" xfId="38020"/>
    <cellStyle name="Normal 7 5 10 2" xfId="38021"/>
    <cellStyle name="Normal 7 5 11" xfId="38022"/>
    <cellStyle name="Normal 7 5 11 2" xfId="38023"/>
    <cellStyle name="Normal 7 5 12" xfId="38024"/>
    <cellStyle name="Normal 7 5 13" xfId="38025"/>
    <cellStyle name="Normal 7 5 14" xfId="38019"/>
    <cellStyle name="Normal 7 5 2" xfId="12202"/>
    <cellStyle name="Normal 7 5 2 10" xfId="38027"/>
    <cellStyle name="Normal 7 5 2 11" xfId="38028"/>
    <cellStyle name="Normal 7 5 2 12" xfId="38026"/>
    <cellStyle name="Normal 7 5 2 2" xfId="12203"/>
    <cellStyle name="Normal 7 5 2 2 2" xfId="38030"/>
    <cellStyle name="Normal 7 5 2 2 2 2" xfId="38031"/>
    <cellStyle name="Normal 7 5 2 2 3" xfId="38032"/>
    <cellStyle name="Normal 7 5 2 2 3 2" xfId="38033"/>
    <cellStyle name="Normal 7 5 2 2 4" xfId="38034"/>
    <cellStyle name="Normal 7 5 2 2 4 2" xfId="38035"/>
    <cellStyle name="Normal 7 5 2 2 5" xfId="38036"/>
    <cellStyle name="Normal 7 5 2 2 6" xfId="38037"/>
    <cellStyle name="Normal 7 5 2 2 7" xfId="38029"/>
    <cellStyle name="Normal 7 5 2 3" xfId="38038"/>
    <cellStyle name="Normal 7 5 2 3 2" xfId="38039"/>
    <cellStyle name="Normal 7 5 2 3 2 2" xfId="38040"/>
    <cellStyle name="Normal 7 5 2 3 3" xfId="38041"/>
    <cellStyle name="Normal 7 5 2 3 3 2" xfId="38042"/>
    <cellStyle name="Normal 7 5 2 3 4" xfId="38043"/>
    <cellStyle name="Normal 7 5 2 3 4 2" xfId="38044"/>
    <cellStyle name="Normal 7 5 2 3 5" xfId="38045"/>
    <cellStyle name="Normal 7 5 2 3 6" xfId="38046"/>
    <cellStyle name="Normal 7 5 2 4" xfId="38047"/>
    <cellStyle name="Normal 7 5 2 4 2" xfId="38048"/>
    <cellStyle name="Normal 7 5 2 4 2 2" xfId="38049"/>
    <cellStyle name="Normal 7 5 2 4 3" xfId="38050"/>
    <cellStyle name="Normal 7 5 2 4 3 2" xfId="38051"/>
    <cellStyle name="Normal 7 5 2 4 4" xfId="38052"/>
    <cellStyle name="Normal 7 5 2 4 4 2" xfId="38053"/>
    <cellStyle name="Normal 7 5 2 4 5" xfId="38054"/>
    <cellStyle name="Normal 7 5 2 4 6" xfId="38055"/>
    <cellStyle name="Normal 7 5 2 5" xfId="38056"/>
    <cellStyle name="Normal 7 5 2 5 2" xfId="38057"/>
    <cellStyle name="Normal 7 5 2 5 2 2" xfId="38058"/>
    <cellStyle name="Normal 7 5 2 5 3" xfId="38059"/>
    <cellStyle name="Normal 7 5 2 5 3 2" xfId="38060"/>
    <cellStyle name="Normal 7 5 2 5 4" xfId="38061"/>
    <cellStyle name="Normal 7 5 2 5 4 2" xfId="38062"/>
    <cellStyle name="Normal 7 5 2 5 5" xfId="38063"/>
    <cellStyle name="Normal 7 5 2 5 6" xfId="38064"/>
    <cellStyle name="Normal 7 5 2 6" xfId="38065"/>
    <cellStyle name="Normal 7 5 2 6 2" xfId="38066"/>
    <cellStyle name="Normal 7 5 2 6 2 2" xfId="38067"/>
    <cellStyle name="Normal 7 5 2 6 3" xfId="38068"/>
    <cellStyle name="Normal 7 5 2 6 3 2" xfId="38069"/>
    <cellStyle name="Normal 7 5 2 6 4" xfId="38070"/>
    <cellStyle name="Normal 7 5 2 6 5" xfId="38071"/>
    <cellStyle name="Normal 7 5 2 7" xfId="38072"/>
    <cellStyle name="Normal 7 5 2 7 2" xfId="38073"/>
    <cellStyle name="Normal 7 5 2 8" xfId="38074"/>
    <cellStyle name="Normal 7 5 2 8 2" xfId="38075"/>
    <cellStyle name="Normal 7 5 2 9" xfId="38076"/>
    <cellStyle name="Normal 7 5 2 9 2" xfId="38077"/>
    <cellStyle name="Normal 7 5 3" xfId="12204"/>
    <cellStyle name="Normal 7 5 3 10" xfId="38079"/>
    <cellStyle name="Normal 7 5 3 11" xfId="38078"/>
    <cellStyle name="Normal 7 5 3 2" xfId="38080"/>
    <cellStyle name="Normal 7 5 3 2 2" xfId="38081"/>
    <cellStyle name="Normal 7 5 3 2 2 2" xfId="38082"/>
    <cellStyle name="Normal 7 5 3 2 3" xfId="38083"/>
    <cellStyle name="Normal 7 5 3 2 3 2" xfId="38084"/>
    <cellStyle name="Normal 7 5 3 2 4" xfId="38085"/>
    <cellStyle name="Normal 7 5 3 2 4 2" xfId="38086"/>
    <cellStyle name="Normal 7 5 3 2 5" xfId="38087"/>
    <cellStyle name="Normal 7 5 3 2 6" xfId="38088"/>
    <cellStyle name="Normal 7 5 3 3" xfId="38089"/>
    <cellStyle name="Normal 7 5 3 3 2" xfId="38090"/>
    <cellStyle name="Normal 7 5 3 3 2 2" xfId="38091"/>
    <cellStyle name="Normal 7 5 3 3 3" xfId="38092"/>
    <cellStyle name="Normal 7 5 3 3 3 2" xfId="38093"/>
    <cellStyle name="Normal 7 5 3 3 4" xfId="38094"/>
    <cellStyle name="Normal 7 5 3 3 4 2" xfId="38095"/>
    <cellStyle name="Normal 7 5 3 3 5" xfId="38096"/>
    <cellStyle name="Normal 7 5 3 3 6" xfId="38097"/>
    <cellStyle name="Normal 7 5 3 4" xfId="38098"/>
    <cellStyle name="Normal 7 5 3 4 2" xfId="38099"/>
    <cellStyle name="Normal 7 5 3 4 2 2" xfId="38100"/>
    <cellStyle name="Normal 7 5 3 4 3" xfId="38101"/>
    <cellStyle name="Normal 7 5 3 4 3 2" xfId="38102"/>
    <cellStyle name="Normal 7 5 3 4 4" xfId="38103"/>
    <cellStyle name="Normal 7 5 3 4 4 2" xfId="38104"/>
    <cellStyle name="Normal 7 5 3 4 5" xfId="38105"/>
    <cellStyle name="Normal 7 5 3 4 6" xfId="38106"/>
    <cellStyle name="Normal 7 5 3 5" xfId="38107"/>
    <cellStyle name="Normal 7 5 3 5 2" xfId="38108"/>
    <cellStyle name="Normal 7 5 3 5 2 2" xfId="38109"/>
    <cellStyle name="Normal 7 5 3 5 3" xfId="38110"/>
    <cellStyle name="Normal 7 5 3 5 3 2" xfId="38111"/>
    <cellStyle name="Normal 7 5 3 5 4" xfId="38112"/>
    <cellStyle name="Normal 7 5 3 5 5" xfId="38113"/>
    <cellStyle name="Normal 7 5 3 6" xfId="38114"/>
    <cellStyle name="Normal 7 5 3 6 2" xfId="38115"/>
    <cellStyle name="Normal 7 5 3 7" xfId="38116"/>
    <cellStyle name="Normal 7 5 3 7 2" xfId="38117"/>
    <cellStyle name="Normal 7 5 3 8" xfId="38118"/>
    <cellStyle name="Normal 7 5 3 8 2" xfId="38119"/>
    <cellStyle name="Normal 7 5 3 9" xfId="38120"/>
    <cellStyle name="Normal 7 5 4" xfId="12205"/>
    <cellStyle name="Normal 7 5 4 10" xfId="38122"/>
    <cellStyle name="Normal 7 5 4 11" xfId="38121"/>
    <cellStyle name="Normal 7 5 4 2" xfId="38123"/>
    <cellStyle name="Normal 7 5 4 2 2" xfId="38124"/>
    <cellStyle name="Normal 7 5 4 2 2 2" xfId="38125"/>
    <cellStyle name="Normal 7 5 4 2 3" xfId="38126"/>
    <cellStyle name="Normal 7 5 4 2 3 2" xfId="38127"/>
    <cellStyle name="Normal 7 5 4 2 4" xfId="38128"/>
    <cellStyle name="Normal 7 5 4 2 4 2" xfId="38129"/>
    <cellStyle name="Normal 7 5 4 2 5" xfId="38130"/>
    <cellStyle name="Normal 7 5 4 2 6" xfId="38131"/>
    <cellStyle name="Normal 7 5 4 3" xfId="38132"/>
    <cellStyle name="Normal 7 5 4 3 2" xfId="38133"/>
    <cellStyle name="Normal 7 5 4 3 2 2" xfId="38134"/>
    <cellStyle name="Normal 7 5 4 3 3" xfId="38135"/>
    <cellStyle name="Normal 7 5 4 3 3 2" xfId="38136"/>
    <cellStyle name="Normal 7 5 4 3 4" xfId="38137"/>
    <cellStyle name="Normal 7 5 4 3 4 2" xfId="38138"/>
    <cellStyle name="Normal 7 5 4 3 5" xfId="38139"/>
    <cellStyle name="Normal 7 5 4 3 6" xfId="38140"/>
    <cellStyle name="Normal 7 5 4 4" xfId="38141"/>
    <cellStyle name="Normal 7 5 4 4 2" xfId="38142"/>
    <cellStyle name="Normal 7 5 4 4 2 2" xfId="38143"/>
    <cellStyle name="Normal 7 5 4 4 3" xfId="38144"/>
    <cellStyle name="Normal 7 5 4 4 3 2" xfId="38145"/>
    <cellStyle name="Normal 7 5 4 4 4" xfId="38146"/>
    <cellStyle name="Normal 7 5 4 4 4 2" xfId="38147"/>
    <cellStyle name="Normal 7 5 4 4 5" xfId="38148"/>
    <cellStyle name="Normal 7 5 4 4 6" xfId="38149"/>
    <cellStyle name="Normal 7 5 4 5" xfId="38150"/>
    <cellStyle name="Normal 7 5 4 5 2" xfId="38151"/>
    <cellStyle name="Normal 7 5 4 5 2 2" xfId="38152"/>
    <cellStyle name="Normal 7 5 4 5 3" xfId="38153"/>
    <cellStyle name="Normal 7 5 4 5 3 2" xfId="38154"/>
    <cellStyle name="Normal 7 5 4 5 4" xfId="38155"/>
    <cellStyle name="Normal 7 5 4 5 5" xfId="38156"/>
    <cellStyle name="Normal 7 5 4 6" xfId="38157"/>
    <cellStyle name="Normal 7 5 4 6 2" xfId="38158"/>
    <cellStyle name="Normal 7 5 4 7" xfId="38159"/>
    <cellStyle name="Normal 7 5 4 7 2" xfId="38160"/>
    <cellStyle name="Normal 7 5 4 8" xfId="38161"/>
    <cellStyle name="Normal 7 5 4 8 2" xfId="38162"/>
    <cellStyle name="Normal 7 5 4 9" xfId="38163"/>
    <cellStyle name="Normal 7 5 5" xfId="38164"/>
    <cellStyle name="Normal 7 5 5 2" xfId="38165"/>
    <cellStyle name="Normal 7 5 5 2 2" xfId="38166"/>
    <cellStyle name="Normal 7 5 5 3" xfId="38167"/>
    <cellStyle name="Normal 7 5 5 3 2" xfId="38168"/>
    <cellStyle name="Normal 7 5 5 4" xfId="38169"/>
    <cellStyle name="Normal 7 5 5 4 2" xfId="38170"/>
    <cellStyle name="Normal 7 5 5 5" xfId="38171"/>
    <cellStyle name="Normal 7 5 5 6" xfId="38172"/>
    <cellStyle name="Normal 7 5 6" xfId="38173"/>
    <cellStyle name="Normal 7 5 6 2" xfId="38174"/>
    <cellStyle name="Normal 7 5 6 2 2" xfId="38175"/>
    <cellStyle name="Normal 7 5 6 3" xfId="38176"/>
    <cellStyle name="Normal 7 5 6 3 2" xfId="38177"/>
    <cellStyle name="Normal 7 5 6 4" xfId="38178"/>
    <cellStyle name="Normal 7 5 6 4 2" xfId="38179"/>
    <cellStyle name="Normal 7 5 6 5" xfId="38180"/>
    <cellStyle name="Normal 7 5 6 6" xfId="38181"/>
    <cellStyle name="Normal 7 5 7" xfId="38182"/>
    <cellStyle name="Normal 7 5 7 2" xfId="38183"/>
    <cellStyle name="Normal 7 5 7 2 2" xfId="38184"/>
    <cellStyle name="Normal 7 5 7 3" xfId="38185"/>
    <cellStyle name="Normal 7 5 7 3 2" xfId="38186"/>
    <cellStyle name="Normal 7 5 7 4" xfId="38187"/>
    <cellStyle name="Normal 7 5 7 4 2" xfId="38188"/>
    <cellStyle name="Normal 7 5 7 5" xfId="38189"/>
    <cellStyle name="Normal 7 5 7 6" xfId="38190"/>
    <cellStyle name="Normal 7 5 8" xfId="38191"/>
    <cellStyle name="Normal 7 5 8 2" xfId="38192"/>
    <cellStyle name="Normal 7 5 8 2 2" xfId="38193"/>
    <cellStyle name="Normal 7 5 8 3" xfId="38194"/>
    <cellStyle name="Normal 7 5 8 3 2" xfId="38195"/>
    <cellStyle name="Normal 7 5 8 4" xfId="38196"/>
    <cellStyle name="Normal 7 5 8 5" xfId="38197"/>
    <cellStyle name="Normal 7 5 9" xfId="38198"/>
    <cellStyle name="Normal 7 5 9 2" xfId="38199"/>
    <cellStyle name="Normal 7 6" xfId="12206"/>
    <cellStyle name="Normal 7 6 10" xfId="38201"/>
    <cellStyle name="Normal 7 6 10 2" xfId="38202"/>
    <cellStyle name="Normal 7 6 11" xfId="38203"/>
    <cellStyle name="Normal 7 6 12" xfId="38204"/>
    <cellStyle name="Normal 7 6 13" xfId="38200"/>
    <cellStyle name="Normal 7 6 2" xfId="12207"/>
    <cellStyle name="Normal 7 6 2 10" xfId="38206"/>
    <cellStyle name="Normal 7 6 2 11" xfId="38205"/>
    <cellStyle name="Normal 7 6 2 2" xfId="38207"/>
    <cellStyle name="Normal 7 6 2 2 2" xfId="38208"/>
    <cellStyle name="Normal 7 6 2 2 2 2" xfId="38209"/>
    <cellStyle name="Normal 7 6 2 2 3" xfId="38210"/>
    <cellStyle name="Normal 7 6 2 2 3 2" xfId="38211"/>
    <cellStyle name="Normal 7 6 2 2 4" xfId="38212"/>
    <cellStyle name="Normal 7 6 2 2 4 2" xfId="38213"/>
    <cellStyle name="Normal 7 6 2 2 5" xfId="38214"/>
    <cellStyle name="Normal 7 6 2 2 6" xfId="38215"/>
    <cellStyle name="Normal 7 6 2 3" xfId="38216"/>
    <cellStyle name="Normal 7 6 2 3 2" xfId="38217"/>
    <cellStyle name="Normal 7 6 2 3 2 2" xfId="38218"/>
    <cellStyle name="Normal 7 6 2 3 3" xfId="38219"/>
    <cellStyle name="Normal 7 6 2 3 3 2" xfId="38220"/>
    <cellStyle name="Normal 7 6 2 3 4" xfId="38221"/>
    <cellStyle name="Normal 7 6 2 3 4 2" xfId="38222"/>
    <cellStyle name="Normal 7 6 2 3 5" xfId="38223"/>
    <cellStyle name="Normal 7 6 2 3 6" xfId="38224"/>
    <cellStyle name="Normal 7 6 2 4" xfId="38225"/>
    <cellStyle name="Normal 7 6 2 4 2" xfId="38226"/>
    <cellStyle name="Normal 7 6 2 4 2 2" xfId="38227"/>
    <cellStyle name="Normal 7 6 2 4 3" xfId="38228"/>
    <cellStyle name="Normal 7 6 2 4 3 2" xfId="38229"/>
    <cellStyle name="Normal 7 6 2 4 4" xfId="38230"/>
    <cellStyle name="Normal 7 6 2 4 4 2" xfId="38231"/>
    <cellStyle name="Normal 7 6 2 4 5" xfId="38232"/>
    <cellStyle name="Normal 7 6 2 4 6" xfId="38233"/>
    <cellStyle name="Normal 7 6 2 5" xfId="38234"/>
    <cellStyle name="Normal 7 6 2 5 2" xfId="38235"/>
    <cellStyle name="Normal 7 6 2 5 2 2" xfId="38236"/>
    <cellStyle name="Normal 7 6 2 5 3" xfId="38237"/>
    <cellStyle name="Normal 7 6 2 5 3 2" xfId="38238"/>
    <cellStyle name="Normal 7 6 2 5 4" xfId="38239"/>
    <cellStyle name="Normal 7 6 2 5 5" xfId="38240"/>
    <cellStyle name="Normal 7 6 2 6" xfId="38241"/>
    <cellStyle name="Normal 7 6 2 6 2" xfId="38242"/>
    <cellStyle name="Normal 7 6 2 7" xfId="38243"/>
    <cellStyle name="Normal 7 6 2 7 2" xfId="38244"/>
    <cellStyle name="Normal 7 6 2 8" xfId="38245"/>
    <cellStyle name="Normal 7 6 2 8 2" xfId="38246"/>
    <cellStyle name="Normal 7 6 2 9" xfId="38247"/>
    <cellStyle name="Normal 7 6 3" xfId="38248"/>
    <cellStyle name="Normal 7 6 3 10" xfId="38249"/>
    <cellStyle name="Normal 7 6 3 2" xfId="38250"/>
    <cellStyle name="Normal 7 6 3 2 2" xfId="38251"/>
    <cellStyle name="Normal 7 6 3 2 2 2" xfId="38252"/>
    <cellStyle name="Normal 7 6 3 2 3" xfId="38253"/>
    <cellStyle name="Normal 7 6 3 2 3 2" xfId="38254"/>
    <cellStyle name="Normal 7 6 3 2 4" xfId="38255"/>
    <cellStyle name="Normal 7 6 3 2 4 2" xfId="38256"/>
    <cellStyle name="Normal 7 6 3 2 5" xfId="38257"/>
    <cellStyle name="Normal 7 6 3 2 6" xfId="38258"/>
    <cellStyle name="Normal 7 6 3 3" xfId="38259"/>
    <cellStyle name="Normal 7 6 3 3 2" xfId="38260"/>
    <cellStyle name="Normal 7 6 3 3 2 2" xfId="38261"/>
    <cellStyle name="Normal 7 6 3 3 3" xfId="38262"/>
    <cellStyle name="Normal 7 6 3 3 3 2" xfId="38263"/>
    <cellStyle name="Normal 7 6 3 3 4" xfId="38264"/>
    <cellStyle name="Normal 7 6 3 3 4 2" xfId="38265"/>
    <cellStyle name="Normal 7 6 3 3 5" xfId="38266"/>
    <cellStyle name="Normal 7 6 3 3 6" xfId="38267"/>
    <cellStyle name="Normal 7 6 3 4" xfId="38268"/>
    <cellStyle name="Normal 7 6 3 4 2" xfId="38269"/>
    <cellStyle name="Normal 7 6 3 4 2 2" xfId="38270"/>
    <cellStyle name="Normal 7 6 3 4 3" xfId="38271"/>
    <cellStyle name="Normal 7 6 3 4 3 2" xfId="38272"/>
    <cellStyle name="Normal 7 6 3 4 4" xfId="38273"/>
    <cellStyle name="Normal 7 6 3 4 4 2" xfId="38274"/>
    <cellStyle name="Normal 7 6 3 4 5" xfId="38275"/>
    <cellStyle name="Normal 7 6 3 4 6" xfId="38276"/>
    <cellStyle name="Normal 7 6 3 5" xfId="38277"/>
    <cellStyle name="Normal 7 6 3 5 2" xfId="38278"/>
    <cellStyle name="Normal 7 6 3 5 2 2" xfId="38279"/>
    <cellStyle name="Normal 7 6 3 5 3" xfId="38280"/>
    <cellStyle name="Normal 7 6 3 5 3 2" xfId="38281"/>
    <cellStyle name="Normal 7 6 3 5 4" xfId="38282"/>
    <cellStyle name="Normal 7 6 3 5 5" xfId="38283"/>
    <cellStyle name="Normal 7 6 3 6" xfId="38284"/>
    <cellStyle name="Normal 7 6 3 6 2" xfId="38285"/>
    <cellStyle name="Normal 7 6 3 7" xfId="38286"/>
    <cellStyle name="Normal 7 6 3 7 2" xfId="38287"/>
    <cellStyle name="Normal 7 6 3 8" xfId="38288"/>
    <cellStyle name="Normal 7 6 3 8 2" xfId="38289"/>
    <cellStyle name="Normal 7 6 3 9" xfId="38290"/>
    <cellStyle name="Normal 7 6 4" xfId="38291"/>
    <cellStyle name="Normal 7 6 4 2" xfId="38292"/>
    <cellStyle name="Normal 7 6 4 2 2" xfId="38293"/>
    <cellStyle name="Normal 7 6 4 3" xfId="38294"/>
    <cellStyle name="Normal 7 6 4 3 2" xfId="38295"/>
    <cellStyle name="Normal 7 6 4 4" xfId="38296"/>
    <cellStyle name="Normal 7 6 4 4 2" xfId="38297"/>
    <cellStyle name="Normal 7 6 4 5" xfId="38298"/>
    <cellStyle name="Normal 7 6 4 6" xfId="38299"/>
    <cellStyle name="Normal 7 6 5" xfId="38300"/>
    <cellStyle name="Normal 7 6 5 2" xfId="38301"/>
    <cellStyle name="Normal 7 6 5 2 2" xfId="38302"/>
    <cellStyle name="Normal 7 6 5 3" xfId="38303"/>
    <cellStyle name="Normal 7 6 5 3 2" xfId="38304"/>
    <cellStyle name="Normal 7 6 5 4" xfId="38305"/>
    <cellStyle name="Normal 7 6 5 4 2" xfId="38306"/>
    <cellStyle name="Normal 7 6 5 5" xfId="38307"/>
    <cellStyle name="Normal 7 6 5 6" xfId="38308"/>
    <cellStyle name="Normal 7 6 6" xfId="38309"/>
    <cellStyle name="Normal 7 6 6 2" xfId="38310"/>
    <cellStyle name="Normal 7 6 6 2 2" xfId="38311"/>
    <cellStyle name="Normal 7 6 6 3" xfId="38312"/>
    <cellStyle name="Normal 7 6 6 3 2" xfId="38313"/>
    <cellStyle name="Normal 7 6 6 4" xfId="38314"/>
    <cellStyle name="Normal 7 6 6 4 2" xfId="38315"/>
    <cellStyle name="Normal 7 6 6 5" xfId="38316"/>
    <cellStyle name="Normal 7 6 6 6" xfId="38317"/>
    <cellStyle name="Normal 7 6 7" xfId="38318"/>
    <cellStyle name="Normal 7 6 7 2" xfId="38319"/>
    <cellStyle name="Normal 7 6 7 2 2" xfId="38320"/>
    <cellStyle name="Normal 7 6 7 3" xfId="38321"/>
    <cellStyle name="Normal 7 6 7 3 2" xfId="38322"/>
    <cellStyle name="Normal 7 6 7 4" xfId="38323"/>
    <cellStyle name="Normal 7 6 7 5" xfId="38324"/>
    <cellStyle name="Normal 7 6 8" xfId="38325"/>
    <cellStyle name="Normal 7 6 8 2" xfId="38326"/>
    <cellStyle name="Normal 7 6 9" xfId="38327"/>
    <cellStyle name="Normal 7 6 9 2" xfId="38328"/>
    <cellStyle name="Normal 7 7" xfId="12208"/>
    <cellStyle name="Normal 7 7 10" xfId="38330"/>
    <cellStyle name="Normal 7 7 11" xfId="38331"/>
    <cellStyle name="Normal 7 7 12" xfId="38329"/>
    <cellStyle name="Normal 7 7 2" xfId="38332"/>
    <cellStyle name="Normal 7 7 2 2" xfId="38333"/>
    <cellStyle name="Normal 7 7 2 2 2" xfId="38334"/>
    <cellStyle name="Normal 7 7 2 3" xfId="38335"/>
    <cellStyle name="Normal 7 7 2 3 2" xfId="38336"/>
    <cellStyle name="Normal 7 7 2 4" xfId="38337"/>
    <cellStyle name="Normal 7 7 2 4 2" xfId="38338"/>
    <cellStyle name="Normal 7 7 2 5" xfId="38339"/>
    <cellStyle name="Normal 7 7 2 6" xfId="38340"/>
    <cellStyle name="Normal 7 7 3" xfId="38341"/>
    <cellStyle name="Normal 7 7 3 2" xfId="38342"/>
    <cellStyle name="Normal 7 7 3 2 2" xfId="38343"/>
    <cellStyle name="Normal 7 7 3 3" xfId="38344"/>
    <cellStyle name="Normal 7 7 3 3 2" xfId="38345"/>
    <cellStyle name="Normal 7 7 3 4" xfId="38346"/>
    <cellStyle name="Normal 7 7 3 4 2" xfId="38347"/>
    <cellStyle name="Normal 7 7 3 5" xfId="38348"/>
    <cellStyle name="Normal 7 7 3 6" xfId="38349"/>
    <cellStyle name="Normal 7 7 4" xfId="38350"/>
    <cellStyle name="Normal 7 7 4 2" xfId="38351"/>
    <cellStyle name="Normal 7 7 4 2 2" xfId="38352"/>
    <cellStyle name="Normal 7 7 4 3" xfId="38353"/>
    <cellStyle name="Normal 7 7 4 3 2" xfId="38354"/>
    <cellStyle name="Normal 7 7 4 4" xfId="38355"/>
    <cellStyle name="Normal 7 7 4 4 2" xfId="38356"/>
    <cellStyle name="Normal 7 7 4 5" xfId="38357"/>
    <cellStyle name="Normal 7 7 4 6" xfId="38358"/>
    <cellStyle name="Normal 7 7 5" xfId="38359"/>
    <cellStyle name="Normal 7 7 5 2" xfId="38360"/>
    <cellStyle name="Normal 7 7 5 2 2" xfId="38361"/>
    <cellStyle name="Normal 7 7 5 3" xfId="38362"/>
    <cellStyle name="Normal 7 7 5 3 2" xfId="38363"/>
    <cellStyle name="Normal 7 7 5 4" xfId="38364"/>
    <cellStyle name="Normal 7 7 5 4 2" xfId="38365"/>
    <cellStyle name="Normal 7 7 5 5" xfId="38366"/>
    <cellStyle name="Normal 7 7 5 6" xfId="38367"/>
    <cellStyle name="Normal 7 7 6" xfId="38368"/>
    <cellStyle name="Normal 7 7 6 2" xfId="38369"/>
    <cellStyle name="Normal 7 7 6 2 2" xfId="38370"/>
    <cellStyle name="Normal 7 7 6 3" xfId="38371"/>
    <cellStyle name="Normal 7 7 6 3 2" xfId="38372"/>
    <cellStyle name="Normal 7 7 6 4" xfId="38373"/>
    <cellStyle name="Normal 7 7 6 5" xfId="38374"/>
    <cellStyle name="Normal 7 7 7" xfId="38375"/>
    <cellStyle name="Normal 7 7 7 2" xfId="38376"/>
    <cellStyle name="Normal 7 7 8" xfId="38377"/>
    <cellStyle name="Normal 7 7 8 2" xfId="38378"/>
    <cellStyle name="Normal 7 7 9" xfId="38379"/>
    <cellStyle name="Normal 7 7 9 2" xfId="38380"/>
    <cellStyle name="Normal 7 8" xfId="38381"/>
    <cellStyle name="Normal 7 8 10" xfId="38382"/>
    <cellStyle name="Normal 7 8 2" xfId="38383"/>
    <cellStyle name="Normal 7 8 2 2" xfId="38384"/>
    <cellStyle name="Normal 7 8 2 2 2" xfId="38385"/>
    <cellStyle name="Normal 7 8 2 3" xfId="38386"/>
    <cellStyle name="Normal 7 8 2 3 2" xfId="38387"/>
    <cellStyle name="Normal 7 8 2 4" xfId="38388"/>
    <cellStyle name="Normal 7 8 2 4 2" xfId="38389"/>
    <cellStyle name="Normal 7 8 2 5" xfId="38390"/>
    <cellStyle name="Normal 7 8 2 6" xfId="38391"/>
    <cellStyle name="Normal 7 8 3" xfId="38392"/>
    <cellStyle name="Normal 7 8 3 2" xfId="38393"/>
    <cellStyle name="Normal 7 8 3 2 2" xfId="38394"/>
    <cellStyle name="Normal 7 8 3 3" xfId="38395"/>
    <cellStyle name="Normal 7 8 3 3 2" xfId="38396"/>
    <cellStyle name="Normal 7 8 3 4" xfId="38397"/>
    <cellStyle name="Normal 7 8 3 4 2" xfId="38398"/>
    <cellStyle name="Normal 7 8 3 5" xfId="38399"/>
    <cellStyle name="Normal 7 8 3 6" xfId="38400"/>
    <cellStyle name="Normal 7 8 4" xfId="38401"/>
    <cellStyle name="Normal 7 8 4 2" xfId="38402"/>
    <cellStyle name="Normal 7 8 4 2 2" xfId="38403"/>
    <cellStyle name="Normal 7 8 4 3" xfId="38404"/>
    <cellStyle name="Normal 7 8 4 3 2" xfId="38405"/>
    <cellStyle name="Normal 7 8 4 4" xfId="38406"/>
    <cellStyle name="Normal 7 8 4 4 2" xfId="38407"/>
    <cellStyle name="Normal 7 8 4 5" xfId="38408"/>
    <cellStyle name="Normal 7 8 4 6" xfId="38409"/>
    <cellStyle name="Normal 7 8 5" xfId="38410"/>
    <cellStyle name="Normal 7 8 5 2" xfId="38411"/>
    <cellStyle name="Normal 7 8 5 2 2" xfId="38412"/>
    <cellStyle name="Normal 7 8 5 3" xfId="38413"/>
    <cellStyle name="Normal 7 8 5 3 2" xfId="38414"/>
    <cellStyle name="Normal 7 8 5 4" xfId="38415"/>
    <cellStyle name="Normal 7 8 5 5" xfId="38416"/>
    <cellStyle name="Normal 7 8 6" xfId="38417"/>
    <cellStyle name="Normal 7 8 6 2" xfId="38418"/>
    <cellStyle name="Normal 7 8 7" xfId="38419"/>
    <cellStyle name="Normal 7 8 7 2" xfId="38420"/>
    <cellStyle name="Normal 7 8 8" xfId="38421"/>
    <cellStyle name="Normal 7 8 8 2" xfId="38422"/>
    <cellStyle name="Normal 7 8 9" xfId="38423"/>
    <cellStyle name="Normal 7 9" xfId="38424"/>
    <cellStyle name="Normal 7 9 10" xfId="38425"/>
    <cellStyle name="Normal 7 9 2" xfId="38426"/>
    <cellStyle name="Normal 7 9 2 2" xfId="38427"/>
    <cellStyle name="Normal 7 9 2 2 2" xfId="38428"/>
    <cellStyle name="Normal 7 9 2 3" xfId="38429"/>
    <cellStyle name="Normal 7 9 2 3 2" xfId="38430"/>
    <cellStyle name="Normal 7 9 2 4" xfId="38431"/>
    <cellStyle name="Normal 7 9 2 4 2" xfId="38432"/>
    <cellStyle name="Normal 7 9 2 5" xfId="38433"/>
    <cellStyle name="Normal 7 9 2 6" xfId="38434"/>
    <cellStyle name="Normal 7 9 3" xfId="38435"/>
    <cellStyle name="Normal 7 9 3 2" xfId="38436"/>
    <cellStyle name="Normal 7 9 3 2 2" xfId="38437"/>
    <cellStyle name="Normal 7 9 3 3" xfId="38438"/>
    <cellStyle name="Normal 7 9 3 3 2" xfId="38439"/>
    <cellStyle name="Normal 7 9 3 4" xfId="38440"/>
    <cellStyle name="Normal 7 9 3 4 2" xfId="38441"/>
    <cellStyle name="Normal 7 9 3 5" xfId="38442"/>
    <cellStyle name="Normal 7 9 3 6" xfId="38443"/>
    <cellStyle name="Normal 7 9 4" xfId="38444"/>
    <cellStyle name="Normal 7 9 4 2" xfId="38445"/>
    <cellStyle name="Normal 7 9 4 2 2" xfId="38446"/>
    <cellStyle name="Normal 7 9 4 3" xfId="38447"/>
    <cellStyle name="Normal 7 9 4 3 2" xfId="38448"/>
    <cellStyle name="Normal 7 9 4 4" xfId="38449"/>
    <cellStyle name="Normal 7 9 4 4 2" xfId="38450"/>
    <cellStyle name="Normal 7 9 4 5" xfId="38451"/>
    <cellStyle name="Normal 7 9 4 6" xfId="38452"/>
    <cellStyle name="Normal 7 9 5" xfId="38453"/>
    <cellStyle name="Normal 7 9 5 2" xfId="38454"/>
    <cellStyle name="Normal 7 9 5 2 2" xfId="38455"/>
    <cellStyle name="Normal 7 9 5 3" xfId="38456"/>
    <cellStyle name="Normal 7 9 5 3 2" xfId="38457"/>
    <cellStyle name="Normal 7 9 5 4" xfId="38458"/>
    <cellStyle name="Normal 7 9 5 5" xfId="38459"/>
    <cellStyle name="Normal 7 9 6" xfId="38460"/>
    <cellStyle name="Normal 7 9 6 2" xfId="38461"/>
    <cellStyle name="Normal 7 9 7" xfId="38462"/>
    <cellStyle name="Normal 7 9 7 2" xfId="38463"/>
    <cellStyle name="Normal 7 9 8" xfId="38464"/>
    <cellStyle name="Normal 7 9 8 2" xfId="38465"/>
    <cellStyle name="Normal 7 9 9" xfId="38466"/>
    <cellStyle name="Normal 70" xfId="12209"/>
    <cellStyle name="Normal 70 2" xfId="38467"/>
    <cellStyle name="Normal 71" xfId="12210"/>
    <cellStyle name="Normal 71 2" xfId="38468"/>
    <cellStyle name="Normal 72" xfId="12211"/>
    <cellStyle name="Normal 72 2" xfId="38469"/>
    <cellStyle name="Normal 73" xfId="12212"/>
    <cellStyle name="Normal 73 2" xfId="38470"/>
    <cellStyle name="Normal 74" xfId="12213"/>
    <cellStyle name="Normal 74 2" xfId="38471"/>
    <cellStyle name="Normal 75" xfId="12214"/>
    <cellStyle name="Normal 75 2" xfId="38472"/>
    <cellStyle name="Normal 76" xfId="12215"/>
    <cellStyle name="Normal 76 2" xfId="38473"/>
    <cellStyle name="Normal 77" xfId="12216"/>
    <cellStyle name="Normal 77 2" xfId="38474"/>
    <cellStyle name="Normal 78" xfId="12217"/>
    <cellStyle name="Normal 78 2" xfId="12218"/>
    <cellStyle name="Normal 78 3" xfId="38475"/>
    <cellStyle name="Normal 79" xfId="12219"/>
    <cellStyle name="Normal 79 2" xfId="12220"/>
    <cellStyle name="Normal 79 3" xfId="38476"/>
    <cellStyle name="Normal 8" xfId="7324"/>
    <cellStyle name="Normal 8 10" xfId="7325"/>
    <cellStyle name="Normal 8 10 2" xfId="7326"/>
    <cellStyle name="Normal 8 10 3" xfId="7327"/>
    <cellStyle name="Normal 8 11" xfId="7328"/>
    <cellStyle name="Normal 8 11 2" xfId="7329"/>
    <cellStyle name="Normal 8 12" xfId="7330"/>
    <cellStyle name="Normal 8 12 2" xfId="7331"/>
    <cellStyle name="Normal 8 13" xfId="7332"/>
    <cellStyle name="Normal 8 14" xfId="17681"/>
    <cellStyle name="Normal 8 2" xfId="7333"/>
    <cellStyle name="Normal 8 2 10" xfId="7334"/>
    <cellStyle name="Normal 8 2 10 2" xfId="7335"/>
    <cellStyle name="Normal 8 2 11" xfId="7336"/>
    <cellStyle name="Normal 8 2 12" xfId="38477"/>
    <cellStyle name="Normal 8 2 2" xfId="7337"/>
    <cellStyle name="Normal 8 2 2 2" xfId="7338"/>
    <cellStyle name="Normal 8 2 2 2 2" xfId="7339"/>
    <cellStyle name="Normal 8 2 2 2 2 2" xfId="7340"/>
    <cellStyle name="Normal 8 2 2 2 2 2 2" xfId="7341"/>
    <cellStyle name="Normal 8 2 2 2 2 2 3" xfId="7342"/>
    <cellStyle name="Normal 8 2 2 2 2 3" xfId="7343"/>
    <cellStyle name="Normal 8 2 2 2 2 3 2" xfId="7344"/>
    <cellStyle name="Normal 8 2 2 2 2 4" xfId="7345"/>
    <cellStyle name="Normal 8 2 2 2 2 4 2" xfId="7346"/>
    <cellStyle name="Normal 8 2 2 2 2 5" xfId="7347"/>
    <cellStyle name="Normal 8 2 2 2 3" xfId="7348"/>
    <cellStyle name="Normal 8 2 2 2 3 2" xfId="7349"/>
    <cellStyle name="Normal 8 2 2 2 3 2 2" xfId="7350"/>
    <cellStyle name="Normal 8 2 2 2 3 3" xfId="7351"/>
    <cellStyle name="Normal 8 2 2 2 3 3 2" xfId="7352"/>
    <cellStyle name="Normal 8 2 2 2 3 4" xfId="7353"/>
    <cellStyle name="Normal 8 2 2 2 4" xfId="7354"/>
    <cellStyle name="Normal 8 2 2 2 4 2" xfId="7355"/>
    <cellStyle name="Normal 8 2 2 2 4 3" xfId="7356"/>
    <cellStyle name="Normal 8 2 2 2 5" xfId="7357"/>
    <cellStyle name="Normal 8 2 2 2 5 2" xfId="7358"/>
    <cellStyle name="Normal 8 2 2 2 6" xfId="7359"/>
    <cellStyle name="Normal 8 2 2 2 6 2" xfId="7360"/>
    <cellStyle name="Normal 8 2 2 2 7" xfId="7361"/>
    <cellStyle name="Normal 8 2 2 3" xfId="7362"/>
    <cellStyle name="Normal 8 2 2 3 2" xfId="7363"/>
    <cellStyle name="Normal 8 2 2 3 2 2" xfId="7364"/>
    <cellStyle name="Normal 8 2 2 3 2 3" xfId="7365"/>
    <cellStyle name="Normal 8 2 2 3 3" xfId="7366"/>
    <cellStyle name="Normal 8 2 2 3 3 2" xfId="7367"/>
    <cellStyle name="Normal 8 2 2 3 4" xfId="7368"/>
    <cellStyle name="Normal 8 2 2 3 4 2" xfId="7369"/>
    <cellStyle name="Normal 8 2 2 3 5" xfId="7370"/>
    <cellStyle name="Normal 8 2 2 4" xfId="7371"/>
    <cellStyle name="Normal 8 2 2 4 2" xfId="7372"/>
    <cellStyle name="Normal 8 2 2 4 2 2" xfId="7373"/>
    <cellStyle name="Normal 8 2 2 4 3" xfId="7374"/>
    <cellStyle name="Normal 8 2 2 4 3 2" xfId="7375"/>
    <cellStyle name="Normal 8 2 2 4 4" xfId="7376"/>
    <cellStyle name="Normal 8 2 2 5" xfId="7377"/>
    <cellStyle name="Normal 8 2 2 5 2" xfId="7378"/>
    <cellStyle name="Normal 8 2 2 5 3" xfId="7379"/>
    <cellStyle name="Normal 8 2 2 6" xfId="7380"/>
    <cellStyle name="Normal 8 2 2 6 2" xfId="7381"/>
    <cellStyle name="Normal 8 2 2 7" xfId="7382"/>
    <cellStyle name="Normal 8 2 2 7 2" xfId="7383"/>
    <cellStyle name="Normal 8 2 2 8" xfId="7384"/>
    <cellStyle name="Normal 8 2 3" xfId="7385"/>
    <cellStyle name="Normal 8 2 3 2" xfId="7386"/>
    <cellStyle name="Normal 8 2 3 2 2" xfId="7387"/>
    <cellStyle name="Normal 8 2 3 2 2 2" xfId="7388"/>
    <cellStyle name="Normal 8 2 3 2 2 3" xfId="7389"/>
    <cellStyle name="Normal 8 2 3 2 3" xfId="7390"/>
    <cellStyle name="Normal 8 2 3 2 3 2" xfId="7391"/>
    <cellStyle name="Normal 8 2 3 2 4" xfId="7392"/>
    <cellStyle name="Normal 8 2 3 2 4 2" xfId="7393"/>
    <cellStyle name="Normal 8 2 3 2 5" xfId="7394"/>
    <cellStyle name="Normal 8 2 3 3" xfId="7395"/>
    <cellStyle name="Normal 8 2 3 3 2" xfId="7396"/>
    <cellStyle name="Normal 8 2 3 3 2 2" xfId="7397"/>
    <cellStyle name="Normal 8 2 3 3 3" xfId="7398"/>
    <cellStyle name="Normal 8 2 3 3 3 2" xfId="7399"/>
    <cellStyle name="Normal 8 2 3 3 4" xfId="7400"/>
    <cellStyle name="Normal 8 2 3 4" xfId="7401"/>
    <cellStyle name="Normal 8 2 3 4 2" xfId="7402"/>
    <cellStyle name="Normal 8 2 3 4 3" xfId="7403"/>
    <cellStyle name="Normal 8 2 3 5" xfId="7404"/>
    <cellStyle name="Normal 8 2 3 5 2" xfId="7405"/>
    <cellStyle name="Normal 8 2 3 6" xfId="7406"/>
    <cellStyle name="Normal 8 2 3 6 2" xfId="7407"/>
    <cellStyle name="Normal 8 2 3 7" xfId="7408"/>
    <cellStyle name="Normal 8 2 4" xfId="7409"/>
    <cellStyle name="Normal 8 2 4 2" xfId="7410"/>
    <cellStyle name="Normal 8 2 4 2 2" xfId="7411"/>
    <cellStyle name="Normal 8 2 4 2 2 2" xfId="7412"/>
    <cellStyle name="Normal 8 2 4 2 2 3" xfId="7413"/>
    <cellStyle name="Normal 8 2 4 2 3" xfId="7414"/>
    <cellStyle name="Normal 8 2 4 2 3 2" xfId="7415"/>
    <cellStyle name="Normal 8 2 4 2 4" xfId="7416"/>
    <cellStyle name="Normal 8 2 4 2 4 2" xfId="7417"/>
    <cellStyle name="Normal 8 2 4 2 5" xfId="7418"/>
    <cellStyle name="Normal 8 2 4 3" xfId="7419"/>
    <cellStyle name="Normal 8 2 4 3 2" xfId="7420"/>
    <cellStyle name="Normal 8 2 4 3 2 2" xfId="7421"/>
    <cellStyle name="Normal 8 2 4 3 3" xfId="7422"/>
    <cellStyle name="Normal 8 2 4 3 3 2" xfId="7423"/>
    <cellStyle name="Normal 8 2 4 3 4" xfId="7424"/>
    <cellStyle name="Normal 8 2 4 4" xfId="7425"/>
    <cellStyle name="Normal 8 2 4 4 2" xfId="7426"/>
    <cellStyle name="Normal 8 2 4 4 3" xfId="7427"/>
    <cellStyle name="Normal 8 2 4 5" xfId="7428"/>
    <cellStyle name="Normal 8 2 4 5 2" xfId="7429"/>
    <cellStyle name="Normal 8 2 4 6" xfId="7430"/>
    <cellStyle name="Normal 8 2 4 6 2" xfId="7431"/>
    <cellStyle name="Normal 8 2 4 7" xfId="7432"/>
    <cellStyle name="Normal 8 2 5" xfId="7433"/>
    <cellStyle name="Normal 8 2 5 2" xfId="7434"/>
    <cellStyle name="Normal 8 2 5 2 2" xfId="7435"/>
    <cellStyle name="Normal 8 2 5 2 2 2" xfId="7436"/>
    <cellStyle name="Normal 8 2 5 2 3" xfId="7437"/>
    <cellStyle name="Normal 8 2 5 2 3 2" xfId="7438"/>
    <cellStyle name="Normal 8 2 5 2 4" xfId="7439"/>
    <cellStyle name="Normal 8 2 5 3" xfId="7440"/>
    <cellStyle name="Normal 8 2 5 3 2" xfId="7441"/>
    <cellStyle name="Normal 8 2 5 3 3" xfId="7442"/>
    <cellStyle name="Normal 8 2 5 4" xfId="7443"/>
    <cellStyle name="Normal 8 2 5 4 2" xfId="7444"/>
    <cellStyle name="Normal 8 2 5 5" xfId="7445"/>
    <cellStyle name="Normal 8 2 5 5 2" xfId="7446"/>
    <cellStyle name="Normal 8 2 5 6" xfId="7447"/>
    <cellStyle name="Normal 8 2 6" xfId="7448"/>
    <cellStyle name="Normal 8 2 6 2" xfId="7449"/>
    <cellStyle name="Normal 8 2 6 2 2" xfId="7450"/>
    <cellStyle name="Normal 8 2 6 3" xfId="7451"/>
    <cellStyle name="Normal 8 2 6 3 2" xfId="7452"/>
    <cellStyle name="Normal 8 2 6 4" xfId="7453"/>
    <cellStyle name="Normal 8 2 7" xfId="7454"/>
    <cellStyle name="Normal 8 2 7 2" xfId="7455"/>
    <cellStyle name="Normal 8 2 7 2 2" xfId="7456"/>
    <cellStyle name="Normal 8 2 7 3" xfId="7457"/>
    <cellStyle name="Normal 8 2 7 3 2" xfId="7458"/>
    <cellStyle name="Normal 8 2 7 4" xfId="7459"/>
    <cellStyle name="Normal 8 2 8" xfId="7460"/>
    <cellStyle name="Normal 8 2 8 2" xfId="7461"/>
    <cellStyle name="Normal 8 2 8 3" xfId="7462"/>
    <cellStyle name="Normal 8 2 9" xfId="7463"/>
    <cellStyle name="Normal 8 2 9 2" xfId="7464"/>
    <cellStyle name="Normal 8 3" xfId="7465"/>
    <cellStyle name="Normal 8 3 10" xfId="7466"/>
    <cellStyle name="Normal 8 3 2" xfId="7467"/>
    <cellStyle name="Normal 8 3 2 2" xfId="7468"/>
    <cellStyle name="Normal 8 3 2 2 2" xfId="7469"/>
    <cellStyle name="Normal 8 3 2 2 2 2" xfId="7470"/>
    <cellStyle name="Normal 8 3 2 2 2 3" xfId="7471"/>
    <cellStyle name="Normal 8 3 2 2 3" xfId="7472"/>
    <cellStyle name="Normal 8 3 2 2 3 2" xfId="7473"/>
    <cellStyle name="Normal 8 3 2 2 4" xfId="7474"/>
    <cellStyle name="Normal 8 3 2 2 4 2" xfId="7475"/>
    <cellStyle name="Normal 8 3 2 2 5" xfId="7476"/>
    <cellStyle name="Normal 8 3 2 3" xfId="7477"/>
    <cellStyle name="Normal 8 3 2 3 2" xfId="7478"/>
    <cellStyle name="Normal 8 3 2 3 2 2" xfId="7479"/>
    <cellStyle name="Normal 8 3 2 3 3" xfId="7480"/>
    <cellStyle name="Normal 8 3 2 3 3 2" xfId="7481"/>
    <cellStyle name="Normal 8 3 2 3 4" xfId="7482"/>
    <cellStyle name="Normal 8 3 2 4" xfId="7483"/>
    <cellStyle name="Normal 8 3 2 4 2" xfId="7484"/>
    <cellStyle name="Normal 8 3 2 4 3" xfId="7485"/>
    <cellStyle name="Normal 8 3 2 5" xfId="7486"/>
    <cellStyle name="Normal 8 3 2 5 2" xfId="7487"/>
    <cellStyle name="Normal 8 3 2 6" xfId="7488"/>
    <cellStyle name="Normal 8 3 2 6 2" xfId="7489"/>
    <cellStyle name="Normal 8 3 2 7" xfId="7490"/>
    <cellStyle name="Normal 8 3 3" xfId="7491"/>
    <cellStyle name="Normal 8 3 3 2" xfId="7492"/>
    <cellStyle name="Normal 8 3 3 2 2" xfId="7493"/>
    <cellStyle name="Normal 8 3 3 2 2 2" xfId="7494"/>
    <cellStyle name="Normal 8 3 3 2 2 3" xfId="7495"/>
    <cellStyle name="Normal 8 3 3 2 3" xfId="7496"/>
    <cellStyle name="Normal 8 3 3 2 3 2" xfId="7497"/>
    <cellStyle name="Normal 8 3 3 2 4" xfId="7498"/>
    <cellStyle name="Normal 8 3 3 2 4 2" xfId="7499"/>
    <cellStyle name="Normal 8 3 3 2 5" xfId="7500"/>
    <cellStyle name="Normal 8 3 3 3" xfId="7501"/>
    <cellStyle name="Normal 8 3 3 3 2" xfId="7502"/>
    <cellStyle name="Normal 8 3 3 3 2 2" xfId="7503"/>
    <cellStyle name="Normal 8 3 3 3 3" xfId="7504"/>
    <cellStyle name="Normal 8 3 3 3 3 2" xfId="7505"/>
    <cellStyle name="Normal 8 3 3 3 4" xfId="7506"/>
    <cellStyle name="Normal 8 3 3 4" xfId="7507"/>
    <cellStyle name="Normal 8 3 3 4 2" xfId="7508"/>
    <cellStyle name="Normal 8 3 3 4 3" xfId="7509"/>
    <cellStyle name="Normal 8 3 3 5" xfId="7510"/>
    <cellStyle name="Normal 8 3 3 5 2" xfId="7511"/>
    <cellStyle name="Normal 8 3 3 6" xfId="7512"/>
    <cellStyle name="Normal 8 3 3 6 2" xfId="7513"/>
    <cellStyle name="Normal 8 3 3 7" xfId="7514"/>
    <cellStyle name="Normal 8 3 4" xfId="7515"/>
    <cellStyle name="Normal 8 3 4 2" xfId="7516"/>
    <cellStyle name="Normal 8 3 4 2 2" xfId="7517"/>
    <cellStyle name="Normal 8 3 4 2 2 2" xfId="7518"/>
    <cellStyle name="Normal 8 3 4 2 3" xfId="7519"/>
    <cellStyle name="Normal 8 3 4 2 3 2" xfId="7520"/>
    <cellStyle name="Normal 8 3 4 2 4" xfId="7521"/>
    <cellStyle name="Normal 8 3 4 3" xfId="7522"/>
    <cellStyle name="Normal 8 3 4 3 2" xfId="7523"/>
    <cellStyle name="Normal 8 3 4 3 3" xfId="7524"/>
    <cellStyle name="Normal 8 3 4 4" xfId="7525"/>
    <cellStyle name="Normal 8 3 4 4 2" xfId="7526"/>
    <cellStyle name="Normal 8 3 4 5" xfId="7527"/>
    <cellStyle name="Normal 8 3 4 5 2" xfId="7528"/>
    <cellStyle name="Normal 8 3 4 6" xfId="7529"/>
    <cellStyle name="Normal 8 3 5" xfId="7530"/>
    <cellStyle name="Normal 8 3 5 2" xfId="7531"/>
    <cellStyle name="Normal 8 3 5 2 2" xfId="7532"/>
    <cellStyle name="Normal 8 3 5 3" xfId="7533"/>
    <cellStyle name="Normal 8 3 5 3 2" xfId="7534"/>
    <cellStyle name="Normal 8 3 5 4" xfId="7535"/>
    <cellStyle name="Normal 8 3 6" xfId="7536"/>
    <cellStyle name="Normal 8 3 6 2" xfId="7537"/>
    <cellStyle name="Normal 8 3 6 2 2" xfId="7538"/>
    <cellStyle name="Normal 8 3 6 3" xfId="7539"/>
    <cellStyle name="Normal 8 3 6 3 2" xfId="7540"/>
    <cellStyle name="Normal 8 3 6 4" xfId="7541"/>
    <cellStyle name="Normal 8 3 7" xfId="7542"/>
    <cellStyle name="Normal 8 3 7 2" xfId="7543"/>
    <cellStyle name="Normal 8 3 7 3" xfId="7544"/>
    <cellStyle name="Normal 8 3 8" xfId="7545"/>
    <cellStyle name="Normal 8 3 8 2" xfId="7546"/>
    <cellStyle name="Normal 8 3 9" xfId="7547"/>
    <cellStyle name="Normal 8 3 9 2" xfId="7548"/>
    <cellStyle name="Normal 8 4" xfId="7549"/>
    <cellStyle name="Normal 8 4 2" xfId="7550"/>
    <cellStyle name="Normal 8 4 2 2" xfId="7551"/>
    <cellStyle name="Normal 8 4 2 2 2" xfId="7552"/>
    <cellStyle name="Normal 8 4 2 2 2 2" xfId="7553"/>
    <cellStyle name="Normal 8 4 2 2 2 3" xfId="7554"/>
    <cellStyle name="Normal 8 4 2 2 3" xfId="7555"/>
    <cellStyle name="Normal 8 4 2 2 3 2" xfId="7556"/>
    <cellStyle name="Normal 8 4 2 2 4" xfId="7557"/>
    <cellStyle name="Normal 8 4 2 2 4 2" xfId="7558"/>
    <cellStyle name="Normal 8 4 2 2 5" xfId="7559"/>
    <cellStyle name="Normal 8 4 2 3" xfId="7560"/>
    <cellStyle name="Normal 8 4 2 3 2" xfId="7561"/>
    <cellStyle name="Normal 8 4 2 3 2 2" xfId="7562"/>
    <cellStyle name="Normal 8 4 2 3 3" xfId="7563"/>
    <cellStyle name="Normal 8 4 2 3 3 2" xfId="7564"/>
    <cellStyle name="Normal 8 4 2 3 4" xfId="7565"/>
    <cellStyle name="Normal 8 4 2 4" xfId="7566"/>
    <cellStyle name="Normal 8 4 2 4 2" xfId="7567"/>
    <cellStyle name="Normal 8 4 2 4 3" xfId="7568"/>
    <cellStyle name="Normal 8 4 2 5" xfId="7569"/>
    <cellStyle name="Normal 8 4 2 5 2" xfId="7570"/>
    <cellStyle name="Normal 8 4 2 6" xfId="7571"/>
    <cellStyle name="Normal 8 4 2 6 2" xfId="7572"/>
    <cellStyle name="Normal 8 4 2 7" xfId="7573"/>
    <cellStyle name="Normal 8 4 3" xfId="7574"/>
    <cellStyle name="Normal 8 4 3 2" xfId="7575"/>
    <cellStyle name="Normal 8 4 3 2 2" xfId="7576"/>
    <cellStyle name="Normal 8 4 3 2 3" xfId="7577"/>
    <cellStyle name="Normal 8 4 3 3" xfId="7578"/>
    <cellStyle name="Normal 8 4 3 3 2" xfId="7579"/>
    <cellStyle name="Normal 8 4 3 4" xfId="7580"/>
    <cellStyle name="Normal 8 4 3 4 2" xfId="7581"/>
    <cellStyle name="Normal 8 4 3 5" xfId="7582"/>
    <cellStyle name="Normal 8 4 4" xfId="7583"/>
    <cellStyle name="Normal 8 4 4 2" xfId="7584"/>
    <cellStyle name="Normal 8 4 4 2 2" xfId="7585"/>
    <cellStyle name="Normal 8 4 4 3" xfId="7586"/>
    <cellStyle name="Normal 8 4 4 3 2" xfId="7587"/>
    <cellStyle name="Normal 8 4 4 4" xfId="7588"/>
    <cellStyle name="Normal 8 4 5" xfId="7589"/>
    <cellStyle name="Normal 8 4 5 2" xfId="7590"/>
    <cellStyle name="Normal 8 4 5 3" xfId="7591"/>
    <cellStyle name="Normal 8 4 6" xfId="7592"/>
    <cellStyle name="Normal 8 4 6 2" xfId="7593"/>
    <cellStyle name="Normal 8 4 7" xfId="7594"/>
    <cellStyle name="Normal 8 4 7 2" xfId="7595"/>
    <cellStyle name="Normal 8 4 8" xfId="7596"/>
    <cellStyle name="Normal 8 5" xfId="7597"/>
    <cellStyle name="Normal 8 5 2" xfId="7598"/>
    <cellStyle name="Normal 8 5 2 2" xfId="7599"/>
    <cellStyle name="Normal 8 5 2 2 2" xfId="7600"/>
    <cellStyle name="Normal 8 5 2 2 3" xfId="7601"/>
    <cellStyle name="Normal 8 5 2 3" xfId="7602"/>
    <cellStyle name="Normal 8 5 2 3 2" xfId="7603"/>
    <cellStyle name="Normal 8 5 2 4" xfId="7604"/>
    <cellStyle name="Normal 8 5 2 4 2" xfId="7605"/>
    <cellStyle name="Normal 8 5 2 5" xfId="7606"/>
    <cellStyle name="Normal 8 5 3" xfId="7607"/>
    <cellStyle name="Normal 8 5 3 2" xfId="7608"/>
    <cellStyle name="Normal 8 5 3 2 2" xfId="7609"/>
    <cellStyle name="Normal 8 5 3 3" xfId="7610"/>
    <cellStyle name="Normal 8 5 3 3 2" xfId="7611"/>
    <cellStyle name="Normal 8 5 3 4" xfId="7612"/>
    <cellStyle name="Normal 8 5 4" xfId="7613"/>
    <cellStyle name="Normal 8 5 4 2" xfId="7614"/>
    <cellStyle name="Normal 8 5 4 3" xfId="7615"/>
    <cellStyle name="Normal 8 5 5" xfId="7616"/>
    <cellStyle name="Normal 8 5 5 2" xfId="7617"/>
    <cellStyle name="Normal 8 5 6" xfId="7618"/>
    <cellStyle name="Normal 8 5 6 2" xfId="7619"/>
    <cellStyle name="Normal 8 5 7" xfId="7620"/>
    <cellStyle name="Normal 8 6" xfId="7621"/>
    <cellStyle name="Normal 8 6 2" xfId="7622"/>
    <cellStyle name="Normal 8 6 2 2" xfId="7623"/>
    <cellStyle name="Normal 8 6 2 2 2" xfId="7624"/>
    <cellStyle name="Normal 8 6 2 2 3" xfId="7625"/>
    <cellStyle name="Normal 8 6 2 3" xfId="7626"/>
    <cellStyle name="Normal 8 6 2 3 2" xfId="7627"/>
    <cellStyle name="Normal 8 6 2 4" xfId="7628"/>
    <cellStyle name="Normal 8 6 2 4 2" xfId="7629"/>
    <cellStyle name="Normal 8 6 2 5" xfId="7630"/>
    <cellStyle name="Normal 8 6 3" xfId="7631"/>
    <cellStyle name="Normal 8 6 3 2" xfId="7632"/>
    <cellStyle name="Normal 8 6 3 2 2" xfId="7633"/>
    <cellStyle name="Normal 8 6 3 3" xfId="7634"/>
    <cellStyle name="Normal 8 6 3 3 2" xfId="7635"/>
    <cellStyle name="Normal 8 6 3 4" xfId="7636"/>
    <cellStyle name="Normal 8 6 4" xfId="7637"/>
    <cellStyle name="Normal 8 6 4 2" xfId="7638"/>
    <cellStyle name="Normal 8 6 4 3" xfId="7639"/>
    <cellStyle name="Normal 8 6 5" xfId="7640"/>
    <cellStyle name="Normal 8 6 5 2" xfId="7641"/>
    <cellStyle name="Normal 8 6 6" xfId="7642"/>
    <cellStyle name="Normal 8 6 6 2" xfId="7643"/>
    <cellStyle name="Normal 8 6 7" xfId="7644"/>
    <cellStyle name="Normal 8 7" xfId="7645"/>
    <cellStyle name="Normal 8 7 2" xfId="7646"/>
    <cellStyle name="Normal 8 7 2 2" xfId="7647"/>
    <cellStyle name="Normal 8 7 2 2 2" xfId="7648"/>
    <cellStyle name="Normal 8 7 2 3" xfId="7649"/>
    <cellStyle name="Normal 8 7 2 3 2" xfId="7650"/>
    <cellStyle name="Normal 8 7 2 4" xfId="7651"/>
    <cellStyle name="Normal 8 7 3" xfId="7652"/>
    <cellStyle name="Normal 8 7 3 2" xfId="7653"/>
    <cellStyle name="Normal 8 7 3 3" xfId="7654"/>
    <cellStyle name="Normal 8 7 4" xfId="7655"/>
    <cellStyle name="Normal 8 7 4 2" xfId="7656"/>
    <cellStyle name="Normal 8 7 5" xfId="7657"/>
    <cellStyle name="Normal 8 7 5 2" xfId="7658"/>
    <cellStyle name="Normal 8 7 6" xfId="7659"/>
    <cellStyle name="Normal 8 8" xfId="7660"/>
    <cellStyle name="Normal 8 8 2" xfId="7661"/>
    <cellStyle name="Normal 8 8 2 2" xfId="7662"/>
    <cellStyle name="Normal 8 8 3" xfId="7663"/>
    <cellStyle name="Normal 8 8 3 2" xfId="7664"/>
    <cellStyle name="Normal 8 8 4" xfId="7665"/>
    <cellStyle name="Normal 8 9" xfId="7666"/>
    <cellStyle name="Normal 8 9 2" xfId="7667"/>
    <cellStyle name="Normal 8 9 2 2" xfId="7668"/>
    <cellStyle name="Normal 8 9 3" xfId="7669"/>
    <cellStyle name="Normal 8 9 3 2" xfId="7670"/>
    <cellStyle name="Normal 8 9 4" xfId="7671"/>
    <cellStyle name="Normal 80" xfId="12221"/>
    <cellStyle name="Normal 80 2" xfId="12222"/>
    <cellStyle name="Normal 80 3" xfId="38478"/>
    <cellStyle name="Normal 81" xfId="12223"/>
    <cellStyle name="Normal 81 2" xfId="12224"/>
    <cellStyle name="Normal 81 3" xfId="38479"/>
    <cellStyle name="Normal 82" xfId="12225"/>
    <cellStyle name="Normal 82 2" xfId="12226"/>
    <cellStyle name="Normal 82 3" xfId="38480"/>
    <cellStyle name="Normal 83" xfId="12227"/>
    <cellStyle name="Normal 83 2" xfId="12228"/>
    <cellStyle name="Normal 83 3" xfId="38481"/>
    <cellStyle name="Normal 84" xfId="12229"/>
    <cellStyle name="Normal 84 2" xfId="38482"/>
    <cellStyle name="Normal 85" xfId="12230"/>
    <cellStyle name="Normal 85 2" xfId="38483"/>
    <cellStyle name="Normal 86" xfId="12231"/>
    <cellStyle name="Normal 86 2" xfId="43977"/>
    <cellStyle name="Normal 87" xfId="12232"/>
    <cellStyle name="Normal 88" xfId="12233"/>
    <cellStyle name="Normal 89" xfId="12234"/>
    <cellStyle name="Normal 9" xfId="7672"/>
    <cellStyle name="Normal 9 10" xfId="7673"/>
    <cellStyle name="Normal 9 10 2" xfId="7674"/>
    <cellStyle name="Normal 9 10 2 2" xfId="38487"/>
    <cellStyle name="Normal 9 10 2 3" xfId="38486"/>
    <cellStyle name="Normal 9 10 3" xfId="38488"/>
    <cellStyle name="Normal 9 10 3 2" xfId="38489"/>
    <cellStyle name="Normal 9 10 4" xfId="38490"/>
    <cellStyle name="Normal 9 10 4 2" xfId="38491"/>
    <cellStyle name="Normal 9 10 5" xfId="38492"/>
    <cellStyle name="Normal 9 10 6" xfId="38493"/>
    <cellStyle name="Normal 9 10 7" xfId="38485"/>
    <cellStyle name="Normal 9 11" xfId="7675"/>
    <cellStyle name="Normal 9 11 2" xfId="38495"/>
    <cellStyle name="Normal 9 11 2 2" xfId="38496"/>
    <cellStyle name="Normal 9 11 3" xfId="38497"/>
    <cellStyle name="Normal 9 11 3 2" xfId="38498"/>
    <cellStyle name="Normal 9 11 4" xfId="38499"/>
    <cellStyle name="Normal 9 11 5" xfId="38500"/>
    <cellStyle name="Normal 9 11 6" xfId="38494"/>
    <cellStyle name="Normal 9 12" xfId="38501"/>
    <cellStyle name="Normal 9 12 2" xfId="38502"/>
    <cellStyle name="Normal 9 13" xfId="38503"/>
    <cellStyle name="Normal 9 13 2" xfId="38504"/>
    <cellStyle name="Normal 9 14" xfId="38505"/>
    <cellStyle name="Normal 9 14 2" xfId="38506"/>
    <cellStyle name="Normal 9 15" xfId="38507"/>
    <cellStyle name="Normal 9 16" xfId="38508"/>
    <cellStyle name="Normal 9 17" xfId="38509"/>
    <cellStyle name="Normal 9 18" xfId="38484"/>
    <cellStyle name="Normal 9 2" xfId="7676"/>
    <cellStyle name="Normal 9 2 10" xfId="38511"/>
    <cellStyle name="Normal 9 2 10 2" xfId="38512"/>
    <cellStyle name="Normal 9 2 11" xfId="38513"/>
    <cellStyle name="Normal 9 2 11 2" xfId="38514"/>
    <cellStyle name="Normal 9 2 12" xfId="38515"/>
    <cellStyle name="Normal 9 2 13" xfId="38516"/>
    <cellStyle name="Normal 9 2 14" xfId="38517"/>
    <cellStyle name="Normal 9 2 15" xfId="38510"/>
    <cellStyle name="Normal 9 2 2" xfId="7677"/>
    <cellStyle name="Normal 9 2 2 10" xfId="38519"/>
    <cellStyle name="Normal 9 2 2 11" xfId="38520"/>
    <cellStyle name="Normal 9 2 2 12" xfId="38518"/>
    <cellStyle name="Normal 9 2 2 2" xfId="7678"/>
    <cellStyle name="Normal 9 2 2 2 2" xfId="7679"/>
    <cellStyle name="Normal 9 2 2 2 2 2" xfId="7680"/>
    <cellStyle name="Normal 9 2 2 2 2 2 2" xfId="38523"/>
    <cellStyle name="Normal 9 2 2 2 2 3" xfId="7681"/>
    <cellStyle name="Normal 9 2 2 2 2 4" xfId="38522"/>
    <cellStyle name="Normal 9 2 2 2 3" xfId="7682"/>
    <cellStyle name="Normal 9 2 2 2 3 2" xfId="7683"/>
    <cellStyle name="Normal 9 2 2 2 3 2 2" xfId="38525"/>
    <cellStyle name="Normal 9 2 2 2 3 3" xfId="38524"/>
    <cellStyle name="Normal 9 2 2 2 4" xfId="7684"/>
    <cellStyle name="Normal 9 2 2 2 4 2" xfId="7685"/>
    <cellStyle name="Normal 9 2 2 2 4 2 2" xfId="38527"/>
    <cellStyle name="Normal 9 2 2 2 4 3" xfId="38526"/>
    <cellStyle name="Normal 9 2 2 2 5" xfId="7686"/>
    <cellStyle name="Normal 9 2 2 2 5 2" xfId="38528"/>
    <cellStyle name="Normal 9 2 2 2 6" xfId="38529"/>
    <cellStyle name="Normal 9 2 2 2 7" xfId="38521"/>
    <cellStyle name="Normal 9 2 2 3" xfId="7687"/>
    <cellStyle name="Normal 9 2 2 3 2" xfId="7688"/>
    <cellStyle name="Normal 9 2 2 3 2 2" xfId="7689"/>
    <cellStyle name="Normal 9 2 2 3 2 2 2" xfId="38532"/>
    <cellStyle name="Normal 9 2 2 3 2 3" xfId="38531"/>
    <cellStyle name="Normal 9 2 2 3 3" xfId="7690"/>
    <cellStyle name="Normal 9 2 2 3 3 2" xfId="7691"/>
    <cellStyle name="Normal 9 2 2 3 3 2 2" xfId="38534"/>
    <cellStyle name="Normal 9 2 2 3 3 3" xfId="38533"/>
    <cellStyle name="Normal 9 2 2 3 4" xfId="7692"/>
    <cellStyle name="Normal 9 2 2 3 4 2" xfId="38536"/>
    <cellStyle name="Normal 9 2 2 3 4 3" xfId="38535"/>
    <cellStyle name="Normal 9 2 2 3 5" xfId="38537"/>
    <cellStyle name="Normal 9 2 2 3 6" xfId="38538"/>
    <cellStyle name="Normal 9 2 2 3 7" xfId="38530"/>
    <cellStyle name="Normal 9 2 2 4" xfId="7693"/>
    <cellStyle name="Normal 9 2 2 4 2" xfId="7694"/>
    <cellStyle name="Normal 9 2 2 4 2 2" xfId="38541"/>
    <cellStyle name="Normal 9 2 2 4 2 3" xfId="38540"/>
    <cellStyle name="Normal 9 2 2 4 3" xfId="7695"/>
    <cellStyle name="Normal 9 2 2 4 3 2" xfId="38543"/>
    <cellStyle name="Normal 9 2 2 4 3 3" xfId="38542"/>
    <cellStyle name="Normal 9 2 2 4 4" xfId="38544"/>
    <cellStyle name="Normal 9 2 2 4 4 2" xfId="38545"/>
    <cellStyle name="Normal 9 2 2 4 5" xfId="38546"/>
    <cellStyle name="Normal 9 2 2 4 6" xfId="38547"/>
    <cellStyle name="Normal 9 2 2 4 7" xfId="38539"/>
    <cellStyle name="Normal 9 2 2 5" xfId="7696"/>
    <cellStyle name="Normal 9 2 2 5 2" xfId="7697"/>
    <cellStyle name="Normal 9 2 2 5 2 2" xfId="38550"/>
    <cellStyle name="Normal 9 2 2 5 2 3" xfId="38549"/>
    <cellStyle name="Normal 9 2 2 5 3" xfId="38551"/>
    <cellStyle name="Normal 9 2 2 5 3 2" xfId="38552"/>
    <cellStyle name="Normal 9 2 2 5 4" xfId="38553"/>
    <cellStyle name="Normal 9 2 2 5 4 2" xfId="38554"/>
    <cellStyle name="Normal 9 2 2 5 5" xfId="38555"/>
    <cellStyle name="Normal 9 2 2 5 6" xfId="38556"/>
    <cellStyle name="Normal 9 2 2 5 7" xfId="38548"/>
    <cellStyle name="Normal 9 2 2 6" xfId="7698"/>
    <cellStyle name="Normal 9 2 2 6 2" xfId="7699"/>
    <cellStyle name="Normal 9 2 2 6 2 2" xfId="38559"/>
    <cellStyle name="Normal 9 2 2 6 2 3" xfId="38558"/>
    <cellStyle name="Normal 9 2 2 6 3" xfId="38560"/>
    <cellStyle name="Normal 9 2 2 6 3 2" xfId="38561"/>
    <cellStyle name="Normal 9 2 2 6 4" xfId="38562"/>
    <cellStyle name="Normal 9 2 2 6 5" xfId="38563"/>
    <cellStyle name="Normal 9 2 2 6 6" xfId="38557"/>
    <cellStyle name="Normal 9 2 2 7" xfId="7700"/>
    <cellStyle name="Normal 9 2 2 7 2" xfId="38565"/>
    <cellStyle name="Normal 9 2 2 7 3" xfId="38564"/>
    <cellStyle name="Normal 9 2 2 8" xfId="38566"/>
    <cellStyle name="Normal 9 2 2 8 2" xfId="38567"/>
    <cellStyle name="Normal 9 2 2 9" xfId="38568"/>
    <cellStyle name="Normal 9 2 2 9 2" xfId="38569"/>
    <cellStyle name="Normal 9 2 3" xfId="7701"/>
    <cellStyle name="Normal 9 2 3 10" xfId="38571"/>
    <cellStyle name="Normal 9 2 3 11" xfId="38570"/>
    <cellStyle name="Normal 9 2 3 2" xfId="7702"/>
    <cellStyle name="Normal 9 2 3 2 2" xfId="7703"/>
    <cellStyle name="Normal 9 2 3 2 2 2" xfId="38574"/>
    <cellStyle name="Normal 9 2 3 2 2 3" xfId="38573"/>
    <cellStyle name="Normal 9 2 3 2 3" xfId="7704"/>
    <cellStyle name="Normal 9 2 3 2 3 2" xfId="38576"/>
    <cellStyle name="Normal 9 2 3 2 3 3" xfId="38575"/>
    <cellStyle name="Normal 9 2 3 2 4" xfId="38577"/>
    <cellStyle name="Normal 9 2 3 2 4 2" xfId="38578"/>
    <cellStyle name="Normal 9 2 3 2 5" xfId="38579"/>
    <cellStyle name="Normal 9 2 3 2 6" xfId="38580"/>
    <cellStyle name="Normal 9 2 3 2 7" xfId="38572"/>
    <cellStyle name="Normal 9 2 3 3" xfId="7705"/>
    <cellStyle name="Normal 9 2 3 3 2" xfId="7706"/>
    <cellStyle name="Normal 9 2 3 3 2 2" xfId="38583"/>
    <cellStyle name="Normal 9 2 3 3 2 3" xfId="38582"/>
    <cellStyle name="Normal 9 2 3 3 3" xfId="38584"/>
    <cellStyle name="Normal 9 2 3 3 3 2" xfId="38585"/>
    <cellStyle name="Normal 9 2 3 3 4" xfId="38586"/>
    <cellStyle name="Normal 9 2 3 3 4 2" xfId="38587"/>
    <cellStyle name="Normal 9 2 3 3 5" xfId="38588"/>
    <cellStyle name="Normal 9 2 3 3 6" xfId="38589"/>
    <cellStyle name="Normal 9 2 3 3 7" xfId="38581"/>
    <cellStyle name="Normal 9 2 3 4" xfId="7707"/>
    <cellStyle name="Normal 9 2 3 4 2" xfId="7708"/>
    <cellStyle name="Normal 9 2 3 4 2 2" xfId="38592"/>
    <cellStyle name="Normal 9 2 3 4 2 3" xfId="38591"/>
    <cellStyle name="Normal 9 2 3 4 3" xfId="38593"/>
    <cellStyle name="Normal 9 2 3 4 3 2" xfId="38594"/>
    <cellStyle name="Normal 9 2 3 4 4" xfId="38595"/>
    <cellStyle name="Normal 9 2 3 4 4 2" xfId="38596"/>
    <cellStyle name="Normal 9 2 3 4 5" xfId="38597"/>
    <cellStyle name="Normal 9 2 3 4 6" xfId="38598"/>
    <cellStyle name="Normal 9 2 3 4 7" xfId="38590"/>
    <cellStyle name="Normal 9 2 3 5" xfId="7709"/>
    <cellStyle name="Normal 9 2 3 5 2" xfId="38600"/>
    <cellStyle name="Normal 9 2 3 5 2 2" xfId="38601"/>
    <cellStyle name="Normal 9 2 3 5 3" xfId="38602"/>
    <cellStyle name="Normal 9 2 3 5 3 2" xfId="38603"/>
    <cellStyle name="Normal 9 2 3 5 4" xfId="38604"/>
    <cellStyle name="Normal 9 2 3 5 5" xfId="38605"/>
    <cellStyle name="Normal 9 2 3 5 6" xfId="38599"/>
    <cellStyle name="Normal 9 2 3 6" xfId="38606"/>
    <cellStyle name="Normal 9 2 3 6 2" xfId="38607"/>
    <cellStyle name="Normal 9 2 3 7" xfId="38608"/>
    <cellStyle name="Normal 9 2 3 7 2" xfId="38609"/>
    <cellStyle name="Normal 9 2 3 8" xfId="38610"/>
    <cellStyle name="Normal 9 2 3 8 2" xfId="38611"/>
    <cellStyle name="Normal 9 2 3 9" xfId="38612"/>
    <cellStyle name="Normal 9 2 4" xfId="7710"/>
    <cellStyle name="Normal 9 2 4 10" xfId="38614"/>
    <cellStyle name="Normal 9 2 4 11" xfId="38613"/>
    <cellStyle name="Normal 9 2 4 2" xfId="7711"/>
    <cellStyle name="Normal 9 2 4 2 2" xfId="7712"/>
    <cellStyle name="Normal 9 2 4 2 2 2" xfId="38617"/>
    <cellStyle name="Normal 9 2 4 2 2 3" xfId="38616"/>
    <cellStyle name="Normal 9 2 4 2 3" xfId="38618"/>
    <cellStyle name="Normal 9 2 4 2 3 2" xfId="38619"/>
    <cellStyle name="Normal 9 2 4 2 4" xfId="38620"/>
    <cellStyle name="Normal 9 2 4 2 4 2" xfId="38621"/>
    <cellStyle name="Normal 9 2 4 2 5" xfId="38622"/>
    <cellStyle name="Normal 9 2 4 2 6" xfId="38623"/>
    <cellStyle name="Normal 9 2 4 2 7" xfId="38615"/>
    <cellStyle name="Normal 9 2 4 3" xfId="7713"/>
    <cellStyle name="Normal 9 2 4 3 2" xfId="7714"/>
    <cellStyle name="Normal 9 2 4 3 2 2" xfId="38626"/>
    <cellStyle name="Normal 9 2 4 3 2 3" xfId="38625"/>
    <cellStyle name="Normal 9 2 4 3 3" xfId="38627"/>
    <cellStyle name="Normal 9 2 4 3 3 2" xfId="38628"/>
    <cellStyle name="Normal 9 2 4 3 4" xfId="38629"/>
    <cellStyle name="Normal 9 2 4 3 4 2" xfId="38630"/>
    <cellStyle name="Normal 9 2 4 3 5" xfId="38631"/>
    <cellStyle name="Normal 9 2 4 3 6" xfId="38632"/>
    <cellStyle name="Normal 9 2 4 3 7" xfId="38624"/>
    <cellStyle name="Normal 9 2 4 4" xfId="7715"/>
    <cellStyle name="Normal 9 2 4 4 2" xfId="38634"/>
    <cellStyle name="Normal 9 2 4 4 2 2" xfId="38635"/>
    <cellStyle name="Normal 9 2 4 4 3" xfId="38636"/>
    <cellStyle name="Normal 9 2 4 4 3 2" xfId="38637"/>
    <cellStyle name="Normal 9 2 4 4 4" xfId="38638"/>
    <cellStyle name="Normal 9 2 4 4 4 2" xfId="38639"/>
    <cellStyle name="Normal 9 2 4 4 5" xfId="38640"/>
    <cellStyle name="Normal 9 2 4 4 6" xfId="38641"/>
    <cellStyle name="Normal 9 2 4 4 7" xfId="38633"/>
    <cellStyle name="Normal 9 2 4 5" xfId="38642"/>
    <cellStyle name="Normal 9 2 4 5 2" xfId="38643"/>
    <cellStyle name="Normal 9 2 4 5 2 2" xfId="38644"/>
    <cellStyle name="Normal 9 2 4 5 3" xfId="38645"/>
    <cellStyle name="Normal 9 2 4 5 3 2" xfId="38646"/>
    <cellStyle name="Normal 9 2 4 5 4" xfId="38647"/>
    <cellStyle name="Normal 9 2 4 5 5" xfId="38648"/>
    <cellStyle name="Normal 9 2 4 6" xfId="38649"/>
    <cellStyle name="Normal 9 2 4 6 2" xfId="38650"/>
    <cellStyle name="Normal 9 2 4 7" xfId="38651"/>
    <cellStyle name="Normal 9 2 4 7 2" xfId="38652"/>
    <cellStyle name="Normal 9 2 4 8" xfId="38653"/>
    <cellStyle name="Normal 9 2 4 8 2" xfId="38654"/>
    <cellStyle name="Normal 9 2 4 9" xfId="38655"/>
    <cellStyle name="Normal 9 2 5" xfId="7716"/>
    <cellStyle name="Normal 9 2 5 2" xfId="7717"/>
    <cellStyle name="Normal 9 2 5 2 2" xfId="38658"/>
    <cellStyle name="Normal 9 2 5 2 3" xfId="38657"/>
    <cellStyle name="Normal 9 2 5 3" xfId="7718"/>
    <cellStyle name="Normal 9 2 5 3 2" xfId="38660"/>
    <cellStyle name="Normal 9 2 5 3 3" xfId="38659"/>
    <cellStyle name="Normal 9 2 5 4" xfId="38661"/>
    <cellStyle name="Normal 9 2 5 4 2" xfId="38662"/>
    <cellStyle name="Normal 9 2 5 5" xfId="38663"/>
    <cellStyle name="Normal 9 2 5 6" xfId="38664"/>
    <cellStyle name="Normal 9 2 5 7" xfId="38656"/>
    <cellStyle name="Normal 9 2 6" xfId="7719"/>
    <cellStyle name="Normal 9 2 6 2" xfId="7720"/>
    <cellStyle name="Normal 9 2 6 2 2" xfId="38667"/>
    <cellStyle name="Normal 9 2 6 2 3" xfId="38666"/>
    <cellStyle name="Normal 9 2 6 3" xfId="38668"/>
    <cellStyle name="Normal 9 2 6 3 2" xfId="38669"/>
    <cellStyle name="Normal 9 2 6 4" xfId="38670"/>
    <cellStyle name="Normal 9 2 6 4 2" xfId="38671"/>
    <cellStyle name="Normal 9 2 6 5" xfId="38672"/>
    <cellStyle name="Normal 9 2 6 6" xfId="38673"/>
    <cellStyle name="Normal 9 2 6 7" xfId="38665"/>
    <cellStyle name="Normal 9 2 7" xfId="7721"/>
    <cellStyle name="Normal 9 2 7 2" xfId="7722"/>
    <cellStyle name="Normal 9 2 7 2 2" xfId="38676"/>
    <cellStyle name="Normal 9 2 7 2 3" xfId="38675"/>
    <cellStyle name="Normal 9 2 7 3" xfId="38677"/>
    <cellStyle name="Normal 9 2 7 3 2" xfId="38678"/>
    <cellStyle name="Normal 9 2 7 4" xfId="38679"/>
    <cellStyle name="Normal 9 2 7 4 2" xfId="38680"/>
    <cellStyle name="Normal 9 2 7 5" xfId="38681"/>
    <cellStyle name="Normal 9 2 7 6" xfId="38682"/>
    <cellStyle name="Normal 9 2 7 7" xfId="38674"/>
    <cellStyle name="Normal 9 2 8" xfId="7723"/>
    <cellStyle name="Normal 9 2 8 2" xfId="38684"/>
    <cellStyle name="Normal 9 2 8 2 2" xfId="38685"/>
    <cellStyle name="Normal 9 2 8 3" xfId="38686"/>
    <cellStyle name="Normal 9 2 8 3 2" xfId="38687"/>
    <cellStyle name="Normal 9 2 8 4" xfId="38688"/>
    <cellStyle name="Normal 9 2 8 5" xfId="38689"/>
    <cellStyle name="Normal 9 2 8 6" xfId="38683"/>
    <cellStyle name="Normal 9 2 9" xfId="38690"/>
    <cellStyle name="Normal 9 2 9 2" xfId="38691"/>
    <cellStyle name="Normal 9 3" xfId="7724"/>
    <cellStyle name="Normal 9 3 10" xfId="38693"/>
    <cellStyle name="Normal 9 3 10 2" xfId="38694"/>
    <cellStyle name="Normal 9 3 11" xfId="38695"/>
    <cellStyle name="Normal 9 3 11 2" xfId="38696"/>
    <cellStyle name="Normal 9 3 12" xfId="38697"/>
    <cellStyle name="Normal 9 3 13" xfId="38698"/>
    <cellStyle name="Normal 9 3 14" xfId="38692"/>
    <cellStyle name="Normal 9 3 2" xfId="7725"/>
    <cellStyle name="Normal 9 3 2 10" xfId="38700"/>
    <cellStyle name="Normal 9 3 2 11" xfId="38701"/>
    <cellStyle name="Normal 9 3 2 12" xfId="38699"/>
    <cellStyle name="Normal 9 3 2 2" xfId="7726"/>
    <cellStyle name="Normal 9 3 2 2 2" xfId="7727"/>
    <cellStyle name="Normal 9 3 2 2 2 2" xfId="38704"/>
    <cellStyle name="Normal 9 3 2 2 2 3" xfId="38703"/>
    <cellStyle name="Normal 9 3 2 2 3" xfId="7728"/>
    <cellStyle name="Normal 9 3 2 2 3 2" xfId="38706"/>
    <cellStyle name="Normal 9 3 2 2 3 3" xfId="38705"/>
    <cellStyle name="Normal 9 3 2 2 4" xfId="38707"/>
    <cellStyle name="Normal 9 3 2 2 4 2" xfId="38708"/>
    <cellStyle name="Normal 9 3 2 2 5" xfId="38709"/>
    <cellStyle name="Normal 9 3 2 2 6" xfId="38710"/>
    <cellStyle name="Normal 9 3 2 2 7" xfId="38702"/>
    <cellStyle name="Normal 9 3 2 3" xfId="7729"/>
    <cellStyle name="Normal 9 3 2 3 2" xfId="7730"/>
    <cellStyle name="Normal 9 3 2 3 2 2" xfId="38713"/>
    <cellStyle name="Normal 9 3 2 3 2 3" xfId="38712"/>
    <cellStyle name="Normal 9 3 2 3 3" xfId="38714"/>
    <cellStyle name="Normal 9 3 2 3 3 2" xfId="38715"/>
    <cellStyle name="Normal 9 3 2 3 4" xfId="38716"/>
    <cellStyle name="Normal 9 3 2 3 4 2" xfId="38717"/>
    <cellStyle name="Normal 9 3 2 3 5" xfId="38718"/>
    <cellStyle name="Normal 9 3 2 3 6" xfId="38719"/>
    <cellStyle name="Normal 9 3 2 3 7" xfId="38711"/>
    <cellStyle name="Normal 9 3 2 4" xfId="7731"/>
    <cellStyle name="Normal 9 3 2 4 2" xfId="7732"/>
    <cellStyle name="Normal 9 3 2 4 2 2" xfId="38722"/>
    <cellStyle name="Normal 9 3 2 4 2 3" xfId="38721"/>
    <cellStyle name="Normal 9 3 2 4 3" xfId="38723"/>
    <cellStyle name="Normal 9 3 2 4 3 2" xfId="38724"/>
    <cellStyle name="Normal 9 3 2 4 4" xfId="38725"/>
    <cellStyle name="Normal 9 3 2 4 4 2" xfId="38726"/>
    <cellStyle name="Normal 9 3 2 4 5" xfId="38727"/>
    <cellStyle name="Normal 9 3 2 4 6" xfId="38728"/>
    <cellStyle name="Normal 9 3 2 4 7" xfId="38720"/>
    <cellStyle name="Normal 9 3 2 5" xfId="7733"/>
    <cellStyle name="Normal 9 3 2 5 2" xfId="38730"/>
    <cellStyle name="Normal 9 3 2 5 2 2" xfId="38731"/>
    <cellStyle name="Normal 9 3 2 5 3" xfId="38732"/>
    <cellStyle name="Normal 9 3 2 5 3 2" xfId="38733"/>
    <cellStyle name="Normal 9 3 2 5 4" xfId="38734"/>
    <cellStyle name="Normal 9 3 2 5 4 2" xfId="38735"/>
    <cellStyle name="Normal 9 3 2 5 5" xfId="38736"/>
    <cellStyle name="Normal 9 3 2 5 6" xfId="38737"/>
    <cellStyle name="Normal 9 3 2 5 7" xfId="38729"/>
    <cellStyle name="Normal 9 3 2 6" xfId="38738"/>
    <cellStyle name="Normal 9 3 2 6 2" xfId="38739"/>
    <cellStyle name="Normal 9 3 2 6 2 2" xfId="38740"/>
    <cellStyle name="Normal 9 3 2 6 3" xfId="38741"/>
    <cellStyle name="Normal 9 3 2 6 3 2" xfId="38742"/>
    <cellStyle name="Normal 9 3 2 6 4" xfId="38743"/>
    <cellStyle name="Normal 9 3 2 6 5" xfId="38744"/>
    <cellStyle name="Normal 9 3 2 7" xfId="38745"/>
    <cellStyle name="Normal 9 3 2 7 2" xfId="38746"/>
    <cellStyle name="Normal 9 3 2 8" xfId="38747"/>
    <cellStyle name="Normal 9 3 2 8 2" xfId="38748"/>
    <cellStyle name="Normal 9 3 2 9" xfId="38749"/>
    <cellStyle name="Normal 9 3 2 9 2" xfId="38750"/>
    <cellStyle name="Normal 9 3 3" xfId="7734"/>
    <cellStyle name="Normal 9 3 3 10" xfId="38752"/>
    <cellStyle name="Normal 9 3 3 11" xfId="38751"/>
    <cellStyle name="Normal 9 3 3 2" xfId="7735"/>
    <cellStyle name="Normal 9 3 3 2 2" xfId="7736"/>
    <cellStyle name="Normal 9 3 3 2 2 2" xfId="38755"/>
    <cellStyle name="Normal 9 3 3 2 2 3" xfId="38754"/>
    <cellStyle name="Normal 9 3 3 2 3" xfId="38756"/>
    <cellStyle name="Normal 9 3 3 2 3 2" xfId="38757"/>
    <cellStyle name="Normal 9 3 3 2 4" xfId="38758"/>
    <cellStyle name="Normal 9 3 3 2 4 2" xfId="38759"/>
    <cellStyle name="Normal 9 3 3 2 5" xfId="38760"/>
    <cellStyle name="Normal 9 3 3 2 6" xfId="38761"/>
    <cellStyle name="Normal 9 3 3 2 7" xfId="38753"/>
    <cellStyle name="Normal 9 3 3 3" xfId="7737"/>
    <cellStyle name="Normal 9 3 3 3 2" xfId="7738"/>
    <cellStyle name="Normal 9 3 3 3 2 2" xfId="38764"/>
    <cellStyle name="Normal 9 3 3 3 2 3" xfId="38763"/>
    <cellStyle name="Normal 9 3 3 3 3" xfId="38765"/>
    <cellStyle name="Normal 9 3 3 3 3 2" xfId="38766"/>
    <cellStyle name="Normal 9 3 3 3 4" xfId="38767"/>
    <cellStyle name="Normal 9 3 3 3 4 2" xfId="38768"/>
    <cellStyle name="Normal 9 3 3 3 5" xfId="38769"/>
    <cellStyle name="Normal 9 3 3 3 6" xfId="38770"/>
    <cellStyle name="Normal 9 3 3 3 7" xfId="38762"/>
    <cellStyle name="Normal 9 3 3 4" xfId="7739"/>
    <cellStyle name="Normal 9 3 3 4 2" xfId="38772"/>
    <cellStyle name="Normal 9 3 3 4 2 2" xfId="38773"/>
    <cellStyle name="Normal 9 3 3 4 3" xfId="38774"/>
    <cellStyle name="Normal 9 3 3 4 3 2" xfId="38775"/>
    <cellStyle name="Normal 9 3 3 4 4" xfId="38776"/>
    <cellStyle name="Normal 9 3 3 4 4 2" xfId="38777"/>
    <cellStyle name="Normal 9 3 3 4 5" xfId="38778"/>
    <cellStyle name="Normal 9 3 3 4 6" xfId="38779"/>
    <cellStyle name="Normal 9 3 3 4 7" xfId="38771"/>
    <cellStyle name="Normal 9 3 3 5" xfId="38780"/>
    <cellStyle name="Normal 9 3 3 5 2" xfId="38781"/>
    <cellStyle name="Normal 9 3 3 5 2 2" xfId="38782"/>
    <cellStyle name="Normal 9 3 3 5 3" xfId="38783"/>
    <cellStyle name="Normal 9 3 3 5 3 2" xfId="38784"/>
    <cellStyle name="Normal 9 3 3 5 4" xfId="38785"/>
    <cellStyle name="Normal 9 3 3 5 5" xfId="38786"/>
    <cellStyle name="Normal 9 3 3 6" xfId="38787"/>
    <cellStyle name="Normal 9 3 3 6 2" xfId="38788"/>
    <cellStyle name="Normal 9 3 3 7" xfId="38789"/>
    <cellStyle name="Normal 9 3 3 7 2" xfId="38790"/>
    <cellStyle name="Normal 9 3 3 8" xfId="38791"/>
    <cellStyle name="Normal 9 3 3 8 2" xfId="38792"/>
    <cellStyle name="Normal 9 3 3 9" xfId="38793"/>
    <cellStyle name="Normal 9 3 4" xfId="7740"/>
    <cellStyle name="Normal 9 3 4 10" xfId="38795"/>
    <cellStyle name="Normal 9 3 4 11" xfId="38794"/>
    <cellStyle name="Normal 9 3 4 2" xfId="7741"/>
    <cellStyle name="Normal 9 3 4 2 2" xfId="38797"/>
    <cellStyle name="Normal 9 3 4 2 2 2" xfId="38798"/>
    <cellStyle name="Normal 9 3 4 2 3" xfId="38799"/>
    <cellStyle name="Normal 9 3 4 2 3 2" xfId="38800"/>
    <cellStyle name="Normal 9 3 4 2 4" xfId="38801"/>
    <cellStyle name="Normal 9 3 4 2 4 2" xfId="38802"/>
    <cellStyle name="Normal 9 3 4 2 5" xfId="38803"/>
    <cellStyle name="Normal 9 3 4 2 6" xfId="38804"/>
    <cellStyle name="Normal 9 3 4 2 7" xfId="38796"/>
    <cellStyle name="Normal 9 3 4 3" xfId="7742"/>
    <cellStyle name="Normal 9 3 4 3 2" xfId="38806"/>
    <cellStyle name="Normal 9 3 4 3 2 2" xfId="38807"/>
    <cellStyle name="Normal 9 3 4 3 3" xfId="38808"/>
    <cellStyle name="Normal 9 3 4 3 3 2" xfId="38809"/>
    <cellStyle name="Normal 9 3 4 3 4" xfId="38810"/>
    <cellStyle name="Normal 9 3 4 3 4 2" xfId="38811"/>
    <cellStyle name="Normal 9 3 4 3 5" xfId="38812"/>
    <cellStyle name="Normal 9 3 4 3 6" xfId="38813"/>
    <cellStyle name="Normal 9 3 4 3 7" xfId="38805"/>
    <cellStyle name="Normal 9 3 4 4" xfId="38814"/>
    <cellStyle name="Normal 9 3 4 4 2" xfId="38815"/>
    <cellStyle name="Normal 9 3 4 4 2 2" xfId="38816"/>
    <cellStyle name="Normal 9 3 4 4 3" xfId="38817"/>
    <cellStyle name="Normal 9 3 4 4 3 2" xfId="38818"/>
    <cellStyle name="Normal 9 3 4 4 4" xfId="38819"/>
    <cellStyle name="Normal 9 3 4 4 4 2" xfId="38820"/>
    <cellStyle name="Normal 9 3 4 4 5" xfId="38821"/>
    <cellStyle name="Normal 9 3 4 4 6" xfId="38822"/>
    <cellStyle name="Normal 9 3 4 5" xfId="38823"/>
    <cellStyle name="Normal 9 3 4 5 2" xfId="38824"/>
    <cellStyle name="Normal 9 3 4 5 2 2" xfId="38825"/>
    <cellStyle name="Normal 9 3 4 5 3" xfId="38826"/>
    <cellStyle name="Normal 9 3 4 5 3 2" xfId="38827"/>
    <cellStyle name="Normal 9 3 4 5 4" xfId="38828"/>
    <cellStyle name="Normal 9 3 4 5 5" xfId="38829"/>
    <cellStyle name="Normal 9 3 4 6" xfId="38830"/>
    <cellStyle name="Normal 9 3 4 6 2" xfId="38831"/>
    <cellStyle name="Normal 9 3 4 7" xfId="38832"/>
    <cellStyle name="Normal 9 3 4 7 2" xfId="38833"/>
    <cellStyle name="Normal 9 3 4 8" xfId="38834"/>
    <cellStyle name="Normal 9 3 4 8 2" xfId="38835"/>
    <cellStyle name="Normal 9 3 4 9" xfId="38836"/>
    <cellStyle name="Normal 9 3 5" xfId="7743"/>
    <cellStyle name="Normal 9 3 5 2" xfId="7744"/>
    <cellStyle name="Normal 9 3 5 2 2" xfId="38839"/>
    <cellStyle name="Normal 9 3 5 2 3" xfId="38838"/>
    <cellStyle name="Normal 9 3 5 3" xfId="38840"/>
    <cellStyle name="Normal 9 3 5 3 2" xfId="38841"/>
    <cellStyle name="Normal 9 3 5 4" xfId="38842"/>
    <cellStyle name="Normal 9 3 5 4 2" xfId="38843"/>
    <cellStyle name="Normal 9 3 5 5" xfId="38844"/>
    <cellStyle name="Normal 9 3 5 6" xfId="38845"/>
    <cellStyle name="Normal 9 3 5 7" xfId="38837"/>
    <cellStyle name="Normal 9 3 6" xfId="7745"/>
    <cellStyle name="Normal 9 3 6 2" xfId="7746"/>
    <cellStyle name="Normal 9 3 6 2 2" xfId="38848"/>
    <cellStyle name="Normal 9 3 6 2 3" xfId="38847"/>
    <cellStyle name="Normal 9 3 6 3" xfId="38849"/>
    <cellStyle name="Normal 9 3 6 3 2" xfId="38850"/>
    <cellStyle name="Normal 9 3 6 4" xfId="38851"/>
    <cellStyle name="Normal 9 3 6 4 2" xfId="38852"/>
    <cellStyle name="Normal 9 3 6 5" xfId="38853"/>
    <cellStyle name="Normal 9 3 6 6" xfId="38854"/>
    <cellStyle name="Normal 9 3 6 7" xfId="38846"/>
    <cellStyle name="Normal 9 3 7" xfId="7747"/>
    <cellStyle name="Normal 9 3 7 2" xfId="38856"/>
    <cellStyle name="Normal 9 3 7 2 2" xfId="38857"/>
    <cellStyle name="Normal 9 3 7 3" xfId="38858"/>
    <cellStyle name="Normal 9 3 7 3 2" xfId="38859"/>
    <cellStyle name="Normal 9 3 7 4" xfId="38860"/>
    <cellStyle name="Normal 9 3 7 4 2" xfId="38861"/>
    <cellStyle name="Normal 9 3 7 5" xfId="38862"/>
    <cellStyle name="Normal 9 3 7 6" xfId="38863"/>
    <cellStyle name="Normal 9 3 7 7" xfId="38855"/>
    <cellStyle name="Normal 9 3 8" xfId="38864"/>
    <cellStyle name="Normal 9 3 8 2" xfId="38865"/>
    <cellStyle name="Normal 9 3 8 2 2" xfId="38866"/>
    <cellStyle name="Normal 9 3 8 3" xfId="38867"/>
    <cellStyle name="Normal 9 3 8 3 2" xfId="38868"/>
    <cellStyle name="Normal 9 3 8 4" xfId="38869"/>
    <cellStyle name="Normal 9 3 8 5" xfId="38870"/>
    <cellStyle name="Normal 9 3 9" xfId="38871"/>
    <cellStyle name="Normal 9 3 9 2" xfId="38872"/>
    <cellStyle name="Normal 9 4" xfId="7748"/>
    <cellStyle name="Normal 9 4 10" xfId="38874"/>
    <cellStyle name="Normal 9 4 10 2" xfId="38875"/>
    <cellStyle name="Normal 9 4 11" xfId="38876"/>
    <cellStyle name="Normal 9 4 12" xfId="38877"/>
    <cellStyle name="Normal 9 4 13" xfId="38873"/>
    <cellStyle name="Normal 9 4 2" xfId="7749"/>
    <cellStyle name="Normal 9 4 2 10" xfId="38879"/>
    <cellStyle name="Normal 9 4 2 11" xfId="38878"/>
    <cellStyle name="Normal 9 4 2 2" xfId="7750"/>
    <cellStyle name="Normal 9 4 2 2 2" xfId="7751"/>
    <cellStyle name="Normal 9 4 2 2 2 2" xfId="38882"/>
    <cellStyle name="Normal 9 4 2 2 2 3" xfId="38881"/>
    <cellStyle name="Normal 9 4 2 2 3" xfId="7752"/>
    <cellStyle name="Normal 9 4 2 2 3 2" xfId="38884"/>
    <cellStyle name="Normal 9 4 2 2 3 3" xfId="38883"/>
    <cellStyle name="Normal 9 4 2 2 4" xfId="38885"/>
    <cellStyle name="Normal 9 4 2 2 4 2" xfId="38886"/>
    <cellStyle name="Normal 9 4 2 2 5" xfId="38887"/>
    <cellStyle name="Normal 9 4 2 2 6" xfId="38888"/>
    <cellStyle name="Normal 9 4 2 2 7" xfId="38880"/>
    <cellStyle name="Normal 9 4 2 3" xfId="7753"/>
    <cellStyle name="Normal 9 4 2 3 2" xfId="7754"/>
    <cellStyle name="Normal 9 4 2 3 2 2" xfId="38891"/>
    <cellStyle name="Normal 9 4 2 3 2 3" xfId="38890"/>
    <cellStyle name="Normal 9 4 2 3 3" xfId="38892"/>
    <cellStyle name="Normal 9 4 2 3 3 2" xfId="38893"/>
    <cellStyle name="Normal 9 4 2 3 4" xfId="38894"/>
    <cellStyle name="Normal 9 4 2 3 4 2" xfId="38895"/>
    <cellStyle name="Normal 9 4 2 3 5" xfId="38896"/>
    <cellStyle name="Normal 9 4 2 3 6" xfId="38897"/>
    <cellStyle name="Normal 9 4 2 3 7" xfId="38889"/>
    <cellStyle name="Normal 9 4 2 4" xfId="7755"/>
    <cellStyle name="Normal 9 4 2 4 2" xfId="7756"/>
    <cellStyle name="Normal 9 4 2 4 2 2" xfId="38900"/>
    <cellStyle name="Normal 9 4 2 4 2 3" xfId="38899"/>
    <cellStyle name="Normal 9 4 2 4 3" xfId="38901"/>
    <cellStyle name="Normal 9 4 2 4 3 2" xfId="38902"/>
    <cellStyle name="Normal 9 4 2 4 4" xfId="38903"/>
    <cellStyle name="Normal 9 4 2 4 4 2" xfId="38904"/>
    <cellStyle name="Normal 9 4 2 4 5" xfId="38905"/>
    <cellStyle name="Normal 9 4 2 4 6" xfId="38906"/>
    <cellStyle name="Normal 9 4 2 4 7" xfId="38898"/>
    <cellStyle name="Normal 9 4 2 5" xfId="7757"/>
    <cellStyle name="Normal 9 4 2 5 2" xfId="38908"/>
    <cellStyle name="Normal 9 4 2 5 2 2" xfId="38909"/>
    <cellStyle name="Normal 9 4 2 5 3" xfId="38910"/>
    <cellStyle name="Normal 9 4 2 5 3 2" xfId="38911"/>
    <cellStyle name="Normal 9 4 2 5 4" xfId="38912"/>
    <cellStyle name="Normal 9 4 2 5 5" xfId="38913"/>
    <cellStyle name="Normal 9 4 2 5 6" xfId="38907"/>
    <cellStyle name="Normal 9 4 2 6" xfId="38914"/>
    <cellStyle name="Normal 9 4 2 6 2" xfId="38915"/>
    <cellStyle name="Normal 9 4 2 7" xfId="38916"/>
    <cellStyle name="Normal 9 4 2 7 2" xfId="38917"/>
    <cellStyle name="Normal 9 4 2 8" xfId="38918"/>
    <cellStyle name="Normal 9 4 2 8 2" xfId="38919"/>
    <cellStyle name="Normal 9 4 2 9" xfId="38920"/>
    <cellStyle name="Normal 9 4 3" xfId="7758"/>
    <cellStyle name="Normal 9 4 3 10" xfId="38922"/>
    <cellStyle name="Normal 9 4 3 11" xfId="38921"/>
    <cellStyle name="Normal 9 4 3 2" xfId="7759"/>
    <cellStyle name="Normal 9 4 3 2 2" xfId="7760"/>
    <cellStyle name="Normal 9 4 3 2 2 2" xfId="38925"/>
    <cellStyle name="Normal 9 4 3 2 2 3" xfId="38924"/>
    <cellStyle name="Normal 9 4 3 2 3" xfId="38926"/>
    <cellStyle name="Normal 9 4 3 2 3 2" xfId="38927"/>
    <cellStyle name="Normal 9 4 3 2 4" xfId="38928"/>
    <cellStyle name="Normal 9 4 3 2 4 2" xfId="38929"/>
    <cellStyle name="Normal 9 4 3 2 5" xfId="38930"/>
    <cellStyle name="Normal 9 4 3 2 6" xfId="38931"/>
    <cellStyle name="Normal 9 4 3 2 7" xfId="38923"/>
    <cellStyle name="Normal 9 4 3 3" xfId="7761"/>
    <cellStyle name="Normal 9 4 3 3 2" xfId="7762"/>
    <cellStyle name="Normal 9 4 3 3 2 2" xfId="38934"/>
    <cellStyle name="Normal 9 4 3 3 2 3" xfId="38933"/>
    <cellStyle name="Normal 9 4 3 3 3" xfId="38935"/>
    <cellStyle name="Normal 9 4 3 3 3 2" xfId="38936"/>
    <cellStyle name="Normal 9 4 3 3 4" xfId="38937"/>
    <cellStyle name="Normal 9 4 3 3 4 2" xfId="38938"/>
    <cellStyle name="Normal 9 4 3 3 5" xfId="38939"/>
    <cellStyle name="Normal 9 4 3 3 6" xfId="38940"/>
    <cellStyle name="Normal 9 4 3 3 7" xfId="38932"/>
    <cellStyle name="Normal 9 4 3 4" xfId="7763"/>
    <cellStyle name="Normal 9 4 3 4 2" xfId="38942"/>
    <cellStyle name="Normal 9 4 3 4 2 2" xfId="38943"/>
    <cellStyle name="Normal 9 4 3 4 3" xfId="38944"/>
    <cellStyle name="Normal 9 4 3 4 3 2" xfId="38945"/>
    <cellStyle name="Normal 9 4 3 4 4" xfId="38946"/>
    <cellStyle name="Normal 9 4 3 4 4 2" xfId="38947"/>
    <cellStyle name="Normal 9 4 3 4 5" xfId="38948"/>
    <cellStyle name="Normal 9 4 3 4 6" xfId="38949"/>
    <cellStyle name="Normal 9 4 3 4 7" xfId="38941"/>
    <cellStyle name="Normal 9 4 3 5" xfId="38950"/>
    <cellStyle name="Normal 9 4 3 5 2" xfId="38951"/>
    <cellStyle name="Normal 9 4 3 5 2 2" xfId="38952"/>
    <cellStyle name="Normal 9 4 3 5 3" xfId="38953"/>
    <cellStyle name="Normal 9 4 3 5 3 2" xfId="38954"/>
    <cellStyle name="Normal 9 4 3 5 4" xfId="38955"/>
    <cellStyle name="Normal 9 4 3 5 5" xfId="38956"/>
    <cellStyle name="Normal 9 4 3 6" xfId="38957"/>
    <cellStyle name="Normal 9 4 3 6 2" xfId="38958"/>
    <cellStyle name="Normal 9 4 3 7" xfId="38959"/>
    <cellStyle name="Normal 9 4 3 7 2" xfId="38960"/>
    <cellStyle name="Normal 9 4 3 8" xfId="38961"/>
    <cellStyle name="Normal 9 4 3 8 2" xfId="38962"/>
    <cellStyle name="Normal 9 4 3 9" xfId="38963"/>
    <cellStyle name="Normal 9 4 4" xfId="7764"/>
    <cellStyle name="Normal 9 4 4 2" xfId="7765"/>
    <cellStyle name="Normal 9 4 4 2 2" xfId="38966"/>
    <cellStyle name="Normal 9 4 4 2 3" xfId="38965"/>
    <cellStyle name="Normal 9 4 4 3" xfId="7766"/>
    <cellStyle name="Normal 9 4 4 3 2" xfId="38968"/>
    <cellStyle name="Normal 9 4 4 3 3" xfId="38967"/>
    <cellStyle name="Normal 9 4 4 4" xfId="38969"/>
    <cellStyle name="Normal 9 4 4 4 2" xfId="38970"/>
    <cellStyle name="Normal 9 4 4 5" xfId="38971"/>
    <cellStyle name="Normal 9 4 4 6" xfId="38972"/>
    <cellStyle name="Normal 9 4 4 7" xfId="38964"/>
    <cellStyle name="Normal 9 4 5" xfId="7767"/>
    <cellStyle name="Normal 9 4 5 2" xfId="7768"/>
    <cellStyle name="Normal 9 4 5 2 2" xfId="38975"/>
    <cellStyle name="Normal 9 4 5 2 3" xfId="38974"/>
    <cellStyle name="Normal 9 4 5 3" xfId="38976"/>
    <cellStyle name="Normal 9 4 5 3 2" xfId="38977"/>
    <cellStyle name="Normal 9 4 5 4" xfId="38978"/>
    <cellStyle name="Normal 9 4 5 4 2" xfId="38979"/>
    <cellStyle name="Normal 9 4 5 5" xfId="38980"/>
    <cellStyle name="Normal 9 4 5 6" xfId="38981"/>
    <cellStyle name="Normal 9 4 5 7" xfId="38973"/>
    <cellStyle name="Normal 9 4 6" xfId="7769"/>
    <cellStyle name="Normal 9 4 6 2" xfId="7770"/>
    <cellStyle name="Normal 9 4 6 2 2" xfId="38984"/>
    <cellStyle name="Normal 9 4 6 2 3" xfId="38983"/>
    <cellStyle name="Normal 9 4 6 3" xfId="38985"/>
    <cellStyle name="Normal 9 4 6 3 2" xfId="38986"/>
    <cellStyle name="Normal 9 4 6 4" xfId="38987"/>
    <cellStyle name="Normal 9 4 6 4 2" xfId="38988"/>
    <cellStyle name="Normal 9 4 6 5" xfId="38989"/>
    <cellStyle name="Normal 9 4 6 6" xfId="38990"/>
    <cellStyle name="Normal 9 4 6 7" xfId="38982"/>
    <cellStyle name="Normal 9 4 7" xfId="7771"/>
    <cellStyle name="Normal 9 4 7 2" xfId="38992"/>
    <cellStyle name="Normal 9 4 7 2 2" xfId="38993"/>
    <cellStyle name="Normal 9 4 7 3" xfId="38994"/>
    <cellStyle name="Normal 9 4 7 3 2" xfId="38995"/>
    <cellStyle name="Normal 9 4 7 4" xfId="38996"/>
    <cellStyle name="Normal 9 4 7 5" xfId="38997"/>
    <cellStyle name="Normal 9 4 7 6" xfId="38991"/>
    <cellStyle name="Normal 9 4 8" xfId="38998"/>
    <cellStyle name="Normal 9 4 8 2" xfId="38999"/>
    <cellStyle name="Normal 9 4 9" xfId="39000"/>
    <cellStyle name="Normal 9 4 9 2" xfId="39001"/>
    <cellStyle name="Normal 9 5" xfId="7772"/>
    <cellStyle name="Normal 9 5 10" xfId="39003"/>
    <cellStyle name="Normal 9 5 11" xfId="39004"/>
    <cellStyle name="Normal 9 5 12" xfId="39002"/>
    <cellStyle name="Normal 9 5 2" xfId="7773"/>
    <cellStyle name="Normal 9 5 2 2" xfId="7774"/>
    <cellStyle name="Normal 9 5 2 2 2" xfId="7775"/>
    <cellStyle name="Normal 9 5 2 2 2 2" xfId="39007"/>
    <cellStyle name="Normal 9 5 2 2 3" xfId="39006"/>
    <cellStyle name="Normal 9 5 2 3" xfId="7776"/>
    <cellStyle name="Normal 9 5 2 3 2" xfId="7777"/>
    <cellStyle name="Normal 9 5 2 3 2 2" xfId="39009"/>
    <cellStyle name="Normal 9 5 2 3 3" xfId="39008"/>
    <cellStyle name="Normal 9 5 2 4" xfId="7778"/>
    <cellStyle name="Normal 9 5 2 4 2" xfId="39011"/>
    <cellStyle name="Normal 9 5 2 4 3" xfId="39010"/>
    <cellStyle name="Normal 9 5 2 5" xfId="39012"/>
    <cellStyle name="Normal 9 5 2 6" xfId="39013"/>
    <cellStyle name="Normal 9 5 2 7" xfId="39005"/>
    <cellStyle name="Normal 9 5 3" xfId="7779"/>
    <cellStyle name="Normal 9 5 3 2" xfId="7780"/>
    <cellStyle name="Normal 9 5 3 2 2" xfId="39016"/>
    <cellStyle name="Normal 9 5 3 2 3" xfId="39015"/>
    <cellStyle name="Normal 9 5 3 3" xfId="7781"/>
    <cellStyle name="Normal 9 5 3 3 2" xfId="39018"/>
    <cellStyle name="Normal 9 5 3 3 3" xfId="39017"/>
    <cellStyle name="Normal 9 5 3 4" xfId="39019"/>
    <cellStyle name="Normal 9 5 3 4 2" xfId="39020"/>
    <cellStyle name="Normal 9 5 3 5" xfId="39021"/>
    <cellStyle name="Normal 9 5 3 6" xfId="39022"/>
    <cellStyle name="Normal 9 5 3 7" xfId="39014"/>
    <cellStyle name="Normal 9 5 4" xfId="7782"/>
    <cellStyle name="Normal 9 5 4 2" xfId="7783"/>
    <cellStyle name="Normal 9 5 4 2 2" xfId="39025"/>
    <cellStyle name="Normal 9 5 4 2 3" xfId="39024"/>
    <cellStyle name="Normal 9 5 4 3" xfId="39026"/>
    <cellStyle name="Normal 9 5 4 3 2" xfId="39027"/>
    <cellStyle name="Normal 9 5 4 4" xfId="39028"/>
    <cellStyle name="Normal 9 5 4 4 2" xfId="39029"/>
    <cellStyle name="Normal 9 5 4 5" xfId="39030"/>
    <cellStyle name="Normal 9 5 4 6" xfId="39031"/>
    <cellStyle name="Normal 9 5 4 7" xfId="39023"/>
    <cellStyle name="Normal 9 5 5" xfId="7784"/>
    <cellStyle name="Normal 9 5 5 2" xfId="7785"/>
    <cellStyle name="Normal 9 5 5 2 2" xfId="39034"/>
    <cellStyle name="Normal 9 5 5 2 3" xfId="39033"/>
    <cellStyle name="Normal 9 5 5 3" xfId="39035"/>
    <cellStyle name="Normal 9 5 5 3 2" xfId="39036"/>
    <cellStyle name="Normal 9 5 5 4" xfId="39037"/>
    <cellStyle name="Normal 9 5 5 4 2" xfId="39038"/>
    <cellStyle name="Normal 9 5 5 5" xfId="39039"/>
    <cellStyle name="Normal 9 5 5 6" xfId="39040"/>
    <cellStyle name="Normal 9 5 5 7" xfId="39032"/>
    <cellStyle name="Normal 9 5 6" xfId="7786"/>
    <cellStyle name="Normal 9 5 6 2" xfId="39042"/>
    <cellStyle name="Normal 9 5 6 2 2" xfId="39043"/>
    <cellStyle name="Normal 9 5 6 3" xfId="39044"/>
    <cellStyle name="Normal 9 5 6 3 2" xfId="39045"/>
    <cellStyle name="Normal 9 5 6 4" xfId="39046"/>
    <cellStyle name="Normal 9 5 6 5" xfId="39047"/>
    <cellStyle name="Normal 9 5 6 6" xfId="39041"/>
    <cellStyle name="Normal 9 5 7" xfId="39048"/>
    <cellStyle name="Normal 9 5 7 2" xfId="39049"/>
    <cellStyle name="Normal 9 5 8" xfId="39050"/>
    <cellStyle name="Normal 9 5 8 2" xfId="39051"/>
    <cellStyle name="Normal 9 5 9" xfId="39052"/>
    <cellStyle name="Normal 9 5 9 2" xfId="39053"/>
    <cellStyle name="Normal 9 6" xfId="7787"/>
    <cellStyle name="Normal 9 6 10" xfId="39055"/>
    <cellStyle name="Normal 9 6 11" xfId="39054"/>
    <cellStyle name="Normal 9 6 2" xfId="7788"/>
    <cellStyle name="Normal 9 6 2 2" xfId="7789"/>
    <cellStyle name="Normal 9 6 2 2 2" xfId="39058"/>
    <cellStyle name="Normal 9 6 2 2 3" xfId="39057"/>
    <cellStyle name="Normal 9 6 2 3" xfId="39059"/>
    <cellStyle name="Normal 9 6 2 3 2" xfId="39060"/>
    <cellStyle name="Normal 9 6 2 4" xfId="39061"/>
    <cellStyle name="Normal 9 6 2 4 2" xfId="39062"/>
    <cellStyle name="Normal 9 6 2 5" xfId="39063"/>
    <cellStyle name="Normal 9 6 2 6" xfId="39064"/>
    <cellStyle name="Normal 9 6 2 7" xfId="39056"/>
    <cellStyle name="Normal 9 6 3" xfId="7790"/>
    <cellStyle name="Normal 9 6 3 2" xfId="7791"/>
    <cellStyle name="Normal 9 6 3 2 2" xfId="39067"/>
    <cellStyle name="Normal 9 6 3 2 3" xfId="39066"/>
    <cellStyle name="Normal 9 6 3 3" xfId="39068"/>
    <cellStyle name="Normal 9 6 3 3 2" xfId="39069"/>
    <cellStyle name="Normal 9 6 3 4" xfId="39070"/>
    <cellStyle name="Normal 9 6 3 4 2" xfId="39071"/>
    <cellStyle name="Normal 9 6 3 5" xfId="39072"/>
    <cellStyle name="Normal 9 6 3 6" xfId="39073"/>
    <cellStyle name="Normal 9 6 3 7" xfId="39065"/>
    <cellStyle name="Normal 9 6 4" xfId="7792"/>
    <cellStyle name="Normal 9 6 4 2" xfId="39075"/>
    <cellStyle name="Normal 9 6 4 2 2" xfId="39076"/>
    <cellStyle name="Normal 9 6 4 3" xfId="39077"/>
    <cellStyle name="Normal 9 6 4 3 2" xfId="39078"/>
    <cellStyle name="Normal 9 6 4 4" xfId="39079"/>
    <cellStyle name="Normal 9 6 4 4 2" xfId="39080"/>
    <cellStyle name="Normal 9 6 4 5" xfId="39081"/>
    <cellStyle name="Normal 9 6 4 6" xfId="39082"/>
    <cellStyle name="Normal 9 6 4 7" xfId="39074"/>
    <cellStyle name="Normal 9 6 5" xfId="39083"/>
    <cellStyle name="Normal 9 6 5 2" xfId="39084"/>
    <cellStyle name="Normal 9 6 5 2 2" xfId="39085"/>
    <cellStyle name="Normal 9 6 5 3" xfId="39086"/>
    <cellStyle name="Normal 9 6 5 3 2" xfId="39087"/>
    <cellStyle name="Normal 9 6 5 4" xfId="39088"/>
    <cellStyle name="Normal 9 6 5 5" xfId="39089"/>
    <cellStyle name="Normal 9 6 6" xfId="39090"/>
    <cellStyle name="Normal 9 6 6 2" xfId="39091"/>
    <cellStyle name="Normal 9 6 7" xfId="39092"/>
    <cellStyle name="Normal 9 6 7 2" xfId="39093"/>
    <cellStyle name="Normal 9 6 8" xfId="39094"/>
    <cellStyle name="Normal 9 6 8 2" xfId="39095"/>
    <cellStyle name="Normal 9 6 9" xfId="39096"/>
    <cellStyle name="Normal 9 7" xfId="7793"/>
    <cellStyle name="Normal 9 7 10" xfId="39098"/>
    <cellStyle name="Normal 9 7 11" xfId="39097"/>
    <cellStyle name="Normal 9 7 2" xfId="7794"/>
    <cellStyle name="Normal 9 7 2 2" xfId="7795"/>
    <cellStyle name="Normal 9 7 2 2 2" xfId="39101"/>
    <cellStyle name="Normal 9 7 2 2 3" xfId="39100"/>
    <cellStyle name="Normal 9 7 2 3" xfId="39102"/>
    <cellStyle name="Normal 9 7 2 3 2" xfId="39103"/>
    <cellStyle name="Normal 9 7 2 4" xfId="39104"/>
    <cellStyle name="Normal 9 7 2 4 2" xfId="39105"/>
    <cellStyle name="Normal 9 7 2 5" xfId="39106"/>
    <cellStyle name="Normal 9 7 2 6" xfId="39107"/>
    <cellStyle name="Normal 9 7 2 7" xfId="39099"/>
    <cellStyle name="Normal 9 7 3" xfId="7796"/>
    <cellStyle name="Normal 9 7 3 2" xfId="7797"/>
    <cellStyle name="Normal 9 7 3 2 2" xfId="39110"/>
    <cellStyle name="Normal 9 7 3 2 3" xfId="39109"/>
    <cellStyle name="Normal 9 7 3 3" xfId="39111"/>
    <cellStyle name="Normal 9 7 3 3 2" xfId="39112"/>
    <cellStyle name="Normal 9 7 3 4" xfId="39113"/>
    <cellStyle name="Normal 9 7 3 4 2" xfId="39114"/>
    <cellStyle name="Normal 9 7 3 5" xfId="39115"/>
    <cellStyle name="Normal 9 7 3 6" xfId="39116"/>
    <cellStyle name="Normal 9 7 3 7" xfId="39108"/>
    <cellStyle name="Normal 9 7 4" xfId="7798"/>
    <cellStyle name="Normal 9 7 4 2" xfId="39118"/>
    <cellStyle name="Normal 9 7 4 2 2" xfId="39119"/>
    <cellStyle name="Normal 9 7 4 3" xfId="39120"/>
    <cellStyle name="Normal 9 7 4 3 2" xfId="39121"/>
    <cellStyle name="Normal 9 7 4 4" xfId="39122"/>
    <cellStyle name="Normal 9 7 4 4 2" xfId="39123"/>
    <cellStyle name="Normal 9 7 4 5" xfId="39124"/>
    <cellStyle name="Normal 9 7 4 6" xfId="39125"/>
    <cellStyle name="Normal 9 7 4 7" xfId="39117"/>
    <cellStyle name="Normal 9 7 5" xfId="39126"/>
    <cellStyle name="Normal 9 7 5 2" xfId="39127"/>
    <cellStyle name="Normal 9 7 5 2 2" xfId="39128"/>
    <cellStyle name="Normal 9 7 5 3" xfId="39129"/>
    <cellStyle name="Normal 9 7 5 3 2" xfId="39130"/>
    <cellStyle name="Normal 9 7 5 4" xfId="39131"/>
    <cellStyle name="Normal 9 7 5 5" xfId="39132"/>
    <cellStyle name="Normal 9 7 6" xfId="39133"/>
    <cellStyle name="Normal 9 7 6 2" xfId="39134"/>
    <cellStyle name="Normal 9 7 7" xfId="39135"/>
    <cellStyle name="Normal 9 7 7 2" xfId="39136"/>
    <cellStyle name="Normal 9 7 8" xfId="39137"/>
    <cellStyle name="Normal 9 7 8 2" xfId="39138"/>
    <cellStyle name="Normal 9 7 9" xfId="39139"/>
    <cellStyle name="Normal 9 8" xfId="7799"/>
    <cellStyle name="Normal 9 8 2" xfId="7800"/>
    <cellStyle name="Normal 9 8 2 2" xfId="39142"/>
    <cellStyle name="Normal 9 8 2 3" xfId="39141"/>
    <cellStyle name="Normal 9 8 3" xfId="7801"/>
    <cellStyle name="Normal 9 8 3 2" xfId="39144"/>
    <cellStyle name="Normal 9 8 3 3" xfId="39143"/>
    <cellStyle name="Normal 9 8 4" xfId="39145"/>
    <cellStyle name="Normal 9 8 4 2" xfId="39146"/>
    <cellStyle name="Normal 9 8 5" xfId="39147"/>
    <cellStyle name="Normal 9 8 6" xfId="39148"/>
    <cellStyle name="Normal 9 8 7" xfId="39140"/>
    <cellStyle name="Normal 9 9" xfId="7802"/>
    <cellStyle name="Normal 9 9 2" xfId="7803"/>
    <cellStyle name="Normal 9 9 2 2" xfId="39151"/>
    <cellStyle name="Normal 9 9 2 3" xfId="39150"/>
    <cellStyle name="Normal 9 9 3" xfId="39152"/>
    <cellStyle name="Normal 9 9 3 2" xfId="39153"/>
    <cellStyle name="Normal 9 9 4" xfId="39154"/>
    <cellStyle name="Normal 9 9 4 2" xfId="39155"/>
    <cellStyle name="Normal 9 9 5" xfId="39156"/>
    <cellStyle name="Normal 9 9 6" xfId="39157"/>
    <cellStyle name="Normal 9 9 7" xfId="39149"/>
    <cellStyle name="Normal 90" xfId="12235"/>
    <cellStyle name="Normal 91" xfId="12236"/>
    <cellStyle name="Normal 92" xfId="12237"/>
    <cellStyle name="Normal 93" xfId="12318"/>
    <cellStyle name="Normal 94" xfId="12319"/>
    <cellStyle name="Normal 95" xfId="11393"/>
    <cellStyle name="Normal 96" xfId="11392"/>
    <cellStyle name="Normal 97" xfId="11135"/>
    <cellStyle name="Normal 98" xfId="12320"/>
    <cellStyle name="Normal 99" xfId="15005"/>
    <cellStyle name="Normal_ACCTTABLE" xfId="2"/>
    <cellStyle name="Normal_Cinergy D-5" xfId="3"/>
    <cellStyle name="Normal_IURC SFR MODEL - UPDATE FILING August 2003" xfId="4"/>
    <cellStyle name="Normal_KPSC ELECTRIC SFRs" xfId="5"/>
    <cellStyle name="Normal_KPSC GAS SFRs" xfId="6"/>
    <cellStyle name="Normal_KPSC GAS SFRs - UPDATED" xfId="7"/>
    <cellStyle name="Normal_KPSC GAS SFRs-Forward Looking" xfId="8"/>
    <cellStyle name="Normal_LOGO" xfId="9"/>
    <cellStyle name="Normal_PRINT" xfId="10"/>
    <cellStyle name="Normal_PUCO ELECTRIC SFRs" xfId="11"/>
    <cellStyle name="Normal_PUCO ELECTRIC SFRs 2" xfId="15055"/>
    <cellStyle name="Normal_SCH_11" xfId="12"/>
    <cellStyle name="Normal_SCH_A" xfId="13"/>
    <cellStyle name="Normal_SCH_B1" xfId="14"/>
    <cellStyle name="Normal_SCH_B5s" xfId="15"/>
    <cellStyle name="Normal_SCH_B6" xfId="16"/>
    <cellStyle name="Normal_SCH_B7s" xfId="17"/>
    <cellStyle name="Normal_SCH_B8" xfId="18"/>
    <cellStyle name="Normal_SCH_C1" xfId="19"/>
    <cellStyle name="Normal_SCH_C2" xfId="20"/>
    <cellStyle name="Normal_SCH_C2.1" xfId="21"/>
    <cellStyle name="Normal_SCH_D1" xfId="22"/>
    <cellStyle name="Normal_SCH_D2.1" xfId="23"/>
    <cellStyle name="Normal_SCH_D2.10" xfId="24"/>
    <cellStyle name="Normal_SCH_D2.11" xfId="25"/>
    <cellStyle name="Normal_SCH_D2.12" xfId="26"/>
    <cellStyle name="Normal_SCH_D2.13" xfId="27"/>
    <cellStyle name="Normal_SCH_D2.14" xfId="28"/>
    <cellStyle name="Normal_SCH_D2.15" xfId="29"/>
    <cellStyle name="Normal_SCH_D2.17" xfId="30"/>
    <cellStyle name="Normal_SCH_D2.19" xfId="31"/>
    <cellStyle name="Normal_SCH_D2.2" xfId="32"/>
    <cellStyle name="Normal_SCH_D2.20" xfId="33"/>
    <cellStyle name="Normal_SCH_D2.3" xfId="34"/>
    <cellStyle name="Normal_SCH_D2.6" xfId="35"/>
    <cellStyle name="Normal_SCH_D2.7" xfId="36"/>
    <cellStyle name="Normal_SCH_D2.8" xfId="37"/>
    <cellStyle name="Normal_SCH_D3" xfId="38"/>
    <cellStyle name="Normal_SCH_D4" xfId="39"/>
    <cellStyle name="Normal_SCH_E1" xfId="40"/>
    <cellStyle name="Normal_SCH_E2" xfId="41"/>
    <cellStyle name="Normal_SCH_F1" xfId="42"/>
    <cellStyle name="Normal_SCH_F2.1" xfId="43"/>
    <cellStyle name="Normal_SCH_F2.2" xfId="44"/>
    <cellStyle name="Normal_SCH_F2.3" xfId="45"/>
    <cellStyle name="Normal_SCH_F3" xfId="46"/>
    <cellStyle name="Normal_SCH_F4" xfId="47"/>
    <cellStyle name="Normal_SCH_F5" xfId="48"/>
    <cellStyle name="Normal_SCH_F6" xfId="49"/>
    <cellStyle name="Normal_SCH_F7" xfId="50"/>
    <cellStyle name="Normal_SCH_G1" xfId="51"/>
    <cellStyle name="Normal_SCH_G2" xfId="52"/>
    <cellStyle name="Normal_SCH_H" xfId="53"/>
    <cellStyle name="Normal_SCH_I" xfId="54"/>
    <cellStyle name="Normal_SCH_I2.1" xfId="55"/>
    <cellStyle name="Normal_SCH_I3" xfId="56"/>
    <cellStyle name="Normal_SCH_I4" xfId="57"/>
    <cellStyle name="Normal_SCH_I5" xfId="58"/>
    <cellStyle name="Normal_SCH_J1" xfId="59"/>
    <cellStyle name="Normal_Schedule B-2" xfId="60"/>
    <cellStyle name="Normal_Schedule B-3" xfId="61"/>
    <cellStyle name="Normal_Schedule B-4" xfId="62"/>
    <cellStyle name="Normal_TAXTABLE" xfId="63"/>
    <cellStyle name="Normal_WPB-5's" xfId="64"/>
    <cellStyle name="Note 10" xfId="39158"/>
    <cellStyle name="Note 11" xfId="39159"/>
    <cellStyle name="Note 12" xfId="39160"/>
    <cellStyle name="Note 13" xfId="39161"/>
    <cellStyle name="Note 2" xfId="7804"/>
    <cellStyle name="Note 2 2" xfId="9289"/>
    <cellStyle name="Note 2 2 2" xfId="9818"/>
    <cellStyle name="Note 2 2 2 2" xfId="10872"/>
    <cellStyle name="Note 2 2 2 2 2" xfId="12239"/>
    <cellStyle name="Note 2 2 2 2 3" xfId="14466"/>
    <cellStyle name="Note 2 2 2 2 4" xfId="16385"/>
    <cellStyle name="Note 2 2 2 3" xfId="12238"/>
    <cellStyle name="Note 2 2 2 4" xfId="13413"/>
    <cellStyle name="Note 2 2 2 5" xfId="16384"/>
    <cellStyle name="Note 2 2 3" xfId="10346"/>
    <cellStyle name="Note 2 2 3 2" xfId="12240"/>
    <cellStyle name="Note 2 2 3 3" xfId="13940"/>
    <cellStyle name="Note 2 2 3 4" xfId="16386"/>
    <cellStyle name="Note 2 2 4" xfId="12241"/>
    <cellStyle name="Note 2 2 5" xfId="11134"/>
    <cellStyle name="Note 2 2 5 2" xfId="14727"/>
    <cellStyle name="Note 2 2 5 3" xfId="16387"/>
    <cellStyle name="Note 2 2 6" xfId="12887"/>
    <cellStyle name="Note 2 2 6 2" xfId="39162"/>
    <cellStyle name="Note 2 2 7" xfId="16383"/>
    <cellStyle name="Note 2 3" xfId="12242"/>
    <cellStyle name="Note 2 3 2" xfId="12243"/>
    <cellStyle name="Note 2 3 3" xfId="12244"/>
    <cellStyle name="Note 2 4" xfId="12245"/>
    <cellStyle name="Note 2 5" xfId="17689"/>
    <cellStyle name="Note 3" xfId="12246"/>
    <cellStyle name="Note 3 2" xfId="12247"/>
    <cellStyle name="Note 3 2 2" xfId="12248"/>
    <cellStyle name="Note 3 3" xfId="12249"/>
    <cellStyle name="Note 3 4" xfId="12250"/>
    <cellStyle name="Note 3 5" xfId="39163"/>
    <cellStyle name="Note 4" xfId="12251"/>
    <cellStyle name="Note 4 2" xfId="12252"/>
    <cellStyle name="Note 4 2 2" xfId="39166"/>
    <cellStyle name="Note 4 2 3" xfId="39165"/>
    <cellStyle name="Note 4 3" xfId="12253"/>
    <cellStyle name="Note 4 3 2" xfId="39168"/>
    <cellStyle name="Note 4 3 3" xfId="39167"/>
    <cellStyle name="Note 4 4" xfId="39169"/>
    <cellStyle name="Note 4 5" xfId="39170"/>
    <cellStyle name="Note 4 6" xfId="39164"/>
    <cellStyle name="Note 5" xfId="12254"/>
    <cellStyle name="Note 5 2" xfId="39171"/>
    <cellStyle name="Note 6" xfId="12255"/>
    <cellStyle name="Note 6 2" xfId="39172"/>
    <cellStyle name="Note 7" xfId="12256"/>
    <cellStyle name="Note 7 2" xfId="39173"/>
    <cellStyle name="Note 8" xfId="39174"/>
    <cellStyle name="Note 9" xfId="39175"/>
    <cellStyle name="Output" xfId="9257" builtinId="21" customBuiltin="1"/>
    <cellStyle name="Output 2" xfId="7805"/>
    <cellStyle name="Output 2 2" xfId="39176"/>
    <cellStyle name="Output 3" xfId="39177"/>
    <cellStyle name="Output Report Heading_C_BS5_D_C_YTD_CONSG_ALL_U" xfId="12257"/>
    <cellStyle name="Percent" xfId="65" builtinId="5"/>
    <cellStyle name="Percent [2]" xfId="12258"/>
    <cellStyle name="Percent 1" xfId="39178"/>
    <cellStyle name="Percent 10" xfId="12259"/>
    <cellStyle name="Percent 10 2" xfId="39180"/>
    <cellStyle name="Percent 10 3" xfId="39179"/>
    <cellStyle name="Percent 11" xfId="12260"/>
    <cellStyle name="Percent 11 2" xfId="39182"/>
    <cellStyle name="Percent 11 3" xfId="39181"/>
    <cellStyle name="Percent 12" xfId="39183"/>
    <cellStyle name="Percent 13" xfId="39184"/>
    <cellStyle name="Percent 14" xfId="39185"/>
    <cellStyle name="Percent 15" xfId="39186"/>
    <cellStyle name="Percent 16" xfId="39187"/>
    <cellStyle name="Percent 17" xfId="39188"/>
    <cellStyle name="Percent 18" xfId="39189"/>
    <cellStyle name="Percent 19" xfId="39190"/>
    <cellStyle name="Percent 2" xfId="71"/>
    <cellStyle name="Percent 2 10" xfId="7806"/>
    <cellStyle name="Percent 2 10 2" xfId="7807"/>
    <cellStyle name="Percent 2 11" xfId="7808"/>
    <cellStyle name="Percent 2 12" xfId="17680"/>
    <cellStyle name="Percent 2 2" xfId="7809"/>
    <cellStyle name="Percent 2 2 10" xfId="39191"/>
    <cellStyle name="Percent 2 2 10 2" xfId="39192"/>
    <cellStyle name="Percent 2 2 10 2 2" xfId="39193"/>
    <cellStyle name="Percent 2 2 10 3" xfId="39194"/>
    <cellStyle name="Percent 2 2 10 3 2" xfId="39195"/>
    <cellStyle name="Percent 2 2 10 4" xfId="39196"/>
    <cellStyle name="Percent 2 2 10 4 2" xfId="39197"/>
    <cellStyle name="Percent 2 2 10 5" xfId="39198"/>
    <cellStyle name="Percent 2 2 10 6" xfId="39199"/>
    <cellStyle name="Percent 2 2 11" xfId="39200"/>
    <cellStyle name="Percent 2 2 11 2" xfId="39201"/>
    <cellStyle name="Percent 2 2 11 2 2" xfId="39202"/>
    <cellStyle name="Percent 2 2 11 3" xfId="39203"/>
    <cellStyle name="Percent 2 2 11 3 2" xfId="39204"/>
    <cellStyle name="Percent 2 2 11 4" xfId="39205"/>
    <cellStyle name="Percent 2 2 11 5" xfId="39206"/>
    <cellStyle name="Percent 2 2 12" xfId="39207"/>
    <cellStyle name="Percent 2 2 12 2" xfId="39208"/>
    <cellStyle name="Percent 2 2 13" xfId="39209"/>
    <cellStyle name="Percent 2 2 13 2" xfId="39210"/>
    <cellStyle name="Percent 2 2 14" xfId="39211"/>
    <cellStyle name="Percent 2 2 14 2" xfId="39212"/>
    <cellStyle name="Percent 2 2 15" xfId="39213"/>
    <cellStyle name="Percent 2 2 16" xfId="39214"/>
    <cellStyle name="Percent 2 2 17" xfId="39215"/>
    <cellStyle name="Percent 2 2 2" xfId="17697"/>
    <cellStyle name="Percent 2 2 2 10" xfId="39216"/>
    <cellStyle name="Percent 2 2 2 10 2" xfId="39217"/>
    <cellStyle name="Percent 2 2 2 11" xfId="39218"/>
    <cellStyle name="Percent 2 2 2 11 2" xfId="39219"/>
    <cellStyle name="Percent 2 2 2 12" xfId="39220"/>
    <cellStyle name="Percent 2 2 2 13" xfId="39221"/>
    <cellStyle name="Percent 2 2 2 2" xfId="39222"/>
    <cellStyle name="Percent 2 2 2 2 10" xfId="39223"/>
    <cellStyle name="Percent 2 2 2 2 11" xfId="39224"/>
    <cellStyle name="Percent 2 2 2 2 2" xfId="39225"/>
    <cellStyle name="Percent 2 2 2 2 2 2" xfId="39226"/>
    <cellStyle name="Percent 2 2 2 2 2 2 2" xfId="39227"/>
    <cellStyle name="Percent 2 2 2 2 2 3" xfId="39228"/>
    <cellStyle name="Percent 2 2 2 2 2 3 2" xfId="39229"/>
    <cellStyle name="Percent 2 2 2 2 2 4" xfId="39230"/>
    <cellStyle name="Percent 2 2 2 2 2 4 2" xfId="39231"/>
    <cellStyle name="Percent 2 2 2 2 2 5" xfId="39232"/>
    <cellStyle name="Percent 2 2 2 2 2 6" xfId="39233"/>
    <cellStyle name="Percent 2 2 2 2 3" xfId="39234"/>
    <cellStyle name="Percent 2 2 2 2 3 2" xfId="39235"/>
    <cellStyle name="Percent 2 2 2 2 3 2 2" xfId="39236"/>
    <cellStyle name="Percent 2 2 2 2 3 3" xfId="39237"/>
    <cellStyle name="Percent 2 2 2 2 3 3 2" xfId="39238"/>
    <cellStyle name="Percent 2 2 2 2 3 4" xfId="39239"/>
    <cellStyle name="Percent 2 2 2 2 3 4 2" xfId="39240"/>
    <cellStyle name="Percent 2 2 2 2 3 5" xfId="39241"/>
    <cellStyle name="Percent 2 2 2 2 3 6" xfId="39242"/>
    <cellStyle name="Percent 2 2 2 2 4" xfId="39243"/>
    <cellStyle name="Percent 2 2 2 2 4 2" xfId="39244"/>
    <cellStyle name="Percent 2 2 2 2 4 2 2" xfId="39245"/>
    <cellStyle name="Percent 2 2 2 2 4 3" xfId="39246"/>
    <cellStyle name="Percent 2 2 2 2 4 3 2" xfId="39247"/>
    <cellStyle name="Percent 2 2 2 2 4 4" xfId="39248"/>
    <cellStyle name="Percent 2 2 2 2 4 4 2" xfId="39249"/>
    <cellStyle name="Percent 2 2 2 2 4 5" xfId="39250"/>
    <cellStyle name="Percent 2 2 2 2 4 6" xfId="39251"/>
    <cellStyle name="Percent 2 2 2 2 5" xfId="39252"/>
    <cellStyle name="Percent 2 2 2 2 5 2" xfId="39253"/>
    <cellStyle name="Percent 2 2 2 2 5 2 2" xfId="39254"/>
    <cellStyle name="Percent 2 2 2 2 5 3" xfId="39255"/>
    <cellStyle name="Percent 2 2 2 2 5 3 2" xfId="39256"/>
    <cellStyle name="Percent 2 2 2 2 5 4" xfId="39257"/>
    <cellStyle name="Percent 2 2 2 2 5 4 2" xfId="39258"/>
    <cellStyle name="Percent 2 2 2 2 5 5" xfId="39259"/>
    <cellStyle name="Percent 2 2 2 2 5 6" xfId="39260"/>
    <cellStyle name="Percent 2 2 2 2 6" xfId="39261"/>
    <cellStyle name="Percent 2 2 2 2 6 2" xfId="39262"/>
    <cellStyle name="Percent 2 2 2 2 6 2 2" xfId="39263"/>
    <cellStyle name="Percent 2 2 2 2 6 3" xfId="39264"/>
    <cellStyle name="Percent 2 2 2 2 6 3 2" xfId="39265"/>
    <cellStyle name="Percent 2 2 2 2 6 4" xfId="39266"/>
    <cellStyle name="Percent 2 2 2 2 6 5" xfId="39267"/>
    <cellStyle name="Percent 2 2 2 2 7" xfId="39268"/>
    <cellStyle name="Percent 2 2 2 2 7 2" xfId="39269"/>
    <cellStyle name="Percent 2 2 2 2 8" xfId="39270"/>
    <cellStyle name="Percent 2 2 2 2 8 2" xfId="39271"/>
    <cellStyle name="Percent 2 2 2 2 9" xfId="39272"/>
    <cellStyle name="Percent 2 2 2 2 9 2" xfId="39273"/>
    <cellStyle name="Percent 2 2 2 3" xfId="39274"/>
    <cellStyle name="Percent 2 2 2 3 10" xfId="39275"/>
    <cellStyle name="Percent 2 2 2 3 2" xfId="39276"/>
    <cellStyle name="Percent 2 2 2 3 2 2" xfId="39277"/>
    <cellStyle name="Percent 2 2 2 3 2 2 2" xfId="39278"/>
    <cellStyle name="Percent 2 2 2 3 2 3" xfId="39279"/>
    <cellStyle name="Percent 2 2 2 3 2 3 2" xfId="39280"/>
    <cellStyle name="Percent 2 2 2 3 2 4" xfId="39281"/>
    <cellStyle name="Percent 2 2 2 3 2 4 2" xfId="39282"/>
    <cellStyle name="Percent 2 2 2 3 2 5" xfId="39283"/>
    <cellStyle name="Percent 2 2 2 3 2 6" xfId="39284"/>
    <cellStyle name="Percent 2 2 2 3 3" xfId="39285"/>
    <cellStyle name="Percent 2 2 2 3 3 2" xfId="39286"/>
    <cellStyle name="Percent 2 2 2 3 3 2 2" xfId="39287"/>
    <cellStyle name="Percent 2 2 2 3 3 3" xfId="39288"/>
    <cellStyle name="Percent 2 2 2 3 3 3 2" xfId="39289"/>
    <cellStyle name="Percent 2 2 2 3 3 4" xfId="39290"/>
    <cellStyle name="Percent 2 2 2 3 3 4 2" xfId="39291"/>
    <cellStyle name="Percent 2 2 2 3 3 5" xfId="39292"/>
    <cellStyle name="Percent 2 2 2 3 3 6" xfId="39293"/>
    <cellStyle name="Percent 2 2 2 3 4" xfId="39294"/>
    <cellStyle name="Percent 2 2 2 3 4 2" xfId="39295"/>
    <cellStyle name="Percent 2 2 2 3 4 2 2" xfId="39296"/>
    <cellStyle name="Percent 2 2 2 3 4 3" xfId="39297"/>
    <cellStyle name="Percent 2 2 2 3 4 3 2" xfId="39298"/>
    <cellStyle name="Percent 2 2 2 3 4 4" xfId="39299"/>
    <cellStyle name="Percent 2 2 2 3 4 4 2" xfId="39300"/>
    <cellStyle name="Percent 2 2 2 3 4 5" xfId="39301"/>
    <cellStyle name="Percent 2 2 2 3 4 6" xfId="39302"/>
    <cellStyle name="Percent 2 2 2 3 5" xfId="39303"/>
    <cellStyle name="Percent 2 2 2 3 5 2" xfId="39304"/>
    <cellStyle name="Percent 2 2 2 3 5 2 2" xfId="39305"/>
    <cellStyle name="Percent 2 2 2 3 5 3" xfId="39306"/>
    <cellStyle name="Percent 2 2 2 3 5 3 2" xfId="39307"/>
    <cellStyle name="Percent 2 2 2 3 5 4" xfId="39308"/>
    <cellStyle name="Percent 2 2 2 3 5 5" xfId="39309"/>
    <cellStyle name="Percent 2 2 2 3 6" xfId="39310"/>
    <cellStyle name="Percent 2 2 2 3 6 2" xfId="39311"/>
    <cellStyle name="Percent 2 2 2 3 7" xfId="39312"/>
    <cellStyle name="Percent 2 2 2 3 7 2" xfId="39313"/>
    <cellStyle name="Percent 2 2 2 3 8" xfId="39314"/>
    <cellStyle name="Percent 2 2 2 3 8 2" xfId="39315"/>
    <cellStyle name="Percent 2 2 2 3 9" xfId="39316"/>
    <cellStyle name="Percent 2 2 2 4" xfId="39317"/>
    <cellStyle name="Percent 2 2 2 4 10" xfId="39318"/>
    <cellStyle name="Percent 2 2 2 4 2" xfId="39319"/>
    <cellStyle name="Percent 2 2 2 4 2 2" xfId="39320"/>
    <cellStyle name="Percent 2 2 2 4 2 2 2" xfId="39321"/>
    <cellStyle name="Percent 2 2 2 4 2 3" xfId="39322"/>
    <cellStyle name="Percent 2 2 2 4 2 3 2" xfId="39323"/>
    <cellStyle name="Percent 2 2 2 4 2 4" xfId="39324"/>
    <cellStyle name="Percent 2 2 2 4 2 4 2" xfId="39325"/>
    <cellStyle name="Percent 2 2 2 4 2 5" xfId="39326"/>
    <cellStyle name="Percent 2 2 2 4 2 6" xfId="39327"/>
    <cellStyle name="Percent 2 2 2 4 3" xfId="39328"/>
    <cellStyle name="Percent 2 2 2 4 3 2" xfId="39329"/>
    <cellStyle name="Percent 2 2 2 4 3 2 2" xfId="39330"/>
    <cellStyle name="Percent 2 2 2 4 3 3" xfId="39331"/>
    <cellStyle name="Percent 2 2 2 4 3 3 2" xfId="39332"/>
    <cellStyle name="Percent 2 2 2 4 3 4" xfId="39333"/>
    <cellStyle name="Percent 2 2 2 4 3 4 2" xfId="39334"/>
    <cellStyle name="Percent 2 2 2 4 3 5" xfId="39335"/>
    <cellStyle name="Percent 2 2 2 4 3 6" xfId="39336"/>
    <cellStyle name="Percent 2 2 2 4 4" xfId="39337"/>
    <cellStyle name="Percent 2 2 2 4 4 2" xfId="39338"/>
    <cellStyle name="Percent 2 2 2 4 4 2 2" xfId="39339"/>
    <cellStyle name="Percent 2 2 2 4 4 3" xfId="39340"/>
    <cellStyle name="Percent 2 2 2 4 4 3 2" xfId="39341"/>
    <cellStyle name="Percent 2 2 2 4 4 4" xfId="39342"/>
    <cellStyle name="Percent 2 2 2 4 4 4 2" xfId="39343"/>
    <cellStyle name="Percent 2 2 2 4 4 5" xfId="39344"/>
    <cellStyle name="Percent 2 2 2 4 4 6" xfId="39345"/>
    <cellStyle name="Percent 2 2 2 4 5" xfId="39346"/>
    <cellStyle name="Percent 2 2 2 4 5 2" xfId="39347"/>
    <cellStyle name="Percent 2 2 2 4 5 2 2" xfId="39348"/>
    <cellStyle name="Percent 2 2 2 4 5 3" xfId="39349"/>
    <cellStyle name="Percent 2 2 2 4 5 3 2" xfId="39350"/>
    <cellStyle name="Percent 2 2 2 4 5 4" xfId="39351"/>
    <cellStyle name="Percent 2 2 2 4 5 5" xfId="39352"/>
    <cellStyle name="Percent 2 2 2 4 6" xfId="39353"/>
    <cellStyle name="Percent 2 2 2 4 6 2" xfId="39354"/>
    <cellStyle name="Percent 2 2 2 4 7" xfId="39355"/>
    <cellStyle name="Percent 2 2 2 4 7 2" xfId="39356"/>
    <cellStyle name="Percent 2 2 2 4 8" xfId="39357"/>
    <cellStyle name="Percent 2 2 2 4 8 2" xfId="39358"/>
    <cellStyle name="Percent 2 2 2 4 9" xfId="39359"/>
    <cellStyle name="Percent 2 2 2 5" xfId="39360"/>
    <cellStyle name="Percent 2 2 2 5 2" xfId="39361"/>
    <cellStyle name="Percent 2 2 2 5 2 2" xfId="39362"/>
    <cellStyle name="Percent 2 2 2 5 3" xfId="39363"/>
    <cellStyle name="Percent 2 2 2 5 3 2" xfId="39364"/>
    <cellStyle name="Percent 2 2 2 5 4" xfId="39365"/>
    <cellStyle name="Percent 2 2 2 5 4 2" xfId="39366"/>
    <cellStyle name="Percent 2 2 2 5 5" xfId="39367"/>
    <cellStyle name="Percent 2 2 2 5 6" xfId="39368"/>
    <cellStyle name="Percent 2 2 2 6" xfId="39369"/>
    <cellStyle name="Percent 2 2 2 6 2" xfId="39370"/>
    <cellStyle name="Percent 2 2 2 6 2 2" xfId="39371"/>
    <cellStyle name="Percent 2 2 2 6 3" xfId="39372"/>
    <cellStyle name="Percent 2 2 2 6 3 2" xfId="39373"/>
    <cellStyle name="Percent 2 2 2 6 4" xfId="39374"/>
    <cellStyle name="Percent 2 2 2 6 4 2" xfId="39375"/>
    <cellStyle name="Percent 2 2 2 6 5" xfId="39376"/>
    <cellStyle name="Percent 2 2 2 6 6" xfId="39377"/>
    <cellStyle name="Percent 2 2 2 7" xfId="39378"/>
    <cellStyle name="Percent 2 2 2 7 2" xfId="39379"/>
    <cellStyle name="Percent 2 2 2 7 2 2" xfId="39380"/>
    <cellStyle name="Percent 2 2 2 7 3" xfId="39381"/>
    <cellStyle name="Percent 2 2 2 7 3 2" xfId="39382"/>
    <cellStyle name="Percent 2 2 2 7 4" xfId="39383"/>
    <cellStyle name="Percent 2 2 2 7 4 2" xfId="39384"/>
    <cellStyle name="Percent 2 2 2 7 5" xfId="39385"/>
    <cellStyle name="Percent 2 2 2 7 6" xfId="39386"/>
    <cellStyle name="Percent 2 2 2 8" xfId="39387"/>
    <cellStyle name="Percent 2 2 2 8 2" xfId="39388"/>
    <cellStyle name="Percent 2 2 2 8 2 2" xfId="39389"/>
    <cellStyle name="Percent 2 2 2 8 3" xfId="39390"/>
    <cellStyle name="Percent 2 2 2 8 3 2" xfId="39391"/>
    <cellStyle name="Percent 2 2 2 8 4" xfId="39392"/>
    <cellStyle name="Percent 2 2 2 8 5" xfId="39393"/>
    <cellStyle name="Percent 2 2 2 9" xfId="39394"/>
    <cellStyle name="Percent 2 2 2 9 2" xfId="39395"/>
    <cellStyle name="Percent 2 2 3" xfId="17695"/>
    <cellStyle name="Percent 2 2 3 10" xfId="39396"/>
    <cellStyle name="Percent 2 2 3 10 2" xfId="39397"/>
    <cellStyle name="Percent 2 2 3 11" xfId="39398"/>
    <cellStyle name="Percent 2 2 3 11 2" xfId="39399"/>
    <cellStyle name="Percent 2 2 3 12" xfId="39400"/>
    <cellStyle name="Percent 2 2 3 13" xfId="39401"/>
    <cellStyle name="Percent 2 2 3 2" xfId="39402"/>
    <cellStyle name="Percent 2 2 3 2 10" xfId="39403"/>
    <cellStyle name="Percent 2 2 3 2 11" xfId="39404"/>
    <cellStyle name="Percent 2 2 3 2 2" xfId="39405"/>
    <cellStyle name="Percent 2 2 3 2 2 2" xfId="39406"/>
    <cellStyle name="Percent 2 2 3 2 2 2 2" xfId="39407"/>
    <cellStyle name="Percent 2 2 3 2 2 3" xfId="39408"/>
    <cellStyle name="Percent 2 2 3 2 2 3 2" xfId="39409"/>
    <cellStyle name="Percent 2 2 3 2 2 4" xfId="39410"/>
    <cellStyle name="Percent 2 2 3 2 2 4 2" xfId="39411"/>
    <cellStyle name="Percent 2 2 3 2 2 5" xfId="39412"/>
    <cellStyle name="Percent 2 2 3 2 2 6" xfId="39413"/>
    <cellStyle name="Percent 2 2 3 2 3" xfId="39414"/>
    <cellStyle name="Percent 2 2 3 2 3 2" xfId="39415"/>
    <cellStyle name="Percent 2 2 3 2 3 2 2" xfId="39416"/>
    <cellStyle name="Percent 2 2 3 2 3 3" xfId="39417"/>
    <cellStyle name="Percent 2 2 3 2 3 3 2" xfId="39418"/>
    <cellStyle name="Percent 2 2 3 2 3 4" xfId="39419"/>
    <cellStyle name="Percent 2 2 3 2 3 4 2" xfId="39420"/>
    <cellStyle name="Percent 2 2 3 2 3 5" xfId="39421"/>
    <cellStyle name="Percent 2 2 3 2 3 6" xfId="39422"/>
    <cellStyle name="Percent 2 2 3 2 4" xfId="39423"/>
    <cellStyle name="Percent 2 2 3 2 4 2" xfId="39424"/>
    <cellStyle name="Percent 2 2 3 2 4 2 2" xfId="39425"/>
    <cellStyle name="Percent 2 2 3 2 4 3" xfId="39426"/>
    <cellStyle name="Percent 2 2 3 2 4 3 2" xfId="39427"/>
    <cellStyle name="Percent 2 2 3 2 4 4" xfId="39428"/>
    <cellStyle name="Percent 2 2 3 2 4 4 2" xfId="39429"/>
    <cellStyle name="Percent 2 2 3 2 4 5" xfId="39430"/>
    <cellStyle name="Percent 2 2 3 2 4 6" xfId="39431"/>
    <cellStyle name="Percent 2 2 3 2 5" xfId="39432"/>
    <cellStyle name="Percent 2 2 3 2 5 2" xfId="39433"/>
    <cellStyle name="Percent 2 2 3 2 5 2 2" xfId="39434"/>
    <cellStyle name="Percent 2 2 3 2 5 3" xfId="39435"/>
    <cellStyle name="Percent 2 2 3 2 5 3 2" xfId="39436"/>
    <cellStyle name="Percent 2 2 3 2 5 4" xfId="39437"/>
    <cellStyle name="Percent 2 2 3 2 5 4 2" xfId="39438"/>
    <cellStyle name="Percent 2 2 3 2 5 5" xfId="39439"/>
    <cellStyle name="Percent 2 2 3 2 5 6" xfId="39440"/>
    <cellStyle name="Percent 2 2 3 2 6" xfId="39441"/>
    <cellStyle name="Percent 2 2 3 2 6 2" xfId="39442"/>
    <cellStyle name="Percent 2 2 3 2 6 2 2" xfId="39443"/>
    <cellStyle name="Percent 2 2 3 2 6 3" xfId="39444"/>
    <cellStyle name="Percent 2 2 3 2 6 3 2" xfId="39445"/>
    <cellStyle name="Percent 2 2 3 2 6 4" xfId="39446"/>
    <cellStyle name="Percent 2 2 3 2 6 5" xfId="39447"/>
    <cellStyle name="Percent 2 2 3 2 7" xfId="39448"/>
    <cellStyle name="Percent 2 2 3 2 7 2" xfId="39449"/>
    <cellStyle name="Percent 2 2 3 2 8" xfId="39450"/>
    <cellStyle name="Percent 2 2 3 2 8 2" xfId="39451"/>
    <cellStyle name="Percent 2 2 3 2 9" xfId="39452"/>
    <cellStyle name="Percent 2 2 3 2 9 2" xfId="39453"/>
    <cellStyle name="Percent 2 2 3 3" xfId="39454"/>
    <cellStyle name="Percent 2 2 3 3 10" xfId="39455"/>
    <cellStyle name="Percent 2 2 3 3 2" xfId="39456"/>
    <cellStyle name="Percent 2 2 3 3 2 2" xfId="39457"/>
    <cellStyle name="Percent 2 2 3 3 2 2 2" xfId="39458"/>
    <cellStyle name="Percent 2 2 3 3 2 3" xfId="39459"/>
    <cellStyle name="Percent 2 2 3 3 2 3 2" xfId="39460"/>
    <cellStyle name="Percent 2 2 3 3 2 4" xfId="39461"/>
    <cellStyle name="Percent 2 2 3 3 2 4 2" xfId="39462"/>
    <cellStyle name="Percent 2 2 3 3 2 5" xfId="39463"/>
    <cellStyle name="Percent 2 2 3 3 2 6" xfId="39464"/>
    <cellStyle name="Percent 2 2 3 3 3" xfId="39465"/>
    <cellStyle name="Percent 2 2 3 3 3 2" xfId="39466"/>
    <cellStyle name="Percent 2 2 3 3 3 2 2" xfId="39467"/>
    <cellStyle name="Percent 2 2 3 3 3 3" xfId="39468"/>
    <cellStyle name="Percent 2 2 3 3 3 3 2" xfId="39469"/>
    <cellStyle name="Percent 2 2 3 3 3 4" xfId="39470"/>
    <cellStyle name="Percent 2 2 3 3 3 4 2" xfId="39471"/>
    <cellStyle name="Percent 2 2 3 3 3 5" xfId="39472"/>
    <cellStyle name="Percent 2 2 3 3 3 6" xfId="39473"/>
    <cellStyle name="Percent 2 2 3 3 4" xfId="39474"/>
    <cellStyle name="Percent 2 2 3 3 4 2" xfId="39475"/>
    <cellStyle name="Percent 2 2 3 3 4 2 2" xfId="39476"/>
    <cellStyle name="Percent 2 2 3 3 4 3" xfId="39477"/>
    <cellStyle name="Percent 2 2 3 3 4 3 2" xfId="39478"/>
    <cellStyle name="Percent 2 2 3 3 4 4" xfId="39479"/>
    <cellStyle name="Percent 2 2 3 3 4 4 2" xfId="39480"/>
    <cellStyle name="Percent 2 2 3 3 4 5" xfId="39481"/>
    <cellStyle name="Percent 2 2 3 3 4 6" xfId="39482"/>
    <cellStyle name="Percent 2 2 3 3 5" xfId="39483"/>
    <cellStyle name="Percent 2 2 3 3 5 2" xfId="39484"/>
    <cellStyle name="Percent 2 2 3 3 5 2 2" xfId="39485"/>
    <cellStyle name="Percent 2 2 3 3 5 3" xfId="39486"/>
    <cellStyle name="Percent 2 2 3 3 5 3 2" xfId="39487"/>
    <cellStyle name="Percent 2 2 3 3 5 4" xfId="39488"/>
    <cellStyle name="Percent 2 2 3 3 5 5" xfId="39489"/>
    <cellStyle name="Percent 2 2 3 3 6" xfId="39490"/>
    <cellStyle name="Percent 2 2 3 3 6 2" xfId="39491"/>
    <cellStyle name="Percent 2 2 3 3 7" xfId="39492"/>
    <cellStyle name="Percent 2 2 3 3 7 2" xfId="39493"/>
    <cellStyle name="Percent 2 2 3 3 8" xfId="39494"/>
    <cellStyle name="Percent 2 2 3 3 8 2" xfId="39495"/>
    <cellStyle name="Percent 2 2 3 3 9" xfId="39496"/>
    <cellStyle name="Percent 2 2 3 4" xfId="39497"/>
    <cellStyle name="Percent 2 2 3 4 10" xfId="39498"/>
    <cellStyle name="Percent 2 2 3 4 2" xfId="39499"/>
    <cellStyle name="Percent 2 2 3 4 2 2" xfId="39500"/>
    <cellStyle name="Percent 2 2 3 4 2 2 2" xfId="39501"/>
    <cellStyle name="Percent 2 2 3 4 2 3" xfId="39502"/>
    <cellStyle name="Percent 2 2 3 4 2 3 2" xfId="39503"/>
    <cellStyle name="Percent 2 2 3 4 2 4" xfId="39504"/>
    <cellStyle name="Percent 2 2 3 4 2 4 2" xfId="39505"/>
    <cellStyle name="Percent 2 2 3 4 2 5" xfId="39506"/>
    <cellStyle name="Percent 2 2 3 4 2 6" xfId="39507"/>
    <cellStyle name="Percent 2 2 3 4 3" xfId="39508"/>
    <cellStyle name="Percent 2 2 3 4 3 2" xfId="39509"/>
    <cellStyle name="Percent 2 2 3 4 3 2 2" xfId="39510"/>
    <cellStyle name="Percent 2 2 3 4 3 3" xfId="39511"/>
    <cellStyle name="Percent 2 2 3 4 3 3 2" xfId="39512"/>
    <cellStyle name="Percent 2 2 3 4 3 4" xfId="39513"/>
    <cellStyle name="Percent 2 2 3 4 3 4 2" xfId="39514"/>
    <cellStyle name="Percent 2 2 3 4 3 5" xfId="39515"/>
    <cellStyle name="Percent 2 2 3 4 3 6" xfId="39516"/>
    <cellStyle name="Percent 2 2 3 4 4" xfId="39517"/>
    <cellStyle name="Percent 2 2 3 4 4 2" xfId="39518"/>
    <cellStyle name="Percent 2 2 3 4 4 2 2" xfId="39519"/>
    <cellStyle name="Percent 2 2 3 4 4 3" xfId="39520"/>
    <cellStyle name="Percent 2 2 3 4 4 3 2" xfId="39521"/>
    <cellStyle name="Percent 2 2 3 4 4 4" xfId="39522"/>
    <cellStyle name="Percent 2 2 3 4 4 4 2" xfId="39523"/>
    <cellStyle name="Percent 2 2 3 4 4 5" xfId="39524"/>
    <cellStyle name="Percent 2 2 3 4 4 6" xfId="39525"/>
    <cellStyle name="Percent 2 2 3 4 5" xfId="39526"/>
    <cellStyle name="Percent 2 2 3 4 5 2" xfId="39527"/>
    <cellStyle name="Percent 2 2 3 4 5 2 2" xfId="39528"/>
    <cellStyle name="Percent 2 2 3 4 5 3" xfId="39529"/>
    <cellStyle name="Percent 2 2 3 4 5 3 2" xfId="39530"/>
    <cellStyle name="Percent 2 2 3 4 5 4" xfId="39531"/>
    <cellStyle name="Percent 2 2 3 4 5 5" xfId="39532"/>
    <cellStyle name="Percent 2 2 3 4 6" xfId="39533"/>
    <cellStyle name="Percent 2 2 3 4 6 2" xfId="39534"/>
    <cellStyle name="Percent 2 2 3 4 7" xfId="39535"/>
    <cellStyle name="Percent 2 2 3 4 7 2" xfId="39536"/>
    <cellStyle name="Percent 2 2 3 4 8" xfId="39537"/>
    <cellStyle name="Percent 2 2 3 4 8 2" xfId="39538"/>
    <cellStyle name="Percent 2 2 3 4 9" xfId="39539"/>
    <cellStyle name="Percent 2 2 3 5" xfId="39540"/>
    <cellStyle name="Percent 2 2 3 5 2" xfId="39541"/>
    <cellStyle name="Percent 2 2 3 5 2 2" xfId="39542"/>
    <cellStyle name="Percent 2 2 3 5 3" xfId="39543"/>
    <cellStyle name="Percent 2 2 3 5 3 2" xfId="39544"/>
    <cellStyle name="Percent 2 2 3 5 4" xfId="39545"/>
    <cellStyle name="Percent 2 2 3 5 4 2" xfId="39546"/>
    <cellStyle name="Percent 2 2 3 5 5" xfId="39547"/>
    <cellStyle name="Percent 2 2 3 5 6" xfId="39548"/>
    <cellStyle name="Percent 2 2 3 6" xfId="39549"/>
    <cellStyle name="Percent 2 2 3 6 2" xfId="39550"/>
    <cellStyle name="Percent 2 2 3 6 2 2" xfId="39551"/>
    <cellStyle name="Percent 2 2 3 6 3" xfId="39552"/>
    <cellStyle name="Percent 2 2 3 6 3 2" xfId="39553"/>
    <cellStyle name="Percent 2 2 3 6 4" xfId="39554"/>
    <cellStyle name="Percent 2 2 3 6 4 2" xfId="39555"/>
    <cellStyle name="Percent 2 2 3 6 5" xfId="39556"/>
    <cellStyle name="Percent 2 2 3 6 6" xfId="39557"/>
    <cellStyle name="Percent 2 2 3 7" xfId="39558"/>
    <cellStyle name="Percent 2 2 3 7 2" xfId="39559"/>
    <cellStyle name="Percent 2 2 3 7 2 2" xfId="39560"/>
    <cellStyle name="Percent 2 2 3 7 3" xfId="39561"/>
    <cellStyle name="Percent 2 2 3 7 3 2" xfId="39562"/>
    <cellStyle name="Percent 2 2 3 7 4" xfId="39563"/>
    <cellStyle name="Percent 2 2 3 7 4 2" xfId="39564"/>
    <cellStyle name="Percent 2 2 3 7 5" xfId="39565"/>
    <cellStyle name="Percent 2 2 3 7 6" xfId="39566"/>
    <cellStyle name="Percent 2 2 3 8" xfId="39567"/>
    <cellStyle name="Percent 2 2 3 8 2" xfId="39568"/>
    <cellStyle name="Percent 2 2 3 8 2 2" xfId="39569"/>
    <cellStyle name="Percent 2 2 3 8 3" xfId="39570"/>
    <cellStyle name="Percent 2 2 3 8 3 2" xfId="39571"/>
    <cellStyle name="Percent 2 2 3 8 4" xfId="39572"/>
    <cellStyle name="Percent 2 2 3 8 5" xfId="39573"/>
    <cellStyle name="Percent 2 2 3 9" xfId="39574"/>
    <cellStyle name="Percent 2 2 3 9 2" xfId="39575"/>
    <cellStyle name="Percent 2 2 4" xfId="39576"/>
    <cellStyle name="Percent 2 2 4 10" xfId="39577"/>
    <cellStyle name="Percent 2 2 4 10 2" xfId="39578"/>
    <cellStyle name="Percent 2 2 4 11" xfId="39579"/>
    <cellStyle name="Percent 2 2 4 12" xfId="39580"/>
    <cellStyle name="Percent 2 2 4 2" xfId="39581"/>
    <cellStyle name="Percent 2 2 4 2 10" xfId="39582"/>
    <cellStyle name="Percent 2 2 4 2 2" xfId="39583"/>
    <cellStyle name="Percent 2 2 4 2 2 2" xfId="39584"/>
    <cellStyle name="Percent 2 2 4 2 2 2 2" xfId="39585"/>
    <cellStyle name="Percent 2 2 4 2 2 3" xfId="39586"/>
    <cellStyle name="Percent 2 2 4 2 2 3 2" xfId="39587"/>
    <cellStyle name="Percent 2 2 4 2 2 4" xfId="39588"/>
    <cellStyle name="Percent 2 2 4 2 2 4 2" xfId="39589"/>
    <cellStyle name="Percent 2 2 4 2 2 5" xfId="39590"/>
    <cellStyle name="Percent 2 2 4 2 2 6" xfId="39591"/>
    <cellStyle name="Percent 2 2 4 2 3" xfId="39592"/>
    <cellStyle name="Percent 2 2 4 2 3 2" xfId="39593"/>
    <cellStyle name="Percent 2 2 4 2 3 2 2" xfId="39594"/>
    <cellStyle name="Percent 2 2 4 2 3 3" xfId="39595"/>
    <cellStyle name="Percent 2 2 4 2 3 3 2" xfId="39596"/>
    <cellStyle name="Percent 2 2 4 2 3 4" xfId="39597"/>
    <cellStyle name="Percent 2 2 4 2 3 4 2" xfId="39598"/>
    <cellStyle name="Percent 2 2 4 2 3 5" xfId="39599"/>
    <cellStyle name="Percent 2 2 4 2 3 6" xfId="39600"/>
    <cellStyle name="Percent 2 2 4 2 4" xfId="39601"/>
    <cellStyle name="Percent 2 2 4 2 4 2" xfId="39602"/>
    <cellStyle name="Percent 2 2 4 2 4 2 2" xfId="39603"/>
    <cellStyle name="Percent 2 2 4 2 4 3" xfId="39604"/>
    <cellStyle name="Percent 2 2 4 2 4 3 2" xfId="39605"/>
    <cellStyle name="Percent 2 2 4 2 4 4" xfId="39606"/>
    <cellStyle name="Percent 2 2 4 2 4 4 2" xfId="39607"/>
    <cellStyle name="Percent 2 2 4 2 4 5" xfId="39608"/>
    <cellStyle name="Percent 2 2 4 2 4 6" xfId="39609"/>
    <cellStyle name="Percent 2 2 4 2 5" xfId="39610"/>
    <cellStyle name="Percent 2 2 4 2 5 2" xfId="39611"/>
    <cellStyle name="Percent 2 2 4 2 5 2 2" xfId="39612"/>
    <cellStyle name="Percent 2 2 4 2 5 3" xfId="39613"/>
    <cellStyle name="Percent 2 2 4 2 5 3 2" xfId="39614"/>
    <cellStyle name="Percent 2 2 4 2 5 4" xfId="39615"/>
    <cellStyle name="Percent 2 2 4 2 5 5" xfId="39616"/>
    <cellStyle name="Percent 2 2 4 2 6" xfId="39617"/>
    <cellStyle name="Percent 2 2 4 2 6 2" xfId="39618"/>
    <cellStyle name="Percent 2 2 4 2 7" xfId="39619"/>
    <cellStyle name="Percent 2 2 4 2 7 2" xfId="39620"/>
    <cellStyle name="Percent 2 2 4 2 8" xfId="39621"/>
    <cellStyle name="Percent 2 2 4 2 8 2" xfId="39622"/>
    <cellStyle name="Percent 2 2 4 2 9" xfId="39623"/>
    <cellStyle name="Percent 2 2 4 3" xfId="39624"/>
    <cellStyle name="Percent 2 2 4 3 10" xfId="39625"/>
    <cellStyle name="Percent 2 2 4 3 2" xfId="39626"/>
    <cellStyle name="Percent 2 2 4 3 2 2" xfId="39627"/>
    <cellStyle name="Percent 2 2 4 3 2 2 2" xfId="39628"/>
    <cellStyle name="Percent 2 2 4 3 2 3" xfId="39629"/>
    <cellStyle name="Percent 2 2 4 3 2 3 2" xfId="39630"/>
    <cellStyle name="Percent 2 2 4 3 2 4" xfId="39631"/>
    <cellStyle name="Percent 2 2 4 3 2 4 2" xfId="39632"/>
    <cellStyle name="Percent 2 2 4 3 2 5" xfId="39633"/>
    <cellStyle name="Percent 2 2 4 3 2 6" xfId="39634"/>
    <cellStyle name="Percent 2 2 4 3 3" xfId="39635"/>
    <cellStyle name="Percent 2 2 4 3 3 2" xfId="39636"/>
    <cellStyle name="Percent 2 2 4 3 3 2 2" xfId="39637"/>
    <cellStyle name="Percent 2 2 4 3 3 3" xfId="39638"/>
    <cellStyle name="Percent 2 2 4 3 3 3 2" xfId="39639"/>
    <cellStyle name="Percent 2 2 4 3 3 4" xfId="39640"/>
    <cellStyle name="Percent 2 2 4 3 3 4 2" xfId="39641"/>
    <cellStyle name="Percent 2 2 4 3 3 5" xfId="39642"/>
    <cellStyle name="Percent 2 2 4 3 3 6" xfId="39643"/>
    <cellStyle name="Percent 2 2 4 3 4" xfId="39644"/>
    <cellStyle name="Percent 2 2 4 3 4 2" xfId="39645"/>
    <cellStyle name="Percent 2 2 4 3 4 2 2" xfId="39646"/>
    <cellStyle name="Percent 2 2 4 3 4 3" xfId="39647"/>
    <cellStyle name="Percent 2 2 4 3 4 3 2" xfId="39648"/>
    <cellStyle name="Percent 2 2 4 3 4 4" xfId="39649"/>
    <cellStyle name="Percent 2 2 4 3 4 4 2" xfId="39650"/>
    <cellStyle name="Percent 2 2 4 3 4 5" xfId="39651"/>
    <cellStyle name="Percent 2 2 4 3 4 6" xfId="39652"/>
    <cellStyle name="Percent 2 2 4 3 5" xfId="39653"/>
    <cellStyle name="Percent 2 2 4 3 5 2" xfId="39654"/>
    <cellStyle name="Percent 2 2 4 3 5 2 2" xfId="39655"/>
    <cellStyle name="Percent 2 2 4 3 5 3" xfId="39656"/>
    <cellStyle name="Percent 2 2 4 3 5 3 2" xfId="39657"/>
    <cellStyle name="Percent 2 2 4 3 5 4" xfId="39658"/>
    <cellStyle name="Percent 2 2 4 3 5 5" xfId="39659"/>
    <cellStyle name="Percent 2 2 4 3 6" xfId="39660"/>
    <cellStyle name="Percent 2 2 4 3 6 2" xfId="39661"/>
    <cellStyle name="Percent 2 2 4 3 7" xfId="39662"/>
    <cellStyle name="Percent 2 2 4 3 7 2" xfId="39663"/>
    <cellStyle name="Percent 2 2 4 3 8" xfId="39664"/>
    <cellStyle name="Percent 2 2 4 3 8 2" xfId="39665"/>
    <cellStyle name="Percent 2 2 4 3 9" xfId="39666"/>
    <cellStyle name="Percent 2 2 4 4" xfId="39667"/>
    <cellStyle name="Percent 2 2 4 4 2" xfId="39668"/>
    <cellStyle name="Percent 2 2 4 4 2 2" xfId="39669"/>
    <cellStyle name="Percent 2 2 4 4 3" xfId="39670"/>
    <cellStyle name="Percent 2 2 4 4 3 2" xfId="39671"/>
    <cellStyle name="Percent 2 2 4 4 4" xfId="39672"/>
    <cellStyle name="Percent 2 2 4 4 4 2" xfId="39673"/>
    <cellStyle name="Percent 2 2 4 4 5" xfId="39674"/>
    <cellStyle name="Percent 2 2 4 4 6" xfId="39675"/>
    <cellStyle name="Percent 2 2 4 5" xfId="39676"/>
    <cellStyle name="Percent 2 2 4 5 2" xfId="39677"/>
    <cellStyle name="Percent 2 2 4 5 2 2" xfId="39678"/>
    <cellStyle name="Percent 2 2 4 5 3" xfId="39679"/>
    <cellStyle name="Percent 2 2 4 5 3 2" xfId="39680"/>
    <cellStyle name="Percent 2 2 4 5 4" xfId="39681"/>
    <cellStyle name="Percent 2 2 4 5 4 2" xfId="39682"/>
    <cellStyle name="Percent 2 2 4 5 5" xfId="39683"/>
    <cellStyle name="Percent 2 2 4 5 6" xfId="39684"/>
    <cellStyle name="Percent 2 2 4 6" xfId="39685"/>
    <cellStyle name="Percent 2 2 4 6 2" xfId="39686"/>
    <cellStyle name="Percent 2 2 4 6 2 2" xfId="39687"/>
    <cellStyle name="Percent 2 2 4 6 3" xfId="39688"/>
    <cellStyle name="Percent 2 2 4 6 3 2" xfId="39689"/>
    <cellStyle name="Percent 2 2 4 6 4" xfId="39690"/>
    <cellStyle name="Percent 2 2 4 6 4 2" xfId="39691"/>
    <cellStyle name="Percent 2 2 4 6 5" xfId="39692"/>
    <cellStyle name="Percent 2 2 4 6 6" xfId="39693"/>
    <cellStyle name="Percent 2 2 4 7" xfId="39694"/>
    <cellStyle name="Percent 2 2 4 7 2" xfId="39695"/>
    <cellStyle name="Percent 2 2 4 7 2 2" xfId="39696"/>
    <cellStyle name="Percent 2 2 4 7 3" xfId="39697"/>
    <cellStyle name="Percent 2 2 4 7 3 2" xfId="39698"/>
    <cellStyle name="Percent 2 2 4 7 4" xfId="39699"/>
    <cellStyle name="Percent 2 2 4 7 5" xfId="39700"/>
    <cellStyle name="Percent 2 2 4 8" xfId="39701"/>
    <cellStyle name="Percent 2 2 4 8 2" xfId="39702"/>
    <cellStyle name="Percent 2 2 4 9" xfId="39703"/>
    <cellStyle name="Percent 2 2 4 9 2" xfId="39704"/>
    <cellStyle name="Percent 2 2 5" xfId="39705"/>
    <cellStyle name="Percent 2 2 5 10" xfId="39706"/>
    <cellStyle name="Percent 2 2 5 11" xfId="39707"/>
    <cellStyle name="Percent 2 2 5 2" xfId="39708"/>
    <cellStyle name="Percent 2 2 5 2 2" xfId="39709"/>
    <cellStyle name="Percent 2 2 5 2 2 2" xfId="39710"/>
    <cellStyle name="Percent 2 2 5 2 3" xfId="39711"/>
    <cellStyle name="Percent 2 2 5 2 3 2" xfId="39712"/>
    <cellStyle name="Percent 2 2 5 2 4" xfId="39713"/>
    <cellStyle name="Percent 2 2 5 2 4 2" xfId="39714"/>
    <cellStyle name="Percent 2 2 5 2 5" xfId="39715"/>
    <cellStyle name="Percent 2 2 5 2 6" xfId="39716"/>
    <cellStyle name="Percent 2 2 5 3" xfId="39717"/>
    <cellStyle name="Percent 2 2 5 3 2" xfId="39718"/>
    <cellStyle name="Percent 2 2 5 3 2 2" xfId="39719"/>
    <cellStyle name="Percent 2 2 5 3 3" xfId="39720"/>
    <cellStyle name="Percent 2 2 5 3 3 2" xfId="39721"/>
    <cellStyle name="Percent 2 2 5 3 4" xfId="39722"/>
    <cellStyle name="Percent 2 2 5 3 4 2" xfId="39723"/>
    <cellStyle name="Percent 2 2 5 3 5" xfId="39724"/>
    <cellStyle name="Percent 2 2 5 3 6" xfId="39725"/>
    <cellStyle name="Percent 2 2 5 4" xfId="39726"/>
    <cellStyle name="Percent 2 2 5 4 2" xfId="39727"/>
    <cellStyle name="Percent 2 2 5 4 2 2" xfId="39728"/>
    <cellStyle name="Percent 2 2 5 4 3" xfId="39729"/>
    <cellStyle name="Percent 2 2 5 4 3 2" xfId="39730"/>
    <cellStyle name="Percent 2 2 5 4 4" xfId="39731"/>
    <cellStyle name="Percent 2 2 5 4 4 2" xfId="39732"/>
    <cellStyle name="Percent 2 2 5 4 5" xfId="39733"/>
    <cellStyle name="Percent 2 2 5 4 6" xfId="39734"/>
    <cellStyle name="Percent 2 2 5 5" xfId="39735"/>
    <cellStyle name="Percent 2 2 5 5 2" xfId="39736"/>
    <cellStyle name="Percent 2 2 5 5 2 2" xfId="39737"/>
    <cellStyle name="Percent 2 2 5 5 3" xfId="39738"/>
    <cellStyle name="Percent 2 2 5 5 3 2" xfId="39739"/>
    <cellStyle name="Percent 2 2 5 5 4" xfId="39740"/>
    <cellStyle name="Percent 2 2 5 5 4 2" xfId="39741"/>
    <cellStyle name="Percent 2 2 5 5 5" xfId="39742"/>
    <cellStyle name="Percent 2 2 5 5 6" xfId="39743"/>
    <cellStyle name="Percent 2 2 5 6" xfId="39744"/>
    <cellStyle name="Percent 2 2 5 6 2" xfId="39745"/>
    <cellStyle name="Percent 2 2 5 6 2 2" xfId="39746"/>
    <cellStyle name="Percent 2 2 5 6 3" xfId="39747"/>
    <cellStyle name="Percent 2 2 5 6 3 2" xfId="39748"/>
    <cellStyle name="Percent 2 2 5 6 4" xfId="39749"/>
    <cellStyle name="Percent 2 2 5 6 5" xfId="39750"/>
    <cellStyle name="Percent 2 2 5 7" xfId="39751"/>
    <cellStyle name="Percent 2 2 5 7 2" xfId="39752"/>
    <cellStyle name="Percent 2 2 5 8" xfId="39753"/>
    <cellStyle name="Percent 2 2 5 8 2" xfId="39754"/>
    <cellStyle name="Percent 2 2 5 9" xfId="39755"/>
    <cellStyle name="Percent 2 2 5 9 2" xfId="39756"/>
    <cellStyle name="Percent 2 2 6" xfId="39757"/>
    <cellStyle name="Percent 2 2 6 10" xfId="39758"/>
    <cellStyle name="Percent 2 2 6 2" xfId="39759"/>
    <cellStyle name="Percent 2 2 6 2 2" xfId="39760"/>
    <cellStyle name="Percent 2 2 6 2 2 2" xfId="39761"/>
    <cellStyle name="Percent 2 2 6 2 3" xfId="39762"/>
    <cellStyle name="Percent 2 2 6 2 3 2" xfId="39763"/>
    <cellStyle name="Percent 2 2 6 2 4" xfId="39764"/>
    <cellStyle name="Percent 2 2 6 2 4 2" xfId="39765"/>
    <cellStyle name="Percent 2 2 6 2 5" xfId="39766"/>
    <cellStyle name="Percent 2 2 6 2 6" xfId="39767"/>
    <cellStyle name="Percent 2 2 6 3" xfId="39768"/>
    <cellStyle name="Percent 2 2 6 3 2" xfId="39769"/>
    <cellStyle name="Percent 2 2 6 3 2 2" xfId="39770"/>
    <cellStyle name="Percent 2 2 6 3 3" xfId="39771"/>
    <cellStyle name="Percent 2 2 6 3 3 2" xfId="39772"/>
    <cellStyle name="Percent 2 2 6 3 4" xfId="39773"/>
    <cellStyle name="Percent 2 2 6 3 4 2" xfId="39774"/>
    <cellStyle name="Percent 2 2 6 3 5" xfId="39775"/>
    <cellStyle name="Percent 2 2 6 3 6" xfId="39776"/>
    <cellStyle name="Percent 2 2 6 4" xfId="39777"/>
    <cellStyle name="Percent 2 2 6 4 2" xfId="39778"/>
    <cellStyle name="Percent 2 2 6 4 2 2" xfId="39779"/>
    <cellStyle name="Percent 2 2 6 4 3" xfId="39780"/>
    <cellStyle name="Percent 2 2 6 4 3 2" xfId="39781"/>
    <cellStyle name="Percent 2 2 6 4 4" xfId="39782"/>
    <cellStyle name="Percent 2 2 6 4 4 2" xfId="39783"/>
    <cellStyle name="Percent 2 2 6 4 5" xfId="39784"/>
    <cellStyle name="Percent 2 2 6 4 6" xfId="39785"/>
    <cellStyle name="Percent 2 2 6 5" xfId="39786"/>
    <cellStyle name="Percent 2 2 6 5 2" xfId="39787"/>
    <cellStyle name="Percent 2 2 6 5 2 2" xfId="39788"/>
    <cellStyle name="Percent 2 2 6 5 3" xfId="39789"/>
    <cellStyle name="Percent 2 2 6 5 3 2" xfId="39790"/>
    <cellStyle name="Percent 2 2 6 5 4" xfId="39791"/>
    <cellStyle name="Percent 2 2 6 5 5" xfId="39792"/>
    <cellStyle name="Percent 2 2 6 6" xfId="39793"/>
    <cellStyle name="Percent 2 2 6 6 2" xfId="39794"/>
    <cellStyle name="Percent 2 2 6 7" xfId="39795"/>
    <cellStyle name="Percent 2 2 6 7 2" xfId="39796"/>
    <cellStyle name="Percent 2 2 6 8" xfId="39797"/>
    <cellStyle name="Percent 2 2 6 8 2" xfId="39798"/>
    <cellStyle name="Percent 2 2 6 9" xfId="39799"/>
    <cellStyle name="Percent 2 2 7" xfId="39800"/>
    <cellStyle name="Percent 2 2 7 10" xfId="39801"/>
    <cellStyle name="Percent 2 2 7 2" xfId="39802"/>
    <cellStyle name="Percent 2 2 7 2 2" xfId="39803"/>
    <cellStyle name="Percent 2 2 7 2 2 2" xfId="39804"/>
    <cellStyle name="Percent 2 2 7 2 3" xfId="39805"/>
    <cellStyle name="Percent 2 2 7 2 3 2" xfId="39806"/>
    <cellStyle name="Percent 2 2 7 2 4" xfId="39807"/>
    <cellStyle name="Percent 2 2 7 2 4 2" xfId="39808"/>
    <cellStyle name="Percent 2 2 7 2 5" xfId="39809"/>
    <cellStyle name="Percent 2 2 7 2 6" xfId="39810"/>
    <cellStyle name="Percent 2 2 7 3" xfId="39811"/>
    <cellStyle name="Percent 2 2 7 3 2" xfId="39812"/>
    <cellStyle name="Percent 2 2 7 3 2 2" xfId="39813"/>
    <cellStyle name="Percent 2 2 7 3 3" xfId="39814"/>
    <cellStyle name="Percent 2 2 7 3 3 2" xfId="39815"/>
    <cellStyle name="Percent 2 2 7 3 4" xfId="39816"/>
    <cellStyle name="Percent 2 2 7 3 4 2" xfId="39817"/>
    <cellStyle name="Percent 2 2 7 3 5" xfId="39818"/>
    <cellStyle name="Percent 2 2 7 3 6" xfId="39819"/>
    <cellStyle name="Percent 2 2 7 4" xfId="39820"/>
    <cellStyle name="Percent 2 2 7 4 2" xfId="39821"/>
    <cellStyle name="Percent 2 2 7 4 2 2" xfId="39822"/>
    <cellStyle name="Percent 2 2 7 4 3" xfId="39823"/>
    <cellStyle name="Percent 2 2 7 4 3 2" xfId="39824"/>
    <cellStyle name="Percent 2 2 7 4 4" xfId="39825"/>
    <cellStyle name="Percent 2 2 7 4 4 2" xfId="39826"/>
    <cellStyle name="Percent 2 2 7 4 5" xfId="39827"/>
    <cellStyle name="Percent 2 2 7 4 6" xfId="39828"/>
    <cellStyle name="Percent 2 2 7 5" xfId="39829"/>
    <cellStyle name="Percent 2 2 7 5 2" xfId="39830"/>
    <cellStyle name="Percent 2 2 7 5 2 2" xfId="39831"/>
    <cellStyle name="Percent 2 2 7 5 3" xfId="39832"/>
    <cellStyle name="Percent 2 2 7 5 3 2" xfId="39833"/>
    <cellStyle name="Percent 2 2 7 5 4" xfId="39834"/>
    <cellStyle name="Percent 2 2 7 5 5" xfId="39835"/>
    <cellStyle name="Percent 2 2 7 6" xfId="39836"/>
    <cellStyle name="Percent 2 2 7 6 2" xfId="39837"/>
    <cellStyle name="Percent 2 2 7 7" xfId="39838"/>
    <cellStyle name="Percent 2 2 7 7 2" xfId="39839"/>
    <cellStyle name="Percent 2 2 7 8" xfId="39840"/>
    <cellStyle name="Percent 2 2 7 8 2" xfId="39841"/>
    <cellStyle name="Percent 2 2 7 9" xfId="39842"/>
    <cellStyle name="Percent 2 2 8" xfId="39843"/>
    <cellStyle name="Percent 2 2 8 2" xfId="39844"/>
    <cellStyle name="Percent 2 2 8 2 2" xfId="39845"/>
    <cellStyle name="Percent 2 2 8 3" xfId="39846"/>
    <cellStyle name="Percent 2 2 8 3 2" xfId="39847"/>
    <cellStyle name="Percent 2 2 8 4" xfId="39848"/>
    <cellStyle name="Percent 2 2 8 4 2" xfId="39849"/>
    <cellStyle name="Percent 2 2 8 5" xfId="39850"/>
    <cellStyle name="Percent 2 2 8 6" xfId="39851"/>
    <cellStyle name="Percent 2 2 9" xfId="39852"/>
    <cellStyle name="Percent 2 2 9 2" xfId="39853"/>
    <cellStyle name="Percent 2 2 9 2 2" xfId="39854"/>
    <cellStyle name="Percent 2 2 9 3" xfId="39855"/>
    <cellStyle name="Percent 2 2 9 3 2" xfId="39856"/>
    <cellStyle name="Percent 2 2 9 4" xfId="39857"/>
    <cellStyle name="Percent 2 2 9 4 2" xfId="39858"/>
    <cellStyle name="Percent 2 2 9 5" xfId="39859"/>
    <cellStyle name="Percent 2 2 9 6" xfId="39860"/>
    <cellStyle name="Percent 2 3" xfId="7810"/>
    <cellStyle name="Percent 2 3 10" xfId="39862"/>
    <cellStyle name="Percent 2 3 10 2" xfId="39863"/>
    <cellStyle name="Percent 2 3 10 2 2" xfId="39864"/>
    <cellStyle name="Percent 2 3 10 3" xfId="39865"/>
    <cellStyle name="Percent 2 3 10 3 2" xfId="39866"/>
    <cellStyle name="Percent 2 3 10 4" xfId="39867"/>
    <cellStyle name="Percent 2 3 10 4 2" xfId="39868"/>
    <cellStyle name="Percent 2 3 10 5" xfId="39869"/>
    <cellStyle name="Percent 2 3 10 6" xfId="39870"/>
    <cellStyle name="Percent 2 3 11" xfId="39871"/>
    <cellStyle name="Percent 2 3 11 2" xfId="39872"/>
    <cellStyle name="Percent 2 3 11 2 2" xfId="39873"/>
    <cellStyle name="Percent 2 3 11 3" xfId="39874"/>
    <cellStyle name="Percent 2 3 11 3 2" xfId="39875"/>
    <cellStyle name="Percent 2 3 11 4" xfId="39876"/>
    <cellStyle name="Percent 2 3 11 4 2" xfId="39877"/>
    <cellStyle name="Percent 2 3 11 5" xfId="39878"/>
    <cellStyle name="Percent 2 3 11 6" xfId="39879"/>
    <cellStyle name="Percent 2 3 12" xfId="39880"/>
    <cellStyle name="Percent 2 3 12 2" xfId="39881"/>
    <cellStyle name="Percent 2 3 12 2 2" xfId="39882"/>
    <cellStyle name="Percent 2 3 12 3" xfId="39883"/>
    <cellStyle name="Percent 2 3 12 3 2" xfId="39884"/>
    <cellStyle name="Percent 2 3 12 4" xfId="39885"/>
    <cellStyle name="Percent 2 3 12 5" xfId="39886"/>
    <cellStyle name="Percent 2 3 13" xfId="39887"/>
    <cellStyle name="Percent 2 3 13 2" xfId="39888"/>
    <cellStyle name="Percent 2 3 14" xfId="39889"/>
    <cellStyle name="Percent 2 3 14 2" xfId="39890"/>
    <cellStyle name="Percent 2 3 15" xfId="39891"/>
    <cellStyle name="Percent 2 3 15 2" xfId="39892"/>
    <cellStyle name="Percent 2 3 16" xfId="39893"/>
    <cellStyle name="Percent 2 3 17" xfId="39894"/>
    <cellStyle name="Percent 2 3 18" xfId="39895"/>
    <cellStyle name="Percent 2 3 19" xfId="39861"/>
    <cellStyle name="Percent 2 3 2" xfId="39896"/>
    <cellStyle name="Percent 2 3 3" xfId="39897"/>
    <cellStyle name="Percent 2 3 3 10" xfId="39898"/>
    <cellStyle name="Percent 2 3 3 10 2" xfId="39899"/>
    <cellStyle name="Percent 2 3 3 11" xfId="39900"/>
    <cellStyle name="Percent 2 3 3 11 2" xfId="39901"/>
    <cellStyle name="Percent 2 3 3 12" xfId="39902"/>
    <cellStyle name="Percent 2 3 3 13" xfId="39903"/>
    <cellStyle name="Percent 2 3 3 2" xfId="39904"/>
    <cellStyle name="Percent 2 3 3 2 10" xfId="39905"/>
    <cellStyle name="Percent 2 3 3 2 11" xfId="39906"/>
    <cellStyle name="Percent 2 3 3 2 2" xfId="39907"/>
    <cellStyle name="Percent 2 3 3 2 2 2" xfId="39908"/>
    <cellStyle name="Percent 2 3 3 2 2 2 2" xfId="39909"/>
    <cellStyle name="Percent 2 3 3 2 2 3" xfId="39910"/>
    <cellStyle name="Percent 2 3 3 2 2 3 2" xfId="39911"/>
    <cellStyle name="Percent 2 3 3 2 2 4" xfId="39912"/>
    <cellStyle name="Percent 2 3 3 2 2 4 2" xfId="39913"/>
    <cellStyle name="Percent 2 3 3 2 2 5" xfId="39914"/>
    <cellStyle name="Percent 2 3 3 2 2 6" xfId="39915"/>
    <cellStyle name="Percent 2 3 3 2 3" xfId="39916"/>
    <cellStyle name="Percent 2 3 3 2 3 2" xfId="39917"/>
    <cellStyle name="Percent 2 3 3 2 3 2 2" xfId="39918"/>
    <cellStyle name="Percent 2 3 3 2 3 3" xfId="39919"/>
    <cellStyle name="Percent 2 3 3 2 3 3 2" xfId="39920"/>
    <cellStyle name="Percent 2 3 3 2 3 4" xfId="39921"/>
    <cellStyle name="Percent 2 3 3 2 3 4 2" xfId="39922"/>
    <cellStyle name="Percent 2 3 3 2 3 5" xfId="39923"/>
    <cellStyle name="Percent 2 3 3 2 3 6" xfId="39924"/>
    <cellStyle name="Percent 2 3 3 2 4" xfId="39925"/>
    <cellStyle name="Percent 2 3 3 2 4 2" xfId="39926"/>
    <cellStyle name="Percent 2 3 3 2 4 2 2" xfId="39927"/>
    <cellStyle name="Percent 2 3 3 2 4 3" xfId="39928"/>
    <cellStyle name="Percent 2 3 3 2 4 3 2" xfId="39929"/>
    <cellStyle name="Percent 2 3 3 2 4 4" xfId="39930"/>
    <cellStyle name="Percent 2 3 3 2 4 4 2" xfId="39931"/>
    <cellStyle name="Percent 2 3 3 2 4 5" xfId="39932"/>
    <cellStyle name="Percent 2 3 3 2 4 6" xfId="39933"/>
    <cellStyle name="Percent 2 3 3 2 5" xfId="39934"/>
    <cellStyle name="Percent 2 3 3 2 5 2" xfId="39935"/>
    <cellStyle name="Percent 2 3 3 2 5 2 2" xfId="39936"/>
    <cellStyle name="Percent 2 3 3 2 5 3" xfId="39937"/>
    <cellStyle name="Percent 2 3 3 2 5 3 2" xfId="39938"/>
    <cellStyle name="Percent 2 3 3 2 5 4" xfId="39939"/>
    <cellStyle name="Percent 2 3 3 2 5 4 2" xfId="39940"/>
    <cellStyle name="Percent 2 3 3 2 5 5" xfId="39941"/>
    <cellStyle name="Percent 2 3 3 2 5 6" xfId="39942"/>
    <cellStyle name="Percent 2 3 3 2 6" xfId="39943"/>
    <cellStyle name="Percent 2 3 3 2 6 2" xfId="39944"/>
    <cellStyle name="Percent 2 3 3 2 6 2 2" xfId="39945"/>
    <cellStyle name="Percent 2 3 3 2 6 3" xfId="39946"/>
    <cellStyle name="Percent 2 3 3 2 6 3 2" xfId="39947"/>
    <cellStyle name="Percent 2 3 3 2 6 4" xfId="39948"/>
    <cellStyle name="Percent 2 3 3 2 6 5" xfId="39949"/>
    <cellStyle name="Percent 2 3 3 2 7" xfId="39950"/>
    <cellStyle name="Percent 2 3 3 2 7 2" xfId="39951"/>
    <cellStyle name="Percent 2 3 3 2 8" xfId="39952"/>
    <cellStyle name="Percent 2 3 3 2 8 2" xfId="39953"/>
    <cellStyle name="Percent 2 3 3 2 9" xfId="39954"/>
    <cellStyle name="Percent 2 3 3 2 9 2" xfId="39955"/>
    <cellStyle name="Percent 2 3 3 3" xfId="39956"/>
    <cellStyle name="Percent 2 3 3 3 10" xfId="39957"/>
    <cellStyle name="Percent 2 3 3 3 2" xfId="39958"/>
    <cellStyle name="Percent 2 3 3 3 2 2" xfId="39959"/>
    <cellStyle name="Percent 2 3 3 3 2 2 2" xfId="39960"/>
    <cellStyle name="Percent 2 3 3 3 2 3" xfId="39961"/>
    <cellStyle name="Percent 2 3 3 3 2 3 2" xfId="39962"/>
    <cellStyle name="Percent 2 3 3 3 2 4" xfId="39963"/>
    <cellStyle name="Percent 2 3 3 3 2 4 2" xfId="39964"/>
    <cellStyle name="Percent 2 3 3 3 2 5" xfId="39965"/>
    <cellStyle name="Percent 2 3 3 3 2 6" xfId="39966"/>
    <cellStyle name="Percent 2 3 3 3 3" xfId="39967"/>
    <cellStyle name="Percent 2 3 3 3 3 2" xfId="39968"/>
    <cellStyle name="Percent 2 3 3 3 3 2 2" xfId="39969"/>
    <cellStyle name="Percent 2 3 3 3 3 3" xfId="39970"/>
    <cellStyle name="Percent 2 3 3 3 3 3 2" xfId="39971"/>
    <cellStyle name="Percent 2 3 3 3 3 4" xfId="39972"/>
    <cellStyle name="Percent 2 3 3 3 3 4 2" xfId="39973"/>
    <cellStyle name="Percent 2 3 3 3 3 5" xfId="39974"/>
    <cellStyle name="Percent 2 3 3 3 3 6" xfId="39975"/>
    <cellStyle name="Percent 2 3 3 3 4" xfId="39976"/>
    <cellStyle name="Percent 2 3 3 3 4 2" xfId="39977"/>
    <cellStyle name="Percent 2 3 3 3 4 2 2" xfId="39978"/>
    <cellStyle name="Percent 2 3 3 3 4 3" xfId="39979"/>
    <cellStyle name="Percent 2 3 3 3 4 3 2" xfId="39980"/>
    <cellStyle name="Percent 2 3 3 3 4 4" xfId="39981"/>
    <cellStyle name="Percent 2 3 3 3 4 4 2" xfId="39982"/>
    <cellStyle name="Percent 2 3 3 3 4 5" xfId="39983"/>
    <cellStyle name="Percent 2 3 3 3 4 6" xfId="39984"/>
    <cellStyle name="Percent 2 3 3 3 5" xfId="39985"/>
    <cellStyle name="Percent 2 3 3 3 5 2" xfId="39986"/>
    <cellStyle name="Percent 2 3 3 3 5 2 2" xfId="39987"/>
    <cellStyle name="Percent 2 3 3 3 5 3" xfId="39988"/>
    <cellStyle name="Percent 2 3 3 3 5 3 2" xfId="39989"/>
    <cellStyle name="Percent 2 3 3 3 5 4" xfId="39990"/>
    <cellStyle name="Percent 2 3 3 3 5 5" xfId="39991"/>
    <cellStyle name="Percent 2 3 3 3 6" xfId="39992"/>
    <cellStyle name="Percent 2 3 3 3 6 2" xfId="39993"/>
    <cellStyle name="Percent 2 3 3 3 7" xfId="39994"/>
    <cellStyle name="Percent 2 3 3 3 7 2" xfId="39995"/>
    <cellStyle name="Percent 2 3 3 3 8" xfId="39996"/>
    <cellStyle name="Percent 2 3 3 3 8 2" xfId="39997"/>
    <cellStyle name="Percent 2 3 3 3 9" xfId="39998"/>
    <cellStyle name="Percent 2 3 3 4" xfId="39999"/>
    <cellStyle name="Percent 2 3 3 4 10" xfId="40000"/>
    <cellStyle name="Percent 2 3 3 4 2" xfId="40001"/>
    <cellStyle name="Percent 2 3 3 4 2 2" xfId="40002"/>
    <cellStyle name="Percent 2 3 3 4 2 2 2" xfId="40003"/>
    <cellStyle name="Percent 2 3 3 4 2 3" xfId="40004"/>
    <cellStyle name="Percent 2 3 3 4 2 3 2" xfId="40005"/>
    <cellStyle name="Percent 2 3 3 4 2 4" xfId="40006"/>
    <cellStyle name="Percent 2 3 3 4 2 4 2" xfId="40007"/>
    <cellStyle name="Percent 2 3 3 4 2 5" xfId="40008"/>
    <cellStyle name="Percent 2 3 3 4 2 6" xfId="40009"/>
    <cellStyle name="Percent 2 3 3 4 3" xfId="40010"/>
    <cellStyle name="Percent 2 3 3 4 3 2" xfId="40011"/>
    <cellStyle name="Percent 2 3 3 4 3 2 2" xfId="40012"/>
    <cellStyle name="Percent 2 3 3 4 3 3" xfId="40013"/>
    <cellStyle name="Percent 2 3 3 4 3 3 2" xfId="40014"/>
    <cellStyle name="Percent 2 3 3 4 3 4" xfId="40015"/>
    <cellStyle name="Percent 2 3 3 4 3 4 2" xfId="40016"/>
    <cellStyle name="Percent 2 3 3 4 3 5" xfId="40017"/>
    <cellStyle name="Percent 2 3 3 4 3 6" xfId="40018"/>
    <cellStyle name="Percent 2 3 3 4 4" xfId="40019"/>
    <cellStyle name="Percent 2 3 3 4 4 2" xfId="40020"/>
    <cellStyle name="Percent 2 3 3 4 4 2 2" xfId="40021"/>
    <cellStyle name="Percent 2 3 3 4 4 3" xfId="40022"/>
    <cellStyle name="Percent 2 3 3 4 4 3 2" xfId="40023"/>
    <cellStyle name="Percent 2 3 3 4 4 4" xfId="40024"/>
    <cellStyle name="Percent 2 3 3 4 4 4 2" xfId="40025"/>
    <cellStyle name="Percent 2 3 3 4 4 5" xfId="40026"/>
    <cellStyle name="Percent 2 3 3 4 4 6" xfId="40027"/>
    <cellStyle name="Percent 2 3 3 4 5" xfId="40028"/>
    <cellStyle name="Percent 2 3 3 4 5 2" xfId="40029"/>
    <cellStyle name="Percent 2 3 3 4 5 2 2" xfId="40030"/>
    <cellStyle name="Percent 2 3 3 4 5 3" xfId="40031"/>
    <cellStyle name="Percent 2 3 3 4 5 3 2" xfId="40032"/>
    <cellStyle name="Percent 2 3 3 4 5 4" xfId="40033"/>
    <cellStyle name="Percent 2 3 3 4 5 5" xfId="40034"/>
    <cellStyle name="Percent 2 3 3 4 6" xfId="40035"/>
    <cellStyle name="Percent 2 3 3 4 6 2" xfId="40036"/>
    <cellStyle name="Percent 2 3 3 4 7" xfId="40037"/>
    <cellStyle name="Percent 2 3 3 4 7 2" xfId="40038"/>
    <cellStyle name="Percent 2 3 3 4 8" xfId="40039"/>
    <cellStyle name="Percent 2 3 3 4 8 2" xfId="40040"/>
    <cellStyle name="Percent 2 3 3 4 9" xfId="40041"/>
    <cellStyle name="Percent 2 3 3 5" xfId="40042"/>
    <cellStyle name="Percent 2 3 3 5 2" xfId="40043"/>
    <cellStyle name="Percent 2 3 3 5 2 2" xfId="40044"/>
    <cellStyle name="Percent 2 3 3 5 3" xfId="40045"/>
    <cellStyle name="Percent 2 3 3 5 3 2" xfId="40046"/>
    <cellStyle name="Percent 2 3 3 5 4" xfId="40047"/>
    <cellStyle name="Percent 2 3 3 5 4 2" xfId="40048"/>
    <cellStyle name="Percent 2 3 3 5 5" xfId="40049"/>
    <cellStyle name="Percent 2 3 3 5 6" xfId="40050"/>
    <cellStyle name="Percent 2 3 3 6" xfId="40051"/>
    <cellStyle name="Percent 2 3 3 6 2" xfId="40052"/>
    <cellStyle name="Percent 2 3 3 6 2 2" xfId="40053"/>
    <cellStyle name="Percent 2 3 3 6 3" xfId="40054"/>
    <cellStyle name="Percent 2 3 3 6 3 2" xfId="40055"/>
    <cellStyle name="Percent 2 3 3 6 4" xfId="40056"/>
    <cellStyle name="Percent 2 3 3 6 4 2" xfId="40057"/>
    <cellStyle name="Percent 2 3 3 6 5" xfId="40058"/>
    <cellStyle name="Percent 2 3 3 6 6" xfId="40059"/>
    <cellStyle name="Percent 2 3 3 7" xfId="40060"/>
    <cellStyle name="Percent 2 3 3 7 2" xfId="40061"/>
    <cellStyle name="Percent 2 3 3 7 2 2" xfId="40062"/>
    <cellStyle name="Percent 2 3 3 7 3" xfId="40063"/>
    <cellStyle name="Percent 2 3 3 7 3 2" xfId="40064"/>
    <cellStyle name="Percent 2 3 3 7 4" xfId="40065"/>
    <cellStyle name="Percent 2 3 3 7 4 2" xfId="40066"/>
    <cellStyle name="Percent 2 3 3 7 5" xfId="40067"/>
    <cellStyle name="Percent 2 3 3 7 6" xfId="40068"/>
    <cellStyle name="Percent 2 3 3 8" xfId="40069"/>
    <cellStyle name="Percent 2 3 3 8 2" xfId="40070"/>
    <cellStyle name="Percent 2 3 3 8 2 2" xfId="40071"/>
    <cellStyle name="Percent 2 3 3 8 3" xfId="40072"/>
    <cellStyle name="Percent 2 3 3 8 3 2" xfId="40073"/>
    <cellStyle name="Percent 2 3 3 8 4" xfId="40074"/>
    <cellStyle name="Percent 2 3 3 8 5" xfId="40075"/>
    <cellStyle name="Percent 2 3 3 9" xfId="40076"/>
    <cellStyle name="Percent 2 3 3 9 2" xfId="40077"/>
    <cellStyle name="Percent 2 3 4" xfId="40078"/>
    <cellStyle name="Percent 2 3 4 10" xfId="40079"/>
    <cellStyle name="Percent 2 3 4 10 2" xfId="40080"/>
    <cellStyle name="Percent 2 3 4 11" xfId="40081"/>
    <cellStyle name="Percent 2 3 4 11 2" xfId="40082"/>
    <cellStyle name="Percent 2 3 4 12" xfId="40083"/>
    <cellStyle name="Percent 2 3 4 13" xfId="40084"/>
    <cellStyle name="Percent 2 3 4 2" xfId="40085"/>
    <cellStyle name="Percent 2 3 4 2 10" xfId="40086"/>
    <cellStyle name="Percent 2 3 4 2 11" xfId="40087"/>
    <cellStyle name="Percent 2 3 4 2 2" xfId="40088"/>
    <cellStyle name="Percent 2 3 4 2 2 2" xfId="40089"/>
    <cellStyle name="Percent 2 3 4 2 2 2 2" xfId="40090"/>
    <cellStyle name="Percent 2 3 4 2 2 3" xfId="40091"/>
    <cellStyle name="Percent 2 3 4 2 2 3 2" xfId="40092"/>
    <cellStyle name="Percent 2 3 4 2 2 4" xfId="40093"/>
    <cellStyle name="Percent 2 3 4 2 2 4 2" xfId="40094"/>
    <cellStyle name="Percent 2 3 4 2 2 5" xfId="40095"/>
    <cellStyle name="Percent 2 3 4 2 2 6" xfId="40096"/>
    <cellStyle name="Percent 2 3 4 2 3" xfId="40097"/>
    <cellStyle name="Percent 2 3 4 2 3 2" xfId="40098"/>
    <cellStyle name="Percent 2 3 4 2 3 2 2" xfId="40099"/>
    <cellStyle name="Percent 2 3 4 2 3 3" xfId="40100"/>
    <cellStyle name="Percent 2 3 4 2 3 3 2" xfId="40101"/>
    <cellStyle name="Percent 2 3 4 2 3 4" xfId="40102"/>
    <cellStyle name="Percent 2 3 4 2 3 4 2" xfId="40103"/>
    <cellStyle name="Percent 2 3 4 2 3 5" xfId="40104"/>
    <cellStyle name="Percent 2 3 4 2 3 6" xfId="40105"/>
    <cellStyle name="Percent 2 3 4 2 4" xfId="40106"/>
    <cellStyle name="Percent 2 3 4 2 4 2" xfId="40107"/>
    <cellStyle name="Percent 2 3 4 2 4 2 2" xfId="40108"/>
    <cellStyle name="Percent 2 3 4 2 4 3" xfId="40109"/>
    <cellStyle name="Percent 2 3 4 2 4 3 2" xfId="40110"/>
    <cellStyle name="Percent 2 3 4 2 4 4" xfId="40111"/>
    <cellStyle name="Percent 2 3 4 2 4 4 2" xfId="40112"/>
    <cellStyle name="Percent 2 3 4 2 4 5" xfId="40113"/>
    <cellStyle name="Percent 2 3 4 2 4 6" xfId="40114"/>
    <cellStyle name="Percent 2 3 4 2 5" xfId="40115"/>
    <cellStyle name="Percent 2 3 4 2 5 2" xfId="40116"/>
    <cellStyle name="Percent 2 3 4 2 5 2 2" xfId="40117"/>
    <cellStyle name="Percent 2 3 4 2 5 3" xfId="40118"/>
    <cellStyle name="Percent 2 3 4 2 5 3 2" xfId="40119"/>
    <cellStyle name="Percent 2 3 4 2 5 4" xfId="40120"/>
    <cellStyle name="Percent 2 3 4 2 5 4 2" xfId="40121"/>
    <cellStyle name="Percent 2 3 4 2 5 5" xfId="40122"/>
    <cellStyle name="Percent 2 3 4 2 5 6" xfId="40123"/>
    <cellStyle name="Percent 2 3 4 2 6" xfId="40124"/>
    <cellStyle name="Percent 2 3 4 2 6 2" xfId="40125"/>
    <cellStyle name="Percent 2 3 4 2 6 2 2" xfId="40126"/>
    <cellStyle name="Percent 2 3 4 2 6 3" xfId="40127"/>
    <cellStyle name="Percent 2 3 4 2 6 3 2" xfId="40128"/>
    <cellStyle name="Percent 2 3 4 2 6 4" xfId="40129"/>
    <cellStyle name="Percent 2 3 4 2 6 5" xfId="40130"/>
    <cellStyle name="Percent 2 3 4 2 7" xfId="40131"/>
    <cellStyle name="Percent 2 3 4 2 7 2" xfId="40132"/>
    <cellStyle name="Percent 2 3 4 2 8" xfId="40133"/>
    <cellStyle name="Percent 2 3 4 2 8 2" xfId="40134"/>
    <cellStyle name="Percent 2 3 4 2 9" xfId="40135"/>
    <cellStyle name="Percent 2 3 4 2 9 2" xfId="40136"/>
    <cellStyle name="Percent 2 3 4 3" xfId="40137"/>
    <cellStyle name="Percent 2 3 4 3 10" xfId="40138"/>
    <cellStyle name="Percent 2 3 4 3 2" xfId="40139"/>
    <cellStyle name="Percent 2 3 4 3 2 2" xfId="40140"/>
    <cellStyle name="Percent 2 3 4 3 2 2 2" xfId="40141"/>
    <cellStyle name="Percent 2 3 4 3 2 3" xfId="40142"/>
    <cellStyle name="Percent 2 3 4 3 2 3 2" xfId="40143"/>
    <cellStyle name="Percent 2 3 4 3 2 4" xfId="40144"/>
    <cellStyle name="Percent 2 3 4 3 2 4 2" xfId="40145"/>
    <cellStyle name="Percent 2 3 4 3 2 5" xfId="40146"/>
    <cellStyle name="Percent 2 3 4 3 2 6" xfId="40147"/>
    <cellStyle name="Percent 2 3 4 3 3" xfId="40148"/>
    <cellStyle name="Percent 2 3 4 3 3 2" xfId="40149"/>
    <cellStyle name="Percent 2 3 4 3 3 2 2" xfId="40150"/>
    <cellStyle name="Percent 2 3 4 3 3 3" xfId="40151"/>
    <cellStyle name="Percent 2 3 4 3 3 3 2" xfId="40152"/>
    <cellStyle name="Percent 2 3 4 3 3 4" xfId="40153"/>
    <cellStyle name="Percent 2 3 4 3 3 4 2" xfId="40154"/>
    <cellStyle name="Percent 2 3 4 3 3 5" xfId="40155"/>
    <cellStyle name="Percent 2 3 4 3 3 6" xfId="40156"/>
    <cellStyle name="Percent 2 3 4 3 4" xfId="40157"/>
    <cellStyle name="Percent 2 3 4 3 4 2" xfId="40158"/>
    <cellStyle name="Percent 2 3 4 3 4 2 2" xfId="40159"/>
    <cellStyle name="Percent 2 3 4 3 4 3" xfId="40160"/>
    <cellStyle name="Percent 2 3 4 3 4 3 2" xfId="40161"/>
    <cellStyle name="Percent 2 3 4 3 4 4" xfId="40162"/>
    <cellStyle name="Percent 2 3 4 3 4 4 2" xfId="40163"/>
    <cellStyle name="Percent 2 3 4 3 4 5" xfId="40164"/>
    <cellStyle name="Percent 2 3 4 3 4 6" xfId="40165"/>
    <cellStyle name="Percent 2 3 4 3 5" xfId="40166"/>
    <cellStyle name="Percent 2 3 4 3 5 2" xfId="40167"/>
    <cellStyle name="Percent 2 3 4 3 5 2 2" xfId="40168"/>
    <cellStyle name="Percent 2 3 4 3 5 3" xfId="40169"/>
    <cellStyle name="Percent 2 3 4 3 5 3 2" xfId="40170"/>
    <cellStyle name="Percent 2 3 4 3 5 4" xfId="40171"/>
    <cellStyle name="Percent 2 3 4 3 5 5" xfId="40172"/>
    <cellStyle name="Percent 2 3 4 3 6" xfId="40173"/>
    <cellStyle name="Percent 2 3 4 3 6 2" xfId="40174"/>
    <cellStyle name="Percent 2 3 4 3 7" xfId="40175"/>
    <cellStyle name="Percent 2 3 4 3 7 2" xfId="40176"/>
    <cellStyle name="Percent 2 3 4 3 8" xfId="40177"/>
    <cellStyle name="Percent 2 3 4 3 8 2" xfId="40178"/>
    <cellStyle name="Percent 2 3 4 3 9" xfId="40179"/>
    <cellStyle name="Percent 2 3 4 4" xfId="40180"/>
    <cellStyle name="Percent 2 3 4 4 10" xfId="40181"/>
    <cellStyle name="Percent 2 3 4 4 2" xfId="40182"/>
    <cellStyle name="Percent 2 3 4 4 2 2" xfId="40183"/>
    <cellStyle name="Percent 2 3 4 4 2 2 2" xfId="40184"/>
    <cellStyle name="Percent 2 3 4 4 2 3" xfId="40185"/>
    <cellStyle name="Percent 2 3 4 4 2 3 2" xfId="40186"/>
    <cellStyle name="Percent 2 3 4 4 2 4" xfId="40187"/>
    <cellStyle name="Percent 2 3 4 4 2 4 2" xfId="40188"/>
    <cellStyle name="Percent 2 3 4 4 2 5" xfId="40189"/>
    <cellStyle name="Percent 2 3 4 4 2 6" xfId="40190"/>
    <cellStyle name="Percent 2 3 4 4 3" xfId="40191"/>
    <cellStyle name="Percent 2 3 4 4 3 2" xfId="40192"/>
    <cellStyle name="Percent 2 3 4 4 3 2 2" xfId="40193"/>
    <cellStyle name="Percent 2 3 4 4 3 3" xfId="40194"/>
    <cellStyle name="Percent 2 3 4 4 3 3 2" xfId="40195"/>
    <cellStyle name="Percent 2 3 4 4 3 4" xfId="40196"/>
    <cellStyle name="Percent 2 3 4 4 3 4 2" xfId="40197"/>
    <cellStyle name="Percent 2 3 4 4 3 5" xfId="40198"/>
    <cellStyle name="Percent 2 3 4 4 3 6" xfId="40199"/>
    <cellStyle name="Percent 2 3 4 4 4" xfId="40200"/>
    <cellStyle name="Percent 2 3 4 4 4 2" xfId="40201"/>
    <cellStyle name="Percent 2 3 4 4 4 2 2" xfId="40202"/>
    <cellStyle name="Percent 2 3 4 4 4 3" xfId="40203"/>
    <cellStyle name="Percent 2 3 4 4 4 3 2" xfId="40204"/>
    <cellStyle name="Percent 2 3 4 4 4 4" xfId="40205"/>
    <cellStyle name="Percent 2 3 4 4 4 4 2" xfId="40206"/>
    <cellStyle name="Percent 2 3 4 4 4 5" xfId="40207"/>
    <cellStyle name="Percent 2 3 4 4 4 6" xfId="40208"/>
    <cellStyle name="Percent 2 3 4 4 5" xfId="40209"/>
    <cellStyle name="Percent 2 3 4 4 5 2" xfId="40210"/>
    <cellStyle name="Percent 2 3 4 4 5 2 2" xfId="40211"/>
    <cellStyle name="Percent 2 3 4 4 5 3" xfId="40212"/>
    <cellStyle name="Percent 2 3 4 4 5 3 2" xfId="40213"/>
    <cellStyle name="Percent 2 3 4 4 5 4" xfId="40214"/>
    <cellStyle name="Percent 2 3 4 4 5 5" xfId="40215"/>
    <cellStyle name="Percent 2 3 4 4 6" xfId="40216"/>
    <cellStyle name="Percent 2 3 4 4 6 2" xfId="40217"/>
    <cellStyle name="Percent 2 3 4 4 7" xfId="40218"/>
    <cellStyle name="Percent 2 3 4 4 7 2" xfId="40219"/>
    <cellStyle name="Percent 2 3 4 4 8" xfId="40220"/>
    <cellStyle name="Percent 2 3 4 4 8 2" xfId="40221"/>
    <cellStyle name="Percent 2 3 4 4 9" xfId="40222"/>
    <cellStyle name="Percent 2 3 4 5" xfId="40223"/>
    <cellStyle name="Percent 2 3 4 5 2" xfId="40224"/>
    <cellStyle name="Percent 2 3 4 5 2 2" xfId="40225"/>
    <cellStyle name="Percent 2 3 4 5 3" xfId="40226"/>
    <cellStyle name="Percent 2 3 4 5 3 2" xfId="40227"/>
    <cellStyle name="Percent 2 3 4 5 4" xfId="40228"/>
    <cellStyle name="Percent 2 3 4 5 4 2" xfId="40229"/>
    <cellStyle name="Percent 2 3 4 5 5" xfId="40230"/>
    <cellStyle name="Percent 2 3 4 5 6" xfId="40231"/>
    <cellStyle name="Percent 2 3 4 6" xfId="40232"/>
    <cellStyle name="Percent 2 3 4 6 2" xfId="40233"/>
    <cellStyle name="Percent 2 3 4 6 2 2" xfId="40234"/>
    <cellStyle name="Percent 2 3 4 6 3" xfId="40235"/>
    <cellStyle name="Percent 2 3 4 6 3 2" xfId="40236"/>
    <cellStyle name="Percent 2 3 4 6 4" xfId="40237"/>
    <cellStyle name="Percent 2 3 4 6 4 2" xfId="40238"/>
    <cellStyle name="Percent 2 3 4 6 5" xfId="40239"/>
    <cellStyle name="Percent 2 3 4 6 6" xfId="40240"/>
    <cellStyle name="Percent 2 3 4 7" xfId="40241"/>
    <cellStyle name="Percent 2 3 4 7 2" xfId="40242"/>
    <cellStyle name="Percent 2 3 4 7 2 2" xfId="40243"/>
    <cellStyle name="Percent 2 3 4 7 3" xfId="40244"/>
    <cellStyle name="Percent 2 3 4 7 3 2" xfId="40245"/>
    <cellStyle name="Percent 2 3 4 7 4" xfId="40246"/>
    <cellStyle name="Percent 2 3 4 7 4 2" xfId="40247"/>
    <cellStyle name="Percent 2 3 4 7 5" xfId="40248"/>
    <cellStyle name="Percent 2 3 4 7 6" xfId="40249"/>
    <cellStyle name="Percent 2 3 4 8" xfId="40250"/>
    <cellStyle name="Percent 2 3 4 8 2" xfId="40251"/>
    <cellStyle name="Percent 2 3 4 8 2 2" xfId="40252"/>
    <cellStyle name="Percent 2 3 4 8 3" xfId="40253"/>
    <cellStyle name="Percent 2 3 4 8 3 2" xfId="40254"/>
    <cellStyle name="Percent 2 3 4 8 4" xfId="40255"/>
    <cellStyle name="Percent 2 3 4 8 5" xfId="40256"/>
    <cellStyle name="Percent 2 3 4 9" xfId="40257"/>
    <cellStyle name="Percent 2 3 4 9 2" xfId="40258"/>
    <cellStyle name="Percent 2 3 5" xfId="40259"/>
    <cellStyle name="Percent 2 3 5 10" xfId="40260"/>
    <cellStyle name="Percent 2 3 5 10 2" xfId="40261"/>
    <cellStyle name="Percent 2 3 5 11" xfId="40262"/>
    <cellStyle name="Percent 2 3 5 12" xfId="40263"/>
    <cellStyle name="Percent 2 3 5 2" xfId="40264"/>
    <cellStyle name="Percent 2 3 5 2 10" xfId="40265"/>
    <cellStyle name="Percent 2 3 5 2 2" xfId="40266"/>
    <cellStyle name="Percent 2 3 5 2 2 2" xfId="40267"/>
    <cellStyle name="Percent 2 3 5 2 2 2 2" xfId="40268"/>
    <cellStyle name="Percent 2 3 5 2 2 3" xfId="40269"/>
    <cellStyle name="Percent 2 3 5 2 2 3 2" xfId="40270"/>
    <cellStyle name="Percent 2 3 5 2 2 4" xfId="40271"/>
    <cellStyle name="Percent 2 3 5 2 2 4 2" xfId="40272"/>
    <cellStyle name="Percent 2 3 5 2 2 5" xfId="40273"/>
    <cellStyle name="Percent 2 3 5 2 2 6" xfId="40274"/>
    <cellStyle name="Percent 2 3 5 2 3" xfId="40275"/>
    <cellStyle name="Percent 2 3 5 2 3 2" xfId="40276"/>
    <cellStyle name="Percent 2 3 5 2 3 2 2" xfId="40277"/>
    <cellStyle name="Percent 2 3 5 2 3 3" xfId="40278"/>
    <cellStyle name="Percent 2 3 5 2 3 3 2" xfId="40279"/>
    <cellStyle name="Percent 2 3 5 2 3 4" xfId="40280"/>
    <cellStyle name="Percent 2 3 5 2 3 4 2" xfId="40281"/>
    <cellStyle name="Percent 2 3 5 2 3 5" xfId="40282"/>
    <cellStyle name="Percent 2 3 5 2 3 6" xfId="40283"/>
    <cellStyle name="Percent 2 3 5 2 4" xfId="40284"/>
    <cellStyle name="Percent 2 3 5 2 4 2" xfId="40285"/>
    <cellStyle name="Percent 2 3 5 2 4 2 2" xfId="40286"/>
    <cellStyle name="Percent 2 3 5 2 4 3" xfId="40287"/>
    <cellStyle name="Percent 2 3 5 2 4 3 2" xfId="40288"/>
    <cellStyle name="Percent 2 3 5 2 4 4" xfId="40289"/>
    <cellStyle name="Percent 2 3 5 2 4 4 2" xfId="40290"/>
    <cellStyle name="Percent 2 3 5 2 4 5" xfId="40291"/>
    <cellStyle name="Percent 2 3 5 2 4 6" xfId="40292"/>
    <cellStyle name="Percent 2 3 5 2 5" xfId="40293"/>
    <cellStyle name="Percent 2 3 5 2 5 2" xfId="40294"/>
    <cellStyle name="Percent 2 3 5 2 5 2 2" xfId="40295"/>
    <cellStyle name="Percent 2 3 5 2 5 3" xfId="40296"/>
    <cellStyle name="Percent 2 3 5 2 5 3 2" xfId="40297"/>
    <cellStyle name="Percent 2 3 5 2 5 4" xfId="40298"/>
    <cellStyle name="Percent 2 3 5 2 5 5" xfId="40299"/>
    <cellStyle name="Percent 2 3 5 2 6" xfId="40300"/>
    <cellStyle name="Percent 2 3 5 2 6 2" xfId="40301"/>
    <cellStyle name="Percent 2 3 5 2 7" xfId="40302"/>
    <cellStyle name="Percent 2 3 5 2 7 2" xfId="40303"/>
    <cellStyle name="Percent 2 3 5 2 8" xfId="40304"/>
    <cellStyle name="Percent 2 3 5 2 8 2" xfId="40305"/>
    <cellStyle name="Percent 2 3 5 2 9" xfId="40306"/>
    <cellStyle name="Percent 2 3 5 3" xfId="40307"/>
    <cellStyle name="Percent 2 3 5 3 10" xfId="40308"/>
    <cellStyle name="Percent 2 3 5 3 2" xfId="40309"/>
    <cellStyle name="Percent 2 3 5 3 2 2" xfId="40310"/>
    <cellStyle name="Percent 2 3 5 3 2 2 2" xfId="40311"/>
    <cellStyle name="Percent 2 3 5 3 2 3" xfId="40312"/>
    <cellStyle name="Percent 2 3 5 3 2 3 2" xfId="40313"/>
    <cellStyle name="Percent 2 3 5 3 2 4" xfId="40314"/>
    <cellStyle name="Percent 2 3 5 3 2 4 2" xfId="40315"/>
    <cellStyle name="Percent 2 3 5 3 2 5" xfId="40316"/>
    <cellStyle name="Percent 2 3 5 3 2 6" xfId="40317"/>
    <cellStyle name="Percent 2 3 5 3 3" xfId="40318"/>
    <cellStyle name="Percent 2 3 5 3 3 2" xfId="40319"/>
    <cellStyle name="Percent 2 3 5 3 3 2 2" xfId="40320"/>
    <cellStyle name="Percent 2 3 5 3 3 3" xfId="40321"/>
    <cellStyle name="Percent 2 3 5 3 3 3 2" xfId="40322"/>
    <cellStyle name="Percent 2 3 5 3 3 4" xfId="40323"/>
    <cellStyle name="Percent 2 3 5 3 3 4 2" xfId="40324"/>
    <cellStyle name="Percent 2 3 5 3 3 5" xfId="40325"/>
    <cellStyle name="Percent 2 3 5 3 3 6" xfId="40326"/>
    <cellStyle name="Percent 2 3 5 3 4" xfId="40327"/>
    <cellStyle name="Percent 2 3 5 3 4 2" xfId="40328"/>
    <cellStyle name="Percent 2 3 5 3 4 2 2" xfId="40329"/>
    <cellStyle name="Percent 2 3 5 3 4 3" xfId="40330"/>
    <cellStyle name="Percent 2 3 5 3 4 3 2" xfId="40331"/>
    <cellStyle name="Percent 2 3 5 3 4 4" xfId="40332"/>
    <cellStyle name="Percent 2 3 5 3 4 4 2" xfId="40333"/>
    <cellStyle name="Percent 2 3 5 3 4 5" xfId="40334"/>
    <cellStyle name="Percent 2 3 5 3 4 6" xfId="40335"/>
    <cellStyle name="Percent 2 3 5 3 5" xfId="40336"/>
    <cellStyle name="Percent 2 3 5 3 5 2" xfId="40337"/>
    <cellStyle name="Percent 2 3 5 3 5 2 2" xfId="40338"/>
    <cellStyle name="Percent 2 3 5 3 5 3" xfId="40339"/>
    <cellStyle name="Percent 2 3 5 3 5 3 2" xfId="40340"/>
    <cellStyle name="Percent 2 3 5 3 5 4" xfId="40341"/>
    <cellStyle name="Percent 2 3 5 3 5 5" xfId="40342"/>
    <cellStyle name="Percent 2 3 5 3 6" xfId="40343"/>
    <cellStyle name="Percent 2 3 5 3 6 2" xfId="40344"/>
    <cellStyle name="Percent 2 3 5 3 7" xfId="40345"/>
    <cellStyle name="Percent 2 3 5 3 7 2" xfId="40346"/>
    <cellStyle name="Percent 2 3 5 3 8" xfId="40347"/>
    <cellStyle name="Percent 2 3 5 3 8 2" xfId="40348"/>
    <cellStyle name="Percent 2 3 5 3 9" xfId="40349"/>
    <cellStyle name="Percent 2 3 5 4" xfId="40350"/>
    <cellStyle name="Percent 2 3 5 4 2" xfId="40351"/>
    <cellStyle name="Percent 2 3 5 4 2 2" xfId="40352"/>
    <cellStyle name="Percent 2 3 5 4 3" xfId="40353"/>
    <cellStyle name="Percent 2 3 5 4 3 2" xfId="40354"/>
    <cellStyle name="Percent 2 3 5 4 4" xfId="40355"/>
    <cellStyle name="Percent 2 3 5 4 4 2" xfId="40356"/>
    <cellStyle name="Percent 2 3 5 4 5" xfId="40357"/>
    <cellStyle name="Percent 2 3 5 4 6" xfId="40358"/>
    <cellStyle name="Percent 2 3 5 5" xfId="40359"/>
    <cellStyle name="Percent 2 3 5 5 2" xfId="40360"/>
    <cellStyle name="Percent 2 3 5 5 2 2" xfId="40361"/>
    <cellStyle name="Percent 2 3 5 5 3" xfId="40362"/>
    <cellStyle name="Percent 2 3 5 5 3 2" xfId="40363"/>
    <cellStyle name="Percent 2 3 5 5 4" xfId="40364"/>
    <cellStyle name="Percent 2 3 5 5 4 2" xfId="40365"/>
    <cellStyle name="Percent 2 3 5 5 5" xfId="40366"/>
    <cellStyle name="Percent 2 3 5 5 6" xfId="40367"/>
    <cellStyle name="Percent 2 3 5 6" xfId="40368"/>
    <cellStyle name="Percent 2 3 5 6 2" xfId="40369"/>
    <cellStyle name="Percent 2 3 5 6 2 2" xfId="40370"/>
    <cellStyle name="Percent 2 3 5 6 3" xfId="40371"/>
    <cellStyle name="Percent 2 3 5 6 3 2" xfId="40372"/>
    <cellStyle name="Percent 2 3 5 6 4" xfId="40373"/>
    <cellStyle name="Percent 2 3 5 6 4 2" xfId="40374"/>
    <cellStyle name="Percent 2 3 5 6 5" xfId="40375"/>
    <cellStyle name="Percent 2 3 5 6 6" xfId="40376"/>
    <cellStyle name="Percent 2 3 5 7" xfId="40377"/>
    <cellStyle name="Percent 2 3 5 7 2" xfId="40378"/>
    <cellStyle name="Percent 2 3 5 7 2 2" xfId="40379"/>
    <cellStyle name="Percent 2 3 5 7 3" xfId="40380"/>
    <cellStyle name="Percent 2 3 5 7 3 2" xfId="40381"/>
    <cellStyle name="Percent 2 3 5 7 4" xfId="40382"/>
    <cellStyle name="Percent 2 3 5 7 5" xfId="40383"/>
    <cellStyle name="Percent 2 3 5 8" xfId="40384"/>
    <cellStyle name="Percent 2 3 5 8 2" xfId="40385"/>
    <cellStyle name="Percent 2 3 5 9" xfId="40386"/>
    <cellStyle name="Percent 2 3 5 9 2" xfId="40387"/>
    <cellStyle name="Percent 2 3 6" xfId="40388"/>
    <cellStyle name="Percent 2 3 6 10" xfId="40389"/>
    <cellStyle name="Percent 2 3 6 11" xfId="40390"/>
    <cellStyle name="Percent 2 3 6 2" xfId="40391"/>
    <cellStyle name="Percent 2 3 6 2 2" xfId="40392"/>
    <cellStyle name="Percent 2 3 6 2 2 2" xfId="40393"/>
    <cellStyle name="Percent 2 3 6 2 3" xfId="40394"/>
    <cellStyle name="Percent 2 3 6 2 3 2" xfId="40395"/>
    <cellStyle name="Percent 2 3 6 2 4" xfId="40396"/>
    <cellStyle name="Percent 2 3 6 2 4 2" xfId="40397"/>
    <cellStyle name="Percent 2 3 6 2 5" xfId="40398"/>
    <cellStyle name="Percent 2 3 6 2 6" xfId="40399"/>
    <cellStyle name="Percent 2 3 6 3" xfId="40400"/>
    <cellStyle name="Percent 2 3 6 3 2" xfId="40401"/>
    <cellStyle name="Percent 2 3 6 3 2 2" xfId="40402"/>
    <cellStyle name="Percent 2 3 6 3 3" xfId="40403"/>
    <cellStyle name="Percent 2 3 6 3 3 2" xfId="40404"/>
    <cellStyle name="Percent 2 3 6 3 4" xfId="40405"/>
    <cellStyle name="Percent 2 3 6 3 4 2" xfId="40406"/>
    <cellStyle name="Percent 2 3 6 3 5" xfId="40407"/>
    <cellStyle name="Percent 2 3 6 3 6" xfId="40408"/>
    <cellStyle name="Percent 2 3 6 4" xfId="40409"/>
    <cellStyle name="Percent 2 3 6 4 2" xfId="40410"/>
    <cellStyle name="Percent 2 3 6 4 2 2" xfId="40411"/>
    <cellStyle name="Percent 2 3 6 4 3" xfId="40412"/>
    <cellStyle name="Percent 2 3 6 4 3 2" xfId="40413"/>
    <cellStyle name="Percent 2 3 6 4 4" xfId="40414"/>
    <cellStyle name="Percent 2 3 6 4 4 2" xfId="40415"/>
    <cellStyle name="Percent 2 3 6 4 5" xfId="40416"/>
    <cellStyle name="Percent 2 3 6 4 6" xfId="40417"/>
    <cellStyle name="Percent 2 3 6 5" xfId="40418"/>
    <cellStyle name="Percent 2 3 6 5 2" xfId="40419"/>
    <cellStyle name="Percent 2 3 6 5 2 2" xfId="40420"/>
    <cellStyle name="Percent 2 3 6 5 3" xfId="40421"/>
    <cellStyle name="Percent 2 3 6 5 3 2" xfId="40422"/>
    <cellStyle name="Percent 2 3 6 5 4" xfId="40423"/>
    <cellStyle name="Percent 2 3 6 5 4 2" xfId="40424"/>
    <cellStyle name="Percent 2 3 6 5 5" xfId="40425"/>
    <cellStyle name="Percent 2 3 6 5 6" xfId="40426"/>
    <cellStyle name="Percent 2 3 6 6" xfId="40427"/>
    <cellStyle name="Percent 2 3 6 6 2" xfId="40428"/>
    <cellStyle name="Percent 2 3 6 6 2 2" xfId="40429"/>
    <cellStyle name="Percent 2 3 6 6 3" xfId="40430"/>
    <cellStyle name="Percent 2 3 6 6 3 2" xfId="40431"/>
    <cellStyle name="Percent 2 3 6 6 4" xfId="40432"/>
    <cellStyle name="Percent 2 3 6 6 5" xfId="40433"/>
    <cellStyle name="Percent 2 3 6 7" xfId="40434"/>
    <cellStyle name="Percent 2 3 6 7 2" xfId="40435"/>
    <cellStyle name="Percent 2 3 6 8" xfId="40436"/>
    <cellStyle name="Percent 2 3 6 8 2" xfId="40437"/>
    <cellStyle name="Percent 2 3 6 9" xfId="40438"/>
    <cellStyle name="Percent 2 3 6 9 2" xfId="40439"/>
    <cellStyle name="Percent 2 3 7" xfId="40440"/>
    <cellStyle name="Percent 2 3 7 10" xfId="40441"/>
    <cellStyle name="Percent 2 3 7 2" xfId="40442"/>
    <cellStyle name="Percent 2 3 7 2 2" xfId="40443"/>
    <cellStyle name="Percent 2 3 7 2 2 2" xfId="40444"/>
    <cellStyle name="Percent 2 3 7 2 3" xfId="40445"/>
    <cellStyle name="Percent 2 3 7 2 3 2" xfId="40446"/>
    <cellStyle name="Percent 2 3 7 2 4" xfId="40447"/>
    <cellStyle name="Percent 2 3 7 2 4 2" xfId="40448"/>
    <cellStyle name="Percent 2 3 7 2 5" xfId="40449"/>
    <cellStyle name="Percent 2 3 7 2 6" xfId="40450"/>
    <cellStyle name="Percent 2 3 7 3" xfId="40451"/>
    <cellStyle name="Percent 2 3 7 3 2" xfId="40452"/>
    <cellStyle name="Percent 2 3 7 3 2 2" xfId="40453"/>
    <cellStyle name="Percent 2 3 7 3 3" xfId="40454"/>
    <cellStyle name="Percent 2 3 7 3 3 2" xfId="40455"/>
    <cellStyle name="Percent 2 3 7 3 4" xfId="40456"/>
    <cellStyle name="Percent 2 3 7 3 4 2" xfId="40457"/>
    <cellStyle name="Percent 2 3 7 3 5" xfId="40458"/>
    <cellStyle name="Percent 2 3 7 3 6" xfId="40459"/>
    <cellStyle name="Percent 2 3 7 4" xfId="40460"/>
    <cellStyle name="Percent 2 3 7 4 2" xfId="40461"/>
    <cellStyle name="Percent 2 3 7 4 2 2" xfId="40462"/>
    <cellStyle name="Percent 2 3 7 4 3" xfId="40463"/>
    <cellStyle name="Percent 2 3 7 4 3 2" xfId="40464"/>
    <cellStyle name="Percent 2 3 7 4 4" xfId="40465"/>
    <cellStyle name="Percent 2 3 7 4 4 2" xfId="40466"/>
    <cellStyle name="Percent 2 3 7 4 5" xfId="40467"/>
    <cellStyle name="Percent 2 3 7 4 6" xfId="40468"/>
    <cellStyle name="Percent 2 3 7 5" xfId="40469"/>
    <cellStyle name="Percent 2 3 7 5 2" xfId="40470"/>
    <cellStyle name="Percent 2 3 7 5 2 2" xfId="40471"/>
    <cellStyle name="Percent 2 3 7 5 3" xfId="40472"/>
    <cellStyle name="Percent 2 3 7 5 3 2" xfId="40473"/>
    <cellStyle name="Percent 2 3 7 5 4" xfId="40474"/>
    <cellStyle name="Percent 2 3 7 5 5" xfId="40475"/>
    <cellStyle name="Percent 2 3 7 6" xfId="40476"/>
    <cellStyle name="Percent 2 3 7 6 2" xfId="40477"/>
    <cellStyle name="Percent 2 3 7 7" xfId="40478"/>
    <cellStyle name="Percent 2 3 7 7 2" xfId="40479"/>
    <cellStyle name="Percent 2 3 7 8" xfId="40480"/>
    <cellStyle name="Percent 2 3 7 8 2" xfId="40481"/>
    <cellStyle name="Percent 2 3 7 9" xfId="40482"/>
    <cellStyle name="Percent 2 3 8" xfId="40483"/>
    <cellStyle name="Percent 2 3 8 10" xfId="40484"/>
    <cellStyle name="Percent 2 3 8 2" xfId="40485"/>
    <cellStyle name="Percent 2 3 8 2 2" xfId="40486"/>
    <cellStyle name="Percent 2 3 8 2 2 2" xfId="40487"/>
    <cellStyle name="Percent 2 3 8 2 3" xfId="40488"/>
    <cellStyle name="Percent 2 3 8 2 3 2" xfId="40489"/>
    <cellStyle name="Percent 2 3 8 2 4" xfId="40490"/>
    <cellStyle name="Percent 2 3 8 2 4 2" xfId="40491"/>
    <cellStyle name="Percent 2 3 8 2 5" xfId="40492"/>
    <cellStyle name="Percent 2 3 8 2 6" xfId="40493"/>
    <cellStyle name="Percent 2 3 8 3" xfId="40494"/>
    <cellStyle name="Percent 2 3 8 3 2" xfId="40495"/>
    <cellStyle name="Percent 2 3 8 3 2 2" xfId="40496"/>
    <cellStyle name="Percent 2 3 8 3 3" xfId="40497"/>
    <cellStyle name="Percent 2 3 8 3 3 2" xfId="40498"/>
    <cellStyle name="Percent 2 3 8 3 4" xfId="40499"/>
    <cellStyle name="Percent 2 3 8 3 4 2" xfId="40500"/>
    <cellStyle name="Percent 2 3 8 3 5" xfId="40501"/>
    <cellStyle name="Percent 2 3 8 3 6" xfId="40502"/>
    <cellStyle name="Percent 2 3 8 4" xfId="40503"/>
    <cellStyle name="Percent 2 3 8 4 2" xfId="40504"/>
    <cellStyle name="Percent 2 3 8 4 2 2" xfId="40505"/>
    <cellStyle name="Percent 2 3 8 4 3" xfId="40506"/>
    <cellStyle name="Percent 2 3 8 4 3 2" xfId="40507"/>
    <cellStyle name="Percent 2 3 8 4 4" xfId="40508"/>
    <cellStyle name="Percent 2 3 8 4 4 2" xfId="40509"/>
    <cellStyle name="Percent 2 3 8 4 5" xfId="40510"/>
    <cellStyle name="Percent 2 3 8 4 6" xfId="40511"/>
    <cellStyle name="Percent 2 3 8 5" xfId="40512"/>
    <cellStyle name="Percent 2 3 8 5 2" xfId="40513"/>
    <cellStyle name="Percent 2 3 8 5 2 2" xfId="40514"/>
    <cellStyle name="Percent 2 3 8 5 3" xfId="40515"/>
    <cellStyle name="Percent 2 3 8 5 3 2" xfId="40516"/>
    <cellStyle name="Percent 2 3 8 5 4" xfId="40517"/>
    <cellStyle name="Percent 2 3 8 5 5" xfId="40518"/>
    <cellStyle name="Percent 2 3 8 6" xfId="40519"/>
    <cellStyle name="Percent 2 3 8 6 2" xfId="40520"/>
    <cellStyle name="Percent 2 3 8 7" xfId="40521"/>
    <cellStyle name="Percent 2 3 8 7 2" xfId="40522"/>
    <cellStyle name="Percent 2 3 8 8" xfId="40523"/>
    <cellStyle name="Percent 2 3 8 8 2" xfId="40524"/>
    <cellStyle name="Percent 2 3 8 9" xfId="40525"/>
    <cellStyle name="Percent 2 3 9" xfId="40526"/>
    <cellStyle name="Percent 2 3 9 2" xfId="40527"/>
    <cellStyle name="Percent 2 3 9 2 2" xfId="40528"/>
    <cellStyle name="Percent 2 3 9 3" xfId="40529"/>
    <cellStyle name="Percent 2 3 9 3 2" xfId="40530"/>
    <cellStyle name="Percent 2 3 9 4" xfId="40531"/>
    <cellStyle name="Percent 2 3 9 4 2" xfId="40532"/>
    <cellStyle name="Percent 2 3 9 5" xfId="40533"/>
    <cellStyle name="Percent 2 3 9 6" xfId="40534"/>
    <cellStyle name="Percent 2 4" xfId="7811"/>
    <cellStyle name="Percent 2 4 10" xfId="40536"/>
    <cellStyle name="Percent 2 4 10 2" xfId="40537"/>
    <cellStyle name="Percent 2 4 10 2 2" xfId="40538"/>
    <cellStyle name="Percent 2 4 10 3" xfId="40539"/>
    <cellStyle name="Percent 2 4 10 3 2" xfId="40540"/>
    <cellStyle name="Percent 2 4 10 4" xfId="40541"/>
    <cellStyle name="Percent 2 4 10 4 2" xfId="40542"/>
    <cellStyle name="Percent 2 4 10 5" xfId="40543"/>
    <cellStyle name="Percent 2 4 10 6" xfId="40544"/>
    <cellStyle name="Percent 2 4 11" xfId="40545"/>
    <cellStyle name="Percent 2 4 11 2" xfId="40546"/>
    <cellStyle name="Percent 2 4 11 2 2" xfId="40547"/>
    <cellStyle name="Percent 2 4 11 3" xfId="40548"/>
    <cellStyle name="Percent 2 4 11 3 2" xfId="40549"/>
    <cellStyle name="Percent 2 4 11 4" xfId="40550"/>
    <cellStyle name="Percent 2 4 11 5" xfId="40551"/>
    <cellStyle name="Percent 2 4 12" xfId="40552"/>
    <cellStyle name="Percent 2 4 12 2" xfId="40553"/>
    <cellStyle name="Percent 2 4 13" xfId="40554"/>
    <cellStyle name="Percent 2 4 13 2" xfId="40555"/>
    <cellStyle name="Percent 2 4 14" xfId="40556"/>
    <cellStyle name="Percent 2 4 14 2" xfId="40557"/>
    <cellStyle name="Percent 2 4 15" xfId="40558"/>
    <cellStyle name="Percent 2 4 16" xfId="40559"/>
    <cellStyle name="Percent 2 4 17" xfId="40535"/>
    <cellStyle name="Percent 2 4 2" xfId="40560"/>
    <cellStyle name="Percent 2 4 2 10" xfId="40561"/>
    <cellStyle name="Percent 2 4 2 10 2" xfId="40562"/>
    <cellStyle name="Percent 2 4 2 11" xfId="40563"/>
    <cellStyle name="Percent 2 4 2 11 2" xfId="40564"/>
    <cellStyle name="Percent 2 4 2 12" xfId="40565"/>
    <cellStyle name="Percent 2 4 2 13" xfId="40566"/>
    <cellStyle name="Percent 2 4 2 2" xfId="40567"/>
    <cellStyle name="Percent 2 4 2 2 10" xfId="40568"/>
    <cellStyle name="Percent 2 4 2 2 11" xfId="40569"/>
    <cellStyle name="Percent 2 4 2 2 2" xfId="40570"/>
    <cellStyle name="Percent 2 4 2 2 2 2" xfId="40571"/>
    <cellStyle name="Percent 2 4 2 2 2 2 2" xfId="40572"/>
    <cellStyle name="Percent 2 4 2 2 2 3" xfId="40573"/>
    <cellStyle name="Percent 2 4 2 2 2 3 2" xfId="40574"/>
    <cellStyle name="Percent 2 4 2 2 2 4" xfId="40575"/>
    <cellStyle name="Percent 2 4 2 2 2 4 2" xfId="40576"/>
    <cellStyle name="Percent 2 4 2 2 2 5" xfId="40577"/>
    <cellStyle name="Percent 2 4 2 2 2 6" xfId="40578"/>
    <cellStyle name="Percent 2 4 2 2 3" xfId="40579"/>
    <cellStyle name="Percent 2 4 2 2 3 2" xfId="40580"/>
    <cellStyle name="Percent 2 4 2 2 3 2 2" xfId="40581"/>
    <cellStyle name="Percent 2 4 2 2 3 3" xfId="40582"/>
    <cellStyle name="Percent 2 4 2 2 3 3 2" xfId="40583"/>
    <cellStyle name="Percent 2 4 2 2 3 4" xfId="40584"/>
    <cellStyle name="Percent 2 4 2 2 3 4 2" xfId="40585"/>
    <cellStyle name="Percent 2 4 2 2 3 5" xfId="40586"/>
    <cellStyle name="Percent 2 4 2 2 3 6" xfId="40587"/>
    <cellStyle name="Percent 2 4 2 2 4" xfId="40588"/>
    <cellStyle name="Percent 2 4 2 2 4 2" xfId="40589"/>
    <cellStyle name="Percent 2 4 2 2 4 2 2" xfId="40590"/>
    <cellStyle name="Percent 2 4 2 2 4 3" xfId="40591"/>
    <cellStyle name="Percent 2 4 2 2 4 3 2" xfId="40592"/>
    <cellStyle name="Percent 2 4 2 2 4 4" xfId="40593"/>
    <cellStyle name="Percent 2 4 2 2 4 4 2" xfId="40594"/>
    <cellStyle name="Percent 2 4 2 2 4 5" xfId="40595"/>
    <cellStyle name="Percent 2 4 2 2 4 6" xfId="40596"/>
    <cellStyle name="Percent 2 4 2 2 5" xfId="40597"/>
    <cellStyle name="Percent 2 4 2 2 5 2" xfId="40598"/>
    <cellStyle name="Percent 2 4 2 2 5 2 2" xfId="40599"/>
    <cellStyle name="Percent 2 4 2 2 5 3" xfId="40600"/>
    <cellStyle name="Percent 2 4 2 2 5 3 2" xfId="40601"/>
    <cellStyle name="Percent 2 4 2 2 5 4" xfId="40602"/>
    <cellStyle name="Percent 2 4 2 2 5 4 2" xfId="40603"/>
    <cellStyle name="Percent 2 4 2 2 5 5" xfId="40604"/>
    <cellStyle name="Percent 2 4 2 2 5 6" xfId="40605"/>
    <cellStyle name="Percent 2 4 2 2 6" xfId="40606"/>
    <cellStyle name="Percent 2 4 2 2 6 2" xfId="40607"/>
    <cellStyle name="Percent 2 4 2 2 6 2 2" xfId="40608"/>
    <cellStyle name="Percent 2 4 2 2 6 3" xfId="40609"/>
    <cellStyle name="Percent 2 4 2 2 6 3 2" xfId="40610"/>
    <cellStyle name="Percent 2 4 2 2 6 4" xfId="40611"/>
    <cellStyle name="Percent 2 4 2 2 6 5" xfId="40612"/>
    <cellStyle name="Percent 2 4 2 2 7" xfId="40613"/>
    <cellStyle name="Percent 2 4 2 2 7 2" xfId="40614"/>
    <cellStyle name="Percent 2 4 2 2 8" xfId="40615"/>
    <cellStyle name="Percent 2 4 2 2 8 2" xfId="40616"/>
    <cellStyle name="Percent 2 4 2 2 9" xfId="40617"/>
    <cellStyle name="Percent 2 4 2 2 9 2" xfId="40618"/>
    <cellStyle name="Percent 2 4 2 3" xfId="40619"/>
    <cellStyle name="Percent 2 4 2 3 10" xfId="40620"/>
    <cellStyle name="Percent 2 4 2 3 2" xfId="40621"/>
    <cellStyle name="Percent 2 4 2 3 2 2" xfId="40622"/>
    <cellStyle name="Percent 2 4 2 3 2 2 2" xfId="40623"/>
    <cellStyle name="Percent 2 4 2 3 2 3" xfId="40624"/>
    <cellStyle name="Percent 2 4 2 3 2 3 2" xfId="40625"/>
    <cellStyle name="Percent 2 4 2 3 2 4" xfId="40626"/>
    <cellStyle name="Percent 2 4 2 3 2 4 2" xfId="40627"/>
    <cellStyle name="Percent 2 4 2 3 2 5" xfId="40628"/>
    <cellStyle name="Percent 2 4 2 3 2 6" xfId="40629"/>
    <cellStyle name="Percent 2 4 2 3 3" xfId="40630"/>
    <cellStyle name="Percent 2 4 2 3 3 2" xfId="40631"/>
    <cellStyle name="Percent 2 4 2 3 3 2 2" xfId="40632"/>
    <cellStyle name="Percent 2 4 2 3 3 3" xfId="40633"/>
    <cellStyle name="Percent 2 4 2 3 3 3 2" xfId="40634"/>
    <cellStyle name="Percent 2 4 2 3 3 4" xfId="40635"/>
    <cellStyle name="Percent 2 4 2 3 3 4 2" xfId="40636"/>
    <cellStyle name="Percent 2 4 2 3 3 5" xfId="40637"/>
    <cellStyle name="Percent 2 4 2 3 3 6" xfId="40638"/>
    <cellStyle name="Percent 2 4 2 3 4" xfId="40639"/>
    <cellStyle name="Percent 2 4 2 3 4 2" xfId="40640"/>
    <cellStyle name="Percent 2 4 2 3 4 2 2" xfId="40641"/>
    <cellStyle name="Percent 2 4 2 3 4 3" xfId="40642"/>
    <cellStyle name="Percent 2 4 2 3 4 3 2" xfId="40643"/>
    <cellStyle name="Percent 2 4 2 3 4 4" xfId="40644"/>
    <cellStyle name="Percent 2 4 2 3 4 4 2" xfId="40645"/>
    <cellStyle name="Percent 2 4 2 3 4 5" xfId="40646"/>
    <cellStyle name="Percent 2 4 2 3 4 6" xfId="40647"/>
    <cellStyle name="Percent 2 4 2 3 5" xfId="40648"/>
    <cellStyle name="Percent 2 4 2 3 5 2" xfId="40649"/>
    <cellStyle name="Percent 2 4 2 3 5 2 2" xfId="40650"/>
    <cellStyle name="Percent 2 4 2 3 5 3" xfId="40651"/>
    <cellStyle name="Percent 2 4 2 3 5 3 2" xfId="40652"/>
    <cellStyle name="Percent 2 4 2 3 5 4" xfId="40653"/>
    <cellStyle name="Percent 2 4 2 3 5 5" xfId="40654"/>
    <cellStyle name="Percent 2 4 2 3 6" xfId="40655"/>
    <cellStyle name="Percent 2 4 2 3 6 2" xfId="40656"/>
    <cellStyle name="Percent 2 4 2 3 7" xfId="40657"/>
    <cellStyle name="Percent 2 4 2 3 7 2" xfId="40658"/>
    <cellStyle name="Percent 2 4 2 3 8" xfId="40659"/>
    <cellStyle name="Percent 2 4 2 3 8 2" xfId="40660"/>
    <cellStyle name="Percent 2 4 2 3 9" xfId="40661"/>
    <cellStyle name="Percent 2 4 2 4" xfId="40662"/>
    <cellStyle name="Percent 2 4 2 4 10" xfId="40663"/>
    <cellStyle name="Percent 2 4 2 4 2" xfId="40664"/>
    <cellStyle name="Percent 2 4 2 4 2 2" xfId="40665"/>
    <cellStyle name="Percent 2 4 2 4 2 2 2" xfId="40666"/>
    <cellStyle name="Percent 2 4 2 4 2 3" xfId="40667"/>
    <cellStyle name="Percent 2 4 2 4 2 3 2" xfId="40668"/>
    <cellStyle name="Percent 2 4 2 4 2 4" xfId="40669"/>
    <cellStyle name="Percent 2 4 2 4 2 4 2" xfId="40670"/>
    <cellStyle name="Percent 2 4 2 4 2 5" xfId="40671"/>
    <cellStyle name="Percent 2 4 2 4 2 6" xfId="40672"/>
    <cellStyle name="Percent 2 4 2 4 3" xfId="40673"/>
    <cellStyle name="Percent 2 4 2 4 3 2" xfId="40674"/>
    <cellStyle name="Percent 2 4 2 4 3 2 2" xfId="40675"/>
    <cellStyle name="Percent 2 4 2 4 3 3" xfId="40676"/>
    <cellStyle name="Percent 2 4 2 4 3 3 2" xfId="40677"/>
    <cellStyle name="Percent 2 4 2 4 3 4" xfId="40678"/>
    <cellStyle name="Percent 2 4 2 4 3 4 2" xfId="40679"/>
    <cellStyle name="Percent 2 4 2 4 3 5" xfId="40680"/>
    <cellStyle name="Percent 2 4 2 4 3 6" xfId="40681"/>
    <cellStyle name="Percent 2 4 2 4 4" xfId="40682"/>
    <cellStyle name="Percent 2 4 2 4 4 2" xfId="40683"/>
    <cellStyle name="Percent 2 4 2 4 4 2 2" xfId="40684"/>
    <cellStyle name="Percent 2 4 2 4 4 3" xfId="40685"/>
    <cellStyle name="Percent 2 4 2 4 4 3 2" xfId="40686"/>
    <cellStyle name="Percent 2 4 2 4 4 4" xfId="40687"/>
    <cellStyle name="Percent 2 4 2 4 4 4 2" xfId="40688"/>
    <cellStyle name="Percent 2 4 2 4 4 5" xfId="40689"/>
    <cellStyle name="Percent 2 4 2 4 4 6" xfId="40690"/>
    <cellStyle name="Percent 2 4 2 4 5" xfId="40691"/>
    <cellStyle name="Percent 2 4 2 4 5 2" xfId="40692"/>
    <cellStyle name="Percent 2 4 2 4 5 2 2" xfId="40693"/>
    <cellStyle name="Percent 2 4 2 4 5 3" xfId="40694"/>
    <cellStyle name="Percent 2 4 2 4 5 3 2" xfId="40695"/>
    <cellStyle name="Percent 2 4 2 4 5 4" xfId="40696"/>
    <cellStyle name="Percent 2 4 2 4 5 5" xfId="40697"/>
    <cellStyle name="Percent 2 4 2 4 6" xfId="40698"/>
    <cellStyle name="Percent 2 4 2 4 6 2" xfId="40699"/>
    <cellStyle name="Percent 2 4 2 4 7" xfId="40700"/>
    <cellStyle name="Percent 2 4 2 4 7 2" xfId="40701"/>
    <cellStyle name="Percent 2 4 2 4 8" xfId="40702"/>
    <cellStyle name="Percent 2 4 2 4 8 2" xfId="40703"/>
    <cellStyle name="Percent 2 4 2 4 9" xfId="40704"/>
    <cellStyle name="Percent 2 4 2 5" xfId="40705"/>
    <cellStyle name="Percent 2 4 2 5 2" xfId="40706"/>
    <cellStyle name="Percent 2 4 2 5 2 2" xfId="40707"/>
    <cellStyle name="Percent 2 4 2 5 3" xfId="40708"/>
    <cellStyle name="Percent 2 4 2 5 3 2" xfId="40709"/>
    <cellStyle name="Percent 2 4 2 5 4" xfId="40710"/>
    <cellStyle name="Percent 2 4 2 5 4 2" xfId="40711"/>
    <cellStyle name="Percent 2 4 2 5 5" xfId="40712"/>
    <cellStyle name="Percent 2 4 2 5 6" xfId="40713"/>
    <cellStyle name="Percent 2 4 2 6" xfId="40714"/>
    <cellStyle name="Percent 2 4 2 6 2" xfId="40715"/>
    <cellStyle name="Percent 2 4 2 6 2 2" xfId="40716"/>
    <cellStyle name="Percent 2 4 2 6 3" xfId="40717"/>
    <cellStyle name="Percent 2 4 2 6 3 2" xfId="40718"/>
    <cellStyle name="Percent 2 4 2 6 4" xfId="40719"/>
    <cellStyle name="Percent 2 4 2 6 4 2" xfId="40720"/>
    <cellStyle name="Percent 2 4 2 6 5" xfId="40721"/>
    <cellStyle name="Percent 2 4 2 6 6" xfId="40722"/>
    <cellStyle name="Percent 2 4 2 7" xfId="40723"/>
    <cellStyle name="Percent 2 4 2 7 2" xfId="40724"/>
    <cellStyle name="Percent 2 4 2 7 2 2" xfId="40725"/>
    <cellStyle name="Percent 2 4 2 7 3" xfId="40726"/>
    <cellStyle name="Percent 2 4 2 7 3 2" xfId="40727"/>
    <cellStyle name="Percent 2 4 2 7 4" xfId="40728"/>
    <cellStyle name="Percent 2 4 2 7 4 2" xfId="40729"/>
    <cellStyle name="Percent 2 4 2 7 5" xfId="40730"/>
    <cellStyle name="Percent 2 4 2 7 6" xfId="40731"/>
    <cellStyle name="Percent 2 4 2 8" xfId="40732"/>
    <cellStyle name="Percent 2 4 2 8 2" xfId="40733"/>
    <cellStyle name="Percent 2 4 2 8 2 2" xfId="40734"/>
    <cellStyle name="Percent 2 4 2 8 3" xfId="40735"/>
    <cellStyle name="Percent 2 4 2 8 3 2" xfId="40736"/>
    <cellStyle name="Percent 2 4 2 8 4" xfId="40737"/>
    <cellStyle name="Percent 2 4 2 8 5" xfId="40738"/>
    <cellStyle name="Percent 2 4 2 9" xfId="40739"/>
    <cellStyle name="Percent 2 4 2 9 2" xfId="40740"/>
    <cellStyle name="Percent 2 4 3" xfId="40741"/>
    <cellStyle name="Percent 2 4 3 10" xfId="40742"/>
    <cellStyle name="Percent 2 4 3 10 2" xfId="40743"/>
    <cellStyle name="Percent 2 4 3 11" xfId="40744"/>
    <cellStyle name="Percent 2 4 3 11 2" xfId="40745"/>
    <cellStyle name="Percent 2 4 3 12" xfId="40746"/>
    <cellStyle name="Percent 2 4 3 13" xfId="40747"/>
    <cellStyle name="Percent 2 4 3 2" xfId="40748"/>
    <cellStyle name="Percent 2 4 3 2 10" xfId="40749"/>
    <cellStyle name="Percent 2 4 3 2 11" xfId="40750"/>
    <cellStyle name="Percent 2 4 3 2 2" xfId="40751"/>
    <cellStyle name="Percent 2 4 3 2 2 2" xfId="40752"/>
    <cellStyle name="Percent 2 4 3 2 2 2 2" xfId="40753"/>
    <cellStyle name="Percent 2 4 3 2 2 3" xfId="40754"/>
    <cellStyle name="Percent 2 4 3 2 2 3 2" xfId="40755"/>
    <cellStyle name="Percent 2 4 3 2 2 4" xfId="40756"/>
    <cellStyle name="Percent 2 4 3 2 2 4 2" xfId="40757"/>
    <cellStyle name="Percent 2 4 3 2 2 5" xfId="40758"/>
    <cellStyle name="Percent 2 4 3 2 2 6" xfId="40759"/>
    <cellStyle name="Percent 2 4 3 2 3" xfId="40760"/>
    <cellStyle name="Percent 2 4 3 2 3 2" xfId="40761"/>
    <cellStyle name="Percent 2 4 3 2 3 2 2" xfId="40762"/>
    <cellStyle name="Percent 2 4 3 2 3 3" xfId="40763"/>
    <cellStyle name="Percent 2 4 3 2 3 3 2" xfId="40764"/>
    <cellStyle name="Percent 2 4 3 2 3 4" xfId="40765"/>
    <cellStyle name="Percent 2 4 3 2 3 4 2" xfId="40766"/>
    <cellStyle name="Percent 2 4 3 2 3 5" xfId="40767"/>
    <cellStyle name="Percent 2 4 3 2 3 6" xfId="40768"/>
    <cellStyle name="Percent 2 4 3 2 4" xfId="40769"/>
    <cellStyle name="Percent 2 4 3 2 4 2" xfId="40770"/>
    <cellStyle name="Percent 2 4 3 2 4 2 2" xfId="40771"/>
    <cellStyle name="Percent 2 4 3 2 4 3" xfId="40772"/>
    <cellStyle name="Percent 2 4 3 2 4 3 2" xfId="40773"/>
    <cellStyle name="Percent 2 4 3 2 4 4" xfId="40774"/>
    <cellStyle name="Percent 2 4 3 2 4 4 2" xfId="40775"/>
    <cellStyle name="Percent 2 4 3 2 4 5" xfId="40776"/>
    <cellStyle name="Percent 2 4 3 2 4 6" xfId="40777"/>
    <cellStyle name="Percent 2 4 3 2 5" xfId="40778"/>
    <cellStyle name="Percent 2 4 3 2 5 2" xfId="40779"/>
    <cellStyle name="Percent 2 4 3 2 5 2 2" xfId="40780"/>
    <cellStyle name="Percent 2 4 3 2 5 3" xfId="40781"/>
    <cellStyle name="Percent 2 4 3 2 5 3 2" xfId="40782"/>
    <cellStyle name="Percent 2 4 3 2 5 4" xfId="40783"/>
    <cellStyle name="Percent 2 4 3 2 5 4 2" xfId="40784"/>
    <cellStyle name="Percent 2 4 3 2 5 5" xfId="40785"/>
    <cellStyle name="Percent 2 4 3 2 5 6" xfId="40786"/>
    <cellStyle name="Percent 2 4 3 2 6" xfId="40787"/>
    <cellStyle name="Percent 2 4 3 2 6 2" xfId="40788"/>
    <cellStyle name="Percent 2 4 3 2 6 2 2" xfId="40789"/>
    <cellStyle name="Percent 2 4 3 2 6 3" xfId="40790"/>
    <cellStyle name="Percent 2 4 3 2 6 3 2" xfId="40791"/>
    <cellStyle name="Percent 2 4 3 2 6 4" xfId="40792"/>
    <cellStyle name="Percent 2 4 3 2 6 5" xfId="40793"/>
    <cellStyle name="Percent 2 4 3 2 7" xfId="40794"/>
    <cellStyle name="Percent 2 4 3 2 7 2" xfId="40795"/>
    <cellStyle name="Percent 2 4 3 2 8" xfId="40796"/>
    <cellStyle name="Percent 2 4 3 2 8 2" xfId="40797"/>
    <cellStyle name="Percent 2 4 3 2 9" xfId="40798"/>
    <cellStyle name="Percent 2 4 3 2 9 2" xfId="40799"/>
    <cellStyle name="Percent 2 4 3 3" xfId="40800"/>
    <cellStyle name="Percent 2 4 3 3 10" xfId="40801"/>
    <cellStyle name="Percent 2 4 3 3 2" xfId="40802"/>
    <cellStyle name="Percent 2 4 3 3 2 2" xfId="40803"/>
    <cellStyle name="Percent 2 4 3 3 2 2 2" xfId="40804"/>
    <cellStyle name="Percent 2 4 3 3 2 3" xfId="40805"/>
    <cellStyle name="Percent 2 4 3 3 2 3 2" xfId="40806"/>
    <cellStyle name="Percent 2 4 3 3 2 4" xfId="40807"/>
    <cellStyle name="Percent 2 4 3 3 2 4 2" xfId="40808"/>
    <cellStyle name="Percent 2 4 3 3 2 5" xfId="40809"/>
    <cellStyle name="Percent 2 4 3 3 2 6" xfId="40810"/>
    <cellStyle name="Percent 2 4 3 3 3" xfId="40811"/>
    <cellStyle name="Percent 2 4 3 3 3 2" xfId="40812"/>
    <cellStyle name="Percent 2 4 3 3 3 2 2" xfId="40813"/>
    <cellStyle name="Percent 2 4 3 3 3 3" xfId="40814"/>
    <cellStyle name="Percent 2 4 3 3 3 3 2" xfId="40815"/>
    <cellStyle name="Percent 2 4 3 3 3 4" xfId="40816"/>
    <cellStyle name="Percent 2 4 3 3 3 4 2" xfId="40817"/>
    <cellStyle name="Percent 2 4 3 3 3 5" xfId="40818"/>
    <cellStyle name="Percent 2 4 3 3 3 6" xfId="40819"/>
    <cellStyle name="Percent 2 4 3 3 4" xfId="40820"/>
    <cellStyle name="Percent 2 4 3 3 4 2" xfId="40821"/>
    <cellStyle name="Percent 2 4 3 3 4 2 2" xfId="40822"/>
    <cellStyle name="Percent 2 4 3 3 4 3" xfId="40823"/>
    <cellStyle name="Percent 2 4 3 3 4 3 2" xfId="40824"/>
    <cellStyle name="Percent 2 4 3 3 4 4" xfId="40825"/>
    <cellStyle name="Percent 2 4 3 3 4 4 2" xfId="40826"/>
    <cellStyle name="Percent 2 4 3 3 4 5" xfId="40827"/>
    <cellStyle name="Percent 2 4 3 3 4 6" xfId="40828"/>
    <cellStyle name="Percent 2 4 3 3 5" xfId="40829"/>
    <cellStyle name="Percent 2 4 3 3 5 2" xfId="40830"/>
    <cellStyle name="Percent 2 4 3 3 5 2 2" xfId="40831"/>
    <cellStyle name="Percent 2 4 3 3 5 3" xfId="40832"/>
    <cellStyle name="Percent 2 4 3 3 5 3 2" xfId="40833"/>
    <cellStyle name="Percent 2 4 3 3 5 4" xfId="40834"/>
    <cellStyle name="Percent 2 4 3 3 5 5" xfId="40835"/>
    <cellStyle name="Percent 2 4 3 3 6" xfId="40836"/>
    <cellStyle name="Percent 2 4 3 3 6 2" xfId="40837"/>
    <cellStyle name="Percent 2 4 3 3 7" xfId="40838"/>
    <cellStyle name="Percent 2 4 3 3 7 2" xfId="40839"/>
    <cellStyle name="Percent 2 4 3 3 8" xfId="40840"/>
    <cellStyle name="Percent 2 4 3 3 8 2" xfId="40841"/>
    <cellStyle name="Percent 2 4 3 3 9" xfId="40842"/>
    <cellStyle name="Percent 2 4 3 4" xfId="40843"/>
    <cellStyle name="Percent 2 4 3 4 10" xfId="40844"/>
    <cellStyle name="Percent 2 4 3 4 2" xfId="40845"/>
    <cellStyle name="Percent 2 4 3 4 2 2" xfId="40846"/>
    <cellStyle name="Percent 2 4 3 4 2 2 2" xfId="40847"/>
    <cellStyle name="Percent 2 4 3 4 2 3" xfId="40848"/>
    <cellStyle name="Percent 2 4 3 4 2 3 2" xfId="40849"/>
    <cellStyle name="Percent 2 4 3 4 2 4" xfId="40850"/>
    <cellStyle name="Percent 2 4 3 4 2 4 2" xfId="40851"/>
    <cellStyle name="Percent 2 4 3 4 2 5" xfId="40852"/>
    <cellStyle name="Percent 2 4 3 4 2 6" xfId="40853"/>
    <cellStyle name="Percent 2 4 3 4 3" xfId="40854"/>
    <cellStyle name="Percent 2 4 3 4 3 2" xfId="40855"/>
    <cellStyle name="Percent 2 4 3 4 3 2 2" xfId="40856"/>
    <cellStyle name="Percent 2 4 3 4 3 3" xfId="40857"/>
    <cellStyle name="Percent 2 4 3 4 3 3 2" xfId="40858"/>
    <cellStyle name="Percent 2 4 3 4 3 4" xfId="40859"/>
    <cellStyle name="Percent 2 4 3 4 3 4 2" xfId="40860"/>
    <cellStyle name="Percent 2 4 3 4 3 5" xfId="40861"/>
    <cellStyle name="Percent 2 4 3 4 3 6" xfId="40862"/>
    <cellStyle name="Percent 2 4 3 4 4" xfId="40863"/>
    <cellStyle name="Percent 2 4 3 4 4 2" xfId="40864"/>
    <cellStyle name="Percent 2 4 3 4 4 2 2" xfId="40865"/>
    <cellStyle name="Percent 2 4 3 4 4 3" xfId="40866"/>
    <cellStyle name="Percent 2 4 3 4 4 3 2" xfId="40867"/>
    <cellStyle name="Percent 2 4 3 4 4 4" xfId="40868"/>
    <cellStyle name="Percent 2 4 3 4 4 4 2" xfId="40869"/>
    <cellStyle name="Percent 2 4 3 4 4 5" xfId="40870"/>
    <cellStyle name="Percent 2 4 3 4 4 6" xfId="40871"/>
    <cellStyle name="Percent 2 4 3 4 5" xfId="40872"/>
    <cellStyle name="Percent 2 4 3 4 5 2" xfId="40873"/>
    <cellStyle name="Percent 2 4 3 4 5 2 2" xfId="40874"/>
    <cellStyle name="Percent 2 4 3 4 5 3" xfId="40875"/>
    <cellStyle name="Percent 2 4 3 4 5 3 2" xfId="40876"/>
    <cellStyle name="Percent 2 4 3 4 5 4" xfId="40877"/>
    <cellStyle name="Percent 2 4 3 4 5 5" xfId="40878"/>
    <cellStyle name="Percent 2 4 3 4 6" xfId="40879"/>
    <cellStyle name="Percent 2 4 3 4 6 2" xfId="40880"/>
    <cellStyle name="Percent 2 4 3 4 7" xfId="40881"/>
    <cellStyle name="Percent 2 4 3 4 7 2" xfId="40882"/>
    <cellStyle name="Percent 2 4 3 4 8" xfId="40883"/>
    <cellStyle name="Percent 2 4 3 4 8 2" xfId="40884"/>
    <cellStyle name="Percent 2 4 3 4 9" xfId="40885"/>
    <cellStyle name="Percent 2 4 3 5" xfId="40886"/>
    <cellStyle name="Percent 2 4 3 5 2" xfId="40887"/>
    <cellStyle name="Percent 2 4 3 5 2 2" xfId="40888"/>
    <cellStyle name="Percent 2 4 3 5 3" xfId="40889"/>
    <cellStyle name="Percent 2 4 3 5 3 2" xfId="40890"/>
    <cellStyle name="Percent 2 4 3 5 4" xfId="40891"/>
    <cellStyle name="Percent 2 4 3 5 4 2" xfId="40892"/>
    <cellStyle name="Percent 2 4 3 5 5" xfId="40893"/>
    <cellStyle name="Percent 2 4 3 5 6" xfId="40894"/>
    <cellStyle name="Percent 2 4 3 6" xfId="40895"/>
    <cellStyle name="Percent 2 4 3 6 2" xfId="40896"/>
    <cellStyle name="Percent 2 4 3 6 2 2" xfId="40897"/>
    <cellStyle name="Percent 2 4 3 6 3" xfId="40898"/>
    <cellStyle name="Percent 2 4 3 6 3 2" xfId="40899"/>
    <cellStyle name="Percent 2 4 3 6 4" xfId="40900"/>
    <cellStyle name="Percent 2 4 3 6 4 2" xfId="40901"/>
    <cellStyle name="Percent 2 4 3 6 5" xfId="40902"/>
    <cellStyle name="Percent 2 4 3 6 6" xfId="40903"/>
    <cellStyle name="Percent 2 4 3 7" xfId="40904"/>
    <cellStyle name="Percent 2 4 3 7 2" xfId="40905"/>
    <cellStyle name="Percent 2 4 3 7 2 2" xfId="40906"/>
    <cellStyle name="Percent 2 4 3 7 3" xfId="40907"/>
    <cellStyle name="Percent 2 4 3 7 3 2" xfId="40908"/>
    <cellStyle name="Percent 2 4 3 7 4" xfId="40909"/>
    <cellStyle name="Percent 2 4 3 7 4 2" xfId="40910"/>
    <cellStyle name="Percent 2 4 3 7 5" xfId="40911"/>
    <cellStyle name="Percent 2 4 3 7 6" xfId="40912"/>
    <cellStyle name="Percent 2 4 3 8" xfId="40913"/>
    <cellStyle name="Percent 2 4 3 8 2" xfId="40914"/>
    <cellStyle name="Percent 2 4 3 8 2 2" xfId="40915"/>
    <cellStyle name="Percent 2 4 3 8 3" xfId="40916"/>
    <cellStyle name="Percent 2 4 3 8 3 2" xfId="40917"/>
    <cellStyle name="Percent 2 4 3 8 4" xfId="40918"/>
    <cellStyle name="Percent 2 4 3 8 5" xfId="40919"/>
    <cellStyle name="Percent 2 4 3 9" xfId="40920"/>
    <cellStyle name="Percent 2 4 3 9 2" xfId="40921"/>
    <cellStyle name="Percent 2 4 4" xfId="40922"/>
    <cellStyle name="Percent 2 4 4 10" xfId="40923"/>
    <cellStyle name="Percent 2 4 4 10 2" xfId="40924"/>
    <cellStyle name="Percent 2 4 4 11" xfId="40925"/>
    <cellStyle name="Percent 2 4 4 12" xfId="40926"/>
    <cellStyle name="Percent 2 4 4 2" xfId="40927"/>
    <cellStyle name="Percent 2 4 4 2 10" xfId="40928"/>
    <cellStyle name="Percent 2 4 4 2 2" xfId="40929"/>
    <cellStyle name="Percent 2 4 4 2 2 2" xfId="40930"/>
    <cellStyle name="Percent 2 4 4 2 2 2 2" xfId="40931"/>
    <cellStyle name="Percent 2 4 4 2 2 3" xfId="40932"/>
    <cellStyle name="Percent 2 4 4 2 2 3 2" xfId="40933"/>
    <cellStyle name="Percent 2 4 4 2 2 4" xfId="40934"/>
    <cellStyle name="Percent 2 4 4 2 2 4 2" xfId="40935"/>
    <cellStyle name="Percent 2 4 4 2 2 5" xfId="40936"/>
    <cellStyle name="Percent 2 4 4 2 2 6" xfId="40937"/>
    <cellStyle name="Percent 2 4 4 2 3" xfId="40938"/>
    <cellStyle name="Percent 2 4 4 2 3 2" xfId="40939"/>
    <cellStyle name="Percent 2 4 4 2 3 2 2" xfId="40940"/>
    <cellStyle name="Percent 2 4 4 2 3 3" xfId="40941"/>
    <cellStyle name="Percent 2 4 4 2 3 3 2" xfId="40942"/>
    <cellStyle name="Percent 2 4 4 2 3 4" xfId="40943"/>
    <cellStyle name="Percent 2 4 4 2 3 4 2" xfId="40944"/>
    <cellStyle name="Percent 2 4 4 2 3 5" xfId="40945"/>
    <cellStyle name="Percent 2 4 4 2 3 6" xfId="40946"/>
    <cellStyle name="Percent 2 4 4 2 4" xfId="40947"/>
    <cellStyle name="Percent 2 4 4 2 4 2" xfId="40948"/>
    <cellStyle name="Percent 2 4 4 2 4 2 2" xfId="40949"/>
    <cellStyle name="Percent 2 4 4 2 4 3" xfId="40950"/>
    <cellStyle name="Percent 2 4 4 2 4 3 2" xfId="40951"/>
    <cellStyle name="Percent 2 4 4 2 4 4" xfId="40952"/>
    <cellStyle name="Percent 2 4 4 2 4 4 2" xfId="40953"/>
    <cellStyle name="Percent 2 4 4 2 4 5" xfId="40954"/>
    <cellStyle name="Percent 2 4 4 2 4 6" xfId="40955"/>
    <cellStyle name="Percent 2 4 4 2 5" xfId="40956"/>
    <cellStyle name="Percent 2 4 4 2 5 2" xfId="40957"/>
    <cellStyle name="Percent 2 4 4 2 5 2 2" xfId="40958"/>
    <cellStyle name="Percent 2 4 4 2 5 3" xfId="40959"/>
    <cellStyle name="Percent 2 4 4 2 5 3 2" xfId="40960"/>
    <cellStyle name="Percent 2 4 4 2 5 4" xfId="40961"/>
    <cellStyle name="Percent 2 4 4 2 5 5" xfId="40962"/>
    <cellStyle name="Percent 2 4 4 2 6" xfId="40963"/>
    <cellStyle name="Percent 2 4 4 2 6 2" xfId="40964"/>
    <cellStyle name="Percent 2 4 4 2 7" xfId="40965"/>
    <cellStyle name="Percent 2 4 4 2 7 2" xfId="40966"/>
    <cellStyle name="Percent 2 4 4 2 8" xfId="40967"/>
    <cellStyle name="Percent 2 4 4 2 8 2" xfId="40968"/>
    <cellStyle name="Percent 2 4 4 2 9" xfId="40969"/>
    <cellStyle name="Percent 2 4 4 3" xfId="40970"/>
    <cellStyle name="Percent 2 4 4 3 10" xfId="40971"/>
    <cellStyle name="Percent 2 4 4 3 2" xfId="40972"/>
    <cellStyle name="Percent 2 4 4 3 2 2" xfId="40973"/>
    <cellStyle name="Percent 2 4 4 3 2 2 2" xfId="40974"/>
    <cellStyle name="Percent 2 4 4 3 2 3" xfId="40975"/>
    <cellStyle name="Percent 2 4 4 3 2 3 2" xfId="40976"/>
    <cellStyle name="Percent 2 4 4 3 2 4" xfId="40977"/>
    <cellStyle name="Percent 2 4 4 3 2 4 2" xfId="40978"/>
    <cellStyle name="Percent 2 4 4 3 2 5" xfId="40979"/>
    <cellStyle name="Percent 2 4 4 3 2 6" xfId="40980"/>
    <cellStyle name="Percent 2 4 4 3 3" xfId="40981"/>
    <cellStyle name="Percent 2 4 4 3 3 2" xfId="40982"/>
    <cellStyle name="Percent 2 4 4 3 3 2 2" xfId="40983"/>
    <cellStyle name="Percent 2 4 4 3 3 3" xfId="40984"/>
    <cellStyle name="Percent 2 4 4 3 3 3 2" xfId="40985"/>
    <cellStyle name="Percent 2 4 4 3 3 4" xfId="40986"/>
    <cellStyle name="Percent 2 4 4 3 3 4 2" xfId="40987"/>
    <cellStyle name="Percent 2 4 4 3 3 5" xfId="40988"/>
    <cellStyle name="Percent 2 4 4 3 3 6" xfId="40989"/>
    <cellStyle name="Percent 2 4 4 3 4" xfId="40990"/>
    <cellStyle name="Percent 2 4 4 3 4 2" xfId="40991"/>
    <cellStyle name="Percent 2 4 4 3 4 2 2" xfId="40992"/>
    <cellStyle name="Percent 2 4 4 3 4 3" xfId="40993"/>
    <cellStyle name="Percent 2 4 4 3 4 3 2" xfId="40994"/>
    <cellStyle name="Percent 2 4 4 3 4 4" xfId="40995"/>
    <cellStyle name="Percent 2 4 4 3 4 4 2" xfId="40996"/>
    <cellStyle name="Percent 2 4 4 3 4 5" xfId="40997"/>
    <cellStyle name="Percent 2 4 4 3 4 6" xfId="40998"/>
    <cellStyle name="Percent 2 4 4 3 5" xfId="40999"/>
    <cellStyle name="Percent 2 4 4 3 5 2" xfId="41000"/>
    <cellStyle name="Percent 2 4 4 3 5 2 2" xfId="41001"/>
    <cellStyle name="Percent 2 4 4 3 5 3" xfId="41002"/>
    <cellStyle name="Percent 2 4 4 3 5 3 2" xfId="41003"/>
    <cellStyle name="Percent 2 4 4 3 5 4" xfId="41004"/>
    <cellStyle name="Percent 2 4 4 3 5 5" xfId="41005"/>
    <cellStyle name="Percent 2 4 4 3 6" xfId="41006"/>
    <cellStyle name="Percent 2 4 4 3 6 2" xfId="41007"/>
    <cellStyle name="Percent 2 4 4 3 7" xfId="41008"/>
    <cellStyle name="Percent 2 4 4 3 7 2" xfId="41009"/>
    <cellStyle name="Percent 2 4 4 3 8" xfId="41010"/>
    <cellStyle name="Percent 2 4 4 3 8 2" xfId="41011"/>
    <cellStyle name="Percent 2 4 4 3 9" xfId="41012"/>
    <cellStyle name="Percent 2 4 4 4" xfId="41013"/>
    <cellStyle name="Percent 2 4 4 4 2" xfId="41014"/>
    <cellStyle name="Percent 2 4 4 4 2 2" xfId="41015"/>
    <cellStyle name="Percent 2 4 4 4 3" xfId="41016"/>
    <cellStyle name="Percent 2 4 4 4 3 2" xfId="41017"/>
    <cellStyle name="Percent 2 4 4 4 4" xfId="41018"/>
    <cellStyle name="Percent 2 4 4 4 4 2" xfId="41019"/>
    <cellStyle name="Percent 2 4 4 4 5" xfId="41020"/>
    <cellStyle name="Percent 2 4 4 4 6" xfId="41021"/>
    <cellStyle name="Percent 2 4 4 5" xfId="41022"/>
    <cellStyle name="Percent 2 4 4 5 2" xfId="41023"/>
    <cellStyle name="Percent 2 4 4 5 2 2" xfId="41024"/>
    <cellStyle name="Percent 2 4 4 5 3" xfId="41025"/>
    <cellStyle name="Percent 2 4 4 5 3 2" xfId="41026"/>
    <cellStyle name="Percent 2 4 4 5 4" xfId="41027"/>
    <cellStyle name="Percent 2 4 4 5 4 2" xfId="41028"/>
    <cellStyle name="Percent 2 4 4 5 5" xfId="41029"/>
    <cellStyle name="Percent 2 4 4 5 6" xfId="41030"/>
    <cellStyle name="Percent 2 4 4 6" xfId="41031"/>
    <cellStyle name="Percent 2 4 4 6 2" xfId="41032"/>
    <cellStyle name="Percent 2 4 4 6 2 2" xfId="41033"/>
    <cellStyle name="Percent 2 4 4 6 3" xfId="41034"/>
    <cellStyle name="Percent 2 4 4 6 3 2" xfId="41035"/>
    <cellStyle name="Percent 2 4 4 6 4" xfId="41036"/>
    <cellStyle name="Percent 2 4 4 6 4 2" xfId="41037"/>
    <cellStyle name="Percent 2 4 4 6 5" xfId="41038"/>
    <cellStyle name="Percent 2 4 4 6 6" xfId="41039"/>
    <cellStyle name="Percent 2 4 4 7" xfId="41040"/>
    <cellStyle name="Percent 2 4 4 7 2" xfId="41041"/>
    <cellStyle name="Percent 2 4 4 7 2 2" xfId="41042"/>
    <cellStyle name="Percent 2 4 4 7 3" xfId="41043"/>
    <cellStyle name="Percent 2 4 4 7 3 2" xfId="41044"/>
    <cellStyle name="Percent 2 4 4 7 4" xfId="41045"/>
    <cellStyle name="Percent 2 4 4 7 5" xfId="41046"/>
    <cellStyle name="Percent 2 4 4 8" xfId="41047"/>
    <cellStyle name="Percent 2 4 4 8 2" xfId="41048"/>
    <cellStyle name="Percent 2 4 4 9" xfId="41049"/>
    <cellStyle name="Percent 2 4 4 9 2" xfId="41050"/>
    <cellStyle name="Percent 2 4 5" xfId="41051"/>
    <cellStyle name="Percent 2 4 5 10" xfId="41052"/>
    <cellStyle name="Percent 2 4 5 11" xfId="41053"/>
    <cellStyle name="Percent 2 4 5 2" xfId="41054"/>
    <cellStyle name="Percent 2 4 5 2 2" xfId="41055"/>
    <cellStyle name="Percent 2 4 5 2 2 2" xfId="41056"/>
    <cellStyle name="Percent 2 4 5 2 3" xfId="41057"/>
    <cellStyle name="Percent 2 4 5 2 3 2" xfId="41058"/>
    <cellStyle name="Percent 2 4 5 2 4" xfId="41059"/>
    <cellStyle name="Percent 2 4 5 2 4 2" xfId="41060"/>
    <cellStyle name="Percent 2 4 5 2 5" xfId="41061"/>
    <cellStyle name="Percent 2 4 5 2 6" xfId="41062"/>
    <cellStyle name="Percent 2 4 5 3" xfId="41063"/>
    <cellStyle name="Percent 2 4 5 3 2" xfId="41064"/>
    <cellStyle name="Percent 2 4 5 3 2 2" xfId="41065"/>
    <cellStyle name="Percent 2 4 5 3 3" xfId="41066"/>
    <cellStyle name="Percent 2 4 5 3 3 2" xfId="41067"/>
    <cellStyle name="Percent 2 4 5 3 4" xfId="41068"/>
    <cellStyle name="Percent 2 4 5 3 4 2" xfId="41069"/>
    <cellStyle name="Percent 2 4 5 3 5" xfId="41070"/>
    <cellStyle name="Percent 2 4 5 3 6" xfId="41071"/>
    <cellStyle name="Percent 2 4 5 4" xfId="41072"/>
    <cellStyle name="Percent 2 4 5 4 2" xfId="41073"/>
    <cellStyle name="Percent 2 4 5 4 2 2" xfId="41074"/>
    <cellStyle name="Percent 2 4 5 4 3" xfId="41075"/>
    <cellStyle name="Percent 2 4 5 4 3 2" xfId="41076"/>
    <cellStyle name="Percent 2 4 5 4 4" xfId="41077"/>
    <cellStyle name="Percent 2 4 5 4 4 2" xfId="41078"/>
    <cellStyle name="Percent 2 4 5 4 5" xfId="41079"/>
    <cellStyle name="Percent 2 4 5 4 6" xfId="41080"/>
    <cellStyle name="Percent 2 4 5 5" xfId="41081"/>
    <cellStyle name="Percent 2 4 5 5 2" xfId="41082"/>
    <cellStyle name="Percent 2 4 5 5 2 2" xfId="41083"/>
    <cellStyle name="Percent 2 4 5 5 3" xfId="41084"/>
    <cellStyle name="Percent 2 4 5 5 3 2" xfId="41085"/>
    <cellStyle name="Percent 2 4 5 5 4" xfId="41086"/>
    <cellStyle name="Percent 2 4 5 5 4 2" xfId="41087"/>
    <cellStyle name="Percent 2 4 5 5 5" xfId="41088"/>
    <cellStyle name="Percent 2 4 5 5 6" xfId="41089"/>
    <cellStyle name="Percent 2 4 5 6" xfId="41090"/>
    <cellStyle name="Percent 2 4 5 6 2" xfId="41091"/>
    <cellStyle name="Percent 2 4 5 6 2 2" xfId="41092"/>
    <cellStyle name="Percent 2 4 5 6 3" xfId="41093"/>
    <cellStyle name="Percent 2 4 5 6 3 2" xfId="41094"/>
    <cellStyle name="Percent 2 4 5 6 4" xfId="41095"/>
    <cellStyle name="Percent 2 4 5 6 5" xfId="41096"/>
    <cellStyle name="Percent 2 4 5 7" xfId="41097"/>
    <cellStyle name="Percent 2 4 5 7 2" xfId="41098"/>
    <cellStyle name="Percent 2 4 5 8" xfId="41099"/>
    <cellStyle name="Percent 2 4 5 8 2" xfId="41100"/>
    <cellStyle name="Percent 2 4 5 9" xfId="41101"/>
    <cellStyle name="Percent 2 4 5 9 2" xfId="41102"/>
    <cellStyle name="Percent 2 4 6" xfId="41103"/>
    <cellStyle name="Percent 2 4 6 10" xfId="41104"/>
    <cellStyle name="Percent 2 4 6 2" xfId="41105"/>
    <cellStyle name="Percent 2 4 6 2 2" xfId="41106"/>
    <cellStyle name="Percent 2 4 6 2 2 2" xfId="41107"/>
    <cellStyle name="Percent 2 4 6 2 3" xfId="41108"/>
    <cellStyle name="Percent 2 4 6 2 3 2" xfId="41109"/>
    <cellStyle name="Percent 2 4 6 2 4" xfId="41110"/>
    <cellStyle name="Percent 2 4 6 2 4 2" xfId="41111"/>
    <cellStyle name="Percent 2 4 6 2 5" xfId="41112"/>
    <cellStyle name="Percent 2 4 6 2 6" xfId="41113"/>
    <cellStyle name="Percent 2 4 6 3" xfId="41114"/>
    <cellStyle name="Percent 2 4 6 3 2" xfId="41115"/>
    <cellStyle name="Percent 2 4 6 3 2 2" xfId="41116"/>
    <cellStyle name="Percent 2 4 6 3 3" xfId="41117"/>
    <cellStyle name="Percent 2 4 6 3 3 2" xfId="41118"/>
    <cellStyle name="Percent 2 4 6 3 4" xfId="41119"/>
    <cellStyle name="Percent 2 4 6 3 4 2" xfId="41120"/>
    <cellStyle name="Percent 2 4 6 3 5" xfId="41121"/>
    <cellStyle name="Percent 2 4 6 3 6" xfId="41122"/>
    <cellStyle name="Percent 2 4 6 4" xfId="41123"/>
    <cellStyle name="Percent 2 4 6 4 2" xfId="41124"/>
    <cellStyle name="Percent 2 4 6 4 2 2" xfId="41125"/>
    <cellStyle name="Percent 2 4 6 4 3" xfId="41126"/>
    <cellStyle name="Percent 2 4 6 4 3 2" xfId="41127"/>
    <cellStyle name="Percent 2 4 6 4 4" xfId="41128"/>
    <cellStyle name="Percent 2 4 6 4 4 2" xfId="41129"/>
    <cellStyle name="Percent 2 4 6 4 5" xfId="41130"/>
    <cellStyle name="Percent 2 4 6 4 6" xfId="41131"/>
    <cellStyle name="Percent 2 4 6 5" xfId="41132"/>
    <cellStyle name="Percent 2 4 6 5 2" xfId="41133"/>
    <cellStyle name="Percent 2 4 6 5 2 2" xfId="41134"/>
    <cellStyle name="Percent 2 4 6 5 3" xfId="41135"/>
    <cellStyle name="Percent 2 4 6 5 3 2" xfId="41136"/>
    <cellStyle name="Percent 2 4 6 5 4" xfId="41137"/>
    <cellStyle name="Percent 2 4 6 5 5" xfId="41138"/>
    <cellStyle name="Percent 2 4 6 6" xfId="41139"/>
    <cellStyle name="Percent 2 4 6 6 2" xfId="41140"/>
    <cellStyle name="Percent 2 4 6 7" xfId="41141"/>
    <cellStyle name="Percent 2 4 6 7 2" xfId="41142"/>
    <cellStyle name="Percent 2 4 6 8" xfId="41143"/>
    <cellStyle name="Percent 2 4 6 8 2" xfId="41144"/>
    <cellStyle name="Percent 2 4 6 9" xfId="41145"/>
    <cellStyle name="Percent 2 4 7" xfId="41146"/>
    <cellStyle name="Percent 2 4 7 10" xfId="41147"/>
    <cellStyle name="Percent 2 4 7 2" xfId="41148"/>
    <cellStyle name="Percent 2 4 7 2 2" xfId="41149"/>
    <cellStyle name="Percent 2 4 7 2 2 2" xfId="41150"/>
    <cellStyle name="Percent 2 4 7 2 3" xfId="41151"/>
    <cellStyle name="Percent 2 4 7 2 3 2" xfId="41152"/>
    <cellStyle name="Percent 2 4 7 2 4" xfId="41153"/>
    <cellStyle name="Percent 2 4 7 2 4 2" xfId="41154"/>
    <cellStyle name="Percent 2 4 7 2 5" xfId="41155"/>
    <cellStyle name="Percent 2 4 7 2 6" xfId="41156"/>
    <cellStyle name="Percent 2 4 7 3" xfId="41157"/>
    <cellStyle name="Percent 2 4 7 3 2" xfId="41158"/>
    <cellStyle name="Percent 2 4 7 3 2 2" xfId="41159"/>
    <cellStyle name="Percent 2 4 7 3 3" xfId="41160"/>
    <cellStyle name="Percent 2 4 7 3 3 2" xfId="41161"/>
    <cellStyle name="Percent 2 4 7 3 4" xfId="41162"/>
    <cellStyle name="Percent 2 4 7 3 4 2" xfId="41163"/>
    <cellStyle name="Percent 2 4 7 3 5" xfId="41164"/>
    <cellStyle name="Percent 2 4 7 3 6" xfId="41165"/>
    <cellStyle name="Percent 2 4 7 4" xfId="41166"/>
    <cellStyle name="Percent 2 4 7 4 2" xfId="41167"/>
    <cellStyle name="Percent 2 4 7 4 2 2" xfId="41168"/>
    <cellStyle name="Percent 2 4 7 4 3" xfId="41169"/>
    <cellStyle name="Percent 2 4 7 4 3 2" xfId="41170"/>
    <cellStyle name="Percent 2 4 7 4 4" xfId="41171"/>
    <cellStyle name="Percent 2 4 7 4 4 2" xfId="41172"/>
    <cellStyle name="Percent 2 4 7 4 5" xfId="41173"/>
    <cellStyle name="Percent 2 4 7 4 6" xfId="41174"/>
    <cellStyle name="Percent 2 4 7 5" xfId="41175"/>
    <cellStyle name="Percent 2 4 7 5 2" xfId="41176"/>
    <cellStyle name="Percent 2 4 7 5 2 2" xfId="41177"/>
    <cellStyle name="Percent 2 4 7 5 3" xfId="41178"/>
    <cellStyle name="Percent 2 4 7 5 3 2" xfId="41179"/>
    <cellStyle name="Percent 2 4 7 5 4" xfId="41180"/>
    <cellStyle name="Percent 2 4 7 5 5" xfId="41181"/>
    <cellStyle name="Percent 2 4 7 6" xfId="41182"/>
    <cellStyle name="Percent 2 4 7 6 2" xfId="41183"/>
    <cellStyle name="Percent 2 4 7 7" xfId="41184"/>
    <cellStyle name="Percent 2 4 7 7 2" xfId="41185"/>
    <cellStyle name="Percent 2 4 7 8" xfId="41186"/>
    <cellStyle name="Percent 2 4 7 8 2" xfId="41187"/>
    <cellStyle name="Percent 2 4 7 9" xfId="41188"/>
    <cellStyle name="Percent 2 4 8" xfId="41189"/>
    <cellStyle name="Percent 2 4 8 2" xfId="41190"/>
    <cellStyle name="Percent 2 4 8 2 2" xfId="41191"/>
    <cellStyle name="Percent 2 4 8 3" xfId="41192"/>
    <cellStyle name="Percent 2 4 8 3 2" xfId="41193"/>
    <cellStyle name="Percent 2 4 8 4" xfId="41194"/>
    <cellStyle name="Percent 2 4 8 4 2" xfId="41195"/>
    <cellStyle name="Percent 2 4 8 5" xfId="41196"/>
    <cellStyle name="Percent 2 4 8 6" xfId="41197"/>
    <cellStyle name="Percent 2 4 9" xfId="41198"/>
    <cellStyle name="Percent 2 4 9 2" xfId="41199"/>
    <cellStyle name="Percent 2 4 9 2 2" xfId="41200"/>
    <cellStyle name="Percent 2 4 9 3" xfId="41201"/>
    <cellStyle name="Percent 2 4 9 3 2" xfId="41202"/>
    <cellStyle name="Percent 2 4 9 4" xfId="41203"/>
    <cellStyle name="Percent 2 4 9 4 2" xfId="41204"/>
    <cellStyle name="Percent 2 4 9 5" xfId="41205"/>
    <cellStyle name="Percent 2 4 9 6" xfId="41206"/>
    <cellStyle name="Percent 2 5" xfId="7812"/>
    <cellStyle name="Percent 2 5 10" xfId="7813"/>
    <cellStyle name="Percent 2 5 10 2" xfId="7814"/>
    <cellStyle name="Percent 2 5 10 2 2" xfId="7815"/>
    <cellStyle name="Percent 2 5 10 3" xfId="7816"/>
    <cellStyle name="Percent 2 5 10 3 2" xfId="7817"/>
    <cellStyle name="Percent 2 5 10 4" xfId="7818"/>
    <cellStyle name="Percent 2 5 11" xfId="7819"/>
    <cellStyle name="Percent 2 5 11 2" xfId="7820"/>
    <cellStyle name="Percent 2 5 11 3" xfId="7821"/>
    <cellStyle name="Percent 2 5 12" xfId="7822"/>
    <cellStyle name="Percent 2 5 12 2" xfId="7823"/>
    <cellStyle name="Percent 2 5 13" xfId="7824"/>
    <cellStyle name="Percent 2 5 13 2" xfId="7825"/>
    <cellStyle name="Percent 2 5 14" xfId="7826"/>
    <cellStyle name="Percent 2 5 15" xfId="41207"/>
    <cellStyle name="Percent 2 5 2" xfId="7827"/>
    <cellStyle name="Percent 2 5 2 10" xfId="7828"/>
    <cellStyle name="Percent 2 5 2 10 2" xfId="7829"/>
    <cellStyle name="Percent 2 5 2 11" xfId="7830"/>
    <cellStyle name="Percent 2 5 2 11 2" xfId="7831"/>
    <cellStyle name="Percent 2 5 2 12" xfId="7832"/>
    <cellStyle name="Percent 2 5 2 2" xfId="7833"/>
    <cellStyle name="Percent 2 5 2 2 10" xfId="7834"/>
    <cellStyle name="Percent 2 5 2 2 2" xfId="7835"/>
    <cellStyle name="Percent 2 5 2 2 2 2" xfId="7836"/>
    <cellStyle name="Percent 2 5 2 2 2 2 2" xfId="7837"/>
    <cellStyle name="Percent 2 5 2 2 2 2 2 2" xfId="7838"/>
    <cellStyle name="Percent 2 5 2 2 2 2 2 3" xfId="7839"/>
    <cellStyle name="Percent 2 5 2 2 2 2 3" xfId="7840"/>
    <cellStyle name="Percent 2 5 2 2 2 2 3 2" xfId="7841"/>
    <cellStyle name="Percent 2 5 2 2 2 2 4" xfId="7842"/>
    <cellStyle name="Percent 2 5 2 2 2 2 4 2" xfId="7843"/>
    <cellStyle name="Percent 2 5 2 2 2 2 5" xfId="7844"/>
    <cellStyle name="Percent 2 5 2 2 2 3" xfId="7845"/>
    <cellStyle name="Percent 2 5 2 2 2 3 2" xfId="7846"/>
    <cellStyle name="Percent 2 5 2 2 2 3 2 2" xfId="7847"/>
    <cellStyle name="Percent 2 5 2 2 2 3 3" xfId="7848"/>
    <cellStyle name="Percent 2 5 2 2 2 3 3 2" xfId="7849"/>
    <cellStyle name="Percent 2 5 2 2 2 3 4" xfId="7850"/>
    <cellStyle name="Percent 2 5 2 2 2 4" xfId="7851"/>
    <cellStyle name="Percent 2 5 2 2 2 4 2" xfId="7852"/>
    <cellStyle name="Percent 2 5 2 2 2 4 3" xfId="7853"/>
    <cellStyle name="Percent 2 5 2 2 2 5" xfId="7854"/>
    <cellStyle name="Percent 2 5 2 2 2 5 2" xfId="7855"/>
    <cellStyle name="Percent 2 5 2 2 2 6" xfId="7856"/>
    <cellStyle name="Percent 2 5 2 2 2 6 2" xfId="7857"/>
    <cellStyle name="Percent 2 5 2 2 2 7" xfId="7858"/>
    <cellStyle name="Percent 2 5 2 2 3" xfId="7859"/>
    <cellStyle name="Percent 2 5 2 2 3 2" xfId="7860"/>
    <cellStyle name="Percent 2 5 2 2 3 2 2" xfId="7861"/>
    <cellStyle name="Percent 2 5 2 2 3 2 2 2" xfId="7862"/>
    <cellStyle name="Percent 2 5 2 2 3 2 2 3" xfId="7863"/>
    <cellStyle name="Percent 2 5 2 2 3 2 3" xfId="7864"/>
    <cellStyle name="Percent 2 5 2 2 3 2 3 2" xfId="7865"/>
    <cellStyle name="Percent 2 5 2 2 3 2 4" xfId="7866"/>
    <cellStyle name="Percent 2 5 2 2 3 2 4 2" xfId="7867"/>
    <cellStyle name="Percent 2 5 2 2 3 2 5" xfId="7868"/>
    <cellStyle name="Percent 2 5 2 2 3 3" xfId="7869"/>
    <cellStyle name="Percent 2 5 2 2 3 3 2" xfId="7870"/>
    <cellStyle name="Percent 2 5 2 2 3 3 2 2" xfId="7871"/>
    <cellStyle name="Percent 2 5 2 2 3 3 3" xfId="7872"/>
    <cellStyle name="Percent 2 5 2 2 3 3 3 2" xfId="7873"/>
    <cellStyle name="Percent 2 5 2 2 3 3 4" xfId="7874"/>
    <cellStyle name="Percent 2 5 2 2 3 4" xfId="7875"/>
    <cellStyle name="Percent 2 5 2 2 3 4 2" xfId="7876"/>
    <cellStyle name="Percent 2 5 2 2 3 4 3" xfId="7877"/>
    <cellStyle name="Percent 2 5 2 2 3 5" xfId="7878"/>
    <cellStyle name="Percent 2 5 2 2 3 5 2" xfId="7879"/>
    <cellStyle name="Percent 2 5 2 2 3 6" xfId="7880"/>
    <cellStyle name="Percent 2 5 2 2 3 6 2" xfId="7881"/>
    <cellStyle name="Percent 2 5 2 2 3 7" xfId="7882"/>
    <cellStyle name="Percent 2 5 2 2 4" xfId="7883"/>
    <cellStyle name="Percent 2 5 2 2 4 2" xfId="7884"/>
    <cellStyle name="Percent 2 5 2 2 4 2 2" xfId="7885"/>
    <cellStyle name="Percent 2 5 2 2 4 2 2 2" xfId="7886"/>
    <cellStyle name="Percent 2 5 2 2 4 2 3" xfId="7887"/>
    <cellStyle name="Percent 2 5 2 2 4 2 3 2" xfId="7888"/>
    <cellStyle name="Percent 2 5 2 2 4 2 4" xfId="7889"/>
    <cellStyle name="Percent 2 5 2 2 4 3" xfId="7890"/>
    <cellStyle name="Percent 2 5 2 2 4 3 2" xfId="7891"/>
    <cellStyle name="Percent 2 5 2 2 4 3 3" xfId="7892"/>
    <cellStyle name="Percent 2 5 2 2 4 4" xfId="7893"/>
    <cellStyle name="Percent 2 5 2 2 4 4 2" xfId="7894"/>
    <cellStyle name="Percent 2 5 2 2 4 5" xfId="7895"/>
    <cellStyle name="Percent 2 5 2 2 4 5 2" xfId="7896"/>
    <cellStyle name="Percent 2 5 2 2 4 6" xfId="7897"/>
    <cellStyle name="Percent 2 5 2 2 5" xfId="7898"/>
    <cellStyle name="Percent 2 5 2 2 5 2" xfId="7899"/>
    <cellStyle name="Percent 2 5 2 2 5 2 2" xfId="7900"/>
    <cellStyle name="Percent 2 5 2 2 5 3" xfId="7901"/>
    <cellStyle name="Percent 2 5 2 2 5 3 2" xfId="7902"/>
    <cellStyle name="Percent 2 5 2 2 5 4" xfId="7903"/>
    <cellStyle name="Percent 2 5 2 2 6" xfId="7904"/>
    <cellStyle name="Percent 2 5 2 2 6 2" xfId="7905"/>
    <cellStyle name="Percent 2 5 2 2 6 2 2" xfId="7906"/>
    <cellStyle name="Percent 2 5 2 2 6 3" xfId="7907"/>
    <cellStyle name="Percent 2 5 2 2 6 3 2" xfId="7908"/>
    <cellStyle name="Percent 2 5 2 2 6 4" xfId="7909"/>
    <cellStyle name="Percent 2 5 2 2 7" xfId="7910"/>
    <cellStyle name="Percent 2 5 2 2 7 2" xfId="7911"/>
    <cellStyle name="Percent 2 5 2 2 7 3" xfId="7912"/>
    <cellStyle name="Percent 2 5 2 2 8" xfId="7913"/>
    <cellStyle name="Percent 2 5 2 2 8 2" xfId="7914"/>
    <cellStyle name="Percent 2 5 2 2 9" xfId="7915"/>
    <cellStyle name="Percent 2 5 2 2 9 2" xfId="7916"/>
    <cellStyle name="Percent 2 5 2 3" xfId="7917"/>
    <cellStyle name="Percent 2 5 2 3 2" xfId="7918"/>
    <cellStyle name="Percent 2 5 2 3 2 2" xfId="7919"/>
    <cellStyle name="Percent 2 5 2 3 2 2 2" xfId="7920"/>
    <cellStyle name="Percent 2 5 2 3 2 2 2 2" xfId="7921"/>
    <cellStyle name="Percent 2 5 2 3 2 2 2 3" xfId="7922"/>
    <cellStyle name="Percent 2 5 2 3 2 2 3" xfId="7923"/>
    <cellStyle name="Percent 2 5 2 3 2 2 3 2" xfId="7924"/>
    <cellStyle name="Percent 2 5 2 3 2 2 4" xfId="7925"/>
    <cellStyle name="Percent 2 5 2 3 2 2 4 2" xfId="7926"/>
    <cellStyle name="Percent 2 5 2 3 2 2 5" xfId="7927"/>
    <cellStyle name="Percent 2 5 2 3 2 3" xfId="7928"/>
    <cellStyle name="Percent 2 5 2 3 2 3 2" xfId="7929"/>
    <cellStyle name="Percent 2 5 2 3 2 3 2 2" xfId="7930"/>
    <cellStyle name="Percent 2 5 2 3 2 3 3" xfId="7931"/>
    <cellStyle name="Percent 2 5 2 3 2 3 3 2" xfId="7932"/>
    <cellStyle name="Percent 2 5 2 3 2 3 4" xfId="7933"/>
    <cellStyle name="Percent 2 5 2 3 2 4" xfId="7934"/>
    <cellStyle name="Percent 2 5 2 3 2 4 2" xfId="7935"/>
    <cellStyle name="Percent 2 5 2 3 2 4 3" xfId="7936"/>
    <cellStyle name="Percent 2 5 2 3 2 5" xfId="7937"/>
    <cellStyle name="Percent 2 5 2 3 2 5 2" xfId="7938"/>
    <cellStyle name="Percent 2 5 2 3 2 6" xfId="7939"/>
    <cellStyle name="Percent 2 5 2 3 2 6 2" xfId="7940"/>
    <cellStyle name="Percent 2 5 2 3 2 7" xfId="7941"/>
    <cellStyle name="Percent 2 5 2 3 3" xfId="7942"/>
    <cellStyle name="Percent 2 5 2 3 3 2" xfId="7943"/>
    <cellStyle name="Percent 2 5 2 3 3 2 2" xfId="7944"/>
    <cellStyle name="Percent 2 5 2 3 3 2 3" xfId="7945"/>
    <cellStyle name="Percent 2 5 2 3 3 3" xfId="7946"/>
    <cellStyle name="Percent 2 5 2 3 3 3 2" xfId="7947"/>
    <cellStyle name="Percent 2 5 2 3 3 4" xfId="7948"/>
    <cellStyle name="Percent 2 5 2 3 3 4 2" xfId="7949"/>
    <cellStyle name="Percent 2 5 2 3 3 5" xfId="7950"/>
    <cellStyle name="Percent 2 5 2 3 4" xfId="7951"/>
    <cellStyle name="Percent 2 5 2 3 4 2" xfId="7952"/>
    <cellStyle name="Percent 2 5 2 3 4 2 2" xfId="7953"/>
    <cellStyle name="Percent 2 5 2 3 4 3" xfId="7954"/>
    <cellStyle name="Percent 2 5 2 3 4 3 2" xfId="7955"/>
    <cellStyle name="Percent 2 5 2 3 4 4" xfId="7956"/>
    <cellStyle name="Percent 2 5 2 3 5" xfId="7957"/>
    <cellStyle name="Percent 2 5 2 3 5 2" xfId="7958"/>
    <cellStyle name="Percent 2 5 2 3 5 3" xfId="7959"/>
    <cellStyle name="Percent 2 5 2 3 6" xfId="7960"/>
    <cellStyle name="Percent 2 5 2 3 6 2" xfId="7961"/>
    <cellStyle name="Percent 2 5 2 3 7" xfId="7962"/>
    <cellStyle name="Percent 2 5 2 3 7 2" xfId="7963"/>
    <cellStyle name="Percent 2 5 2 3 8" xfId="7964"/>
    <cellStyle name="Percent 2 5 2 4" xfId="7965"/>
    <cellStyle name="Percent 2 5 2 4 2" xfId="7966"/>
    <cellStyle name="Percent 2 5 2 4 2 2" xfId="7967"/>
    <cellStyle name="Percent 2 5 2 4 2 2 2" xfId="7968"/>
    <cellStyle name="Percent 2 5 2 4 2 2 3" xfId="7969"/>
    <cellStyle name="Percent 2 5 2 4 2 3" xfId="7970"/>
    <cellStyle name="Percent 2 5 2 4 2 3 2" xfId="7971"/>
    <cellStyle name="Percent 2 5 2 4 2 4" xfId="7972"/>
    <cellStyle name="Percent 2 5 2 4 2 4 2" xfId="7973"/>
    <cellStyle name="Percent 2 5 2 4 2 5" xfId="7974"/>
    <cellStyle name="Percent 2 5 2 4 3" xfId="7975"/>
    <cellStyle name="Percent 2 5 2 4 3 2" xfId="7976"/>
    <cellStyle name="Percent 2 5 2 4 3 2 2" xfId="7977"/>
    <cellStyle name="Percent 2 5 2 4 3 3" xfId="7978"/>
    <cellStyle name="Percent 2 5 2 4 3 3 2" xfId="7979"/>
    <cellStyle name="Percent 2 5 2 4 3 4" xfId="7980"/>
    <cellStyle name="Percent 2 5 2 4 4" xfId="7981"/>
    <cellStyle name="Percent 2 5 2 4 4 2" xfId="7982"/>
    <cellStyle name="Percent 2 5 2 4 4 3" xfId="7983"/>
    <cellStyle name="Percent 2 5 2 4 5" xfId="7984"/>
    <cellStyle name="Percent 2 5 2 4 5 2" xfId="7985"/>
    <cellStyle name="Percent 2 5 2 4 6" xfId="7986"/>
    <cellStyle name="Percent 2 5 2 4 6 2" xfId="7987"/>
    <cellStyle name="Percent 2 5 2 4 7" xfId="7988"/>
    <cellStyle name="Percent 2 5 2 5" xfId="7989"/>
    <cellStyle name="Percent 2 5 2 5 2" xfId="7990"/>
    <cellStyle name="Percent 2 5 2 5 2 2" xfId="7991"/>
    <cellStyle name="Percent 2 5 2 5 2 2 2" xfId="7992"/>
    <cellStyle name="Percent 2 5 2 5 2 2 3" xfId="7993"/>
    <cellStyle name="Percent 2 5 2 5 2 3" xfId="7994"/>
    <cellStyle name="Percent 2 5 2 5 2 3 2" xfId="7995"/>
    <cellStyle name="Percent 2 5 2 5 2 4" xfId="7996"/>
    <cellStyle name="Percent 2 5 2 5 2 4 2" xfId="7997"/>
    <cellStyle name="Percent 2 5 2 5 2 5" xfId="7998"/>
    <cellStyle name="Percent 2 5 2 5 3" xfId="7999"/>
    <cellStyle name="Percent 2 5 2 5 3 2" xfId="8000"/>
    <cellStyle name="Percent 2 5 2 5 3 2 2" xfId="8001"/>
    <cellStyle name="Percent 2 5 2 5 3 3" xfId="8002"/>
    <cellStyle name="Percent 2 5 2 5 3 3 2" xfId="8003"/>
    <cellStyle name="Percent 2 5 2 5 3 4" xfId="8004"/>
    <cellStyle name="Percent 2 5 2 5 4" xfId="8005"/>
    <cellStyle name="Percent 2 5 2 5 4 2" xfId="8006"/>
    <cellStyle name="Percent 2 5 2 5 4 3" xfId="8007"/>
    <cellStyle name="Percent 2 5 2 5 5" xfId="8008"/>
    <cellStyle name="Percent 2 5 2 5 5 2" xfId="8009"/>
    <cellStyle name="Percent 2 5 2 5 6" xfId="8010"/>
    <cellStyle name="Percent 2 5 2 5 6 2" xfId="8011"/>
    <cellStyle name="Percent 2 5 2 5 7" xfId="8012"/>
    <cellStyle name="Percent 2 5 2 6" xfId="8013"/>
    <cellStyle name="Percent 2 5 2 6 2" xfId="8014"/>
    <cellStyle name="Percent 2 5 2 6 2 2" xfId="8015"/>
    <cellStyle name="Percent 2 5 2 6 2 2 2" xfId="8016"/>
    <cellStyle name="Percent 2 5 2 6 2 3" xfId="8017"/>
    <cellStyle name="Percent 2 5 2 6 2 3 2" xfId="8018"/>
    <cellStyle name="Percent 2 5 2 6 2 4" xfId="8019"/>
    <cellStyle name="Percent 2 5 2 6 3" xfId="8020"/>
    <cellStyle name="Percent 2 5 2 6 3 2" xfId="8021"/>
    <cellStyle name="Percent 2 5 2 6 3 3" xfId="8022"/>
    <cellStyle name="Percent 2 5 2 6 4" xfId="8023"/>
    <cellStyle name="Percent 2 5 2 6 4 2" xfId="8024"/>
    <cellStyle name="Percent 2 5 2 6 5" xfId="8025"/>
    <cellStyle name="Percent 2 5 2 6 5 2" xfId="8026"/>
    <cellStyle name="Percent 2 5 2 6 6" xfId="8027"/>
    <cellStyle name="Percent 2 5 2 7" xfId="8028"/>
    <cellStyle name="Percent 2 5 2 7 2" xfId="8029"/>
    <cellStyle name="Percent 2 5 2 7 2 2" xfId="8030"/>
    <cellStyle name="Percent 2 5 2 7 3" xfId="8031"/>
    <cellStyle name="Percent 2 5 2 7 3 2" xfId="8032"/>
    <cellStyle name="Percent 2 5 2 7 4" xfId="8033"/>
    <cellStyle name="Percent 2 5 2 8" xfId="8034"/>
    <cellStyle name="Percent 2 5 2 8 2" xfId="8035"/>
    <cellStyle name="Percent 2 5 2 8 2 2" xfId="8036"/>
    <cellStyle name="Percent 2 5 2 8 3" xfId="8037"/>
    <cellStyle name="Percent 2 5 2 8 3 2" xfId="8038"/>
    <cellStyle name="Percent 2 5 2 8 4" xfId="8039"/>
    <cellStyle name="Percent 2 5 2 9" xfId="8040"/>
    <cellStyle name="Percent 2 5 2 9 2" xfId="8041"/>
    <cellStyle name="Percent 2 5 2 9 3" xfId="8042"/>
    <cellStyle name="Percent 2 5 3" xfId="8043"/>
    <cellStyle name="Percent 2 5 3 10" xfId="8044"/>
    <cellStyle name="Percent 2 5 3 10 2" xfId="8045"/>
    <cellStyle name="Percent 2 5 3 11" xfId="8046"/>
    <cellStyle name="Percent 2 5 3 2" xfId="8047"/>
    <cellStyle name="Percent 2 5 3 2 2" xfId="8048"/>
    <cellStyle name="Percent 2 5 3 2 2 2" xfId="8049"/>
    <cellStyle name="Percent 2 5 3 2 2 2 2" xfId="8050"/>
    <cellStyle name="Percent 2 5 3 2 2 2 2 2" xfId="8051"/>
    <cellStyle name="Percent 2 5 3 2 2 2 2 3" xfId="8052"/>
    <cellStyle name="Percent 2 5 3 2 2 2 3" xfId="8053"/>
    <cellStyle name="Percent 2 5 3 2 2 2 3 2" xfId="8054"/>
    <cellStyle name="Percent 2 5 3 2 2 2 4" xfId="8055"/>
    <cellStyle name="Percent 2 5 3 2 2 2 4 2" xfId="8056"/>
    <cellStyle name="Percent 2 5 3 2 2 2 5" xfId="8057"/>
    <cellStyle name="Percent 2 5 3 2 2 3" xfId="8058"/>
    <cellStyle name="Percent 2 5 3 2 2 3 2" xfId="8059"/>
    <cellStyle name="Percent 2 5 3 2 2 3 2 2" xfId="8060"/>
    <cellStyle name="Percent 2 5 3 2 2 3 3" xfId="8061"/>
    <cellStyle name="Percent 2 5 3 2 2 3 3 2" xfId="8062"/>
    <cellStyle name="Percent 2 5 3 2 2 3 4" xfId="8063"/>
    <cellStyle name="Percent 2 5 3 2 2 4" xfId="8064"/>
    <cellStyle name="Percent 2 5 3 2 2 4 2" xfId="8065"/>
    <cellStyle name="Percent 2 5 3 2 2 4 3" xfId="8066"/>
    <cellStyle name="Percent 2 5 3 2 2 5" xfId="8067"/>
    <cellStyle name="Percent 2 5 3 2 2 5 2" xfId="8068"/>
    <cellStyle name="Percent 2 5 3 2 2 6" xfId="8069"/>
    <cellStyle name="Percent 2 5 3 2 2 6 2" xfId="8070"/>
    <cellStyle name="Percent 2 5 3 2 2 7" xfId="8071"/>
    <cellStyle name="Percent 2 5 3 2 3" xfId="8072"/>
    <cellStyle name="Percent 2 5 3 2 3 2" xfId="8073"/>
    <cellStyle name="Percent 2 5 3 2 3 2 2" xfId="8074"/>
    <cellStyle name="Percent 2 5 3 2 3 2 3" xfId="8075"/>
    <cellStyle name="Percent 2 5 3 2 3 3" xfId="8076"/>
    <cellStyle name="Percent 2 5 3 2 3 3 2" xfId="8077"/>
    <cellStyle name="Percent 2 5 3 2 3 4" xfId="8078"/>
    <cellStyle name="Percent 2 5 3 2 3 4 2" xfId="8079"/>
    <cellStyle name="Percent 2 5 3 2 3 5" xfId="8080"/>
    <cellStyle name="Percent 2 5 3 2 4" xfId="8081"/>
    <cellStyle name="Percent 2 5 3 2 4 2" xfId="8082"/>
    <cellStyle name="Percent 2 5 3 2 4 2 2" xfId="8083"/>
    <cellStyle name="Percent 2 5 3 2 4 3" xfId="8084"/>
    <cellStyle name="Percent 2 5 3 2 4 3 2" xfId="8085"/>
    <cellStyle name="Percent 2 5 3 2 4 4" xfId="8086"/>
    <cellStyle name="Percent 2 5 3 2 5" xfId="8087"/>
    <cellStyle name="Percent 2 5 3 2 5 2" xfId="8088"/>
    <cellStyle name="Percent 2 5 3 2 5 3" xfId="8089"/>
    <cellStyle name="Percent 2 5 3 2 6" xfId="8090"/>
    <cellStyle name="Percent 2 5 3 2 6 2" xfId="8091"/>
    <cellStyle name="Percent 2 5 3 2 7" xfId="8092"/>
    <cellStyle name="Percent 2 5 3 2 7 2" xfId="8093"/>
    <cellStyle name="Percent 2 5 3 2 8" xfId="8094"/>
    <cellStyle name="Percent 2 5 3 3" xfId="8095"/>
    <cellStyle name="Percent 2 5 3 3 2" xfId="8096"/>
    <cellStyle name="Percent 2 5 3 3 2 2" xfId="8097"/>
    <cellStyle name="Percent 2 5 3 3 2 2 2" xfId="8098"/>
    <cellStyle name="Percent 2 5 3 3 2 2 3" xfId="8099"/>
    <cellStyle name="Percent 2 5 3 3 2 3" xfId="8100"/>
    <cellStyle name="Percent 2 5 3 3 2 3 2" xfId="8101"/>
    <cellStyle name="Percent 2 5 3 3 2 4" xfId="8102"/>
    <cellStyle name="Percent 2 5 3 3 2 4 2" xfId="8103"/>
    <cellStyle name="Percent 2 5 3 3 2 5" xfId="8104"/>
    <cellStyle name="Percent 2 5 3 3 3" xfId="8105"/>
    <cellStyle name="Percent 2 5 3 3 3 2" xfId="8106"/>
    <cellStyle name="Percent 2 5 3 3 3 2 2" xfId="8107"/>
    <cellStyle name="Percent 2 5 3 3 3 3" xfId="8108"/>
    <cellStyle name="Percent 2 5 3 3 3 3 2" xfId="8109"/>
    <cellStyle name="Percent 2 5 3 3 3 4" xfId="8110"/>
    <cellStyle name="Percent 2 5 3 3 4" xfId="8111"/>
    <cellStyle name="Percent 2 5 3 3 4 2" xfId="8112"/>
    <cellStyle name="Percent 2 5 3 3 4 3" xfId="8113"/>
    <cellStyle name="Percent 2 5 3 3 5" xfId="8114"/>
    <cellStyle name="Percent 2 5 3 3 5 2" xfId="8115"/>
    <cellStyle name="Percent 2 5 3 3 6" xfId="8116"/>
    <cellStyle name="Percent 2 5 3 3 6 2" xfId="8117"/>
    <cellStyle name="Percent 2 5 3 3 7" xfId="8118"/>
    <cellStyle name="Percent 2 5 3 4" xfId="8119"/>
    <cellStyle name="Percent 2 5 3 4 2" xfId="8120"/>
    <cellStyle name="Percent 2 5 3 4 2 2" xfId="8121"/>
    <cellStyle name="Percent 2 5 3 4 2 2 2" xfId="8122"/>
    <cellStyle name="Percent 2 5 3 4 2 2 3" xfId="8123"/>
    <cellStyle name="Percent 2 5 3 4 2 3" xfId="8124"/>
    <cellStyle name="Percent 2 5 3 4 2 3 2" xfId="8125"/>
    <cellStyle name="Percent 2 5 3 4 2 4" xfId="8126"/>
    <cellStyle name="Percent 2 5 3 4 2 4 2" xfId="8127"/>
    <cellStyle name="Percent 2 5 3 4 2 5" xfId="8128"/>
    <cellStyle name="Percent 2 5 3 4 3" xfId="8129"/>
    <cellStyle name="Percent 2 5 3 4 3 2" xfId="8130"/>
    <cellStyle name="Percent 2 5 3 4 3 2 2" xfId="8131"/>
    <cellStyle name="Percent 2 5 3 4 3 3" xfId="8132"/>
    <cellStyle name="Percent 2 5 3 4 3 3 2" xfId="8133"/>
    <cellStyle name="Percent 2 5 3 4 3 4" xfId="8134"/>
    <cellStyle name="Percent 2 5 3 4 4" xfId="8135"/>
    <cellStyle name="Percent 2 5 3 4 4 2" xfId="8136"/>
    <cellStyle name="Percent 2 5 3 4 4 3" xfId="8137"/>
    <cellStyle name="Percent 2 5 3 4 5" xfId="8138"/>
    <cellStyle name="Percent 2 5 3 4 5 2" xfId="8139"/>
    <cellStyle name="Percent 2 5 3 4 6" xfId="8140"/>
    <cellStyle name="Percent 2 5 3 4 6 2" xfId="8141"/>
    <cellStyle name="Percent 2 5 3 4 7" xfId="8142"/>
    <cellStyle name="Percent 2 5 3 5" xfId="8143"/>
    <cellStyle name="Percent 2 5 3 5 2" xfId="8144"/>
    <cellStyle name="Percent 2 5 3 5 2 2" xfId="8145"/>
    <cellStyle name="Percent 2 5 3 5 2 2 2" xfId="8146"/>
    <cellStyle name="Percent 2 5 3 5 2 3" xfId="8147"/>
    <cellStyle name="Percent 2 5 3 5 2 3 2" xfId="8148"/>
    <cellStyle name="Percent 2 5 3 5 2 4" xfId="8149"/>
    <cellStyle name="Percent 2 5 3 5 3" xfId="8150"/>
    <cellStyle name="Percent 2 5 3 5 3 2" xfId="8151"/>
    <cellStyle name="Percent 2 5 3 5 3 3" xfId="8152"/>
    <cellStyle name="Percent 2 5 3 5 4" xfId="8153"/>
    <cellStyle name="Percent 2 5 3 5 4 2" xfId="8154"/>
    <cellStyle name="Percent 2 5 3 5 5" xfId="8155"/>
    <cellStyle name="Percent 2 5 3 5 5 2" xfId="8156"/>
    <cellStyle name="Percent 2 5 3 5 6" xfId="8157"/>
    <cellStyle name="Percent 2 5 3 6" xfId="8158"/>
    <cellStyle name="Percent 2 5 3 6 2" xfId="8159"/>
    <cellStyle name="Percent 2 5 3 6 2 2" xfId="8160"/>
    <cellStyle name="Percent 2 5 3 6 3" xfId="8161"/>
    <cellStyle name="Percent 2 5 3 6 3 2" xfId="8162"/>
    <cellStyle name="Percent 2 5 3 6 4" xfId="8163"/>
    <cellStyle name="Percent 2 5 3 7" xfId="8164"/>
    <cellStyle name="Percent 2 5 3 7 2" xfId="8165"/>
    <cellStyle name="Percent 2 5 3 7 2 2" xfId="8166"/>
    <cellStyle name="Percent 2 5 3 7 3" xfId="8167"/>
    <cellStyle name="Percent 2 5 3 7 3 2" xfId="8168"/>
    <cellStyle name="Percent 2 5 3 7 4" xfId="8169"/>
    <cellStyle name="Percent 2 5 3 8" xfId="8170"/>
    <cellStyle name="Percent 2 5 3 8 2" xfId="8171"/>
    <cellStyle name="Percent 2 5 3 8 3" xfId="8172"/>
    <cellStyle name="Percent 2 5 3 9" xfId="8173"/>
    <cellStyle name="Percent 2 5 3 9 2" xfId="8174"/>
    <cellStyle name="Percent 2 5 4" xfId="8175"/>
    <cellStyle name="Percent 2 5 4 10" xfId="8176"/>
    <cellStyle name="Percent 2 5 4 2" xfId="8177"/>
    <cellStyle name="Percent 2 5 4 2 2" xfId="8178"/>
    <cellStyle name="Percent 2 5 4 2 2 2" xfId="8179"/>
    <cellStyle name="Percent 2 5 4 2 2 2 2" xfId="8180"/>
    <cellStyle name="Percent 2 5 4 2 2 2 3" xfId="8181"/>
    <cellStyle name="Percent 2 5 4 2 2 3" xfId="8182"/>
    <cellStyle name="Percent 2 5 4 2 2 3 2" xfId="8183"/>
    <cellStyle name="Percent 2 5 4 2 2 4" xfId="8184"/>
    <cellStyle name="Percent 2 5 4 2 2 4 2" xfId="8185"/>
    <cellStyle name="Percent 2 5 4 2 2 5" xfId="8186"/>
    <cellStyle name="Percent 2 5 4 2 3" xfId="8187"/>
    <cellStyle name="Percent 2 5 4 2 3 2" xfId="8188"/>
    <cellStyle name="Percent 2 5 4 2 3 2 2" xfId="8189"/>
    <cellStyle name="Percent 2 5 4 2 3 3" xfId="8190"/>
    <cellStyle name="Percent 2 5 4 2 3 3 2" xfId="8191"/>
    <cellStyle name="Percent 2 5 4 2 3 4" xfId="8192"/>
    <cellStyle name="Percent 2 5 4 2 4" xfId="8193"/>
    <cellStyle name="Percent 2 5 4 2 4 2" xfId="8194"/>
    <cellStyle name="Percent 2 5 4 2 4 3" xfId="8195"/>
    <cellStyle name="Percent 2 5 4 2 5" xfId="8196"/>
    <cellStyle name="Percent 2 5 4 2 5 2" xfId="8197"/>
    <cellStyle name="Percent 2 5 4 2 6" xfId="8198"/>
    <cellStyle name="Percent 2 5 4 2 6 2" xfId="8199"/>
    <cellStyle name="Percent 2 5 4 2 7" xfId="8200"/>
    <cellStyle name="Percent 2 5 4 3" xfId="8201"/>
    <cellStyle name="Percent 2 5 4 3 2" xfId="8202"/>
    <cellStyle name="Percent 2 5 4 3 2 2" xfId="8203"/>
    <cellStyle name="Percent 2 5 4 3 2 2 2" xfId="8204"/>
    <cellStyle name="Percent 2 5 4 3 2 2 3" xfId="8205"/>
    <cellStyle name="Percent 2 5 4 3 2 3" xfId="8206"/>
    <cellStyle name="Percent 2 5 4 3 2 3 2" xfId="8207"/>
    <cellStyle name="Percent 2 5 4 3 2 4" xfId="8208"/>
    <cellStyle name="Percent 2 5 4 3 2 4 2" xfId="8209"/>
    <cellStyle name="Percent 2 5 4 3 2 5" xfId="8210"/>
    <cellStyle name="Percent 2 5 4 3 3" xfId="8211"/>
    <cellStyle name="Percent 2 5 4 3 3 2" xfId="8212"/>
    <cellStyle name="Percent 2 5 4 3 3 2 2" xfId="8213"/>
    <cellStyle name="Percent 2 5 4 3 3 3" xfId="8214"/>
    <cellStyle name="Percent 2 5 4 3 3 3 2" xfId="8215"/>
    <cellStyle name="Percent 2 5 4 3 3 4" xfId="8216"/>
    <cellStyle name="Percent 2 5 4 3 4" xfId="8217"/>
    <cellStyle name="Percent 2 5 4 3 4 2" xfId="8218"/>
    <cellStyle name="Percent 2 5 4 3 4 3" xfId="8219"/>
    <cellStyle name="Percent 2 5 4 3 5" xfId="8220"/>
    <cellStyle name="Percent 2 5 4 3 5 2" xfId="8221"/>
    <cellStyle name="Percent 2 5 4 3 6" xfId="8222"/>
    <cellStyle name="Percent 2 5 4 3 6 2" xfId="8223"/>
    <cellStyle name="Percent 2 5 4 3 7" xfId="8224"/>
    <cellStyle name="Percent 2 5 4 4" xfId="8225"/>
    <cellStyle name="Percent 2 5 4 4 2" xfId="8226"/>
    <cellStyle name="Percent 2 5 4 4 2 2" xfId="8227"/>
    <cellStyle name="Percent 2 5 4 4 2 2 2" xfId="8228"/>
    <cellStyle name="Percent 2 5 4 4 2 3" xfId="8229"/>
    <cellStyle name="Percent 2 5 4 4 2 3 2" xfId="8230"/>
    <cellStyle name="Percent 2 5 4 4 2 4" xfId="8231"/>
    <cellStyle name="Percent 2 5 4 4 3" xfId="8232"/>
    <cellStyle name="Percent 2 5 4 4 3 2" xfId="8233"/>
    <cellStyle name="Percent 2 5 4 4 3 3" xfId="8234"/>
    <cellStyle name="Percent 2 5 4 4 4" xfId="8235"/>
    <cellStyle name="Percent 2 5 4 4 4 2" xfId="8236"/>
    <cellStyle name="Percent 2 5 4 4 5" xfId="8237"/>
    <cellStyle name="Percent 2 5 4 4 5 2" xfId="8238"/>
    <cellStyle name="Percent 2 5 4 4 6" xfId="8239"/>
    <cellStyle name="Percent 2 5 4 5" xfId="8240"/>
    <cellStyle name="Percent 2 5 4 5 2" xfId="8241"/>
    <cellStyle name="Percent 2 5 4 5 2 2" xfId="8242"/>
    <cellStyle name="Percent 2 5 4 5 3" xfId="8243"/>
    <cellStyle name="Percent 2 5 4 5 3 2" xfId="8244"/>
    <cellStyle name="Percent 2 5 4 5 4" xfId="8245"/>
    <cellStyle name="Percent 2 5 4 6" xfId="8246"/>
    <cellStyle name="Percent 2 5 4 6 2" xfId="8247"/>
    <cellStyle name="Percent 2 5 4 6 2 2" xfId="8248"/>
    <cellStyle name="Percent 2 5 4 6 3" xfId="8249"/>
    <cellStyle name="Percent 2 5 4 6 3 2" xfId="8250"/>
    <cellStyle name="Percent 2 5 4 6 4" xfId="8251"/>
    <cellStyle name="Percent 2 5 4 7" xfId="8252"/>
    <cellStyle name="Percent 2 5 4 7 2" xfId="8253"/>
    <cellStyle name="Percent 2 5 4 7 3" xfId="8254"/>
    <cellStyle name="Percent 2 5 4 8" xfId="8255"/>
    <cellStyle name="Percent 2 5 4 8 2" xfId="8256"/>
    <cellStyle name="Percent 2 5 4 9" xfId="8257"/>
    <cellStyle name="Percent 2 5 4 9 2" xfId="8258"/>
    <cellStyle name="Percent 2 5 5" xfId="8259"/>
    <cellStyle name="Percent 2 5 5 2" xfId="8260"/>
    <cellStyle name="Percent 2 5 5 2 2" xfId="8261"/>
    <cellStyle name="Percent 2 5 5 2 2 2" xfId="8262"/>
    <cellStyle name="Percent 2 5 5 2 2 2 2" xfId="8263"/>
    <cellStyle name="Percent 2 5 5 2 2 2 3" xfId="8264"/>
    <cellStyle name="Percent 2 5 5 2 2 3" xfId="8265"/>
    <cellStyle name="Percent 2 5 5 2 2 3 2" xfId="8266"/>
    <cellStyle name="Percent 2 5 5 2 2 4" xfId="8267"/>
    <cellStyle name="Percent 2 5 5 2 2 4 2" xfId="8268"/>
    <cellStyle name="Percent 2 5 5 2 2 5" xfId="8269"/>
    <cellStyle name="Percent 2 5 5 2 3" xfId="8270"/>
    <cellStyle name="Percent 2 5 5 2 3 2" xfId="8271"/>
    <cellStyle name="Percent 2 5 5 2 3 2 2" xfId="8272"/>
    <cellStyle name="Percent 2 5 5 2 3 3" xfId="8273"/>
    <cellStyle name="Percent 2 5 5 2 3 3 2" xfId="8274"/>
    <cellStyle name="Percent 2 5 5 2 3 4" xfId="8275"/>
    <cellStyle name="Percent 2 5 5 2 4" xfId="8276"/>
    <cellStyle name="Percent 2 5 5 2 4 2" xfId="8277"/>
    <cellStyle name="Percent 2 5 5 2 4 3" xfId="8278"/>
    <cellStyle name="Percent 2 5 5 2 5" xfId="8279"/>
    <cellStyle name="Percent 2 5 5 2 5 2" xfId="8280"/>
    <cellStyle name="Percent 2 5 5 2 6" xfId="8281"/>
    <cellStyle name="Percent 2 5 5 2 6 2" xfId="8282"/>
    <cellStyle name="Percent 2 5 5 2 7" xfId="8283"/>
    <cellStyle name="Percent 2 5 5 3" xfId="8284"/>
    <cellStyle name="Percent 2 5 5 3 2" xfId="8285"/>
    <cellStyle name="Percent 2 5 5 3 2 2" xfId="8286"/>
    <cellStyle name="Percent 2 5 5 3 2 3" xfId="8287"/>
    <cellStyle name="Percent 2 5 5 3 3" xfId="8288"/>
    <cellStyle name="Percent 2 5 5 3 3 2" xfId="8289"/>
    <cellStyle name="Percent 2 5 5 3 4" xfId="8290"/>
    <cellStyle name="Percent 2 5 5 3 4 2" xfId="8291"/>
    <cellStyle name="Percent 2 5 5 3 5" xfId="8292"/>
    <cellStyle name="Percent 2 5 5 4" xfId="8293"/>
    <cellStyle name="Percent 2 5 5 4 2" xfId="8294"/>
    <cellStyle name="Percent 2 5 5 4 2 2" xfId="8295"/>
    <cellStyle name="Percent 2 5 5 4 3" xfId="8296"/>
    <cellStyle name="Percent 2 5 5 4 3 2" xfId="8297"/>
    <cellStyle name="Percent 2 5 5 4 4" xfId="8298"/>
    <cellStyle name="Percent 2 5 5 5" xfId="8299"/>
    <cellStyle name="Percent 2 5 5 5 2" xfId="8300"/>
    <cellStyle name="Percent 2 5 5 5 3" xfId="8301"/>
    <cellStyle name="Percent 2 5 5 6" xfId="8302"/>
    <cellStyle name="Percent 2 5 5 6 2" xfId="8303"/>
    <cellStyle name="Percent 2 5 5 7" xfId="8304"/>
    <cellStyle name="Percent 2 5 5 7 2" xfId="8305"/>
    <cellStyle name="Percent 2 5 5 8" xfId="8306"/>
    <cellStyle name="Percent 2 5 6" xfId="8307"/>
    <cellStyle name="Percent 2 5 6 2" xfId="8308"/>
    <cellStyle name="Percent 2 5 6 2 2" xfId="8309"/>
    <cellStyle name="Percent 2 5 6 2 2 2" xfId="8310"/>
    <cellStyle name="Percent 2 5 6 2 2 3" xfId="8311"/>
    <cellStyle name="Percent 2 5 6 2 3" xfId="8312"/>
    <cellStyle name="Percent 2 5 6 2 3 2" xfId="8313"/>
    <cellStyle name="Percent 2 5 6 2 4" xfId="8314"/>
    <cellStyle name="Percent 2 5 6 2 4 2" xfId="8315"/>
    <cellStyle name="Percent 2 5 6 2 5" xfId="8316"/>
    <cellStyle name="Percent 2 5 6 3" xfId="8317"/>
    <cellStyle name="Percent 2 5 6 3 2" xfId="8318"/>
    <cellStyle name="Percent 2 5 6 3 2 2" xfId="8319"/>
    <cellStyle name="Percent 2 5 6 3 3" xfId="8320"/>
    <cellStyle name="Percent 2 5 6 3 3 2" xfId="8321"/>
    <cellStyle name="Percent 2 5 6 3 4" xfId="8322"/>
    <cellStyle name="Percent 2 5 6 4" xfId="8323"/>
    <cellStyle name="Percent 2 5 6 4 2" xfId="8324"/>
    <cellStyle name="Percent 2 5 6 4 3" xfId="8325"/>
    <cellStyle name="Percent 2 5 6 5" xfId="8326"/>
    <cellStyle name="Percent 2 5 6 5 2" xfId="8327"/>
    <cellStyle name="Percent 2 5 6 6" xfId="8328"/>
    <cellStyle name="Percent 2 5 6 6 2" xfId="8329"/>
    <cellStyle name="Percent 2 5 6 7" xfId="8330"/>
    <cellStyle name="Percent 2 5 7" xfId="8331"/>
    <cellStyle name="Percent 2 5 7 2" xfId="8332"/>
    <cellStyle name="Percent 2 5 7 2 2" xfId="8333"/>
    <cellStyle name="Percent 2 5 7 2 2 2" xfId="8334"/>
    <cellStyle name="Percent 2 5 7 2 2 3" xfId="8335"/>
    <cellStyle name="Percent 2 5 7 2 3" xfId="8336"/>
    <cellStyle name="Percent 2 5 7 2 3 2" xfId="8337"/>
    <cellStyle name="Percent 2 5 7 2 4" xfId="8338"/>
    <cellStyle name="Percent 2 5 7 2 4 2" xfId="8339"/>
    <cellStyle name="Percent 2 5 7 2 5" xfId="8340"/>
    <cellStyle name="Percent 2 5 7 3" xfId="8341"/>
    <cellStyle name="Percent 2 5 7 3 2" xfId="8342"/>
    <cellStyle name="Percent 2 5 7 3 2 2" xfId="8343"/>
    <cellStyle name="Percent 2 5 7 3 3" xfId="8344"/>
    <cellStyle name="Percent 2 5 7 3 3 2" xfId="8345"/>
    <cellStyle name="Percent 2 5 7 3 4" xfId="8346"/>
    <cellStyle name="Percent 2 5 7 4" xfId="8347"/>
    <cellStyle name="Percent 2 5 7 4 2" xfId="8348"/>
    <cellStyle name="Percent 2 5 7 4 3" xfId="8349"/>
    <cellStyle name="Percent 2 5 7 5" xfId="8350"/>
    <cellStyle name="Percent 2 5 7 5 2" xfId="8351"/>
    <cellStyle name="Percent 2 5 7 6" xfId="8352"/>
    <cellStyle name="Percent 2 5 7 6 2" xfId="8353"/>
    <cellStyle name="Percent 2 5 7 7" xfId="8354"/>
    <cellStyle name="Percent 2 5 8" xfId="8355"/>
    <cellStyle name="Percent 2 5 8 2" xfId="8356"/>
    <cellStyle name="Percent 2 5 8 2 2" xfId="8357"/>
    <cellStyle name="Percent 2 5 8 2 2 2" xfId="8358"/>
    <cellStyle name="Percent 2 5 8 2 3" xfId="8359"/>
    <cellStyle name="Percent 2 5 8 2 3 2" xfId="8360"/>
    <cellStyle name="Percent 2 5 8 2 4" xfId="8361"/>
    <cellStyle name="Percent 2 5 8 3" xfId="8362"/>
    <cellStyle name="Percent 2 5 8 3 2" xfId="8363"/>
    <cellStyle name="Percent 2 5 8 3 3" xfId="8364"/>
    <cellStyle name="Percent 2 5 8 4" xfId="8365"/>
    <cellStyle name="Percent 2 5 8 4 2" xfId="8366"/>
    <cellStyle name="Percent 2 5 8 5" xfId="8367"/>
    <cellStyle name="Percent 2 5 8 5 2" xfId="8368"/>
    <cellStyle name="Percent 2 5 8 6" xfId="8369"/>
    <cellStyle name="Percent 2 5 9" xfId="8370"/>
    <cellStyle name="Percent 2 5 9 2" xfId="8371"/>
    <cellStyle name="Percent 2 5 9 2 2" xfId="8372"/>
    <cellStyle name="Percent 2 5 9 3" xfId="8373"/>
    <cellStyle name="Percent 2 5 9 3 2" xfId="8374"/>
    <cellStyle name="Percent 2 5 9 4" xfId="8375"/>
    <cellStyle name="Percent 2 6" xfId="8376"/>
    <cellStyle name="Percent 2 6 10" xfId="8377"/>
    <cellStyle name="Percent 2 6 10 2" xfId="8378"/>
    <cellStyle name="Percent 2 6 11" xfId="8379"/>
    <cellStyle name="Percent 2 6 2" xfId="8380"/>
    <cellStyle name="Percent 2 6 2 2" xfId="8381"/>
    <cellStyle name="Percent 2 6 2 2 2" xfId="8382"/>
    <cellStyle name="Percent 2 6 2 2 2 2" xfId="8383"/>
    <cellStyle name="Percent 2 6 2 2 2 2 2" xfId="8384"/>
    <cellStyle name="Percent 2 6 2 2 2 2 3" xfId="8385"/>
    <cellStyle name="Percent 2 6 2 2 2 3" xfId="8386"/>
    <cellStyle name="Percent 2 6 2 2 2 3 2" xfId="8387"/>
    <cellStyle name="Percent 2 6 2 2 2 4" xfId="8388"/>
    <cellStyle name="Percent 2 6 2 2 2 4 2" xfId="8389"/>
    <cellStyle name="Percent 2 6 2 2 2 5" xfId="8390"/>
    <cellStyle name="Percent 2 6 2 2 3" xfId="8391"/>
    <cellStyle name="Percent 2 6 2 2 3 2" xfId="8392"/>
    <cellStyle name="Percent 2 6 2 2 3 2 2" xfId="8393"/>
    <cellStyle name="Percent 2 6 2 2 3 3" xfId="8394"/>
    <cellStyle name="Percent 2 6 2 2 3 3 2" xfId="8395"/>
    <cellStyle name="Percent 2 6 2 2 3 4" xfId="8396"/>
    <cellStyle name="Percent 2 6 2 2 4" xfId="8397"/>
    <cellStyle name="Percent 2 6 2 2 4 2" xfId="8398"/>
    <cellStyle name="Percent 2 6 2 2 4 3" xfId="8399"/>
    <cellStyle name="Percent 2 6 2 2 5" xfId="8400"/>
    <cellStyle name="Percent 2 6 2 2 5 2" xfId="8401"/>
    <cellStyle name="Percent 2 6 2 2 6" xfId="8402"/>
    <cellStyle name="Percent 2 6 2 2 6 2" xfId="8403"/>
    <cellStyle name="Percent 2 6 2 2 7" xfId="8404"/>
    <cellStyle name="Percent 2 6 2 3" xfId="8405"/>
    <cellStyle name="Percent 2 6 2 3 2" xfId="8406"/>
    <cellStyle name="Percent 2 6 2 3 2 2" xfId="8407"/>
    <cellStyle name="Percent 2 6 2 3 2 3" xfId="8408"/>
    <cellStyle name="Percent 2 6 2 3 3" xfId="8409"/>
    <cellStyle name="Percent 2 6 2 3 3 2" xfId="8410"/>
    <cellStyle name="Percent 2 6 2 3 4" xfId="8411"/>
    <cellStyle name="Percent 2 6 2 3 4 2" xfId="8412"/>
    <cellStyle name="Percent 2 6 2 3 5" xfId="8413"/>
    <cellStyle name="Percent 2 6 2 4" xfId="8414"/>
    <cellStyle name="Percent 2 6 2 4 2" xfId="8415"/>
    <cellStyle name="Percent 2 6 2 4 2 2" xfId="8416"/>
    <cellStyle name="Percent 2 6 2 4 3" xfId="8417"/>
    <cellStyle name="Percent 2 6 2 4 3 2" xfId="8418"/>
    <cellStyle name="Percent 2 6 2 4 4" xfId="8419"/>
    <cellStyle name="Percent 2 6 2 5" xfId="8420"/>
    <cellStyle name="Percent 2 6 2 5 2" xfId="8421"/>
    <cellStyle name="Percent 2 6 2 5 3" xfId="8422"/>
    <cellStyle name="Percent 2 6 2 6" xfId="8423"/>
    <cellStyle name="Percent 2 6 2 6 2" xfId="8424"/>
    <cellStyle name="Percent 2 6 2 7" xfId="8425"/>
    <cellStyle name="Percent 2 6 2 7 2" xfId="8426"/>
    <cellStyle name="Percent 2 6 2 8" xfId="8427"/>
    <cellStyle name="Percent 2 6 3" xfId="8428"/>
    <cellStyle name="Percent 2 6 3 2" xfId="8429"/>
    <cellStyle name="Percent 2 6 3 2 2" xfId="8430"/>
    <cellStyle name="Percent 2 6 3 2 2 2" xfId="8431"/>
    <cellStyle name="Percent 2 6 3 2 2 3" xfId="8432"/>
    <cellStyle name="Percent 2 6 3 2 3" xfId="8433"/>
    <cellStyle name="Percent 2 6 3 2 3 2" xfId="8434"/>
    <cellStyle name="Percent 2 6 3 2 4" xfId="8435"/>
    <cellStyle name="Percent 2 6 3 2 4 2" xfId="8436"/>
    <cellStyle name="Percent 2 6 3 2 5" xfId="8437"/>
    <cellStyle name="Percent 2 6 3 3" xfId="8438"/>
    <cellStyle name="Percent 2 6 3 3 2" xfId="8439"/>
    <cellStyle name="Percent 2 6 3 3 2 2" xfId="8440"/>
    <cellStyle name="Percent 2 6 3 3 3" xfId="8441"/>
    <cellStyle name="Percent 2 6 3 3 3 2" xfId="8442"/>
    <cellStyle name="Percent 2 6 3 3 4" xfId="8443"/>
    <cellStyle name="Percent 2 6 3 4" xfId="8444"/>
    <cellStyle name="Percent 2 6 3 4 2" xfId="8445"/>
    <cellStyle name="Percent 2 6 3 4 3" xfId="8446"/>
    <cellStyle name="Percent 2 6 3 5" xfId="8447"/>
    <cellStyle name="Percent 2 6 3 5 2" xfId="8448"/>
    <cellStyle name="Percent 2 6 3 6" xfId="8449"/>
    <cellStyle name="Percent 2 6 3 6 2" xfId="8450"/>
    <cellStyle name="Percent 2 6 3 7" xfId="8451"/>
    <cellStyle name="Percent 2 6 4" xfId="8452"/>
    <cellStyle name="Percent 2 6 4 2" xfId="8453"/>
    <cellStyle name="Percent 2 6 4 2 2" xfId="8454"/>
    <cellStyle name="Percent 2 6 4 2 2 2" xfId="8455"/>
    <cellStyle name="Percent 2 6 4 2 2 3" xfId="8456"/>
    <cellStyle name="Percent 2 6 4 2 3" xfId="8457"/>
    <cellStyle name="Percent 2 6 4 2 3 2" xfId="8458"/>
    <cellStyle name="Percent 2 6 4 2 4" xfId="8459"/>
    <cellStyle name="Percent 2 6 4 2 4 2" xfId="8460"/>
    <cellStyle name="Percent 2 6 4 2 5" xfId="8461"/>
    <cellStyle name="Percent 2 6 4 3" xfId="8462"/>
    <cellStyle name="Percent 2 6 4 3 2" xfId="8463"/>
    <cellStyle name="Percent 2 6 4 3 2 2" xfId="8464"/>
    <cellStyle name="Percent 2 6 4 3 3" xfId="8465"/>
    <cellStyle name="Percent 2 6 4 3 3 2" xfId="8466"/>
    <cellStyle name="Percent 2 6 4 3 4" xfId="8467"/>
    <cellStyle name="Percent 2 6 4 4" xfId="8468"/>
    <cellStyle name="Percent 2 6 4 4 2" xfId="8469"/>
    <cellStyle name="Percent 2 6 4 4 3" xfId="8470"/>
    <cellStyle name="Percent 2 6 4 5" xfId="8471"/>
    <cellStyle name="Percent 2 6 4 5 2" xfId="8472"/>
    <cellStyle name="Percent 2 6 4 6" xfId="8473"/>
    <cellStyle name="Percent 2 6 4 6 2" xfId="8474"/>
    <cellStyle name="Percent 2 6 4 7" xfId="8475"/>
    <cellStyle name="Percent 2 6 5" xfId="8476"/>
    <cellStyle name="Percent 2 6 5 2" xfId="8477"/>
    <cellStyle name="Percent 2 6 5 2 2" xfId="8478"/>
    <cellStyle name="Percent 2 6 5 2 2 2" xfId="8479"/>
    <cellStyle name="Percent 2 6 5 2 3" xfId="8480"/>
    <cellStyle name="Percent 2 6 5 2 3 2" xfId="8481"/>
    <cellStyle name="Percent 2 6 5 2 4" xfId="8482"/>
    <cellStyle name="Percent 2 6 5 3" xfId="8483"/>
    <cellStyle name="Percent 2 6 5 3 2" xfId="8484"/>
    <cellStyle name="Percent 2 6 5 3 3" xfId="8485"/>
    <cellStyle name="Percent 2 6 5 4" xfId="8486"/>
    <cellStyle name="Percent 2 6 5 4 2" xfId="8487"/>
    <cellStyle name="Percent 2 6 5 5" xfId="8488"/>
    <cellStyle name="Percent 2 6 5 5 2" xfId="8489"/>
    <cellStyle name="Percent 2 6 5 6" xfId="8490"/>
    <cellStyle name="Percent 2 6 6" xfId="8491"/>
    <cellStyle name="Percent 2 6 6 2" xfId="8492"/>
    <cellStyle name="Percent 2 6 6 2 2" xfId="8493"/>
    <cellStyle name="Percent 2 6 6 3" xfId="8494"/>
    <cellStyle name="Percent 2 6 6 3 2" xfId="8495"/>
    <cellStyle name="Percent 2 6 6 4" xfId="8496"/>
    <cellStyle name="Percent 2 6 7" xfId="8497"/>
    <cellStyle name="Percent 2 6 7 2" xfId="8498"/>
    <cellStyle name="Percent 2 6 7 2 2" xfId="8499"/>
    <cellStyle name="Percent 2 6 7 3" xfId="8500"/>
    <cellStyle name="Percent 2 6 7 3 2" xfId="8501"/>
    <cellStyle name="Percent 2 6 7 4" xfId="8502"/>
    <cellStyle name="Percent 2 6 8" xfId="8503"/>
    <cellStyle name="Percent 2 6 8 2" xfId="8504"/>
    <cellStyle name="Percent 2 6 8 3" xfId="8505"/>
    <cellStyle name="Percent 2 6 9" xfId="8506"/>
    <cellStyle name="Percent 2 6 9 2" xfId="8507"/>
    <cellStyle name="Percent 2 7" xfId="8508"/>
    <cellStyle name="Percent 2 7 10" xfId="8509"/>
    <cellStyle name="Percent 2 7 2" xfId="8510"/>
    <cellStyle name="Percent 2 7 2 2" xfId="8511"/>
    <cellStyle name="Percent 2 7 2 2 2" xfId="8512"/>
    <cellStyle name="Percent 2 7 2 2 2 2" xfId="8513"/>
    <cellStyle name="Percent 2 7 2 2 2 3" xfId="8514"/>
    <cellStyle name="Percent 2 7 2 2 3" xfId="8515"/>
    <cellStyle name="Percent 2 7 2 2 3 2" xfId="8516"/>
    <cellStyle name="Percent 2 7 2 2 4" xfId="8517"/>
    <cellStyle name="Percent 2 7 2 2 4 2" xfId="8518"/>
    <cellStyle name="Percent 2 7 2 2 5" xfId="8519"/>
    <cellStyle name="Percent 2 7 2 3" xfId="8520"/>
    <cellStyle name="Percent 2 7 2 3 2" xfId="8521"/>
    <cellStyle name="Percent 2 7 2 3 2 2" xfId="8522"/>
    <cellStyle name="Percent 2 7 2 3 3" xfId="8523"/>
    <cellStyle name="Percent 2 7 2 3 3 2" xfId="8524"/>
    <cellStyle name="Percent 2 7 2 3 4" xfId="8525"/>
    <cellStyle name="Percent 2 7 2 4" xfId="8526"/>
    <cellStyle name="Percent 2 7 2 4 2" xfId="8527"/>
    <cellStyle name="Percent 2 7 2 4 3" xfId="8528"/>
    <cellStyle name="Percent 2 7 2 5" xfId="8529"/>
    <cellStyle name="Percent 2 7 2 5 2" xfId="8530"/>
    <cellStyle name="Percent 2 7 2 6" xfId="8531"/>
    <cellStyle name="Percent 2 7 2 6 2" xfId="8532"/>
    <cellStyle name="Percent 2 7 2 7" xfId="8533"/>
    <cellStyle name="Percent 2 7 3" xfId="8534"/>
    <cellStyle name="Percent 2 7 3 2" xfId="8535"/>
    <cellStyle name="Percent 2 7 3 2 2" xfId="8536"/>
    <cellStyle name="Percent 2 7 3 2 2 2" xfId="8537"/>
    <cellStyle name="Percent 2 7 3 2 2 3" xfId="8538"/>
    <cellStyle name="Percent 2 7 3 2 3" xfId="8539"/>
    <cellStyle name="Percent 2 7 3 2 3 2" xfId="8540"/>
    <cellStyle name="Percent 2 7 3 2 4" xfId="8541"/>
    <cellStyle name="Percent 2 7 3 2 4 2" xfId="8542"/>
    <cellStyle name="Percent 2 7 3 2 5" xfId="8543"/>
    <cellStyle name="Percent 2 7 3 3" xfId="8544"/>
    <cellStyle name="Percent 2 7 3 3 2" xfId="8545"/>
    <cellStyle name="Percent 2 7 3 3 2 2" xfId="8546"/>
    <cellStyle name="Percent 2 7 3 3 3" xfId="8547"/>
    <cellStyle name="Percent 2 7 3 3 3 2" xfId="8548"/>
    <cellStyle name="Percent 2 7 3 3 4" xfId="8549"/>
    <cellStyle name="Percent 2 7 3 4" xfId="8550"/>
    <cellStyle name="Percent 2 7 3 4 2" xfId="8551"/>
    <cellStyle name="Percent 2 7 3 4 3" xfId="8552"/>
    <cellStyle name="Percent 2 7 3 5" xfId="8553"/>
    <cellStyle name="Percent 2 7 3 5 2" xfId="8554"/>
    <cellStyle name="Percent 2 7 3 6" xfId="8555"/>
    <cellStyle name="Percent 2 7 3 6 2" xfId="8556"/>
    <cellStyle name="Percent 2 7 3 7" xfId="8557"/>
    <cellStyle name="Percent 2 7 4" xfId="8558"/>
    <cellStyle name="Percent 2 7 4 2" xfId="8559"/>
    <cellStyle name="Percent 2 7 4 2 2" xfId="8560"/>
    <cellStyle name="Percent 2 7 4 2 2 2" xfId="8561"/>
    <cellStyle name="Percent 2 7 4 2 3" xfId="8562"/>
    <cellStyle name="Percent 2 7 4 2 3 2" xfId="8563"/>
    <cellStyle name="Percent 2 7 4 2 4" xfId="8564"/>
    <cellStyle name="Percent 2 7 4 3" xfId="8565"/>
    <cellStyle name="Percent 2 7 4 3 2" xfId="8566"/>
    <cellStyle name="Percent 2 7 4 3 3" xfId="8567"/>
    <cellStyle name="Percent 2 7 4 4" xfId="8568"/>
    <cellStyle name="Percent 2 7 4 4 2" xfId="8569"/>
    <cellStyle name="Percent 2 7 4 5" xfId="8570"/>
    <cellStyle name="Percent 2 7 4 5 2" xfId="8571"/>
    <cellStyle name="Percent 2 7 4 6" xfId="8572"/>
    <cellStyle name="Percent 2 7 5" xfId="8573"/>
    <cellStyle name="Percent 2 7 5 2" xfId="8574"/>
    <cellStyle name="Percent 2 7 5 2 2" xfId="8575"/>
    <cellStyle name="Percent 2 7 5 3" xfId="8576"/>
    <cellStyle name="Percent 2 7 5 3 2" xfId="8577"/>
    <cellStyle name="Percent 2 7 5 4" xfId="8578"/>
    <cellStyle name="Percent 2 7 6" xfId="8579"/>
    <cellStyle name="Percent 2 7 6 2" xfId="8580"/>
    <cellStyle name="Percent 2 7 6 2 2" xfId="8581"/>
    <cellStyle name="Percent 2 7 6 3" xfId="8582"/>
    <cellStyle name="Percent 2 7 6 3 2" xfId="8583"/>
    <cellStyle name="Percent 2 7 6 4" xfId="8584"/>
    <cellStyle name="Percent 2 7 7" xfId="8585"/>
    <cellStyle name="Percent 2 7 7 2" xfId="8586"/>
    <cellStyle name="Percent 2 7 7 3" xfId="8587"/>
    <cellStyle name="Percent 2 7 8" xfId="8588"/>
    <cellStyle name="Percent 2 7 8 2" xfId="8589"/>
    <cellStyle name="Percent 2 7 9" xfId="8590"/>
    <cellStyle name="Percent 2 7 9 2" xfId="8591"/>
    <cellStyle name="Percent 2 8" xfId="8592"/>
    <cellStyle name="Percent 2 8 2" xfId="8593"/>
    <cellStyle name="Percent 2 8 2 2" xfId="8594"/>
    <cellStyle name="Percent 2 8 2 2 2" xfId="8595"/>
    <cellStyle name="Percent 2 8 2 3" xfId="8596"/>
    <cellStyle name="Percent 2 8 2 3 2" xfId="8597"/>
    <cellStyle name="Percent 2 8 2 4" xfId="8598"/>
    <cellStyle name="Percent 2 8 3" xfId="8599"/>
    <cellStyle name="Percent 2 8 3 2" xfId="8600"/>
    <cellStyle name="Percent 2 8 3 3" xfId="8601"/>
    <cellStyle name="Percent 2 8 4" xfId="8602"/>
    <cellStyle name="Percent 2 8 4 2" xfId="8603"/>
    <cellStyle name="Percent 2 8 5" xfId="8604"/>
    <cellStyle name="Percent 2 8 5 2" xfId="8605"/>
    <cellStyle name="Percent 2 8 6" xfId="8606"/>
    <cellStyle name="Percent 2 9" xfId="8607"/>
    <cellStyle name="Percent 2 9 2" xfId="8608"/>
    <cellStyle name="Percent 2 9 2 2" xfId="8609"/>
    <cellStyle name="Percent 2 9 3" xfId="8610"/>
    <cellStyle name="Percent 2 9 3 2" xfId="8611"/>
    <cellStyle name="Percent 2 9 4" xfId="8612"/>
    <cellStyle name="Percent 20" xfId="41208"/>
    <cellStyle name="Percent 21" xfId="41209"/>
    <cellStyle name="Percent 22" xfId="41210"/>
    <cellStyle name="Percent 23" xfId="41211"/>
    <cellStyle name="Percent 24" xfId="41212"/>
    <cellStyle name="Percent 25" xfId="41213"/>
    <cellStyle name="Percent 26" xfId="41214"/>
    <cellStyle name="Percent 27" xfId="41215"/>
    <cellStyle name="Percent 28" xfId="41216"/>
    <cellStyle name="Percent 29" xfId="41217"/>
    <cellStyle name="Percent 3" xfId="8613"/>
    <cellStyle name="Percent 3 2" xfId="8614"/>
    <cellStyle name="Percent 3 2 2" xfId="41218"/>
    <cellStyle name="Percent 3 3" xfId="8615"/>
    <cellStyle name="Percent 30" xfId="41219"/>
    <cellStyle name="Percent 31" xfId="41220"/>
    <cellStyle name="Percent 32" xfId="41221"/>
    <cellStyle name="Percent 33" xfId="41222"/>
    <cellStyle name="Percent 34" xfId="41223"/>
    <cellStyle name="Percent 35" xfId="41224"/>
    <cellStyle name="Percent 36" xfId="41225"/>
    <cellStyle name="Percent 37" xfId="41226"/>
    <cellStyle name="Percent 38" xfId="41227"/>
    <cellStyle name="Percent 39" xfId="41228"/>
    <cellStyle name="Percent 4" xfId="8616"/>
    <cellStyle name="Percent 4 2" xfId="12261"/>
    <cellStyle name="Percent 4 2 2" xfId="12262"/>
    <cellStyle name="Percent 4 2 2 2" xfId="12263"/>
    <cellStyle name="Percent 4 2 2 2 2" xfId="12264"/>
    <cellStyle name="Percent 4 2 2 3" xfId="12265"/>
    <cellStyle name="Percent 4 2 2 4" xfId="12266"/>
    <cellStyle name="Percent 4 2 3" xfId="12267"/>
    <cellStyle name="Percent 4 2 3 2" xfId="12268"/>
    <cellStyle name="Percent 4 2 4" xfId="12269"/>
    <cellStyle name="Percent 4 2 5" xfId="12270"/>
    <cellStyle name="Percent 4 2 6" xfId="41230"/>
    <cellStyle name="Percent 4 3" xfId="12271"/>
    <cellStyle name="Percent 4 3 2" xfId="12272"/>
    <cellStyle name="Percent 4 3 2 2" xfId="12273"/>
    <cellStyle name="Percent 4 3 3" xfId="12274"/>
    <cellStyle name="Percent 4 3 4" xfId="12275"/>
    <cellStyle name="Percent 4 3 5" xfId="41231"/>
    <cellStyle name="Percent 4 4" xfId="12276"/>
    <cellStyle name="Percent 4 4 2" xfId="12277"/>
    <cellStyle name="Percent 4 4 2 2" xfId="12278"/>
    <cellStyle name="Percent 4 4 3" xfId="12279"/>
    <cellStyle name="Percent 4 4 4" xfId="12280"/>
    <cellStyle name="Percent 4 4 5" xfId="41232"/>
    <cellStyle name="Percent 4 5" xfId="12281"/>
    <cellStyle name="Percent 4 5 2" xfId="12282"/>
    <cellStyle name="Percent 4 5 2 2" xfId="12283"/>
    <cellStyle name="Percent 4 5 3" xfId="12284"/>
    <cellStyle name="Percent 4 5 4" xfId="12285"/>
    <cellStyle name="Percent 4 6" xfId="12286"/>
    <cellStyle name="Percent 4 6 2" xfId="12287"/>
    <cellStyle name="Percent 4 7" xfId="12288"/>
    <cellStyle name="Percent 4 8" xfId="12289"/>
    <cellStyle name="Percent 4 9" xfId="41229"/>
    <cellStyle name="Percent 40" xfId="41233"/>
    <cellStyle name="Percent 41" xfId="41234"/>
    <cellStyle name="Percent 42" xfId="41235"/>
    <cellStyle name="Percent 43" xfId="41236"/>
    <cellStyle name="Percent 44" xfId="41237"/>
    <cellStyle name="Percent 45" xfId="41238"/>
    <cellStyle name="Percent 46" xfId="41239"/>
    <cellStyle name="Percent 47" xfId="41240"/>
    <cellStyle name="Percent 48" xfId="41241"/>
    <cellStyle name="Percent 49" xfId="41242"/>
    <cellStyle name="Percent 5" xfId="8617"/>
    <cellStyle name="Percent 5 10" xfId="8618"/>
    <cellStyle name="Percent 5 10 2" xfId="8619"/>
    <cellStyle name="Percent 5 11" xfId="8620"/>
    <cellStyle name="Percent 5 12" xfId="41243"/>
    <cellStyle name="Percent 5 2" xfId="8621"/>
    <cellStyle name="Percent 5 2 2" xfId="8622"/>
    <cellStyle name="Percent 5 2 2 2" xfId="8623"/>
    <cellStyle name="Percent 5 2 2 2 2" xfId="8624"/>
    <cellStyle name="Percent 5 2 2 2 2 2" xfId="8625"/>
    <cellStyle name="Percent 5 2 2 2 2 3" xfId="8626"/>
    <cellStyle name="Percent 5 2 2 2 3" xfId="8627"/>
    <cellStyle name="Percent 5 2 2 2 3 2" xfId="8628"/>
    <cellStyle name="Percent 5 2 2 2 4" xfId="8629"/>
    <cellStyle name="Percent 5 2 2 2 4 2" xfId="8630"/>
    <cellStyle name="Percent 5 2 2 2 5" xfId="8631"/>
    <cellStyle name="Percent 5 2 2 3" xfId="8632"/>
    <cellStyle name="Percent 5 2 2 3 2" xfId="8633"/>
    <cellStyle name="Percent 5 2 2 3 2 2" xfId="8634"/>
    <cellStyle name="Percent 5 2 2 3 3" xfId="8635"/>
    <cellStyle name="Percent 5 2 2 3 3 2" xfId="8636"/>
    <cellStyle name="Percent 5 2 2 3 4" xfId="8637"/>
    <cellStyle name="Percent 5 2 2 4" xfId="8638"/>
    <cellStyle name="Percent 5 2 2 4 2" xfId="8639"/>
    <cellStyle name="Percent 5 2 2 4 3" xfId="8640"/>
    <cellStyle name="Percent 5 2 2 5" xfId="8641"/>
    <cellStyle name="Percent 5 2 2 5 2" xfId="8642"/>
    <cellStyle name="Percent 5 2 2 6" xfId="8643"/>
    <cellStyle name="Percent 5 2 2 6 2" xfId="8644"/>
    <cellStyle name="Percent 5 2 2 7" xfId="8645"/>
    <cellStyle name="Percent 5 2 3" xfId="8646"/>
    <cellStyle name="Percent 5 2 3 2" xfId="8647"/>
    <cellStyle name="Percent 5 2 3 2 2" xfId="8648"/>
    <cellStyle name="Percent 5 2 3 2 3" xfId="8649"/>
    <cellStyle name="Percent 5 2 3 3" xfId="8650"/>
    <cellStyle name="Percent 5 2 3 3 2" xfId="8651"/>
    <cellStyle name="Percent 5 2 3 4" xfId="8652"/>
    <cellStyle name="Percent 5 2 3 4 2" xfId="8653"/>
    <cellStyle name="Percent 5 2 3 5" xfId="8654"/>
    <cellStyle name="Percent 5 2 4" xfId="8655"/>
    <cellStyle name="Percent 5 2 4 2" xfId="8656"/>
    <cellStyle name="Percent 5 2 4 2 2" xfId="8657"/>
    <cellStyle name="Percent 5 2 4 3" xfId="8658"/>
    <cellStyle name="Percent 5 2 4 3 2" xfId="8659"/>
    <cellStyle name="Percent 5 2 4 4" xfId="8660"/>
    <cellStyle name="Percent 5 2 5" xfId="8661"/>
    <cellStyle name="Percent 5 2 5 2" xfId="8662"/>
    <cellStyle name="Percent 5 2 5 3" xfId="8663"/>
    <cellStyle name="Percent 5 2 6" xfId="8664"/>
    <cellStyle name="Percent 5 2 6 2" xfId="8665"/>
    <cellStyle name="Percent 5 2 7" xfId="8666"/>
    <cellStyle name="Percent 5 2 7 2" xfId="8667"/>
    <cellStyle name="Percent 5 2 8" xfId="8668"/>
    <cellStyle name="Percent 5 2 9" xfId="41244"/>
    <cellStyle name="Percent 5 3" xfId="8669"/>
    <cellStyle name="Percent 5 3 2" xfId="8670"/>
    <cellStyle name="Percent 5 3 2 2" xfId="8671"/>
    <cellStyle name="Percent 5 3 2 2 2" xfId="8672"/>
    <cellStyle name="Percent 5 3 2 2 3" xfId="8673"/>
    <cellStyle name="Percent 5 3 2 3" xfId="8674"/>
    <cellStyle name="Percent 5 3 2 3 2" xfId="8675"/>
    <cellStyle name="Percent 5 3 2 4" xfId="8676"/>
    <cellStyle name="Percent 5 3 2 4 2" xfId="8677"/>
    <cellStyle name="Percent 5 3 2 5" xfId="8678"/>
    <cellStyle name="Percent 5 3 3" xfId="8679"/>
    <cellStyle name="Percent 5 3 3 2" xfId="8680"/>
    <cellStyle name="Percent 5 3 3 2 2" xfId="8681"/>
    <cellStyle name="Percent 5 3 3 3" xfId="8682"/>
    <cellStyle name="Percent 5 3 3 3 2" xfId="8683"/>
    <cellStyle name="Percent 5 3 3 4" xfId="8684"/>
    <cellStyle name="Percent 5 3 4" xfId="8685"/>
    <cellStyle name="Percent 5 3 4 2" xfId="8686"/>
    <cellStyle name="Percent 5 3 4 3" xfId="8687"/>
    <cellStyle name="Percent 5 3 5" xfId="8688"/>
    <cellStyle name="Percent 5 3 5 2" xfId="8689"/>
    <cellStyle name="Percent 5 3 6" xfId="8690"/>
    <cellStyle name="Percent 5 3 6 2" xfId="8691"/>
    <cellStyle name="Percent 5 3 7" xfId="8692"/>
    <cellStyle name="Percent 5 4" xfId="8693"/>
    <cellStyle name="Percent 5 4 2" xfId="8694"/>
    <cellStyle name="Percent 5 4 2 2" xfId="8695"/>
    <cellStyle name="Percent 5 4 2 2 2" xfId="8696"/>
    <cellStyle name="Percent 5 4 2 2 3" xfId="8697"/>
    <cellStyle name="Percent 5 4 2 3" xfId="8698"/>
    <cellStyle name="Percent 5 4 2 3 2" xfId="8699"/>
    <cellStyle name="Percent 5 4 2 4" xfId="8700"/>
    <cellStyle name="Percent 5 4 2 4 2" xfId="8701"/>
    <cellStyle name="Percent 5 4 2 5" xfId="8702"/>
    <cellStyle name="Percent 5 4 3" xfId="8703"/>
    <cellStyle name="Percent 5 4 3 2" xfId="8704"/>
    <cellStyle name="Percent 5 4 3 2 2" xfId="8705"/>
    <cellStyle name="Percent 5 4 3 3" xfId="8706"/>
    <cellStyle name="Percent 5 4 3 3 2" xfId="8707"/>
    <cellStyle name="Percent 5 4 3 4" xfId="8708"/>
    <cellStyle name="Percent 5 4 4" xfId="8709"/>
    <cellStyle name="Percent 5 4 4 2" xfId="8710"/>
    <cellStyle name="Percent 5 4 4 3" xfId="8711"/>
    <cellStyle name="Percent 5 4 5" xfId="8712"/>
    <cellStyle name="Percent 5 4 5 2" xfId="8713"/>
    <cellStyle name="Percent 5 4 6" xfId="8714"/>
    <cellStyle name="Percent 5 4 6 2" xfId="8715"/>
    <cellStyle name="Percent 5 4 7" xfId="8716"/>
    <cellStyle name="Percent 5 5" xfId="8717"/>
    <cellStyle name="Percent 5 5 2" xfId="8718"/>
    <cellStyle name="Percent 5 5 2 2" xfId="8719"/>
    <cellStyle name="Percent 5 5 2 2 2" xfId="8720"/>
    <cellStyle name="Percent 5 5 2 3" xfId="8721"/>
    <cellStyle name="Percent 5 5 2 3 2" xfId="8722"/>
    <cellStyle name="Percent 5 5 2 4" xfId="8723"/>
    <cellStyle name="Percent 5 5 3" xfId="8724"/>
    <cellStyle name="Percent 5 5 3 2" xfId="8725"/>
    <cellStyle name="Percent 5 5 3 3" xfId="8726"/>
    <cellStyle name="Percent 5 5 4" xfId="8727"/>
    <cellStyle name="Percent 5 5 4 2" xfId="8728"/>
    <cellStyle name="Percent 5 5 5" xfId="8729"/>
    <cellStyle name="Percent 5 5 5 2" xfId="8730"/>
    <cellStyle name="Percent 5 5 6" xfId="8731"/>
    <cellStyle name="Percent 5 6" xfId="8732"/>
    <cellStyle name="Percent 5 6 2" xfId="8733"/>
    <cellStyle name="Percent 5 6 2 2" xfId="8734"/>
    <cellStyle name="Percent 5 6 3" xfId="8735"/>
    <cellStyle name="Percent 5 6 3 2" xfId="8736"/>
    <cellStyle name="Percent 5 6 4" xfId="8737"/>
    <cellStyle name="Percent 5 7" xfId="8738"/>
    <cellStyle name="Percent 5 7 2" xfId="8739"/>
    <cellStyle name="Percent 5 7 2 2" xfId="8740"/>
    <cellStyle name="Percent 5 7 3" xfId="8741"/>
    <cellStyle name="Percent 5 7 3 2" xfId="8742"/>
    <cellStyle name="Percent 5 7 4" xfId="8743"/>
    <cellStyle name="Percent 5 8" xfId="8744"/>
    <cellStyle name="Percent 5 8 2" xfId="8745"/>
    <cellStyle name="Percent 5 8 3" xfId="8746"/>
    <cellStyle name="Percent 5 9" xfId="8747"/>
    <cellStyle name="Percent 5 9 2" xfId="8748"/>
    <cellStyle name="Percent 50" xfId="41245"/>
    <cellStyle name="Percent 51" xfId="41246"/>
    <cellStyle name="Percent 6" xfId="8749"/>
    <cellStyle name="Percent 6 2" xfId="41248"/>
    <cellStyle name="Percent 6 3" xfId="41247"/>
    <cellStyle name="Percent 7" xfId="8750"/>
    <cellStyle name="Percent 7 10" xfId="9009"/>
    <cellStyle name="Percent 7 10 2" xfId="9577"/>
    <cellStyle name="Percent 7 10 2 2" xfId="10631"/>
    <cellStyle name="Percent 7 10 2 2 2" xfId="14225"/>
    <cellStyle name="Percent 7 10 2 2 2 2" xfId="41252"/>
    <cellStyle name="Percent 7 10 2 2 3" xfId="16391"/>
    <cellStyle name="Percent 7 10 2 3" xfId="13172"/>
    <cellStyle name="Percent 7 10 2 3 2" xfId="41251"/>
    <cellStyle name="Percent 7 10 2 4" xfId="16390"/>
    <cellStyle name="Percent 7 10 3" xfId="10093"/>
    <cellStyle name="Percent 7 10 3 2" xfId="13687"/>
    <cellStyle name="Percent 7 10 3 2 2" xfId="41254"/>
    <cellStyle name="Percent 7 10 3 3" xfId="41253"/>
    <cellStyle name="Percent 7 10 3 4" xfId="16392"/>
    <cellStyle name="Percent 7 10 4" xfId="11137"/>
    <cellStyle name="Percent 7 10 4 2" xfId="14729"/>
    <cellStyle name="Percent 7 10 4 2 2" xfId="41256"/>
    <cellStyle name="Percent 7 10 4 3" xfId="41255"/>
    <cellStyle name="Percent 7 10 4 4" xfId="16393"/>
    <cellStyle name="Percent 7 10 5" xfId="12634"/>
    <cellStyle name="Percent 7 10 5 2" xfId="41257"/>
    <cellStyle name="Percent 7 10 6" xfId="41258"/>
    <cellStyle name="Percent 7 10 7" xfId="41250"/>
    <cellStyle name="Percent 7 10 8" xfId="16389"/>
    <cellStyle name="Percent 7 11" xfId="9321"/>
    <cellStyle name="Percent 7 11 2" xfId="10375"/>
    <cellStyle name="Percent 7 11 2 2" xfId="13969"/>
    <cellStyle name="Percent 7 11 2 2 2" xfId="41261"/>
    <cellStyle name="Percent 7 11 2 3" xfId="41260"/>
    <cellStyle name="Percent 7 11 2 4" xfId="16395"/>
    <cellStyle name="Percent 7 11 3" xfId="12916"/>
    <cellStyle name="Percent 7 11 3 2" xfId="41263"/>
    <cellStyle name="Percent 7 11 3 3" xfId="41262"/>
    <cellStyle name="Percent 7 11 4" xfId="41264"/>
    <cellStyle name="Percent 7 11 5" xfId="41265"/>
    <cellStyle name="Percent 7 11 6" xfId="41259"/>
    <cellStyle name="Percent 7 11 7" xfId="16394"/>
    <cellStyle name="Percent 7 12" xfId="9837"/>
    <cellStyle name="Percent 7 12 2" xfId="13431"/>
    <cellStyle name="Percent 7 12 2 2" xfId="41267"/>
    <cellStyle name="Percent 7 12 3" xfId="41266"/>
    <cellStyle name="Percent 7 12 4" xfId="16396"/>
    <cellStyle name="Percent 7 13" xfId="11136"/>
    <cellStyle name="Percent 7 13 2" xfId="14728"/>
    <cellStyle name="Percent 7 13 2 2" xfId="41269"/>
    <cellStyle name="Percent 7 13 3" xfId="41268"/>
    <cellStyle name="Percent 7 13 4" xfId="16397"/>
    <cellStyle name="Percent 7 14" xfId="12378"/>
    <cellStyle name="Percent 7 14 2" xfId="41271"/>
    <cellStyle name="Percent 7 14 3" xfId="41270"/>
    <cellStyle name="Percent 7 15" xfId="41272"/>
    <cellStyle name="Percent 7 16" xfId="41273"/>
    <cellStyle name="Percent 7 17" xfId="41274"/>
    <cellStyle name="Percent 7 18" xfId="41249"/>
    <cellStyle name="Percent 7 19" xfId="16388"/>
    <cellStyle name="Percent 7 2" xfId="8751"/>
    <cellStyle name="Percent 7 2 10" xfId="9322"/>
    <cellStyle name="Percent 7 2 10 2" xfId="10376"/>
    <cellStyle name="Percent 7 2 10 2 2" xfId="13970"/>
    <cellStyle name="Percent 7 2 10 2 2 2" xfId="41277"/>
    <cellStyle name="Percent 7 2 10 2 3" xfId="16400"/>
    <cellStyle name="Percent 7 2 10 3" xfId="12917"/>
    <cellStyle name="Percent 7 2 10 3 2" xfId="41276"/>
    <cellStyle name="Percent 7 2 10 4" xfId="16399"/>
    <cellStyle name="Percent 7 2 11" xfId="9838"/>
    <cellStyle name="Percent 7 2 11 2" xfId="13432"/>
    <cellStyle name="Percent 7 2 11 2 2" xfId="41279"/>
    <cellStyle name="Percent 7 2 11 3" xfId="41278"/>
    <cellStyle name="Percent 7 2 11 4" xfId="16401"/>
    <cellStyle name="Percent 7 2 12" xfId="11138"/>
    <cellStyle name="Percent 7 2 12 2" xfId="14730"/>
    <cellStyle name="Percent 7 2 12 2 2" xfId="41280"/>
    <cellStyle name="Percent 7 2 12 3" xfId="16402"/>
    <cellStyle name="Percent 7 2 13" xfId="12379"/>
    <cellStyle name="Percent 7 2 13 2" xfId="41281"/>
    <cellStyle name="Percent 7 2 14" xfId="41275"/>
    <cellStyle name="Percent 7 2 15" xfId="16398"/>
    <cellStyle name="Percent 7 2 2" xfId="8752"/>
    <cellStyle name="Percent 7 2 2 10" xfId="9839"/>
    <cellStyle name="Percent 7 2 2 10 2" xfId="13433"/>
    <cellStyle name="Percent 7 2 2 10 2 2" xfId="41283"/>
    <cellStyle name="Percent 7 2 2 10 3" xfId="16404"/>
    <cellStyle name="Percent 7 2 2 11" xfId="11139"/>
    <cellStyle name="Percent 7 2 2 11 2" xfId="14731"/>
    <cellStyle name="Percent 7 2 2 11 2 2" xfId="41284"/>
    <cellStyle name="Percent 7 2 2 11 3" xfId="16405"/>
    <cellStyle name="Percent 7 2 2 12" xfId="12380"/>
    <cellStyle name="Percent 7 2 2 12 2" xfId="41282"/>
    <cellStyle name="Percent 7 2 2 13" xfId="16403"/>
    <cellStyle name="Percent 7 2 2 2" xfId="8753"/>
    <cellStyle name="Percent 7 2 2 2 10" xfId="11140"/>
    <cellStyle name="Percent 7 2 2 2 10 2" xfId="14732"/>
    <cellStyle name="Percent 7 2 2 2 10 3" xfId="16407"/>
    <cellStyle name="Percent 7 2 2 2 11" xfId="12381"/>
    <cellStyle name="Percent 7 2 2 2 11 2" xfId="41285"/>
    <cellStyle name="Percent 7 2 2 2 12" xfId="16406"/>
    <cellStyle name="Percent 7 2 2 2 2" xfId="8754"/>
    <cellStyle name="Percent 7 2 2 2 2 10" xfId="12382"/>
    <cellStyle name="Percent 7 2 2 2 2 10 2" xfId="41286"/>
    <cellStyle name="Percent 7 2 2 2 2 11" xfId="16408"/>
    <cellStyle name="Percent 7 2 2 2 2 2" xfId="8800"/>
    <cellStyle name="Percent 7 2 2 2 2 2 2" xfId="8928"/>
    <cellStyle name="Percent 7 2 2 2 2 2 2 2" xfId="9184"/>
    <cellStyle name="Percent 7 2 2 2 2 2 2 2 2" xfId="9752"/>
    <cellStyle name="Percent 7 2 2 2 2 2 2 2 2 2" xfId="10806"/>
    <cellStyle name="Percent 7 2 2 2 2 2 2 2 2 2 2" xfId="14400"/>
    <cellStyle name="Percent 7 2 2 2 2 2 2 2 2 2 3" xfId="16413"/>
    <cellStyle name="Percent 7 2 2 2 2 2 2 2 2 3" xfId="13347"/>
    <cellStyle name="Percent 7 2 2 2 2 2 2 2 2 4" xfId="16412"/>
    <cellStyle name="Percent 7 2 2 2 2 2 2 2 3" xfId="10268"/>
    <cellStyle name="Percent 7 2 2 2 2 2 2 2 3 2" xfId="13862"/>
    <cellStyle name="Percent 7 2 2 2 2 2 2 2 3 3" xfId="16414"/>
    <cellStyle name="Percent 7 2 2 2 2 2 2 2 4" xfId="11144"/>
    <cellStyle name="Percent 7 2 2 2 2 2 2 2 4 2" xfId="14736"/>
    <cellStyle name="Percent 7 2 2 2 2 2 2 2 4 3" xfId="16415"/>
    <cellStyle name="Percent 7 2 2 2 2 2 2 2 5" xfId="12809"/>
    <cellStyle name="Percent 7 2 2 2 2 2 2 2 6" xfId="16411"/>
    <cellStyle name="Percent 7 2 2 2 2 2 2 3" xfId="9496"/>
    <cellStyle name="Percent 7 2 2 2 2 2 2 3 2" xfId="10550"/>
    <cellStyle name="Percent 7 2 2 2 2 2 2 3 2 2" xfId="14144"/>
    <cellStyle name="Percent 7 2 2 2 2 2 2 3 2 3" xfId="16417"/>
    <cellStyle name="Percent 7 2 2 2 2 2 2 3 3" xfId="13091"/>
    <cellStyle name="Percent 7 2 2 2 2 2 2 3 4" xfId="16416"/>
    <cellStyle name="Percent 7 2 2 2 2 2 2 4" xfId="10012"/>
    <cellStyle name="Percent 7 2 2 2 2 2 2 4 2" xfId="13606"/>
    <cellStyle name="Percent 7 2 2 2 2 2 2 4 3" xfId="16418"/>
    <cellStyle name="Percent 7 2 2 2 2 2 2 5" xfId="11143"/>
    <cellStyle name="Percent 7 2 2 2 2 2 2 5 2" xfId="14735"/>
    <cellStyle name="Percent 7 2 2 2 2 2 2 5 3" xfId="16419"/>
    <cellStyle name="Percent 7 2 2 2 2 2 2 6" xfId="12553"/>
    <cellStyle name="Percent 7 2 2 2 2 2 2 7" xfId="16410"/>
    <cellStyle name="Percent 7 2 2 2 2 2 3" xfId="9056"/>
    <cellStyle name="Percent 7 2 2 2 2 2 3 2" xfId="9624"/>
    <cellStyle name="Percent 7 2 2 2 2 2 3 2 2" xfId="10678"/>
    <cellStyle name="Percent 7 2 2 2 2 2 3 2 2 2" xfId="14272"/>
    <cellStyle name="Percent 7 2 2 2 2 2 3 2 2 3" xfId="16422"/>
    <cellStyle name="Percent 7 2 2 2 2 2 3 2 3" xfId="13219"/>
    <cellStyle name="Percent 7 2 2 2 2 2 3 2 4" xfId="16421"/>
    <cellStyle name="Percent 7 2 2 2 2 2 3 3" xfId="10140"/>
    <cellStyle name="Percent 7 2 2 2 2 2 3 3 2" xfId="13734"/>
    <cellStyle name="Percent 7 2 2 2 2 2 3 3 3" xfId="16423"/>
    <cellStyle name="Percent 7 2 2 2 2 2 3 4" xfId="11145"/>
    <cellStyle name="Percent 7 2 2 2 2 2 3 4 2" xfId="14737"/>
    <cellStyle name="Percent 7 2 2 2 2 2 3 4 3" xfId="16424"/>
    <cellStyle name="Percent 7 2 2 2 2 2 3 5" xfId="12681"/>
    <cellStyle name="Percent 7 2 2 2 2 2 3 6" xfId="16420"/>
    <cellStyle name="Percent 7 2 2 2 2 2 4" xfId="9368"/>
    <cellStyle name="Percent 7 2 2 2 2 2 4 2" xfId="10422"/>
    <cellStyle name="Percent 7 2 2 2 2 2 4 2 2" xfId="14016"/>
    <cellStyle name="Percent 7 2 2 2 2 2 4 2 3" xfId="16426"/>
    <cellStyle name="Percent 7 2 2 2 2 2 4 3" xfId="12963"/>
    <cellStyle name="Percent 7 2 2 2 2 2 4 4" xfId="16425"/>
    <cellStyle name="Percent 7 2 2 2 2 2 5" xfId="9884"/>
    <cellStyle name="Percent 7 2 2 2 2 2 5 2" xfId="13478"/>
    <cellStyle name="Percent 7 2 2 2 2 2 5 3" xfId="16427"/>
    <cellStyle name="Percent 7 2 2 2 2 2 6" xfId="11142"/>
    <cellStyle name="Percent 7 2 2 2 2 2 6 2" xfId="14734"/>
    <cellStyle name="Percent 7 2 2 2 2 2 6 3" xfId="16428"/>
    <cellStyle name="Percent 7 2 2 2 2 2 7" xfId="12425"/>
    <cellStyle name="Percent 7 2 2 2 2 2 7 2" xfId="41287"/>
    <cellStyle name="Percent 7 2 2 2 2 2 8" xfId="16409"/>
    <cellStyle name="Percent 7 2 2 2 2 3" xfId="8832"/>
    <cellStyle name="Percent 7 2 2 2 2 3 2" xfId="8960"/>
    <cellStyle name="Percent 7 2 2 2 2 3 2 2" xfId="9216"/>
    <cellStyle name="Percent 7 2 2 2 2 3 2 2 2" xfId="9784"/>
    <cellStyle name="Percent 7 2 2 2 2 3 2 2 2 2" xfId="10838"/>
    <cellStyle name="Percent 7 2 2 2 2 3 2 2 2 2 2" xfId="14432"/>
    <cellStyle name="Percent 7 2 2 2 2 3 2 2 2 2 3" xfId="16433"/>
    <cellStyle name="Percent 7 2 2 2 2 3 2 2 2 3" xfId="13379"/>
    <cellStyle name="Percent 7 2 2 2 2 3 2 2 2 4" xfId="16432"/>
    <cellStyle name="Percent 7 2 2 2 2 3 2 2 3" xfId="10300"/>
    <cellStyle name="Percent 7 2 2 2 2 3 2 2 3 2" xfId="13894"/>
    <cellStyle name="Percent 7 2 2 2 2 3 2 2 3 3" xfId="16434"/>
    <cellStyle name="Percent 7 2 2 2 2 3 2 2 4" xfId="11148"/>
    <cellStyle name="Percent 7 2 2 2 2 3 2 2 4 2" xfId="14740"/>
    <cellStyle name="Percent 7 2 2 2 2 3 2 2 4 3" xfId="16435"/>
    <cellStyle name="Percent 7 2 2 2 2 3 2 2 5" xfId="12841"/>
    <cellStyle name="Percent 7 2 2 2 2 3 2 2 6" xfId="16431"/>
    <cellStyle name="Percent 7 2 2 2 2 3 2 3" xfId="9528"/>
    <cellStyle name="Percent 7 2 2 2 2 3 2 3 2" xfId="10582"/>
    <cellStyle name="Percent 7 2 2 2 2 3 2 3 2 2" xfId="14176"/>
    <cellStyle name="Percent 7 2 2 2 2 3 2 3 2 3" xfId="16437"/>
    <cellStyle name="Percent 7 2 2 2 2 3 2 3 3" xfId="13123"/>
    <cellStyle name="Percent 7 2 2 2 2 3 2 3 4" xfId="16436"/>
    <cellStyle name="Percent 7 2 2 2 2 3 2 4" xfId="10044"/>
    <cellStyle name="Percent 7 2 2 2 2 3 2 4 2" xfId="13638"/>
    <cellStyle name="Percent 7 2 2 2 2 3 2 4 3" xfId="16438"/>
    <cellStyle name="Percent 7 2 2 2 2 3 2 5" xfId="11147"/>
    <cellStyle name="Percent 7 2 2 2 2 3 2 5 2" xfId="14739"/>
    <cellStyle name="Percent 7 2 2 2 2 3 2 5 3" xfId="16439"/>
    <cellStyle name="Percent 7 2 2 2 2 3 2 6" xfId="12585"/>
    <cellStyle name="Percent 7 2 2 2 2 3 2 7" xfId="16430"/>
    <cellStyle name="Percent 7 2 2 2 2 3 3" xfId="9088"/>
    <cellStyle name="Percent 7 2 2 2 2 3 3 2" xfId="9656"/>
    <cellStyle name="Percent 7 2 2 2 2 3 3 2 2" xfId="10710"/>
    <cellStyle name="Percent 7 2 2 2 2 3 3 2 2 2" xfId="14304"/>
    <cellStyle name="Percent 7 2 2 2 2 3 3 2 2 3" xfId="16442"/>
    <cellStyle name="Percent 7 2 2 2 2 3 3 2 3" xfId="13251"/>
    <cellStyle name="Percent 7 2 2 2 2 3 3 2 4" xfId="16441"/>
    <cellStyle name="Percent 7 2 2 2 2 3 3 3" xfId="10172"/>
    <cellStyle name="Percent 7 2 2 2 2 3 3 3 2" xfId="13766"/>
    <cellStyle name="Percent 7 2 2 2 2 3 3 3 3" xfId="16443"/>
    <cellStyle name="Percent 7 2 2 2 2 3 3 4" xfId="11149"/>
    <cellStyle name="Percent 7 2 2 2 2 3 3 4 2" xfId="14741"/>
    <cellStyle name="Percent 7 2 2 2 2 3 3 4 3" xfId="16444"/>
    <cellStyle name="Percent 7 2 2 2 2 3 3 5" xfId="12713"/>
    <cellStyle name="Percent 7 2 2 2 2 3 3 6" xfId="16440"/>
    <cellStyle name="Percent 7 2 2 2 2 3 4" xfId="9400"/>
    <cellStyle name="Percent 7 2 2 2 2 3 4 2" xfId="10454"/>
    <cellStyle name="Percent 7 2 2 2 2 3 4 2 2" xfId="14048"/>
    <cellStyle name="Percent 7 2 2 2 2 3 4 2 3" xfId="16446"/>
    <cellStyle name="Percent 7 2 2 2 2 3 4 3" xfId="12995"/>
    <cellStyle name="Percent 7 2 2 2 2 3 4 4" xfId="16445"/>
    <cellStyle name="Percent 7 2 2 2 2 3 5" xfId="9916"/>
    <cellStyle name="Percent 7 2 2 2 2 3 5 2" xfId="13510"/>
    <cellStyle name="Percent 7 2 2 2 2 3 5 3" xfId="16447"/>
    <cellStyle name="Percent 7 2 2 2 2 3 6" xfId="11146"/>
    <cellStyle name="Percent 7 2 2 2 2 3 6 2" xfId="14738"/>
    <cellStyle name="Percent 7 2 2 2 2 3 6 3" xfId="16448"/>
    <cellStyle name="Percent 7 2 2 2 2 3 7" xfId="12457"/>
    <cellStyle name="Percent 7 2 2 2 2 3 8" xfId="16429"/>
    <cellStyle name="Percent 7 2 2 2 2 4" xfId="8864"/>
    <cellStyle name="Percent 7 2 2 2 2 4 2" xfId="8992"/>
    <cellStyle name="Percent 7 2 2 2 2 4 2 2" xfId="9248"/>
    <cellStyle name="Percent 7 2 2 2 2 4 2 2 2" xfId="9816"/>
    <cellStyle name="Percent 7 2 2 2 2 4 2 2 2 2" xfId="10870"/>
    <cellStyle name="Percent 7 2 2 2 2 4 2 2 2 2 2" xfId="14464"/>
    <cellStyle name="Percent 7 2 2 2 2 4 2 2 2 2 3" xfId="16453"/>
    <cellStyle name="Percent 7 2 2 2 2 4 2 2 2 3" xfId="13411"/>
    <cellStyle name="Percent 7 2 2 2 2 4 2 2 2 4" xfId="16452"/>
    <cellStyle name="Percent 7 2 2 2 2 4 2 2 3" xfId="10332"/>
    <cellStyle name="Percent 7 2 2 2 2 4 2 2 3 2" xfId="13926"/>
    <cellStyle name="Percent 7 2 2 2 2 4 2 2 3 3" xfId="16454"/>
    <cellStyle name="Percent 7 2 2 2 2 4 2 2 4" xfId="11152"/>
    <cellStyle name="Percent 7 2 2 2 2 4 2 2 4 2" xfId="14744"/>
    <cellStyle name="Percent 7 2 2 2 2 4 2 2 4 3" xfId="16455"/>
    <cellStyle name="Percent 7 2 2 2 2 4 2 2 5" xfId="12873"/>
    <cellStyle name="Percent 7 2 2 2 2 4 2 2 6" xfId="16451"/>
    <cellStyle name="Percent 7 2 2 2 2 4 2 3" xfId="9560"/>
    <cellStyle name="Percent 7 2 2 2 2 4 2 3 2" xfId="10614"/>
    <cellStyle name="Percent 7 2 2 2 2 4 2 3 2 2" xfId="14208"/>
    <cellStyle name="Percent 7 2 2 2 2 4 2 3 2 3" xfId="16457"/>
    <cellStyle name="Percent 7 2 2 2 2 4 2 3 3" xfId="13155"/>
    <cellStyle name="Percent 7 2 2 2 2 4 2 3 4" xfId="16456"/>
    <cellStyle name="Percent 7 2 2 2 2 4 2 4" xfId="10076"/>
    <cellStyle name="Percent 7 2 2 2 2 4 2 4 2" xfId="13670"/>
    <cellStyle name="Percent 7 2 2 2 2 4 2 4 3" xfId="16458"/>
    <cellStyle name="Percent 7 2 2 2 2 4 2 5" xfId="11151"/>
    <cellStyle name="Percent 7 2 2 2 2 4 2 5 2" xfId="14743"/>
    <cellStyle name="Percent 7 2 2 2 2 4 2 5 3" xfId="16459"/>
    <cellStyle name="Percent 7 2 2 2 2 4 2 6" xfId="12617"/>
    <cellStyle name="Percent 7 2 2 2 2 4 2 7" xfId="16450"/>
    <cellStyle name="Percent 7 2 2 2 2 4 3" xfId="9120"/>
    <cellStyle name="Percent 7 2 2 2 2 4 3 2" xfId="9688"/>
    <cellStyle name="Percent 7 2 2 2 2 4 3 2 2" xfId="10742"/>
    <cellStyle name="Percent 7 2 2 2 2 4 3 2 2 2" xfId="14336"/>
    <cellStyle name="Percent 7 2 2 2 2 4 3 2 2 3" xfId="16462"/>
    <cellStyle name="Percent 7 2 2 2 2 4 3 2 3" xfId="13283"/>
    <cellStyle name="Percent 7 2 2 2 2 4 3 2 4" xfId="16461"/>
    <cellStyle name="Percent 7 2 2 2 2 4 3 3" xfId="10204"/>
    <cellStyle name="Percent 7 2 2 2 2 4 3 3 2" xfId="13798"/>
    <cellStyle name="Percent 7 2 2 2 2 4 3 3 3" xfId="16463"/>
    <cellStyle name="Percent 7 2 2 2 2 4 3 4" xfId="11153"/>
    <cellStyle name="Percent 7 2 2 2 2 4 3 4 2" xfId="14745"/>
    <cellStyle name="Percent 7 2 2 2 2 4 3 4 3" xfId="16464"/>
    <cellStyle name="Percent 7 2 2 2 2 4 3 5" xfId="12745"/>
    <cellStyle name="Percent 7 2 2 2 2 4 3 6" xfId="16460"/>
    <cellStyle name="Percent 7 2 2 2 2 4 4" xfId="9432"/>
    <cellStyle name="Percent 7 2 2 2 2 4 4 2" xfId="10486"/>
    <cellStyle name="Percent 7 2 2 2 2 4 4 2 2" xfId="14080"/>
    <cellStyle name="Percent 7 2 2 2 2 4 4 2 3" xfId="16466"/>
    <cellStyle name="Percent 7 2 2 2 2 4 4 3" xfId="13027"/>
    <cellStyle name="Percent 7 2 2 2 2 4 4 4" xfId="16465"/>
    <cellStyle name="Percent 7 2 2 2 2 4 5" xfId="9948"/>
    <cellStyle name="Percent 7 2 2 2 2 4 5 2" xfId="13542"/>
    <cellStyle name="Percent 7 2 2 2 2 4 5 3" xfId="16467"/>
    <cellStyle name="Percent 7 2 2 2 2 4 6" xfId="11150"/>
    <cellStyle name="Percent 7 2 2 2 2 4 6 2" xfId="14742"/>
    <cellStyle name="Percent 7 2 2 2 2 4 6 3" xfId="16468"/>
    <cellStyle name="Percent 7 2 2 2 2 4 7" xfId="12489"/>
    <cellStyle name="Percent 7 2 2 2 2 4 8" xfId="16449"/>
    <cellStyle name="Percent 7 2 2 2 2 5" xfId="8885"/>
    <cellStyle name="Percent 7 2 2 2 2 5 2" xfId="9141"/>
    <cellStyle name="Percent 7 2 2 2 2 5 2 2" xfId="9709"/>
    <cellStyle name="Percent 7 2 2 2 2 5 2 2 2" xfId="10763"/>
    <cellStyle name="Percent 7 2 2 2 2 5 2 2 2 2" xfId="14357"/>
    <cellStyle name="Percent 7 2 2 2 2 5 2 2 2 3" xfId="16472"/>
    <cellStyle name="Percent 7 2 2 2 2 5 2 2 3" xfId="13304"/>
    <cellStyle name="Percent 7 2 2 2 2 5 2 2 4" xfId="16471"/>
    <cellStyle name="Percent 7 2 2 2 2 5 2 3" xfId="10225"/>
    <cellStyle name="Percent 7 2 2 2 2 5 2 3 2" xfId="13819"/>
    <cellStyle name="Percent 7 2 2 2 2 5 2 3 3" xfId="16473"/>
    <cellStyle name="Percent 7 2 2 2 2 5 2 4" xfId="11155"/>
    <cellStyle name="Percent 7 2 2 2 2 5 2 4 2" xfId="14747"/>
    <cellStyle name="Percent 7 2 2 2 2 5 2 4 3" xfId="16474"/>
    <cellStyle name="Percent 7 2 2 2 2 5 2 5" xfId="12766"/>
    <cellStyle name="Percent 7 2 2 2 2 5 2 6" xfId="16470"/>
    <cellStyle name="Percent 7 2 2 2 2 5 3" xfId="9453"/>
    <cellStyle name="Percent 7 2 2 2 2 5 3 2" xfId="10507"/>
    <cellStyle name="Percent 7 2 2 2 2 5 3 2 2" xfId="14101"/>
    <cellStyle name="Percent 7 2 2 2 2 5 3 2 3" xfId="16476"/>
    <cellStyle name="Percent 7 2 2 2 2 5 3 3" xfId="13048"/>
    <cellStyle name="Percent 7 2 2 2 2 5 3 4" xfId="16475"/>
    <cellStyle name="Percent 7 2 2 2 2 5 4" xfId="9969"/>
    <cellStyle name="Percent 7 2 2 2 2 5 4 2" xfId="13563"/>
    <cellStyle name="Percent 7 2 2 2 2 5 4 3" xfId="16477"/>
    <cellStyle name="Percent 7 2 2 2 2 5 5" xfId="11154"/>
    <cellStyle name="Percent 7 2 2 2 2 5 5 2" xfId="14746"/>
    <cellStyle name="Percent 7 2 2 2 2 5 5 3" xfId="16478"/>
    <cellStyle name="Percent 7 2 2 2 2 5 6" xfId="12510"/>
    <cellStyle name="Percent 7 2 2 2 2 5 7" xfId="16469"/>
    <cellStyle name="Percent 7 2 2 2 2 6" xfId="9013"/>
    <cellStyle name="Percent 7 2 2 2 2 6 2" xfId="9581"/>
    <cellStyle name="Percent 7 2 2 2 2 6 2 2" xfId="10635"/>
    <cellStyle name="Percent 7 2 2 2 2 6 2 2 2" xfId="14229"/>
    <cellStyle name="Percent 7 2 2 2 2 6 2 2 3" xfId="16481"/>
    <cellStyle name="Percent 7 2 2 2 2 6 2 3" xfId="13176"/>
    <cellStyle name="Percent 7 2 2 2 2 6 2 4" xfId="16480"/>
    <cellStyle name="Percent 7 2 2 2 2 6 3" xfId="10097"/>
    <cellStyle name="Percent 7 2 2 2 2 6 3 2" xfId="13691"/>
    <cellStyle name="Percent 7 2 2 2 2 6 3 3" xfId="16482"/>
    <cellStyle name="Percent 7 2 2 2 2 6 4" xfId="11156"/>
    <cellStyle name="Percent 7 2 2 2 2 6 4 2" xfId="14748"/>
    <cellStyle name="Percent 7 2 2 2 2 6 4 3" xfId="16483"/>
    <cellStyle name="Percent 7 2 2 2 2 6 5" xfId="12638"/>
    <cellStyle name="Percent 7 2 2 2 2 6 6" xfId="16479"/>
    <cellStyle name="Percent 7 2 2 2 2 7" xfId="9325"/>
    <cellStyle name="Percent 7 2 2 2 2 7 2" xfId="10379"/>
    <cellStyle name="Percent 7 2 2 2 2 7 2 2" xfId="13973"/>
    <cellStyle name="Percent 7 2 2 2 2 7 2 3" xfId="16485"/>
    <cellStyle name="Percent 7 2 2 2 2 7 3" xfId="12920"/>
    <cellStyle name="Percent 7 2 2 2 2 7 4" xfId="16484"/>
    <cellStyle name="Percent 7 2 2 2 2 8" xfId="9841"/>
    <cellStyle name="Percent 7 2 2 2 2 8 2" xfId="13435"/>
    <cellStyle name="Percent 7 2 2 2 2 8 3" xfId="16486"/>
    <cellStyle name="Percent 7 2 2 2 2 9" xfId="11141"/>
    <cellStyle name="Percent 7 2 2 2 2 9 2" xfId="14733"/>
    <cellStyle name="Percent 7 2 2 2 2 9 3" xfId="16487"/>
    <cellStyle name="Percent 7 2 2 2 3" xfId="8784"/>
    <cellStyle name="Percent 7 2 2 2 3 2" xfId="8912"/>
    <cellStyle name="Percent 7 2 2 2 3 2 2" xfId="9168"/>
    <cellStyle name="Percent 7 2 2 2 3 2 2 2" xfId="9736"/>
    <cellStyle name="Percent 7 2 2 2 3 2 2 2 2" xfId="10790"/>
    <cellStyle name="Percent 7 2 2 2 3 2 2 2 2 2" xfId="14384"/>
    <cellStyle name="Percent 7 2 2 2 3 2 2 2 2 3" xfId="16492"/>
    <cellStyle name="Percent 7 2 2 2 3 2 2 2 3" xfId="13331"/>
    <cellStyle name="Percent 7 2 2 2 3 2 2 2 4" xfId="16491"/>
    <cellStyle name="Percent 7 2 2 2 3 2 2 3" xfId="10252"/>
    <cellStyle name="Percent 7 2 2 2 3 2 2 3 2" xfId="13846"/>
    <cellStyle name="Percent 7 2 2 2 3 2 2 3 3" xfId="16493"/>
    <cellStyle name="Percent 7 2 2 2 3 2 2 4" xfId="11159"/>
    <cellStyle name="Percent 7 2 2 2 3 2 2 4 2" xfId="14751"/>
    <cellStyle name="Percent 7 2 2 2 3 2 2 4 3" xfId="16494"/>
    <cellStyle name="Percent 7 2 2 2 3 2 2 5" xfId="12793"/>
    <cellStyle name="Percent 7 2 2 2 3 2 2 6" xfId="16490"/>
    <cellStyle name="Percent 7 2 2 2 3 2 3" xfId="9480"/>
    <cellStyle name="Percent 7 2 2 2 3 2 3 2" xfId="10534"/>
    <cellStyle name="Percent 7 2 2 2 3 2 3 2 2" xfId="14128"/>
    <cellStyle name="Percent 7 2 2 2 3 2 3 2 3" xfId="16496"/>
    <cellStyle name="Percent 7 2 2 2 3 2 3 3" xfId="13075"/>
    <cellStyle name="Percent 7 2 2 2 3 2 3 4" xfId="16495"/>
    <cellStyle name="Percent 7 2 2 2 3 2 4" xfId="9996"/>
    <cellStyle name="Percent 7 2 2 2 3 2 4 2" xfId="13590"/>
    <cellStyle name="Percent 7 2 2 2 3 2 4 3" xfId="16497"/>
    <cellStyle name="Percent 7 2 2 2 3 2 5" xfId="11158"/>
    <cellStyle name="Percent 7 2 2 2 3 2 5 2" xfId="14750"/>
    <cellStyle name="Percent 7 2 2 2 3 2 5 3" xfId="16498"/>
    <cellStyle name="Percent 7 2 2 2 3 2 6" xfId="12537"/>
    <cellStyle name="Percent 7 2 2 2 3 2 6 2" xfId="41289"/>
    <cellStyle name="Percent 7 2 2 2 3 2 7" xfId="16489"/>
    <cellStyle name="Percent 7 2 2 2 3 3" xfId="9040"/>
    <cellStyle name="Percent 7 2 2 2 3 3 2" xfId="9608"/>
    <cellStyle name="Percent 7 2 2 2 3 3 2 2" xfId="10662"/>
    <cellStyle name="Percent 7 2 2 2 3 3 2 2 2" xfId="14256"/>
    <cellStyle name="Percent 7 2 2 2 3 3 2 2 3" xfId="16501"/>
    <cellStyle name="Percent 7 2 2 2 3 3 2 3" xfId="13203"/>
    <cellStyle name="Percent 7 2 2 2 3 3 2 4" xfId="16500"/>
    <cellStyle name="Percent 7 2 2 2 3 3 3" xfId="10124"/>
    <cellStyle name="Percent 7 2 2 2 3 3 3 2" xfId="13718"/>
    <cellStyle name="Percent 7 2 2 2 3 3 3 3" xfId="16502"/>
    <cellStyle name="Percent 7 2 2 2 3 3 4" xfId="11160"/>
    <cellStyle name="Percent 7 2 2 2 3 3 4 2" xfId="14752"/>
    <cellStyle name="Percent 7 2 2 2 3 3 4 3" xfId="16503"/>
    <cellStyle name="Percent 7 2 2 2 3 3 5" xfId="12665"/>
    <cellStyle name="Percent 7 2 2 2 3 3 6" xfId="16499"/>
    <cellStyle name="Percent 7 2 2 2 3 4" xfId="9352"/>
    <cellStyle name="Percent 7 2 2 2 3 4 2" xfId="10406"/>
    <cellStyle name="Percent 7 2 2 2 3 4 2 2" xfId="14000"/>
    <cellStyle name="Percent 7 2 2 2 3 4 2 3" xfId="16505"/>
    <cellStyle name="Percent 7 2 2 2 3 4 3" xfId="12947"/>
    <cellStyle name="Percent 7 2 2 2 3 4 4" xfId="16504"/>
    <cellStyle name="Percent 7 2 2 2 3 5" xfId="9868"/>
    <cellStyle name="Percent 7 2 2 2 3 5 2" xfId="13462"/>
    <cellStyle name="Percent 7 2 2 2 3 5 3" xfId="16506"/>
    <cellStyle name="Percent 7 2 2 2 3 6" xfId="11157"/>
    <cellStyle name="Percent 7 2 2 2 3 6 2" xfId="14749"/>
    <cellStyle name="Percent 7 2 2 2 3 6 3" xfId="16507"/>
    <cellStyle name="Percent 7 2 2 2 3 7" xfId="12409"/>
    <cellStyle name="Percent 7 2 2 2 3 7 2" xfId="41288"/>
    <cellStyle name="Percent 7 2 2 2 3 8" xfId="16488"/>
    <cellStyle name="Percent 7 2 2 2 4" xfId="8816"/>
    <cellStyle name="Percent 7 2 2 2 4 2" xfId="8944"/>
    <cellStyle name="Percent 7 2 2 2 4 2 2" xfId="9200"/>
    <cellStyle name="Percent 7 2 2 2 4 2 2 2" xfId="9768"/>
    <cellStyle name="Percent 7 2 2 2 4 2 2 2 2" xfId="10822"/>
    <cellStyle name="Percent 7 2 2 2 4 2 2 2 2 2" xfId="14416"/>
    <cellStyle name="Percent 7 2 2 2 4 2 2 2 2 3" xfId="16512"/>
    <cellStyle name="Percent 7 2 2 2 4 2 2 2 3" xfId="13363"/>
    <cellStyle name="Percent 7 2 2 2 4 2 2 2 4" xfId="16511"/>
    <cellStyle name="Percent 7 2 2 2 4 2 2 3" xfId="10284"/>
    <cellStyle name="Percent 7 2 2 2 4 2 2 3 2" xfId="13878"/>
    <cellStyle name="Percent 7 2 2 2 4 2 2 3 3" xfId="16513"/>
    <cellStyle name="Percent 7 2 2 2 4 2 2 4" xfId="11163"/>
    <cellStyle name="Percent 7 2 2 2 4 2 2 4 2" xfId="14755"/>
    <cellStyle name="Percent 7 2 2 2 4 2 2 4 3" xfId="16514"/>
    <cellStyle name="Percent 7 2 2 2 4 2 2 5" xfId="12825"/>
    <cellStyle name="Percent 7 2 2 2 4 2 2 6" xfId="16510"/>
    <cellStyle name="Percent 7 2 2 2 4 2 3" xfId="9512"/>
    <cellStyle name="Percent 7 2 2 2 4 2 3 2" xfId="10566"/>
    <cellStyle name="Percent 7 2 2 2 4 2 3 2 2" xfId="14160"/>
    <cellStyle name="Percent 7 2 2 2 4 2 3 2 3" xfId="16516"/>
    <cellStyle name="Percent 7 2 2 2 4 2 3 3" xfId="13107"/>
    <cellStyle name="Percent 7 2 2 2 4 2 3 4" xfId="16515"/>
    <cellStyle name="Percent 7 2 2 2 4 2 4" xfId="10028"/>
    <cellStyle name="Percent 7 2 2 2 4 2 4 2" xfId="13622"/>
    <cellStyle name="Percent 7 2 2 2 4 2 4 3" xfId="16517"/>
    <cellStyle name="Percent 7 2 2 2 4 2 5" xfId="11162"/>
    <cellStyle name="Percent 7 2 2 2 4 2 5 2" xfId="14754"/>
    <cellStyle name="Percent 7 2 2 2 4 2 5 3" xfId="16518"/>
    <cellStyle name="Percent 7 2 2 2 4 2 6" xfId="12569"/>
    <cellStyle name="Percent 7 2 2 2 4 2 6 2" xfId="41291"/>
    <cellStyle name="Percent 7 2 2 2 4 2 7" xfId="16509"/>
    <cellStyle name="Percent 7 2 2 2 4 3" xfId="9072"/>
    <cellStyle name="Percent 7 2 2 2 4 3 2" xfId="9640"/>
    <cellStyle name="Percent 7 2 2 2 4 3 2 2" xfId="10694"/>
    <cellStyle name="Percent 7 2 2 2 4 3 2 2 2" xfId="14288"/>
    <cellStyle name="Percent 7 2 2 2 4 3 2 2 3" xfId="16521"/>
    <cellStyle name="Percent 7 2 2 2 4 3 2 3" xfId="13235"/>
    <cellStyle name="Percent 7 2 2 2 4 3 2 4" xfId="16520"/>
    <cellStyle name="Percent 7 2 2 2 4 3 3" xfId="10156"/>
    <cellStyle name="Percent 7 2 2 2 4 3 3 2" xfId="13750"/>
    <cellStyle name="Percent 7 2 2 2 4 3 3 3" xfId="16522"/>
    <cellStyle name="Percent 7 2 2 2 4 3 4" xfId="11164"/>
    <cellStyle name="Percent 7 2 2 2 4 3 4 2" xfId="14756"/>
    <cellStyle name="Percent 7 2 2 2 4 3 4 3" xfId="16523"/>
    <cellStyle name="Percent 7 2 2 2 4 3 5" xfId="12697"/>
    <cellStyle name="Percent 7 2 2 2 4 3 6" xfId="16519"/>
    <cellStyle name="Percent 7 2 2 2 4 4" xfId="9384"/>
    <cellStyle name="Percent 7 2 2 2 4 4 2" xfId="10438"/>
    <cellStyle name="Percent 7 2 2 2 4 4 2 2" xfId="14032"/>
    <cellStyle name="Percent 7 2 2 2 4 4 2 3" xfId="16525"/>
    <cellStyle name="Percent 7 2 2 2 4 4 3" xfId="12979"/>
    <cellStyle name="Percent 7 2 2 2 4 4 4" xfId="16524"/>
    <cellStyle name="Percent 7 2 2 2 4 5" xfId="9900"/>
    <cellStyle name="Percent 7 2 2 2 4 5 2" xfId="13494"/>
    <cellStyle name="Percent 7 2 2 2 4 5 3" xfId="16526"/>
    <cellStyle name="Percent 7 2 2 2 4 6" xfId="11161"/>
    <cellStyle name="Percent 7 2 2 2 4 6 2" xfId="14753"/>
    <cellStyle name="Percent 7 2 2 2 4 6 3" xfId="16527"/>
    <cellStyle name="Percent 7 2 2 2 4 7" xfId="12441"/>
    <cellStyle name="Percent 7 2 2 2 4 7 2" xfId="41290"/>
    <cellStyle name="Percent 7 2 2 2 4 8" xfId="16508"/>
    <cellStyle name="Percent 7 2 2 2 5" xfId="8848"/>
    <cellStyle name="Percent 7 2 2 2 5 2" xfId="8976"/>
    <cellStyle name="Percent 7 2 2 2 5 2 2" xfId="9232"/>
    <cellStyle name="Percent 7 2 2 2 5 2 2 2" xfId="9800"/>
    <cellStyle name="Percent 7 2 2 2 5 2 2 2 2" xfId="10854"/>
    <cellStyle name="Percent 7 2 2 2 5 2 2 2 2 2" xfId="14448"/>
    <cellStyle name="Percent 7 2 2 2 5 2 2 2 2 3" xfId="16532"/>
    <cellStyle name="Percent 7 2 2 2 5 2 2 2 3" xfId="13395"/>
    <cellStyle name="Percent 7 2 2 2 5 2 2 2 4" xfId="16531"/>
    <cellStyle name="Percent 7 2 2 2 5 2 2 3" xfId="10316"/>
    <cellStyle name="Percent 7 2 2 2 5 2 2 3 2" xfId="13910"/>
    <cellStyle name="Percent 7 2 2 2 5 2 2 3 3" xfId="16533"/>
    <cellStyle name="Percent 7 2 2 2 5 2 2 4" xfId="11167"/>
    <cellStyle name="Percent 7 2 2 2 5 2 2 4 2" xfId="14759"/>
    <cellStyle name="Percent 7 2 2 2 5 2 2 4 3" xfId="16534"/>
    <cellStyle name="Percent 7 2 2 2 5 2 2 5" xfId="12857"/>
    <cellStyle name="Percent 7 2 2 2 5 2 2 6" xfId="16530"/>
    <cellStyle name="Percent 7 2 2 2 5 2 3" xfId="9544"/>
    <cellStyle name="Percent 7 2 2 2 5 2 3 2" xfId="10598"/>
    <cellStyle name="Percent 7 2 2 2 5 2 3 2 2" xfId="14192"/>
    <cellStyle name="Percent 7 2 2 2 5 2 3 2 3" xfId="16536"/>
    <cellStyle name="Percent 7 2 2 2 5 2 3 3" xfId="13139"/>
    <cellStyle name="Percent 7 2 2 2 5 2 3 4" xfId="16535"/>
    <cellStyle name="Percent 7 2 2 2 5 2 4" xfId="10060"/>
    <cellStyle name="Percent 7 2 2 2 5 2 4 2" xfId="13654"/>
    <cellStyle name="Percent 7 2 2 2 5 2 4 3" xfId="16537"/>
    <cellStyle name="Percent 7 2 2 2 5 2 5" xfId="11166"/>
    <cellStyle name="Percent 7 2 2 2 5 2 5 2" xfId="14758"/>
    <cellStyle name="Percent 7 2 2 2 5 2 5 3" xfId="16538"/>
    <cellStyle name="Percent 7 2 2 2 5 2 6" xfId="12601"/>
    <cellStyle name="Percent 7 2 2 2 5 2 7" xfId="16529"/>
    <cellStyle name="Percent 7 2 2 2 5 3" xfId="9104"/>
    <cellStyle name="Percent 7 2 2 2 5 3 2" xfId="9672"/>
    <cellStyle name="Percent 7 2 2 2 5 3 2 2" xfId="10726"/>
    <cellStyle name="Percent 7 2 2 2 5 3 2 2 2" xfId="14320"/>
    <cellStyle name="Percent 7 2 2 2 5 3 2 2 3" xfId="16541"/>
    <cellStyle name="Percent 7 2 2 2 5 3 2 3" xfId="13267"/>
    <cellStyle name="Percent 7 2 2 2 5 3 2 4" xfId="16540"/>
    <cellStyle name="Percent 7 2 2 2 5 3 3" xfId="10188"/>
    <cellStyle name="Percent 7 2 2 2 5 3 3 2" xfId="13782"/>
    <cellStyle name="Percent 7 2 2 2 5 3 3 3" xfId="16542"/>
    <cellStyle name="Percent 7 2 2 2 5 3 4" xfId="11168"/>
    <cellStyle name="Percent 7 2 2 2 5 3 4 2" xfId="14760"/>
    <cellStyle name="Percent 7 2 2 2 5 3 4 3" xfId="16543"/>
    <cellStyle name="Percent 7 2 2 2 5 3 5" xfId="12729"/>
    <cellStyle name="Percent 7 2 2 2 5 3 6" xfId="16539"/>
    <cellStyle name="Percent 7 2 2 2 5 4" xfId="9416"/>
    <cellStyle name="Percent 7 2 2 2 5 4 2" xfId="10470"/>
    <cellStyle name="Percent 7 2 2 2 5 4 2 2" xfId="14064"/>
    <cellStyle name="Percent 7 2 2 2 5 4 2 3" xfId="16545"/>
    <cellStyle name="Percent 7 2 2 2 5 4 3" xfId="13011"/>
    <cellStyle name="Percent 7 2 2 2 5 4 4" xfId="16544"/>
    <cellStyle name="Percent 7 2 2 2 5 5" xfId="9932"/>
    <cellStyle name="Percent 7 2 2 2 5 5 2" xfId="13526"/>
    <cellStyle name="Percent 7 2 2 2 5 5 3" xfId="16546"/>
    <cellStyle name="Percent 7 2 2 2 5 6" xfId="11165"/>
    <cellStyle name="Percent 7 2 2 2 5 6 2" xfId="14757"/>
    <cellStyle name="Percent 7 2 2 2 5 6 3" xfId="16547"/>
    <cellStyle name="Percent 7 2 2 2 5 7" xfId="12473"/>
    <cellStyle name="Percent 7 2 2 2 5 7 2" xfId="41292"/>
    <cellStyle name="Percent 7 2 2 2 5 8" xfId="16528"/>
    <cellStyle name="Percent 7 2 2 2 6" xfId="8884"/>
    <cellStyle name="Percent 7 2 2 2 6 2" xfId="9140"/>
    <cellStyle name="Percent 7 2 2 2 6 2 2" xfId="9708"/>
    <cellStyle name="Percent 7 2 2 2 6 2 2 2" xfId="10762"/>
    <cellStyle name="Percent 7 2 2 2 6 2 2 2 2" xfId="14356"/>
    <cellStyle name="Percent 7 2 2 2 6 2 2 2 3" xfId="16551"/>
    <cellStyle name="Percent 7 2 2 2 6 2 2 3" xfId="13303"/>
    <cellStyle name="Percent 7 2 2 2 6 2 2 4" xfId="16550"/>
    <cellStyle name="Percent 7 2 2 2 6 2 3" xfId="10224"/>
    <cellStyle name="Percent 7 2 2 2 6 2 3 2" xfId="13818"/>
    <cellStyle name="Percent 7 2 2 2 6 2 3 3" xfId="16552"/>
    <cellStyle name="Percent 7 2 2 2 6 2 4" xfId="11170"/>
    <cellStyle name="Percent 7 2 2 2 6 2 4 2" xfId="14762"/>
    <cellStyle name="Percent 7 2 2 2 6 2 4 3" xfId="16553"/>
    <cellStyle name="Percent 7 2 2 2 6 2 5" xfId="12765"/>
    <cellStyle name="Percent 7 2 2 2 6 2 6" xfId="16549"/>
    <cellStyle name="Percent 7 2 2 2 6 3" xfId="9452"/>
    <cellStyle name="Percent 7 2 2 2 6 3 2" xfId="10506"/>
    <cellStyle name="Percent 7 2 2 2 6 3 2 2" xfId="14100"/>
    <cellStyle name="Percent 7 2 2 2 6 3 2 3" xfId="16555"/>
    <cellStyle name="Percent 7 2 2 2 6 3 3" xfId="13047"/>
    <cellStyle name="Percent 7 2 2 2 6 3 4" xfId="16554"/>
    <cellStyle name="Percent 7 2 2 2 6 4" xfId="9968"/>
    <cellStyle name="Percent 7 2 2 2 6 4 2" xfId="13562"/>
    <cellStyle name="Percent 7 2 2 2 6 4 3" xfId="16556"/>
    <cellStyle name="Percent 7 2 2 2 6 5" xfId="11169"/>
    <cellStyle name="Percent 7 2 2 2 6 5 2" xfId="14761"/>
    <cellStyle name="Percent 7 2 2 2 6 5 3" xfId="16557"/>
    <cellStyle name="Percent 7 2 2 2 6 6" xfId="12509"/>
    <cellStyle name="Percent 7 2 2 2 6 6 2" xfId="41293"/>
    <cellStyle name="Percent 7 2 2 2 6 7" xfId="16548"/>
    <cellStyle name="Percent 7 2 2 2 7" xfId="9012"/>
    <cellStyle name="Percent 7 2 2 2 7 2" xfId="9580"/>
    <cellStyle name="Percent 7 2 2 2 7 2 2" xfId="10634"/>
    <cellStyle name="Percent 7 2 2 2 7 2 2 2" xfId="14228"/>
    <cellStyle name="Percent 7 2 2 2 7 2 2 3" xfId="16560"/>
    <cellStyle name="Percent 7 2 2 2 7 2 3" xfId="13175"/>
    <cellStyle name="Percent 7 2 2 2 7 2 4" xfId="16559"/>
    <cellStyle name="Percent 7 2 2 2 7 3" xfId="10096"/>
    <cellStyle name="Percent 7 2 2 2 7 3 2" xfId="13690"/>
    <cellStyle name="Percent 7 2 2 2 7 3 3" xfId="16561"/>
    <cellStyle name="Percent 7 2 2 2 7 4" xfId="11171"/>
    <cellStyle name="Percent 7 2 2 2 7 4 2" xfId="14763"/>
    <cellStyle name="Percent 7 2 2 2 7 4 3" xfId="16562"/>
    <cellStyle name="Percent 7 2 2 2 7 5" xfId="12637"/>
    <cellStyle name="Percent 7 2 2 2 7 6" xfId="16558"/>
    <cellStyle name="Percent 7 2 2 2 8" xfId="9324"/>
    <cellStyle name="Percent 7 2 2 2 8 2" xfId="10378"/>
    <cellStyle name="Percent 7 2 2 2 8 2 2" xfId="13972"/>
    <cellStyle name="Percent 7 2 2 2 8 2 3" xfId="16564"/>
    <cellStyle name="Percent 7 2 2 2 8 3" xfId="12919"/>
    <cellStyle name="Percent 7 2 2 2 8 4" xfId="16563"/>
    <cellStyle name="Percent 7 2 2 2 9" xfId="9840"/>
    <cellStyle name="Percent 7 2 2 2 9 2" xfId="13434"/>
    <cellStyle name="Percent 7 2 2 2 9 3" xfId="16565"/>
    <cellStyle name="Percent 7 2 2 3" xfId="8755"/>
    <cellStyle name="Percent 7 2 2 3 10" xfId="12383"/>
    <cellStyle name="Percent 7 2 2 3 10 2" xfId="41294"/>
    <cellStyle name="Percent 7 2 2 3 11" xfId="16566"/>
    <cellStyle name="Percent 7 2 2 3 2" xfId="8792"/>
    <cellStyle name="Percent 7 2 2 3 2 2" xfId="8920"/>
    <cellStyle name="Percent 7 2 2 3 2 2 2" xfId="9176"/>
    <cellStyle name="Percent 7 2 2 3 2 2 2 2" xfId="9744"/>
    <cellStyle name="Percent 7 2 2 3 2 2 2 2 2" xfId="10798"/>
    <cellStyle name="Percent 7 2 2 3 2 2 2 2 2 2" xfId="14392"/>
    <cellStyle name="Percent 7 2 2 3 2 2 2 2 2 3" xfId="16571"/>
    <cellStyle name="Percent 7 2 2 3 2 2 2 2 3" xfId="13339"/>
    <cellStyle name="Percent 7 2 2 3 2 2 2 2 4" xfId="16570"/>
    <cellStyle name="Percent 7 2 2 3 2 2 2 3" xfId="10260"/>
    <cellStyle name="Percent 7 2 2 3 2 2 2 3 2" xfId="13854"/>
    <cellStyle name="Percent 7 2 2 3 2 2 2 3 3" xfId="16572"/>
    <cellStyle name="Percent 7 2 2 3 2 2 2 4" xfId="11175"/>
    <cellStyle name="Percent 7 2 2 3 2 2 2 4 2" xfId="14767"/>
    <cellStyle name="Percent 7 2 2 3 2 2 2 4 3" xfId="16573"/>
    <cellStyle name="Percent 7 2 2 3 2 2 2 5" xfId="12801"/>
    <cellStyle name="Percent 7 2 2 3 2 2 2 6" xfId="16569"/>
    <cellStyle name="Percent 7 2 2 3 2 2 3" xfId="9488"/>
    <cellStyle name="Percent 7 2 2 3 2 2 3 2" xfId="10542"/>
    <cellStyle name="Percent 7 2 2 3 2 2 3 2 2" xfId="14136"/>
    <cellStyle name="Percent 7 2 2 3 2 2 3 2 3" xfId="16575"/>
    <cellStyle name="Percent 7 2 2 3 2 2 3 3" xfId="13083"/>
    <cellStyle name="Percent 7 2 2 3 2 2 3 4" xfId="16574"/>
    <cellStyle name="Percent 7 2 2 3 2 2 4" xfId="10004"/>
    <cellStyle name="Percent 7 2 2 3 2 2 4 2" xfId="13598"/>
    <cellStyle name="Percent 7 2 2 3 2 2 4 3" xfId="16576"/>
    <cellStyle name="Percent 7 2 2 3 2 2 5" xfId="11174"/>
    <cellStyle name="Percent 7 2 2 3 2 2 5 2" xfId="14766"/>
    <cellStyle name="Percent 7 2 2 3 2 2 5 3" xfId="16577"/>
    <cellStyle name="Percent 7 2 2 3 2 2 6" xfId="12545"/>
    <cellStyle name="Percent 7 2 2 3 2 2 6 2" xfId="41296"/>
    <cellStyle name="Percent 7 2 2 3 2 2 7" xfId="16568"/>
    <cellStyle name="Percent 7 2 2 3 2 3" xfId="9048"/>
    <cellStyle name="Percent 7 2 2 3 2 3 2" xfId="9616"/>
    <cellStyle name="Percent 7 2 2 3 2 3 2 2" xfId="10670"/>
    <cellStyle name="Percent 7 2 2 3 2 3 2 2 2" xfId="14264"/>
    <cellStyle name="Percent 7 2 2 3 2 3 2 2 3" xfId="16580"/>
    <cellStyle name="Percent 7 2 2 3 2 3 2 3" xfId="13211"/>
    <cellStyle name="Percent 7 2 2 3 2 3 2 4" xfId="16579"/>
    <cellStyle name="Percent 7 2 2 3 2 3 3" xfId="10132"/>
    <cellStyle name="Percent 7 2 2 3 2 3 3 2" xfId="13726"/>
    <cellStyle name="Percent 7 2 2 3 2 3 3 3" xfId="16581"/>
    <cellStyle name="Percent 7 2 2 3 2 3 4" xfId="11176"/>
    <cellStyle name="Percent 7 2 2 3 2 3 4 2" xfId="14768"/>
    <cellStyle name="Percent 7 2 2 3 2 3 4 3" xfId="16582"/>
    <cellStyle name="Percent 7 2 2 3 2 3 5" xfId="12673"/>
    <cellStyle name="Percent 7 2 2 3 2 3 6" xfId="16578"/>
    <cellStyle name="Percent 7 2 2 3 2 4" xfId="9360"/>
    <cellStyle name="Percent 7 2 2 3 2 4 2" xfId="10414"/>
    <cellStyle name="Percent 7 2 2 3 2 4 2 2" xfId="14008"/>
    <cellStyle name="Percent 7 2 2 3 2 4 2 3" xfId="16584"/>
    <cellStyle name="Percent 7 2 2 3 2 4 3" xfId="12955"/>
    <cellStyle name="Percent 7 2 2 3 2 4 4" xfId="16583"/>
    <cellStyle name="Percent 7 2 2 3 2 5" xfId="9876"/>
    <cellStyle name="Percent 7 2 2 3 2 5 2" xfId="13470"/>
    <cellStyle name="Percent 7 2 2 3 2 5 3" xfId="16585"/>
    <cellStyle name="Percent 7 2 2 3 2 6" xfId="11173"/>
    <cellStyle name="Percent 7 2 2 3 2 6 2" xfId="14765"/>
    <cellStyle name="Percent 7 2 2 3 2 6 3" xfId="16586"/>
    <cellStyle name="Percent 7 2 2 3 2 7" xfId="12417"/>
    <cellStyle name="Percent 7 2 2 3 2 7 2" xfId="41295"/>
    <cellStyle name="Percent 7 2 2 3 2 8" xfId="16567"/>
    <cellStyle name="Percent 7 2 2 3 3" xfId="8824"/>
    <cellStyle name="Percent 7 2 2 3 3 2" xfId="8952"/>
    <cellStyle name="Percent 7 2 2 3 3 2 2" xfId="9208"/>
    <cellStyle name="Percent 7 2 2 3 3 2 2 2" xfId="9776"/>
    <cellStyle name="Percent 7 2 2 3 3 2 2 2 2" xfId="10830"/>
    <cellStyle name="Percent 7 2 2 3 3 2 2 2 2 2" xfId="14424"/>
    <cellStyle name="Percent 7 2 2 3 3 2 2 2 2 3" xfId="16591"/>
    <cellStyle name="Percent 7 2 2 3 3 2 2 2 3" xfId="13371"/>
    <cellStyle name="Percent 7 2 2 3 3 2 2 2 4" xfId="16590"/>
    <cellStyle name="Percent 7 2 2 3 3 2 2 3" xfId="10292"/>
    <cellStyle name="Percent 7 2 2 3 3 2 2 3 2" xfId="13886"/>
    <cellStyle name="Percent 7 2 2 3 3 2 2 3 3" xfId="16592"/>
    <cellStyle name="Percent 7 2 2 3 3 2 2 4" xfId="11179"/>
    <cellStyle name="Percent 7 2 2 3 3 2 2 4 2" xfId="14771"/>
    <cellStyle name="Percent 7 2 2 3 3 2 2 4 3" xfId="16593"/>
    <cellStyle name="Percent 7 2 2 3 3 2 2 5" xfId="12833"/>
    <cellStyle name="Percent 7 2 2 3 3 2 2 6" xfId="16589"/>
    <cellStyle name="Percent 7 2 2 3 3 2 3" xfId="9520"/>
    <cellStyle name="Percent 7 2 2 3 3 2 3 2" xfId="10574"/>
    <cellStyle name="Percent 7 2 2 3 3 2 3 2 2" xfId="14168"/>
    <cellStyle name="Percent 7 2 2 3 3 2 3 2 3" xfId="16595"/>
    <cellStyle name="Percent 7 2 2 3 3 2 3 3" xfId="13115"/>
    <cellStyle name="Percent 7 2 2 3 3 2 3 4" xfId="16594"/>
    <cellStyle name="Percent 7 2 2 3 3 2 4" xfId="10036"/>
    <cellStyle name="Percent 7 2 2 3 3 2 4 2" xfId="13630"/>
    <cellStyle name="Percent 7 2 2 3 3 2 4 3" xfId="16596"/>
    <cellStyle name="Percent 7 2 2 3 3 2 5" xfId="11178"/>
    <cellStyle name="Percent 7 2 2 3 3 2 5 2" xfId="14770"/>
    <cellStyle name="Percent 7 2 2 3 3 2 5 3" xfId="16597"/>
    <cellStyle name="Percent 7 2 2 3 3 2 6" xfId="12577"/>
    <cellStyle name="Percent 7 2 2 3 3 2 6 2" xfId="41298"/>
    <cellStyle name="Percent 7 2 2 3 3 2 7" xfId="16588"/>
    <cellStyle name="Percent 7 2 2 3 3 3" xfId="9080"/>
    <cellStyle name="Percent 7 2 2 3 3 3 2" xfId="9648"/>
    <cellStyle name="Percent 7 2 2 3 3 3 2 2" xfId="10702"/>
    <cellStyle name="Percent 7 2 2 3 3 3 2 2 2" xfId="14296"/>
    <cellStyle name="Percent 7 2 2 3 3 3 2 2 3" xfId="16600"/>
    <cellStyle name="Percent 7 2 2 3 3 3 2 3" xfId="13243"/>
    <cellStyle name="Percent 7 2 2 3 3 3 2 4" xfId="16599"/>
    <cellStyle name="Percent 7 2 2 3 3 3 3" xfId="10164"/>
    <cellStyle name="Percent 7 2 2 3 3 3 3 2" xfId="13758"/>
    <cellStyle name="Percent 7 2 2 3 3 3 3 3" xfId="16601"/>
    <cellStyle name="Percent 7 2 2 3 3 3 4" xfId="11180"/>
    <cellStyle name="Percent 7 2 2 3 3 3 4 2" xfId="14772"/>
    <cellStyle name="Percent 7 2 2 3 3 3 4 3" xfId="16602"/>
    <cellStyle name="Percent 7 2 2 3 3 3 5" xfId="12705"/>
    <cellStyle name="Percent 7 2 2 3 3 3 6" xfId="16598"/>
    <cellStyle name="Percent 7 2 2 3 3 4" xfId="9392"/>
    <cellStyle name="Percent 7 2 2 3 3 4 2" xfId="10446"/>
    <cellStyle name="Percent 7 2 2 3 3 4 2 2" xfId="14040"/>
    <cellStyle name="Percent 7 2 2 3 3 4 2 3" xfId="16604"/>
    <cellStyle name="Percent 7 2 2 3 3 4 3" xfId="12987"/>
    <cellStyle name="Percent 7 2 2 3 3 4 4" xfId="16603"/>
    <cellStyle name="Percent 7 2 2 3 3 5" xfId="9908"/>
    <cellStyle name="Percent 7 2 2 3 3 5 2" xfId="13502"/>
    <cellStyle name="Percent 7 2 2 3 3 5 3" xfId="16605"/>
    <cellStyle name="Percent 7 2 2 3 3 6" xfId="11177"/>
    <cellStyle name="Percent 7 2 2 3 3 6 2" xfId="14769"/>
    <cellStyle name="Percent 7 2 2 3 3 6 3" xfId="16606"/>
    <cellStyle name="Percent 7 2 2 3 3 7" xfId="12449"/>
    <cellStyle name="Percent 7 2 2 3 3 7 2" xfId="41297"/>
    <cellStyle name="Percent 7 2 2 3 3 8" xfId="16587"/>
    <cellStyle name="Percent 7 2 2 3 4" xfId="8856"/>
    <cellStyle name="Percent 7 2 2 3 4 2" xfId="8984"/>
    <cellStyle name="Percent 7 2 2 3 4 2 2" xfId="9240"/>
    <cellStyle name="Percent 7 2 2 3 4 2 2 2" xfId="9808"/>
    <cellStyle name="Percent 7 2 2 3 4 2 2 2 2" xfId="10862"/>
    <cellStyle name="Percent 7 2 2 3 4 2 2 2 2 2" xfId="14456"/>
    <cellStyle name="Percent 7 2 2 3 4 2 2 2 2 3" xfId="16611"/>
    <cellStyle name="Percent 7 2 2 3 4 2 2 2 3" xfId="13403"/>
    <cellStyle name="Percent 7 2 2 3 4 2 2 2 4" xfId="16610"/>
    <cellStyle name="Percent 7 2 2 3 4 2 2 3" xfId="10324"/>
    <cellStyle name="Percent 7 2 2 3 4 2 2 3 2" xfId="13918"/>
    <cellStyle name="Percent 7 2 2 3 4 2 2 3 3" xfId="16612"/>
    <cellStyle name="Percent 7 2 2 3 4 2 2 4" xfId="11183"/>
    <cellStyle name="Percent 7 2 2 3 4 2 2 4 2" xfId="14775"/>
    <cellStyle name="Percent 7 2 2 3 4 2 2 4 3" xfId="16613"/>
    <cellStyle name="Percent 7 2 2 3 4 2 2 5" xfId="12865"/>
    <cellStyle name="Percent 7 2 2 3 4 2 2 6" xfId="16609"/>
    <cellStyle name="Percent 7 2 2 3 4 2 3" xfId="9552"/>
    <cellStyle name="Percent 7 2 2 3 4 2 3 2" xfId="10606"/>
    <cellStyle name="Percent 7 2 2 3 4 2 3 2 2" xfId="14200"/>
    <cellStyle name="Percent 7 2 2 3 4 2 3 2 3" xfId="16615"/>
    <cellStyle name="Percent 7 2 2 3 4 2 3 3" xfId="13147"/>
    <cellStyle name="Percent 7 2 2 3 4 2 3 4" xfId="16614"/>
    <cellStyle name="Percent 7 2 2 3 4 2 4" xfId="10068"/>
    <cellStyle name="Percent 7 2 2 3 4 2 4 2" xfId="13662"/>
    <cellStyle name="Percent 7 2 2 3 4 2 4 3" xfId="16616"/>
    <cellStyle name="Percent 7 2 2 3 4 2 5" xfId="11182"/>
    <cellStyle name="Percent 7 2 2 3 4 2 5 2" xfId="14774"/>
    <cellStyle name="Percent 7 2 2 3 4 2 5 3" xfId="16617"/>
    <cellStyle name="Percent 7 2 2 3 4 2 6" xfId="12609"/>
    <cellStyle name="Percent 7 2 2 3 4 2 6 2" xfId="41300"/>
    <cellStyle name="Percent 7 2 2 3 4 2 7" xfId="16608"/>
    <cellStyle name="Percent 7 2 2 3 4 3" xfId="9112"/>
    <cellStyle name="Percent 7 2 2 3 4 3 2" xfId="9680"/>
    <cellStyle name="Percent 7 2 2 3 4 3 2 2" xfId="10734"/>
    <cellStyle name="Percent 7 2 2 3 4 3 2 2 2" xfId="14328"/>
    <cellStyle name="Percent 7 2 2 3 4 3 2 2 3" xfId="16620"/>
    <cellStyle name="Percent 7 2 2 3 4 3 2 3" xfId="13275"/>
    <cellStyle name="Percent 7 2 2 3 4 3 2 4" xfId="16619"/>
    <cellStyle name="Percent 7 2 2 3 4 3 3" xfId="10196"/>
    <cellStyle name="Percent 7 2 2 3 4 3 3 2" xfId="13790"/>
    <cellStyle name="Percent 7 2 2 3 4 3 3 3" xfId="16621"/>
    <cellStyle name="Percent 7 2 2 3 4 3 4" xfId="11184"/>
    <cellStyle name="Percent 7 2 2 3 4 3 4 2" xfId="14776"/>
    <cellStyle name="Percent 7 2 2 3 4 3 4 3" xfId="16622"/>
    <cellStyle name="Percent 7 2 2 3 4 3 5" xfId="12737"/>
    <cellStyle name="Percent 7 2 2 3 4 3 6" xfId="16618"/>
    <cellStyle name="Percent 7 2 2 3 4 4" xfId="9424"/>
    <cellStyle name="Percent 7 2 2 3 4 4 2" xfId="10478"/>
    <cellStyle name="Percent 7 2 2 3 4 4 2 2" xfId="14072"/>
    <cellStyle name="Percent 7 2 2 3 4 4 2 3" xfId="16624"/>
    <cellStyle name="Percent 7 2 2 3 4 4 3" xfId="13019"/>
    <cellStyle name="Percent 7 2 2 3 4 4 4" xfId="16623"/>
    <cellStyle name="Percent 7 2 2 3 4 5" xfId="9940"/>
    <cellStyle name="Percent 7 2 2 3 4 5 2" xfId="13534"/>
    <cellStyle name="Percent 7 2 2 3 4 5 3" xfId="16625"/>
    <cellStyle name="Percent 7 2 2 3 4 6" xfId="11181"/>
    <cellStyle name="Percent 7 2 2 3 4 6 2" xfId="14773"/>
    <cellStyle name="Percent 7 2 2 3 4 6 3" xfId="16626"/>
    <cellStyle name="Percent 7 2 2 3 4 7" xfId="12481"/>
    <cellStyle name="Percent 7 2 2 3 4 7 2" xfId="41299"/>
    <cellStyle name="Percent 7 2 2 3 4 8" xfId="16607"/>
    <cellStyle name="Percent 7 2 2 3 5" xfId="8886"/>
    <cellStyle name="Percent 7 2 2 3 5 2" xfId="9142"/>
    <cellStyle name="Percent 7 2 2 3 5 2 2" xfId="9710"/>
    <cellStyle name="Percent 7 2 2 3 5 2 2 2" xfId="10764"/>
    <cellStyle name="Percent 7 2 2 3 5 2 2 2 2" xfId="14358"/>
    <cellStyle name="Percent 7 2 2 3 5 2 2 2 3" xfId="16630"/>
    <cellStyle name="Percent 7 2 2 3 5 2 2 3" xfId="13305"/>
    <cellStyle name="Percent 7 2 2 3 5 2 2 4" xfId="16629"/>
    <cellStyle name="Percent 7 2 2 3 5 2 3" xfId="10226"/>
    <cellStyle name="Percent 7 2 2 3 5 2 3 2" xfId="13820"/>
    <cellStyle name="Percent 7 2 2 3 5 2 3 3" xfId="16631"/>
    <cellStyle name="Percent 7 2 2 3 5 2 4" xfId="11186"/>
    <cellStyle name="Percent 7 2 2 3 5 2 4 2" xfId="14778"/>
    <cellStyle name="Percent 7 2 2 3 5 2 4 3" xfId="16632"/>
    <cellStyle name="Percent 7 2 2 3 5 2 5" xfId="12767"/>
    <cellStyle name="Percent 7 2 2 3 5 2 6" xfId="16628"/>
    <cellStyle name="Percent 7 2 2 3 5 3" xfId="9454"/>
    <cellStyle name="Percent 7 2 2 3 5 3 2" xfId="10508"/>
    <cellStyle name="Percent 7 2 2 3 5 3 2 2" xfId="14102"/>
    <cellStyle name="Percent 7 2 2 3 5 3 2 3" xfId="16634"/>
    <cellStyle name="Percent 7 2 2 3 5 3 3" xfId="13049"/>
    <cellStyle name="Percent 7 2 2 3 5 3 4" xfId="16633"/>
    <cellStyle name="Percent 7 2 2 3 5 4" xfId="9970"/>
    <cellStyle name="Percent 7 2 2 3 5 4 2" xfId="13564"/>
    <cellStyle name="Percent 7 2 2 3 5 4 3" xfId="16635"/>
    <cellStyle name="Percent 7 2 2 3 5 5" xfId="11185"/>
    <cellStyle name="Percent 7 2 2 3 5 5 2" xfId="14777"/>
    <cellStyle name="Percent 7 2 2 3 5 5 3" xfId="16636"/>
    <cellStyle name="Percent 7 2 2 3 5 6" xfId="12511"/>
    <cellStyle name="Percent 7 2 2 3 5 6 2" xfId="41301"/>
    <cellStyle name="Percent 7 2 2 3 5 7" xfId="16627"/>
    <cellStyle name="Percent 7 2 2 3 6" xfId="9014"/>
    <cellStyle name="Percent 7 2 2 3 6 2" xfId="9582"/>
    <cellStyle name="Percent 7 2 2 3 6 2 2" xfId="10636"/>
    <cellStyle name="Percent 7 2 2 3 6 2 2 2" xfId="14230"/>
    <cellStyle name="Percent 7 2 2 3 6 2 2 3" xfId="16639"/>
    <cellStyle name="Percent 7 2 2 3 6 2 3" xfId="13177"/>
    <cellStyle name="Percent 7 2 2 3 6 2 4" xfId="16638"/>
    <cellStyle name="Percent 7 2 2 3 6 3" xfId="10098"/>
    <cellStyle name="Percent 7 2 2 3 6 3 2" xfId="13692"/>
    <cellStyle name="Percent 7 2 2 3 6 3 3" xfId="16640"/>
    <cellStyle name="Percent 7 2 2 3 6 4" xfId="11187"/>
    <cellStyle name="Percent 7 2 2 3 6 4 2" xfId="14779"/>
    <cellStyle name="Percent 7 2 2 3 6 4 3" xfId="16641"/>
    <cellStyle name="Percent 7 2 2 3 6 5" xfId="12639"/>
    <cellStyle name="Percent 7 2 2 3 6 5 2" xfId="41302"/>
    <cellStyle name="Percent 7 2 2 3 6 6" xfId="16637"/>
    <cellStyle name="Percent 7 2 2 3 7" xfId="9326"/>
    <cellStyle name="Percent 7 2 2 3 7 2" xfId="10380"/>
    <cellStyle name="Percent 7 2 2 3 7 2 2" xfId="13974"/>
    <cellStyle name="Percent 7 2 2 3 7 2 3" xfId="16643"/>
    <cellStyle name="Percent 7 2 2 3 7 3" xfId="12921"/>
    <cellStyle name="Percent 7 2 2 3 7 4" xfId="16642"/>
    <cellStyle name="Percent 7 2 2 3 8" xfId="9842"/>
    <cellStyle name="Percent 7 2 2 3 8 2" xfId="13436"/>
    <cellStyle name="Percent 7 2 2 3 8 3" xfId="16644"/>
    <cellStyle name="Percent 7 2 2 3 9" xfId="11172"/>
    <cellStyle name="Percent 7 2 2 3 9 2" xfId="14764"/>
    <cellStyle name="Percent 7 2 2 3 9 3" xfId="16645"/>
    <cellStyle name="Percent 7 2 2 4" xfId="8776"/>
    <cellStyle name="Percent 7 2 2 4 2" xfId="8904"/>
    <cellStyle name="Percent 7 2 2 4 2 2" xfId="9160"/>
    <cellStyle name="Percent 7 2 2 4 2 2 2" xfId="9728"/>
    <cellStyle name="Percent 7 2 2 4 2 2 2 2" xfId="10782"/>
    <cellStyle name="Percent 7 2 2 4 2 2 2 2 2" xfId="14376"/>
    <cellStyle name="Percent 7 2 2 4 2 2 2 2 3" xfId="16650"/>
    <cellStyle name="Percent 7 2 2 4 2 2 2 3" xfId="13323"/>
    <cellStyle name="Percent 7 2 2 4 2 2 2 4" xfId="16649"/>
    <cellStyle name="Percent 7 2 2 4 2 2 3" xfId="10244"/>
    <cellStyle name="Percent 7 2 2 4 2 2 3 2" xfId="13838"/>
    <cellStyle name="Percent 7 2 2 4 2 2 3 3" xfId="16651"/>
    <cellStyle name="Percent 7 2 2 4 2 2 4" xfId="11190"/>
    <cellStyle name="Percent 7 2 2 4 2 2 4 2" xfId="14782"/>
    <cellStyle name="Percent 7 2 2 4 2 2 4 3" xfId="16652"/>
    <cellStyle name="Percent 7 2 2 4 2 2 5" xfId="12785"/>
    <cellStyle name="Percent 7 2 2 4 2 2 5 2" xfId="41305"/>
    <cellStyle name="Percent 7 2 2 4 2 2 6" xfId="16648"/>
    <cellStyle name="Percent 7 2 2 4 2 3" xfId="9472"/>
    <cellStyle name="Percent 7 2 2 4 2 3 2" xfId="10526"/>
    <cellStyle name="Percent 7 2 2 4 2 3 2 2" xfId="14120"/>
    <cellStyle name="Percent 7 2 2 4 2 3 2 3" xfId="16654"/>
    <cellStyle name="Percent 7 2 2 4 2 3 3" xfId="13067"/>
    <cellStyle name="Percent 7 2 2 4 2 3 4" xfId="16653"/>
    <cellStyle name="Percent 7 2 2 4 2 4" xfId="9988"/>
    <cellStyle name="Percent 7 2 2 4 2 4 2" xfId="13582"/>
    <cellStyle name="Percent 7 2 2 4 2 4 3" xfId="16655"/>
    <cellStyle name="Percent 7 2 2 4 2 5" xfId="11189"/>
    <cellStyle name="Percent 7 2 2 4 2 5 2" xfId="14781"/>
    <cellStyle name="Percent 7 2 2 4 2 5 3" xfId="16656"/>
    <cellStyle name="Percent 7 2 2 4 2 6" xfId="12529"/>
    <cellStyle name="Percent 7 2 2 4 2 6 2" xfId="41304"/>
    <cellStyle name="Percent 7 2 2 4 2 7" xfId="16647"/>
    <cellStyle name="Percent 7 2 2 4 3" xfId="9032"/>
    <cellStyle name="Percent 7 2 2 4 3 2" xfId="9600"/>
    <cellStyle name="Percent 7 2 2 4 3 2 2" xfId="10654"/>
    <cellStyle name="Percent 7 2 2 4 3 2 2 2" xfId="14248"/>
    <cellStyle name="Percent 7 2 2 4 3 2 2 3" xfId="16659"/>
    <cellStyle name="Percent 7 2 2 4 3 2 3" xfId="13195"/>
    <cellStyle name="Percent 7 2 2 4 3 2 3 2" xfId="41307"/>
    <cellStyle name="Percent 7 2 2 4 3 2 4" xfId="16658"/>
    <cellStyle name="Percent 7 2 2 4 3 3" xfId="10116"/>
    <cellStyle name="Percent 7 2 2 4 3 3 2" xfId="13710"/>
    <cellStyle name="Percent 7 2 2 4 3 3 3" xfId="16660"/>
    <cellStyle name="Percent 7 2 2 4 3 4" xfId="11191"/>
    <cellStyle name="Percent 7 2 2 4 3 4 2" xfId="14783"/>
    <cellStyle name="Percent 7 2 2 4 3 4 3" xfId="16661"/>
    <cellStyle name="Percent 7 2 2 4 3 5" xfId="12657"/>
    <cellStyle name="Percent 7 2 2 4 3 5 2" xfId="41306"/>
    <cellStyle name="Percent 7 2 2 4 3 6" xfId="16657"/>
    <cellStyle name="Percent 7 2 2 4 4" xfId="9344"/>
    <cellStyle name="Percent 7 2 2 4 4 2" xfId="10398"/>
    <cellStyle name="Percent 7 2 2 4 4 2 2" xfId="13992"/>
    <cellStyle name="Percent 7 2 2 4 4 2 2 2" xfId="41309"/>
    <cellStyle name="Percent 7 2 2 4 4 2 3" xfId="16663"/>
    <cellStyle name="Percent 7 2 2 4 4 3" xfId="12939"/>
    <cellStyle name="Percent 7 2 2 4 4 3 2" xfId="41308"/>
    <cellStyle name="Percent 7 2 2 4 4 4" xfId="16662"/>
    <cellStyle name="Percent 7 2 2 4 5" xfId="9860"/>
    <cellStyle name="Percent 7 2 2 4 5 2" xfId="13454"/>
    <cellStyle name="Percent 7 2 2 4 5 2 2" xfId="41310"/>
    <cellStyle name="Percent 7 2 2 4 5 3" xfId="16664"/>
    <cellStyle name="Percent 7 2 2 4 6" xfId="11188"/>
    <cellStyle name="Percent 7 2 2 4 6 2" xfId="14780"/>
    <cellStyle name="Percent 7 2 2 4 6 2 2" xfId="41311"/>
    <cellStyle name="Percent 7 2 2 4 6 3" xfId="16665"/>
    <cellStyle name="Percent 7 2 2 4 7" xfId="12401"/>
    <cellStyle name="Percent 7 2 2 4 7 2" xfId="41303"/>
    <cellStyle name="Percent 7 2 2 4 8" xfId="16646"/>
    <cellStyle name="Percent 7 2 2 5" xfId="8808"/>
    <cellStyle name="Percent 7 2 2 5 2" xfId="8936"/>
    <cellStyle name="Percent 7 2 2 5 2 2" xfId="9192"/>
    <cellStyle name="Percent 7 2 2 5 2 2 2" xfId="9760"/>
    <cellStyle name="Percent 7 2 2 5 2 2 2 2" xfId="10814"/>
    <cellStyle name="Percent 7 2 2 5 2 2 2 2 2" xfId="14408"/>
    <cellStyle name="Percent 7 2 2 5 2 2 2 2 3" xfId="16670"/>
    <cellStyle name="Percent 7 2 2 5 2 2 2 3" xfId="13355"/>
    <cellStyle name="Percent 7 2 2 5 2 2 2 4" xfId="16669"/>
    <cellStyle name="Percent 7 2 2 5 2 2 3" xfId="10276"/>
    <cellStyle name="Percent 7 2 2 5 2 2 3 2" xfId="13870"/>
    <cellStyle name="Percent 7 2 2 5 2 2 3 3" xfId="16671"/>
    <cellStyle name="Percent 7 2 2 5 2 2 4" xfId="11194"/>
    <cellStyle name="Percent 7 2 2 5 2 2 4 2" xfId="14786"/>
    <cellStyle name="Percent 7 2 2 5 2 2 4 3" xfId="16672"/>
    <cellStyle name="Percent 7 2 2 5 2 2 5" xfId="12817"/>
    <cellStyle name="Percent 7 2 2 5 2 2 5 2" xfId="41314"/>
    <cellStyle name="Percent 7 2 2 5 2 2 6" xfId="16668"/>
    <cellStyle name="Percent 7 2 2 5 2 3" xfId="9504"/>
    <cellStyle name="Percent 7 2 2 5 2 3 2" xfId="10558"/>
    <cellStyle name="Percent 7 2 2 5 2 3 2 2" xfId="14152"/>
    <cellStyle name="Percent 7 2 2 5 2 3 2 3" xfId="16674"/>
    <cellStyle name="Percent 7 2 2 5 2 3 3" xfId="13099"/>
    <cellStyle name="Percent 7 2 2 5 2 3 4" xfId="16673"/>
    <cellStyle name="Percent 7 2 2 5 2 4" xfId="10020"/>
    <cellStyle name="Percent 7 2 2 5 2 4 2" xfId="13614"/>
    <cellStyle name="Percent 7 2 2 5 2 4 3" xfId="16675"/>
    <cellStyle name="Percent 7 2 2 5 2 5" xfId="11193"/>
    <cellStyle name="Percent 7 2 2 5 2 5 2" xfId="14785"/>
    <cellStyle name="Percent 7 2 2 5 2 5 3" xfId="16676"/>
    <cellStyle name="Percent 7 2 2 5 2 6" xfId="12561"/>
    <cellStyle name="Percent 7 2 2 5 2 6 2" xfId="41313"/>
    <cellStyle name="Percent 7 2 2 5 2 7" xfId="16667"/>
    <cellStyle name="Percent 7 2 2 5 3" xfId="9064"/>
    <cellStyle name="Percent 7 2 2 5 3 2" xfId="9632"/>
    <cellStyle name="Percent 7 2 2 5 3 2 2" xfId="10686"/>
    <cellStyle name="Percent 7 2 2 5 3 2 2 2" xfId="14280"/>
    <cellStyle name="Percent 7 2 2 5 3 2 2 3" xfId="16679"/>
    <cellStyle name="Percent 7 2 2 5 3 2 3" xfId="13227"/>
    <cellStyle name="Percent 7 2 2 5 3 2 3 2" xfId="41316"/>
    <cellStyle name="Percent 7 2 2 5 3 2 4" xfId="16678"/>
    <cellStyle name="Percent 7 2 2 5 3 3" xfId="10148"/>
    <cellStyle name="Percent 7 2 2 5 3 3 2" xfId="13742"/>
    <cellStyle name="Percent 7 2 2 5 3 3 3" xfId="16680"/>
    <cellStyle name="Percent 7 2 2 5 3 4" xfId="11195"/>
    <cellStyle name="Percent 7 2 2 5 3 4 2" xfId="14787"/>
    <cellStyle name="Percent 7 2 2 5 3 4 3" xfId="16681"/>
    <cellStyle name="Percent 7 2 2 5 3 5" xfId="12689"/>
    <cellStyle name="Percent 7 2 2 5 3 5 2" xfId="41315"/>
    <cellStyle name="Percent 7 2 2 5 3 6" xfId="16677"/>
    <cellStyle name="Percent 7 2 2 5 4" xfId="9376"/>
    <cellStyle name="Percent 7 2 2 5 4 2" xfId="10430"/>
    <cellStyle name="Percent 7 2 2 5 4 2 2" xfId="14024"/>
    <cellStyle name="Percent 7 2 2 5 4 2 2 2" xfId="41318"/>
    <cellStyle name="Percent 7 2 2 5 4 2 3" xfId="16683"/>
    <cellStyle name="Percent 7 2 2 5 4 3" xfId="12971"/>
    <cellStyle name="Percent 7 2 2 5 4 3 2" xfId="41317"/>
    <cellStyle name="Percent 7 2 2 5 4 4" xfId="16682"/>
    <cellStyle name="Percent 7 2 2 5 5" xfId="9892"/>
    <cellStyle name="Percent 7 2 2 5 5 2" xfId="13486"/>
    <cellStyle name="Percent 7 2 2 5 5 2 2" xfId="41319"/>
    <cellStyle name="Percent 7 2 2 5 5 3" xfId="16684"/>
    <cellStyle name="Percent 7 2 2 5 6" xfId="11192"/>
    <cellStyle name="Percent 7 2 2 5 6 2" xfId="14784"/>
    <cellStyle name="Percent 7 2 2 5 6 2 2" xfId="41320"/>
    <cellStyle name="Percent 7 2 2 5 6 3" xfId="16685"/>
    <cellStyle name="Percent 7 2 2 5 7" xfId="12433"/>
    <cellStyle name="Percent 7 2 2 5 7 2" xfId="41312"/>
    <cellStyle name="Percent 7 2 2 5 8" xfId="16666"/>
    <cellStyle name="Percent 7 2 2 6" xfId="8840"/>
    <cellStyle name="Percent 7 2 2 6 2" xfId="8968"/>
    <cellStyle name="Percent 7 2 2 6 2 2" xfId="9224"/>
    <cellStyle name="Percent 7 2 2 6 2 2 2" xfId="9792"/>
    <cellStyle name="Percent 7 2 2 6 2 2 2 2" xfId="10846"/>
    <cellStyle name="Percent 7 2 2 6 2 2 2 2 2" xfId="14440"/>
    <cellStyle name="Percent 7 2 2 6 2 2 2 2 3" xfId="16690"/>
    <cellStyle name="Percent 7 2 2 6 2 2 2 3" xfId="13387"/>
    <cellStyle name="Percent 7 2 2 6 2 2 2 4" xfId="16689"/>
    <cellStyle name="Percent 7 2 2 6 2 2 3" xfId="10308"/>
    <cellStyle name="Percent 7 2 2 6 2 2 3 2" xfId="13902"/>
    <cellStyle name="Percent 7 2 2 6 2 2 3 3" xfId="16691"/>
    <cellStyle name="Percent 7 2 2 6 2 2 4" xfId="11198"/>
    <cellStyle name="Percent 7 2 2 6 2 2 4 2" xfId="14790"/>
    <cellStyle name="Percent 7 2 2 6 2 2 4 3" xfId="16692"/>
    <cellStyle name="Percent 7 2 2 6 2 2 5" xfId="12849"/>
    <cellStyle name="Percent 7 2 2 6 2 2 5 2" xfId="41323"/>
    <cellStyle name="Percent 7 2 2 6 2 2 6" xfId="16688"/>
    <cellStyle name="Percent 7 2 2 6 2 3" xfId="9536"/>
    <cellStyle name="Percent 7 2 2 6 2 3 2" xfId="10590"/>
    <cellStyle name="Percent 7 2 2 6 2 3 2 2" xfId="14184"/>
    <cellStyle name="Percent 7 2 2 6 2 3 2 3" xfId="16694"/>
    <cellStyle name="Percent 7 2 2 6 2 3 3" xfId="13131"/>
    <cellStyle name="Percent 7 2 2 6 2 3 4" xfId="16693"/>
    <cellStyle name="Percent 7 2 2 6 2 4" xfId="10052"/>
    <cellStyle name="Percent 7 2 2 6 2 4 2" xfId="13646"/>
    <cellStyle name="Percent 7 2 2 6 2 4 3" xfId="16695"/>
    <cellStyle name="Percent 7 2 2 6 2 5" xfId="11197"/>
    <cellStyle name="Percent 7 2 2 6 2 5 2" xfId="14789"/>
    <cellStyle name="Percent 7 2 2 6 2 5 3" xfId="16696"/>
    <cellStyle name="Percent 7 2 2 6 2 6" xfId="12593"/>
    <cellStyle name="Percent 7 2 2 6 2 6 2" xfId="41322"/>
    <cellStyle name="Percent 7 2 2 6 2 7" xfId="16687"/>
    <cellStyle name="Percent 7 2 2 6 3" xfId="9096"/>
    <cellStyle name="Percent 7 2 2 6 3 2" xfId="9664"/>
    <cellStyle name="Percent 7 2 2 6 3 2 2" xfId="10718"/>
    <cellStyle name="Percent 7 2 2 6 3 2 2 2" xfId="14312"/>
    <cellStyle name="Percent 7 2 2 6 3 2 2 3" xfId="16699"/>
    <cellStyle name="Percent 7 2 2 6 3 2 3" xfId="13259"/>
    <cellStyle name="Percent 7 2 2 6 3 2 3 2" xfId="41325"/>
    <cellStyle name="Percent 7 2 2 6 3 2 4" xfId="16698"/>
    <cellStyle name="Percent 7 2 2 6 3 3" xfId="10180"/>
    <cellStyle name="Percent 7 2 2 6 3 3 2" xfId="13774"/>
    <cellStyle name="Percent 7 2 2 6 3 3 3" xfId="16700"/>
    <cellStyle name="Percent 7 2 2 6 3 4" xfId="11199"/>
    <cellStyle name="Percent 7 2 2 6 3 4 2" xfId="14791"/>
    <cellStyle name="Percent 7 2 2 6 3 4 3" xfId="16701"/>
    <cellStyle name="Percent 7 2 2 6 3 5" xfId="12721"/>
    <cellStyle name="Percent 7 2 2 6 3 5 2" xfId="41324"/>
    <cellStyle name="Percent 7 2 2 6 3 6" xfId="16697"/>
    <cellStyle name="Percent 7 2 2 6 4" xfId="9408"/>
    <cellStyle name="Percent 7 2 2 6 4 2" xfId="10462"/>
    <cellStyle name="Percent 7 2 2 6 4 2 2" xfId="14056"/>
    <cellStyle name="Percent 7 2 2 6 4 2 3" xfId="16703"/>
    <cellStyle name="Percent 7 2 2 6 4 3" xfId="13003"/>
    <cellStyle name="Percent 7 2 2 6 4 3 2" xfId="41326"/>
    <cellStyle name="Percent 7 2 2 6 4 4" xfId="16702"/>
    <cellStyle name="Percent 7 2 2 6 5" xfId="9924"/>
    <cellStyle name="Percent 7 2 2 6 5 2" xfId="13518"/>
    <cellStyle name="Percent 7 2 2 6 5 2 2" xfId="41327"/>
    <cellStyle name="Percent 7 2 2 6 5 3" xfId="16704"/>
    <cellStyle name="Percent 7 2 2 6 6" xfId="11196"/>
    <cellStyle name="Percent 7 2 2 6 6 2" xfId="14788"/>
    <cellStyle name="Percent 7 2 2 6 6 3" xfId="16705"/>
    <cellStyle name="Percent 7 2 2 6 7" xfId="12465"/>
    <cellStyle name="Percent 7 2 2 6 7 2" xfId="41321"/>
    <cellStyle name="Percent 7 2 2 6 8" xfId="16686"/>
    <cellStyle name="Percent 7 2 2 7" xfId="8883"/>
    <cellStyle name="Percent 7 2 2 7 2" xfId="9139"/>
    <cellStyle name="Percent 7 2 2 7 2 2" xfId="9707"/>
    <cellStyle name="Percent 7 2 2 7 2 2 2" xfId="10761"/>
    <cellStyle name="Percent 7 2 2 7 2 2 2 2" xfId="14355"/>
    <cellStyle name="Percent 7 2 2 7 2 2 2 3" xfId="16709"/>
    <cellStyle name="Percent 7 2 2 7 2 2 3" xfId="13302"/>
    <cellStyle name="Percent 7 2 2 7 2 2 4" xfId="16708"/>
    <cellStyle name="Percent 7 2 2 7 2 3" xfId="10223"/>
    <cellStyle name="Percent 7 2 2 7 2 3 2" xfId="13817"/>
    <cellStyle name="Percent 7 2 2 7 2 3 3" xfId="16710"/>
    <cellStyle name="Percent 7 2 2 7 2 4" xfId="11201"/>
    <cellStyle name="Percent 7 2 2 7 2 4 2" xfId="14793"/>
    <cellStyle name="Percent 7 2 2 7 2 4 3" xfId="16711"/>
    <cellStyle name="Percent 7 2 2 7 2 5" xfId="12764"/>
    <cellStyle name="Percent 7 2 2 7 2 5 2" xfId="41329"/>
    <cellStyle name="Percent 7 2 2 7 2 6" xfId="16707"/>
    <cellStyle name="Percent 7 2 2 7 3" xfId="9451"/>
    <cellStyle name="Percent 7 2 2 7 3 2" xfId="10505"/>
    <cellStyle name="Percent 7 2 2 7 3 2 2" xfId="14099"/>
    <cellStyle name="Percent 7 2 2 7 3 2 3" xfId="16713"/>
    <cellStyle name="Percent 7 2 2 7 3 3" xfId="13046"/>
    <cellStyle name="Percent 7 2 2 7 3 4" xfId="16712"/>
    <cellStyle name="Percent 7 2 2 7 4" xfId="9967"/>
    <cellStyle name="Percent 7 2 2 7 4 2" xfId="13561"/>
    <cellStyle name="Percent 7 2 2 7 4 3" xfId="16714"/>
    <cellStyle name="Percent 7 2 2 7 5" xfId="11200"/>
    <cellStyle name="Percent 7 2 2 7 5 2" xfId="14792"/>
    <cellStyle name="Percent 7 2 2 7 5 3" xfId="16715"/>
    <cellStyle name="Percent 7 2 2 7 6" xfId="12508"/>
    <cellStyle name="Percent 7 2 2 7 6 2" xfId="41328"/>
    <cellStyle name="Percent 7 2 2 7 7" xfId="16706"/>
    <cellStyle name="Percent 7 2 2 8" xfId="9011"/>
    <cellStyle name="Percent 7 2 2 8 2" xfId="9579"/>
    <cellStyle name="Percent 7 2 2 8 2 2" xfId="10633"/>
    <cellStyle name="Percent 7 2 2 8 2 2 2" xfId="14227"/>
    <cellStyle name="Percent 7 2 2 8 2 2 3" xfId="16718"/>
    <cellStyle name="Percent 7 2 2 8 2 3" xfId="13174"/>
    <cellStyle name="Percent 7 2 2 8 2 3 2" xfId="41331"/>
    <cellStyle name="Percent 7 2 2 8 2 4" xfId="16717"/>
    <cellStyle name="Percent 7 2 2 8 3" xfId="10095"/>
    <cellStyle name="Percent 7 2 2 8 3 2" xfId="13689"/>
    <cellStyle name="Percent 7 2 2 8 3 3" xfId="16719"/>
    <cellStyle name="Percent 7 2 2 8 4" xfId="11202"/>
    <cellStyle name="Percent 7 2 2 8 4 2" xfId="14794"/>
    <cellStyle name="Percent 7 2 2 8 4 3" xfId="16720"/>
    <cellStyle name="Percent 7 2 2 8 5" xfId="12636"/>
    <cellStyle name="Percent 7 2 2 8 5 2" xfId="41330"/>
    <cellStyle name="Percent 7 2 2 8 6" xfId="16716"/>
    <cellStyle name="Percent 7 2 2 9" xfId="9323"/>
    <cellStyle name="Percent 7 2 2 9 2" xfId="10377"/>
    <cellStyle name="Percent 7 2 2 9 2 2" xfId="13971"/>
    <cellStyle name="Percent 7 2 2 9 2 2 2" xfId="41333"/>
    <cellStyle name="Percent 7 2 2 9 2 3" xfId="16722"/>
    <cellStyle name="Percent 7 2 2 9 3" xfId="12918"/>
    <cellStyle name="Percent 7 2 2 9 3 2" xfId="41332"/>
    <cellStyle name="Percent 7 2 2 9 4" xfId="16721"/>
    <cellStyle name="Percent 7 2 3" xfId="8756"/>
    <cellStyle name="Percent 7 2 3 10" xfId="11203"/>
    <cellStyle name="Percent 7 2 3 10 2" xfId="14795"/>
    <cellStyle name="Percent 7 2 3 10 2 2" xfId="41335"/>
    <cellStyle name="Percent 7 2 3 10 3" xfId="16724"/>
    <cellStyle name="Percent 7 2 3 11" xfId="12384"/>
    <cellStyle name="Percent 7 2 3 11 2" xfId="41334"/>
    <cellStyle name="Percent 7 2 3 12" xfId="16723"/>
    <cellStyle name="Percent 7 2 3 2" xfId="8757"/>
    <cellStyle name="Percent 7 2 3 2 10" xfId="12385"/>
    <cellStyle name="Percent 7 2 3 2 10 2" xfId="41336"/>
    <cellStyle name="Percent 7 2 3 2 11" xfId="16725"/>
    <cellStyle name="Percent 7 2 3 2 2" xfId="8796"/>
    <cellStyle name="Percent 7 2 3 2 2 2" xfId="8924"/>
    <cellStyle name="Percent 7 2 3 2 2 2 2" xfId="9180"/>
    <cellStyle name="Percent 7 2 3 2 2 2 2 2" xfId="9748"/>
    <cellStyle name="Percent 7 2 3 2 2 2 2 2 2" xfId="10802"/>
    <cellStyle name="Percent 7 2 3 2 2 2 2 2 2 2" xfId="14396"/>
    <cellStyle name="Percent 7 2 3 2 2 2 2 2 2 3" xfId="16730"/>
    <cellStyle name="Percent 7 2 3 2 2 2 2 2 3" xfId="13343"/>
    <cellStyle name="Percent 7 2 3 2 2 2 2 2 4" xfId="16729"/>
    <cellStyle name="Percent 7 2 3 2 2 2 2 3" xfId="10264"/>
    <cellStyle name="Percent 7 2 3 2 2 2 2 3 2" xfId="13858"/>
    <cellStyle name="Percent 7 2 3 2 2 2 2 3 3" xfId="16731"/>
    <cellStyle name="Percent 7 2 3 2 2 2 2 4" xfId="11207"/>
    <cellStyle name="Percent 7 2 3 2 2 2 2 4 2" xfId="14799"/>
    <cellStyle name="Percent 7 2 3 2 2 2 2 4 3" xfId="16732"/>
    <cellStyle name="Percent 7 2 3 2 2 2 2 5" xfId="12805"/>
    <cellStyle name="Percent 7 2 3 2 2 2 2 6" xfId="16728"/>
    <cellStyle name="Percent 7 2 3 2 2 2 3" xfId="9492"/>
    <cellStyle name="Percent 7 2 3 2 2 2 3 2" xfId="10546"/>
    <cellStyle name="Percent 7 2 3 2 2 2 3 2 2" xfId="14140"/>
    <cellStyle name="Percent 7 2 3 2 2 2 3 2 3" xfId="16734"/>
    <cellStyle name="Percent 7 2 3 2 2 2 3 3" xfId="13087"/>
    <cellStyle name="Percent 7 2 3 2 2 2 3 4" xfId="16733"/>
    <cellStyle name="Percent 7 2 3 2 2 2 4" xfId="10008"/>
    <cellStyle name="Percent 7 2 3 2 2 2 4 2" xfId="13602"/>
    <cellStyle name="Percent 7 2 3 2 2 2 4 3" xfId="16735"/>
    <cellStyle name="Percent 7 2 3 2 2 2 5" xfId="11206"/>
    <cellStyle name="Percent 7 2 3 2 2 2 5 2" xfId="14798"/>
    <cellStyle name="Percent 7 2 3 2 2 2 5 3" xfId="16736"/>
    <cellStyle name="Percent 7 2 3 2 2 2 6" xfId="12549"/>
    <cellStyle name="Percent 7 2 3 2 2 2 6 2" xfId="41338"/>
    <cellStyle name="Percent 7 2 3 2 2 2 7" xfId="16727"/>
    <cellStyle name="Percent 7 2 3 2 2 3" xfId="9052"/>
    <cellStyle name="Percent 7 2 3 2 2 3 2" xfId="9620"/>
    <cellStyle name="Percent 7 2 3 2 2 3 2 2" xfId="10674"/>
    <cellStyle name="Percent 7 2 3 2 2 3 2 2 2" xfId="14268"/>
    <cellStyle name="Percent 7 2 3 2 2 3 2 2 3" xfId="16739"/>
    <cellStyle name="Percent 7 2 3 2 2 3 2 3" xfId="13215"/>
    <cellStyle name="Percent 7 2 3 2 2 3 2 4" xfId="16738"/>
    <cellStyle name="Percent 7 2 3 2 2 3 3" xfId="10136"/>
    <cellStyle name="Percent 7 2 3 2 2 3 3 2" xfId="13730"/>
    <cellStyle name="Percent 7 2 3 2 2 3 3 3" xfId="16740"/>
    <cellStyle name="Percent 7 2 3 2 2 3 4" xfId="11208"/>
    <cellStyle name="Percent 7 2 3 2 2 3 4 2" xfId="14800"/>
    <cellStyle name="Percent 7 2 3 2 2 3 4 3" xfId="16741"/>
    <cellStyle name="Percent 7 2 3 2 2 3 5" xfId="12677"/>
    <cellStyle name="Percent 7 2 3 2 2 3 6" xfId="16737"/>
    <cellStyle name="Percent 7 2 3 2 2 4" xfId="9364"/>
    <cellStyle name="Percent 7 2 3 2 2 4 2" xfId="10418"/>
    <cellStyle name="Percent 7 2 3 2 2 4 2 2" xfId="14012"/>
    <cellStyle name="Percent 7 2 3 2 2 4 2 3" xfId="16743"/>
    <cellStyle name="Percent 7 2 3 2 2 4 3" xfId="12959"/>
    <cellStyle name="Percent 7 2 3 2 2 4 4" xfId="16742"/>
    <cellStyle name="Percent 7 2 3 2 2 5" xfId="9880"/>
    <cellStyle name="Percent 7 2 3 2 2 5 2" xfId="13474"/>
    <cellStyle name="Percent 7 2 3 2 2 5 3" xfId="16744"/>
    <cellStyle name="Percent 7 2 3 2 2 6" xfId="11205"/>
    <cellStyle name="Percent 7 2 3 2 2 6 2" xfId="14797"/>
    <cellStyle name="Percent 7 2 3 2 2 6 3" xfId="16745"/>
    <cellStyle name="Percent 7 2 3 2 2 7" xfId="12421"/>
    <cellStyle name="Percent 7 2 3 2 2 7 2" xfId="41337"/>
    <cellStyle name="Percent 7 2 3 2 2 8" xfId="16726"/>
    <cellStyle name="Percent 7 2 3 2 3" xfId="8828"/>
    <cellStyle name="Percent 7 2 3 2 3 2" xfId="8956"/>
    <cellStyle name="Percent 7 2 3 2 3 2 2" xfId="9212"/>
    <cellStyle name="Percent 7 2 3 2 3 2 2 2" xfId="9780"/>
    <cellStyle name="Percent 7 2 3 2 3 2 2 2 2" xfId="10834"/>
    <cellStyle name="Percent 7 2 3 2 3 2 2 2 2 2" xfId="14428"/>
    <cellStyle name="Percent 7 2 3 2 3 2 2 2 2 3" xfId="16750"/>
    <cellStyle name="Percent 7 2 3 2 3 2 2 2 3" xfId="13375"/>
    <cellStyle name="Percent 7 2 3 2 3 2 2 2 4" xfId="16749"/>
    <cellStyle name="Percent 7 2 3 2 3 2 2 3" xfId="10296"/>
    <cellStyle name="Percent 7 2 3 2 3 2 2 3 2" xfId="13890"/>
    <cellStyle name="Percent 7 2 3 2 3 2 2 3 3" xfId="16751"/>
    <cellStyle name="Percent 7 2 3 2 3 2 2 4" xfId="11211"/>
    <cellStyle name="Percent 7 2 3 2 3 2 2 4 2" xfId="14803"/>
    <cellStyle name="Percent 7 2 3 2 3 2 2 4 3" xfId="16752"/>
    <cellStyle name="Percent 7 2 3 2 3 2 2 5" xfId="12837"/>
    <cellStyle name="Percent 7 2 3 2 3 2 2 6" xfId="16748"/>
    <cellStyle name="Percent 7 2 3 2 3 2 3" xfId="9524"/>
    <cellStyle name="Percent 7 2 3 2 3 2 3 2" xfId="10578"/>
    <cellStyle name="Percent 7 2 3 2 3 2 3 2 2" xfId="14172"/>
    <cellStyle name="Percent 7 2 3 2 3 2 3 2 3" xfId="16754"/>
    <cellStyle name="Percent 7 2 3 2 3 2 3 3" xfId="13119"/>
    <cellStyle name="Percent 7 2 3 2 3 2 3 4" xfId="16753"/>
    <cellStyle name="Percent 7 2 3 2 3 2 4" xfId="10040"/>
    <cellStyle name="Percent 7 2 3 2 3 2 4 2" xfId="13634"/>
    <cellStyle name="Percent 7 2 3 2 3 2 4 3" xfId="16755"/>
    <cellStyle name="Percent 7 2 3 2 3 2 5" xfId="11210"/>
    <cellStyle name="Percent 7 2 3 2 3 2 5 2" xfId="14802"/>
    <cellStyle name="Percent 7 2 3 2 3 2 5 3" xfId="16756"/>
    <cellStyle name="Percent 7 2 3 2 3 2 6" xfId="12581"/>
    <cellStyle name="Percent 7 2 3 2 3 2 6 2" xfId="41340"/>
    <cellStyle name="Percent 7 2 3 2 3 2 7" xfId="16747"/>
    <cellStyle name="Percent 7 2 3 2 3 3" xfId="9084"/>
    <cellStyle name="Percent 7 2 3 2 3 3 2" xfId="9652"/>
    <cellStyle name="Percent 7 2 3 2 3 3 2 2" xfId="10706"/>
    <cellStyle name="Percent 7 2 3 2 3 3 2 2 2" xfId="14300"/>
    <cellStyle name="Percent 7 2 3 2 3 3 2 2 3" xfId="16759"/>
    <cellStyle name="Percent 7 2 3 2 3 3 2 3" xfId="13247"/>
    <cellStyle name="Percent 7 2 3 2 3 3 2 4" xfId="16758"/>
    <cellStyle name="Percent 7 2 3 2 3 3 3" xfId="10168"/>
    <cellStyle name="Percent 7 2 3 2 3 3 3 2" xfId="13762"/>
    <cellStyle name="Percent 7 2 3 2 3 3 3 3" xfId="16760"/>
    <cellStyle name="Percent 7 2 3 2 3 3 4" xfId="11212"/>
    <cellStyle name="Percent 7 2 3 2 3 3 4 2" xfId="14804"/>
    <cellStyle name="Percent 7 2 3 2 3 3 4 3" xfId="16761"/>
    <cellStyle name="Percent 7 2 3 2 3 3 5" xfId="12709"/>
    <cellStyle name="Percent 7 2 3 2 3 3 6" xfId="16757"/>
    <cellStyle name="Percent 7 2 3 2 3 4" xfId="9396"/>
    <cellStyle name="Percent 7 2 3 2 3 4 2" xfId="10450"/>
    <cellStyle name="Percent 7 2 3 2 3 4 2 2" xfId="14044"/>
    <cellStyle name="Percent 7 2 3 2 3 4 2 3" xfId="16763"/>
    <cellStyle name="Percent 7 2 3 2 3 4 3" xfId="12991"/>
    <cellStyle name="Percent 7 2 3 2 3 4 4" xfId="16762"/>
    <cellStyle name="Percent 7 2 3 2 3 5" xfId="9912"/>
    <cellStyle name="Percent 7 2 3 2 3 5 2" xfId="13506"/>
    <cellStyle name="Percent 7 2 3 2 3 5 3" xfId="16764"/>
    <cellStyle name="Percent 7 2 3 2 3 6" xfId="11209"/>
    <cellStyle name="Percent 7 2 3 2 3 6 2" xfId="14801"/>
    <cellStyle name="Percent 7 2 3 2 3 6 3" xfId="16765"/>
    <cellStyle name="Percent 7 2 3 2 3 7" xfId="12453"/>
    <cellStyle name="Percent 7 2 3 2 3 7 2" xfId="41339"/>
    <cellStyle name="Percent 7 2 3 2 3 8" xfId="16746"/>
    <cellStyle name="Percent 7 2 3 2 4" xfId="8860"/>
    <cellStyle name="Percent 7 2 3 2 4 2" xfId="8988"/>
    <cellStyle name="Percent 7 2 3 2 4 2 2" xfId="9244"/>
    <cellStyle name="Percent 7 2 3 2 4 2 2 2" xfId="9812"/>
    <cellStyle name="Percent 7 2 3 2 4 2 2 2 2" xfId="10866"/>
    <cellStyle name="Percent 7 2 3 2 4 2 2 2 2 2" xfId="14460"/>
    <cellStyle name="Percent 7 2 3 2 4 2 2 2 2 3" xfId="16770"/>
    <cellStyle name="Percent 7 2 3 2 4 2 2 2 3" xfId="13407"/>
    <cellStyle name="Percent 7 2 3 2 4 2 2 2 4" xfId="16769"/>
    <cellStyle name="Percent 7 2 3 2 4 2 2 3" xfId="10328"/>
    <cellStyle name="Percent 7 2 3 2 4 2 2 3 2" xfId="13922"/>
    <cellStyle name="Percent 7 2 3 2 4 2 2 3 3" xfId="16771"/>
    <cellStyle name="Percent 7 2 3 2 4 2 2 4" xfId="11215"/>
    <cellStyle name="Percent 7 2 3 2 4 2 2 4 2" xfId="14807"/>
    <cellStyle name="Percent 7 2 3 2 4 2 2 4 3" xfId="16772"/>
    <cellStyle name="Percent 7 2 3 2 4 2 2 5" xfId="12869"/>
    <cellStyle name="Percent 7 2 3 2 4 2 2 6" xfId="16768"/>
    <cellStyle name="Percent 7 2 3 2 4 2 3" xfId="9556"/>
    <cellStyle name="Percent 7 2 3 2 4 2 3 2" xfId="10610"/>
    <cellStyle name="Percent 7 2 3 2 4 2 3 2 2" xfId="14204"/>
    <cellStyle name="Percent 7 2 3 2 4 2 3 2 3" xfId="16774"/>
    <cellStyle name="Percent 7 2 3 2 4 2 3 3" xfId="13151"/>
    <cellStyle name="Percent 7 2 3 2 4 2 3 4" xfId="16773"/>
    <cellStyle name="Percent 7 2 3 2 4 2 4" xfId="10072"/>
    <cellStyle name="Percent 7 2 3 2 4 2 4 2" xfId="13666"/>
    <cellStyle name="Percent 7 2 3 2 4 2 4 3" xfId="16775"/>
    <cellStyle name="Percent 7 2 3 2 4 2 5" xfId="11214"/>
    <cellStyle name="Percent 7 2 3 2 4 2 5 2" xfId="14806"/>
    <cellStyle name="Percent 7 2 3 2 4 2 5 3" xfId="16776"/>
    <cellStyle name="Percent 7 2 3 2 4 2 6" xfId="12613"/>
    <cellStyle name="Percent 7 2 3 2 4 2 6 2" xfId="41342"/>
    <cellStyle name="Percent 7 2 3 2 4 2 7" xfId="16767"/>
    <cellStyle name="Percent 7 2 3 2 4 3" xfId="9116"/>
    <cellStyle name="Percent 7 2 3 2 4 3 2" xfId="9684"/>
    <cellStyle name="Percent 7 2 3 2 4 3 2 2" xfId="10738"/>
    <cellStyle name="Percent 7 2 3 2 4 3 2 2 2" xfId="14332"/>
    <cellStyle name="Percent 7 2 3 2 4 3 2 2 3" xfId="16779"/>
    <cellStyle name="Percent 7 2 3 2 4 3 2 3" xfId="13279"/>
    <cellStyle name="Percent 7 2 3 2 4 3 2 4" xfId="16778"/>
    <cellStyle name="Percent 7 2 3 2 4 3 3" xfId="10200"/>
    <cellStyle name="Percent 7 2 3 2 4 3 3 2" xfId="13794"/>
    <cellStyle name="Percent 7 2 3 2 4 3 3 3" xfId="16780"/>
    <cellStyle name="Percent 7 2 3 2 4 3 4" xfId="11216"/>
    <cellStyle name="Percent 7 2 3 2 4 3 4 2" xfId="14808"/>
    <cellStyle name="Percent 7 2 3 2 4 3 4 3" xfId="16781"/>
    <cellStyle name="Percent 7 2 3 2 4 3 5" xfId="12741"/>
    <cellStyle name="Percent 7 2 3 2 4 3 6" xfId="16777"/>
    <cellStyle name="Percent 7 2 3 2 4 4" xfId="9428"/>
    <cellStyle name="Percent 7 2 3 2 4 4 2" xfId="10482"/>
    <cellStyle name="Percent 7 2 3 2 4 4 2 2" xfId="14076"/>
    <cellStyle name="Percent 7 2 3 2 4 4 2 3" xfId="16783"/>
    <cellStyle name="Percent 7 2 3 2 4 4 3" xfId="13023"/>
    <cellStyle name="Percent 7 2 3 2 4 4 4" xfId="16782"/>
    <cellStyle name="Percent 7 2 3 2 4 5" xfId="9944"/>
    <cellStyle name="Percent 7 2 3 2 4 5 2" xfId="13538"/>
    <cellStyle name="Percent 7 2 3 2 4 5 3" xfId="16784"/>
    <cellStyle name="Percent 7 2 3 2 4 6" xfId="11213"/>
    <cellStyle name="Percent 7 2 3 2 4 6 2" xfId="14805"/>
    <cellStyle name="Percent 7 2 3 2 4 6 3" xfId="16785"/>
    <cellStyle name="Percent 7 2 3 2 4 7" xfId="12485"/>
    <cellStyle name="Percent 7 2 3 2 4 7 2" xfId="41341"/>
    <cellStyle name="Percent 7 2 3 2 4 8" xfId="16766"/>
    <cellStyle name="Percent 7 2 3 2 5" xfId="8888"/>
    <cellStyle name="Percent 7 2 3 2 5 2" xfId="9144"/>
    <cellStyle name="Percent 7 2 3 2 5 2 2" xfId="9712"/>
    <cellStyle name="Percent 7 2 3 2 5 2 2 2" xfId="10766"/>
    <cellStyle name="Percent 7 2 3 2 5 2 2 2 2" xfId="14360"/>
    <cellStyle name="Percent 7 2 3 2 5 2 2 2 3" xfId="16789"/>
    <cellStyle name="Percent 7 2 3 2 5 2 2 3" xfId="13307"/>
    <cellStyle name="Percent 7 2 3 2 5 2 2 4" xfId="16788"/>
    <cellStyle name="Percent 7 2 3 2 5 2 3" xfId="10228"/>
    <cellStyle name="Percent 7 2 3 2 5 2 3 2" xfId="13822"/>
    <cellStyle name="Percent 7 2 3 2 5 2 3 3" xfId="16790"/>
    <cellStyle name="Percent 7 2 3 2 5 2 4" xfId="11218"/>
    <cellStyle name="Percent 7 2 3 2 5 2 4 2" xfId="14810"/>
    <cellStyle name="Percent 7 2 3 2 5 2 4 3" xfId="16791"/>
    <cellStyle name="Percent 7 2 3 2 5 2 5" xfId="12769"/>
    <cellStyle name="Percent 7 2 3 2 5 2 6" xfId="16787"/>
    <cellStyle name="Percent 7 2 3 2 5 3" xfId="9456"/>
    <cellStyle name="Percent 7 2 3 2 5 3 2" xfId="10510"/>
    <cellStyle name="Percent 7 2 3 2 5 3 2 2" xfId="14104"/>
    <cellStyle name="Percent 7 2 3 2 5 3 2 3" xfId="16793"/>
    <cellStyle name="Percent 7 2 3 2 5 3 3" xfId="13051"/>
    <cellStyle name="Percent 7 2 3 2 5 3 4" xfId="16792"/>
    <cellStyle name="Percent 7 2 3 2 5 4" xfId="9972"/>
    <cellStyle name="Percent 7 2 3 2 5 4 2" xfId="13566"/>
    <cellStyle name="Percent 7 2 3 2 5 4 3" xfId="16794"/>
    <cellStyle name="Percent 7 2 3 2 5 5" xfId="11217"/>
    <cellStyle name="Percent 7 2 3 2 5 5 2" xfId="14809"/>
    <cellStyle name="Percent 7 2 3 2 5 5 3" xfId="16795"/>
    <cellStyle name="Percent 7 2 3 2 5 6" xfId="12513"/>
    <cellStyle name="Percent 7 2 3 2 5 6 2" xfId="41343"/>
    <cellStyle name="Percent 7 2 3 2 5 7" xfId="16786"/>
    <cellStyle name="Percent 7 2 3 2 6" xfId="9016"/>
    <cellStyle name="Percent 7 2 3 2 6 2" xfId="9584"/>
    <cellStyle name="Percent 7 2 3 2 6 2 2" xfId="10638"/>
    <cellStyle name="Percent 7 2 3 2 6 2 2 2" xfId="14232"/>
    <cellStyle name="Percent 7 2 3 2 6 2 2 3" xfId="16798"/>
    <cellStyle name="Percent 7 2 3 2 6 2 3" xfId="13179"/>
    <cellStyle name="Percent 7 2 3 2 6 2 4" xfId="16797"/>
    <cellStyle name="Percent 7 2 3 2 6 3" xfId="10100"/>
    <cellStyle name="Percent 7 2 3 2 6 3 2" xfId="13694"/>
    <cellStyle name="Percent 7 2 3 2 6 3 3" xfId="16799"/>
    <cellStyle name="Percent 7 2 3 2 6 4" xfId="11219"/>
    <cellStyle name="Percent 7 2 3 2 6 4 2" xfId="14811"/>
    <cellStyle name="Percent 7 2 3 2 6 4 3" xfId="16800"/>
    <cellStyle name="Percent 7 2 3 2 6 5" xfId="12641"/>
    <cellStyle name="Percent 7 2 3 2 6 5 2" xfId="41344"/>
    <cellStyle name="Percent 7 2 3 2 6 6" xfId="16796"/>
    <cellStyle name="Percent 7 2 3 2 7" xfId="9328"/>
    <cellStyle name="Percent 7 2 3 2 7 2" xfId="10382"/>
    <cellStyle name="Percent 7 2 3 2 7 2 2" xfId="13976"/>
    <cellStyle name="Percent 7 2 3 2 7 2 3" xfId="16802"/>
    <cellStyle name="Percent 7 2 3 2 7 3" xfId="12923"/>
    <cellStyle name="Percent 7 2 3 2 7 4" xfId="16801"/>
    <cellStyle name="Percent 7 2 3 2 8" xfId="9844"/>
    <cellStyle name="Percent 7 2 3 2 8 2" xfId="13438"/>
    <cellStyle name="Percent 7 2 3 2 8 3" xfId="16803"/>
    <cellStyle name="Percent 7 2 3 2 9" xfId="11204"/>
    <cellStyle name="Percent 7 2 3 2 9 2" xfId="14796"/>
    <cellStyle name="Percent 7 2 3 2 9 3" xfId="16804"/>
    <cellStyle name="Percent 7 2 3 3" xfId="8780"/>
    <cellStyle name="Percent 7 2 3 3 2" xfId="8908"/>
    <cellStyle name="Percent 7 2 3 3 2 2" xfId="9164"/>
    <cellStyle name="Percent 7 2 3 3 2 2 2" xfId="9732"/>
    <cellStyle name="Percent 7 2 3 3 2 2 2 2" xfId="10786"/>
    <cellStyle name="Percent 7 2 3 3 2 2 2 2 2" xfId="14380"/>
    <cellStyle name="Percent 7 2 3 3 2 2 2 2 3" xfId="16809"/>
    <cellStyle name="Percent 7 2 3 3 2 2 2 3" xfId="13327"/>
    <cellStyle name="Percent 7 2 3 3 2 2 2 4" xfId="16808"/>
    <cellStyle name="Percent 7 2 3 3 2 2 3" xfId="10248"/>
    <cellStyle name="Percent 7 2 3 3 2 2 3 2" xfId="13842"/>
    <cellStyle name="Percent 7 2 3 3 2 2 3 3" xfId="16810"/>
    <cellStyle name="Percent 7 2 3 3 2 2 4" xfId="11222"/>
    <cellStyle name="Percent 7 2 3 3 2 2 4 2" xfId="14814"/>
    <cellStyle name="Percent 7 2 3 3 2 2 4 3" xfId="16811"/>
    <cellStyle name="Percent 7 2 3 3 2 2 5" xfId="12789"/>
    <cellStyle name="Percent 7 2 3 3 2 2 5 2" xfId="41347"/>
    <cellStyle name="Percent 7 2 3 3 2 2 6" xfId="16807"/>
    <cellStyle name="Percent 7 2 3 3 2 3" xfId="9476"/>
    <cellStyle name="Percent 7 2 3 3 2 3 2" xfId="10530"/>
    <cellStyle name="Percent 7 2 3 3 2 3 2 2" xfId="14124"/>
    <cellStyle name="Percent 7 2 3 3 2 3 2 3" xfId="16813"/>
    <cellStyle name="Percent 7 2 3 3 2 3 3" xfId="13071"/>
    <cellStyle name="Percent 7 2 3 3 2 3 4" xfId="16812"/>
    <cellStyle name="Percent 7 2 3 3 2 4" xfId="9992"/>
    <cellStyle name="Percent 7 2 3 3 2 4 2" xfId="13586"/>
    <cellStyle name="Percent 7 2 3 3 2 4 3" xfId="16814"/>
    <cellStyle name="Percent 7 2 3 3 2 5" xfId="11221"/>
    <cellStyle name="Percent 7 2 3 3 2 5 2" xfId="14813"/>
    <cellStyle name="Percent 7 2 3 3 2 5 3" xfId="16815"/>
    <cellStyle name="Percent 7 2 3 3 2 6" xfId="12533"/>
    <cellStyle name="Percent 7 2 3 3 2 6 2" xfId="41346"/>
    <cellStyle name="Percent 7 2 3 3 2 7" xfId="16806"/>
    <cellStyle name="Percent 7 2 3 3 3" xfId="9036"/>
    <cellStyle name="Percent 7 2 3 3 3 2" xfId="9604"/>
    <cellStyle name="Percent 7 2 3 3 3 2 2" xfId="10658"/>
    <cellStyle name="Percent 7 2 3 3 3 2 2 2" xfId="14252"/>
    <cellStyle name="Percent 7 2 3 3 3 2 2 3" xfId="16818"/>
    <cellStyle name="Percent 7 2 3 3 3 2 3" xfId="13199"/>
    <cellStyle name="Percent 7 2 3 3 3 2 3 2" xfId="41349"/>
    <cellStyle name="Percent 7 2 3 3 3 2 4" xfId="16817"/>
    <cellStyle name="Percent 7 2 3 3 3 3" xfId="10120"/>
    <cellStyle name="Percent 7 2 3 3 3 3 2" xfId="13714"/>
    <cellStyle name="Percent 7 2 3 3 3 3 3" xfId="16819"/>
    <cellStyle name="Percent 7 2 3 3 3 4" xfId="11223"/>
    <cellStyle name="Percent 7 2 3 3 3 4 2" xfId="14815"/>
    <cellStyle name="Percent 7 2 3 3 3 4 3" xfId="16820"/>
    <cellStyle name="Percent 7 2 3 3 3 5" xfId="12661"/>
    <cellStyle name="Percent 7 2 3 3 3 5 2" xfId="41348"/>
    <cellStyle name="Percent 7 2 3 3 3 6" xfId="16816"/>
    <cellStyle name="Percent 7 2 3 3 4" xfId="9348"/>
    <cellStyle name="Percent 7 2 3 3 4 2" xfId="10402"/>
    <cellStyle name="Percent 7 2 3 3 4 2 2" xfId="13996"/>
    <cellStyle name="Percent 7 2 3 3 4 2 2 2" xfId="41351"/>
    <cellStyle name="Percent 7 2 3 3 4 2 3" xfId="16822"/>
    <cellStyle name="Percent 7 2 3 3 4 3" xfId="12943"/>
    <cellStyle name="Percent 7 2 3 3 4 3 2" xfId="41350"/>
    <cellStyle name="Percent 7 2 3 3 4 4" xfId="16821"/>
    <cellStyle name="Percent 7 2 3 3 5" xfId="9864"/>
    <cellStyle name="Percent 7 2 3 3 5 2" xfId="13458"/>
    <cellStyle name="Percent 7 2 3 3 5 2 2" xfId="41352"/>
    <cellStyle name="Percent 7 2 3 3 5 3" xfId="16823"/>
    <cellStyle name="Percent 7 2 3 3 6" xfId="11220"/>
    <cellStyle name="Percent 7 2 3 3 6 2" xfId="14812"/>
    <cellStyle name="Percent 7 2 3 3 6 2 2" xfId="41353"/>
    <cellStyle name="Percent 7 2 3 3 6 3" xfId="16824"/>
    <cellStyle name="Percent 7 2 3 3 7" xfId="12405"/>
    <cellStyle name="Percent 7 2 3 3 7 2" xfId="41345"/>
    <cellStyle name="Percent 7 2 3 3 8" xfId="16805"/>
    <cellStyle name="Percent 7 2 3 4" xfId="8812"/>
    <cellStyle name="Percent 7 2 3 4 2" xfId="8940"/>
    <cellStyle name="Percent 7 2 3 4 2 2" xfId="9196"/>
    <cellStyle name="Percent 7 2 3 4 2 2 2" xfId="9764"/>
    <cellStyle name="Percent 7 2 3 4 2 2 2 2" xfId="10818"/>
    <cellStyle name="Percent 7 2 3 4 2 2 2 2 2" xfId="14412"/>
    <cellStyle name="Percent 7 2 3 4 2 2 2 2 3" xfId="16829"/>
    <cellStyle name="Percent 7 2 3 4 2 2 2 3" xfId="13359"/>
    <cellStyle name="Percent 7 2 3 4 2 2 2 4" xfId="16828"/>
    <cellStyle name="Percent 7 2 3 4 2 2 3" xfId="10280"/>
    <cellStyle name="Percent 7 2 3 4 2 2 3 2" xfId="13874"/>
    <cellStyle name="Percent 7 2 3 4 2 2 3 3" xfId="16830"/>
    <cellStyle name="Percent 7 2 3 4 2 2 4" xfId="11226"/>
    <cellStyle name="Percent 7 2 3 4 2 2 4 2" xfId="14818"/>
    <cellStyle name="Percent 7 2 3 4 2 2 4 3" xfId="16831"/>
    <cellStyle name="Percent 7 2 3 4 2 2 5" xfId="12821"/>
    <cellStyle name="Percent 7 2 3 4 2 2 5 2" xfId="41356"/>
    <cellStyle name="Percent 7 2 3 4 2 2 6" xfId="16827"/>
    <cellStyle name="Percent 7 2 3 4 2 3" xfId="9508"/>
    <cellStyle name="Percent 7 2 3 4 2 3 2" xfId="10562"/>
    <cellStyle name="Percent 7 2 3 4 2 3 2 2" xfId="14156"/>
    <cellStyle name="Percent 7 2 3 4 2 3 2 3" xfId="16833"/>
    <cellStyle name="Percent 7 2 3 4 2 3 3" xfId="13103"/>
    <cellStyle name="Percent 7 2 3 4 2 3 4" xfId="16832"/>
    <cellStyle name="Percent 7 2 3 4 2 4" xfId="10024"/>
    <cellStyle name="Percent 7 2 3 4 2 4 2" xfId="13618"/>
    <cellStyle name="Percent 7 2 3 4 2 4 3" xfId="16834"/>
    <cellStyle name="Percent 7 2 3 4 2 5" xfId="11225"/>
    <cellStyle name="Percent 7 2 3 4 2 5 2" xfId="14817"/>
    <cellStyle name="Percent 7 2 3 4 2 5 3" xfId="16835"/>
    <cellStyle name="Percent 7 2 3 4 2 6" xfId="12565"/>
    <cellStyle name="Percent 7 2 3 4 2 6 2" xfId="41355"/>
    <cellStyle name="Percent 7 2 3 4 2 7" xfId="16826"/>
    <cellStyle name="Percent 7 2 3 4 3" xfId="9068"/>
    <cellStyle name="Percent 7 2 3 4 3 2" xfId="9636"/>
    <cellStyle name="Percent 7 2 3 4 3 2 2" xfId="10690"/>
    <cellStyle name="Percent 7 2 3 4 3 2 2 2" xfId="14284"/>
    <cellStyle name="Percent 7 2 3 4 3 2 2 3" xfId="16838"/>
    <cellStyle name="Percent 7 2 3 4 3 2 3" xfId="13231"/>
    <cellStyle name="Percent 7 2 3 4 3 2 3 2" xfId="41358"/>
    <cellStyle name="Percent 7 2 3 4 3 2 4" xfId="16837"/>
    <cellStyle name="Percent 7 2 3 4 3 3" xfId="10152"/>
    <cellStyle name="Percent 7 2 3 4 3 3 2" xfId="13746"/>
    <cellStyle name="Percent 7 2 3 4 3 3 3" xfId="16839"/>
    <cellStyle name="Percent 7 2 3 4 3 4" xfId="11227"/>
    <cellStyle name="Percent 7 2 3 4 3 4 2" xfId="14819"/>
    <cellStyle name="Percent 7 2 3 4 3 4 3" xfId="16840"/>
    <cellStyle name="Percent 7 2 3 4 3 5" xfId="12693"/>
    <cellStyle name="Percent 7 2 3 4 3 5 2" xfId="41357"/>
    <cellStyle name="Percent 7 2 3 4 3 6" xfId="16836"/>
    <cellStyle name="Percent 7 2 3 4 4" xfId="9380"/>
    <cellStyle name="Percent 7 2 3 4 4 2" xfId="10434"/>
    <cellStyle name="Percent 7 2 3 4 4 2 2" xfId="14028"/>
    <cellStyle name="Percent 7 2 3 4 4 2 2 2" xfId="41360"/>
    <cellStyle name="Percent 7 2 3 4 4 2 3" xfId="16842"/>
    <cellStyle name="Percent 7 2 3 4 4 3" xfId="12975"/>
    <cellStyle name="Percent 7 2 3 4 4 3 2" xfId="41359"/>
    <cellStyle name="Percent 7 2 3 4 4 4" xfId="16841"/>
    <cellStyle name="Percent 7 2 3 4 5" xfId="9896"/>
    <cellStyle name="Percent 7 2 3 4 5 2" xfId="13490"/>
    <cellStyle name="Percent 7 2 3 4 5 2 2" xfId="41361"/>
    <cellStyle name="Percent 7 2 3 4 5 3" xfId="16843"/>
    <cellStyle name="Percent 7 2 3 4 6" xfId="11224"/>
    <cellStyle name="Percent 7 2 3 4 6 2" xfId="14816"/>
    <cellStyle name="Percent 7 2 3 4 6 2 2" xfId="41362"/>
    <cellStyle name="Percent 7 2 3 4 6 3" xfId="16844"/>
    <cellStyle name="Percent 7 2 3 4 7" xfId="12437"/>
    <cellStyle name="Percent 7 2 3 4 7 2" xfId="41354"/>
    <cellStyle name="Percent 7 2 3 4 8" xfId="16825"/>
    <cellStyle name="Percent 7 2 3 5" xfId="8844"/>
    <cellStyle name="Percent 7 2 3 5 2" xfId="8972"/>
    <cellStyle name="Percent 7 2 3 5 2 2" xfId="9228"/>
    <cellStyle name="Percent 7 2 3 5 2 2 2" xfId="9796"/>
    <cellStyle name="Percent 7 2 3 5 2 2 2 2" xfId="10850"/>
    <cellStyle name="Percent 7 2 3 5 2 2 2 2 2" xfId="14444"/>
    <cellStyle name="Percent 7 2 3 5 2 2 2 2 3" xfId="16849"/>
    <cellStyle name="Percent 7 2 3 5 2 2 2 3" xfId="13391"/>
    <cellStyle name="Percent 7 2 3 5 2 2 2 4" xfId="16848"/>
    <cellStyle name="Percent 7 2 3 5 2 2 3" xfId="10312"/>
    <cellStyle name="Percent 7 2 3 5 2 2 3 2" xfId="13906"/>
    <cellStyle name="Percent 7 2 3 5 2 2 3 3" xfId="16850"/>
    <cellStyle name="Percent 7 2 3 5 2 2 4" xfId="11230"/>
    <cellStyle name="Percent 7 2 3 5 2 2 4 2" xfId="14822"/>
    <cellStyle name="Percent 7 2 3 5 2 2 4 3" xfId="16851"/>
    <cellStyle name="Percent 7 2 3 5 2 2 5" xfId="12853"/>
    <cellStyle name="Percent 7 2 3 5 2 2 5 2" xfId="41365"/>
    <cellStyle name="Percent 7 2 3 5 2 2 6" xfId="16847"/>
    <cellStyle name="Percent 7 2 3 5 2 3" xfId="9540"/>
    <cellStyle name="Percent 7 2 3 5 2 3 2" xfId="10594"/>
    <cellStyle name="Percent 7 2 3 5 2 3 2 2" xfId="14188"/>
    <cellStyle name="Percent 7 2 3 5 2 3 2 3" xfId="16853"/>
    <cellStyle name="Percent 7 2 3 5 2 3 3" xfId="13135"/>
    <cellStyle name="Percent 7 2 3 5 2 3 4" xfId="16852"/>
    <cellStyle name="Percent 7 2 3 5 2 4" xfId="10056"/>
    <cellStyle name="Percent 7 2 3 5 2 4 2" xfId="13650"/>
    <cellStyle name="Percent 7 2 3 5 2 4 3" xfId="16854"/>
    <cellStyle name="Percent 7 2 3 5 2 5" xfId="11229"/>
    <cellStyle name="Percent 7 2 3 5 2 5 2" xfId="14821"/>
    <cellStyle name="Percent 7 2 3 5 2 5 3" xfId="16855"/>
    <cellStyle name="Percent 7 2 3 5 2 6" xfId="12597"/>
    <cellStyle name="Percent 7 2 3 5 2 6 2" xfId="41364"/>
    <cellStyle name="Percent 7 2 3 5 2 7" xfId="16846"/>
    <cellStyle name="Percent 7 2 3 5 3" xfId="9100"/>
    <cellStyle name="Percent 7 2 3 5 3 2" xfId="9668"/>
    <cellStyle name="Percent 7 2 3 5 3 2 2" xfId="10722"/>
    <cellStyle name="Percent 7 2 3 5 3 2 2 2" xfId="14316"/>
    <cellStyle name="Percent 7 2 3 5 3 2 2 3" xfId="16858"/>
    <cellStyle name="Percent 7 2 3 5 3 2 3" xfId="13263"/>
    <cellStyle name="Percent 7 2 3 5 3 2 3 2" xfId="41367"/>
    <cellStyle name="Percent 7 2 3 5 3 2 4" xfId="16857"/>
    <cellStyle name="Percent 7 2 3 5 3 3" xfId="10184"/>
    <cellStyle name="Percent 7 2 3 5 3 3 2" xfId="13778"/>
    <cellStyle name="Percent 7 2 3 5 3 3 3" xfId="16859"/>
    <cellStyle name="Percent 7 2 3 5 3 4" xfId="11231"/>
    <cellStyle name="Percent 7 2 3 5 3 4 2" xfId="14823"/>
    <cellStyle name="Percent 7 2 3 5 3 4 3" xfId="16860"/>
    <cellStyle name="Percent 7 2 3 5 3 5" xfId="12725"/>
    <cellStyle name="Percent 7 2 3 5 3 5 2" xfId="41366"/>
    <cellStyle name="Percent 7 2 3 5 3 6" xfId="16856"/>
    <cellStyle name="Percent 7 2 3 5 4" xfId="9412"/>
    <cellStyle name="Percent 7 2 3 5 4 2" xfId="10466"/>
    <cellStyle name="Percent 7 2 3 5 4 2 2" xfId="14060"/>
    <cellStyle name="Percent 7 2 3 5 4 2 3" xfId="16862"/>
    <cellStyle name="Percent 7 2 3 5 4 3" xfId="13007"/>
    <cellStyle name="Percent 7 2 3 5 4 3 2" xfId="41368"/>
    <cellStyle name="Percent 7 2 3 5 4 4" xfId="16861"/>
    <cellStyle name="Percent 7 2 3 5 5" xfId="9928"/>
    <cellStyle name="Percent 7 2 3 5 5 2" xfId="13522"/>
    <cellStyle name="Percent 7 2 3 5 5 2 2" xfId="41369"/>
    <cellStyle name="Percent 7 2 3 5 5 3" xfId="16863"/>
    <cellStyle name="Percent 7 2 3 5 6" xfId="11228"/>
    <cellStyle name="Percent 7 2 3 5 6 2" xfId="14820"/>
    <cellStyle name="Percent 7 2 3 5 6 3" xfId="16864"/>
    <cellStyle name="Percent 7 2 3 5 7" xfId="12469"/>
    <cellStyle name="Percent 7 2 3 5 7 2" xfId="41363"/>
    <cellStyle name="Percent 7 2 3 5 8" xfId="16845"/>
    <cellStyle name="Percent 7 2 3 6" xfId="8887"/>
    <cellStyle name="Percent 7 2 3 6 2" xfId="9143"/>
    <cellStyle name="Percent 7 2 3 6 2 2" xfId="9711"/>
    <cellStyle name="Percent 7 2 3 6 2 2 2" xfId="10765"/>
    <cellStyle name="Percent 7 2 3 6 2 2 2 2" xfId="14359"/>
    <cellStyle name="Percent 7 2 3 6 2 2 2 3" xfId="16868"/>
    <cellStyle name="Percent 7 2 3 6 2 2 3" xfId="13306"/>
    <cellStyle name="Percent 7 2 3 6 2 2 4" xfId="16867"/>
    <cellStyle name="Percent 7 2 3 6 2 3" xfId="10227"/>
    <cellStyle name="Percent 7 2 3 6 2 3 2" xfId="13821"/>
    <cellStyle name="Percent 7 2 3 6 2 3 3" xfId="16869"/>
    <cellStyle name="Percent 7 2 3 6 2 4" xfId="11233"/>
    <cellStyle name="Percent 7 2 3 6 2 4 2" xfId="14825"/>
    <cellStyle name="Percent 7 2 3 6 2 4 3" xfId="16870"/>
    <cellStyle name="Percent 7 2 3 6 2 5" xfId="12768"/>
    <cellStyle name="Percent 7 2 3 6 2 5 2" xfId="41371"/>
    <cellStyle name="Percent 7 2 3 6 2 6" xfId="16866"/>
    <cellStyle name="Percent 7 2 3 6 3" xfId="9455"/>
    <cellStyle name="Percent 7 2 3 6 3 2" xfId="10509"/>
    <cellStyle name="Percent 7 2 3 6 3 2 2" xfId="14103"/>
    <cellStyle name="Percent 7 2 3 6 3 2 3" xfId="16872"/>
    <cellStyle name="Percent 7 2 3 6 3 3" xfId="13050"/>
    <cellStyle name="Percent 7 2 3 6 3 4" xfId="16871"/>
    <cellStyle name="Percent 7 2 3 6 4" xfId="9971"/>
    <cellStyle name="Percent 7 2 3 6 4 2" xfId="13565"/>
    <cellStyle name="Percent 7 2 3 6 4 3" xfId="16873"/>
    <cellStyle name="Percent 7 2 3 6 5" xfId="11232"/>
    <cellStyle name="Percent 7 2 3 6 5 2" xfId="14824"/>
    <cellStyle name="Percent 7 2 3 6 5 3" xfId="16874"/>
    <cellStyle name="Percent 7 2 3 6 6" xfId="12512"/>
    <cellStyle name="Percent 7 2 3 6 6 2" xfId="41370"/>
    <cellStyle name="Percent 7 2 3 6 7" xfId="16865"/>
    <cellStyle name="Percent 7 2 3 7" xfId="9015"/>
    <cellStyle name="Percent 7 2 3 7 2" xfId="9583"/>
    <cellStyle name="Percent 7 2 3 7 2 2" xfId="10637"/>
    <cellStyle name="Percent 7 2 3 7 2 2 2" xfId="14231"/>
    <cellStyle name="Percent 7 2 3 7 2 2 3" xfId="16877"/>
    <cellStyle name="Percent 7 2 3 7 2 3" xfId="13178"/>
    <cellStyle name="Percent 7 2 3 7 2 3 2" xfId="41373"/>
    <cellStyle name="Percent 7 2 3 7 2 4" xfId="16876"/>
    <cellStyle name="Percent 7 2 3 7 3" xfId="10099"/>
    <cellStyle name="Percent 7 2 3 7 3 2" xfId="13693"/>
    <cellStyle name="Percent 7 2 3 7 3 3" xfId="16878"/>
    <cellStyle name="Percent 7 2 3 7 4" xfId="11234"/>
    <cellStyle name="Percent 7 2 3 7 4 2" xfId="14826"/>
    <cellStyle name="Percent 7 2 3 7 4 3" xfId="16879"/>
    <cellStyle name="Percent 7 2 3 7 5" xfId="12640"/>
    <cellStyle name="Percent 7 2 3 7 5 2" xfId="41372"/>
    <cellStyle name="Percent 7 2 3 7 6" xfId="16875"/>
    <cellStyle name="Percent 7 2 3 8" xfId="9327"/>
    <cellStyle name="Percent 7 2 3 8 2" xfId="10381"/>
    <cellStyle name="Percent 7 2 3 8 2 2" xfId="13975"/>
    <cellStyle name="Percent 7 2 3 8 2 2 2" xfId="41375"/>
    <cellStyle name="Percent 7 2 3 8 2 3" xfId="16881"/>
    <cellStyle name="Percent 7 2 3 8 3" xfId="12922"/>
    <cellStyle name="Percent 7 2 3 8 3 2" xfId="41374"/>
    <cellStyle name="Percent 7 2 3 8 4" xfId="16880"/>
    <cellStyle name="Percent 7 2 3 9" xfId="9843"/>
    <cellStyle name="Percent 7 2 3 9 2" xfId="13437"/>
    <cellStyle name="Percent 7 2 3 9 2 2" xfId="41376"/>
    <cellStyle name="Percent 7 2 3 9 3" xfId="16882"/>
    <cellStyle name="Percent 7 2 4" xfId="8758"/>
    <cellStyle name="Percent 7 2 4 10" xfId="12386"/>
    <cellStyle name="Percent 7 2 4 10 2" xfId="41378"/>
    <cellStyle name="Percent 7 2 4 11" xfId="41377"/>
    <cellStyle name="Percent 7 2 4 12" xfId="16883"/>
    <cellStyle name="Percent 7 2 4 2" xfId="8788"/>
    <cellStyle name="Percent 7 2 4 2 2" xfId="8916"/>
    <cellStyle name="Percent 7 2 4 2 2 2" xfId="9172"/>
    <cellStyle name="Percent 7 2 4 2 2 2 2" xfId="9740"/>
    <cellStyle name="Percent 7 2 4 2 2 2 2 2" xfId="10794"/>
    <cellStyle name="Percent 7 2 4 2 2 2 2 2 2" xfId="14388"/>
    <cellStyle name="Percent 7 2 4 2 2 2 2 2 3" xfId="16888"/>
    <cellStyle name="Percent 7 2 4 2 2 2 2 3" xfId="13335"/>
    <cellStyle name="Percent 7 2 4 2 2 2 2 4" xfId="16887"/>
    <cellStyle name="Percent 7 2 4 2 2 2 3" xfId="10256"/>
    <cellStyle name="Percent 7 2 4 2 2 2 3 2" xfId="13850"/>
    <cellStyle name="Percent 7 2 4 2 2 2 3 3" xfId="16889"/>
    <cellStyle name="Percent 7 2 4 2 2 2 4" xfId="11238"/>
    <cellStyle name="Percent 7 2 4 2 2 2 4 2" xfId="14830"/>
    <cellStyle name="Percent 7 2 4 2 2 2 4 3" xfId="16890"/>
    <cellStyle name="Percent 7 2 4 2 2 2 5" xfId="12797"/>
    <cellStyle name="Percent 7 2 4 2 2 2 5 2" xfId="41381"/>
    <cellStyle name="Percent 7 2 4 2 2 2 6" xfId="16886"/>
    <cellStyle name="Percent 7 2 4 2 2 3" xfId="9484"/>
    <cellStyle name="Percent 7 2 4 2 2 3 2" xfId="10538"/>
    <cellStyle name="Percent 7 2 4 2 2 3 2 2" xfId="14132"/>
    <cellStyle name="Percent 7 2 4 2 2 3 2 3" xfId="16892"/>
    <cellStyle name="Percent 7 2 4 2 2 3 3" xfId="13079"/>
    <cellStyle name="Percent 7 2 4 2 2 3 4" xfId="16891"/>
    <cellStyle name="Percent 7 2 4 2 2 4" xfId="10000"/>
    <cellStyle name="Percent 7 2 4 2 2 4 2" xfId="13594"/>
    <cellStyle name="Percent 7 2 4 2 2 4 3" xfId="16893"/>
    <cellStyle name="Percent 7 2 4 2 2 5" xfId="11237"/>
    <cellStyle name="Percent 7 2 4 2 2 5 2" xfId="14829"/>
    <cellStyle name="Percent 7 2 4 2 2 5 3" xfId="16894"/>
    <cellStyle name="Percent 7 2 4 2 2 6" xfId="12541"/>
    <cellStyle name="Percent 7 2 4 2 2 6 2" xfId="41380"/>
    <cellStyle name="Percent 7 2 4 2 2 7" xfId="16885"/>
    <cellStyle name="Percent 7 2 4 2 3" xfId="9044"/>
    <cellStyle name="Percent 7 2 4 2 3 2" xfId="9612"/>
    <cellStyle name="Percent 7 2 4 2 3 2 2" xfId="10666"/>
    <cellStyle name="Percent 7 2 4 2 3 2 2 2" xfId="14260"/>
    <cellStyle name="Percent 7 2 4 2 3 2 2 3" xfId="16897"/>
    <cellStyle name="Percent 7 2 4 2 3 2 3" xfId="13207"/>
    <cellStyle name="Percent 7 2 4 2 3 2 3 2" xfId="41383"/>
    <cellStyle name="Percent 7 2 4 2 3 2 4" xfId="16896"/>
    <cellStyle name="Percent 7 2 4 2 3 3" xfId="10128"/>
    <cellStyle name="Percent 7 2 4 2 3 3 2" xfId="13722"/>
    <cellStyle name="Percent 7 2 4 2 3 3 3" xfId="16898"/>
    <cellStyle name="Percent 7 2 4 2 3 4" xfId="11239"/>
    <cellStyle name="Percent 7 2 4 2 3 4 2" xfId="14831"/>
    <cellStyle name="Percent 7 2 4 2 3 4 3" xfId="16899"/>
    <cellStyle name="Percent 7 2 4 2 3 5" xfId="12669"/>
    <cellStyle name="Percent 7 2 4 2 3 5 2" xfId="41382"/>
    <cellStyle name="Percent 7 2 4 2 3 6" xfId="16895"/>
    <cellStyle name="Percent 7 2 4 2 4" xfId="9356"/>
    <cellStyle name="Percent 7 2 4 2 4 2" xfId="10410"/>
    <cellStyle name="Percent 7 2 4 2 4 2 2" xfId="14004"/>
    <cellStyle name="Percent 7 2 4 2 4 2 2 2" xfId="41385"/>
    <cellStyle name="Percent 7 2 4 2 4 2 3" xfId="16901"/>
    <cellStyle name="Percent 7 2 4 2 4 3" xfId="12951"/>
    <cellStyle name="Percent 7 2 4 2 4 3 2" xfId="41384"/>
    <cellStyle name="Percent 7 2 4 2 4 4" xfId="16900"/>
    <cellStyle name="Percent 7 2 4 2 5" xfId="9872"/>
    <cellStyle name="Percent 7 2 4 2 5 2" xfId="13466"/>
    <cellStyle name="Percent 7 2 4 2 5 2 2" xfId="41386"/>
    <cellStyle name="Percent 7 2 4 2 5 3" xfId="16902"/>
    <cellStyle name="Percent 7 2 4 2 6" xfId="11236"/>
    <cellStyle name="Percent 7 2 4 2 6 2" xfId="14828"/>
    <cellStyle name="Percent 7 2 4 2 6 2 2" xfId="41387"/>
    <cellStyle name="Percent 7 2 4 2 6 3" xfId="16903"/>
    <cellStyle name="Percent 7 2 4 2 7" xfId="12413"/>
    <cellStyle name="Percent 7 2 4 2 7 2" xfId="41379"/>
    <cellStyle name="Percent 7 2 4 2 8" xfId="16884"/>
    <cellStyle name="Percent 7 2 4 3" xfId="8820"/>
    <cellStyle name="Percent 7 2 4 3 2" xfId="8948"/>
    <cellStyle name="Percent 7 2 4 3 2 2" xfId="9204"/>
    <cellStyle name="Percent 7 2 4 3 2 2 2" xfId="9772"/>
    <cellStyle name="Percent 7 2 4 3 2 2 2 2" xfId="10826"/>
    <cellStyle name="Percent 7 2 4 3 2 2 2 2 2" xfId="14420"/>
    <cellStyle name="Percent 7 2 4 3 2 2 2 2 3" xfId="16908"/>
    <cellStyle name="Percent 7 2 4 3 2 2 2 3" xfId="13367"/>
    <cellStyle name="Percent 7 2 4 3 2 2 2 4" xfId="16907"/>
    <cellStyle name="Percent 7 2 4 3 2 2 3" xfId="10288"/>
    <cellStyle name="Percent 7 2 4 3 2 2 3 2" xfId="13882"/>
    <cellStyle name="Percent 7 2 4 3 2 2 3 3" xfId="16909"/>
    <cellStyle name="Percent 7 2 4 3 2 2 4" xfId="11242"/>
    <cellStyle name="Percent 7 2 4 3 2 2 4 2" xfId="14834"/>
    <cellStyle name="Percent 7 2 4 3 2 2 4 3" xfId="16910"/>
    <cellStyle name="Percent 7 2 4 3 2 2 5" xfId="12829"/>
    <cellStyle name="Percent 7 2 4 3 2 2 5 2" xfId="41390"/>
    <cellStyle name="Percent 7 2 4 3 2 2 6" xfId="16906"/>
    <cellStyle name="Percent 7 2 4 3 2 3" xfId="9516"/>
    <cellStyle name="Percent 7 2 4 3 2 3 2" xfId="10570"/>
    <cellStyle name="Percent 7 2 4 3 2 3 2 2" xfId="14164"/>
    <cellStyle name="Percent 7 2 4 3 2 3 2 3" xfId="16912"/>
    <cellStyle name="Percent 7 2 4 3 2 3 3" xfId="13111"/>
    <cellStyle name="Percent 7 2 4 3 2 3 4" xfId="16911"/>
    <cellStyle name="Percent 7 2 4 3 2 4" xfId="10032"/>
    <cellStyle name="Percent 7 2 4 3 2 4 2" xfId="13626"/>
    <cellStyle name="Percent 7 2 4 3 2 4 3" xfId="16913"/>
    <cellStyle name="Percent 7 2 4 3 2 5" xfId="11241"/>
    <cellStyle name="Percent 7 2 4 3 2 5 2" xfId="14833"/>
    <cellStyle name="Percent 7 2 4 3 2 5 3" xfId="16914"/>
    <cellStyle name="Percent 7 2 4 3 2 6" xfId="12573"/>
    <cellStyle name="Percent 7 2 4 3 2 6 2" xfId="41389"/>
    <cellStyle name="Percent 7 2 4 3 2 7" xfId="16905"/>
    <cellStyle name="Percent 7 2 4 3 3" xfId="9076"/>
    <cellStyle name="Percent 7 2 4 3 3 2" xfId="9644"/>
    <cellStyle name="Percent 7 2 4 3 3 2 2" xfId="10698"/>
    <cellStyle name="Percent 7 2 4 3 3 2 2 2" xfId="14292"/>
    <cellStyle name="Percent 7 2 4 3 3 2 2 3" xfId="16917"/>
    <cellStyle name="Percent 7 2 4 3 3 2 3" xfId="13239"/>
    <cellStyle name="Percent 7 2 4 3 3 2 3 2" xfId="41392"/>
    <cellStyle name="Percent 7 2 4 3 3 2 4" xfId="16916"/>
    <cellStyle name="Percent 7 2 4 3 3 3" xfId="10160"/>
    <cellStyle name="Percent 7 2 4 3 3 3 2" xfId="13754"/>
    <cellStyle name="Percent 7 2 4 3 3 3 3" xfId="16918"/>
    <cellStyle name="Percent 7 2 4 3 3 4" xfId="11243"/>
    <cellStyle name="Percent 7 2 4 3 3 4 2" xfId="14835"/>
    <cellStyle name="Percent 7 2 4 3 3 4 3" xfId="16919"/>
    <cellStyle name="Percent 7 2 4 3 3 5" xfId="12701"/>
    <cellStyle name="Percent 7 2 4 3 3 5 2" xfId="41391"/>
    <cellStyle name="Percent 7 2 4 3 3 6" xfId="16915"/>
    <cellStyle name="Percent 7 2 4 3 4" xfId="9388"/>
    <cellStyle name="Percent 7 2 4 3 4 2" xfId="10442"/>
    <cellStyle name="Percent 7 2 4 3 4 2 2" xfId="14036"/>
    <cellStyle name="Percent 7 2 4 3 4 2 2 2" xfId="41394"/>
    <cellStyle name="Percent 7 2 4 3 4 2 3" xfId="16921"/>
    <cellStyle name="Percent 7 2 4 3 4 3" xfId="12983"/>
    <cellStyle name="Percent 7 2 4 3 4 3 2" xfId="41393"/>
    <cellStyle name="Percent 7 2 4 3 4 4" xfId="16920"/>
    <cellStyle name="Percent 7 2 4 3 5" xfId="9904"/>
    <cellStyle name="Percent 7 2 4 3 5 2" xfId="13498"/>
    <cellStyle name="Percent 7 2 4 3 5 2 2" xfId="41395"/>
    <cellStyle name="Percent 7 2 4 3 5 3" xfId="16922"/>
    <cellStyle name="Percent 7 2 4 3 6" xfId="11240"/>
    <cellStyle name="Percent 7 2 4 3 6 2" xfId="14832"/>
    <cellStyle name="Percent 7 2 4 3 6 2 2" xfId="41396"/>
    <cellStyle name="Percent 7 2 4 3 6 3" xfId="16923"/>
    <cellStyle name="Percent 7 2 4 3 7" xfId="12445"/>
    <cellStyle name="Percent 7 2 4 3 7 2" xfId="41388"/>
    <cellStyle name="Percent 7 2 4 3 8" xfId="16904"/>
    <cellStyle name="Percent 7 2 4 4" xfId="8852"/>
    <cellStyle name="Percent 7 2 4 4 2" xfId="8980"/>
    <cellStyle name="Percent 7 2 4 4 2 2" xfId="9236"/>
    <cellStyle name="Percent 7 2 4 4 2 2 2" xfId="9804"/>
    <cellStyle name="Percent 7 2 4 4 2 2 2 2" xfId="10858"/>
    <cellStyle name="Percent 7 2 4 4 2 2 2 2 2" xfId="14452"/>
    <cellStyle name="Percent 7 2 4 4 2 2 2 2 3" xfId="16928"/>
    <cellStyle name="Percent 7 2 4 4 2 2 2 3" xfId="13399"/>
    <cellStyle name="Percent 7 2 4 4 2 2 2 4" xfId="16927"/>
    <cellStyle name="Percent 7 2 4 4 2 2 3" xfId="10320"/>
    <cellStyle name="Percent 7 2 4 4 2 2 3 2" xfId="13914"/>
    <cellStyle name="Percent 7 2 4 4 2 2 3 3" xfId="16929"/>
    <cellStyle name="Percent 7 2 4 4 2 2 4" xfId="11246"/>
    <cellStyle name="Percent 7 2 4 4 2 2 4 2" xfId="14838"/>
    <cellStyle name="Percent 7 2 4 4 2 2 4 3" xfId="16930"/>
    <cellStyle name="Percent 7 2 4 4 2 2 5" xfId="12861"/>
    <cellStyle name="Percent 7 2 4 4 2 2 5 2" xfId="41399"/>
    <cellStyle name="Percent 7 2 4 4 2 2 6" xfId="16926"/>
    <cellStyle name="Percent 7 2 4 4 2 3" xfId="9548"/>
    <cellStyle name="Percent 7 2 4 4 2 3 2" xfId="10602"/>
    <cellStyle name="Percent 7 2 4 4 2 3 2 2" xfId="14196"/>
    <cellStyle name="Percent 7 2 4 4 2 3 2 3" xfId="16932"/>
    <cellStyle name="Percent 7 2 4 4 2 3 3" xfId="13143"/>
    <cellStyle name="Percent 7 2 4 4 2 3 4" xfId="16931"/>
    <cellStyle name="Percent 7 2 4 4 2 4" xfId="10064"/>
    <cellStyle name="Percent 7 2 4 4 2 4 2" xfId="13658"/>
    <cellStyle name="Percent 7 2 4 4 2 4 3" xfId="16933"/>
    <cellStyle name="Percent 7 2 4 4 2 5" xfId="11245"/>
    <cellStyle name="Percent 7 2 4 4 2 5 2" xfId="14837"/>
    <cellStyle name="Percent 7 2 4 4 2 5 3" xfId="16934"/>
    <cellStyle name="Percent 7 2 4 4 2 6" xfId="12605"/>
    <cellStyle name="Percent 7 2 4 4 2 6 2" xfId="41398"/>
    <cellStyle name="Percent 7 2 4 4 2 7" xfId="16925"/>
    <cellStyle name="Percent 7 2 4 4 3" xfId="9108"/>
    <cellStyle name="Percent 7 2 4 4 3 2" xfId="9676"/>
    <cellStyle name="Percent 7 2 4 4 3 2 2" xfId="10730"/>
    <cellStyle name="Percent 7 2 4 4 3 2 2 2" xfId="14324"/>
    <cellStyle name="Percent 7 2 4 4 3 2 2 3" xfId="16937"/>
    <cellStyle name="Percent 7 2 4 4 3 2 3" xfId="13271"/>
    <cellStyle name="Percent 7 2 4 4 3 2 3 2" xfId="41401"/>
    <cellStyle name="Percent 7 2 4 4 3 2 4" xfId="16936"/>
    <cellStyle name="Percent 7 2 4 4 3 3" xfId="10192"/>
    <cellStyle name="Percent 7 2 4 4 3 3 2" xfId="13786"/>
    <cellStyle name="Percent 7 2 4 4 3 3 3" xfId="16938"/>
    <cellStyle name="Percent 7 2 4 4 3 4" xfId="11247"/>
    <cellStyle name="Percent 7 2 4 4 3 4 2" xfId="14839"/>
    <cellStyle name="Percent 7 2 4 4 3 4 3" xfId="16939"/>
    <cellStyle name="Percent 7 2 4 4 3 5" xfId="12733"/>
    <cellStyle name="Percent 7 2 4 4 3 5 2" xfId="41400"/>
    <cellStyle name="Percent 7 2 4 4 3 6" xfId="16935"/>
    <cellStyle name="Percent 7 2 4 4 4" xfId="9420"/>
    <cellStyle name="Percent 7 2 4 4 4 2" xfId="10474"/>
    <cellStyle name="Percent 7 2 4 4 4 2 2" xfId="14068"/>
    <cellStyle name="Percent 7 2 4 4 4 2 2 2" xfId="41403"/>
    <cellStyle name="Percent 7 2 4 4 4 2 3" xfId="16941"/>
    <cellStyle name="Percent 7 2 4 4 4 3" xfId="13015"/>
    <cellStyle name="Percent 7 2 4 4 4 3 2" xfId="41402"/>
    <cellStyle name="Percent 7 2 4 4 4 4" xfId="16940"/>
    <cellStyle name="Percent 7 2 4 4 5" xfId="9936"/>
    <cellStyle name="Percent 7 2 4 4 5 2" xfId="13530"/>
    <cellStyle name="Percent 7 2 4 4 5 2 2" xfId="41404"/>
    <cellStyle name="Percent 7 2 4 4 5 3" xfId="16942"/>
    <cellStyle name="Percent 7 2 4 4 6" xfId="11244"/>
    <cellStyle name="Percent 7 2 4 4 6 2" xfId="14836"/>
    <cellStyle name="Percent 7 2 4 4 6 2 2" xfId="41405"/>
    <cellStyle name="Percent 7 2 4 4 6 3" xfId="16943"/>
    <cellStyle name="Percent 7 2 4 4 7" xfId="12477"/>
    <cellStyle name="Percent 7 2 4 4 7 2" xfId="41397"/>
    <cellStyle name="Percent 7 2 4 4 8" xfId="16924"/>
    <cellStyle name="Percent 7 2 4 5" xfId="8889"/>
    <cellStyle name="Percent 7 2 4 5 2" xfId="9145"/>
    <cellStyle name="Percent 7 2 4 5 2 2" xfId="9713"/>
    <cellStyle name="Percent 7 2 4 5 2 2 2" xfId="10767"/>
    <cellStyle name="Percent 7 2 4 5 2 2 2 2" xfId="14361"/>
    <cellStyle name="Percent 7 2 4 5 2 2 2 3" xfId="16947"/>
    <cellStyle name="Percent 7 2 4 5 2 2 3" xfId="13308"/>
    <cellStyle name="Percent 7 2 4 5 2 2 3 2" xfId="41408"/>
    <cellStyle name="Percent 7 2 4 5 2 2 4" xfId="16946"/>
    <cellStyle name="Percent 7 2 4 5 2 3" xfId="10229"/>
    <cellStyle name="Percent 7 2 4 5 2 3 2" xfId="13823"/>
    <cellStyle name="Percent 7 2 4 5 2 3 3" xfId="16948"/>
    <cellStyle name="Percent 7 2 4 5 2 4" xfId="11249"/>
    <cellStyle name="Percent 7 2 4 5 2 4 2" xfId="14841"/>
    <cellStyle name="Percent 7 2 4 5 2 4 3" xfId="16949"/>
    <cellStyle name="Percent 7 2 4 5 2 5" xfId="12770"/>
    <cellStyle name="Percent 7 2 4 5 2 5 2" xfId="41407"/>
    <cellStyle name="Percent 7 2 4 5 2 6" xfId="16945"/>
    <cellStyle name="Percent 7 2 4 5 3" xfId="9457"/>
    <cellStyle name="Percent 7 2 4 5 3 2" xfId="10511"/>
    <cellStyle name="Percent 7 2 4 5 3 2 2" xfId="14105"/>
    <cellStyle name="Percent 7 2 4 5 3 2 2 2" xfId="41410"/>
    <cellStyle name="Percent 7 2 4 5 3 2 3" xfId="16951"/>
    <cellStyle name="Percent 7 2 4 5 3 3" xfId="13052"/>
    <cellStyle name="Percent 7 2 4 5 3 3 2" xfId="41409"/>
    <cellStyle name="Percent 7 2 4 5 3 4" xfId="16950"/>
    <cellStyle name="Percent 7 2 4 5 4" xfId="9973"/>
    <cellStyle name="Percent 7 2 4 5 4 2" xfId="13567"/>
    <cellStyle name="Percent 7 2 4 5 4 2 2" xfId="41411"/>
    <cellStyle name="Percent 7 2 4 5 4 3" xfId="16952"/>
    <cellStyle name="Percent 7 2 4 5 5" xfId="11248"/>
    <cellStyle name="Percent 7 2 4 5 5 2" xfId="14840"/>
    <cellStyle name="Percent 7 2 4 5 5 2 2" xfId="41412"/>
    <cellStyle name="Percent 7 2 4 5 5 3" xfId="16953"/>
    <cellStyle name="Percent 7 2 4 5 6" xfId="12514"/>
    <cellStyle name="Percent 7 2 4 5 6 2" xfId="41406"/>
    <cellStyle name="Percent 7 2 4 5 7" xfId="16944"/>
    <cellStyle name="Percent 7 2 4 6" xfId="9017"/>
    <cellStyle name="Percent 7 2 4 6 2" xfId="9585"/>
    <cellStyle name="Percent 7 2 4 6 2 2" xfId="10639"/>
    <cellStyle name="Percent 7 2 4 6 2 2 2" xfId="14233"/>
    <cellStyle name="Percent 7 2 4 6 2 2 3" xfId="16956"/>
    <cellStyle name="Percent 7 2 4 6 2 3" xfId="13180"/>
    <cellStyle name="Percent 7 2 4 6 2 3 2" xfId="41414"/>
    <cellStyle name="Percent 7 2 4 6 2 4" xfId="16955"/>
    <cellStyle name="Percent 7 2 4 6 3" xfId="10101"/>
    <cellStyle name="Percent 7 2 4 6 3 2" xfId="13695"/>
    <cellStyle name="Percent 7 2 4 6 3 3" xfId="16957"/>
    <cellStyle name="Percent 7 2 4 6 4" xfId="11250"/>
    <cellStyle name="Percent 7 2 4 6 4 2" xfId="14842"/>
    <cellStyle name="Percent 7 2 4 6 4 3" xfId="16958"/>
    <cellStyle name="Percent 7 2 4 6 5" xfId="12642"/>
    <cellStyle name="Percent 7 2 4 6 5 2" xfId="41413"/>
    <cellStyle name="Percent 7 2 4 6 6" xfId="16954"/>
    <cellStyle name="Percent 7 2 4 7" xfId="9329"/>
    <cellStyle name="Percent 7 2 4 7 2" xfId="10383"/>
    <cellStyle name="Percent 7 2 4 7 2 2" xfId="13977"/>
    <cellStyle name="Percent 7 2 4 7 2 2 2" xfId="41416"/>
    <cellStyle name="Percent 7 2 4 7 2 3" xfId="16960"/>
    <cellStyle name="Percent 7 2 4 7 3" xfId="12924"/>
    <cellStyle name="Percent 7 2 4 7 3 2" xfId="41415"/>
    <cellStyle name="Percent 7 2 4 7 4" xfId="16959"/>
    <cellStyle name="Percent 7 2 4 8" xfId="9845"/>
    <cellStyle name="Percent 7 2 4 8 2" xfId="13439"/>
    <cellStyle name="Percent 7 2 4 8 2 2" xfId="41418"/>
    <cellStyle name="Percent 7 2 4 8 3" xfId="41417"/>
    <cellStyle name="Percent 7 2 4 8 4" xfId="16961"/>
    <cellStyle name="Percent 7 2 4 9" xfId="11235"/>
    <cellStyle name="Percent 7 2 4 9 2" xfId="14827"/>
    <cellStyle name="Percent 7 2 4 9 2 2" xfId="41419"/>
    <cellStyle name="Percent 7 2 4 9 3" xfId="16962"/>
    <cellStyle name="Percent 7 2 5" xfId="8772"/>
    <cellStyle name="Percent 7 2 5 2" xfId="8900"/>
    <cellStyle name="Percent 7 2 5 2 2" xfId="9156"/>
    <cellStyle name="Percent 7 2 5 2 2 2" xfId="9724"/>
    <cellStyle name="Percent 7 2 5 2 2 2 2" xfId="10778"/>
    <cellStyle name="Percent 7 2 5 2 2 2 2 2" xfId="14372"/>
    <cellStyle name="Percent 7 2 5 2 2 2 2 3" xfId="16967"/>
    <cellStyle name="Percent 7 2 5 2 2 2 3" xfId="13319"/>
    <cellStyle name="Percent 7 2 5 2 2 2 4" xfId="16966"/>
    <cellStyle name="Percent 7 2 5 2 2 3" xfId="10240"/>
    <cellStyle name="Percent 7 2 5 2 2 3 2" xfId="13834"/>
    <cellStyle name="Percent 7 2 5 2 2 3 3" xfId="16968"/>
    <cellStyle name="Percent 7 2 5 2 2 4" xfId="11253"/>
    <cellStyle name="Percent 7 2 5 2 2 4 2" xfId="14845"/>
    <cellStyle name="Percent 7 2 5 2 2 4 3" xfId="16969"/>
    <cellStyle name="Percent 7 2 5 2 2 5" xfId="12781"/>
    <cellStyle name="Percent 7 2 5 2 2 5 2" xfId="41422"/>
    <cellStyle name="Percent 7 2 5 2 2 6" xfId="16965"/>
    <cellStyle name="Percent 7 2 5 2 3" xfId="9468"/>
    <cellStyle name="Percent 7 2 5 2 3 2" xfId="10522"/>
    <cellStyle name="Percent 7 2 5 2 3 2 2" xfId="14116"/>
    <cellStyle name="Percent 7 2 5 2 3 2 3" xfId="16971"/>
    <cellStyle name="Percent 7 2 5 2 3 3" xfId="13063"/>
    <cellStyle name="Percent 7 2 5 2 3 4" xfId="16970"/>
    <cellStyle name="Percent 7 2 5 2 4" xfId="9984"/>
    <cellStyle name="Percent 7 2 5 2 4 2" xfId="13578"/>
    <cellStyle name="Percent 7 2 5 2 4 3" xfId="16972"/>
    <cellStyle name="Percent 7 2 5 2 5" xfId="11252"/>
    <cellStyle name="Percent 7 2 5 2 5 2" xfId="14844"/>
    <cellStyle name="Percent 7 2 5 2 5 3" xfId="16973"/>
    <cellStyle name="Percent 7 2 5 2 6" xfId="12525"/>
    <cellStyle name="Percent 7 2 5 2 6 2" xfId="41421"/>
    <cellStyle name="Percent 7 2 5 2 7" xfId="16964"/>
    <cellStyle name="Percent 7 2 5 3" xfId="9028"/>
    <cellStyle name="Percent 7 2 5 3 2" xfId="9596"/>
    <cellStyle name="Percent 7 2 5 3 2 2" xfId="10650"/>
    <cellStyle name="Percent 7 2 5 3 2 2 2" xfId="14244"/>
    <cellStyle name="Percent 7 2 5 3 2 2 3" xfId="16976"/>
    <cellStyle name="Percent 7 2 5 3 2 3" xfId="13191"/>
    <cellStyle name="Percent 7 2 5 3 2 3 2" xfId="41424"/>
    <cellStyle name="Percent 7 2 5 3 2 4" xfId="16975"/>
    <cellStyle name="Percent 7 2 5 3 3" xfId="10112"/>
    <cellStyle name="Percent 7 2 5 3 3 2" xfId="13706"/>
    <cellStyle name="Percent 7 2 5 3 3 3" xfId="16977"/>
    <cellStyle name="Percent 7 2 5 3 4" xfId="11254"/>
    <cellStyle name="Percent 7 2 5 3 4 2" xfId="14846"/>
    <cellStyle name="Percent 7 2 5 3 4 3" xfId="16978"/>
    <cellStyle name="Percent 7 2 5 3 5" xfId="12653"/>
    <cellStyle name="Percent 7 2 5 3 5 2" xfId="41423"/>
    <cellStyle name="Percent 7 2 5 3 6" xfId="16974"/>
    <cellStyle name="Percent 7 2 5 4" xfId="9340"/>
    <cellStyle name="Percent 7 2 5 4 2" xfId="10394"/>
    <cellStyle name="Percent 7 2 5 4 2 2" xfId="13988"/>
    <cellStyle name="Percent 7 2 5 4 2 2 2" xfId="41426"/>
    <cellStyle name="Percent 7 2 5 4 2 3" xfId="16980"/>
    <cellStyle name="Percent 7 2 5 4 3" xfId="12935"/>
    <cellStyle name="Percent 7 2 5 4 3 2" xfId="41425"/>
    <cellStyle name="Percent 7 2 5 4 4" xfId="16979"/>
    <cellStyle name="Percent 7 2 5 5" xfId="9856"/>
    <cellStyle name="Percent 7 2 5 5 2" xfId="13450"/>
    <cellStyle name="Percent 7 2 5 5 2 2" xfId="41427"/>
    <cellStyle name="Percent 7 2 5 5 3" xfId="16981"/>
    <cellStyle name="Percent 7 2 5 6" xfId="11251"/>
    <cellStyle name="Percent 7 2 5 6 2" xfId="14843"/>
    <cellStyle name="Percent 7 2 5 6 2 2" xfId="41428"/>
    <cellStyle name="Percent 7 2 5 6 3" xfId="16982"/>
    <cellStyle name="Percent 7 2 5 7" xfId="12397"/>
    <cellStyle name="Percent 7 2 5 7 2" xfId="41420"/>
    <cellStyle name="Percent 7 2 5 8" xfId="16963"/>
    <cellStyle name="Percent 7 2 6" xfId="8804"/>
    <cellStyle name="Percent 7 2 6 2" xfId="8932"/>
    <cellStyle name="Percent 7 2 6 2 2" xfId="9188"/>
    <cellStyle name="Percent 7 2 6 2 2 2" xfId="9756"/>
    <cellStyle name="Percent 7 2 6 2 2 2 2" xfId="10810"/>
    <cellStyle name="Percent 7 2 6 2 2 2 2 2" xfId="14404"/>
    <cellStyle name="Percent 7 2 6 2 2 2 2 3" xfId="16987"/>
    <cellStyle name="Percent 7 2 6 2 2 2 3" xfId="13351"/>
    <cellStyle name="Percent 7 2 6 2 2 2 4" xfId="16986"/>
    <cellStyle name="Percent 7 2 6 2 2 3" xfId="10272"/>
    <cellStyle name="Percent 7 2 6 2 2 3 2" xfId="13866"/>
    <cellStyle name="Percent 7 2 6 2 2 3 3" xfId="16988"/>
    <cellStyle name="Percent 7 2 6 2 2 4" xfId="11257"/>
    <cellStyle name="Percent 7 2 6 2 2 4 2" xfId="14849"/>
    <cellStyle name="Percent 7 2 6 2 2 4 3" xfId="16989"/>
    <cellStyle name="Percent 7 2 6 2 2 5" xfId="12813"/>
    <cellStyle name="Percent 7 2 6 2 2 5 2" xfId="41431"/>
    <cellStyle name="Percent 7 2 6 2 2 6" xfId="16985"/>
    <cellStyle name="Percent 7 2 6 2 3" xfId="9500"/>
    <cellStyle name="Percent 7 2 6 2 3 2" xfId="10554"/>
    <cellStyle name="Percent 7 2 6 2 3 2 2" xfId="14148"/>
    <cellStyle name="Percent 7 2 6 2 3 2 3" xfId="16991"/>
    <cellStyle name="Percent 7 2 6 2 3 3" xfId="13095"/>
    <cellStyle name="Percent 7 2 6 2 3 4" xfId="16990"/>
    <cellStyle name="Percent 7 2 6 2 4" xfId="10016"/>
    <cellStyle name="Percent 7 2 6 2 4 2" xfId="13610"/>
    <cellStyle name="Percent 7 2 6 2 4 3" xfId="16992"/>
    <cellStyle name="Percent 7 2 6 2 5" xfId="11256"/>
    <cellStyle name="Percent 7 2 6 2 5 2" xfId="14848"/>
    <cellStyle name="Percent 7 2 6 2 5 3" xfId="16993"/>
    <cellStyle name="Percent 7 2 6 2 6" xfId="12557"/>
    <cellStyle name="Percent 7 2 6 2 6 2" xfId="41430"/>
    <cellStyle name="Percent 7 2 6 2 7" xfId="16984"/>
    <cellStyle name="Percent 7 2 6 3" xfId="9060"/>
    <cellStyle name="Percent 7 2 6 3 2" xfId="9628"/>
    <cellStyle name="Percent 7 2 6 3 2 2" xfId="10682"/>
    <cellStyle name="Percent 7 2 6 3 2 2 2" xfId="14276"/>
    <cellStyle name="Percent 7 2 6 3 2 2 3" xfId="16996"/>
    <cellStyle name="Percent 7 2 6 3 2 3" xfId="13223"/>
    <cellStyle name="Percent 7 2 6 3 2 3 2" xfId="41433"/>
    <cellStyle name="Percent 7 2 6 3 2 4" xfId="16995"/>
    <cellStyle name="Percent 7 2 6 3 3" xfId="10144"/>
    <cellStyle name="Percent 7 2 6 3 3 2" xfId="13738"/>
    <cellStyle name="Percent 7 2 6 3 3 3" xfId="16997"/>
    <cellStyle name="Percent 7 2 6 3 4" xfId="11258"/>
    <cellStyle name="Percent 7 2 6 3 4 2" xfId="14850"/>
    <cellStyle name="Percent 7 2 6 3 4 3" xfId="16998"/>
    <cellStyle name="Percent 7 2 6 3 5" xfId="12685"/>
    <cellStyle name="Percent 7 2 6 3 5 2" xfId="41432"/>
    <cellStyle name="Percent 7 2 6 3 6" xfId="16994"/>
    <cellStyle name="Percent 7 2 6 4" xfId="9372"/>
    <cellStyle name="Percent 7 2 6 4 2" xfId="10426"/>
    <cellStyle name="Percent 7 2 6 4 2 2" xfId="14020"/>
    <cellStyle name="Percent 7 2 6 4 2 2 2" xfId="41435"/>
    <cellStyle name="Percent 7 2 6 4 2 3" xfId="17000"/>
    <cellStyle name="Percent 7 2 6 4 3" xfId="12967"/>
    <cellStyle name="Percent 7 2 6 4 3 2" xfId="41434"/>
    <cellStyle name="Percent 7 2 6 4 4" xfId="16999"/>
    <cellStyle name="Percent 7 2 6 5" xfId="9888"/>
    <cellStyle name="Percent 7 2 6 5 2" xfId="13482"/>
    <cellStyle name="Percent 7 2 6 5 2 2" xfId="41436"/>
    <cellStyle name="Percent 7 2 6 5 3" xfId="17001"/>
    <cellStyle name="Percent 7 2 6 6" xfId="11255"/>
    <cellStyle name="Percent 7 2 6 6 2" xfId="14847"/>
    <cellStyle name="Percent 7 2 6 6 2 2" xfId="41437"/>
    <cellStyle name="Percent 7 2 6 6 3" xfId="17002"/>
    <cellStyle name="Percent 7 2 6 7" xfId="12429"/>
    <cellStyle name="Percent 7 2 6 7 2" xfId="41429"/>
    <cellStyle name="Percent 7 2 6 8" xfId="16983"/>
    <cellStyle name="Percent 7 2 7" xfId="8836"/>
    <cellStyle name="Percent 7 2 7 2" xfId="8964"/>
    <cellStyle name="Percent 7 2 7 2 2" xfId="9220"/>
    <cellStyle name="Percent 7 2 7 2 2 2" xfId="9788"/>
    <cellStyle name="Percent 7 2 7 2 2 2 2" xfId="10842"/>
    <cellStyle name="Percent 7 2 7 2 2 2 2 2" xfId="14436"/>
    <cellStyle name="Percent 7 2 7 2 2 2 2 3" xfId="17007"/>
    <cellStyle name="Percent 7 2 7 2 2 2 3" xfId="13383"/>
    <cellStyle name="Percent 7 2 7 2 2 2 4" xfId="17006"/>
    <cellStyle name="Percent 7 2 7 2 2 3" xfId="10304"/>
    <cellStyle name="Percent 7 2 7 2 2 3 2" xfId="13898"/>
    <cellStyle name="Percent 7 2 7 2 2 3 3" xfId="17008"/>
    <cellStyle name="Percent 7 2 7 2 2 4" xfId="11261"/>
    <cellStyle name="Percent 7 2 7 2 2 4 2" xfId="14853"/>
    <cellStyle name="Percent 7 2 7 2 2 4 3" xfId="17009"/>
    <cellStyle name="Percent 7 2 7 2 2 5" xfId="12845"/>
    <cellStyle name="Percent 7 2 7 2 2 5 2" xfId="41440"/>
    <cellStyle name="Percent 7 2 7 2 2 6" xfId="17005"/>
    <cellStyle name="Percent 7 2 7 2 3" xfId="9532"/>
    <cellStyle name="Percent 7 2 7 2 3 2" xfId="10586"/>
    <cellStyle name="Percent 7 2 7 2 3 2 2" xfId="14180"/>
    <cellStyle name="Percent 7 2 7 2 3 2 3" xfId="17011"/>
    <cellStyle name="Percent 7 2 7 2 3 3" xfId="13127"/>
    <cellStyle name="Percent 7 2 7 2 3 4" xfId="17010"/>
    <cellStyle name="Percent 7 2 7 2 4" xfId="10048"/>
    <cellStyle name="Percent 7 2 7 2 4 2" xfId="13642"/>
    <cellStyle name="Percent 7 2 7 2 4 3" xfId="17012"/>
    <cellStyle name="Percent 7 2 7 2 5" xfId="11260"/>
    <cellStyle name="Percent 7 2 7 2 5 2" xfId="14852"/>
    <cellStyle name="Percent 7 2 7 2 5 3" xfId="17013"/>
    <cellStyle name="Percent 7 2 7 2 6" xfId="12589"/>
    <cellStyle name="Percent 7 2 7 2 6 2" xfId="41439"/>
    <cellStyle name="Percent 7 2 7 2 7" xfId="17004"/>
    <cellStyle name="Percent 7 2 7 3" xfId="9092"/>
    <cellStyle name="Percent 7 2 7 3 2" xfId="9660"/>
    <cellStyle name="Percent 7 2 7 3 2 2" xfId="10714"/>
    <cellStyle name="Percent 7 2 7 3 2 2 2" xfId="14308"/>
    <cellStyle name="Percent 7 2 7 3 2 2 3" xfId="17016"/>
    <cellStyle name="Percent 7 2 7 3 2 3" xfId="13255"/>
    <cellStyle name="Percent 7 2 7 3 2 3 2" xfId="41442"/>
    <cellStyle name="Percent 7 2 7 3 2 4" xfId="17015"/>
    <cellStyle name="Percent 7 2 7 3 3" xfId="10176"/>
    <cellStyle name="Percent 7 2 7 3 3 2" xfId="13770"/>
    <cellStyle name="Percent 7 2 7 3 3 3" xfId="17017"/>
    <cellStyle name="Percent 7 2 7 3 4" xfId="11262"/>
    <cellStyle name="Percent 7 2 7 3 4 2" xfId="14854"/>
    <cellStyle name="Percent 7 2 7 3 4 3" xfId="17018"/>
    <cellStyle name="Percent 7 2 7 3 5" xfId="12717"/>
    <cellStyle name="Percent 7 2 7 3 5 2" xfId="41441"/>
    <cellStyle name="Percent 7 2 7 3 6" xfId="17014"/>
    <cellStyle name="Percent 7 2 7 4" xfId="9404"/>
    <cellStyle name="Percent 7 2 7 4 2" xfId="10458"/>
    <cellStyle name="Percent 7 2 7 4 2 2" xfId="14052"/>
    <cellStyle name="Percent 7 2 7 4 2 2 2" xfId="41444"/>
    <cellStyle name="Percent 7 2 7 4 2 3" xfId="17020"/>
    <cellStyle name="Percent 7 2 7 4 3" xfId="12999"/>
    <cellStyle name="Percent 7 2 7 4 3 2" xfId="41443"/>
    <cellStyle name="Percent 7 2 7 4 4" xfId="17019"/>
    <cellStyle name="Percent 7 2 7 5" xfId="9920"/>
    <cellStyle name="Percent 7 2 7 5 2" xfId="13514"/>
    <cellStyle name="Percent 7 2 7 5 2 2" xfId="41445"/>
    <cellStyle name="Percent 7 2 7 5 3" xfId="17021"/>
    <cellStyle name="Percent 7 2 7 6" xfId="11259"/>
    <cellStyle name="Percent 7 2 7 6 2" xfId="14851"/>
    <cellStyle name="Percent 7 2 7 6 2 2" xfId="41446"/>
    <cellStyle name="Percent 7 2 7 6 3" xfId="17022"/>
    <cellStyle name="Percent 7 2 7 7" xfId="12461"/>
    <cellStyle name="Percent 7 2 7 7 2" xfId="41438"/>
    <cellStyle name="Percent 7 2 7 8" xfId="17003"/>
    <cellStyle name="Percent 7 2 8" xfId="8882"/>
    <cellStyle name="Percent 7 2 8 2" xfId="9138"/>
    <cellStyle name="Percent 7 2 8 2 2" xfId="9706"/>
    <cellStyle name="Percent 7 2 8 2 2 2" xfId="10760"/>
    <cellStyle name="Percent 7 2 8 2 2 2 2" xfId="14354"/>
    <cellStyle name="Percent 7 2 8 2 2 2 3" xfId="17026"/>
    <cellStyle name="Percent 7 2 8 2 2 3" xfId="13301"/>
    <cellStyle name="Percent 7 2 8 2 2 3 2" xfId="41449"/>
    <cellStyle name="Percent 7 2 8 2 2 4" xfId="17025"/>
    <cellStyle name="Percent 7 2 8 2 3" xfId="10222"/>
    <cellStyle name="Percent 7 2 8 2 3 2" xfId="13816"/>
    <cellStyle name="Percent 7 2 8 2 3 3" xfId="17027"/>
    <cellStyle name="Percent 7 2 8 2 4" xfId="11264"/>
    <cellStyle name="Percent 7 2 8 2 4 2" xfId="14856"/>
    <cellStyle name="Percent 7 2 8 2 4 3" xfId="17028"/>
    <cellStyle name="Percent 7 2 8 2 5" xfId="12763"/>
    <cellStyle name="Percent 7 2 8 2 5 2" xfId="41448"/>
    <cellStyle name="Percent 7 2 8 2 6" xfId="17024"/>
    <cellStyle name="Percent 7 2 8 3" xfId="9450"/>
    <cellStyle name="Percent 7 2 8 3 2" xfId="10504"/>
    <cellStyle name="Percent 7 2 8 3 2 2" xfId="14098"/>
    <cellStyle name="Percent 7 2 8 3 2 2 2" xfId="41451"/>
    <cellStyle name="Percent 7 2 8 3 2 3" xfId="17030"/>
    <cellStyle name="Percent 7 2 8 3 3" xfId="13045"/>
    <cellStyle name="Percent 7 2 8 3 3 2" xfId="41450"/>
    <cellStyle name="Percent 7 2 8 3 4" xfId="17029"/>
    <cellStyle name="Percent 7 2 8 4" xfId="9966"/>
    <cellStyle name="Percent 7 2 8 4 2" xfId="13560"/>
    <cellStyle name="Percent 7 2 8 4 2 2" xfId="41452"/>
    <cellStyle name="Percent 7 2 8 4 3" xfId="17031"/>
    <cellStyle name="Percent 7 2 8 5" xfId="11263"/>
    <cellStyle name="Percent 7 2 8 5 2" xfId="14855"/>
    <cellStyle name="Percent 7 2 8 5 2 2" xfId="41453"/>
    <cellStyle name="Percent 7 2 8 5 3" xfId="17032"/>
    <cellStyle name="Percent 7 2 8 6" xfId="12507"/>
    <cellStyle name="Percent 7 2 8 6 2" xfId="41447"/>
    <cellStyle name="Percent 7 2 8 7" xfId="17023"/>
    <cellStyle name="Percent 7 2 9" xfId="9010"/>
    <cellStyle name="Percent 7 2 9 2" xfId="9578"/>
    <cellStyle name="Percent 7 2 9 2 2" xfId="10632"/>
    <cellStyle name="Percent 7 2 9 2 2 2" xfId="14226"/>
    <cellStyle name="Percent 7 2 9 2 2 3" xfId="17035"/>
    <cellStyle name="Percent 7 2 9 2 3" xfId="13173"/>
    <cellStyle name="Percent 7 2 9 2 3 2" xfId="41455"/>
    <cellStyle name="Percent 7 2 9 2 4" xfId="17034"/>
    <cellStyle name="Percent 7 2 9 3" xfId="10094"/>
    <cellStyle name="Percent 7 2 9 3 2" xfId="13688"/>
    <cellStyle name="Percent 7 2 9 3 3" xfId="17036"/>
    <cellStyle name="Percent 7 2 9 4" xfId="11265"/>
    <cellStyle name="Percent 7 2 9 4 2" xfId="14857"/>
    <cellStyle name="Percent 7 2 9 4 3" xfId="17037"/>
    <cellStyle name="Percent 7 2 9 5" xfId="12635"/>
    <cellStyle name="Percent 7 2 9 5 2" xfId="41454"/>
    <cellStyle name="Percent 7 2 9 6" xfId="17033"/>
    <cellStyle name="Percent 7 3" xfId="8759"/>
    <cellStyle name="Percent 7 3 10" xfId="9846"/>
    <cellStyle name="Percent 7 3 10 2" xfId="13440"/>
    <cellStyle name="Percent 7 3 10 2 2" xfId="41458"/>
    <cellStyle name="Percent 7 3 10 3" xfId="41457"/>
    <cellStyle name="Percent 7 3 10 4" xfId="17039"/>
    <cellStyle name="Percent 7 3 11" xfId="11266"/>
    <cellStyle name="Percent 7 3 11 2" xfId="14858"/>
    <cellStyle name="Percent 7 3 11 2 2" xfId="41460"/>
    <cellStyle name="Percent 7 3 11 3" xfId="41459"/>
    <cellStyle name="Percent 7 3 11 4" xfId="17040"/>
    <cellStyle name="Percent 7 3 12" xfId="12387"/>
    <cellStyle name="Percent 7 3 12 2" xfId="41461"/>
    <cellStyle name="Percent 7 3 13" xfId="41462"/>
    <cellStyle name="Percent 7 3 14" xfId="41456"/>
    <cellStyle name="Percent 7 3 15" xfId="17038"/>
    <cellStyle name="Percent 7 3 2" xfId="8760"/>
    <cellStyle name="Percent 7 3 2 10" xfId="11267"/>
    <cellStyle name="Percent 7 3 2 10 2" xfId="14859"/>
    <cellStyle name="Percent 7 3 2 10 2 2" xfId="41464"/>
    <cellStyle name="Percent 7 3 2 10 3" xfId="17042"/>
    <cellStyle name="Percent 7 3 2 11" xfId="12388"/>
    <cellStyle name="Percent 7 3 2 11 2" xfId="41465"/>
    <cellStyle name="Percent 7 3 2 12" xfId="41463"/>
    <cellStyle name="Percent 7 3 2 13" xfId="17041"/>
    <cellStyle name="Percent 7 3 2 2" xfId="8761"/>
    <cellStyle name="Percent 7 3 2 2 10" xfId="12389"/>
    <cellStyle name="Percent 7 3 2 2 10 2" xfId="41466"/>
    <cellStyle name="Percent 7 3 2 2 11" xfId="17043"/>
    <cellStyle name="Percent 7 3 2 2 2" xfId="8798"/>
    <cellStyle name="Percent 7 3 2 2 2 2" xfId="8926"/>
    <cellStyle name="Percent 7 3 2 2 2 2 2" xfId="9182"/>
    <cellStyle name="Percent 7 3 2 2 2 2 2 2" xfId="9750"/>
    <cellStyle name="Percent 7 3 2 2 2 2 2 2 2" xfId="10804"/>
    <cellStyle name="Percent 7 3 2 2 2 2 2 2 2 2" xfId="14398"/>
    <cellStyle name="Percent 7 3 2 2 2 2 2 2 2 3" xfId="17048"/>
    <cellStyle name="Percent 7 3 2 2 2 2 2 2 3" xfId="13345"/>
    <cellStyle name="Percent 7 3 2 2 2 2 2 2 4" xfId="17047"/>
    <cellStyle name="Percent 7 3 2 2 2 2 2 3" xfId="10266"/>
    <cellStyle name="Percent 7 3 2 2 2 2 2 3 2" xfId="13860"/>
    <cellStyle name="Percent 7 3 2 2 2 2 2 3 3" xfId="17049"/>
    <cellStyle name="Percent 7 3 2 2 2 2 2 4" xfId="11271"/>
    <cellStyle name="Percent 7 3 2 2 2 2 2 4 2" xfId="14863"/>
    <cellStyle name="Percent 7 3 2 2 2 2 2 4 3" xfId="17050"/>
    <cellStyle name="Percent 7 3 2 2 2 2 2 5" xfId="12807"/>
    <cellStyle name="Percent 7 3 2 2 2 2 2 6" xfId="17046"/>
    <cellStyle name="Percent 7 3 2 2 2 2 3" xfId="9494"/>
    <cellStyle name="Percent 7 3 2 2 2 2 3 2" xfId="10548"/>
    <cellStyle name="Percent 7 3 2 2 2 2 3 2 2" xfId="14142"/>
    <cellStyle name="Percent 7 3 2 2 2 2 3 2 3" xfId="17052"/>
    <cellStyle name="Percent 7 3 2 2 2 2 3 3" xfId="13089"/>
    <cellStyle name="Percent 7 3 2 2 2 2 3 4" xfId="17051"/>
    <cellStyle name="Percent 7 3 2 2 2 2 4" xfId="10010"/>
    <cellStyle name="Percent 7 3 2 2 2 2 4 2" xfId="13604"/>
    <cellStyle name="Percent 7 3 2 2 2 2 4 3" xfId="17053"/>
    <cellStyle name="Percent 7 3 2 2 2 2 5" xfId="11270"/>
    <cellStyle name="Percent 7 3 2 2 2 2 5 2" xfId="14862"/>
    <cellStyle name="Percent 7 3 2 2 2 2 5 3" xfId="17054"/>
    <cellStyle name="Percent 7 3 2 2 2 2 6" xfId="12551"/>
    <cellStyle name="Percent 7 3 2 2 2 2 6 2" xfId="41468"/>
    <cellStyle name="Percent 7 3 2 2 2 2 7" xfId="17045"/>
    <cellStyle name="Percent 7 3 2 2 2 3" xfId="9054"/>
    <cellStyle name="Percent 7 3 2 2 2 3 2" xfId="9622"/>
    <cellStyle name="Percent 7 3 2 2 2 3 2 2" xfId="10676"/>
    <cellStyle name="Percent 7 3 2 2 2 3 2 2 2" xfId="14270"/>
    <cellStyle name="Percent 7 3 2 2 2 3 2 2 3" xfId="17057"/>
    <cellStyle name="Percent 7 3 2 2 2 3 2 3" xfId="13217"/>
    <cellStyle name="Percent 7 3 2 2 2 3 2 4" xfId="17056"/>
    <cellStyle name="Percent 7 3 2 2 2 3 3" xfId="10138"/>
    <cellStyle name="Percent 7 3 2 2 2 3 3 2" xfId="13732"/>
    <cellStyle name="Percent 7 3 2 2 2 3 3 3" xfId="17058"/>
    <cellStyle name="Percent 7 3 2 2 2 3 4" xfId="11272"/>
    <cellStyle name="Percent 7 3 2 2 2 3 4 2" xfId="14864"/>
    <cellStyle name="Percent 7 3 2 2 2 3 4 3" xfId="17059"/>
    <cellStyle name="Percent 7 3 2 2 2 3 5" xfId="12679"/>
    <cellStyle name="Percent 7 3 2 2 2 3 6" xfId="17055"/>
    <cellStyle name="Percent 7 3 2 2 2 4" xfId="9366"/>
    <cellStyle name="Percent 7 3 2 2 2 4 2" xfId="10420"/>
    <cellStyle name="Percent 7 3 2 2 2 4 2 2" xfId="14014"/>
    <cellStyle name="Percent 7 3 2 2 2 4 2 3" xfId="17061"/>
    <cellStyle name="Percent 7 3 2 2 2 4 3" xfId="12961"/>
    <cellStyle name="Percent 7 3 2 2 2 4 4" xfId="17060"/>
    <cellStyle name="Percent 7 3 2 2 2 5" xfId="9882"/>
    <cellStyle name="Percent 7 3 2 2 2 5 2" xfId="13476"/>
    <cellStyle name="Percent 7 3 2 2 2 5 3" xfId="17062"/>
    <cellStyle name="Percent 7 3 2 2 2 6" xfId="11269"/>
    <cellStyle name="Percent 7 3 2 2 2 6 2" xfId="14861"/>
    <cellStyle name="Percent 7 3 2 2 2 6 3" xfId="17063"/>
    <cellStyle name="Percent 7 3 2 2 2 7" xfId="12423"/>
    <cellStyle name="Percent 7 3 2 2 2 7 2" xfId="41467"/>
    <cellStyle name="Percent 7 3 2 2 2 8" xfId="17044"/>
    <cellStyle name="Percent 7 3 2 2 3" xfId="8830"/>
    <cellStyle name="Percent 7 3 2 2 3 2" xfId="8958"/>
    <cellStyle name="Percent 7 3 2 2 3 2 2" xfId="9214"/>
    <cellStyle name="Percent 7 3 2 2 3 2 2 2" xfId="9782"/>
    <cellStyle name="Percent 7 3 2 2 3 2 2 2 2" xfId="10836"/>
    <cellStyle name="Percent 7 3 2 2 3 2 2 2 2 2" xfId="14430"/>
    <cellStyle name="Percent 7 3 2 2 3 2 2 2 2 3" xfId="17068"/>
    <cellStyle name="Percent 7 3 2 2 3 2 2 2 3" xfId="13377"/>
    <cellStyle name="Percent 7 3 2 2 3 2 2 2 4" xfId="17067"/>
    <cellStyle name="Percent 7 3 2 2 3 2 2 3" xfId="10298"/>
    <cellStyle name="Percent 7 3 2 2 3 2 2 3 2" xfId="13892"/>
    <cellStyle name="Percent 7 3 2 2 3 2 2 3 3" xfId="17069"/>
    <cellStyle name="Percent 7 3 2 2 3 2 2 4" xfId="11275"/>
    <cellStyle name="Percent 7 3 2 2 3 2 2 4 2" xfId="14867"/>
    <cellStyle name="Percent 7 3 2 2 3 2 2 4 3" xfId="17070"/>
    <cellStyle name="Percent 7 3 2 2 3 2 2 5" xfId="12839"/>
    <cellStyle name="Percent 7 3 2 2 3 2 2 6" xfId="17066"/>
    <cellStyle name="Percent 7 3 2 2 3 2 3" xfId="9526"/>
    <cellStyle name="Percent 7 3 2 2 3 2 3 2" xfId="10580"/>
    <cellStyle name="Percent 7 3 2 2 3 2 3 2 2" xfId="14174"/>
    <cellStyle name="Percent 7 3 2 2 3 2 3 2 3" xfId="17072"/>
    <cellStyle name="Percent 7 3 2 2 3 2 3 3" xfId="13121"/>
    <cellStyle name="Percent 7 3 2 2 3 2 3 4" xfId="17071"/>
    <cellStyle name="Percent 7 3 2 2 3 2 4" xfId="10042"/>
    <cellStyle name="Percent 7 3 2 2 3 2 4 2" xfId="13636"/>
    <cellStyle name="Percent 7 3 2 2 3 2 4 3" xfId="17073"/>
    <cellStyle name="Percent 7 3 2 2 3 2 5" xfId="11274"/>
    <cellStyle name="Percent 7 3 2 2 3 2 5 2" xfId="14866"/>
    <cellStyle name="Percent 7 3 2 2 3 2 5 3" xfId="17074"/>
    <cellStyle name="Percent 7 3 2 2 3 2 6" xfId="12583"/>
    <cellStyle name="Percent 7 3 2 2 3 2 6 2" xfId="41470"/>
    <cellStyle name="Percent 7 3 2 2 3 2 7" xfId="17065"/>
    <cellStyle name="Percent 7 3 2 2 3 3" xfId="9086"/>
    <cellStyle name="Percent 7 3 2 2 3 3 2" xfId="9654"/>
    <cellStyle name="Percent 7 3 2 2 3 3 2 2" xfId="10708"/>
    <cellStyle name="Percent 7 3 2 2 3 3 2 2 2" xfId="14302"/>
    <cellStyle name="Percent 7 3 2 2 3 3 2 2 3" xfId="17077"/>
    <cellStyle name="Percent 7 3 2 2 3 3 2 3" xfId="13249"/>
    <cellStyle name="Percent 7 3 2 2 3 3 2 4" xfId="17076"/>
    <cellStyle name="Percent 7 3 2 2 3 3 3" xfId="10170"/>
    <cellStyle name="Percent 7 3 2 2 3 3 3 2" xfId="13764"/>
    <cellStyle name="Percent 7 3 2 2 3 3 3 3" xfId="17078"/>
    <cellStyle name="Percent 7 3 2 2 3 3 4" xfId="11276"/>
    <cellStyle name="Percent 7 3 2 2 3 3 4 2" xfId="14868"/>
    <cellStyle name="Percent 7 3 2 2 3 3 4 3" xfId="17079"/>
    <cellStyle name="Percent 7 3 2 2 3 3 5" xfId="12711"/>
    <cellStyle name="Percent 7 3 2 2 3 3 6" xfId="17075"/>
    <cellStyle name="Percent 7 3 2 2 3 4" xfId="9398"/>
    <cellStyle name="Percent 7 3 2 2 3 4 2" xfId="10452"/>
    <cellStyle name="Percent 7 3 2 2 3 4 2 2" xfId="14046"/>
    <cellStyle name="Percent 7 3 2 2 3 4 2 3" xfId="17081"/>
    <cellStyle name="Percent 7 3 2 2 3 4 3" xfId="12993"/>
    <cellStyle name="Percent 7 3 2 2 3 4 4" xfId="17080"/>
    <cellStyle name="Percent 7 3 2 2 3 5" xfId="9914"/>
    <cellStyle name="Percent 7 3 2 2 3 5 2" xfId="13508"/>
    <cellStyle name="Percent 7 3 2 2 3 5 3" xfId="17082"/>
    <cellStyle name="Percent 7 3 2 2 3 6" xfId="11273"/>
    <cellStyle name="Percent 7 3 2 2 3 6 2" xfId="14865"/>
    <cellStyle name="Percent 7 3 2 2 3 6 3" xfId="17083"/>
    <cellStyle name="Percent 7 3 2 2 3 7" xfId="12455"/>
    <cellStyle name="Percent 7 3 2 2 3 7 2" xfId="41469"/>
    <cellStyle name="Percent 7 3 2 2 3 8" xfId="17064"/>
    <cellStyle name="Percent 7 3 2 2 4" xfId="8862"/>
    <cellStyle name="Percent 7 3 2 2 4 2" xfId="8990"/>
    <cellStyle name="Percent 7 3 2 2 4 2 2" xfId="9246"/>
    <cellStyle name="Percent 7 3 2 2 4 2 2 2" xfId="9814"/>
    <cellStyle name="Percent 7 3 2 2 4 2 2 2 2" xfId="10868"/>
    <cellStyle name="Percent 7 3 2 2 4 2 2 2 2 2" xfId="14462"/>
    <cellStyle name="Percent 7 3 2 2 4 2 2 2 2 3" xfId="17088"/>
    <cellStyle name="Percent 7 3 2 2 4 2 2 2 3" xfId="13409"/>
    <cellStyle name="Percent 7 3 2 2 4 2 2 2 4" xfId="17087"/>
    <cellStyle name="Percent 7 3 2 2 4 2 2 3" xfId="10330"/>
    <cellStyle name="Percent 7 3 2 2 4 2 2 3 2" xfId="13924"/>
    <cellStyle name="Percent 7 3 2 2 4 2 2 3 3" xfId="17089"/>
    <cellStyle name="Percent 7 3 2 2 4 2 2 4" xfId="11279"/>
    <cellStyle name="Percent 7 3 2 2 4 2 2 4 2" xfId="14871"/>
    <cellStyle name="Percent 7 3 2 2 4 2 2 4 3" xfId="17090"/>
    <cellStyle name="Percent 7 3 2 2 4 2 2 5" xfId="12871"/>
    <cellStyle name="Percent 7 3 2 2 4 2 2 6" xfId="17086"/>
    <cellStyle name="Percent 7 3 2 2 4 2 3" xfId="9558"/>
    <cellStyle name="Percent 7 3 2 2 4 2 3 2" xfId="10612"/>
    <cellStyle name="Percent 7 3 2 2 4 2 3 2 2" xfId="14206"/>
    <cellStyle name="Percent 7 3 2 2 4 2 3 2 3" xfId="17092"/>
    <cellStyle name="Percent 7 3 2 2 4 2 3 3" xfId="13153"/>
    <cellStyle name="Percent 7 3 2 2 4 2 3 4" xfId="17091"/>
    <cellStyle name="Percent 7 3 2 2 4 2 4" xfId="10074"/>
    <cellStyle name="Percent 7 3 2 2 4 2 4 2" xfId="13668"/>
    <cellStyle name="Percent 7 3 2 2 4 2 4 3" xfId="17093"/>
    <cellStyle name="Percent 7 3 2 2 4 2 5" xfId="11278"/>
    <cellStyle name="Percent 7 3 2 2 4 2 5 2" xfId="14870"/>
    <cellStyle name="Percent 7 3 2 2 4 2 5 3" xfId="17094"/>
    <cellStyle name="Percent 7 3 2 2 4 2 6" xfId="12615"/>
    <cellStyle name="Percent 7 3 2 2 4 2 6 2" xfId="41472"/>
    <cellStyle name="Percent 7 3 2 2 4 2 7" xfId="17085"/>
    <cellStyle name="Percent 7 3 2 2 4 3" xfId="9118"/>
    <cellStyle name="Percent 7 3 2 2 4 3 2" xfId="9686"/>
    <cellStyle name="Percent 7 3 2 2 4 3 2 2" xfId="10740"/>
    <cellStyle name="Percent 7 3 2 2 4 3 2 2 2" xfId="14334"/>
    <cellStyle name="Percent 7 3 2 2 4 3 2 2 3" xfId="17097"/>
    <cellStyle name="Percent 7 3 2 2 4 3 2 3" xfId="13281"/>
    <cellStyle name="Percent 7 3 2 2 4 3 2 4" xfId="17096"/>
    <cellStyle name="Percent 7 3 2 2 4 3 3" xfId="10202"/>
    <cellStyle name="Percent 7 3 2 2 4 3 3 2" xfId="13796"/>
    <cellStyle name="Percent 7 3 2 2 4 3 3 3" xfId="17098"/>
    <cellStyle name="Percent 7 3 2 2 4 3 4" xfId="11280"/>
    <cellStyle name="Percent 7 3 2 2 4 3 4 2" xfId="14872"/>
    <cellStyle name="Percent 7 3 2 2 4 3 4 3" xfId="17099"/>
    <cellStyle name="Percent 7 3 2 2 4 3 5" xfId="12743"/>
    <cellStyle name="Percent 7 3 2 2 4 3 6" xfId="17095"/>
    <cellStyle name="Percent 7 3 2 2 4 4" xfId="9430"/>
    <cellStyle name="Percent 7 3 2 2 4 4 2" xfId="10484"/>
    <cellStyle name="Percent 7 3 2 2 4 4 2 2" xfId="14078"/>
    <cellStyle name="Percent 7 3 2 2 4 4 2 3" xfId="17101"/>
    <cellStyle name="Percent 7 3 2 2 4 4 3" xfId="13025"/>
    <cellStyle name="Percent 7 3 2 2 4 4 4" xfId="17100"/>
    <cellStyle name="Percent 7 3 2 2 4 5" xfId="9946"/>
    <cellStyle name="Percent 7 3 2 2 4 5 2" xfId="13540"/>
    <cellStyle name="Percent 7 3 2 2 4 5 3" xfId="17102"/>
    <cellStyle name="Percent 7 3 2 2 4 6" xfId="11277"/>
    <cellStyle name="Percent 7 3 2 2 4 6 2" xfId="14869"/>
    <cellStyle name="Percent 7 3 2 2 4 6 3" xfId="17103"/>
    <cellStyle name="Percent 7 3 2 2 4 7" xfId="12487"/>
    <cellStyle name="Percent 7 3 2 2 4 7 2" xfId="41471"/>
    <cellStyle name="Percent 7 3 2 2 4 8" xfId="17084"/>
    <cellStyle name="Percent 7 3 2 2 5" xfId="8892"/>
    <cellStyle name="Percent 7 3 2 2 5 2" xfId="9148"/>
    <cellStyle name="Percent 7 3 2 2 5 2 2" xfId="9716"/>
    <cellStyle name="Percent 7 3 2 2 5 2 2 2" xfId="10770"/>
    <cellStyle name="Percent 7 3 2 2 5 2 2 2 2" xfId="14364"/>
    <cellStyle name="Percent 7 3 2 2 5 2 2 2 3" xfId="17107"/>
    <cellStyle name="Percent 7 3 2 2 5 2 2 3" xfId="13311"/>
    <cellStyle name="Percent 7 3 2 2 5 2 2 4" xfId="17106"/>
    <cellStyle name="Percent 7 3 2 2 5 2 3" xfId="10232"/>
    <cellStyle name="Percent 7 3 2 2 5 2 3 2" xfId="13826"/>
    <cellStyle name="Percent 7 3 2 2 5 2 3 3" xfId="17108"/>
    <cellStyle name="Percent 7 3 2 2 5 2 4" xfId="11282"/>
    <cellStyle name="Percent 7 3 2 2 5 2 4 2" xfId="14874"/>
    <cellStyle name="Percent 7 3 2 2 5 2 4 3" xfId="17109"/>
    <cellStyle name="Percent 7 3 2 2 5 2 5" xfId="12773"/>
    <cellStyle name="Percent 7 3 2 2 5 2 6" xfId="17105"/>
    <cellStyle name="Percent 7 3 2 2 5 3" xfId="9460"/>
    <cellStyle name="Percent 7 3 2 2 5 3 2" xfId="10514"/>
    <cellStyle name="Percent 7 3 2 2 5 3 2 2" xfId="14108"/>
    <cellStyle name="Percent 7 3 2 2 5 3 2 3" xfId="17111"/>
    <cellStyle name="Percent 7 3 2 2 5 3 3" xfId="13055"/>
    <cellStyle name="Percent 7 3 2 2 5 3 4" xfId="17110"/>
    <cellStyle name="Percent 7 3 2 2 5 4" xfId="9976"/>
    <cellStyle name="Percent 7 3 2 2 5 4 2" xfId="13570"/>
    <cellStyle name="Percent 7 3 2 2 5 4 3" xfId="17112"/>
    <cellStyle name="Percent 7 3 2 2 5 5" xfId="11281"/>
    <cellStyle name="Percent 7 3 2 2 5 5 2" xfId="14873"/>
    <cellStyle name="Percent 7 3 2 2 5 5 3" xfId="17113"/>
    <cellStyle name="Percent 7 3 2 2 5 6" xfId="12517"/>
    <cellStyle name="Percent 7 3 2 2 5 6 2" xfId="41473"/>
    <cellStyle name="Percent 7 3 2 2 5 7" xfId="17104"/>
    <cellStyle name="Percent 7 3 2 2 6" xfId="9020"/>
    <cellStyle name="Percent 7 3 2 2 6 2" xfId="9588"/>
    <cellStyle name="Percent 7 3 2 2 6 2 2" xfId="10642"/>
    <cellStyle name="Percent 7 3 2 2 6 2 2 2" xfId="14236"/>
    <cellStyle name="Percent 7 3 2 2 6 2 2 3" xfId="17116"/>
    <cellStyle name="Percent 7 3 2 2 6 2 3" xfId="13183"/>
    <cellStyle name="Percent 7 3 2 2 6 2 4" xfId="17115"/>
    <cellStyle name="Percent 7 3 2 2 6 3" xfId="10104"/>
    <cellStyle name="Percent 7 3 2 2 6 3 2" xfId="13698"/>
    <cellStyle name="Percent 7 3 2 2 6 3 3" xfId="17117"/>
    <cellStyle name="Percent 7 3 2 2 6 4" xfId="11283"/>
    <cellStyle name="Percent 7 3 2 2 6 4 2" xfId="14875"/>
    <cellStyle name="Percent 7 3 2 2 6 4 3" xfId="17118"/>
    <cellStyle name="Percent 7 3 2 2 6 5" xfId="12645"/>
    <cellStyle name="Percent 7 3 2 2 6 5 2" xfId="41474"/>
    <cellStyle name="Percent 7 3 2 2 6 6" xfId="17114"/>
    <cellStyle name="Percent 7 3 2 2 7" xfId="9332"/>
    <cellStyle name="Percent 7 3 2 2 7 2" xfId="10386"/>
    <cellStyle name="Percent 7 3 2 2 7 2 2" xfId="13980"/>
    <cellStyle name="Percent 7 3 2 2 7 2 3" xfId="17120"/>
    <cellStyle name="Percent 7 3 2 2 7 3" xfId="12927"/>
    <cellStyle name="Percent 7 3 2 2 7 4" xfId="17119"/>
    <cellStyle name="Percent 7 3 2 2 8" xfId="9848"/>
    <cellStyle name="Percent 7 3 2 2 8 2" xfId="13442"/>
    <cellStyle name="Percent 7 3 2 2 8 3" xfId="17121"/>
    <cellStyle name="Percent 7 3 2 2 9" xfId="11268"/>
    <cellStyle name="Percent 7 3 2 2 9 2" xfId="14860"/>
    <cellStyle name="Percent 7 3 2 2 9 3" xfId="17122"/>
    <cellStyle name="Percent 7 3 2 3" xfId="8782"/>
    <cellStyle name="Percent 7 3 2 3 2" xfId="8910"/>
    <cellStyle name="Percent 7 3 2 3 2 2" xfId="9166"/>
    <cellStyle name="Percent 7 3 2 3 2 2 2" xfId="9734"/>
    <cellStyle name="Percent 7 3 2 3 2 2 2 2" xfId="10788"/>
    <cellStyle name="Percent 7 3 2 3 2 2 2 2 2" xfId="14382"/>
    <cellStyle name="Percent 7 3 2 3 2 2 2 2 3" xfId="17127"/>
    <cellStyle name="Percent 7 3 2 3 2 2 2 3" xfId="13329"/>
    <cellStyle name="Percent 7 3 2 3 2 2 2 4" xfId="17126"/>
    <cellStyle name="Percent 7 3 2 3 2 2 3" xfId="10250"/>
    <cellStyle name="Percent 7 3 2 3 2 2 3 2" xfId="13844"/>
    <cellStyle name="Percent 7 3 2 3 2 2 3 3" xfId="17128"/>
    <cellStyle name="Percent 7 3 2 3 2 2 4" xfId="11286"/>
    <cellStyle name="Percent 7 3 2 3 2 2 4 2" xfId="14878"/>
    <cellStyle name="Percent 7 3 2 3 2 2 4 3" xfId="17129"/>
    <cellStyle name="Percent 7 3 2 3 2 2 5" xfId="12791"/>
    <cellStyle name="Percent 7 3 2 3 2 2 5 2" xfId="41477"/>
    <cellStyle name="Percent 7 3 2 3 2 2 6" xfId="17125"/>
    <cellStyle name="Percent 7 3 2 3 2 3" xfId="9478"/>
    <cellStyle name="Percent 7 3 2 3 2 3 2" xfId="10532"/>
    <cellStyle name="Percent 7 3 2 3 2 3 2 2" xfId="14126"/>
    <cellStyle name="Percent 7 3 2 3 2 3 2 3" xfId="17131"/>
    <cellStyle name="Percent 7 3 2 3 2 3 3" xfId="13073"/>
    <cellStyle name="Percent 7 3 2 3 2 3 4" xfId="17130"/>
    <cellStyle name="Percent 7 3 2 3 2 4" xfId="9994"/>
    <cellStyle name="Percent 7 3 2 3 2 4 2" xfId="13588"/>
    <cellStyle name="Percent 7 3 2 3 2 4 3" xfId="17132"/>
    <cellStyle name="Percent 7 3 2 3 2 5" xfId="11285"/>
    <cellStyle name="Percent 7 3 2 3 2 5 2" xfId="14877"/>
    <cellStyle name="Percent 7 3 2 3 2 5 3" xfId="17133"/>
    <cellStyle name="Percent 7 3 2 3 2 6" xfId="12535"/>
    <cellStyle name="Percent 7 3 2 3 2 6 2" xfId="41476"/>
    <cellStyle name="Percent 7 3 2 3 2 7" xfId="17124"/>
    <cellStyle name="Percent 7 3 2 3 3" xfId="9038"/>
    <cellStyle name="Percent 7 3 2 3 3 2" xfId="9606"/>
    <cellStyle name="Percent 7 3 2 3 3 2 2" xfId="10660"/>
    <cellStyle name="Percent 7 3 2 3 3 2 2 2" xfId="14254"/>
    <cellStyle name="Percent 7 3 2 3 3 2 2 3" xfId="17136"/>
    <cellStyle name="Percent 7 3 2 3 3 2 3" xfId="13201"/>
    <cellStyle name="Percent 7 3 2 3 3 2 3 2" xfId="41479"/>
    <cellStyle name="Percent 7 3 2 3 3 2 4" xfId="17135"/>
    <cellStyle name="Percent 7 3 2 3 3 3" xfId="10122"/>
    <cellStyle name="Percent 7 3 2 3 3 3 2" xfId="13716"/>
    <cellStyle name="Percent 7 3 2 3 3 3 3" xfId="17137"/>
    <cellStyle name="Percent 7 3 2 3 3 4" xfId="11287"/>
    <cellStyle name="Percent 7 3 2 3 3 4 2" xfId="14879"/>
    <cellStyle name="Percent 7 3 2 3 3 4 3" xfId="17138"/>
    <cellStyle name="Percent 7 3 2 3 3 5" xfId="12663"/>
    <cellStyle name="Percent 7 3 2 3 3 5 2" xfId="41478"/>
    <cellStyle name="Percent 7 3 2 3 3 6" xfId="17134"/>
    <cellStyle name="Percent 7 3 2 3 4" xfId="9350"/>
    <cellStyle name="Percent 7 3 2 3 4 2" xfId="10404"/>
    <cellStyle name="Percent 7 3 2 3 4 2 2" xfId="13998"/>
    <cellStyle name="Percent 7 3 2 3 4 2 2 2" xfId="41481"/>
    <cellStyle name="Percent 7 3 2 3 4 2 3" xfId="17140"/>
    <cellStyle name="Percent 7 3 2 3 4 3" xfId="12945"/>
    <cellStyle name="Percent 7 3 2 3 4 3 2" xfId="41480"/>
    <cellStyle name="Percent 7 3 2 3 4 4" xfId="17139"/>
    <cellStyle name="Percent 7 3 2 3 5" xfId="9866"/>
    <cellStyle name="Percent 7 3 2 3 5 2" xfId="13460"/>
    <cellStyle name="Percent 7 3 2 3 5 2 2" xfId="41482"/>
    <cellStyle name="Percent 7 3 2 3 5 3" xfId="17141"/>
    <cellStyle name="Percent 7 3 2 3 6" xfId="11284"/>
    <cellStyle name="Percent 7 3 2 3 6 2" xfId="14876"/>
    <cellStyle name="Percent 7 3 2 3 6 2 2" xfId="41483"/>
    <cellStyle name="Percent 7 3 2 3 6 3" xfId="17142"/>
    <cellStyle name="Percent 7 3 2 3 7" xfId="12407"/>
    <cellStyle name="Percent 7 3 2 3 7 2" xfId="41475"/>
    <cellStyle name="Percent 7 3 2 3 8" xfId="17123"/>
    <cellStyle name="Percent 7 3 2 4" xfId="8814"/>
    <cellStyle name="Percent 7 3 2 4 2" xfId="8942"/>
    <cellStyle name="Percent 7 3 2 4 2 2" xfId="9198"/>
    <cellStyle name="Percent 7 3 2 4 2 2 2" xfId="9766"/>
    <cellStyle name="Percent 7 3 2 4 2 2 2 2" xfId="10820"/>
    <cellStyle name="Percent 7 3 2 4 2 2 2 2 2" xfId="14414"/>
    <cellStyle name="Percent 7 3 2 4 2 2 2 2 3" xfId="17147"/>
    <cellStyle name="Percent 7 3 2 4 2 2 2 3" xfId="13361"/>
    <cellStyle name="Percent 7 3 2 4 2 2 2 4" xfId="17146"/>
    <cellStyle name="Percent 7 3 2 4 2 2 3" xfId="10282"/>
    <cellStyle name="Percent 7 3 2 4 2 2 3 2" xfId="13876"/>
    <cellStyle name="Percent 7 3 2 4 2 2 3 3" xfId="17148"/>
    <cellStyle name="Percent 7 3 2 4 2 2 4" xfId="11290"/>
    <cellStyle name="Percent 7 3 2 4 2 2 4 2" xfId="14882"/>
    <cellStyle name="Percent 7 3 2 4 2 2 4 3" xfId="17149"/>
    <cellStyle name="Percent 7 3 2 4 2 2 5" xfId="12823"/>
    <cellStyle name="Percent 7 3 2 4 2 2 5 2" xfId="41486"/>
    <cellStyle name="Percent 7 3 2 4 2 2 6" xfId="17145"/>
    <cellStyle name="Percent 7 3 2 4 2 3" xfId="9510"/>
    <cellStyle name="Percent 7 3 2 4 2 3 2" xfId="10564"/>
    <cellStyle name="Percent 7 3 2 4 2 3 2 2" xfId="14158"/>
    <cellStyle name="Percent 7 3 2 4 2 3 2 3" xfId="17151"/>
    <cellStyle name="Percent 7 3 2 4 2 3 3" xfId="13105"/>
    <cellStyle name="Percent 7 3 2 4 2 3 4" xfId="17150"/>
    <cellStyle name="Percent 7 3 2 4 2 4" xfId="10026"/>
    <cellStyle name="Percent 7 3 2 4 2 4 2" xfId="13620"/>
    <cellStyle name="Percent 7 3 2 4 2 4 3" xfId="17152"/>
    <cellStyle name="Percent 7 3 2 4 2 5" xfId="11289"/>
    <cellStyle name="Percent 7 3 2 4 2 5 2" xfId="14881"/>
    <cellStyle name="Percent 7 3 2 4 2 5 3" xfId="17153"/>
    <cellStyle name="Percent 7 3 2 4 2 6" xfId="12567"/>
    <cellStyle name="Percent 7 3 2 4 2 6 2" xfId="41485"/>
    <cellStyle name="Percent 7 3 2 4 2 7" xfId="17144"/>
    <cellStyle name="Percent 7 3 2 4 3" xfId="9070"/>
    <cellStyle name="Percent 7 3 2 4 3 2" xfId="9638"/>
    <cellStyle name="Percent 7 3 2 4 3 2 2" xfId="10692"/>
    <cellStyle name="Percent 7 3 2 4 3 2 2 2" xfId="14286"/>
    <cellStyle name="Percent 7 3 2 4 3 2 2 3" xfId="17156"/>
    <cellStyle name="Percent 7 3 2 4 3 2 3" xfId="13233"/>
    <cellStyle name="Percent 7 3 2 4 3 2 3 2" xfId="41488"/>
    <cellStyle name="Percent 7 3 2 4 3 2 4" xfId="17155"/>
    <cellStyle name="Percent 7 3 2 4 3 3" xfId="10154"/>
    <cellStyle name="Percent 7 3 2 4 3 3 2" xfId="13748"/>
    <cellStyle name="Percent 7 3 2 4 3 3 3" xfId="17157"/>
    <cellStyle name="Percent 7 3 2 4 3 4" xfId="11291"/>
    <cellStyle name="Percent 7 3 2 4 3 4 2" xfId="14883"/>
    <cellStyle name="Percent 7 3 2 4 3 4 3" xfId="17158"/>
    <cellStyle name="Percent 7 3 2 4 3 5" xfId="12695"/>
    <cellStyle name="Percent 7 3 2 4 3 5 2" xfId="41487"/>
    <cellStyle name="Percent 7 3 2 4 3 6" xfId="17154"/>
    <cellStyle name="Percent 7 3 2 4 4" xfId="9382"/>
    <cellStyle name="Percent 7 3 2 4 4 2" xfId="10436"/>
    <cellStyle name="Percent 7 3 2 4 4 2 2" xfId="14030"/>
    <cellStyle name="Percent 7 3 2 4 4 2 2 2" xfId="41490"/>
    <cellStyle name="Percent 7 3 2 4 4 2 3" xfId="17160"/>
    <cellStyle name="Percent 7 3 2 4 4 3" xfId="12977"/>
    <cellStyle name="Percent 7 3 2 4 4 3 2" xfId="41489"/>
    <cellStyle name="Percent 7 3 2 4 4 4" xfId="17159"/>
    <cellStyle name="Percent 7 3 2 4 5" xfId="9898"/>
    <cellStyle name="Percent 7 3 2 4 5 2" xfId="13492"/>
    <cellStyle name="Percent 7 3 2 4 5 2 2" xfId="41491"/>
    <cellStyle name="Percent 7 3 2 4 5 3" xfId="17161"/>
    <cellStyle name="Percent 7 3 2 4 6" xfId="11288"/>
    <cellStyle name="Percent 7 3 2 4 6 2" xfId="14880"/>
    <cellStyle name="Percent 7 3 2 4 6 2 2" xfId="41492"/>
    <cellStyle name="Percent 7 3 2 4 6 3" xfId="17162"/>
    <cellStyle name="Percent 7 3 2 4 7" xfId="12439"/>
    <cellStyle name="Percent 7 3 2 4 7 2" xfId="41484"/>
    <cellStyle name="Percent 7 3 2 4 8" xfId="17143"/>
    <cellStyle name="Percent 7 3 2 5" xfId="8846"/>
    <cellStyle name="Percent 7 3 2 5 2" xfId="8974"/>
    <cellStyle name="Percent 7 3 2 5 2 2" xfId="9230"/>
    <cellStyle name="Percent 7 3 2 5 2 2 2" xfId="9798"/>
    <cellStyle name="Percent 7 3 2 5 2 2 2 2" xfId="10852"/>
    <cellStyle name="Percent 7 3 2 5 2 2 2 2 2" xfId="14446"/>
    <cellStyle name="Percent 7 3 2 5 2 2 2 2 3" xfId="17167"/>
    <cellStyle name="Percent 7 3 2 5 2 2 2 3" xfId="13393"/>
    <cellStyle name="Percent 7 3 2 5 2 2 2 4" xfId="17166"/>
    <cellStyle name="Percent 7 3 2 5 2 2 3" xfId="10314"/>
    <cellStyle name="Percent 7 3 2 5 2 2 3 2" xfId="13908"/>
    <cellStyle name="Percent 7 3 2 5 2 2 3 3" xfId="17168"/>
    <cellStyle name="Percent 7 3 2 5 2 2 4" xfId="11294"/>
    <cellStyle name="Percent 7 3 2 5 2 2 4 2" xfId="14886"/>
    <cellStyle name="Percent 7 3 2 5 2 2 4 3" xfId="17169"/>
    <cellStyle name="Percent 7 3 2 5 2 2 5" xfId="12855"/>
    <cellStyle name="Percent 7 3 2 5 2 2 5 2" xfId="41495"/>
    <cellStyle name="Percent 7 3 2 5 2 2 6" xfId="17165"/>
    <cellStyle name="Percent 7 3 2 5 2 3" xfId="9542"/>
    <cellStyle name="Percent 7 3 2 5 2 3 2" xfId="10596"/>
    <cellStyle name="Percent 7 3 2 5 2 3 2 2" xfId="14190"/>
    <cellStyle name="Percent 7 3 2 5 2 3 2 3" xfId="17171"/>
    <cellStyle name="Percent 7 3 2 5 2 3 3" xfId="13137"/>
    <cellStyle name="Percent 7 3 2 5 2 3 4" xfId="17170"/>
    <cellStyle name="Percent 7 3 2 5 2 4" xfId="10058"/>
    <cellStyle name="Percent 7 3 2 5 2 4 2" xfId="13652"/>
    <cellStyle name="Percent 7 3 2 5 2 4 3" xfId="17172"/>
    <cellStyle name="Percent 7 3 2 5 2 5" xfId="11293"/>
    <cellStyle name="Percent 7 3 2 5 2 5 2" xfId="14885"/>
    <cellStyle name="Percent 7 3 2 5 2 5 3" xfId="17173"/>
    <cellStyle name="Percent 7 3 2 5 2 6" xfId="12599"/>
    <cellStyle name="Percent 7 3 2 5 2 6 2" xfId="41494"/>
    <cellStyle name="Percent 7 3 2 5 2 7" xfId="17164"/>
    <cellStyle name="Percent 7 3 2 5 3" xfId="9102"/>
    <cellStyle name="Percent 7 3 2 5 3 2" xfId="9670"/>
    <cellStyle name="Percent 7 3 2 5 3 2 2" xfId="10724"/>
    <cellStyle name="Percent 7 3 2 5 3 2 2 2" xfId="14318"/>
    <cellStyle name="Percent 7 3 2 5 3 2 2 3" xfId="17176"/>
    <cellStyle name="Percent 7 3 2 5 3 2 3" xfId="13265"/>
    <cellStyle name="Percent 7 3 2 5 3 2 3 2" xfId="41497"/>
    <cellStyle name="Percent 7 3 2 5 3 2 4" xfId="17175"/>
    <cellStyle name="Percent 7 3 2 5 3 3" xfId="10186"/>
    <cellStyle name="Percent 7 3 2 5 3 3 2" xfId="13780"/>
    <cellStyle name="Percent 7 3 2 5 3 3 3" xfId="17177"/>
    <cellStyle name="Percent 7 3 2 5 3 4" xfId="11295"/>
    <cellStyle name="Percent 7 3 2 5 3 4 2" xfId="14887"/>
    <cellStyle name="Percent 7 3 2 5 3 4 3" xfId="17178"/>
    <cellStyle name="Percent 7 3 2 5 3 5" xfId="12727"/>
    <cellStyle name="Percent 7 3 2 5 3 5 2" xfId="41496"/>
    <cellStyle name="Percent 7 3 2 5 3 6" xfId="17174"/>
    <cellStyle name="Percent 7 3 2 5 4" xfId="9414"/>
    <cellStyle name="Percent 7 3 2 5 4 2" xfId="10468"/>
    <cellStyle name="Percent 7 3 2 5 4 2 2" xfId="14062"/>
    <cellStyle name="Percent 7 3 2 5 4 2 2 2" xfId="41499"/>
    <cellStyle name="Percent 7 3 2 5 4 2 3" xfId="17180"/>
    <cellStyle name="Percent 7 3 2 5 4 3" xfId="13009"/>
    <cellStyle name="Percent 7 3 2 5 4 3 2" xfId="41498"/>
    <cellStyle name="Percent 7 3 2 5 4 4" xfId="17179"/>
    <cellStyle name="Percent 7 3 2 5 5" xfId="9930"/>
    <cellStyle name="Percent 7 3 2 5 5 2" xfId="13524"/>
    <cellStyle name="Percent 7 3 2 5 5 2 2" xfId="41500"/>
    <cellStyle name="Percent 7 3 2 5 5 3" xfId="17181"/>
    <cellStyle name="Percent 7 3 2 5 6" xfId="11292"/>
    <cellStyle name="Percent 7 3 2 5 6 2" xfId="14884"/>
    <cellStyle name="Percent 7 3 2 5 6 2 2" xfId="41501"/>
    <cellStyle name="Percent 7 3 2 5 6 3" xfId="17182"/>
    <cellStyle name="Percent 7 3 2 5 7" xfId="12471"/>
    <cellStyle name="Percent 7 3 2 5 7 2" xfId="41493"/>
    <cellStyle name="Percent 7 3 2 5 8" xfId="17163"/>
    <cellStyle name="Percent 7 3 2 6" xfId="8891"/>
    <cellStyle name="Percent 7 3 2 6 2" xfId="9147"/>
    <cellStyle name="Percent 7 3 2 6 2 2" xfId="9715"/>
    <cellStyle name="Percent 7 3 2 6 2 2 2" xfId="10769"/>
    <cellStyle name="Percent 7 3 2 6 2 2 2 2" xfId="14363"/>
    <cellStyle name="Percent 7 3 2 6 2 2 2 3" xfId="17186"/>
    <cellStyle name="Percent 7 3 2 6 2 2 3" xfId="13310"/>
    <cellStyle name="Percent 7 3 2 6 2 2 3 2" xfId="41504"/>
    <cellStyle name="Percent 7 3 2 6 2 2 4" xfId="17185"/>
    <cellStyle name="Percent 7 3 2 6 2 3" xfId="10231"/>
    <cellStyle name="Percent 7 3 2 6 2 3 2" xfId="13825"/>
    <cellStyle name="Percent 7 3 2 6 2 3 3" xfId="17187"/>
    <cellStyle name="Percent 7 3 2 6 2 4" xfId="11297"/>
    <cellStyle name="Percent 7 3 2 6 2 4 2" xfId="14889"/>
    <cellStyle name="Percent 7 3 2 6 2 4 3" xfId="17188"/>
    <cellStyle name="Percent 7 3 2 6 2 5" xfId="12772"/>
    <cellStyle name="Percent 7 3 2 6 2 5 2" xfId="41503"/>
    <cellStyle name="Percent 7 3 2 6 2 6" xfId="17184"/>
    <cellStyle name="Percent 7 3 2 6 3" xfId="9459"/>
    <cellStyle name="Percent 7 3 2 6 3 2" xfId="10513"/>
    <cellStyle name="Percent 7 3 2 6 3 2 2" xfId="14107"/>
    <cellStyle name="Percent 7 3 2 6 3 2 2 2" xfId="41506"/>
    <cellStyle name="Percent 7 3 2 6 3 2 3" xfId="17190"/>
    <cellStyle name="Percent 7 3 2 6 3 3" xfId="13054"/>
    <cellStyle name="Percent 7 3 2 6 3 3 2" xfId="41505"/>
    <cellStyle name="Percent 7 3 2 6 3 4" xfId="17189"/>
    <cellStyle name="Percent 7 3 2 6 4" xfId="9975"/>
    <cellStyle name="Percent 7 3 2 6 4 2" xfId="13569"/>
    <cellStyle name="Percent 7 3 2 6 4 2 2" xfId="41507"/>
    <cellStyle name="Percent 7 3 2 6 4 3" xfId="17191"/>
    <cellStyle name="Percent 7 3 2 6 5" xfId="11296"/>
    <cellStyle name="Percent 7 3 2 6 5 2" xfId="14888"/>
    <cellStyle name="Percent 7 3 2 6 5 2 2" xfId="41508"/>
    <cellStyle name="Percent 7 3 2 6 5 3" xfId="17192"/>
    <cellStyle name="Percent 7 3 2 6 6" xfId="12516"/>
    <cellStyle name="Percent 7 3 2 6 6 2" xfId="41502"/>
    <cellStyle name="Percent 7 3 2 6 7" xfId="17183"/>
    <cellStyle name="Percent 7 3 2 7" xfId="9019"/>
    <cellStyle name="Percent 7 3 2 7 2" xfId="9587"/>
    <cellStyle name="Percent 7 3 2 7 2 2" xfId="10641"/>
    <cellStyle name="Percent 7 3 2 7 2 2 2" xfId="14235"/>
    <cellStyle name="Percent 7 3 2 7 2 2 3" xfId="17195"/>
    <cellStyle name="Percent 7 3 2 7 2 3" xfId="13182"/>
    <cellStyle name="Percent 7 3 2 7 2 3 2" xfId="41510"/>
    <cellStyle name="Percent 7 3 2 7 2 4" xfId="17194"/>
    <cellStyle name="Percent 7 3 2 7 3" xfId="10103"/>
    <cellStyle name="Percent 7 3 2 7 3 2" xfId="13697"/>
    <cellStyle name="Percent 7 3 2 7 3 3" xfId="17196"/>
    <cellStyle name="Percent 7 3 2 7 4" xfId="11298"/>
    <cellStyle name="Percent 7 3 2 7 4 2" xfId="14890"/>
    <cellStyle name="Percent 7 3 2 7 4 3" xfId="17197"/>
    <cellStyle name="Percent 7 3 2 7 5" xfId="12644"/>
    <cellStyle name="Percent 7 3 2 7 5 2" xfId="41509"/>
    <cellStyle name="Percent 7 3 2 7 6" xfId="17193"/>
    <cellStyle name="Percent 7 3 2 8" xfId="9331"/>
    <cellStyle name="Percent 7 3 2 8 2" xfId="10385"/>
    <cellStyle name="Percent 7 3 2 8 2 2" xfId="13979"/>
    <cellStyle name="Percent 7 3 2 8 2 2 2" xfId="41512"/>
    <cellStyle name="Percent 7 3 2 8 2 3" xfId="17199"/>
    <cellStyle name="Percent 7 3 2 8 3" xfId="12926"/>
    <cellStyle name="Percent 7 3 2 8 3 2" xfId="41511"/>
    <cellStyle name="Percent 7 3 2 8 4" xfId="17198"/>
    <cellStyle name="Percent 7 3 2 9" xfId="9847"/>
    <cellStyle name="Percent 7 3 2 9 2" xfId="13441"/>
    <cellStyle name="Percent 7 3 2 9 2 2" xfId="41514"/>
    <cellStyle name="Percent 7 3 2 9 3" xfId="41513"/>
    <cellStyle name="Percent 7 3 2 9 4" xfId="17200"/>
    <cellStyle name="Percent 7 3 3" xfId="8762"/>
    <cellStyle name="Percent 7 3 3 10" xfId="12390"/>
    <cellStyle name="Percent 7 3 3 10 2" xfId="41516"/>
    <cellStyle name="Percent 7 3 3 11" xfId="41515"/>
    <cellStyle name="Percent 7 3 3 12" xfId="17201"/>
    <cellStyle name="Percent 7 3 3 2" xfId="8790"/>
    <cellStyle name="Percent 7 3 3 2 2" xfId="8918"/>
    <cellStyle name="Percent 7 3 3 2 2 2" xfId="9174"/>
    <cellStyle name="Percent 7 3 3 2 2 2 2" xfId="9742"/>
    <cellStyle name="Percent 7 3 3 2 2 2 2 2" xfId="10796"/>
    <cellStyle name="Percent 7 3 3 2 2 2 2 2 2" xfId="14390"/>
    <cellStyle name="Percent 7 3 3 2 2 2 2 2 3" xfId="17206"/>
    <cellStyle name="Percent 7 3 3 2 2 2 2 3" xfId="13337"/>
    <cellStyle name="Percent 7 3 3 2 2 2 2 4" xfId="17205"/>
    <cellStyle name="Percent 7 3 3 2 2 2 3" xfId="10258"/>
    <cellStyle name="Percent 7 3 3 2 2 2 3 2" xfId="13852"/>
    <cellStyle name="Percent 7 3 3 2 2 2 3 3" xfId="17207"/>
    <cellStyle name="Percent 7 3 3 2 2 2 4" xfId="11302"/>
    <cellStyle name="Percent 7 3 3 2 2 2 4 2" xfId="14894"/>
    <cellStyle name="Percent 7 3 3 2 2 2 4 3" xfId="17208"/>
    <cellStyle name="Percent 7 3 3 2 2 2 5" xfId="12799"/>
    <cellStyle name="Percent 7 3 3 2 2 2 5 2" xfId="41519"/>
    <cellStyle name="Percent 7 3 3 2 2 2 6" xfId="17204"/>
    <cellStyle name="Percent 7 3 3 2 2 3" xfId="9486"/>
    <cellStyle name="Percent 7 3 3 2 2 3 2" xfId="10540"/>
    <cellStyle name="Percent 7 3 3 2 2 3 2 2" xfId="14134"/>
    <cellStyle name="Percent 7 3 3 2 2 3 2 3" xfId="17210"/>
    <cellStyle name="Percent 7 3 3 2 2 3 3" xfId="13081"/>
    <cellStyle name="Percent 7 3 3 2 2 3 4" xfId="17209"/>
    <cellStyle name="Percent 7 3 3 2 2 4" xfId="10002"/>
    <cellStyle name="Percent 7 3 3 2 2 4 2" xfId="13596"/>
    <cellStyle name="Percent 7 3 3 2 2 4 3" xfId="17211"/>
    <cellStyle name="Percent 7 3 3 2 2 5" xfId="11301"/>
    <cellStyle name="Percent 7 3 3 2 2 5 2" xfId="14893"/>
    <cellStyle name="Percent 7 3 3 2 2 5 3" xfId="17212"/>
    <cellStyle name="Percent 7 3 3 2 2 6" xfId="12543"/>
    <cellStyle name="Percent 7 3 3 2 2 6 2" xfId="41518"/>
    <cellStyle name="Percent 7 3 3 2 2 7" xfId="17203"/>
    <cellStyle name="Percent 7 3 3 2 3" xfId="9046"/>
    <cellStyle name="Percent 7 3 3 2 3 2" xfId="9614"/>
    <cellStyle name="Percent 7 3 3 2 3 2 2" xfId="10668"/>
    <cellStyle name="Percent 7 3 3 2 3 2 2 2" xfId="14262"/>
    <cellStyle name="Percent 7 3 3 2 3 2 2 3" xfId="17215"/>
    <cellStyle name="Percent 7 3 3 2 3 2 3" xfId="13209"/>
    <cellStyle name="Percent 7 3 3 2 3 2 3 2" xfId="41521"/>
    <cellStyle name="Percent 7 3 3 2 3 2 4" xfId="17214"/>
    <cellStyle name="Percent 7 3 3 2 3 3" xfId="10130"/>
    <cellStyle name="Percent 7 3 3 2 3 3 2" xfId="13724"/>
    <cellStyle name="Percent 7 3 3 2 3 3 3" xfId="17216"/>
    <cellStyle name="Percent 7 3 3 2 3 4" xfId="11303"/>
    <cellStyle name="Percent 7 3 3 2 3 4 2" xfId="14895"/>
    <cellStyle name="Percent 7 3 3 2 3 4 3" xfId="17217"/>
    <cellStyle name="Percent 7 3 3 2 3 5" xfId="12671"/>
    <cellStyle name="Percent 7 3 3 2 3 5 2" xfId="41520"/>
    <cellStyle name="Percent 7 3 3 2 3 6" xfId="17213"/>
    <cellStyle name="Percent 7 3 3 2 4" xfId="9358"/>
    <cellStyle name="Percent 7 3 3 2 4 2" xfId="10412"/>
    <cellStyle name="Percent 7 3 3 2 4 2 2" xfId="14006"/>
    <cellStyle name="Percent 7 3 3 2 4 2 2 2" xfId="41523"/>
    <cellStyle name="Percent 7 3 3 2 4 2 3" xfId="17219"/>
    <cellStyle name="Percent 7 3 3 2 4 3" xfId="12953"/>
    <cellStyle name="Percent 7 3 3 2 4 3 2" xfId="41522"/>
    <cellStyle name="Percent 7 3 3 2 4 4" xfId="17218"/>
    <cellStyle name="Percent 7 3 3 2 5" xfId="9874"/>
    <cellStyle name="Percent 7 3 3 2 5 2" xfId="13468"/>
    <cellStyle name="Percent 7 3 3 2 5 2 2" xfId="41524"/>
    <cellStyle name="Percent 7 3 3 2 5 3" xfId="17220"/>
    <cellStyle name="Percent 7 3 3 2 6" xfId="11300"/>
    <cellStyle name="Percent 7 3 3 2 6 2" xfId="14892"/>
    <cellStyle name="Percent 7 3 3 2 6 2 2" xfId="41525"/>
    <cellStyle name="Percent 7 3 3 2 6 3" xfId="17221"/>
    <cellStyle name="Percent 7 3 3 2 7" xfId="12415"/>
    <cellStyle name="Percent 7 3 3 2 7 2" xfId="41517"/>
    <cellStyle name="Percent 7 3 3 2 8" xfId="17202"/>
    <cellStyle name="Percent 7 3 3 3" xfId="8822"/>
    <cellStyle name="Percent 7 3 3 3 2" xfId="8950"/>
    <cellStyle name="Percent 7 3 3 3 2 2" xfId="9206"/>
    <cellStyle name="Percent 7 3 3 3 2 2 2" xfId="9774"/>
    <cellStyle name="Percent 7 3 3 3 2 2 2 2" xfId="10828"/>
    <cellStyle name="Percent 7 3 3 3 2 2 2 2 2" xfId="14422"/>
    <cellStyle name="Percent 7 3 3 3 2 2 2 2 3" xfId="17226"/>
    <cellStyle name="Percent 7 3 3 3 2 2 2 3" xfId="13369"/>
    <cellStyle name="Percent 7 3 3 3 2 2 2 4" xfId="17225"/>
    <cellStyle name="Percent 7 3 3 3 2 2 3" xfId="10290"/>
    <cellStyle name="Percent 7 3 3 3 2 2 3 2" xfId="13884"/>
    <cellStyle name="Percent 7 3 3 3 2 2 3 3" xfId="17227"/>
    <cellStyle name="Percent 7 3 3 3 2 2 4" xfId="11306"/>
    <cellStyle name="Percent 7 3 3 3 2 2 4 2" xfId="14898"/>
    <cellStyle name="Percent 7 3 3 3 2 2 4 3" xfId="17228"/>
    <cellStyle name="Percent 7 3 3 3 2 2 5" xfId="12831"/>
    <cellStyle name="Percent 7 3 3 3 2 2 5 2" xfId="41528"/>
    <cellStyle name="Percent 7 3 3 3 2 2 6" xfId="17224"/>
    <cellStyle name="Percent 7 3 3 3 2 3" xfId="9518"/>
    <cellStyle name="Percent 7 3 3 3 2 3 2" xfId="10572"/>
    <cellStyle name="Percent 7 3 3 3 2 3 2 2" xfId="14166"/>
    <cellStyle name="Percent 7 3 3 3 2 3 2 3" xfId="17230"/>
    <cellStyle name="Percent 7 3 3 3 2 3 3" xfId="13113"/>
    <cellStyle name="Percent 7 3 3 3 2 3 4" xfId="17229"/>
    <cellStyle name="Percent 7 3 3 3 2 4" xfId="10034"/>
    <cellStyle name="Percent 7 3 3 3 2 4 2" xfId="13628"/>
    <cellStyle name="Percent 7 3 3 3 2 4 3" xfId="17231"/>
    <cellStyle name="Percent 7 3 3 3 2 5" xfId="11305"/>
    <cellStyle name="Percent 7 3 3 3 2 5 2" xfId="14897"/>
    <cellStyle name="Percent 7 3 3 3 2 5 3" xfId="17232"/>
    <cellStyle name="Percent 7 3 3 3 2 6" xfId="12575"/>
    <cellStyle name="Percent 7 3 3 3 2 6 2" xfId="41527"/>
    <cellStyle name="Percent 7 3 3 3 2 7" xfId="17223"/>
    <cellStyle name="Percent 7 3 3 3 3" xfId="9078"/>
    <cellStyle name="Percent 7 3 3 3 3 2" xfId="9646"/>
    <cellStyle name="Percent 7 3 3 3 3 2 2" xfId="10700"/>
    <cellStyle name="Percent 7 3 3 3 3 2 2 2" xfId="14294"/>
    <cellStyle name="Percent 7 3 3 3 3 2 2 3" xfId="17235"/>
    <cellStyle name="Percent 7 3 3 3 3 2 3" xfId="13241"/>
    <cellStyle name="Percent 7 3 3 3 3 2 3 2" xfId="41530"/>
    <cellStyle name="Percent 7 3 3 3 3 2 4" xfId="17234"/>
    <cellStyle name="Percent 7 3 3 3 3 3" xfId="10162"/>
    <cellStyle name="Percent 7 3 3 3 3 3 2" xfId="13756"/>
    <cellStyle name="Percent 7 3 3 3 3 3 3" xfId="17236"/>
    <cellStyle name="Percent 7 3 3 3 3 4" xfId="11307"/>
    <cellStyle name="Percent 7 3 3 3 3 4 2" xfId="14899"/>
    <cellStyle name="Percent 7 3 3 3 3 4 3" xfId="17237"/>
    <cellStyle name="Percent 7 3 3 3 3 5" xfId="12703"/>
    <cellStyle name="Percent 7 3 3 3 3 5 2" xfId="41529"/>
    <cellStyle name="Percent 7 3 3 3 3 6" xfId="17233"/>
    <cellStyle name="Percent 7 3 3 3 4" xfId="9390"/>
    <cellStyle name="Percent 7 3 3 3 4 2" xfId="10444"/>
    <cellStyle name="Percent 7 3 3 3 4 2 2" xfId="14038"/>
    <cellStyle name="Percent 7 3 3 3 4 2 2 2" xfId="41532"/>
    <cellStyle name="Percent 7 3 3 3 4 2 3" xfId="17239"/>
    <cellStyle name="Percent 7 3 3 3 4 3" xfId="12985"/>
    <cellStyle name="Percent 7 3 3 3 4 3 2" xfId="41531"/>
    <cellStyle name="Percent 7 3 3 3 4 4" xfId="17238"/>
    <cellStyle name="Percent 7 3 3 3 5" xfId="9906"/>
    <cellStyle name="Percent 7 3 3 3 5 2" xfId="13500"/>
    <cellStyle name="Percent 7 3 3 3 5 2 2" xfId="41533"/>
    <cellStyle name="Percent 7 3 3 3 5 3" xfId="17240"/>
    <cellStyle name="Percent 7 3 3 3 6" xfId="11304"/>
    <cellStyle name="Percent 7 3 3 3 6 2" xfId="14896"/>
    <cellStyle name="Percent 7 3 3 3 6 2 2" xfId="41534"/>
    <cellStyle name="Percent 7 3 3 3 6 3" xfId="17241"/>
    <cellStyle name="Percent 7 3 3 3 7" xfId="12447"/>
    <cellStyle name="Percent 7 3 3 3 7 2" xfId="41526"/>
    <cellStyle name="Percent 7 3 3 3 8" xfId="17222"/>
    <cellStyle name="Percent 7 3 3 4" xfId="8854"/>
    <cellStyle name="Percent 7 3 3 4 2" xfId="8982"/>
    <cellStyle name="Percent 7 3 3 4 2 2" xfId="9238"/>
    <cellStyle name="Percent 7 3 3 4 2 2 2" xfId="9806"/>
    <cellStyle name="Percent 7 3 3 4 2 2 2 2" xfId="10860"/>
    <cellStyle name="Percent 7 3 3 4 2 2 2 2 2" xfId="14454"/>
    <cellStyle name="Percent 7 3 3 4 2 2 2 2 3" xfId="17246"/>
    <cellStyle name="Percent 7 3 3 4 2 2 2 3" xfId="13401"/>
    <cellStyle name="Percent 7 3 3 4 2 2 2 4" xfId="17245"/>
    <cellStyle name="Percent 7 3 3 4 2 2 3" xfId="10322"/>
    <cellStyle name="Percent 7 3 3 4 2 2 3 2" xfId="13916"/>
    <cellStyle name="Percent 7 3 3 4 2 2 3 3" xfId="17247"/>
    <cellStyle name="Percent 7 3 3 4 2 2 4" xfId="11310"/>
    <cellStyle name="Percent 7 3 3 4 2 2 4 2" xfId="14902"/>
    <cellStyle name="Percent 7 3 3 4 2 2 4 3" xfId="17248"/>
    <cellStyle name="Percent 7 3 3 4 2 2 5" xfId="12863"/>
    <cellStyle name="Percent 7 3 3 4 2 2 5 2" xfId="41537"/>
    <cellStyle name="Percent 7 3 3 4 2 2 6" xfId="17244"/>
    <cellStyle name="Percent 7 3 3 4 2 3" xfId="9550"/>
    <cellStyle name="Percent 7 3 3 4 2 3 2" xfId="10604"/>
    <cellStyle name="Percent 7 3 3 4 2 3 2 2" xfId="14198"/>
    <cellStyle name="Percent 7 3 3 4 2 3 2 3" xfId="17250"/>
    <cellStyle name="Percent 7 3 3 4 2 3 3" xfId="13145"/>
    <cellStyle name="Percent 7 3 3 4 2 3 4" xfId="17249"/>
    <cellStyle name="Percent 7 3 3 4 2 4" xfId="10066"/>
    <cellStyle name="Percent 7 3 3 4 2 4 2" xfId="13660"/>
    <cellStyle name="Percent 7 3 3 4 2 4 3" xfId="17251"/>
    <cellStyle name="Percent 7 3 3 4 2 5" xfId="11309"/>
    <cellStyle name="Percent 7 3 3 4 2 5 2" xfId="14901"/>
    <cellStyle name="Percent 7 3 3 4 2 5 3" xfId="17252"/>
    <cellStyle name="Percent 7 3 3 4 2 6" xfId="12607"/>
    <cellStyle name="Percent 7 3 3 4 2 6 2" xfId="41536"/>
    <cellStyle name="Percent 7 3 3 4 2 7" xfId="17243"/>
    <cellStyle name="Percent 7 3 3 4 3" xfId="9110"/>
    <cellStyle name="Percent 7 3 3 4 3 2" xfId="9678"/>
    <cellStyle name="Percent 7 3 3 4 3 2 2" xfId="10732"/>
    <cellStyle name="Percent 7 3 3 4 3 2 2 2" xfId="14326"/>
    <cellStyle name="Percent 7 3 3 4 3 2 2 3" xfId="17255"/>
    <cellStyle name="Percent 7 3 3 4 3 2 3" xfId="13273"/>
    <cellStyle name="Percent 7 3 3 4 3 2 3 2" xfId="41539"/>
    <cellStyle name="Percent 7 3 3 4 3 2 4" xfId="17254"/>
    <cellStyle name="Percent 7 3 3 4 3 3" xfId="10194"/>
    <cellStyle name="Percent 7 3 3 4 3 3 2" xfId="13788"/>
    <cellStyle name="Percent 7 3 3 4 3 3 3" xfId="17256"/>
    <cellStyle name="Percent 7 3 3 4 3 4" xfId="11311"/>
    <cellStyle name="Percent 7 3 3 4 3 4 2" xfId="14903"/>
    <cellStyle name="Percent 7 3 3 4 3 4 3" xfId="17257"/>
    <cellStyle name="Percent 7 3 3 4 3 5" xfId="12735"/>
    <cellStyle name="Percent 7 3 3 4 3 5 2" xfId="41538"/>
    <cellStyle name="Percent 7 3 3 4 3 6" xfId="17253"/>
    <cellStyle name="Percent 7 3 3 4 4" xfId="9422"/>
    <cellStyle name="Percent 7 3 3 4 4 2" xfId="10476"/>
    <cellStyle name="Percent 7 3 3 4 4 2 2" xfId="14070"/>
    <cellStyle name="Percent 7 3 3 4 4 2 2 2" xfId="41541"/>
    <cellStyle name="Percent 7 3 3 4 4 2 3" xfId="17259"/>
    <cellStyle name="Percent 7 3 3 4 4 3" xfId="13017"/>
    <cellStyle name="Percent 7 3 3 4 4 3 2" xfId="41540"/>
    <cellStyle name="Percent 7 3 3 4 4 4" xfId="17258"/>
    <cellStyle name="Percent 7 3 3 4 5" xfId="9938"/>
    <cellStyle name="Percent 7 3 3 4 5 2" xfId="13532"/>
    <cellStyle name="Percent 7 3 3 4 5 2 2" xfId="41542"/>
    <cellStyle name="Percent 7 3 3 4 5 3" xfId="17260"/>
    <cellStyle name="Percent 7 3 3 4 6" xfId="11308"/>
    <cellStyle name="Percent 7 3 3 4 6 2" xfId="14900"/>
    <cellStyle name="Percent 7 3 3 4 6 2 2" xfId="41543"/>
    <cellStyle name="Percent 7 3 3 4 6 3" xfId="17261"/>
    <cellStyle name="Percent 7 3 3 4 7" xfId="12479"/>
    <cellStyle name="Percent 7 3 3 4 7 2" xfId="41535"/>
    <cellStyle name="Percent 7 3 3 4 8" xfId="17242"/>
    <cellStyle name="Percent 7 3 3 5" xfId="8893"/>
    <cellStyle name="Percent 7 3 3 5 2" xfId="9149"/>
    <cellStyle name="Percent 7 3 3 5 2 2" xfId="9717"/>
    <cellStyle name="Percent 7 3 3 5 2 2 2" xfId="10771"/>
    <cellStyle name="Percent 7 3 3 5 2 2 2 2" xfId="14365"/>
    <cellStyle name="Percent 7 3 3 5 2 2 2 3" xfId="17265"/>
    <cellStyle name="Percent 7 3 3 5 2 2 3" xfId="13312"/>
    <cellStyle name="Percent 7 3 3 5 2 2 3 2" xfId="41546"/>
    <cellStyle name="Percent 7 3 3 5 2 2 4" xfId="17264"/>
    <cellStyle name="Percent 7 3 3 5 2 3" xfId="10233"/>
    <cellStyle name="Percent 7 3 3 5 2 3 2" xfId="13827"/>
    <cellStyle name="Percent 7 3 3 5 2 3 3" xfId="17266"/>
    <cellStyle name="Percent 7 3 3 5 2 4" xfId="11313"/>
    <cellStyle name="Percent 7 3 3 5 2 4 2" xfId="14905"/>
    <cellStyle name="Percent 7 3 3 5 2 4 3" xfId="17267"/>
    <cellStyle name="Percent 7 3 3 5 2 5" xfId="12774"/>
    <cellStyle name="Percent 7 3 3 5 2 5 2" xfId="41545"/>
    <cellStyle name="Percent 7 3 3 5 2 6" xfId="17263"/>
    <cellStyle name="Percent 7 3 3 5 3" xfId="9461"/>
    <cellStyle name="Percent 7 3 3 5 3 2" xfId="10515"/>
    <cellStyle name="Percent 7 3 3 5 3 2 2" xfId="14109"/>
    <cellStyle name="Percent 7 3 3 5 3 2 2 2" xfId="41548"/>
    <cellStyle name="Percent 7 3 3 5 3 2 3" xfId="17269"/>
    <cellStyle name="Percent 7 3 3 5 3 3" xfId="13056"/>
    <cellStyle name="Percent 7 3 3 5 3 3 2" xfId="41547"/>
    <cellStyle name="Percent 7 3 3 5 3 4" xfId="17268"/>
    <cellStyle name="Percent 7 3 3 5 4" xfId="9977"/>
    <cellStyle name="Percent 7 3 3 5 4 2" xfId="13571"/>
    <cellStyle name="Percent 7 3 3 5 4 2 2" xfId="41549"/>
    <cellStyle name="Percent 7 3 3 5 4 3" xfId="17270"/>
    <cellStyle name="Percent 7 3 3 5 5" xfId="11312"/>
    <cellStyle name="Percent 7 3 3 5 5 2" xfId="14904"/>
    <cellStyle name="Percent 7 3 3 5 5 2 2" xfId="41550"/>
    <cellStyle name="Percent 7 3 3 5 5 3" xfId="17271"/>
    <cellStyle name="Percent 7 3 3 5 6" xfId="12518"/>
    <cellStyle name="Percent 7 3 3 5 6 2" xfId="41544"/>
    <cellStyle name="Percent 7 3 3 5 7" xfId="17262"/>
    <cellStyle name="Percent 7 3 3 6" xfId="9021"/>
    <cellStyle name="Percent 7 3 3 6 2" xfId="9589"/>
    <cellStyle name="Percent 7 3 3 6 2 2" xfId="10643"/>
    <cellStyle name="Percent 7 3 3 6 2 2 2" xfId="14237"/>
    <cellStyle name="Percent 7 3 3 6 2 2 3" xfId="17274"/>
    <cellStyle name="Percent 7 3 3 6 2 3" xfId="13184"/>
    <cellStyle name="Percent 7 3 3 6 2 3 2" xfId="41552"/>
    <cellStyle name="Percent 7 3 3 6 2 4" xfId="17273"/>
    <cellStyle name="Percent 7 3 3 6 3" xfId="10105"/>
    <cellStyle name="Percent 7 3 3 6 3 2" xfId="13699"/>
    <cellStyle name="Percent 7 3 3 6 3 3" xfId="17275"/>
    <cellStyle name="Percent 7 3 3 6 4" xfId="11314"/>
    <cellStyle name="Percent 7 3 3 6 4 2" xfId="14906"/>
    <cellStyle name="Percent 7 3 3 6 4 3" xfId="17276"/>
    <cellStyle name="Percent 7 3 3 6 5" xfId="12646"/>
    <cellStyle name="Percent 7 3 3 6 5 2" xfId="41551"/>
    <cellStyle name="Percent 7 3 3 6 6" xfId="17272"/>
    <cellStyle name="Percent 7 3 3 7" xfId="9333"/>
    <cellStyle name="Percent 7 3 3 7 2" xfId="10387"/>
    <cellStyle name="Percent 7 3 3 7 2 2" xfId="13981"/>
    <cellStyle name="Percent 7 3 3 7 2 2 2" xfId="41554"/>
    <cellStyle name="Percent 7 3 3 7 2 3" xfId="17278"/>
    <cellStyle name="Percent 7 3 3 7 3" xfId="12928"/>
    <cellStyle name="Percent 7 3 3 7 3 2" xfId="41553"/>
    <cellStyle name="Percent 7 3 3 7 4" xfId="17277"/>
    <cellStyle name="Percent 7 3 3 8" xfId="9849"/>
    <cellStyle name="Percent 7 3 3 8 2" xfId="13443"/>
    <cellStyle name="Percent 7 3 3 8 2 2" xfId="41556"/>
    <cellStyle name="Percent 7 3 3 8 3" xfId="41555"/>
    <cellStyle name="Percent 7 3 3 8 4" xfId="17279"/>
    <cellStyle name="Percent 7 3 3 9" xfId="11299"/>
    <cellStyle name="Percent 7 3 3 9 2" xfId="14891"/>
    <cellStyle name="Percent 7 3 3 9 2 2" xfId="41557"/>
    <cellStyle name="Percent 7 3 3 9 3" xfId="17280"/>
    <cellStyle name="Percent 7 3 4" xfId="8774"/>
    <cellStyle name="Percent 7 3 4 10" xfId="41559"/>
    <cellStyle name="Percent 7 3 4 11" xfId="41558"/>
    <cellStyle name="Percent 7 3 4 12" xfId="17281"/>
    <cellStyle name="Percent 7 3 4 2" xfId="8902"/>
    <cellStyle name="Percent 7 3 4 2 2" xfId="9158"/>
    <cellStyle name="Percent 7 3 4 2 2 2" xfId="9726"/>
    <cellStyle name="Percent 7 3 4 2 2 2 2" xfId="10780"/>
    <cellStyle name="Percent 7 3 4 2 2 2 2 2" xfId="14374"/>
    <cellStyle name="Percent 7 3 4 2 2 2 2 3" xfId="17285"/>
    <cellStyle name="Percent 7 3 4 2 2 2 3" xfId="13321"/>
    <cellStyle name="Percent 7 3 4 2 2 2 3 2" xfId="41562"/>
    <cellStyle name="Percent 7 3 4 2 2 2 4" xfId="17284"/>
    <cellStyle name="Percent 7 3 4 2 2 3" xfId="10242"/>
    <cellStyle name="Percent 7 3 4 2 2 3 2" xfId="13836"/>
    <cellStyle name="Percent 7 3 4 2 2 3 3" xfId="17286"/>
    <cellStyle name="Percent 7 3 4 2 2 4" xfId="11317"/>
    <cellStyle name="Percent 7 3 4 2 2 4 2" xfId="14909"/>
    <cellStyle name="Percent 7 3 4 2 2 4 3" xfId="17287"/>
    <cellStyle name="Percent 7 3 4 2 2 5" xfId="12783"/>
    <cellStyle name="Percent 7 3 4 2 2 5 2" xfId="41561"/>
    <cellStyle name="Percent 7 3 4 2 2 6" xfId="17283"/>
    <cellStyle name="Percent 7 3 4 2 3" xfId="9470"/>
    <cellStyle name="Percent 7 3 4 2 3 2" xfId="10524"/>
    <cellStyle name="Percent 7 3 4 2 3 2 2" xfId="14118"/>
    <cellStyle name="Percent 7 3 4 2 3 2 2 2" xfId="41564"/>
    <cellStyle name="Percent 7 3 4 2 3 2 3" xfId="17289"/>
    <cellStyle name="Percent 7 3 4 2 3 3" xfId="13065"/>
    <cellStyle name="Percent 7 3 4 2 3 3 2" xfId="41563"/>
    <cellStyle name="Percent 7 3 4 2 3 4" xfId="17288"/>
    <cellStyle name="Percent 7 3 4 2 4" xfId="9986"/>
    <cellStyle name="Percent 7 3 4 2 4 2" xfId="13580"/>
    <cellStyle name="Percent 7 3 4 2 4 2 2" xfId="41566"/>
    <cellStyle name="Percent 7 3 4 2 4 3" xfId="41565"/>
    <cellStyle name="Percent 7 3 4 2 4 4" xfId="17290"/>
    <cellStyle name="Percent 7 3 4 2 5" xfId="11316"/>
    <cellStyle name="Percent 7 3 4 2 5 2" xfId="14908"/>
    <cellStyle name="Percent 7 3 4 2 5 2 2" xfId="41567"/>
    <cellStyle name="Percent 7 3 4 2 5 3" xfId="17291"/>
    <cellStyle name="Percent 7 3 4 2 6" xfId="12527"/>
    <cellStyle name="Percent 7 3 4 2 6 2" xfId="41568"/>
    <cellStyle name="Percent 7 3 4 2 7" xfId="41560"/>
    <cellStyle name="Percent 7 3 4 2 8" xfId="17282"/>
    <cellStyle name="Percent 7 3 4 3" xfId="9030"/>
    <cellStyle name="Percent 7 3 4 3 2" xfId="9598"/>
    <cellStyle name="Percent 7 3 4 3 2 2" xfId="10652"/>
    <cellStyle name="Percent 7 3 4 3 2 2 2" xfId="14246"/>
    <cellStyle name="Percent 7 3 4 3 2 2 2 2" xfId="41571"/>
    <cellStyle name="Percent 7 3 4 3 2 2 3" xfId="17294"/>
    <cellStyle name="Percent 7 3 4 3 2 3" xfId="13193"/>
    <cellStyle name="Percent 7 3 4 3 2 3 2" xfId="41570"/>
    <cellStyle name="Percent 7 3 4 3 2 4" xfId="17293"/>
    <cellStyle name="Percent 7 3 4 3 3" xfId="10114"/>
    <cellStyle name="Percent 7 3 4 3 3 2" xfId="13708"/>
    <cellStyle name="Percent 7 3 4 3 3 2 2" xfId="41573"/>
    <cellStyle name="Percent 7 3 4 3 3 3" xfId="41572"/>
    <cellStyle name="Percent 7 3 4 3 3 4" xfId="17295"/>
    <cellStyle name="Percent 7 3 4 3 4" xfId="11318"/>
    <cellStyle name="Percent 7 3 4 3 4 2" xfId="14910"/>
    <cellStyle name="Percent 7 3 4 3 4 2 2" xfId="41575"/>
    <cellStyle name="Percent 7 3 4 3 4 3" xfId="41574"/>
    <cellStyle name="Percent 7 3 4 3 4 4" xfId="17296"/>
    <cellStyle name="Percent 7 3 4 3 5" xfId="12655"/>
    <cellStyle name="Percent 7 3 4 3 5 2" xfId="41576"/>
    <cellStyle name="Percent 7 3 4 3 6" xfId="41577"/>
    <cellStyle name="Percent 7 3 4 3 7" xfId="41569"/>
    <cellStyle name="Percent 7 3 4 3 8" xfId="17292"/>
    <cellStyle name="Percent 7 3 4 4" xfId="9342"/>
    <cellStyle name="Percent 7 3 4 4 2" xfId="10396"/>
    <cellStyle name="Percent 7 3 4 4 2 2" xfId="13990"/>
    <cellStyle name="Percent 7 3 4 4 2 2 2" xfId="41580"/>
    <cellStyle name="Percent 7 3 4 4 2 3" xfId="41579"/>
    <cellStyle name="Percent 7 3 4 4 2 4" xfId="17298"/>
    <cellStyle name="Percent 7 3 4 4 3" xfId="12937"/>
    <cellStyle name="Percent 7 3 4 4 3 2" xfId="41582"/>
    <cellStyle name="Percent 7 3 4 4 3 3" xfId="41581"/>
    <cellStyle name="Percent 7 3 4 4 4" xfId="41583"/>
    <cellStyle name="Percent 7 3 4 4 4 2" xfId="41584"/>
    <cellStyle name="Percent 7 3 4 4 5" xfId="41585"/>
    <cellStyle name="Percent 7 3 4 4 6" xfId="41586"/>
    <cellStyle name="Percent 7 3 4 4 7" xfId="41578"/>
    <cellStyle name="Percent 7 3 4 4 8" xfId="17297"/>
    <cellStyle name="Percent 7 3 4 5" xfId="9858"/>
    <cellStyle name="Percent 7 3 4 5 2" xfId="13452"/>
    <cellStyle name="Percent 7 3 4 5 2 2" xfId="41589"/>
    <cellStyle name="Percent 7 3 4 5 2 3" xfId="41588"/>
    <cellStyle name="Percent 7 3 4 5 3" xfId="41590"/>
    <cellStyle name="Percent 7 3 4 5 3 2" xfId="41591"/>
    <cellStyle name="Percent 7 3 4 5 4" xfId="41592"/>
    <cellStyle name="Percent 7 3 4 5 5" xfId="41593"/>
    <cellStyle name="Percent 7 3 4 5 6" xfId="41587"/>
    <cellStyle name="Percent 7 3 4 5 7" xfId="17299"/>
    <cellStyle name="Percent 7 3 4 6" xfId="11315"/>
    <cellStyle name="Percent 7 3 4 6 2" xfId="14907"/>
    <cellStyle name="Percent 7 3 4 6 2 2" xfId="41595"/>
    <cellStyle name="Percent 7 3 4 6 3" xfId="41594"/>
    <cellStyle name="Percent 7 3 4 6 4" xfId="17300"/>
    <cellStyle name="Percent 7 3 4 7" xfId="12399"/>
    <cellStyle name="Percent 7 3 4 7 2" xfId="41597"/>
    <cellStyle name="Percent 7 3 4 7 3" xfId="41596"/>
    <cellStyle name="Percent 7 3 4 8" xfId="41598"/>
    <cellStyle name="Percent 7 3 4 8 2" xfId="41599"/>
    <cellStyle name="Percent 7 3 4 9" xfId="41600"/>
    <cellStyle name="Percent 7 3 5" xfId="8806"/>
    <cellStyle name="Percent 7 3 5 2" xfId="8934"/>
    <cellStyle name="Percent 7 3 5 2 2" xfId="9190"/>
    <cellStyle name="Percent 7 3 5 2 2 2" xfId="9758"/>
    <cellStyle name="Percent 7 3 5 2 2 2 2" xfId="10812"/>
    <cellStyle name="Percent 7 3 5 2 2 2 2 2" xfId="14406"/>
    <cellStyle name="Percent 7 3 5 2 2 2 2 3" xfId="17305"/>
    <cellStyle name="Percent 7 3 5 2 2 2 3" xfId="13353"/>
    <cellStyle name="Percent 7 3 5 2 2 2 4" xfId="17304"/>
    <cellStyle name="Percent 7 3 5 2 2 3" xfId="10274"/>
    <cellStyle name="Percent 7 3 5 2 2 3 2" xfId="13868"/>
    <cellStyle name="Percent 7 3 5 2 2 3 3" xfId="17306"/>
    <cellStyle name="Percent 7 3 5 2 2 4" xfId="11321"/>
    <cellStyle name="Percent 7 3 5 2 2 4 2" xfId="14913"/>
    <cellStyle name="Percent 7 3 5 2 2 4 3" xfId="17307"/>
    <cellStyle name="Percent 7 3 5 2 2 5" xfId="12815"/>
    <cellStyle name="Percent 7 3 5 2 2 5 2" xfId="41603"/>
    <cellStyle name="Percent 7 3 5 2 2 6" xfId="17303"/>
    <cellStyle name="Percent 7 3 5 2 3" xfId="9502"/>
    <cellStyle name="Percent 7 3 5 2 3 2" xfId="10556"/>
    <cellStyle name="Percent 7 3 5 2 3 2 2" xfId="14150"/>
    <cellStyle name="Percent 7 3 5 2 3 2 3" xfId="17309"/>
    <cellStyle name="Percent 7 3 5 2 3 3" xfId="13097"/>
    <cellStyle name="Percent 7 3 5 2 3 4" xfId="17308"/>
    <cellStyle name="Percent 7 3 5 2 4" xfId="10018"/>
    <cellStyle name="Percent 7 3 5 2 4 2" xfId="13612"/>
    <cellStyle name="Percent 7 3 5 2 4 3" xfId="17310"/>
    <cellStyle name="Percent 7 3 5 2 5" xfId="11320"/>
    <cellStyle name="Percent 7 3 5 2 5 2" xfId="14912"/>
    <cellStyle name="Percent 7 3 5 2 5 3" xfId="17311"/>
    <cellStyle name="Percent 7 3 5 2 6" xfId="12559"/>
    <cellStyle name="Percent 7 3 5 2 6 2" xfId="41602"/>
    <cellStyle name="Percent 7 3 5 2 7" xfId="17302"/>
    <cellStyle name="Percent 7 3 5 3" xfId="9062"/>
    <cellStyle name="Percent 7 3 5 3 2" xfId="9630"/>
    <cellStyle name="Percent 7 3 5 3 2 2" xfId="10684"/>
    <cellStyle name="Percent 7 3 5 3 2 2 2" xfId="14278"/>
    <cellStyle name="Percent 7 3 5 3 2 2 3" xfId="17314"/>
    <cellStyle name="Percent 7 3 5 3 2 3" xfId="13225"/>
    <cellStyle name="Percent 7 3 5 3 2 3 2" xfId="41605"/>
    <cellStyle name="Percent 7 3 5 3 2 4" xfId="17313"/>
    <cellStyle name="Percent 7 3 5 3 3" xfId="10146"/>
    <cellStyle name="Percent 7 3 5 3 3 2" xfId="13740"/>
    <cellStyle name="Percent 7 3 5 3 3 3" xfId="17315"/>
    <cellStyle name="Percent 7 3 5 3 4" xfId="11322"/>
    <cellStyle name="Percent 7 3 5 3 4 2" xfId="14914"/>
    <cellStyle name="Percent 7 3 5 3 4 3" xfId="17316"/>
    <cellStyle name="Percent 7 3 5 3 5" xfId="12687"/>
    <cellStyle name="Percent 7 3 5 3 5 2" xfId="41604"/>
    <cellStyle name="Percent 7 3 5 3 6" xfId="17312"/>
    <cellStyle name="Percent 7 3 5 4" xfId="9374"/>
    <cellStyle name="Percent 7 3 5 4 2" xfId="10428"/>
    <cellStyle name="Percent 7 3 5 4 2 2" xfId="14022"/>
    <cellStyle name="Percent 7 3 5 4 2 2 2" xfId="41607"/>
    <cellStyle name="Percent 7 3 5 4 2 3" xfId="17318"/>
    <cellStyle name="Percent 7 3 5 4 3" xfId="12969"/>
    <cellStyle name="Percent 7 3 5 4 3 2" xfId="41606"/>
    <cellStyle name="Percent 7 3 5 4 4" xfId="17317"/>
    <cellStyle name="Percent 7 3 5 5" xfId="9890"/>
    <cellStyle name="Percent 7 3 5 5 2" xfId="13484"/>
    <cellStyle name="Percent 7 3 5 5 2 2" xfId="41608"/>
    <cellStyle name="Percent 7 3 5 5 3" xfId="17319"/>
    <cellStyle name="Percent 7 3 5 6" xfId="11319"/>
    <cellStyle name="Percent 7 3 5 6 2" xfId="14911"/>
    <cellStyle name="Percent 7 3 5 6 2 2" xfId="41609"/>
    <cellStyle name="Percent 7 3 5 6 3" xfId="17320"/>
    <cellStyle name="Percent 7 3 5 7" xfId="12431"/>
    <cellStyle name="Percent 7 3 5 7 2" xfId="41601"/>
    <cellStyle name="Percent 7 3 5 8" xfId="17301"/>
    <cellStyle name="Percent 7 3 6" xfId="8838"/>
    <cellStyle name="Percent 7 3 6 2" xfId="8966"/>
    <cellStyle name="Percent 7 3 6 2 2" xfId="9222"/>
    <cellStyle name="Percent 7 3 6 2 2 2" xfId="9790"/>
    <cellStyle name="Percent 7 3 6 2 2 2 2" xfId="10844"/>
    <cellStyle name="Percent 7 3 6 2 2 2 2 2" xfId="14438"/>
    <cellStyle name="Percent 7 3 6 2 2 2 2 3" xfId="17325"/>
    <cellStyle name="Percent 7 3 6 2 2 2 3" xfId="13385"/>
    <cellStyle name="Percent 7 3 6 2 2 2 4" xfId="17324"/>
    <cellStyle name="Percent 7 3 6 2 2 3" xfId="10306"/>
    <cellStyle name="Percent 7 3 6 2 2 3 2" xfId="13900"/>
    <cellStyle name="Percent 7 3 6 2 2 3 3" xfId="17326"/>
    <cellStyle name="Percent 7 3 6 2 2 4" xfId="11325"/>
    <cellStyle name="Percent 7 3 6 2 2 4 2" xfId="14917"/>
    <cellStyle name="Percent 7 3 6 2 2 4 3" xfId="17327"/>
    <cellStyle name="Percent 7 3 6 2 2 5" xfId="12847"/>
    <cellStyle name="Percent 7 3 6 2 2 5 2" xfId="41612"/>
    <cellStyle name="Percent 7 3 6 2 2 6" xfId="17323"/>
    <cellStyle name="Percent 7 3 6 2 3" xfId="9534"/>
    <cellStyle name="Percent 7 3 6 2 3 2" xfId="10588"/>
    <cellStyle name="Percent 7 3 6 2 3 2 2" xfId="14182"/>
    <cellStyle name="Percent 7 3 6 2 3 2 3" xfId="17329"/>
    <cellStyle name="Percent 7 3 6 2 3 3" xfId="13129"/>
    <cellStyle name="Percent 7 3 6 2 3 4" xfId="17328"/>
    <cellStyle name="Percent 7 3 6 2 4" xfId="10050"/>
    <cellStyle name="Percent 7 3 6 2 4 2" xfId="13644"/>
    <cellStyle name="Percent 7 3 6 2 4 3" xfId="17330"/>
    <cellStyle name="Percent 7 3 6 2 5" xfId="11324"/>
    <cellStyle name="Percent 7 3 6 2 5 2" xfId="14916"/>
    <cellStyle name="Percent 7 3 6 2 5 3" xfId="17331"/>
    <cellStyle name="Percent 7 3 6 2 6" xfId="12591"/>
    <cellStyle name="Percent 7 3 6 2 6 2" xfId="41611"/>
    <cellStyle name="Percent 7 3 6 2 7" xfId="17322"/>
    <cellStyle name="Percent 7 3 6 3" xfId="9094"/>
    <cellStyle name="Percent 7 3 6 3 2" xfId="9662"/>
    <cellStyle name="Percent 7 3 6 3 2 2" xfId="10716"/>
    <cellStyle name="Percent 7 3 6 3 2 2 2" xfId="14310"/>
    <cellStyle name="Percent 7 3 6 3 2 2 3" xfId="17334"/>
    <cellStyle name="Percent 7 3 6 3 2 3" xfId="13257"/>
    <cellStyle name="Percent 7 3 6 3 2 3 2" xfId="41614"/>
    <cellStyle name="Percent 7 3 6 3 2 4" xfId="17333"/>
    <cellStyle name="Percent 7 3 6 3 3" xfId="10178"/>
    <cellStyle name="Percent 7 3 6 3 3 2" xfId="13772"/>
    <cellStyle name="Percent 7 3 6 3 3 3" xfId="17335"/>
    <cellStyle name="Percent 7 3 6 3 4" xfId="11326"/>
    <cellStyle name="Percent 7 3 6 3 4 2" xfId="14918"/>
    <cellStyle name="Percent 7 3 6 3 4 3" xfId="17336"/>
    <cellStyle name="Percent 7 3 6 3 5" xfId="12719"/>
    <cellStyle name="Percent 7 3 6 3 5 2" xfId="41613"/>
    <cellStyle name="Percent 7 3 6 3 6" xfId="17332"/>
    <cellStyle name="Percent 7 3 6 4" xfId="9406"/>
    <cellStyle name="Percent 7 3 6 4 2" xfId="10460"/>
    <cellStyle name="Percent 7 3 6 4 2 2" xfId="14054"/>
    <cellStyle name="Percent 7 3 6 4 2 2 2" xfId="41616"/>
    <cellStyle name="Percent 7 3 6 4 2 3" xfId="17338"/>
    <cellStyle name="Percent 7 3 6 4 3" xfId="13001"/>
    <cellStyle name="Percent 7 3 6 4 3 2" xfId="41615"/>
    <cellStyle name="Percent 7 3 6 4 4" xfId="17337"/>
    <cellStyle name="Percent 7 3 6 5" xfId="9922"/>
    <cellStyle name="Percent 7 3 6 5 2" xfId="13516"/>
    <cellStyle name="Percent 7 3 6 5 2 2" xfId="41617"/>
    <cellStyle name="Percent 7 3 6 5 3" xfId="17339"/>
    <cellStyle name="Percent 7 3 6 6" xfId="11323"/>
    <cellStyle name="Percent 7 3 6 6 2" xfId="14915"/>
    <cellStyle name="Percent 7 3 6 6 2 2" xfId="41618"/>
    <cellStyle name="Percent 7 3 6 6 3" xfId="17340"/>
    <cellStyle name="Percent 7 3 6 7" xfId="12463"/>
    <cellStyle name="Percent 7 3 6 7 2" xfId="41610"/>
    <cellStyle name="Percent 7 3 6 8" xfId="17321"/>
    <cellStyle name="Percent 7 3 7" xfId="8890"/>
    <cellStyle name="Percent 7 3 7 2" xfId="9146"/>
    <cellStyle name="Percent 7 3 7 2 2" xfId="9714"/>
    <cellStyle name="Percent 7 3 7 2 2 2" xfId="10768"/>
    <cellStyle name="Percent 7 3 7 2 2 2 2" xfId="14362"/>
    <cellStyle name="Percent 7 3 7 2 2 2 3" xfId="17344"/>
    <cellStyle name="Percent 7 3 7 2 2 3" xfId="13309"/>
    <cellStyle name="Percent 7 3 7 2 2 3 2" xfId="41621"/>
    <cellStyle name="Percent 7 3 7 2 2 4" xfId="17343"/>
    <cellStyle name="Percent 7 3 7 2 3" xfId="10230"/>
    <cellStyle name="Percent 7 3 7 2 3 2" xfId="13824"/>
    <cellStyle name="Percent 7 3 7 2 3 3" xfId="17345"/>
    <cellStyle name="Percent 7 3 7 2 4" xfId="11328"/>
    <cellStyle name="Percent 7 3 7 2 4 2" xfId="14920"/>
    <cellStyle name="Percent 7 3 7 2 4 3" xfId="17346"/>
    <cellStyle name="Percent 7 3 7 2 5" xfId="12771"/>
    <cellStyle name="Percent 7 3 7 2 5 2" xfId="41620"/>
    <cellStyle name="Percent 7 3 7 2 6" xfId="17342"/>
    <cellStyle name="Percent 7 3 7 3" xfId="9458"/>
    <cellStyle name="Percent 7 3 7 3 2" xfId="10512"/>
    <cellStyle name="Percent 7 3 7 3 2 2" xfId="14106"/>
    <cellStyle name="Percent 7 3 7 3 2 2 2" xfId="41623"/>
    <cellStyle name="Percent 7 3 7 3 2 3" xfId="17348"/>
    <cellStyle name="Percent 7 3 7 3 3" xfId="13053"/>
    <cellStyle name="Percent 7 3 7 3 3 2" xfId="41622"/>
    <cellStyle name="Percent 7 3 7 3 4" xfId="17347"/>
    <cellStyle name="Percent 7 3 7 4" xfId="9974"/>
    <cellStyle name="Percent 7 3 7 4 2" xfId="13568"/>
    <cellStyle name="Percent 7 3 7 4 2 2" xfId="41625"/>
    <cellStyle name="Percent 7 3 7 4 3" xfId="41624"/>
    <cellStyle name="Percent 7 3 7 4 4" xfId="17349"/>
    <cellStyle name="Percent 7 3 7 5" xfId="11327"/>
    <cellStyle name="Percent 7 3 7 5 2" xfId="14919"/>
    <cellStyle name="Percent 7 3 7 5 2 2" xfId="41626"/>
    <cellStyle name="Percent 7 3 7 5 3" xfId="17350"/>
    <cellStyle name="Percent 7 3 7 6" xfId="12515"/>
    <cellStyle name="Percent 7 3 7 6 2" xfId="41627"/>
    <cellStyle name="Percent 7 3 7 7" xfId="41619"/>
    <cellStyle name="Percent 7 3 7 8" xfId="17341"/>
    <cellStyle name="Percent 7 3 8" xfId="9018"/>
    <cellStyle name="Percent 7 3 8 2" xfId="9586"/>
    <cellStyle name="Percent 7 3 8 2 2" xfId="10640"/>
    <cellStyle name="Percent 7 3 8 2 2 2" xfId="14234"/>
    <cellStyle name="Percent 7 3 8 2 2 2 2" xfId="41630"/>
    <cellStyle name="Percent 7 3 8 2 2 3" xfId="17353"/>
    <cellStyle name="Percent 7 3 8 2 3" xfId="13181"/>
    <cellStyle name="Percent 7 3 8 2 3 2" xfId="41629"/>
    <cellStyle name="Percent 7 3 8 2 4" xfId="17352"/>
    <cellStyle name="Percent 7 3 8 3" xfId="10102"/>
    <cellStyle name="Percent 7 3 8 3 2" xfId="13696"/>
    <cellStyle name="Percent 7 3 8 3 2 2" xfId="41632"/>
    <cellStyle name="Percent 7 3 8 3 3" xfId="41631"/>
    <cellStyle name="Percent 7 3 8 3 4" xfId="17354"/>
    <cellStyle name="Percent 7 3 8 4" xfId="11329"/>
    <cellStyle name="Percent 7 3 8 4 2" xfId="14921"/>
    <cellStyle name="Percent 7 3 8 4 2 2" xfId="41633"/>
    <cellStyle name="Percent 7 3 8 4 3" xfId="17355"/>
    <cellStyle name="Percent 7 3 8 5" xfId="12643"/>
    <cellStyle name="Percent 7 3 8 5 2" xfId="41634"/>
    <cellStyle name="Percent 7 3 8 6" xfId="41628"/>
    <cellStyle name="Percent 7 3 8 7" xfId="17351"/>
    <cellStyle name="Percent 7 3 9" xfId="9330"/>
    <cellStyle name="Percent 7 3 9 2" xfId="10384"/>
    <cellStyle name="Percent 7 3 9 2 2" xfId="13978"/>
    <cellStyle name="Percent 7 3 9 2 2 2" xfId="41636"/>
    <cellStyle name="Percent 7 3 9 2 3" xfId="17357"/>
    <cellStyle name="Percent 7 3 9 3" xfId="12925"/>
    <cellStyle name="Percent 7 3 9 3 2" xfId="41635"/>
    <cellStyle name="Percent 7 3 9 4" xfId="17356"/>
    <cellStyle name="Percent 7 4" xfId="8763"/>
    <cellStyle name="Percent 7 4 10" xfId="11330"/>
    <cellStyle name="Percent 7 4 10 2" xfId="14922"/>
    <cellStyle name="Percent 7 4 10 2 2" xfId="41639"/>
    <cellStyle name="Percent 7 4 10 3" xfId="41638"/>
    <cellStyle name="Percent 7 4 10 4" xfId="17359"/>
    <cellStyle name="Percent 7 4 11" xfId="12391"/>
    <cellStyle name="Percent 7 4 11 2" xfId="41640"/>
    <cellStyle name="Percent 7 4 12" xfId="41641"/>
    <cellStyle name="Percent 7 4 13" xfId="41637"/>
    <cellStyle name="Percent 7 4 14" xfId="17358"/>
    <cellStyle name="Percent 7 4 2" xfId="8764"/>
    <cellStyle name="Percent 7 4 2 10" xfId="12392"/>
    <cellStyle name="Percent 7 4 2 10 2" xfId="41643"/>
    <cellStyle name="Percent 7 4 2 11" xfId="41642"/>
    <cellStyle name="Percent 7 4 2 12" xfId="17360"/>
    <cellStyle name="Percent 7 4 2 2" xfId="8794"/>
    <cellStyle name="Percent 7 4 2 2 2" xfId="8922"/>
    <cellStyle name="Percent 7 4 2 2 2 2" xfId="9178"/>
    <cellStyle name="Percent 7 4 2 2 2 2 2" xfId="9746"/>
    <cellStyle name="Percent 7 4 2 2 2 2 2 2" xfId="10800"/>
    <cellStyle name="Percent 7 4 2 2 2 2 2 2 2" xfId="14394"/>
    <cellStyle name="Percent 7 4 2 2 2 2 2 2 3" xfId="17365"/>
    <cellStyle name="Percent 7 4 2 2 2 2 2 3" xfId="13341"/>
    <cellStyle name="Percent 7 4 2 2 2 2 2 4" xfId="17364"/>
    <cellStyle name="Percent 7 4 2 2 2 2 3" xfId="10262"/>
    <cellStyle name="Percent 7 4 2 2 2 2 3 2" xfId="13856"/>
    <cellStyle name="Percent 7 4 2 2 2 2 3 3" xfId="17366"/>
    <cellStyle name="Percent 7 4 2 2 2 2 4" xfId="11334"/>
    <cellStyle name="Percent 7 4 2 2 2 2 4 2" xfId="14926"/>
    <cellStyle name="Percent 7 4 2 2 2 2 4 3" xfId="17367"/>
    <cellStyle name="Percent 7 4 2 2 2 2 5" xfId="12803"/>
    <cellStyle name="Percent 7 4 2 2 2 2 5 2" xfId="41646"/>
    <cellStyle name="Percent 7 4 2 2 2 2 6" xfId="17363"/>
    <cellStyle name="Percent 7 4 2 2 2 3" xfId="9490"/>
    <cellStyle name="Percent 7 4 2 2 2 3 2" xfId="10544"/>
    <cellStyle name="Percent 7 4 2 2 2 3 2 2" xfId="14138"/>
    <cellStyle name="Percent 7 4 2 2 2 3 2 3" xfId="17369"/>
    <cellStyle name="Percent 7 4 2 2 2 3 3" xfId="13085"/>
    <cellStyle name="Percent 7 4 2 2 2 3 4" xfId="17368"/>
    <cellStyle name="Percent 7 4 2 2 2 4" xfId="10006"/>
    <cellStyle name="Percent 7 4 2 2 2 4 2" xfId="13600"/>
    <cellStyle name="Percent 7 4 2 2 2 4 3" xfId="17370"/>
    <cellStyle name="Percent 7 4 2 2 2 5" xfId="11333"/>
    <cellStyle name="Percent 7 4 2 2 2 5 2" xfId="14925"/>
    <cellStyle name="Percent 7 4 2 2 2 5 3" xfId="17371"/>
    <cellStyle name="Percent 7 4 2 2 2 6" xfId="12547"/>
    <cellStyle name="Percent 7 4 2 2 2 6 2" xfId="41645"/>
    <cellStyle name="Percent 7 4 2 2 2 7" xfId="17362"/>
    <cellStyle name="Percent 7 4 2 2 3" xfId="9050"/>
    <cellStyle name="Percent 7 4 2 2 3 2" xfId="9618"/>
    <cellStyle name="Percent 7 4 2 2 3 2 2" xfId="10672"/>
    <cellStyle name="Percent 7 4 2 2 3 2 2 2" xfId="14266"/>
    <cellStyle name="Percent 7 4 2 2 3 2 2 3" xfId="17374"/>
    <cellStyle name="Percent 7 4 2 2 3 2 3" xfId="13213"/>
    <cellStyle name="Percent 7 4 2 2 3 2 3 2" xfId="41648"/>
    <cellStyle name="Percent 7 4 2 2 3 2 4" xfId="17373"/>
    <cellStyle name="Percent 7 4 2 2 3 3" xfId="10134"/>
    <cellStyle name="Percent 7 4 2 2 3 3 2" xfId="13728"/>
    <cellStyle name="Percent 7 4 2 2 3 3 3" xfId="17375"/>
    <cellStyle name="Percent 7 4 2 2 3 4" xfId="11335"/>
    <cellStyle name="Percent 7 4 2 2 3 4 2" xfId="14927"/>
    <cellStyle name="Percent 7 4 2 2 3 4 3" xfId="17376"/>
    <cellStyle name="Percent 7 4 2 2 3 5" xfId="12675"/>
    <cellStyle name="Percent 7 4 2 2 3 5 2" xfId="41647"/>
    <cellStyle name="Percent 7 4 2 2 3 6" xfId="17372"/>
    <cellStyle name="Percent 7 4 2 2 4" xfId="9362"/>
    <cellStyle name="Percent 7 4 2 2 4 2" xfId="10416"/>
    <cellStyle name="Percent 7 4 2 2 4 2 2" xfId="14010"/>
    <cellStyle name="Percent 7 4 2 2 4 2 2 2" xfId="41650"/>
    <cellStyle name="Percent 7 4 2 2 4 2 3" xfId="17378"/>
    <cellStyle name="Percent 7 4 2 2 4 3" xfId="12957"/>
    <cellStyle name="Percent 7 4 2 2 4 3 2" xfId="41649"/>
    <cellStyle name="Percent 7 4 2 2 4 4" xfId="17377"/>
    <cellStyle name="Percent 7 4 2 2 5" xfId="9878"/>
    <cellStyle name="Percent 7 4 2 2 5 2" xfId="13472"/>
    <cellStyle name="Percent 7 4 2 2 5 2 2" xfId="41651"/>
    <cellStyle name="Percent 7 4 2 2 5 3" xfId="17379"/>
    <cellStyle name="Percent 7 4 2 2 6" xfId="11332"/>
    <cellStyle name="Percent 7 4 2 2 6 2" xfId="14924"/>
    <cellStyle name="Percent 7 4 2 2 6 2 2" xfId="41652"/>
    <cellStyle name="Percent 7 4 2 2 6 3" xfId="17380"/>
    <cellStyle name="Percent 7 4 2 2 7" xfId="12419"/>
    <cellStyle name="Percent 7 4 2 2 7 2" xfId="41644"/>
    <cellStyle name="Percent 7 4 2 2 8" xfId="17361"/>
    <cellStyle name="Percent 7 4 2 3" xfId="8826"/>
    <cellStyle name="Percent 7 4 2 3 2" xfId="8954"/>
    <cellStyle name="Percent 7 4 2 3 2 2" xfId="9210"/>
    <cellStyle name="Percent 7 4 2 3 2 2 2" xfId="9778"/>
    <cellStyle name="Percent 7 4 2 3 2 2 2 2" xfId="10832"/>
    <cellStyle name="Percent 7 4 2 3 2 2 2 2 2" xfId="14426"/>
    <cellStyle name="Percent 7 4 2 3 2 2 2 2 3" xfId="17385"/>
    <cellStyle name="Percent 7 4 2 3 2 2 2 3" xfId="13373"/>
    <cellStyle name="Percent 7 4 2 3 2 2 2 4" xfId="17384"/>
    <cellStyle name="Percent 7 4 2 3 2 2 3" xfId="10294"/>
    <cellStyle name="Percent 7 4 2 3 2 2 3 2" xfId="13888"/>
    <cellStyle name="Percent 7 4 2 3 2 2 3 3" xfId="17386"/>
    <cellStyle name="Percent 7 4 2 3 2 2 4" xfId="11338"/>
    <cellStyle name="Percent 7 4 2 3 2 2 4 2" xfId="14930"/>
    <cellStyle name="Percent 7 4 2 3 2 2 4 3" xfId="17387"/>
    <cellStyle name="Percent 7 4 2 3 2 2 5" xfId="12835"/>
    <cellStyle name="Percent 7 4 2 3 2 2 5 2" xfId="41655"/>
    <cellStyle name="Percent 7 4 2 3 2 2 6" xfId="17383"/>
    <cellStyle name="Percent 7 4 2 3 2 3" xfId="9522"/>
    <cellStyle name="Percent 7 4 2 3 2 3 2" xfId="10576"/>
    <cellStyle name="Percent 7 4 2 3 2 3 2 2" xfId="14170"/>
    <cellStyle name="Percent 7 4 2 3 2 3 2 3" xfId="17389"/>
    <cellStyle name="Percent 7 4 2 3 2 3 3" xfId="13117"/>
    <cellStyle name="Percent 7 4 2 3 2 3 4" xfId="17388"/>
    <cellStyle name="Percent 7 4 2 3 2 4" xfId="10038"/>
    <cellStyle name="Percent 7 4 2 3 2 4 2" xfId="13632"/>
    <cellStyle name="Percent 7 4 2 3 2 4 3" xfId="17390"/>
    <cellStyle name="Percent 7 4 2 3 2 5" xfId="11337"/>
    <cellStyle name="Percent 7 4 2 3 2 5 2" xfId="14929"/>
    <cellStyle name="Percent 7 4 2 3 2 5 3" xfId="17391"/>
    <cellStyle name="Percent 7 4 2 3 2 6" xfId="12579"/>
    <cellStyle name="Percent 7 4 2 3 2 6 2" xfId="41654"/>
    <cellStyle name="Percent 7 4 2 3 2 7" xfId="17382"/>
    <cellStyle name="Percent 7 4 2 3 3" xfId="9082"/>
    <cellStyle name="Percent 7 4 2 3 3 2" xfId="9650"/>
    <cellStyle name="Percent 7 4 2 3 3 2 2" xfId="10704"/>
    <cellStyle name="Percent 7 4 2 3 3 2 2 2" xfId="14298"/>
    <cellStyle name="Percent 7 4 2 3 3 2 2 3" xfId="17394"/>
    <cellStyle name="Percent 7 4 2 3 3 2 3" xfId="13245"/>
    <cellStyle name="Percent 7 4 2 3 3 2 3 2" xfId="41657"/>
    <cellStyle name="Percent 7 4 2 3 3 2 4" xfId="17393"/>
    <cellStyle name="Percent 7 4 2 3 3 3" xfId="10166"/>
    <cellStyle name="Percent 7 4 2 3 3 3 2" xfId="13760"/>
    <cellStyle name="Percent 7 4 2 3 3 3 3" xfId="17395"/>
    <cellStyle name="Percent 7 4 2 3 3 4" xfId="11339"/>
    <cellStyle name="Percent 7 4 2 3 3 4 2" xfId="14931"/>
    <cellStyle name="Percent 7 4 2 3 3 4 3" xfId="17396"/>
    <cellStyle name="Percent 7 4 2 3 3 5" xfId="12707"/>
    <cellStyle name="Percent 7 4 2 3 3 5 2" xfId="41656"/>
    <cellStyle name="Percent 7 4 2 3 3 6" xfId="17392"/>
    <cellStyle name="Percent 7 4 2 3 4" xfId="9394"/>
    <cellStyle name="Percent 7 4 2 3 4 2" xfId="10448"/>
    <cellStyle name="Percent 7 4 2 3 4 2 2" xfId="14042"/>
    <cellStyle name="Percent 7 4 2 3 4 2 2 2" xfId="41659"/>
    <cellStyle name="Percent 7 4 2 3 4 2 3" xfId="17398"/>
    <cellStyle name="Percent 7 4 2 3 4 3" xfId="12989"/>
    <cellStyle name="Percent 7 4 2 3 4 3 2" xfId="41658"/>
    <cellStyle name="Percent 7 4 2 3 4 4" xfId="17397"/>
    <cellStyle name="Percent 7 4 2 3 5" xfId="9910"/>
    <cellStyle name="Percent 7 4 2 3 5 2" xfId="13504"/>
    <cellStyle name="Percent 7 4 2 3 5 2 2" xfId="41660"/>
    <cellStyle name="Percent 7 4 2 3 5 3" xfId="17399"/>
    <cellStyle name="Percent 7 4 2 3 6" xfId="11336"/>
    <cellStyle name="Percent 7 4 2 3 6 2" xfId="14928"/>
    <cellStyle name="Percent 7 4 2 3 6 2 2" xfId="41661"/>
    <cellStyle name="Percent 7 4 2 3 6 3" xfId="17400"/>
    <cellStyle name="Percent 7 4 2 3 7" xfId="12451"/>
    <cellStyle name="Percent 7 4 2 3 7 2" xfId="41653"/>
    <cellStyle name="Percent 7 4 2 3 8" xfId="17381"/>
    <cellStyle name="Percent 7 4 2 4" xfId="8858"/>
    <cellStyle name="Percent 7 4 2 4 2" xfId="8986"/>
    <cellStyle name="Percent 7 4 2 4 2 2" xfId="9242"/>
    <cellStyle name="Percent 7 4 2 4 2 2 2" xfId="9810"/>
    <cellStyle name="Percent 7 4 2 4 2 2 2 2" xfId="10864"/>
    <cellStyle name="Percent 7 4 2 4 2 2 2 2 2" xfId="14458"/>
    <cellStyle name="Percent 7 4 2 4 2 2 2 2 3" xfId="17405"/>
    <cellStyle name="Percent 7 4 2 4 2 2 2 3" xfId="13405"/>
    <cellStyle name="Percent 7 4 2 4 2 2 2 4" xfId="17404"/>
    <cellStyle name="Percent 7 4 2 4 2 2 3" xfId="10326"/>
    <cellStyle name="Percent 7 4 2 4 2 2 3 2" xfId="13920"/>
    <cellStyle name="Percent 7 4 2 4 2 2 3 3" xfId="17406"/>
    <cellStyle name="Percent 7 4 2 4 2 2 4" xfId="11342"/>
    <cellStyle name="Percent 7 4 2 4 2 2 4 2" xfId="14934"/>
    <cellStyle name="Percent 7 4 2 4 2 2 4 3" xfId="17407"/>
    <cellStyle name="Percent 7 4 2 4 2 2 5" xfId="12867"/>
    <cellStyle name="Percent 7 4 2 4 2 2 5 2" xfId="41664"/>
    <cellStyle name="Percent 7 4 2 4 2 2 6" xfId="17403"/>
    <cellStyle name="Percent 7 4 2 4 2 3" xfId="9554"/>
    <cellStyle name="Percent 7 4 2 4 2 3 2" xfId="10608"/>
    <cellStyle name="Percent 7 4 2 4 2 3 2 2" xfId="14202"/>
    <cellStyle name="Percent 7 4 2 4 2 3 2 3" xfId="17409"/>
    <cellStyle name="Percent 7 4 2 4 2 3 3" xfId="13149"/>
    <cellStyle name="Percent 7 4 2 4 2 3 4" xfId="17408"/>
    <cellStyle name="Percent 7 4 2 4 2 4" xfId="10070"/>
    <cellStyle name="Percent 7 4 2 4 2 4 2" xfId="13664"/>
    <cellStyle name="Percent 7 4 2 4 2 4 3" xfId="17410"/>
    <cellStyle name="Percent 7 4 2 4 2 5" xfId="11341"/>
    <cellStyle name="Percent 7 4 2 4 2 5 2" xfId="14933"/>
    <cellStyle name="Percent 7 4 2 4 2 5 3" xfId="17411"/>
    <cellStyle name="Percent 7 4 2 4 2 6" xfId="12611"/>
    <cellStyle name="Percent 7 4 2 4 2 6 2" xfId="41663"/>
    <cellStyle name="Percent 7 4 2 4 2 7" xfId="17402"/>
    <cellStyle name="Percent 7 4 2 4 3" xfId="9114"/>
    <cellStyle name="Percent 7 4 2 4 3 2" xfId="9682"/>
    <cellStyle name="Percent 7 4 2 4 3 2 2" xfId="10736"/>
    <cellStyle name="Percent 7 4 2 4 3 2 2 2" xfId="14330"/>
    <cellStyle name="Percent 7 4 2 4 3 2 2 3" xfId="17414"/>
    <cellStyle name="Percent 7 4 2 4 3 2 3" xfId="13277"/>
    <cellStyle name="Percent 7 4 2 4 3 2 3 2" xfId="41666"/>
    <cellStyle name="Percent 7 4 2 4 3 2 4" xfId="17413"/>
    <cellStyle name="Percent 7 4 2 4 3 3" xfId="10198"/>
    <cellStyle name="Percent 7 4 2 4 3 3 2" xfId="13792"/>
    <cellStyle name="Percent 7 4 2 4 3 3 3" xfId="17415"/>
    <cellStyle name="Percent 7 4 2 4 3 4" xfId="11343"/>
    <cellStyle name="Percent 7 4 2 4 3 4 2" xfId="14935"/>
    <cellStyle name="Percent 7 4 2 4 3 4 3" xfId="17416"/>
    <cellStyle name="Percent 7 4 2 4 3 5" xfId="12739"/>
    <cellStyle name="Percent 7 4 2 4 3 5 2" xfId="41665"/>
    <cellStyle name="Percent 7 4 2 4 3 6" xfId="17412"/>
    <cellStyle name="Percent 7 4 2 4 4" xfId="9426"/>
    <cellStyle name="Percent 7 4 2 4 4 2" xfId="10480"/>
    <cellStyle name="Percent 7 4 2 4 4 2 2" xfId="14074"/>
    <cellStyle name="Percent 7 4 2 4 4 2 2 2" xfId="41668"/>
    <cellStyle name="Percent 7 4 2 4 4 2 3" xfId="17418"/>
    <cellStyle name="Percent 7 4 2 4 4 3" xfId="13021"/>
    <cellStyle name="Percent 7 4 2 4 4 3 2" xfId="41667"/>
    <cellStyle name="Percent 7 4 2 4 4 4" xfId="17417"/>
    <cellStyle name="Percent 7 4 2 4 5" xfId="9942"/>
    <cellStyle name="Percent 7 4 2 4 5 2" xfId="13536"/>
    <cellStyle name="Percent 7 4 2 4 5 2 2" xfId="41669"/>
    <cellStyle name="Percent 7 4 2 4 5 3" xfId="17419"/>
    <cellStyle name="Percent 7 4 2 4 6" xfId="11340"/>
    <cellStyle name="Percent 7 4 2 4 6 2" xfId="14932"/>
    <cellStyle name="Percent 7 4 2 4 6 2 2" xfId="41670"/>
    <cellStyle name="Percent 7 4 2 4 6 3" xfId="17420"/>
    <cellStyle name="Percent 7 4 2 4 7" xfId="12483"/>
    <cellStyle name="Percent 7 4 2 4 7 2" xfId="41662"/>
    <cellStyle name="Percent 7 4 2 4 8" xfId="17401"/>
    <cellStyle name="Percent 7 4 2 5" xfId="8895"/>
    <cellStyle name="Percent 7 4 2 5 2" xfId="9151"/>
    <cellStyle name="Percent 7 4 2 5 2 2" xfId="9719"/>
    <cellStyle name="Percent 7 4 2 5 2 2 2" xfId="10773"/>
    <cellStyle name="Percent 7 4 2 5 2 2 2 2" xfId="14367"/>
    <cellStyle name="Percent 7 4 2 5 2 2 2 3" xfId="17424"/>
    <cellStyle name="Percent 7 4 2 5 2 2 3" xfId="13314"/>
    <cellStyle name="Percent 7 4 2 5 2 2 3 2" xfId="41673"/>
    <cellStyle name="Percent 7 4 2 5 2 2 4" xfId="17423"/>
    <cellStyle name="Percent 7 4 2 5 2 3" xfId="10235"/>
    <cellStyle name="Percent 7 4 2 5 2 3 2" xfId="13829"/>
    <cellStyle name="Percent 7 4 2 5 2 3 3" xfId="17425"/>
    <cellStyle name="Percent 7 4 2 5 2 4" xfId="11345"/>
    <cellStyle name="Percent 7 4 2 5 2 4 2" xfId="14937"/>
    <cellStyle name="Percent 7 4 2 5 2 4 3" xfId="17426"/>
    <cellStyle name="Percent 7 4 2 5 2 5" xfId="12776"/>
    <cellStyle name="Percent 7 4 2 5 2 5 2" xfId="41672"/>
    <cellStyle name="Percent 7 4 2 5 2 6" xfId="17422"/>
    <cellStyle name="Percent 7 4 2 5 3" xfId="9463"/>
    <cellStyle name="Percent 7 4 2 5 3 2" xfId="10517"/>
    <cellStyle name="Percent 7 4 2 5 3 2 2" xfId="14111"/>
    <cellStyle name="Percent 7 4 2 5 3 2 2 2" xfId="41675"/>
    <cellStyle name="Percent 7 4 2 5 3 2 3" xfId="17428"/>
    <cellStyle name="Percent 7 4 2 5 3 3" xfId="13058"/>
    <cellStyle name="Percent 7 4 2 5 3 3 2" xfId="41674"/>
    <cellStyle name="Percent 7 4 2 5 3 4" xfId="17427"/>
    <cellStyle name="Percent 7 4 2 5 4" xfId="9979"/>
    <cellStyle name="Percent 7 4 2 5 4 2" xfId="13573"/>
    <cellStyle name="Percent 7 4 2 5 4 2 2" xfId="41676"/>
    <cellStyle name="Percent 7 4 2 5 4 3" xfId="17429"/>
    <cellStyle name="Percent 7 4 2 5 5" xfId="11344"/>
    <cellStyle name="Percent 7 4 2 5 5 2" xfId="14936"/>
    <cellStyle name="Percent 7 4 2 5 5 2 2" xfId="41677"/>
    <cellStyle name="Percent 7 4 2 5 5 3" xfId="17430"/>
    <cellStyle name="Percent 7 4 2 5 6" xfId="12520"/>
    <cellStyle name="Percent 7 4 2 5 6 2" xfId="41671"/>
    <cellStyle name="Percent 7 4 2 5 7" xfId="17421"/>
    <cellStyle name="Percent 7 4 2 6" xfId="9023"/>
    <cellStyle name="Percent 7 4 2 6 2" xfId="9591"/>
    <cellStyle name="Percent 7 4 2 6 2 2" xfId="10645"/>
    <cellStyle name="Percent 7 4 2 6 2 2 2" xfId="14239"/>
    <cellStyle name="Percent 7 4 2 6 2 2 3" xfId="17433"/>
    <cellStyle name="Percent 7 4 2 6 2 3" xfId="13186"/>
    <cellStyle name="Percent 7 4 2 6 2 3 2" xfId="41679"/>
    <cellStyle name="Percent 7 4 2 6 2 4" xfId="17432"/>
    <cellStyle name="Percent 7 4 2 6 3" xfId="10107"/>
    <cellStyle name="Percent 7 4 2 6 3 2" xfId="13701"/>
    <cellStyle name="Percent 7 4 2 6 3 3" xfId="17434"/>
    <cellStyle name="Percent 7 4 2 6 4" xfId="11346"/>
    <cellStyle name="Percent 7 4 2 6 4 2" xfId="14938"/>
    <cellStyle name="Percent 7 4 2 6 4 3" xfId="17435"/>
    <cellStyle name="Percent 7 4 2 6 5" xfId="12648"/>
    <cellStyle name="Percent 7 4 2 6 5 2" xfId="41678"/>
    <cellStyle name="Percent 7 4 2 6 6" xfId="17431"/>
    <cellStyle name="Percent 7 4 2 7" xfId="9335"/>
    <cellStyle name="Percent 7 4 2 7 2" xfId="10389"/>
    <cellStyle name="Percent 7 4 2 7 2 2" xfId="13983"/>
    <cellStyle name="Percent 7 4 2 7 2 2 2" xfId="41681"/>
    <cellStyle name="Percent 7 4 2 7 2 3" xfId="17437"/>
    <cellStyle name="Percent 7 4 2 7 3" xfId="12930"/>
    <cellStyle name="Percent 7 4 2 7 3 2" xfId="41680"/>
    <cellStyle name="Percent 7 4 2 7 4" xfId="17436"/>
    <cellStyle name="Percent 7 4 2 8" xfId="9851"/>
    <cellStyle name="Percent 7 4 2 8 2" xfId="13445"/>
    <cellStyle name="Percent 7 4 2 8 2 2" xfId="41683"/>
    <cellStyle name="Percent 7 4 2 8 3" xfId="41682"/>
    <cellStyle name="Percent 7 4 2 8 4" xfId="17438"/>
    <cellStyle name="Percent 7 4 2 9" xfId="11331"/>
    <cellStyle name="Percent 7 4 2 9 2" xfId="14923"/>
    <cellStyle name="Percent 7 4 2 9 2 2" xfId="41684"/>
    <cellStyle name="Percent 7 4 2 9 3" xfId="17439"/>
    <cellStyle name="Percent 7 4 3" xfId="8778"/>
    <cellStyle name="Percent 7 4 3 10" xfId="41686"/>
    <cellStyle name="Percent 7 4 3 11" xfId="41685"/>
    <cellStyle name="Percent 7 4 3 12" xfId="17440"/>
    <cellStyle name="Percent 7 4 3 2" xfId="8906"/>
    <cellStyle name="Percent 7 4 3 2 2" xfId="9162"/>
    <cellStyle name="Percent 7 4 3 2 2 2" xfId="9730"/>
    <cellStyle name="Percent 7 4 3 2 2 2 2" xfId="10784"/>
    <cellStyle name="Percent 7 4 3 2 2 2 2 2" xfId="14378"/>
    <cellStyle name="Percent 7 4 3 2 2 2 2 3" xfId="17444"/>
    <cellStyle name="Percent 7 4 3 2 2 2 3" xfId="13325"/>
    <cellStyle name="Percent 7 4 3 2 2 2 3 2" xfId="41689"/>
    <cellStyle name="Percent 7 4 3 2 2 2 4" xfId="17443"/>
    <cellStyle name="Percent 7 4 3 2 2 3" xfId="10246"/>
    <cellStyle name="Percent 7 4 3 2 2 3 2" xfId="13840"/>
    <cellStyle name="Percent 7 4 3 2 2 3 3" xfId="17445"/>
    <cellStyle name="Percent 7 4 3 2 2 4" xfId="11349"/>
    <cellStyle name="Percent 7 4 3 2 2 4 2" xfId="14941"/>
    <cellStyle name="Percent 7 4 3 2 2 4 3" xfId="17446"/>
    <cellStyle name="Percent 7 4 3 2 2 5" xfId="12787"/>
    <cellStyle name="Percent 7 4 3 2 2 5 2" xfId="41688"/>
    <cellStyle name="Percent 7 4 3 2 2 6" xfId="17442"/>
    <cellStyle name="Percent 7 4 3 2 3" xfId="9474"/>
    <cellStyle name="Percent 7 4 3 2 3 2" xfId="10528"/>
    <cellStyle name="Percent 7 4 3 2 3 2 2" xfId="14122"/>
    <cellStyle name="Percent 7 4 3 2 3 2 2 2" xfId="41691"/>
    <cellStyle name="Percent 7 4 3 2 3 2 3" xfId="17448"/>
    <cellStyle name="Percent 7 4 3 2 3 3" xfId="13069"/>
    <cellStyle name="Percent 7 4 3 2 3 3 2" xfId="41690"/>
    <cellStyle name="Percent 7 4 3 2 3 4" xfId="17447"/>
    <cellStyle name="Percent 7 4 3 2 4" xfId="9990"/>
    <cellStyle name="Percent 7 4 3 2 4 2" xfId="13584"/>
    <cellStyle name="Percent 7 4 3 2 4 2 2" xfId="41693"/>
    <cellStyle name="Percent 7 4 3 2 4 3" xfId="41692"/>
    <cellStyle name="Percent 7 4 3 2 4 4" xfId="17449"/>
    <cellStyle name="Percent 7 4 3 2 5" xfId="11348"/>
    <cellStyle name="Percent 7 4 3 2 5 2" xfId="14940"/>
    <cellStyle name="Percent 7 4 3 2 5 2 2" xfId="41694"/>
    <cellStyle name="Percent 7 4 3 2 5 3" xfId="17450"/>
    <cellStyle name="Percent 7 4 3 2 6" xfId="12531"/>
    <cellStyle name="Percent 7 4 3 2 6 2" xfId="41695"/>
    <cellStyle name="Percent 7 4 3 2 7" xfId="41687"/>
    <cellStyle name="Percent 7 4 3 2 8" xfId="17441"/>
    <cellStyle name="Percent 7 4 3 3" xfId="9034"/>
    <cellStyle name="Percent 7 4 3 3 2" xfId="9602"/>
    <cellStyle name="Percent 7 4 3 3 2 2" xfId="10656"/>
    <cellStyle name="Percent 7 4 3 3 2 2 2" xfId="14250"/>
    <cellStyle name="Percent 7 4 3 3 2 2 2 2" xfId="41698"/>
    <cellStyle name="Percent 7 4 3 3 2 2 3" xfId="17453"/>
    <cellStyle name="Percent 7 4 3 3 2 3" xfId="13197"/>
    <cellStyle name="Percent 7 4 3 3 2 3 2" xfId="41697"/>
    <cellStyle name="Percent 7 4 3 3 2 4" xfId="17452"/>
    <cellStyle name="Percent 7 4 3 3 3" xfId="10118"/>
    <cellStyle name="Percent 7 4 3 3 3 2" xfId="13712"/>
    <cellStyle name="Percent 7 4 3 3 3 2 2" xfId="41700"/>
    <cellStyle name="Percent 7 4 3 3 3 3" xfId="41699"/>
    <cellStyle name="Percent 7 4 3 3 3 4" xfId="17454"/>
    <cellStyle name="Percent 7 4 3 3 4" xfId="11350"/>
    <cellStyle name="Percent 7 4 3 3 4 2" xfId="14942"/>
    <cellStyle name="Percent 7 4 3 3 4 2 2" xfId="41702"/>
    <cellStyle name="Percent 7 4 3 3 4 3" xfId="41701"/>
    <cellStyle name="Percent 7 4 3 3 4 4" xfId="17455"/>
    <cellStyle name="Percent 7 4 3 3 5" xfId="12659"/>
    <cellStyle name="Percent 7 4 3 3 5 2" xfId="41703"/>
    <cellStyle name="Percent 7 4 3 3 6" xfId="41704"/>
    <cellStyle name="Percent 7 4 3 3 7" xfId="41696"/>
    <cellStyle name="Percent 7 4 3 3 8" xfId="17451"/>
    <cellStyle name="Percent 7 4 3 4" xfId="9346"/>
    <cellStyle name="Percent 7 4 3 4 2" xfId="10400"/>
    <cellStyle name="Percent 7 4 3 4 2 2" xfId="13994"/>
    <cellStyle name="Percent 7 4 3 4 2 2 2" xfId="41707"/>
    <cellStyle name="Percent 7 4 3 4 2 3" xfId="41706"/>
    <cellStyle name="Percent 7 4 3 4 2 4" xfId="17457"/>
    <cellStyle name="Percent 7 4 3 4 3" xfId="12941"/>
    <cellStyle name="Percent 7 4 3 4 3 2" xfId="41709"/>
    <cellStyle name="Percent 7 4 3 4 3 3" xfId="41708"/>
    <cellStyle name="Percent 7 4 3 4 4" xfId="41710"/>
    <cellStyle name="Percent 7 4 3 4 4 2" xfId="41711"/>
    <cellStyle name="Percent 7 4 3 4 5" xfId="41712"/>
    <cellStyle name="Percent 7 4 3 4 6" xfId="41713"/>
    <cellStyle name="Percent 7 4 3 4 7" xfId="41705"/>
    <cellStyle name="Percent 7 4 3 4 8" xfId="17456"/>
    <cellStyle name="Percent 7 4 3 5" xfId="9862"/>
    <cellStyle name="Percent 7 4 3 5 2" xfId="13456"/>
    <cellStyle name="Percent 7 4 3 5 2 2" xfId="41716"/>
    <cellStyle name="Percent 7 4 3 5 2 3" xfId="41715"/>
    <cellStyle name="Percent 7 4 3 5 3" xfId="41717"/>
    <cellStyle name="Percent 7 4 3 5 3 2" xfId="41718"/>
    <cellStyle name="Percent 7 4 3 5 4" xfId="41719"/>
    <cellStyle name="Percent 7 4 3 5 5" xfId="41720"/>
    <cellStyle name="Percent 7 4 3 5 6" xfId="41714"/>
    <cellStyle name="Percent 7 4 3 5 7" xfId="17458"/>
    <cellStyle name="Percent 7 4 3 6" xfId="11347"/>
    <cellStyle name="Percent 7 4 3 6 2" xfId="14939"/>
    <cellStyle name="Percent 7 4 3 6 2 2" xfId="41722"/>
    <cellStyle name="Percent 7 4 3 6 3" xfId="41721"/>
    <cellStyle name="Percent 7 4 3 6 4" xfId="17459"/>
    <cellStyle name="Percent 7 4 3 7" xfId="12403"/>
    <cellStyle name="Percent 7 4 3 7 2" xfId="41724"/>
    <cellStyle name="Percent 7 4 3 7 3" xfId="41723"/>
    <cellStyle name="Percent 7 4 3 8" xfId="41725"/>
    <cellStyle name="Percent 7 4 3 8 2" xfId="41726"/>
    <cellStyle name="Percent 7 4 3 9" xfId="41727"/>
    <cellStyle name="Percent 7 4 4" xfId="8810"/>
    <cellStyle name="Percent 7 4 4 2" xfId="8938"/>
    <cellStyle name="Percent 7 4 4 2 2" xfId="9194"/>
    <cellStyle name="Percent 7 4 4 2 2 2" xfId="9762"/>
    <cellStyle name="Percent 7 4 4 2 2 2 2" xfId="10816"/>
    <cellStyle name="Percent 7 4 4 2 2 2 2 2" xfId="14410"/>
    <cellStyle name="Percent 7 4 4 2 2 2 2 3" xfId="17464"/>
    <cellStyle name="Percent 7 4 4 2 2 2 3" xfId="13357"/>
    <cellStyle name="Percent 7 4 4 2 2 2 4" xfId="17463"/>
    <cellStyle name="Percent 7 4 4 2 2 3" xfId="10278"/>
    <cellStyle name="Percent 7 4 4 2 2 3 2" xfId="13872"/>
    <cellStyle name="Percent 7 4 4 2 2 3 3" xfId="17465"/>
    <cellStyle name="Percent 7 4 4 2 2 4" xfId="11353"/>
    <cellStyle name="Percent 7 4 4 2 2 4 2" xfId="14945"/>
    <cellStyle name="Percent 7 4 4 2 2 4 3" xfId="17466"/>
    <cellStyle name="Percent 7 4 4 2 2 5" xfId="12819"/>
    <cellStyle name="Percent 7 4 4 2 2 5 2" xfId="41730"/>
    <cellStyle name="Percent 7 4 4 2 2 6" xfId="17462"/>
    <cellStyle name="Percent 7 4 4 2 3" xfId="9506"/>
    <cellStyle name="Percent 7 4 4 2 3 2" xfId="10560"/>
    <cellStyle name="Percent 7 4 4 2 3 2 2" xfId="14154"/>
    <cellStyle name="Percent 7 4 4 2 3 2 3" xfId="17468"/>
    <cellStyle name="Percent 7 4 4 2 3 3" xfId="13101"/>
    <cellStyle name="Percent 7 4 4 2 3 4" xfId="17467"/>
    <cellStyle name="Percent 7 4 4 2 4" xfId="10022"/>
    <cellStyle name="Percent 7 4 4 2 4 2" xfId="13616"/>
    <cellStyle name="Percent 7 4 4 2 4 3" xfId="17469"/>
    <cellStyle name="Percent 7 4 4 2 5" xfId="11352"/>
    <cellStyle name="Percent 7 4 4 2 5 2" xfId="14944"/>
    <cellStyle name="Percent 7 4 4 2 5 3" xfId="17470"/>
    <cellStyle name="Percent 7 4 4 2 6" xfId="12563"/>
    <cellStyle name="Percent 7 4 4 2 6 2" xfId="41729"/>
    <cellStyle name="Percent 7 4 4 2 7" xfId="17461"/>
    <cellStyle name="Percent 7 4 4 3" xfId="9066"/>
    <cellStyle name="Percent 7 4 4 3 2" xfId="9634"/>
    <cellStyle name="Percent 7 4 4 3 2 2" xfId="10688"/>
    <cellStyle name="Percent 7 4 4 3 2 2 2" xfId="14282"/>
    <cellStyle name="Percent 7 4 4 3 2 2 3" xfId="17473"/>
    <cellStyle name="Percent 7 4 4 3 2 3" xfId="13229"/>
    <cellStyle name="Percent 7 4 4 3 2 3 2" xfId="41732"/>
    <cellStyle name="Percent 7 4 4 3 2 4" xfId="17472"/>
    <cellStyle name="Percent 7 4 4 3 3" xfId="10150"/>
    <cellStyle name="Percent 7 4 4 3 3 2" xfId="13744"/>
    <cellStyle name="Percent 7 4 4 3 3 3" xfId="17474"/>
    <cellStyle name="Percent 7 4 4 3 4" xfId="11354"/>
    <cellStyle name="Percent 7 4 4 3 4 2" xfId="14946"/>
    <cellStyle name="Percent 7 4 4 3 4 3" xfId="17475"/>
    <cellStyle name="Percent 7 4 4 3 5" xfId="12691"/>
    <cellStyle name="Percent 7 4 4 3 5 2" xfId="41731"/>
    <cellStyle name="Percent 7 4 4 3 6" xfId="17471"/>
    <cellStyle name="Percent 7 4 4 4" xfId="9378"/>
    <cellStyle name="Percent 7 4 4 4 2" xfId="10432"/>
    <cellStyle name="Percent 7 4 4 4 2 2" xfId="14026"/>
    <cellStyle name="Percent 7 4 4 4 2 2 2" xfId="41734"/>
    <cellStyle name="Percent 7 4 4 4 2 3" xfId="17477"/>
    <cellStyle name="Percent 7 4 4 4 3" xfId="12973"/>
    <cellStyle name="Percent 7 4 4 4 3 2" xfId="41733"/>
    <cellStyle name="Percent 7 4 4 4 4" xfId="17476"/>
    <cellStyle name="Percent 7 4 4 5" xfId="9894"/>
    <cellStyle name="Percent 7 4 4 5 2" xfId="13488"/>
    <cellStyle name="Percent 7 4 4 5 2 2" xfId="41735"/>
    <cellStyle name="Percent 7 4 4 5 3" xfId="17478"/>
    <cellStyle name="Percent 7 4 4 6" xfId="11351"/>
    <cellStyle name="Percent 7 4 4 6 2" xfId="14943"/>
    <cellStyle name="Percent 7 4 4 6 2 2" xfId="41736"/>
    <cellStyle name="Percent 7 4 4 6 3" xfId="17479"/>
    <cellStyle name="Percent 7 4 4 7" xfId="12435"/>
    <cellStyle name="Percent 7 4 4 7 2" xfId="41728"/>
    <cellStyle name="Percent 7 4 4 8" xfId="17460"/>
    <cellStyle name="Percent 7 4 5" xfId="8842"/>
    <cellStyle name="Percent 7 4 5 2" xfId="8970"/>
    <cellStyle name="Percent 7 4 5 2 2" xfId="9226"/>
    <cellStyle name="Percent 7 4 5 2 2 2" xfId="9794"/>
    <cellStyle name="Percent 7 4 5 2 2 2 2" xfId="10848"/>
    <cellStyle name="Percent 7 4 5 2 2 2 2 2" xfId="14442"/>
    <cellStyle name="Percent 7 4 5 2 2 2 2 3" xfId="17484"/>
    <cellStyle name="Percent 7 4 5 2 2 2 3" xfId="13389"/>
    <cellStyle name="Percent 7 4 5 2 2 2 4" xfId="17483"/>
    <cellStyle name="Percent 7 4 5 2 2 3" xfId="10310"/>
    <cellStyle name="Percent 7 4 5 2 2 3 2" xfId="13904"/>
    <cellStyle name="Percent 7 4 5 2 2 3 3" xfId="17485"/>
    <cellStyle name="Percent 7 4 5 2 2 4" xfId="11357"/>
    <cellStyle name="Percent 7 4 5 2 2 4 2" xfId="14949"/>
    <cellStyle name="Percent 7 4 5 2 2 4 3" xfId="17486"/>
    <cellStyle name="Percent 7 4 5 2 2 5" xfId="12851"/>
    <cellStyle name="Percent 7 4 5 2 2 5 2" xfId="41739"/>
    <cellStyle name="Percent 7 4 5 2 2 6" xfId="17482"/>
    <cellStyle name="Percent 7 4 5 2 3" xfId="9538"/>
    <cellStyle name="Percent 7 4 5 2 3 2" xfId="10592"/>
    <cellStyle name="Percent 7 4 5 2 3 2 2" xfId="14186"/>
    <cellStyle name="Percent 7 4 5 2 3 2 3" xfId="17488"/>
    <cellStyle name="Percent 7 4 5 2 3 3" xfId="13133"/>
    <cellStyle name="Percent 7 4 5 2 3 4" xfId="17487"/>
    <cellStyle name="Percent 7 4 5 2 4" xfId="10054"/>
    <cellStyle name="Percent 7 4 5 2 4 2" xfId="13648"/>
    <cellStyle name="Percent 7 4 5 2 4 3" xfId="17489"/>
    <cellStyle name="Percent 7 4 5 2 5" xfId="11356"/>
    <cellStyle name="Percent 7 4 5 2 5 2" xfId="14948"/>
    <cellStyle name="Percent 7 4 5 2 5 3" xfId="17490"/>
    <cellStyle name="Percent 7 4 5 2 6" xfId="12595"/>
    <cellStyle name="Percent 7 4 5 2 6 2" xfId="41738"/>
    <cellStyle name="Percent 7 4 5 2 7" xfId="17481"/>
    <cellStyle name="Percent 7 4 5 3" xfId="9098"/>
    <cellStyle name="Percent 7 4 5 3 2" xfId="9666"/>
    <cellStyle name="Percent 7 4 5 3 2 2" xfId="10720"/>
    <cellStyle name="Percent 7 4 5 3 2 2 2" xfId="14314"/>
    <cellStyle name="Percent 7 4 5 3 2 2 3" xfId="17493"/>
    <cellStyle name="Percent 7 4 5 3 2 3" xfId="13261"/>
    <cellStyle name="Percent 7 4 5 3 2 3 2" xfId="41741"/>
    <cellStyle name="Percent 7 4 5 3 2 4" xfId="17492"/>
    <cellStyle name="Percent 7 4 5 3 3" xfId="10182"/>
    <cellStyle name="Percent 7 4 5 3 3 2" xfId="13776"/>
    <cellStyle name="Percent 7 4 5 3 3 3" xfId="17494"/>
    <cellStyle name="Percent 7 4 5 3 4" xfId="11358"/>
    <cellStyle name="Percent 7 4 5 3 4 2" xfId="14950"/>
    <cellStyle name="Percent 7 4 5 3 4 3" xfId="17495"/>
    <cellStyle name="Percent 7 4 5 3 5" xfId="12723"/>
    <cellStyle name="Percent 7 4 5 3 5 2" xfId="41740"/>
    <cellStyle name="Percent 7 4 5 3 6" xfId="17491"/>
    <cellStyle name="Percent 7 4 5 4" xfId="9410"/>
    <cellStyle name="Percent 7 4 5 4 2" xfId="10464"/>
    <cellStyle name="Percent 7 4 5 4 2 2" xfId="14058"/>
    <cellStyle name="Percent 7 4 5 4 2 2 2" xfId="41743"/>
    <cellStyle name="Percent 7 4 5 4 2 3" xfId="17497"/>
    <cellStyle name="Percent 7 4 5 4 3" xfId="13005"/>
    <cellStyle name="Percent 7 4 5 4 3 2" xfId="41742"/>
    <cellStyle name="Percent 7 4 5 4 4" xfId="17496"/>
    <cellStyle name="Percent 7 4 5 5" xfId="9926"/>
    <cellStyle name="Percent 7 4 5 5 2" xfId="13520"/>
    <cellStyle name="Percent 7 4 5 5 2 2" xfId="41744"/>
    <cellStyle name="Percent 7 4 5 5 3" xfId="17498"/>
    <cellStyle name="Percent 7 4 5 6" xfId="11355"/>
    <cellStyle name="Percent 7 4 5 6 2" xfId="14947"/>
    <cellStyle name="Percent 7 4 5 6 2 2" xfId="41745"/>
    <cellStyle name="Percent 7 4 5 6 3" xfId="17499"/>
    <cellStyle name="Percent 7 4 5 7" xfId="12467"/>
    <cellStyle name="Percent 7 4 5 7 2" xfId="41737"/>
    <cellStyle name="Percent 7 4 5 8" xfId="17480"/>
    <cellStyle name="Percent 7 4 6" xfId="8894"/>
    <cellStyle name="Percent 7 4 6 2" xfId="9150"/>
    <cellStyle name="Percent 7 4 6 2 2" xfId="9718"/>
    <cellStyle name="Percent 7 4 6 2 2 2" xfId="10772"/>
    <cellStyle name="Percent 7 4 6 2 2 2 2" xfId="14366"/>
    <cellStyle name="Percent 7 4 6 2 2 2 3" xfId="17503"/>
    <cellStyle name="Percent 7 4 6 2 2 3" xfId="13313"/>
    <cellStyle name="Percent 7 4 6 2 2 3 2" xfId="41748"/>
    <cellStyle name="Percent 7 4 6 2 2 4" xfId="17502"/>
    <cellStyle name="Percent 7 4 6 2 3" xfId="10234"/>
    <cellStyle name="Percent 7 4 6 2 3 2" xfId="13828"/>
    <cellStyle name="Percent 7 4 6 2 3 3" xfId="17504"/>
    <cellStyle name="Percent 7 4 6 2 4" xfId="11360"/>
    <cellStyle name="Percent 7 4 6 2 4 2" xfId="14952"/>
    <cellStyle name="Percent 7 4 6 2 4 3" xfId="17505"/>
    <cellStyle name="Percent 7 4 6 2 5" xfId="12775"/>
    <cellStyle name="Percent 7 4 6 2 5 2" xfId="41747"/>
    <cellStyle name="Percent 7 4 6 2 6" xfId="17501"/>
    <cellStyle name="Percent 7 4 6 3" xfId="9462"/>
    <cellStyle name="Percent 7 4 6 3 2" xfId="10516"/>
    <cellStyle name="Percent 7 4 6 3 2 2" xfId="14110"/>
    <cellStyle name="Percent 7 4 6 3 2 2 2" xfId="41750"/>
    <cellStyle name="Percent 7 4 6 3 2 3" xfId="17507"/>
    <cellStyle name="Percent 7 4 6 3 3" xfId="13057"/>
    <cellStyle name="Percent 7 4 6 3 3 2" xfId="41749"/>
    <cellStyle name="Percent 7 4 6 3 4" xfId="17506"/>
    <cellStyle name="Percent 7 4 6 4" xfId="9978"/>
    <cellStyle name="Percent 7 4 6 4 2" xfId="13572"/>
    <cellStyle name="Percent 7 4 6 4 2 2" xfId="41752"/>
    <cellStyle name="Percent 7 4 6 4 3" xfId="41751"/>
    <cellStyle name="Percent 7 4 6 4 4" xfId="17508"/>
    <cellStyle name="Percent 7 4 6 5" xfId="11359"/>
    <cellStyle name="Percent 7 4 6 5 2" xfId="14951"/>
    <cellStyle name="Percent 7 4 6 5 2 2" xfId="41753"/>
    <cellStyle name="Percent 7 4 6 5 3" xfId="17509"/>
    <cellStyle name="Percent 7 4 6 6" xfId="12519"/>
    <cellStyle name="Percent 7 4 6 6 2" xfId="41754"/>
    <cellStyle name="Percent 7 4 6 7" xfId="41746"/>
    <cellStyle name="Percent 7 4 6 8" xfId="17500"/>
    <cellStyle name="Percent 7 4 7" xfId="9022"/>
    <cellStyle name="Percent 7 4 7 2" xfId="9590"/>
    <cellStyle name="Percent 7 4 7 2 2" xfId="10644"/>
    <cellStyle name="Percent 7 4 7 2 2 2" xfId="14238"/>
    <cellStyle name="Percent 7 4 7 2 2 2 2" xfId="41757"/>
    <cellStyle name="Percent 7 4 7 2 2 3" xfId="17512"/>
    <cellStyle name="Percent 7 4 7 2 3" xfId="13185"/>
    <cellStyle name="Percent 7 4 7 2 3 2" xfId="41756"/>
    <cellStyle name="Percent 7 4 7 2 4" xfId="17511"/>
    <cellStyle name="Percent 7 4 7 3" xfId="10106"/>
    <cellStyle name="Percent 7 4 7 3 2" xfId="13700"/>
    <cellStyle name="Percent 7 4 7 3 2 2" xfId="41759"/>
    <cellStyle name="Percent 7 4 7 3 3" xfId="41758"/>
    <cellStyle name="Percent 7 4 7 3 4" xfId="17513"/>
    <cellStyle name="Percent 7 4 7 4" xfId="11361"/>
    <cellStyle name="Percent 7 4 7 4 2" xfId="14953"/>
    <cellStyle name="Percent 7 4 7 4 2 2" xfId="41760"/>
    <cellStyle name="Percent 7 4 7 4 3" xfId="17514"/>
    <cellStyle name="Percent 7 4 7 5" xfId="12647"/>
    <cellStyle name="Percent 7 4 7 5 2" xfId="41761"/>
    <cellStyle name="Percent 7 4 7 6" xfId="41755"/>
    <cellStyle name="Percent 7 4 7 7" xfId="17510"/>
    <cellStyle name="Percent 7 4 8" xfId="9334"/>
    <cellStyle name="Percent 7 4 8 2" xfId="10388"/>
    <cellStyle name="Percent 7 4 8 2 2" xfId="13982"/>
    <cellStyle name="Percent 7 4 8 2 2 2" xfId="41763"/>
    <cellStyle name="Percent 7 4 8 2 3" xfId="17516"/>
    <cellStyle name="Percent 7 4 8 3" xfId="12929"/>
    <cellStyle name="Percent 7 4 8 3 2" xfId="41762"/>
    <cellStyle name="Percent 7 4 8 4" xfId="17515"/>
    <cellStyle name="Percent 7 4 9" xfId="9850"/>
    <cellStyle name="Percent 7 4 9 2" xfId="13444"/>
    <cellStyle name="Percent 7 4 9 2 2" xfId="41765"/>
    <cellStyle name="Percent 7 4 9 3" xfId="41764"/>
    <cellStyle name="Percent 7 4 9 4" xfId="17517"/>
    <cellStyle name="Percent 7 5" xfId="8765"/>
    <cellStyle name="Percent 7 5 10" xfId="12393"/>
    <cellStyle name="Percent 7 5 10 2" xfId="41767"/>
    <cellStyle name="Percent 7 5 11" xfId="41768"/>
    <cellStyle name="Percent 7 5 12" xfId="41766"/>
    <cellStyle name="Percent 7 5 13" xfId="17518"/>
    <cellStyle name="Percent 7 5 2" xfId="8786"/>
    <cellStyle name="Percent 7 5 2 2" xfId="8914"/>
    <cellStyle name="Percent 7 5 2 2 2" xfId="9170"/>
    <cellStyle name="Percent 7 5 2 2 2 2" xfId="9738"/>
    <cellStyle name="Percent 7 5 2 2 2 2 2" xfId="10792"/>
    <cellStyle name="Percent 7 5 2 2 2 2 2 2" xfId="14386"/>
    <cellStyle name="Percent 7 5 2 2 2 2 2 3" xfId="17523"/>
    <cellStyle name="Percent 7 5 2 2 2 2 3" xfId="13333"/>
    <cellStyle name="Percent 7 5 2 2 2 2 4" xfId="17522"/>
    <cellStyle name="Percent 7 5 2 2 2 3" xfId="10254"/>
    <cellStyle name="Percent 7 5 2 2 2 3 2" xfId="13848"/>
    <cellStyle name="Percent 7 5 2 2 2 3 3" xfId="17524"/>
    <cellStyle name="Percent 7 5 2 2 2 4" xfId="11365"/>
    <cellStyle name="Percent 7 5 2 2 2 4 2" xfId="14957"/>
    <cellStyle name="Percent 7 5 2 2 2 4 3" xfId="17525"/>
    <cellStyle name="Percent 7 5 2 2 2 5" xfId="12795"/>
    <cellStyle name="Percent 7 5 2 2 2 5 2" xfId="41771"/>
    <cellStyle name="Percent 7 5 2 2 2 6" xfId="17521"/>
    <cellStyle name="Percent 7 5 2 2 3" xfId="9482"/>
    <cellStyle name="Percent 7 5 2 2 3 2" xfId="10536"/>
    <cellStyle name="Percent 7 5 2 2 3 2 2" xfId="14130"/>
    <cellStyle name="Percent 7 5 2 2 3 2 3" xfId="17527"/>
    <cellStyle name="Percent 7 5 2 2 3 3" xfId="13077"/>
    <cellStyle name="Percent 7 5 2 2 3 4" xfId="17526"/>
    <cellStyle name="Percent 7 5 2 2 4" xfId="9998"/>
    <cellStyle name="Percent 7 5 2 2 4 2" xfId="13592"/>
    <cellStyle name="Percent 7 5 2 2 4 3" xfId="17528"/>
    <cellStyle name="Percent 7 5 2 2 5" xfId="11364"/>
    <cellStyle name="Percent 7 5 2 2 5 2" xfId="14956"/>
    <cellStyle name="Percent 7 5 2 2 5 3" xfId="17529"/>
    <cellStyle name="Percent 7 5 2 2 6" xfId="12539"/>
    <cellStyle name="Percent 7 5 2 2 6 2" xfId="41770"/>
    <cellStyle name="Percent 7 5 2 2 7" xfId="17520"/>
    <cellStyle name="Percent 7 5 2 3" xfId="9042"/>
    <cellStyle name="Percent 7 5 2 3 2" xfId="9610"/>
    <cellStyle name="Percent 7 5 2 3 2 2" xfId="10664"/>
    <cellStyle name="Percent 7 5 2 3 2 2 2" xfId="14258"/>
    <cellStyle name="Percent 7 5 2 3 2 2 3" xfId="17532"/>
    <cellStyle name="Percent 7 5 2 3 2 3" xfId="13205"/>
    <cellStyle name="Percent 7 5 2 3 2 3 2" xfId="41773"/>
    <cellStyle name="Percent 7 5 2 3 2 4" xfId="17531"/>
    <cellStyle name="Percent 7 5 2 3 3" xfId="10126"/>
    <cellStyle name="Percent 7 5 2 3 3 2" xfId="13720"/>
    <cellStyle name="Percent 7 5 2 3 3 3" xfId="17533"/>
    <cellStyle name="Percent 7 5 2 3 4" xfId="11366"/>
    <cellStyle name="Percent 7 5 2 3 4 2" xfId="14958"/>
    <cellStyle name="Percent 7 5 2 3 4 3" xfId="17534"/>
    <cellStyle name="Percent 7 5 2 3 5" xfId="12667"/>
    <cellStyle name="Percent 7 5 2 3 5 2" xfId="41772"/>
    <cellStyle name="Percent 7 5 2 3 6" xfId="17530"/>
    <cellStyle name="Percent 7 5 2 4" xfId="9354"/>
    <cellStyle name="Percent 7 5 2 4 2" xfId="10408"/>
    <cellStyle name="Percent 7 5 2 4 2 2" xfId="14002"/>
    <cellStyle name="Percent 7 5 2 4 2 2 2" xfId="41775"/>
    <cellStyle name="Percent 7 5 2 4 2 3" xfId="17536"/>
    <cellStyle name="Percent 7 5 2 4 3" xfId="12949"/>
    <cellStyle name="Percent 7 5 2 4 3 2" xfId="41774"/>
    <cellStyle name="Percent 7 5 2 4 4" xfId="17535"/>
    <cellStyle name="Percent 7 5 2 5" xfId="9870"/>
    <cellStyle name="Percent 7 5 2 5 2" xfId="13464"/>
    <cellStyle name="Percent 7 5 2 5 2 2" xfId="41776"/>
    <cellStyle name="Percent 7 5 2 5 3" xfId="17537"/>
    <cellStyle name="Percent 7 5 2 6" xfId="11363"/>
    <cellStyle name="Percent 7 5 2 6 2" xfId="14955"/>
    <cellStyle name="Percent 7 5 2 6 2 2" xfId="41777"/>
    <cellStyle name="Percent 7 5 2 6 3" xfId="17538"/>
    <cellStyle name="Percent 7 5 2 7" xfId="12411"/>
    <cellStyle name="Percent 7 5 2 7 2" xfId="41769"/>
    <cellStyle name="Percent 7 5 2 8" xfId="17519"/>
    <cellStyle name="Percent 7 5 3" xfId="8818"/>
    <cellStyle name="Percent 7 5 3 2" xfId="8946"/>
    <cellStyle name="Percent 7 5 3 2 2" xfId="9202"/>
    <cellStyle name="Percent 7 5 3 2 2 2" xfId="9770"/>
    <cellStyle name="Percent 7 5 3 2 2 2 2" xfId="10824"/>
    <cellStyle name="Percent 7 5 3 2 2 2 2 2" xfId="14418"/>
    <cellStyle name="Percent 7 5 3 2 2 2 2 3" xfId="17543"/>
    <cellStyle name="Percent 7 5 3 2 2 2 3" xfId="13365"/>
    <cellStyle name="Percent 7 5 3 2 2 2 4" xfId="17542"/>
    <cellStyle name="Percent 7 5 3 2 2 3" xfId="10286"/>
    <cellStyle name="Percent 7 5 3 2 2 3 2" xfId="13880"/>
    <cellStyle name="Percent 7 5 3 2 2 3 3" xfId="17544"/>
    <cellStyle name="Percent 7 5 3 2 2 4" xfId="11369"/>
    <cellStyle name="Percent 7 5 3 2 2 4 2" xfId="14961"/>
    <cellStyle name="Percent 7 5 3 2 2 4 3" xfId="17545"/>
    <cellStyle name="Percent 7 5 3 2 2 5" xfId="12827"/>
    <cellStyle name="Percent 7 5 3 2 2 5 2" xfId="41780"/>
    <cellStyle name="Percent 7 5 3 2 2 6" xfId="17541"/>
    <cellStyle name="Percent 7 5 3 2 3" xfId="9514"/>
    <cellStyle name="Percent 7 5 3 2 3 2" xfId="10568"/>
    <cellStyle name="Percent 7 5 3 2 3 2 2" xfId="14162"/>
    <cellStyle name="Percent 7 5 3 2 3 2 3" xfId="17547"/>
    <cellStyle name="Percent 7 5 3 2 3 3" xfId="13109"/>
    <cellStyle name="Percent 7 5 3 2 3 4" xfId="17546"/>
    <cellStyle name="Percent 7 5 3 2 4" xfId="10030"/>
    <cellStyle name="Percent 7 5 3 2 4 2" xfId="13624"/>
    <cellStyle name="Percent 7 5 3 2 4 3" xfId="17548"/>
    <cellStyle name="Percent 7 5 3 2 5" xfId="11368"/>
    <cellStyle name="Percent 7 5 3 2 5 2" xfId="14960"/>
    <cellStyle name="Percent 7 5 3 2 5 3" xfId="17549"/>
    <cellStyle name="Percent 7 5 3 2 6" xfId="12571"/>
    <cellStyle name="Percent 7 5 3 2 6 2" xfId="41779"/>
    <cellStyle name="Percent 7 5 3 2 7" xfId="17540"/>
    <cellStyle name="Percent 7 5 3 3" xfId="9074"/>
    <cellStyle name="Percent 7 5 3 3 2" xfId="9642"/>
    <cellStyle name="Percent 7 5 3 3 2 2" xfId="10696"/>
    <cellStyle name="Percent 7 5 3 3 2 2 2" xfId="14290"/>
    <cellStyle name="Percent 7 5 3 3 2 2 3" xfId="17552"/>
    <cellStyle name="Percent 7 5 3 3 2 3" xfId="13237"/>
    <cellStyle name="Percent 7 5 3 3 2 3 2" xfId="41782"/>
    <cellStyle name="Percent 7 5 3 3 2 4" xfId="17551"/>
    <cellStyle name="Percent 7 5 3 3 3" xfId="10158"/>
    <cellStyle name="Percent 7 5 3 3 3 2" xfId="13752"/>
    <cellStyle name="Percent 7 5 3 3 3 3" xfId="17553"/>
    <cellStyle name="Percent 7 5 3 3 4" xfId="11370"/>
    <cellStyle name="Percent 7 5 3 3 4 2" xfId="14962"/>
    <cellStyle name="Percent 7 5 3 3 4 3" xfId="17554"/>
    <cellStyle name="Percent 7 5 3 3 5" xfId="12699"/>
    <cellStyle name="Percent 7 5 3 3 5 2" xfId="41781"/>
    <cellStyle name="Percent 7 5 3 3 6" xfId="17550"/>
    <cellStyle name="Percent 7 5 3 4" xfId="9386"/>
    <cellStyle name="Percent 7 5 3 4 2" xfId="10440"/>
    <cellStyle name="Percent 7 5 3 4 2 2" xfId="14034"/>
    <cellStyle name="Percent 7 5 3 4 2 2 2" xfId="41784"/>
    <cellStyle name="Percent 7 5 3 4 2 3" xfId="17556"/>
    <cellStyle name="Percent 7 5 3 4 3" xfId="12981"/>
    <cellStyle name="Percent 7 5 3 4 3 2" xfId="41783"/>
    <cellStyle name="Percent 7 5 3 4 4" xfId="17555"/>
    <cellStyle name="Percent 7 5 3 5" xfId="9902"/>
    <cellStyle name="Percent 7 5 3 5 2" xfId="13496"/>
    <cellStyle name="Percent 7 5 3 5 2 2" xfId="41785"/>
    <cellStyle name="Percent 7 5 3 5 3" xfId="17557"/>
    <cellStyle name="Percent 7 5 3 6" xfId="11367"/>
    <cellStyle name="Percent 7 5 3 6 2" xfId="14959"/>
    <cellStyle name="Percent 7 5 3 6 2 2" xfId="41786"/>
    <cellStyle name="Percent 7 5 3 6 3" xfId="17558"/>
    <cellStyle name="Percent 7 5 3 7" xfId="12443"/>
    <cellStyle name="Percent 7 5 3 7 2" xfId="41778"/>
    <cellStyle name="Percent 7 5 3 8" xfId="17539"/>
    <cellStyle name="Percent 7 5 4" xfId="8850"/>
    <cellStyle name="Percent 7 5 4 2" xfId="8978"/>
    <cellStyle name="Percent 7 5 4 2 2" xfId="9234"/>
    <cellStyle name="Percent 7 5 4 2 2 2" xfId="9802"/>
    <cellStyle name="Percent 7 5 4 2 2 2 2" xfId="10856"/>
    <cellStyle name="Percent 7 5 4 2 2 2 2 2" xfId="14450"/>
    <cellStyle name="Percent 7 5 4 2 2 2 2 3" xfId="17563"/>
    <cellStyle name="Percent 7 5 4 2 2 2 3" xfId="13397"/>
    <cellStyle name="Percent 7 5 4 2 2 2 4" xfId="17562"/>
    <cellStyle name="Percent 7 5 4 2 2 3" xfId="10318"/>
    <cellStyle name="Percent 7 5 4 2 2 3 2" xfId="13912"/>
    <cellStyle name="Percent 7 5 4 2 2 3 3" xfId="17564"/>
    <cellStyle name="Percent 7 5 4 2 2 4" xfId="11373"/>
    <cellStyle name="Percent 7 5 4 2 2 4 2" xfId="14965"/>
    <cellStyle name="Percent 7 5 4 2 2 4 3" xfId="17565"/>
    <cellStyle name="Percent 7 5 4 2 2 5" xfId="12859"/>
    <cellStyle name="Percent 7 5 4 2 2 5 2" xfId="41789"/>
    <cellStyle name="Percent 7 5 4 2 2 6" xfId="17561"/>
    <cellStyle name="Percent 7 5 4 2 3" xfId="9546"/>
    <cellStyle name="Percent 7 5 4 2 3 2" xfId="10600"/>
    <cellStyle name="Percent 7 5 4 2 3 2 2" xfId="14194"/>
    <cellStyle name="Percent 7 5 4 2 3 2 3" xfId="17567"/>
    <cellStyle name="Percent 7 5 4 2 3 3" xfId="13141"/>
    <cellStyle name="Percent 7 5 4 2 3 4" xfId="17566"/>
    <cellStyle name="Percent 7 5 4 2 4" xfId="10062"/>
    <cellStyle name="Percent 7 5 4 2 4 2" xfId="13656"/>
    <cellStyle name="Percent 7 5 4 2 4 3" xfId="17568"/>
    <cellStyle name="Percent 7 5 4 2 5" xfId="11372"/>
    <cellStyle name="Percent 7 5 4 2 5 2" xfId="14964"/>
    <cellStyle name="Percent 7 5 4 2 5 3" xfId="17569"/>
    <cellStyle name="Percent 7 5 4 2 6" xfId="12603"/>
    <cellStyle name="Percent 7 5 4 2 6 2" xfId="41788"/>
    <cellStyle name="Percent 7 5 4 2 7" xfId="17560"/>
    <cellStyle name="Percent 7 5 4 3" xfId="9106"/>
    <cellStyle name="Percent 7 5 4 3 2" xfId="9674"/>
    <cellStyle name="Percent 7 5 4 3 2 2" xfId="10728"/>
    <cellStyle name="Percent 7 5 4 3 2 2 2" xfId="14322"/>
    <cellStyle name="Percent 7 5 4 3 2 2 3" xfId="17572"/>
    <cellStyle name="Percent 7 5 4 3 2 3" xfId="13269"/>
    <cellStyle name="Percent 7 5 4 3 2 3 2" xfId="41791"/>
    <cellStyle name="Percent 7 5 4 3 2 4" xfId="17571"/>
    <cellStyle name="Percent 7 5 4 3 3" xfId="10190"/>
    <cellStyle name="Percent 7 5 4 3 3 2" xfId="13784"/>
    <cellStyle name="Percent 7 5 4 3 3 3" xfId="17573"/>
    <cellStyle name="Percent 7 5 4 3 4" xfId="11374"/>
    <cellStyle name="Percent 7 5 4 3 4 2" xfId="14966"/>
    <cellStyle name="Percent 7 5 4 3 4 3" xfId="17574"/>
    <cellStyle name="Percent 7 5 4 3 5" xfId="12731"/>
    <cellStyle name="Percent 7 5 4 3 5 2" xfId="41790"/>
    <cellStyle name="Percent 7 5 4 3 6" xfId="17570"/>
    <cellStyle name="Percent 7 5 4 4" xfId="9418"/>
    <cellStyle name="Percent 7 5 4 4 2" xfId="10472"/>
    <cellStyle name="Percent 7 5 4 4 2 2" xfId="14066"/>
    <cellStyle name="Percent 7 5 4 4 2 2 2" xfId="41793"/>
    <cellStyle name="Percent 7 5 4 4 2 3" xfId="17576"/>
    <cellStyle name="Percent 7 5 4 4 3" xfId="13013"/>
    <cellStyle name="Percent 7 5 4 4 3 2" xfId="41792"/>
    <cellStyle name="Percent 7 5 4 4 4" xfId="17575"/>
    <cellStyle name="Percent 7 5 4 5" xfId="9934"/>
    <cellStyle name="Percent 7 5 4 5 2" xfId="13528"/>
    <cellStyle name="Percent 7 5 4 5 2 2" xfId="41794"/>
    <cellStyle name="Percent 7 5 4 5 3" xfId="17577"/>
    <cellStyle name="Percent 7 5 4 6" xfId="11371"/>
    <cellStyle name="Percent 7 5 4 6 2" xfId="14963"/>
    <cellStyle name="Percent 7 5 4 6 2 2" xfId="41795"/>
    <cellStyle name="Percent 7 5 4 6 3" xfId="17578"/>
    <cellStyle name="Percent 7 5 4 7" xfId="12475"/>
    <cellStyle name="Percent 7 5 4 7 2" xfId="41787"/>
    <cellStyle name="Percent 7 5 4 8" xfId="17559"/>
    <cellStyle name="Percent 7 5 5" xfId="8896"/>
    <cellStyle name="Percent 7 5 5 2" xfId="9152"/>
    <cellStyle name="Percent 7 5 5 2 2" xfId="9720"/>
    <cellStyle name="Percent 7 5 5 2 2 2" xfId="10774"/>
    <cellStyle name="Percent 7 5 5 2 2 2 2" xfId="14368"/>
    <cellStyle name="Percent 7 5 5 2 2 2 3" xfId="17582"/>
    <cellStyle name="Percent 7 5 5 2 2 3" xfId="13315"/>
    <cellStyle name="Percent 7 5 5 2 2 3 2" xfId="41798"/>
    <cellStyle name="Percent 7 5 5 2 2 4" xfId="17581"/>
    <cellStyle name="Percent 7 5 5 2 3" xfId="10236"/>
    <cellStyle name="Percent 7 5 5 2 3 2" xfId="13830"/>
    <cellStyle name="Percent 7 5 5 2 3 3" xfId="17583"/>
    <cellStyle name="Percent 7 5 5 2 4" xfId="11376"/>
    <cellStyle name="Percent 7 5 5 2 4 2" xfId="14968"/>
    <cellStyle name="Percent 7 5 5 2 4 3" xfId="17584"/>
    <cellStyle name="Percent 7 5 5 2 5" xfId="12777"/>
    <cellStyle name="Percent 7 5 5 2 5 2" xfId="41797"/>
    <cellStyle name="Percent 7 5 5 2 6" xfId="17580"/>
    <cellStyle name="Percent 7 5 5 3" xfId="9464"/>
    <cellStyle name="Percent 7 5 5 3 2" xfId="10518"/>
    <cellStyle name="Percent 7 5 5 3 2 2" xfId="14112"/>
    <cellStyle name="Percent 7 5 5 3 2 2 2" xfId="41800"/>
    <cellStyle name="Percent 7 5 5 3 2 3" xfId="17586"/>
    <cellStyle name="Percent 7 5 5 3 3" xfId="13059"/>
    <cellStyle name="Percent 7 5 5 3 3 2" xfId="41799"/>
    <cellStyle name="Percent 7 5 5 3 4" xfId="17585"/>
    <cellStyle name="Percent 7 5 5 4" xfId="9980"/>
    <cellStyle name="Percent 7 5 5 4 2" xfId="13574"/>
    <cellStyle name="Percent 7 5 5 4 2 2" xfId="41802"/>
    <cellStyle name="Percent 7 5 5 4 3" xfId="41801"/>
    <cellStyle name="Percent 7 5 5 4 4" xfId="17587"/>
    <cellStyle name="Percent 7 5 5 5" xfId="11375"/>
    <cellStyle name="Percent 7 5 5 5 2" xfId="14967"/>
    <cellStyle name="Percent 7 5 5 5 2 2" xfId="41803"/>
    <cellStyle name="Percent 7 5 5 5 3" xfId="17588"/>
    <cellStyle name="Percent 7 5 5 6" xfId="12521"/>
    <cellStyle name="Percent 7 5 5 6 2" xfId="41804"/>
    <cellStyle name="Percent 7 5 5 7" xfId="41796"/>
    <cellStyle name="Percent 7 5 5 8" xfId="17579"/>
    <cellStyle name="Percent 7 5 6" xfId="9024"/>
    <cellStyle name="Percent 7 5 6 2" xfId="9592"/>
    <cellStyle name="Percent 7 5 6 2 2" xfId="10646"/>
    <cellStyle name="Percent 7 5 6 2 2 2" xfId="14240"/>
    <cellStyle name="Percent 7 5 6 2 2 2 2" xfId="41807"/>
    <cellStyle name="Percent 7 5 6 2 2 3" xfId="17591"/>
    <cellStyle name="Percent 7 5 6 2 3" xfId="13187"/>
    <cellStyle name="Percent 7 5 6 2 3 2" xfId="41806"/>
    <cellStyle name="Percent 7 5 6 2 4" xfId="17590"/>
    <cellStyle name="Percent 7 5 6 3" xfId="10108"/>
    <cellStyle name="Percent 7 5 6 3 2" xfId="13702"/>
    <cellStyle name="Percent 7 5 6 3 2 2" xfId="41809"/>
    <cellStyle name="Percent 7 5 6 3 3" xfId="41808"/>
    <cellStyle name="Percent 7 5 6 3 4" xfId="17592"/>
    <cellStyle name="Percent 7 5 6 4" xfId="11377"/>
    <cellStyle name="Percent 7 5 6 4 2" xfId="14969"/>
    <cellStyle name="Percent 7 5 6 4 2 2" xfId="41810"/>
    <cellStyle name="Percent 7 5 6 4 3" xfId="17593"/>
    <cellStyle name="Percent 7 5 6 5" xfId="12649"/>
    <cellStyle name="Percent 7 5 6 5 2" xfId="41811"/>
    <cellStyle name="Percent 7 5 6 6" xfId="41805"/>
    <cellStyle name="Percent 7 5 6 7" xfId="17589"/>
    <cellStyle name="Percent 7 5 7" xfId="9336"/>
    <cellStyle name="Percent 7 5 7 2" xfId="10390"/>
    <cellStyle name="Percent 7 5 7 2 2" xfId="13984"/>
    <cellStyle name="Percent 7 5 7 2 2 2" xfId="41813"/>
    <cellStyle name="Percent 7 5 7 2 3" xfId="17595"/>
    <cellStyle name="Percent 7 5 7 3" xfId="12931"/>
    <cellStyle name="Percent 7 5 7 3 2" xfId="41812"/>
    <cellStyle name="Percent 7 5 7 4" xfId="17594"/>
    <cellStyle name="Percent 7 5 8" xfId="9852"/>
    <cellStyle name="Percent 7 5 8 2" xfId="13446"/>
    <cellStyle name="Percent 7 5 8 2 2" xfId="41815"/>
    <cellStyle name="Percent 7 5 8 3" xfId="41814"/>
    <cellStyle name="Percent 7 5 8 4" xfId="17596"/>
    <cellStyle name="Percent 7 5 9" xfId="11362"/>
    <cellStyle name="Percent 7 5 9 2" xfId="14954"/>
    <cellStyle name="Percent 7 5 9 2 2" xfId="41817"/>
    <cellStyle name="Percent 7 5 9 3" xfId="41816"/>
    <cellStyle name="Percent 7 5 9 4" xfId="17597"/>
    <cellStyle name="Percent 7 6" xfId="8770"/>
    <cellStyle name="Percent 7 6 10" xfId="41819"/>
    <cellStyle name="Percent 7 6 11" xfId="41818"/>
    <cellStyle name="Percent 7 6 12" xfId="17598"/>
    <cellStyle name="Percent 7 6 2" xfId="8898"/>
    <cellStyle name="Percent 7 6 2 2" xfId="9154"/>
    <cellStyle name="Percent 7 6 2 2 2" xfId="9722"/>
    <cellStyle name="Percent 7 6 2 2 2 2" xfId="10776"/>
    <cellStyle name="Percent 7 6 2 2 2 2 2" xfId="14370"/>
    <cellStyle name="Percent 7 6 2 2 2 2 3" xfId="17602"/>
    <cellStyle name="Percent 7 6 2 2 2 3" xfId="13317"/>
    <cellStyle name="Percent 7 6 2 2 2 3 2" xfId="41822"/>
    <cellStyle name="Percent 7 6 2 2 2 4" xfId="17601"/>
    <cellStyle name="Percent 7 6 2 2 3" xfId="10238"/>
    <cellStyle name="Percent 7 6 2 2 3 2" xfId="13832"/>
    <cellStyle name="Percent 7 6 2 2 3 3" xfId="17603"/>
    <cellStyle name="Percent 7 6 2 2 4" xfId="11380"/>
    <cellStyle name="Percent 7 6 2 2 4 2" xfId="14972"/>
    <cellStyle name="Percent 7 6 2 2 4 3" xfId="17604"/>
    <cellStyle name="Percent 7 6 2 2 5" xfId="12779"/>
    <cellStyle name="Percent 7 6 2 2 5 2" xfId="41821"/>
    <cellStyle name="Percent 7 6 2 2 6" xfId="17600"/>
    <cellStyle name="Percent 7 6 2 3" xfId="9466"/>
    <cellStyle name="Percent 7 6 2 3 2" xfId="10520"/>
    <cellStyle name="Percent 7 6 2 3 2 2" xfId="14114"/>
    <cellStyle name="Percent 7 6 2 3 2 2 2" xfId="41824"/>
    <cellStyle name="Percent 7 6 2 3 2 3" xfId="17606"/>
    <cellStyle name="Percent 7 6 2 3 3" xfId="13061"/>
    <cellStyle name="Percent 7 6 2 3 3 2" xfId="41823"/>
    <cellStyle name="Percent 7 6 2 3 4" xfId="17605"/>
    <cellStyle name="Percent 7 6 2 4" xfId="9982"/>
    <cellStyle name="Percent 7 6 2 4 2" xfId="13576"/>
    <cellStyle name="Percent 7 6 2 4 2 2" xfId="41826"/>
    <cellStyle name="Percent 7 6 2 4 3" xfId="41825"/>
    <cellStyle name="Percent 7 6 2 4 4" xfId="17607"/>
    <cellStyle name="Percent 7 6 2 5" xfId="11379"/>
    <cellStyle name="Percent 7 6 2 5 2" xfId="14971"/>
    <cellStyle name="Percent 7 6 2 5 2 2" xfId="41827"/>
    <cellStyle name="Percent 7 6 2 5 3" xfId="17608"/>
    <cellStyle name="Percent 7 6 2 6" xfId="12523"/>
    <cellStyle name="Percent 7 6 2 6 2" xfId="41828"/>
    <cellStyle name="Percent 7 6 2 7" xfId="41820"/>
    <cellStyle name="Percent 7 6 2 8" xfId="17599"/>
    <cellStyle name="Percent 7 6 3" xfId="9026"/>
    <cellStyle name="Percent 7 6 3 2" xfId="9594"/>
    <cellStyle name="Percent 7 6 3 2 2" xfId="10648"/>
    <cellStyle name="Percent 7 6 3 2 2 2" xfId="14242"/>
    <cellStyle name="Percent 7 6 3 2 2 2 2" xfId="41831"/>
    <cellStyle name="Percent 7 6 3 2 2 3" xfId="17611"/>
    <cellStyle name="Percent 7 6 3 2 3" xfId="13189"/>
    <cellStyle name="Percent 7 6 3 2 3 2" xfId="41830"/>
    <cellStyle name="Percent 7 6 3 2 4" xfId="17610"/>
    <cellStyle name="Percent 7 6 3 3" xfId="10110"/>
    <cellStyle name="Percent 7 6 3 3 2" xfId="13704"/>
    <cellStyle name="Percent 7 6 3 3 2 2" xfId="41833"/>
    <cellStyle name="Percent 7 6 3 3 3" xfId="41832"/>
    <cellStyle name="Percent 7 6 3 3 4" xfId="17612"/>
    <cellStyle name="Percent 7 6 3 4" xfId="11381"/>
    <cellStyle name="Percent 7 6 3 4 2" xfId="14973"/>
    <cellStyle name="Percent 7 6 3 4 2 2" xfId="41835"/>
    <cellStyle name="Percent 7 6 3 4 3" xfId="41834"/>
    <cellStyle name="Percent 7 6 3 4 4" xfId="17613"/>
    <cellStyle name="Percent 7 6 3 5" xfId="12651"/>
    <cellStyle name="Percent 7 6 3 5 2" xfId="41836"/>
    <cellStyle name="Percent 7 6 3 6" xfId="41837"/>
    <cellStyle name="Percent 7 6 3 7" xfId="41829"/>
    <cellStyle name="Percent 7 6 3 8" xfId="17609"/>
    <cellStyle name="Percent 7 6 4" xfId="9338"/>
    <cellStyle name="Percent 7 6 4 2" xfId="10392"/>
    <cellStyle name="Percent 7 6 4 2 2" xfId="13986"/>
    <cellStyle name="Percent 7 6 4 2 2 2" xfId="41840"/>
    <cellStyle name="Percent 7 6 4 2 3" xfId="41839"/>
    <cellStyle name="Percent 7 6 4 2 4" xfId="17615"/>
    <cellStyle name="Percent 7 6 4 3" xfId="12933"/>
    <cellStyle name="Percent 7 6 4 3 2" xfId="41842"/>
    <cellStyle name="Percent 7 6 4 3 3" xfId="41841"/>
    <cellStyle name="Percent 7 6 4 4" xfId="41843"/>
    <cellStyle name="Percent 7 6 4 4 2" xfId="41844"/>
    <cellStyle name="Percent 7 6 4 5" xfId="41845"/>
    <cellStyle name="Percent 7 6 4 6" xfId="41846"/>
    <cellStyle name="Percent 7 6 4 7" xfId="41838"/>
    <cellStyle name="Percent 7 6 4 8" xfId="17614"/>
    <cellStyle name="Percent 7 6 5" xfId="9854"/>
    <cellStyle name="Percent 7 6 5 2" xfId="13448"/>
    <cellStyle name="Percent 7 6 5 2 2" xfId="41849"/>
    <cellStyle name="Percent 7 6 5 2 3" xfId="41848"/>
    <cellStyle name="Percent 7 6 5 3" xfId="41850"/>
    <cellStyle name="Percent 7 6 5 3 2" xfId="41851"/>
    <cellStyle name="Percent 7 6 5 4" xfId="41852"/>
    <cellStyle name="Percent 7 6 5 5" xfId="41853"/>
    <cellStyle name="Percent 7 6 5 6" xfId="41847"/>
    <cellStyle name="Percent 7 6 5 7" xfId="17616"/>
    <cellStyle name="Percent 7 6 6" xfId="11378"/>
    <cellStyle name="Percent 7 6 6 2" xfId="14970"/>
    <cellStyle name="Percent 7 6 6 2 2" xfId="41855"/>
    <cellStyle name="Percent 7 6 6 3" xfId="41854"/>
    <cellStyle name="Percent 7 6 6 4" xfId="17617"/>
    <cellStyle name="Percent 7 6 7" xfId="12395"/>
    <cellStyle name="Percent 7 6 7 2" xfId="41857"/>
    <cellStyle name="Percent 7 6 7 3" xfId="41856"/>
    <cellStyle name="Percent 7 6 8" xfId="41858"/>
    <cellStyle name="Percent 7 6 8 2" xfId="41859"/>
    <cellStyle name="Percent 7 6 9" xfId="41860"/>
    <cellStyle name="Percent 7 7" xfId="8802"/>
    <cellStyle name="Percent 7 7 10" xfId="41862"/>
    <cellStyle name="Percent 7 7 11" xfId="41861"/>
    <cellStyle name="Percent 7 7 12" xfId="17618"/>
    <cellStyle name="Percent 7 7 2" xfId="8930"/>
    <cellStyle name="Percent 7 7 2 2" xfId="9186"/>
    <cellStyle name="Percent 7 7 2 2 2" xfId="9754"/>
    <cellStyle name="Percent 7 7 2 2 2 2" xfId="10808"/>
    <cellStyle name="Percent 7 7 2 2 2 2 2" xfId="14402"/>
    <cellStyle name="Percent 7 7 2 2 2 2 3" xfId="17622"/>
    <cellStyle name="Percent 7 7 2 2 2 3" xfId="13349"/>
    <cellStyle name="Percent 7 7 2 2 2 3 2" xfId="41865"/>
    <cellStyle name="Percent 7 7 2 2 2 4" xfId="17621"/>
    <cellStyle name="Percent 7 7 2 2 3" xfId="10270"/>
    <cellStyle name="Percent 7 7 2 2 3 2" xfId="13864"/>
    <cellStyle name="Percent 7 7 2 2 3 3" xfId="17623"/>
    <cellStyle name="Percent 7 7 2 2 4" xfId="11384"/>
    <cellStyle name="Percent 7 7 2 2 4 2" xfId="14976"/>
    <cellStyle name="Percent 7 7 2 2 4 3" xfId="17624"/>
    <cellStyle name="Percent 7 7 2 2 5" xfId="12811"/>
    <cellStyle name="Percent 7 7 2 2 5 2" xfId="41864"/>
    <cellStyle name="Percent 7 7 2 2 6" xfId="17620"/>
    <cellStyle name="Percent 7 7 2 3" xfId="9498"/>
    <cellStyle name="Percent 7 7 2 3 2" xfId="10552"/>
    <cellStyle name="Percent 7 7 2 3 2 2" xfId="14146"/>
    <cellStyle name="Percent 7 7 2 3 2 2 2" xfId="41867"/>
    <cellStyle name="Percent 7 7 2 3 2 3" xfId="17626"/>
    <cellStyle name="Percent 7 7 2 3 3" xfId="13093"/>
    <cellStyle name="Percent 7 7 2 3 3 2" xfId="41866"/>
    <cellStyle name="Percent 7 7 2 3 4" xfId="17625"/>
    <cellStyle name="Percent 7 7 2 4" xfId="10014"/>
    <cellStyle name="Percent 7 7 2 4 2" xfId="13608"/>
    <cellStyle name="Percent 7 7 2 4 2 2" xfId="41869"/>
    <cellStyle name="Percent 7 7 2 4 3" xfId="41868"/>
    <cellStyle name="Percent 7 7 2 4 4" xfId="17627"/>
    <cellStyle name="Percent 7 7 2 5" xfId="11383"/>
    <cellStyle name="Percent 7 7 2 5 2" xfId="14975"/>
    <cellStyle name="Percent 7 7 2 5 2 2" xfId="41870"/>
    <cellStyle name="Percent 7 7 2 5 3" xfId="17628"/>
    <cellStyle name="Percent 7 7 2 6" xfId="12555"/>
    <cellStyle name="Percent 7 7 2 6 2" xfId="41871"/>
    <cellStyle name="Percent 7 7 2 7" xfId="41863"/>
    <cellStyle name="Percent 7 7 2 8" xfId="17619"/>
    <cellStyle name="Percent 7 7 3" xfId="9058"/>
    <cellStyle name="Percent 7 7 3 2" xfId="9626"/>
    <cellStyle name="Percent 7 7 3 2 2" xfId="10680"/>
    <cellStyle name="Percent 7 7 3 2 2 2" xfId="14274"/>
    <cellStyle name="Percent 7 7 3 2 2 2 2" xfId="41874"/>
    <cellStyle name="Percent 7 7 3 2 2 3" xfId="17631"/>
    <cellStyle name="Percent 7 7 3 2 3" xfId="13221"/>
    <cellStyle name="Percent 7 7 3 2 3 2" xfId="41873"/>
    <cellStyle name="Percent 7 7 3 2 4" xfId="17630"/>
    <cellStyle name="Percent 7 7 3 3" xfId="10142"/>
    <cellStyle name="Percent 7 7 3 3 2" xfId="13736"/>
    <cellStyle name="Percent 7 7 3 3 2 2" xfId="41876"/>
    <cellStyle name="Percent 7 7 3 3 3" xfId="41875"/>
    <cellStyle name="Percent 7 7 3 3 4" xfId="17632"/>
    <cellStyle name="Percent 7 7 3 4" xfId="11385"/>
    <cellStyle name="Percent 7 7 3 4 2" xfId="14977"/>
    <cellStyle name="Percent 7 7 3 4 2 2" xfId="41878"/>
    <cellStyle name="Percent 7 7 3 4 3" xfId="41877"/>
    <cellStyle name="Percent 7 7 3 4 4" xfId="17633"/>
    <cellStyle name="Percent 7 7 3 5" xfId="12683"/>
    <cellStyle name="Percent 7 7 3 5 2" xfId="41879"/>
    <cellStyle name="Percent 7 7 3 6" xfId="41880"/>
    <cellStyle name="Percent 7 7 3 7" xfId="41872"/>
    <cellStyle name="Percent 7 7 3 8" xfId="17629"/>
    <cellStyle name="Percent 7 7 4" xfId="9370"/>
    <cellStyle name="Percent 7 7 4 2" xfId="10424"/>
    <cellStyle name="Percent 7 7 4 2 2" xfId="14018"/>
    <cellStyle name="Percent 7 7 4 2 2 2" xfId="41883"/>
    <cellStyle name="Percent 7 7 4 2 3" xfId="41882"/>
    <cellStyle name="Percent 7 7 4 2 4" xfId="17635"/>
    <cellStyle name="Percent 7 7 4 3" xfId="12965"/>
    <cellStyle name="Percent 7 7 4 3 2" xfId="41885"/>
    <cellStyle name="Percent 7 7 4 3 3" xfId="41884"/>
    <cellStyle name="Percent 7 7 4 4" xfId="41886"/>
    <cellStyle name="Percent 7 7 4 4 2" xfId="41887"/>
    <cellStyle name="Percent 7 7 4 5" xfId="41888"/>
    <cellStyle name="Percent 7 7 4 6" xfId="41889"/>
    <cellStyle name="Percent 7 7 4 7" xfId="41881"/>
    <cellStyle name="Percent 7 7 4 8" xfId="17634"/>
    <cellStyle name="Percent 7 7 5" xfId="9886"/>
    <cellStyle name="Percent 7 7 5 2" xfId="13480"/>
    <cellStyle name="Percent 7 7 5 2 2" xfId="41892"/>
    <cellStyle name="Percent 7 7 5 2 3" xfId="41891"/>
    <cellStyle name="Percent 7 7 5 3" xfId="41893"/>
    <cellStyle name="Percent 7 7 5 3 2" xfId="41894"/>
    <cellStyle name="Percent 7 7 5 4" xfId="41895"/>
    <cellStyle name="Percent 7 7 5 5" xfId="41896"/>
    <cellStyle name="Percent 7 7 5 6" xfId="41890"/>
    <cellStyle name="Percent 7 7 5 7" xfId="17636"/>
    <cellStyle name="Percent 7 7 6" xfId="11382"/>
    <cellStyle name="Percent 7 7 6 2" xfId="14974"/>
    <cellStyle name="Percent 7 7 6 2 2" xfId="41898"/>
    <cellStyle name="Percent 7 7 6 3" xfId="41897"/>
    <cellStyle name="Percent 7 7 6 4" xfId="17637"/>
    <cellStyle name="Percent 7 7 7" xfId="12427"/>
    <cellStyle name="Percent 7 7 7 2" xfId="41900"/>
    <cellStyle name="Percent 7 7 7 3" xfId="41899"/>
    <cellStyle name="Percent 7 7 8" xfId="41901"/>
    <cellStyle name="Percent 7 7 8 2" xfId="41902"/>
    <cellStyle name="Percent 7 7 9" xfId="41903"/>
    <cellStyle name="Percent 7 8" xfId="8834"/>
    <cellStyle name="Percent 7 8 2" xfId="8962"/>
    <cellStyle name="Percent 7 8 2 2" xfId="9218"/>
    <cellStyle name="Percent 7 8 2 2 2" xfId="9786"/>
    <cellStyle name="Percent 7 8 2 2 2 2" xfId="10840"/>
    <cellStyle name="Percent 7 8 2 2 2 2 2" xfId="14434"/>
    <cellStyle name="Percent 7 8 2 2 2 2 3" xfId="17642"/>
    <cellStyle name="Percent 7 8 2 2 2 3" xfId="13381"/>
    <cellStyle name="Percent 7 8 2 2 2 4" xfId="17641"/>
    <cellStyle name="Percent 7 8 2 2 3" xfId="10302"/>
    <cellStyle name="Percent 7 8 2 2 3 2" xfId="13896"/>
    <cellStyle name="Percent 7 8 2 2 3 3" xfId="17643"/>
    <cellStyle name="Percent 7 8 2 2 4" xfId="11388"/>
    <cellStyle name="Percent 7 8 2 2 4 2" xfId="14980"/>
    <cellStyle name="Percent 7 8 2 2 4 3" xfId="17644"/>
    <cellStyle name="Percent 7 8 2 2 5" xfId="12843"/>
    <cellStyle name="Percent 7 8 2 2 5 2" xfId="41906"/>
    <cellStyle name="Percent 7 8 2 2 6" xfId="17640"/>
    <cellStyle name="Percent 7 8 2 3" xfId="9530"/>
    <cellStyle name="Percent 7 8 2 3 2" xfId="10584"/>
    <cellStyle name="Percent 7 8 2 3 2 2" xfId="14178"/>
    <cellStyle name="Percent 7 8 2 3 2 3" xfId="17646"/>
    <cellStyle name="Percent 7 8 2 3 3" xfId="13125"/>
    <cellStyle name="Percent 7 8 2 3 4" xfId="17645"/>
    <cellStyle name="Percent 7 8 2 4" xfId="10046"/>
    <cellStyle name="Percent 7 8 2 4 2" xfId="13640"/>
    <cellStyle name="Percent 7 8 2 4 3" xfId="17647"/>
    <cellStyle name="Percent 7 8 2 5" xfId="11387"/>
    <cellStyle name="Percent 7 8 2 5 2" xfId="14979"/>
    <cellStyle name="Percent 7 8 2 5 3" xfId="17648"/>
    <cellStyle name="Percent 7 8 2 6" xfId="12587"/>
    <cellStyle name="Percent 7 8 2 6 2" xfId="41905"/>
    <cellStyle name="Percent 7 8 2 7" xfId="17639"/>
    <cellStyle name="Percent 7 8 3" xfId="9090"/>
    <cellStyle name="Percent 7 8 3 2" xfId="9658"/>
    <cellStyle name="Percent 7 8 3 2 2" xfId="10712"/>
    <cellStyle name="Percent 7 8 3 2 2 2" xfId="14306"/>
    <cellStyle name="Percent 7 8 3 2 2 3" xfId="17651"/>
    <cellStyle name="Percent 7 8 3 2 3" xfId="13253"/>
    <cellStyle name="Percent 7 8 3 2 3 2" xfId="41908"/>
    <cellStyle name="Percent 7 8 3 2 4" xfId="17650"/>
    <cellStyle name="Percent 7 8 3 3" xfId="10174"/>
    <cellStyle name="Percent 7 8 3 3 2" xfId="13768"/>
    <cellStyle name="Percent 7 8 3 3 3" xfId="17652"/>
    <cellStyle name="Percent 7 8 3 4" xfId="11389"/>
    <cellStyle name="Percent 7 8 3 4 2" xfId="14981"/>
    <cellStyle name="Percent 7 8 3 4 3" xfId="17653"/>
    <cellStyle name="Percent 7 8 3 5" xfId="12715"/>
    <cellStyle name="Percent 7 8 3 5 2" xfId="41907"/>
    <cellStyle name="Percent 7 8 3 6" xfId="17649"/>
    <cellStyle name="Percent 7 8 4" xfId="9402"/>
    <cellStyle name="Percent 7 8 4 2" xfId="10456"/>
    <cellStyle name="Percent 7 8 4 2 2" xfId="14050"/>
    <cellStyle name="Percent 7 8 4 2 2 2" xfId="41910"/>
    <cellStyle name="Percent 7 8 4 2 3" xfId="17655"/>
    <cellStyle name="Percent 7 8 4 3" xfId="12997"/>
    <cellStyle name="Percent 7 8 4 3 2" xfId="41909"/>
    <cellStyle name="Percent 7 8 4 4" xfId="17654"/>
    <cellStyle name="Percent 7 8 5" xfId="9918"/>
    <cellStyle name="Percent 7 8 5 2" xfId="13512"/>
    <cellStyle name="Percent 7 8 5 2 2" xfId="41911"/>
    <cellStyle name="Percent 7 8 5 3" xfId="17656"/>
    <cellStyle name="Percent 7 8 6" xfId="11386"/>
    <cellStyle name="Percent 7 8 6 2" xfId="14978"/>
    <cellStyle name="Percent 7 8 6 2 2" xfId="41912"/>
    <cellStyle name="Percent 7 8 6 3" xfId="17657"/>
    <cellStyle name="Percent 7 8 7" xfId="12459"/>
    <cellStyle name="Percent 7 8 7 2" xfId="41904"/>
    <cellStyle name="Percent 7 8 8" xfId="17638"/>
    <cellStyle name="Percent 7 9" xfId="8881"/>
    <cellStyle name="Percent 7 9 2" xfId="9137"/>
    <cellStyle name="Percent 7 9 2 2" xfId="9705"/>
    <cellStyle name="Percent 7 9 2 2 2" xfId="10759"/>
    <cellStyle name="Percent 7 9 2 2 2 2" xfId="14353"/>
    <cellStyle name="Percent 7 9 2 2 2 3" xfId="17661"/>
    <cellStyle name="Percent 7 9 2 2 3" xfId="13300"/>
    <cellStyle name="Percent 7 9 2 2 3 2" xfId="41915"/>
    <cellStyle name="Percent 7 9 2 2 4" xfId="17660"/>
    <cellStyle name="Percent 7 9 2 3" xfId="10221"/>
    <cellStyle name="Percent 7 9 2 3 2" xfId="13815"/>
    <cellStyle name="Percent 7 9 2 3 3" xfId="17662"/>
    <cellStyle name="Percent 7 9 2 4" xfId="11391"/>
    <cellStyle name="Percent 7 9 2 4 2" xfId="14983"/>
    <cellStyle name="Percent 7 9 2 4 3" xfId="17663"/>
    <cellStyle name="Percent 7 9 2 5" xfId="12762"/>
    <cellStyle name="Percent 7 9 2 5 2" xfId="41914"/>
    <cellStyle name="Percent 7 9 2 6" xfId="17659"/>
    <cellStyle name="Percent 7 9 3" xfId="9449"/>
    <cellStyle name="Percent 7 9 3 2" xfId="10503"/>
    <cellStyle name="Percent 7 9 3 2 2" xfId="14097"/>
    <cellStyle name="Percent 7 9 3 2 2 2" xfId="41917"/>
    <cellStyle name="Percent 7 9 3 2 3" xfId="17665"/>
    <cellStyle name="Percent 7 9 3 3" xfId="13044"/>
    <cellStyle name="Percent 7 9 3 3 2" xfId="41916"/>
    <cellStyle name="Percent 7 9 3 4" xfId="17664"/>
    <cellStyle name="Percent 7 9 4" xfId="9965"/>
    <cellStyle name="Percent 7 9 4 2" xfId="13559"/>
    <cellStyle name="Percent 7 9 4 2 2" xfId="41919"/>
    <cellStyle name="Percent 7 9 4 3" xfId="41918"/>
    <cellStyle name="Percent 7 9 4 4" xfId="17666"/>
    <cellStyle name="Percent 7 9 5" xfId="11390"/>
    <cellStyle name="Percent 7 9 5 2" xfId="14982"/>
    <cellStyle name="Percent 7 9 5 2 2" xfId="41920"/>
    <cellStyle name="Percent 7 9 5 3" xfId="17667"/>
    <cellStyle name="Percent 7 9 6" xfId="12506"/>
    <cellStyle name="Percent 7 9 6 2" xfId="41921"/>
    <cellStyle name="Percent 7 9 7" xfId="41913"/>
    <cellStyle name="Percent 7 9 8" xfId="17658"/>
    <cellStyle name="Percent 8" xfId="8766"/>
    <cellStyle name="Percent 8 10" xfId="41923"/>
    <cellStyle name="Percent 8 10 2" xfId="41924"/>
    <cellStyle name="Percent 8 10 2 2" xfId="41925"/>
    <cellStyle name="Percent 8 10 3" xfId="41926"/>
    <cellStyle name="Percent 8 10 3 2" xfId="41927"/>
    <cellStyle name="Percent 8 10 4" xfId="41928"/>
    <cellStyle name="Percent 8 10 4 2" xfId="41929"/>
    <cellStyle name="Percent 8 10 5" xfId="41930"/>
    <cellStyle name="Percent 8 10 6" xfId="41931"/>
    <cellStyle name="Percent 8 11" xfId="41932"/>
    <cellStyle name="Percent 8 11 2" xfId="41933"/>
    <cellStyle name="Percent 8 11 2 2" xfId="41934"/>
    <cellStyle name="Percent 8 11 3" xfId="41935"/>
    <cellStyle name="Percent 8 11 3 2" xfId="41936"/>
    <cellStyle name="Percent 8 11 4" xfId="41937"/>
    <cellStyle name="Percent 8 11 4 2" xfId="41938"/>
    <cellStyle name="Percent 8 11 5" xfId="41939"/>
    <cellStyle name="Percent 8 11 6" xfId="41940"/>
    <cellStyle name="Percent 8 12" xfId="41941"/>
    <cellStyle name="Percent 8 12 2" xfId="41942"/>
    <cellStyle name="Percent 8 12 2 2" xfId="41943"/>
    <cellStyle name="Percent 8 12 3" xfId="41944"/>
    <cellStyle name="Percent 8 12 3 2" xfId="41945"/>
    <cellStyle name="Percent 8 12 4" xfId="41946"/>
    <cellStyle name="Percent 8 12 4 2" xfId="41947"/>
    <cellStyle name="Percent 8 12 5" xfId="41948"/>
    <cellStyle name="Percent 8 12 6" xfId="41949"/>
    <cellStyle name="Percent 8 13" xfId="41950"/>
    <cellStyle name="Percent 8 13 2" xfId="41951"/>
    <cellStyle name="Percent 8 13 2 2" xfId="41952"/>
    <cellStyle name="Percent 8 13 3" xfId="41953"/>
    <cellStyle name="Percent 8 13 3 2" xfId="41954"/>
    <cellStyle name="Percent 8 13 4" xfId="41955"/>
    <cellStyle name="Percent 8 13 5" xfId="41956"/>
    <cellStyle name="Percent 8 14" xfId="41957"/>
    <cellStyle name="Percent 8 14 2" xfId="41958"/>
    <cellStyle name="Percent 8 15" xfId="41959"/>
    <cellStyle name="Percent 8 15 2" xfId="41960"/>
    <cellStyle name="Percent 8 16" xfId="41961"/>
    <cellStyle name="Percent 8 16 2" xfId="41962"/>
    <cellStyle name="Percent 8 17" xfId="41963"/>
    <cellStyle name="Percent 8 18" xfId="41964"/>
    <cellStyle name="Percent 8 19" xfId="41965"/>
    <cellStyle name="Percent 8 2" xfId="41966"/>
    <cellStyle name="Percent 8 2 10" xfId="41967"/>
    <cellStyle name="Percent 8 2 10 2" xfId="41968"/>
    <cellStyle name="Percent 8 2 10 2 2" xfId="41969"/>
    <cellStyle name="Percent 8 2 10 3" xfId="41970"/>
    <cellStyle name="Percent 8 2 10 3 2" xfId="41971"/>
    <cellStyle name="Percent 8 2 10 4" xfId="41972"/>
    <cellStyle name="Percent 8 2 10 4 2" xfId="41973"/>
    <cellStyle name="Percent 8 2 10 5" xfId="41974"/>
    <cellStyle name="Percent 8 2 10 6" xfId="41975"/>
    <cellStyle name="Percent 8 2 11" xfId="41976"/>
    <cellStyle name="Percent 8 2 11 2" xfId="41977"/>
    <cellStyle name="Percent 8 2 11 2 2" xfId="41978"/>
    <cellStyle name="Percent 8 2 11 3" xfId="41979"/>
    <cellStyle name="Percent 8 2 11 3 2" xfId="41980"/>
    <cellStyle name="Percent 8 2 11 4" xfId="41981"/>
    <cellStyle name="Percent 8 2 11 5" xfId="41982"/>
    <cellStyle name="Percent 8 2 12" xfId="41983"/>
    <cellStyle name="Percent 8 2 12 2" xfId="41984"/>
    <cellStyle name="Percent 8 2 13" xfId="41985"/>
    <cellStyle name="Percent 8 2 13 2" xfId="41986"/>
    <cellStyle name="Percent 8 2 14" xfId="41987"/>
    <cellStyle name="Percent 8 2 14 2" xfId="41988"/>
    <cellStyle name="Percent 8 2 15" xfId="41989"/>
    <cellStyle name="Percent 8 2 16" xfId="41990"/>
    <cellStyle name="Percent 8 2 2" xfId="41991"/>
    <cellStyle name="Percent 8 2 2 10" xfId="41992"/>
    <cellStyle name="Percent 8 2 2 10 2" xfId="41993"/>
    <cellStyle name="Percent 8 2 2 11" xfId="41994"/>
    <cellStyle name="Percent 8 2 2 11 2" xfId="41995"/>
    <cellStyle name="Percent 8 2 2 12" xfId="41996"/>
    <cellStyle name="Percent 8 2 2 13" xfId="41997"/>
    <cellStyle name="Percent 8 2 2 2" xfId="41998"/>
    <cellStyle name="Percent 8 2 2 2 10" xfId="41999"/>
    <cellStyle name="Percent 8 2 2 2 11" xfId="42000"/>
    <cellStyle name="Percent 8 2 2 2 2" xfId="42001"/>
    <cellStyle name="Percent 8 2 2 2 2 2" xfId="42002"/>
    <cellStyle name="Percent 8 2 2 2 2 2 2" xfId="42003"/>
    <cellStyle name="Percent 8 2 2 2 2 3" xfId="42004"/>
    <cellStyle name="Percent 8 2 2 2 2 3 2" xfId="42005"/>
    <cellStyle name="Percent 8 2 2 2 2 4" xfId="42006"/>
    <cellStyle name="Percent 8 2 2 2 2 4 2" xfId="42007"/>
    <cellStyle name="Percent 8 2 2 2 2 5" xfId="42008"/>
    <cellStyle name="Percent 8 2 2 2 2 6" xfId="42009"/>
    <cellStyle name="Percent 8 2 2 2 3" xfId="42010"/>
    <cellStyle name="Percent 8 2 2 2 3 2" xfId="42011"/>
    <cellStyle name="Percent 8 2 2 2 3 2 2" xfId="42012"/>
    <cellStyle name="Percent 8 2 2 2 3 3" xfId="42013"/>
    <cellStyle name="Percent 8 2 2 2 3 3 2" xfId="42014"/>
    <cellStyle name="Percent 8 2 2 2 3 4" xfId="42015"/>
    <cellStyle name="Percent 8 2 2 2 3 4 2" xfId="42016"/>
    <cellStyle name="Percent 8 2 2 2 3 5" xfId="42017"/>
    <cellStyle name="Percent 8 2 2 2 3 6" xfId="42018"/>
    <cellStyle name="Percent 8 2 2 2 4" xfId="42019"/>
    <cellStyle name="Percent 8 2 2 2 4 2" xfId="42020"/>
    <cellStyle name="Percent 8 2 2 2 4 2 2" xfId="42021"/>
    <cellStyle name="Percent 8 2 2 2 4 3" xfId="42022"/>
    <cellStyle name="Percent 8 2 2 2 4 3 2" xfId="42023"/>
    <cellStyle name="Percent 8 2 2 2 4 4" xfId="42024"/>
    <cellStyle name="Percent 8 2 2 2 4 4 2" xfId="42025"/>
    <cellStyle name="Percent 8 2 2 2 4 5" xfId="42026"/>
    <cellStyle name="Percent 8 2 2 2 4 6" xfId="42027"/>
    <cellStyle name="Percent 8 2 2 2 5" xfId="42028"/>
    <cellStyle name="Percent 8 2 2 2 5 2" xfId="42029"/>
    <cellStyle name="Percent 8 2 2 2 5 2 2" xfId="42030"/>
    <cellStyle name="Percent 8 2 2 2 5 3" xfId="42031"/>
    <cellStyle name="Percent 8 2 2 2 5 3 2" xfId="42032"/>
    <cellStyle name="Percent 8 2 2 2 5 4" xfId="42033"/>
    <cellStyle name="Percent 8 2 2 2 5 4 2" xfId="42034"/>
    <cellStyle name="Percent 8 2 2 2 5 5" xfId="42035"/>
    <cellStyle name="Percent 8 2 2 2 5 6" xfId="42036"/>
    <cellStyle name="Percent 8 2 2 2 6" xfId="42037"/>
    <cellStyle name="Percent 8 2 2 2 6 2" xfId="42038"/>
    <cellStyle name="Percent 8 2 2 2 6 2 2" xfId="42039"/>
    <cellStyle name="Percent 8 2 2 2 6 3" xfId="42040"/>
    <cellStyle name="Percent 8 2 2 2 6 3 2" xfId="42041"/>
    <cellStyle name="Percent 8 2 2 2 6 4" xfId="42042"/>
    <cellStyle name="Percent 8 2 2 2 6 5" xfId="42043"/>
    <cellStyle name="Percent 8 2 2 2 7" xfId="42044"/>
    <cellStyle name="Percent 8 2 2 2 7 2" xfId="42045"/>
    <cellStyle name="Percent 8 2 2 2 8" xfId="42046"/>
    <cellStyle name="Percent 8 2 2 2 8 2" xfId="42047"/>
    <cellStyle name="Percent 8 2 2 2 9" xfId="42048"/>
    <cellStyle name="Percent 8 2 2 2 9 2" xfId="42049"/>
    <cellStyle name="Percent 8 2 2 3" xfId="42050"/>
    <cellStyle name="Percent 8 2 2 3 10" xfId="42051"/>
    <cellStyle name="Percent 8 2 2 3 2" xfId="42052"/>
    <cellStyle name="Percent 8 2 2 3 2 2" xfId="42053"/>
    <cellStyle name="Percent 8 2 2 3 2 2 2" xfId="42054"/>
    <cellStyle name="Percent 8 2 2 3 2 3" xfId="42055"/>
    <cellStyle name="Percent 8 2 2 3 2 3 2" xfId="42056"/>
    <cellStyle name="Percent 8 2 2 3 2 4" xfId="42057"/>
    <cellStyle name="Percent 8 2 2 3 2 4 2" xfId="42058"/>
    <cellStyle name="Percent 8 2 2 3 2 5" xfId="42059"/>
    <cellStyle name="Percent 8 2 2 3 2 6" xfId="42060"/>
    <cellStyle name="Percent 8 2 2 3 3" xfId="42061"/>
    <cellStyle name="Percent 8 2 2 3 3 2" xfId="42062"/>
    <cellStyle name="Percent 8 2 2 3 3 2 2" xfId="42063"/>
    <cellStyle name="Percent 8 2 2 3 3 3" xfId="42064"/>
    <cellStyle name="Percent 8 2 2 3 3 3 2" xfId="42065"/>
    <cellStyle name="Percent 8 2 2 3 3 4" xfId="42066"/>
    <cellStyle name="Percent 8 2 2 3 3 4 2" xfId="42067"/>
    <cellStyle name="Percent 8 2 2 3 3 5" xfId="42068"/>
    <cellStyle name="Percent 8 2 2 3 3 6" xfId="42069"/>
    <cellStyle name="Percent 8 2 2 3 4" xfId="42070"/>
    <cellStyle name="Percent 8 2 2 3 4 2" xfId="42071"/>
    <cellStyle name="Percent 8 2 2 3 4 2 2" xfId="42072"/>
    <cellStyle name="Percent 8 2 2 3 4 3" xfId="42073"/>
    <cellStyle name="Percent 8 2 2 3 4 3 2" xfId="42074"/>
    <cellStyle name="Percent 8 2 2 3 4 4" xfId="42075"/>
    <cellStyle name="Percent 8 2 2 3 4 4 2" xfId="42076"/>
    <cellStyle name="Percent 8 2 2 3 4 5" xfId="42077"/>
    <cellStyle name="Percent 8 2 2 3 4 6" xfId="42078"/>
    <cellStyle name="Percent 8 2 2 3 5" xfId="42079"/>
    <cellStyle name="Percent 8 2 2 3 5 2" xfId="42080"/>
    <cellStyle name="Percent 8 2 2 3 5 2 2" xfId="42081"/>
    <cellStyle name="Percent 8 2 2 3 5 3" xfId="42082"/>
    <cellStyle name="Percent 8 2 2 3 5 3 2" xfId="42083"/>
    <cellStyle name="Percent 8 2 2 3 5 4" xfId="42084"/>
    <cellStyle name="Percent 8 2 2 3 5 5" xfId="42085"/>
    <cellStyle name="Percent 8 2 2 3 6" xfId="42086"/>
    <cellStyle name="Percent 8 2 2 3 6 2" xfId="42087"/>
    <cellStyle name="Percent 8 2 2 3 7" xfId="42088"/>
    <cellStyle name="Percent 8 2 2 3 7 2" xfId="42089"/>
    <cellStyle name="Percent 8 2 2 3 8" xfId="42090"/>
    <cellStyle name="Percent 8 2 2 3 8 2" xfId="42091"/>
    <cellStyle name="Percent 8 2 2 3 9" xfId="42092"/>
    <cellStyle name="Percent 8 2 2 4" xfId="42093"/>
    <cellStyle name="Percent 8 2 2 4 10" xfId="42094"/>
    <cellStyle name="Percent 8 2 2 4 2" xfId="42095"/>
    <cellStyle name="Percent 8 2 2 4 2 2" xfId="42096"/>
    <cellStyle name="Percent 8 2 2 4 2 2 2" xfId="42097"/>
    <cellStyle name="Percent 8 2 2 4 2 3" xfId="42098"/>
    <cellStyle name="Percent 8 2 2 4 2 3 2" xfId="42099"/>
    <cellStyle name="Percent 8 2 2 4 2 4" xfId="42100"/>
    <cellStyle name="Percent 8 2 2 4 2 4 2" xfId="42101"/>
    <cellStyle name="Percent 8 2 2 4 2 5" xfId="42102"/>
    <cellStyle name="Percent 8 2 2 4 2 6" xfId="42103"/>
    <cellStyle name="Percent 8 2 2 4 3" xfId="42104"/>
    <cellStyle name="Percent 8 2 2 4 3 2" xfId="42105"/>
    <cellStyle name="Percent 8 2 2 4 3 2 2" xfId="42106"/>
    <cellStyle name="Percent 8 2 2 4 3 3" xfId="42107"/>
    <cellStyle name="Percent 8 2 2 4 3 3 2" xfId="42108"/>
    <cellStyle name="Percent 8 2 2 4 3 4" xfId="42109"/>
    <cellStyle name="Percent 8 2 2 4 3 4 2" xfId="42110"/>
    <cellStyle name="Percent 8 2 2 4 3 5" xfId="42111"/>
    <cellStyle name="Percent 8 2 2 4 3 6" xfId="42112"/>
    <cellStyle name="Percent 8 2 2 4 4" xfId="42113"/>
    <cellStyle name="Percent 8 2 2 4 4 2" xfId="42114"/>
    <cellStyle name="Percent 8 2 2 4 4 2 2" xfId="42115"/>
    <cellStyle name="Percent 8 2 2 4 4 3" xfId="42116"/>
    <cellStyle name="Percent 8 2 2 4 4 3 2" xfId="42117"/>
    <cellStyle name="Percent 8 2 2 4 4 4" xfId="42118"/>
    <cellStyle name="Percent 8 2 2 4 4 4 2" xfId="42119"/>
    <cellStyle name="Percent 8 2 2 4 4 5" xfId="42120"/>
    <cellStyle name="Percent 8 2 2 4 4 6" xfId="42121"/>
    <cellStyle name="Percent 8 2 2 4 5" xfId="42122"/>
    <cellStyle name="Percent 8 2 2 4 5 2" xfId="42123"/>
    <cellStyle name="Percent 8 2 2 4 5 2 2" xfId="42124"/>
    <cellStyle name="Percent 8 2 2 4 5 3" xfId="42125"/>
    <cellStyle name="Percent 8 2 2 4 5 3 2" xfId="42126"/>
    <cellStyle name="Percent 8 2 2 4 5 4" xfId="42127"/>
    <cellStyle name="Percent 8 2 2 4 5 5" xfId="42128"/>
    <cellStyle name="Percent 8 2 2 4 6" xfId="42129"/>
    <cellStyle name="Percent 8 2 2 4 6 2" xfId="42130"/>
    <cellStyle name="Percent 8 2 2 4 7" xfId="42131"/>
    <cellStyle name="Percent 8 2 2 4 7 2" xfId="42132"/>
    <cellStyle name="Percent 8 2 2 4 8" xfId="42133"/>
    <cellStyle name="Percent 8 2 2 4 8 2" xfId="42134"/>
    <cellStyle name="Percent 8 2 2 4 9" xfId="42135"/>
    <cellStyle name="Percent 8 2 2 5" xfId="42136"/>
    <cellStyle name="Percent 8 2 2 5 2" xfId="42137"/>
    <cellStyle name="Percent 8 2 2 5 2 2" xfId="42138"/>
    <cellStyle name="Percent 8 2 2 5 3" xfId="42139"/>
    <cellStyle name="Percent 8 2 2 5 3 2" xfId="42140"/>
    <cellStyle name="Percent 8 2 2 5 4" xfId="42141"/>
    <cellStyle name="Percent 8 2 2 5 4 2" xfId="42142"/>
    <cellStyle name="Percent 8 2 2 5 5" xfId="42143"/>
    <cellStyle name="Percent 8 2 2 5 6" xfId="42144"/>
    <cellStyle name="Percent 8 2 2 6" xfId="42145"/>
    <cellStyle name="Percent 8 2 2 6 2" xfId="42146"/>
    <cellStyle name="Percent 8 2 2 6 2 2" xfId="42147"/>
    <cellStyle name="Percent 8 2 2 6 3" xfId="42148"/>
    <cellStyle name="Percent 8 2 2 6 3 2" xfId="42149"/>
    <cellStyle name="Percent 8 2 2 6 4" xfId="42150"/>
    <cellStyle name="Percent 8 2 2 6 4 2" xfId="42151"/>
    <cellStyle name="Percent 8 2 2 6 5" xfId="42152"/>
    <cellStyle name="Percent 8 2 2 6 6" xfId="42153"/>
    <cellStyle name="Percent 8 2 2 7" xfId="42154"/>
    <cellStyle name="Percent 8 2 2 7 2" xfId="42155"/>
    <cellStyle name="Percent 8 2 2 7 2 2" xfId="42156"/>
    <cellStyle name="Percent 8 2 2 7 3" xfId="42157"/>
    <cellStyle name="Percent 8 2 2 7 3 2" xfId="42158"/>
    <cellStyle name="Percent 8 2 2 7 4" xfId="42159"/>
    <cellStyle name="Percent 8 2 2 7 4 2" xfId="42160"/>
    <cellStyle name="Percent 8 2 2 7 5" xfId="42161"/>
    <cellStyle name="Percent 8 2 2 7 6" xfId="42162"/>
    <cellStyle name="Percent 8 2 2 8" xfId="42163"/>
    <cellStyle name="Percent 8 2 2 8 2" xfId="42164"/>
    <cellStyle name="Percent 8 2 2 8 2 2" xfId="42165"/>
    <cellStyle name="Percent 8 2 2 8 3" xfId="42166"/>
    <cellStyle name="Percent 8 2 2 8 3 2" xfId="42167"/>
    <cellStyle name="Percent 8 2 2 8 4" xfId="42168"/>
    <cellStyle name="Percent 8 2 2 8 5" xfId="42169"/>
    <cellStyle name="Percent 8 2 2 9" xfId="42170"/>
    <cellStyle name="Percent 8 2 2 9 2" xfId="42171"/>
    <cellStyle name="Percent 8 2 3" xfId="42172"/>
    <cellStyle name="Percent 8 2 3 10" xfId="42173"/>
    <cellStyle name="Percent 8 2 3 10 2" xfId="42174"/>
    <cellStyle name="Percent 8 2 3 11" xfId="42175"/>
    <cellStyle name="Percent 8 2 3 11 2" xfId="42176"/>
    <cellStyle name="Percent 8 2 3 12" xfId="42177"/>
    <cellStyle name="Percent 8 2 3 13" xfId="42178"/>
    <cellStyle name="Percent 8 2 3 2" xfId="42179"/>
    <cellStyle name="Percent 8 2 3 2 10" xfId="42180"/>
    <cellStyle name="Percent 8 2 3 2 11" xfId="42181"/>
    <cellStyle name="Percent 8 2 3 2 2" xfId="42182"/>
    <cellStyle name="Percent 8 2 3 2 2 2" xfId="42183"/>
    <cellStyle name="Percent 8 2 3 2 2 2 2" xfId="42184"/>
    <cellStyle name="Percent 8 2 3 2 2 3" xfId="42185"/>
    <cellStyle name="Percent 8 2 3 2 2 3 2" xfId="42186"/>
    <cellStyle name="Percent 8 2 3 2 2 4" xfId="42187"/>
    <cellStyle name="Percent 8 2 3 2 2 4 2" xfId="42188"/>
    <cellStyle name="Percent 8 2 3 2 2 5" xfId="42189"/>
    <cellStyle name="Percent 8 2 3 2 2 6" xfId="42190"/>
    <cellStyle name="Percent 8 2 3 2 3" xfId="42191"/>
    <cellStyle name="Percent 8 2 3 2 3 2" xfId="42192"/>
    <cellStyle name="Percent 8 2 3 2 3 2 2" xfId="42193"/>
    <cellStyle name="Percent 8 2 3 2 3 3" xfId="42194"/>
    <cellStyle name="Percent 8 2 3 2 3 3 2" xfId="42195"/>
    <cellStyle name="Percent 8 2 3 2 3 4" xfId="42196"/>
    <cellStyle name="Percent 8 2 3 2 3 4 2" xfId="42197"/>
    <cellStyle name="Percent 8 2 3 2 3 5" xfId="42198"/>
    <cellStyle name="Percent 8 2 3 2 3 6" xfId="42199"/>
    <cellStyle name="Percent 8 2 3 2 4" xfId="42200"/>
    <cellStyle name="Percent 8 2 3 2 4 2" xfId="42201"/>
    <cellStyle name="Percent 8 2 3 2 4 2 2" xfId="42202"/>
    <cellStyle name="Percent 8 2 3 2 4 3" xfId="42203"/>
    <cellStyle name="Percent 8 2 3 2 4 3 2" xfId="42204"/>
    <cellStyle name="Percent 8 2 3 2 4 4" xfId="42205"/>
    <cellStyle name="Percent 8 2 3 2 4 4 2" xfId="42206"/>
    <cellStyle name="Percent 8 2 3 2 4 5" xfId="42207"/>
    <cellStyle name="Percent 8 2 3 2 4 6" xfId="42208"/>
    <cellStyle name="Percent 8 2 3 2 5" xfId="42209"/>
    <cellStyle name="Percent 8 2 3 2 5 2" xfId="42210"/>
    <cellStyle name="Percent 8 2 3 2 5 2 2" xfId="42211"/>
    <cellStyle name="Percent 8 2 3 2 5 3" xfId="42212"/>
    <cellStyle name="Percent 8 2 3 2 5 3 2" xfId="42213"/>
    <cellStyle name="Percent 8 2 3 2 5 4" xfId="42214"/>
    <cellStyle name="Percent 8 2 3 2 5 4 2" xfId="42215"/>
    <cellStyle name="Percent 8 2 3 2 5 5" xfId="42216"/>
    <cellStyle name="Percent 8 2 3 2 5 6" xfId="42217"/>
    <cellStyle name="Percent 8 2 3 2 6" xfId="42218"/>
    <cellStyle name="Percent 8 2 3 2 6 2" xfId="42219"/>
    <cellStyle name="Percent 8 2 3 2 6 2 2" xfId="42220"/>
    <cellStyle name="Percent 8 2 3 2 6 3" xfId="42221"/>
    <cellStyle name="Percent 8 2 3 2 6 3 2" xfId="42222"/>
    <cellStyle name="Percent 8 2 3 2 6 4" xfId="42223"/>
    <cellStyle name="Percent 8 2 3 2 6 5" xfId="42224"/>
    <cellStyle name="Percent 8 2 3 2 7" xfId="42225"/>
    <cellStyle name="Percent 8 2 3 2 7 2" xfId="42226"/>
    <cellStyle name="Percent 8 2 3 2 8" xfId="42227"/>
    <cellStyle name="Percent 8 2 3 2 8 2" xfId="42228"/>
    <cellStyle name="Percent 8 2 3 2 9" xfId="42229"/>
    <cellStyle name="Percent 8 2 3 2 9 2" xfId="42230"/>
    <cellStyle name="Percent 8 2 3 3" xfId="42231"/>
    <cellStyle name="Percent 8 2 3 3 10" xfId="42232"/>
    <cellStyle name="Percent 8 2 3 3 2" xfId="42233"/>
    <cellStyle name="Percent 8 2 3 3 2 2" xfId="42234"/>
    <cellStyle name="Percent 8 2 3 3 2 2 2" xfId="42235"/>
    <cellStyle name="Percent 8 2 3 3 2 3" xfId="42236"/>
    <cellStyle name="Percent 8 2 3 3 2 3 2" xfId="42237"/>
    <cellStyle name="Percent 8 2 3 3 2 4" xfId="42238"/>
    <cellStyle name="Percent 8 2 3 3 2 4 2" xfId="42239"/>
    <cellStyle name="Percent 8 2 3 3 2 5" xfId="42240"/>
    <cellStyle name="Percent 8 2 3 3 2 6" xfId="42241"/>
    <cellStyle name="Percent 8 2 3 3 3" xfId="42242"/>
    <cellStyle name="Percent 8 2 3 3 3 2" xfId="42243"/>
    <cellStyle name="Percent 8 2 3 3 3 2 2" xfId="42244"/>
    <cellStyle name="Percent 8 2 3 3 3 3" xfId="42245"/>
    <cellStyle name="Percent 8 2 3 3 3 3 2" xfId="42246"/>
    <cellStyle name="Percent 8 2 3 3 3 4" xfId="42247"/>
    <cellStyle name="Percent 8 2 3 3 3 4 2" xfId="42248"/>
    <cellStyle name="Percent 8 2 3 3 3 5" xfId="42249"/>
    <cellStyle name="Percent 8 2 3 3 3 6" xfId="42250"/>
    <cellStyle name="Percent 8 2 3 3 4" xfId="42251"/>
    <cellStyle name="Percent 8 2 3 3 4 2" xfId="42252"/>
    <cellStyle name="Percent 8 2 3 3 4 2 2" xfId="42253"/>
    <cellStyle name="Percent 8 2 3 3 4 3" xfId="42254"/>
    <cellStyle name="Percent 8 2 3 3 4 3 2" xfId="42255"/>
    <cellStyle name="Percent 8 2 3 3 4 4" xfId="42256"/>
    <cellStyle name="Percent 8 2 3 3 4 4 2" xfId="42257"/>
    <cellStyle name="Percent 8 2 3 3 4 5" xfId="42258"/>
    <cellStyle name="Percent 8 2 3 3 4 6" xfId="42259"/>
    <cellStyle name="Percent 8 2 3 3 5" xfId="42260"/>
    <cellStyle name="Percent 8 2 3 3 5 2" xfId="42261"/>
    <cellStyle name="Percent 8 2 3 3 5 2 2" xfId="42262"/>
    <cellStyle name="Percent 8 2 3 3 5 3" xfId="42263"/>
    <cellStyle name="Percent 8 2 3 3 5 3 2" xfId="42264"/>
    <cellStyle name="Percent 8 2 3 3 5 4" xfId="42265"/>
    <cellStyle name="Percent 8 2 3 3 5 5" xfId="42266"/>
    <cellStyle name="Percent 8 2 3 3 6" xfId="42267"/>
    <cellStyle name="Percent 8 2 3 3 6 2" xfId="42268"/>
    <cellStyle name="Percent 8 2 3 3 7" xfId="42269"/>
    <cellStyle name="Percent 8 2 3 3 7 2" xfId="42270"/>
    <cellStyle name="Percent 8 2 3 3 8" xfId="42271"/>
    <cellStyle name="Percent 8 2 3 3 8 2" xfId="42272"/>
    <cellStyle name="Percent 8 2 3 3 9" xfId="42273"/>
    <cellStyle name="Percent 8 2 3 4" xfId="42274"/>
    <cellStyle name="Percent 8 2 3 4 10" xfId="42275"/>
    <cellStyle name="Percent 8 2 3 4 2" xfId="42276"/>
    <cellStyle name="Percent 8 2 3 4 2 2" xfId="42277"/>
    <cellStyle name="Percent 8 2 3 4 2 2 2" xfId="42278"/>
    <cellStyle name="Percent 8 2 3 4 2 3" xfId="42279"/>
    <cellStyle name="Percent 8 2 3 4 2 3 2" xfId="42280"/>
    <cellStyle name="Percent 8 2 3 4 2 4" xfId="42281"/>
    <cellStyle name="Percent 8 2 3 4 2 4 2" xfId="42282"/>
    <cellStyle name="Percent 8 2 3 4 2 5" xfId="42283"/>
    <cellStyle name="Percent 8 2 3 4 2 6" xfId="42284"/>
    <cellStyle name="Percent 8 2 3 4 3" xfId="42285"/>
    <cellStyle name="Percent 8 2 3 4 3 2" xfId="42286"/>
    <cellStyle name="Percent 8 2 3 4 3 2 2" xfId="42287"/>
    <cellStyle name="Percent 8 2 3 4 3 3" xfId="42288"/>
    <cellStyle name="Percent 8 2 3 4 3 3 2" xfId="42289"/>
    <cellStyle name="Percent 8 2 3 4 3 4" xfId="42290"/>
    <cellStyle name="Percent 8 2 3 4 3 4 2" xfId="42291"/>
    <cellStyle name="Percent 8 2 3 4 3 5" xfId="42292"/>
    <cellStyle name="Percent 8 2 3 4 3 6" xfId="42293"/>
    <cellStyle name="Percent 8 2 3 4 4" xfId="42294"/>
    <cellStyle name="Percent 8 2 3 4 4 2" xfId="42295"/>
    <cellStyle name="Percent 8 2 3 4 4 2 2" xfId="42296"/>
    <cellStyle name="Percent 8 2 3 4 4 3" xfId="42297"/>
    <cellStyle name="Percent 8 2 3 4 4 3 2" xfId="42298"/>
    <cellStyle name="Percent 8 2 3 4 4 4" xfId="42299"/>
    <cellStyle name="Percent 8 2 3 4 4 4 2" xfId="42300"/>
    <cellStyle name="Percent 8 2 3 4 4 5" xfId="42301"/>
    <cellStyle name="Percent 8 2 3 4 4 6" xfId="42302"/>
    <cellStyle name="Percent 8 2 3 4 5" xfId="42303"/>
    <cellStyle name="Percent 8 2 3 4 5 2" xfId="42304"/>
    <cellStyle name="Percent 8 2 3 4 5 2 2" xfId="42305"/>
    <cellStyle name="Percent 8 2 3 4 5 3" xfId="42306"/>
    <cellStyle name="Percent 8 2 3 4 5 3 2" xfId="42307"/>
    <cellStyle name="Percent 8 2 3 4 5 4" xfId="42308"/>
    <cellStyle name="Percent 8 2 3 4 5 5" xfId="42309"/>
    <cellStyle name="Percent 8 2 3 4 6" xfId="42310"/>
    <cellStyle name="Percent 8 2 3 4 6 2" xfId="42311"/>
    <cellStyle name="Percent 8 2 3 4 7" xfId="42312"/>
    <cellStyle name="Percent 8 2 3 4 7 2" xfId="42313"/>
    <cellStyle name="Percent 8 2 3 4 8" xfId="42314"/>
    <cellStyle name="Percent 8 2 3 4 8 2" xfId="42315"/>
    <cellStyle name="Percent 8 2 3 4 9" xfId="42316"/>
    <cellStyle name="Percent 8 2 3 5" xfId="42317"/>
    <cellStyle name="Percent 8 2 3 5 2" xfId="42318"/>
    <cellStyle name="Percent 8 2 3 5 2 2" xfId="42319"/>
    <cellStyle name="Percent 8 2 3 5 3" xfId="42320"/>
    <cellStyle name="Percent 8 2 3 5 3 2" xfId="42321"/>
    <cellStyle name="Percent 8 2 3 5 4" xfId="42322"/>
    <cellStyle name="Percent 8 2 3 5 4 2" xfId="42323"/>
    <cellStyle name="Percent 8 2 3 5 5" xfId="42324"/>
    <cellStyle name="Percent 8 2 3 5 6" xfId="42325"/>
    <cellStyle name="Percent 8 2 3 6" xfId="42326"/>
    <cellStyle name="Percent 8 2 3 6 2" xfId="42327"/>
    <cellStyle name="Percent 8 2 3 6 2 2" xfId="42328"/>
    <cellStyle name="Percent 8 2 3 6 3" xfId="42329"/>
    <cellStyle name="Percent 8 2 3 6 3 2" xfId="42330"/>
    <cellStyle name="Percent 8 2 3 6 4" xfId="42331"/>
    <cellStyle name="Percent 8 2 3 6 4 2" xfId="42332"/>
    <cellStyle name="Percent 8 2 3 6 5" xfId="42333"/>
    <cellStyle name="Percent 8 2 3 6 6" xfId="42334"/>
    <cellStyle name="Percent 8 2 3 7" xfId="42335"/>
    <cellStyle name="Percent 8 2 3 7 2" xfId="42336"/>
    <cellStyle name="Percent 8 2 3 7 2 2" xfId="42337"/>
    <cellStyle name="Percent 8 2 3 7 3" xfId="42338"/>
    <cellStyle name="Percent 8 2 3 7 3 2" xfId="42339"/>
    <cellStyle name="Percent 8 2 3 7 4" xfId="42340"/>
    <cellStyle name="Percent 8 2 3 7 4 2" xfId="42341"/>
    <cellStyle name="Percent 8 2 3 7 5" xfId="42342"/>
    <cellStyle name="Percent 8 2 3 7 6" xfId="42343"/>
    <cellStyle name="Percent 8 2 3 8" xfId="42344"/>
    <cellStyle name="Percent 8 2 3 8 2" xfId="42345"/>
    <cellStyle name="Percent 8 2 3 8 2 2" xfId="42346"/>
    <cellStyle name="Percent 8 2 3 8 3" xfId="42347"/>
    <cellStyle name="Percent 8 2 3 8 3 2" xfId="42348"/>
    <cellStyle name="Percent 8 2 3 8 4" xfId="42349"/>
    <cellStyle name="Percent 8 2 3 8 5" xfId="42350"/>
    <cellStyle name="Percent 8 2 3 9" xfId="42351"/>
    <cellStyle name="Percent 8 2 3 9 2" xfId="42352"/>
    <cellStyle name="Percent 8 2 4" xfId="42353"/>
    <cellStyle name="Percent 8 2 4 10" xfId="42354"/>
    <cellStyle name="Percent 8 2 4 10 2" xfId="42355"/>
    <cellStyle name="Percent 8 2 4 11" xfId="42356"/>
    <cellStyle name="Percent 8 2 4 12" xfId="42357"/>
    <cellStyle name="Percent 8 2 4 2" xfId="42358"/>
    <cellStyle name="Percent 8 2 4 2 10" xfId="42359"/>
    <cellStyle name="Percent 8 2 4 2 2" xfId="42360"/>
    <cellStyle name="Percent 8 2 4 2 2 2" xfId="42361"/>
    <cellStyle name="Percent 8 2 4 2 2 2 2" xfId="42362"/>
    <cellStyle name="Percent 8 2 4 2 2 3" xfId="42363"/>
    <cellStyle name="Percent 8 2 4 2 2 3 2" xfId="42364"/>
    <cellStyle name="Percent 8 2 4 2 2 4" xfId="42365"/>
    <cellStyle name="Percent 8 2 4 2 2 4 2" xfId="42366"/>
    <cellStyle name="Percent 8 2 4 2 2 5" xfId="42367"/>
    <cellStyle name="Percent 8 2 4 2 2 6" xfId="42368"/>
    <cellStyle name="Percent 8 2 4 2 3" xfId="42369"/>
    <cellStyle name="Percent 8 2 4 2 3 2" xfId="42370"/>
    <cellStyle name="Percent 8 2 4 2 3 2 2" xfId="42371"/>
    <cellStyle name="Percent 8 2 4 2 3 3" xfId="42372"/>
    <cellStyle name="Percent 8 2 4 2 3 3 2" xfId="42373"/>
    <cellStyle name="Percent 8 2 4 2 3 4" xfId="42374"/>
    <cellStyle name="Percent 8 2 4 2 3 4 2" xfId="42375"/>
    <cellStyle name="Percent 8 2 4 2 3 5" xfId="42376"/>
    <cellStyle name="Percent 8 2 4 2 3 6" xfId="42377"/>
    <cellStyle name="Percent 8 2 4 2 4" xfId="42378"/>
    <cellStyle name="Percent 8 2 4 2 4 2" xfId="42379"/>
    <cellStyle name="Percent 8 2 4 2 4 2 2" xfId="42380"/>
    <cellStyle name="Percent 8 2 4 2 4 3" xfId="42381"/>
    <cellStyle name="Percent 8 2 4 2 4 3 2" xfId="42382"/>
    <cellStyle name="Percent 8 2 4 2 4 4" xfId="42383"/>
    <cellStyle name="Percent 8 2 4 2 4 4 2" xfId="42384"/>
    <cellStyle name="Percent 8 2 4 2 4 5" xfId="42385"/>
    <cellStyle name="Percent 8 2 4 2 4 6" xfId="42386"/>
    <cellStyle name="Percent 8 2 4 2 5" xfId="42387"/>
    <cellStyle name="Percent 8 2 4 2 5 2" xfId="42388"/>
    <cellStyle name="Percent 8 2 4 2 5 2 2" xfId="42389"/>
    <cellStyle name="Percent 8 2 4 2 5 3" xfId="42390"/>
    <cellStyle name="Percent 8 2 4 2 5 3 2" xfId="42391"/>
    <cellStyle name="Percent 8 2 4 2 5 4" xfId="42392"/>
    <cellStyle name="Percent 8 2 4 2 5 5" xfId="42393"/>
    <cellStyle name="Percent 8 2 4 2 6" xfId="42394"/>
    <cellStyle name="Percent 8 2 4 2 6 2" xfId="42395"/>
    <cellStyle name="Percent 8 2 4 2 7" xfId="42396"/>
    <cellStyle name="Percent 8 2 4 2 7 2" xfId="42397"/>
    <cellStyle name="Percent 8 2 4 2 8" xfId="42398"/>
    <cellStyle name="Percent 8 2 4 2 8 2" xfId="42399"/>
    <cellStyle name="Percent 8 2 4 2 9" xfId="42400"/>
    <cellStyle name="Percent 8 2 4 3" xfId="42401"/>
    <cellStyle name="Percent 8 2 4 3 10" xfId="42402"/>
    <cellStyle name="Percent 8 2 4 3 2" xfId="42403"/>
    <cellStyle name="Percent 8 2 4 3 2 2" xfId="42404"/>
    <cellStyle name="Percent 8 2 4 3 2 2 2" xfId="42405"/>
    <cellStyle name="Percent 8 2 4 3 2 3" xfId="42406"/>
    <cellStyle name="Percent 8 2 4 3 2 3 2" xfId="42407"/>
    <cellStyle name="Percent 8 2 4 3 2 4" xfId="42408"/>
    <cellStyle name="Percent 8 2 4 3 2 4 2" xfId="42409"/>
    <cellStyle name="Percent 8 2 4 3 2 5" xfId="42410"/>
    <cellStyle name="Percent 8 2 4 3 2 6" xfId="42411"/>
    <cellStyle name="Percent 8 2 4 3 3" xfId="42412"/>
    <cellStyle name="Percent 8 2 4 3 3 2" xfId="42413"/>
    <cellStyle name="Percent 8 2 4 3 3 2 2" xfId="42414"/>
    <cellStyle name="Percent 8 2 4 3 3 3" xfId="42415"/>
    <cellStyle name="Percent 8 2 4 3 3 3 2" xfId="42416"/>
    <cellStyle name="Percent 8 2 4 3 3 4" xfId="42417"/>
    <cellStyle name="Percent 8 2 4 3 3 4 2" xfId="42418"/>
    <cellStyle name="Percent 8 2 4 3 3 5" xfId="42419"/>
    <cellStyle name="Percent 8 2 4 3 3 6" xfId="42420"/>
    <cellStyle name="Percent 8 2 4 3 4" xfId="42421"/>
    <cellStyle name="Percent 8 2 4 3 4 2" xfId="42422"/>
    <cellStyle name="Percent 8 2 4 3 4 2 2" xfId="42423"/>
    <cellStyle name="Percent 8 2 4 3 4 3" xfId="42424"/>
    <cellStyle name="Percent 8 2 4 3 4 3 2" xfId="42425"/>
    <cellStyle name="Percent 8 2 4 3 4 4" xfId="42426"/>
    <cellStyle name="Percent 8 2 4 3 4 4 2" xfId="42427"/>
    <cellStyle name="Percent 8 2 4 3 4 5" xfId="42428"/>
    <cellStyle name="Percent 8 2 4 3 4 6" xfId="42429"/>
    <cellStyle name="Percent 8 2 4 3 5" xfId="42430"/>
    <cellStyle name="Percent 8 2 4 3 5 2" xfId="42431"/>
    <cellStyle name="Percent 8 2 4 3 5 2 2" xfId="42432"/>
    <cellStyle name="Percent 8 2 4 3 5 3" xfId="42433"/>
    <cellStyle name="Percent 8 2 4 3 5 3 2" xfId="42434"/>
    <cellStyle name="Percent 8 2 4 3 5 4" xfId="42435"/>
    <cellStyle name="Percent 8 2 4 3 5 5" xfId="42436"/>
    <cellStyle name="Percent 8 2 4 3 6" xfId="42437"/>
    <cellStyle name="Percent 8 2 4 3 6 2" xfId="42438"/>
    <cellStyle name="Percent 8 2 4 3 7" xfId="42439"/>
    <cellStyle name="Percent 8 2 4 3 7 2" xfId="42440"/>
    <cellStyle name="Percent 8 2 4 3 8" xfId="42441"/>
    <cellStyle name="Percent 8 2 4 3 8 2" xfId="42442"/>
    <cellStyle name="Percent 8 2 4 3 9" xfId="42443"/>
    <cellStyle name="Percent 8 2 4 4" xfId="42444"/>
    <cellStyle name="Percent 8 2 4 4 2" xfId="42445"/>
    <cellStyle name="Percent 8 2 4 4 2 2" xfId="42446"/>
    <cellStyle name="Percent 8 2 4 4 3" xfId="42447"/>
    <cellStyle name="Percent 8 2 4 4 3 2" xfId="42448"/>
    <cellStyle name="Percent 8 2 4 4 4" xfId="42449"/>
    <cellStyle name="Percent 8 2 4 4 4 2" xfId="42450"/>
    <cellStyle name="Percent 8 2 4 4 5" xfId="42451"/>
    <cellStyle name="Percent 8 2 4 4 6" xfId="42452"/>
    <cellStyle name="Percent 8 2 4 5" xfId="42453"/>
    <cellStyle name="Percent 8 2 4 5 2" xfId="42454"/>
    <cellStyle name="Percent 8 2 4 5 2 2" xfId="42455"/>
    <cellStyle name="Percent 8 2 4 5 3" xfId="42456"/>
    <cellStyle name="Percent 8 2 4 5 3 2" xfId="42457"/>
    <cellStyle name="Percent 8 2 4 5 4" xfId="42458"/>
    <cellStyle name="Percent 8 2 4 5 4 2" xfId="42459"/>
    <cellStyle name="Percent 8 2 4 5 5" xfId="42460"/>
    <cellStyle name="Percent 8 2 4 5 6" xfId="42461"/>
    <cellStyle name="Percent 8 2 4 6" xfId="42462"/>
    <cellStyle name="Percent 8 2 4 6 2" xfId="42463"/>
    <cellStyle name="Percent 8 2 4 6 2 2" xfId="42464"/>
    <cellStyle name="Percent 8 2 4 6 3" xfId="42465"/>
    <cellStyle name="Percent 8 2 4 6 3 2" xfId="42466"/>
    <cellStyle name="Percent 8 2 4 6 4" xfId="42467"/>
    <cellStyle name="Percent 8 2 4 6 4 2" xfId="42468"/>
    <cellStyle name="Percent 8 2 4 6 5" xfId="42469"/>
    <cellStyle name="Percent 8 2 4 6 6" xfId="42470"/>
    <cellStyle name="Percent 8 2 4 7" xfId="42471"/>
    <cellStyle name="Percent 8 2 4 7 2" xfId="42472"/>
    <cellStyle name="Percent 8 2 4 7 2 2" xfId="42473"/>
    <cellStyle name="Percent 8 2 4 7 3" xfId="42474"/>
    <cellStyle name="Percent 8 2 4 7 3 2" xfId="42475"/>
    <cellStyle name="Percent 8 2 4 7 4" xfId="42476"/>
    <cellStyle name="Percent 8 2 4 7 5" xfId="42477"/>
    <cellStyle name="Percent 8 2 4 8" xfId="42478"/>
    <cellStyle name="Percent 8 2 4 8 2" xfId="42479"/>
    <cellStyle name="Percent 8 2 4 9" xfId="42480"/>
    <cellStyle name="Percent 8 2 4 9 2" xfId="42481"/>
    <cellStyle name="Percent 8 2 5" xfId="42482"/>
    <cellStyle name="Percent 8 2 5 10" xfId="42483"/>
    <cellStyle name="Percent 8 2 5 11" xfId="42484"/>
    <cellStyle name="Percent 8 2 5 2" xfId="42485"/>
    <cellStyle name="Percent 8 2 5 2 2" xfId="42486"/>
    <cellStyle name="Percent 8 2 5 2 2 2" xfId="42487"/>
    <cellStyle name="Percent 8 2 5 2 3" xfId="42488"/>
    <cellStyle name="Percent 8 2 5 2 3 2" xfId="42489"/>
    <cellStyle name="Percent 8 2 5 2 4" xfId="42490"/>
    <cellStyle name="Percent 8 2 5 2 4 2" xfId="42491"/>
    <cellStyle name="Percent 8 2 5 2 5" xfId="42492"/>
    <cellStyle name="Percent 8 2 5 2 6" xfId="42493"/>
    <cellStyle name="Percent 8 2 5 3" xfId="42494"/>
    <cellStyle name="Percent 8 2 5 3 2" xfId="42495"/>
    <cellStyle name="Percent 8 2 5 3 2 2" xfId="42496"/>
    <cellStyle name="Percent 8 2 5 3 3" xfId="42497"/>
    <cellStyle name="Percent 8 2 5 3 3 2" xfId="42498"/>
    <cellStyle name="Percent 8 2 5 3 4" xfId="42499"/>
    <cellStyle name="Percent 8 2 5 3 4 2" xfId="42500"/>
    <cellStyle name="Percent 8 2 5 3 5" xfId="42501"/>
    <cellStyle name="Percent 8 2 5 3 6" xfId="42502"/>
    <cellStyle name="Percent 8 2 5 4" xfId="42503"/>
    <cellStyle name="Percent 8 2 5 4 2" xfId="42504"/>
    <cellStyle name="Percent 8 2 5 4 2 2" xfId="42505"/>
    <cellStyle name="Percent 8 2 5 4 3" xfId="42506"/>
    <cellStyle name="Percent 8 2 5 4 3 2" xfId="42507"/>
    <cellStyle name="Percent 8 2 5 4 4" xfId="42508"/>
    <cellStyle name="Percent 8 2 5 4 4 2" xfId="42509"/>
    <cellStyle name="Percent 8 2 5 4 5" xfId="42510"/>
    <cellStyle name="Percent 8 2 5 4 6" xfId="42511"/>
    <cellStyle name="Percent 8 2 5 5" xfId="42512"/>
    <cellStyle name="Percent 8 2 5 5 2" xfId="42513"/>
    <cellStyle name="Percent 8 2 5 5 2 2" xfId="42514"/>
    <cellStyle name="Percent 8 2 5 5 3" xfId="42515"/>
    <cellStyle name="Percent 8 2 5 5 3 2" xfId="42516"/>
    <cellStyle name="Percent 8 2 5 5 4" xfId="42517"/>
    <cellStyle name="Percent 8 2 5 5 4 2" xfId="42518"/>
    <cellStyle name="Percent 8 2 5 5 5" xfId="42519"/>
    <cellStyle name="Percent 8 2 5 5 6" xfId="42520"/>
    <cellStyle name="Percent 8 2 5 6" xfId="42521"/>
    <cellStyle name="Percent 8 2 5 6 2" xfId="42522"/>
    <cellStyle name="Percent 8 2 5 6 2 2" xfId="42523"/>
    <cellStyle name="Percent 8 2 5 6 3" xfId="42524"/>
    <cellStyle name="Percent 8 2 5 6 3 2" xfId="42525"/>
    <cellStyle name="Percent 8 2 5 6 4" xfId="42526"/>
    <cellStyle name="Percent 8 2 5 6 5" xfId="42527"/>
    <cellStyle name="Percent 8 2 5 7" xfId="42528"/>
    <cellStyle name="Percent 8 2 5 7 2" xfId="42529"/>
    <cellStyle name="Percent 8 2 5 8" xfId="42530"/>
    <cellStyle name="Percent 8 2 5 8 2" xfId="42531"/>
    <cellStyle name="Percent 8 2 5 9" xfId="42532"/>
    <cellStyle name="Percent 8 2 5 9 2" xfId="42533"/>
    <cellStyle name="Percent 8 2 6" xfId="42534"/>
    <cellStyle name="Percent 8 2 6 10" xfId="42535"/>
    <cellStyle name="Percent 8 2 6 2" xfId="42536"/>
    <cellStyle name="Percent 8 2 6 2 2" xfId="42537"/>
    <cellStyle name="Percent 8 2 6 2 2 2" xfId="42538"/>
    <cellStyle name="Percent 8 2 6 2 3" xfId="42539"/>
    <cellStyle name="Percent 8 2 6 2 3 2" xfId="42540"/>
    <cellStyle name="Percent 8 2 6 2 4" xfId="42541"/>
    <cellStyle name="Percent 8 2 6 2 4 2" xfId="42542"/>
    <cellStyle name="Percent 8 2 6 2 5" xfId="42543"/>
    <cellStyle name="Percent 8 2 6 2 6" xfId="42544"/>
    <cellStyle name="Percent 8 2 6 3" xfId="42545"/>
    <cellStyle name="Percent 8 2 6 3 2" xfId="42546"/>
    <cellStyle name="Percent 8 2 6 3 2 2" xfId="42547"/>
    <cellStyle name="Percent 8 2 6 3 3" xfId="42548"/>
    <cellStyle name="Percent 8 2 6 3 3 2" xfId="42549"/>
    <cellStyle name="Percent 8 2 6 3 4" xfId="42550"/>
    <cellStyle name="Percent 8 2 6 3 4 2" xfId="42551"/>
    <cellStyle name="Percent 8 2 6 3 5" xfId="42552"/>
    <cellStyle name="Percent 8 2 6 3 6" xfId="42553"/>
    <cellStyle name="Percent 8 2 6 4" xfId="42554"/>
    <cellStyle name="Percent 8 2 6 4 2" xfId="42555"/>
    <cellStyle name="Percent 8 2 6 4 2 2" xfId="42556"/>
    <cellStyle name="Percent 8 2 6 4 3" xfId="42557"/>
    <cellStyle name="Percent 8 2 6 4 3 2" xfId="42558"/>
    <cellStyle name="Percent 8 2 6 4 4" xfId="42559"/>
    <cellStyle name="Percent 8 2 6 4 4 2" xfId="42560"/>
    <cellStyle name="Percent 8 2 6 4 5" xfId="42561"/>
    <cellStyle name="Percent 8 2 6 4 6" xfId="42562"/>
    <cellStyle name="Percent 8 2 6 5" xfId="42563"/>
    <cellStyle name="Percent 8 2 6 5 2" xfId="42564"/>
    <cellStyle name="Percent 8 2 6 5 2 2" xfId="42565"/>
    <cellStyle name="Percent 8 2 6 5 3" xfId="42566"/>
    <cellStyle name="Percent 8 2 6 5 3 2" xfId="42567"/>
    <cellStyle name="Percent 8 2 6 5 4" xfId="42568"/>
    <cellStyle name="Percent 8 2 6 5 5" xfId="42569"/>
    <cellStyle name="Percent 8 2 6 6" xfId="42570"/>
    <cellStyle name="Percent 8 2 6 6 2" xfId="42571"/>
    <cellStyle name="Percent 8 2 6 7" xfId="42572"/>
    <cellStyle name="Percent 8 2 6 7 2" xfId="42573"/>
    <cellStyle name="Percent 8 2 6 8" xfId="42574"/>
    <cellStyle name="Percent 8 2 6 8 2" xfId="42575"/>
    <cellStyle name="Percent 8 2 6 9" xfId="42576"/>
    <cellStyle name="Percent 8 2 7" xfId="42577"/>
    <cellStyle name="Percent 8 2 7 10" xfId="42578"/>
    <cellStyle name="Percent 8 2 7 2" xfId="42579"/>
    <cellStyle name="Percent 8 2 7 2 2" xfId="42580"/>
    <cellStyle name="Percent 8 2 7 2 2 2" xfId="42581"/>
    <cellStyle name="Percent 8 2 7 2 3" xfId="42582"/>
    <cellStyle name="Percent 8 2 7 2 3 2" xfId="42583"/>
    <cellStyle name="Percent 8 2 7 2 4" xfId="42584"/>
    <cellStyle name="Percent 8 2 7 2 4 2" xfId="42585"/>
    <cellStyle name="Percent 8 2 7 2 5" xfId="42586"/>
    <cellStyle name="Percent 8 2 7 2 6" xfId="42587"/>
    <cellStyle name="Percent 8 2 7 3" xfId="42588"/>
    <cellStyle name="Percent 8 2 7 3 2" xfId="42589"/>
    <cellStyle name="Percent 8 2 7 3 2 2" xfId="42590"/>
    <cellStyle name="Percent 8 2 7 3 3" xfId="42591"/>
    <cellStyle name="Percent 8 2 7 3 3 2" xfId="42592"/>
    <cellStyle name="Percent 8 2 7 3 4" xfId="42593"/>
    <cellStyle name="Percent 8 2 7 3 4 2" xfId="42594"/>
    <cellStyle name="Percent 8 2 7 3 5" xfId="42595"/>
    <cellStyle name="Percent 8 2 7 3 6" xfId="42596"/>
    <cellStyle name="Percent 8 2 7 4" xfId="42597"/>
    <cellStyle name="Percent 8 2 7 4 2" xfId="42598"/>
    <cellStyle name="Percent 8 2 7 4 2 2" xfId="42599"/>
    <cellStyle name="Percent 8 2 7 4 3" xfId="42600"/>
    <cellStyle name="Percent 8 2 7 4 3 2" xfId="42601"/>
    <cellStyle name="Percent 8 2 7 4 4" xfId="42602"/>
    <cellStyle name="Percent 8 2 7 4 4 2" xfId="42603"/>
    <cellStyle name="Percent 8 2 7 4 5" xfId="42604"/>
    <cellStyle name="Percent 8 2 7 4 6" xfId="42605"/>
    <cellStyle name="Percent 8 2 7 5" xfId="42606"/>
    <cellStyle name="Percent 8 2 7 5 2" xfId="42607"/>
    <cellStyle name="Percent 8 2 7 5 2 2" xfId="42608"/>
    <cellStyle name="Percent 8 2 7 5 3" xfId="42609"/>
    <cellStyle name="Percent 8 2 7 5 3 2" xfId="42610"/>
    <cellStyle name="Percent 8 2 7 5 4" xfId="42611"/>
    <cellStyle name="Percent 8 2 7 5 5" xfId="42612"/>
    <cellStyle name="Percent 8 2 7 6" xfId="42613"/>
    <cellStyle name="Percent 8 2 7 6 2" xfId="42614"/>
    <cellStyle name="Percent 8 2 7 7" xfId="42615"/>
    <cellStyle name="Percent 8 2 7 7 2" xfId="42616"/>
    <cellStyle name="Percent 8 2 7 8" xfId="42617"/>
    <cellStyle name="Percent 8 2 7 8 2" xfId="42618"/>
    <cellStyle name="Percent 8 2 7 9" xfId="42619"/>
    <cellStyle name="Percent 8 2 8" xfId="42620"/>
    <cellStyle name="Percent 8 2 8 2" xfId="42621"/>
    <cellStyle name="Percent 8 2 8 2 2" xfId="42622"/>
    <cellStyle name="Percent 8 2 8 3" xfId="42623"/>
    <cellStyle name="Percent 8 2 8 3 2" xfId="42624"/>
    <cellStyle name="Percent 8 2 8 4" xfId="42625"/>
    <cellStyle name="Percent 8 2 8 4 2" xfId="42626"/>
    <cellStyle name="Percent 8 2 8 5" xfId="42627"/>
    <cellStyle name="Percent 8 2 8 6" xfId="42628"/>
    <cellStyle name="Percent 8 2 9" xfId="42629"/>
    <cellStyle name="Percent 8 2 9 2" xfId="42630"/>
    <cellStyle name="Percent 8 2 9 2 2" xfId="42631"/>
    <cellStyle name="Percent 8 2 9 3" xfId="42632"/>
    <cellStyle name="Percent 8 2 9 3 2" xfId="42633"/>
    <cellStyle name="Percent 8 2 9 4" xfId="42634"/>
    <cellStyle name="Percent 8 2 9 4 2" xfId="42635"/>
    <cellStyle name="Percent 8 2 9 5" xfId="42636"/>
    <cellStyle name="Percent 8 2 9 6" xfId="42637"/>
    <cellStyle name="Percent 8 20" xfId="41922"/>
    <cellStyle name="Percent 8 3" xfId="42638"/>
    <cellStyle name="Percent 8 3 10" xfId="42639"/>
    <cellStyle name="Percent 8 3 10 2" xfId="42640"/>
    <cellStyle name="Percent 8 3 10 2 2" xfId="42641"/>
    <cellStyle name="Percent 8 3 10 3" xfId="42642"/>
    <cellStyle name="Percent 8 3 10 3 2" xfId="42643"/>
    <cellStyle name="Percent 8 3 10 4" xfId="42644"/>
    <cellStyle name="Percent 8 3 10 4 2" xfId="42645"/>
    <cellStyle name="Percent 8 3 10 5" xfId="42646"/>
    <cellStyle name="Percent 8 3 10 6" xfId="42647"/>
    <cellStyle name="Percent 8 3 11" xfId="42648"/>
    <cellStyle name="Percent 8 3 11 2" xfId="42649"/>
    <cellStyle name="Percent 8 3 11 2 2" xfId="42650"/>
    <cellStyle name="Percent 8 3 11 3" xfId="42651"/>
    <cellStyle name="Percent 8 3 11 3 2" xfId="42652"/>
    <cellStyle name="Percent 8 3 11 4" xfId="42653"/>
    <cellStyle name="Percent 8 3 11 5" xfId="42654"/>
    <cellStyle name="Percent 8 3 12" xfId="42655"/>
    <cellStyle name="Percent 8 3 12 2" xfId="42656"/>
    <cellStyle name="Percent 8 3 13" xfId="42657"/>
    <cellStyle name="Percent 8 3 13 2" xfId="42658"/>
    <cellStyle name="Percent 8 3 14" xfId="42659"/>
    <cellStyle name="Percent 8 3 14 2" xfId="42660"/>
    <cellStyle name="Percent 8 3 15" xfId="42661"/>
    <cellStyle name="Percent 8 3 16" xfId="42662"/>
    <cellStyle name="Percent 8 3 2" xfId="42663"/>
    <cellStyle name="Percent 8 3 2 10" xfId="42664"/>
    <cellStyle name="Percent 8 3 2 10 2" xfId="42665"/>
    <cellStyle name="Percent 8 3 2 11" xfId="42666"/>
    <cellStyle name="Percent 8 3 2 11 2" xfId="42667"/>
    <cellStyle name="Percent 8 3 2 12" xfId="42668"/>
    <cellStyle name="Percent 8 3 2 13" xfId="42669"/>
    <cellStyle name="Percent 8 3 2 2" xfId="42670"/>
    <cellStyle name="Percent 8 3 2 2 10" xfId="42671"/>
    <cellStyle name="Percent 8 3 2 2 11" xfId="42672"/>
    <cellStyle name="Percent 8 3 2 2 2" xfId="42673"/>
    <cellStyle name="Percent 8 3 2 2 2 2" xfId="42674"/>
    <cellStyle name="Percent 8 3 2 2 2 2 2" xfId="42675"/>
    <cellStyle name="Percent 8 3 2 2 2 3" xfId="42676"/>
    <cellStyle name="Percent 8 3 2 2 2 3 2" xfId="42677"/>
    <cellStyle name="Percent 8 3 2 2 2 4" xfId="42678"/>
    <cellStyle name="Percent 8 3 2 2 2 4 2" xfId="42679"/>
    <cellStyle name="Percent 8 3 2 2 2 5" xfId="42680"/>
    <cellStyle name="Percent 8 3 2 2 2 6" xfId="42681"/>
    <cellStyle name="Percent 8 3 2 2 3" xfId="42682"/>
    <cellStyle name="Percent 8 3 2 2 3 2" xfId="42683"/>
    <cellStyle name="Percent 8 3 2 2 3 2 2" xfId="42684"/>
    <cellStyle name="Percent 8 3 2 2 3 3" xfId="42685"/>
    <cellStyle name="Percent 8 3 2 2 3 3 2" xfId="42686"/>
    <cellStyle name="Percent 8 3 2 2 3 4" xfId="42687"/>
    <cellStyle name="Percent 8 3 2 2 3 4 2" xfId="42688"/>
    <cellStyle name="Percent 8 3 2 2 3 5" xfId="42689"/>
    <cellStyle name="Percent 8 3 2 2 3 6" xfId="42690"/>
    <cellStyle name="Percent 8 3 2 2 4" xfId="42691"/>
    <cellStyle name="Percent 8 3 2 2 4 2" xfId="42692"/>
    <cellStyle name="Percent 8 3 2 2 4 2 2" xfId="42693"/>
    <cellStyle name="Percent 8 3 2 2 4 3" xfId="42694"/>
    <cellStyle name="Percent 8 3 2 2 4 3 2" xfId="42695"/>
    <cellStyle name="Percent 8 3 2 2 4 4" xfId="42696"/>
    <cellStyle name="Percent 8 3 2 2 4 4 2" xfId="42697"/>
    <cellStyle name="Percent 8 3 2 2 4 5" xfId="42698"/>
    <cellStyle name="Percent 8 3 2 2 4 6" xfId="42699"/>
    <cellStyle name="Percent 8 3 2 2 5" xfId="42700"/>
    <cellStyle name="Percent 8 3 2 2 5 2" xfId="42701"/>
    <cellStyle name="Percent 8 3 2 2 5 2 2" xfId="42702"/>
    <cellStyle name="Percent 8 3 2 2 5 3" xfId="42703"/>
    <cellStyle name="Percent 8 3 2 2 5 3 2" xfId="42704"/>
    <cellStyle name="Percent 8 3 2 2 5 4" xfId="42705"/>
    <cellStyle name="Percent 8 3 2 2 5 4 2" xfId="42706"/>
    <cellStyle name="Percent 8 3 2 2 5 5" xfId="42707"/>
    <cellStyle name="Percent 8 3 2 2 5 6" xfId="42708"/>
    <cellStyle name="Percent 8 3 2 2 6" xfId="42709"/>
    <cellStyle name="Percent 8 3 2 2 6 2" xfId="42710"/>
    <cellStyle name="Percent 8 3 2 2 6 2 2" xfId="42711"/>
    <cellStyle name="Percent 8 3 2 2 6 3" xfId="42712"/>
    <cellStyle name="Percent 8 3 2 2 6 3 2" xfId="42713"/>
    <cellStyle name="Percent 8 3 2 2 6 4" xfId="42714"/>
    <cellStyle name="Percent 8 3 2 2 6 5" xfId="42715"/>
    <cellStyle name="Percent 8 3 2 2 7" xfId="42716"/>
    <cellStyle name="Percent 8 3 2 2 7 2" xfId="42717"/>
    <cellStyle name="Percent 8 3 2 2 8" xfId="42718"/>
    <cellStyle name="Percent 8 3 2 2 8 2" xfId="42719"/>
    <cellStyle name="Percent 8 3 2 2 9" xfId="42720"/>
    <cellStyle name="Percent 8 3 2 2 9 2" xfId="42721"/>
    <cellStyle name="Percent 8 3 2 3" xfId="42722"/>
    <cellStyle name="Percent 8 3 2 3 10" xfId="42723"/>
    <cellStyle name="Percent 8 3 2 3 2" xfId="42724"/>
    <cellStyle name="Percent 8 3 2 3 2 2" xfId="42725"/>
    <cellStyle name="Percent 8 3 2 3 2 2 2" xfId="42726"/>
    <cellStyle name="Percent 8 3 2 3 2 3" xfId="42727"/>
    <cellStyle name="Percent 8 3 2 3 2 3 2" xfId="42728"/>
    <cellStyle name="Percent 8 3 2 3 2 4" xfId="42729"/>
    <cellStyle name="Percent 8 3 2 3 2 4 2" xfId="42730"/>
    <cellStyle name="Percent 8 3 2 3 2 5" xfId="42731"/>
    <cellStyle name="Percent 8 3 2 3 2 6" xfId="42732"/>
    <cellStyle name="Percent 8 3 2 3 3" xfId="42733"/>
    <cellStyle name="Percent 8 3 2 3 3 2" xfId="42734"/>
    <cellStyle name="Percent 8 3 2 3 3 2 2" xfId="42735"/>
    <cellStyle name="Percent 8 3 2 3 3 3" xfId="42736"/>
    <cellStyle name="Percent 8 3 2 3 3 3 2" xfId="42737"/>
    <cellStyle name="Percent 8 3 2 3 3 4" xfId="42738"/>
    <cellStyle name="Percent 8 3 2 3 3 4 2" xfId="42739"/>
    <cellStyle name="Percent 8 3 2 3 3 5" xfId="42740"/>
    <cellStyle name="Percent 8 3 2 3 3 6" xfId="42741"/>
    <cellStyle name="Percent 8 3 2 3 4" xfId="42742"/>
    <cellStyle name="Percent 8 3 2 3 4 2" xfId="42743"/>
    <cellStyle name="Percent 8 3 2 3 4 2 2" xfId="42744"/>
    <cellStyle name="Percent 8 3 2 3 4 3" xfId="42745"/>
    <cellStyle name="Percent 8 3 2 3 4 3 2" xfId="42746"/>
    <cellStyle name="Percent 8 3 2 3 4 4" xfId="42747"/>
    <cellStyle name="Percent 8 3 2 3 4 4 2" xfId="42748"/>
    <cellStyle name="Percent 8 3 2 3 4 5" xfId="42749"/>
    <cellStyle name="Percent 8 3 2 3 4 6" xfId="42750"/>
    <cellStyle name="Percent 8 3 2 3 5" xfId="42751"/>
    <cellStyle name="Percent 8 3 2 3 5 2" xfId="42752"/>
    <cellStyle name="Percent 8 3 2 3 5 2 2" xfId="42753"/>
    <cellStyle name="Percent 8 3 2 3 5 3" xfId="42754"/>
    <cellStyle name="Percent 8 3 2 3 5 3 2" xfId="42755"/>
    <cellStyle name="Percent 8 3 2 3 5 4" xfId="42756"/>
    <cellStyle name="Percent 8 3 2 3 5 5" xfId="42757"/>
    <cellStyle name="Percent 8 3 2 3 6" xfId="42758"/>
    <cellStyle name="Percent 8 3 2 3 6 2" xfId="42759"/>
    <cellStyle name="Percent 8 3 2 3 7" xfId="42760"/>
    <cellStyle name="Percent 8 3 2 3 7 2" xfId="42761"/>
    <cellStyle name="Percent 8 3 2 3 8" xfId="42762"/>
    <cellStyle name="Percent 8 3 2 3 8 2" xfId="42763"/>
    <cellStyle name="Percent 8 3 2 3 9" xfId="42764"/>
    <cellStyle name="Percent 8 3 2 4" xfId="42765"/>
    <cellStyle name="Percent 8 3 2 4 10" xfId="42766"/>
    <cellStyle name="Percent 8 3 2 4 2" xfId="42767"/>
    <cellStyle name="Percent 8 3 2 4 2 2" xfId="42768"/>
    <cellStyle name="Percent 8 3 2 4 2 2 2" xfId="42769"/>
    <cellStyle name="Percent 8 3 2 4 2 3" xfId="42770"/>
    <cellStyle name="Percent 8 3 2 4 2 3 2" xfId="42771"/>
    <cellStyle name="Percent 8 3 2 4 2 4" xfId="42772"/>
    <cellStyle name="Percent 8 3 2 4 2 4 2" xfId="42773"/>
    <cellStyle name="Percent 8 3 2 4 2 5" xfId="42774"/>
    <cellStyle name="Percent 8 3 2 4 2 6" xfId="42775"/>
    <cellStyle name="Percent 8 3 2 4 3" xfId="42776"/>
    <cellStyle name="Percent 8 3 2 4 3 2" xfId="42777"/>
    <cellStyle name="Percent 8 3 2 4 3 2 2" xfId="42778"/>
    <cellStyle name="Percent 8 3 2 4 3 3" xfId="42779"/>
    <cellStyle name="Percent 8 3 2 4 3 3 2" xfId="42780"/>
    <cellStyle name="Percent 8 3 2 4 3 4" xfId="42781"/>
    <cellStyle name="Percent 8 3 2 4 3 4 2" xfId="42782"/>
    <cellStyle name="Percent 8 3 2 4 3 5" xfId="42783"/>
    <cellStyle name="Percent 8 3 2 4 3 6" xfId="42784"/>
    <cellStyle name="Percent 8 3 2 4 4" xfId="42785"/>
    <cellStyle name="Percent 8 3 2 4 4 2" xfId="42786"/>
    <cellStyle name="Percent 8 3 2 4 4 2 2" xfId="42787"/>
    <cellStyle name="Percent 8 3 2 4 4 3" xfId="42788"/>
    <cellStyle name="Percent 8 3 2 4 4 3 2" xfId="42789"/>
    <cellStyle name="Percent 8 3 2 4 4 4" xfId="42790"/>
    <cellStyle name="Percent 8 3 2 4 4 4 2" xfId="42791"/>
    <cellStyle name="Percent 8 3 2 4 4 5" xfId="42792"/>
    <cellStyle name="Percent 8 3 2 4 4 6" xfId="42793"/>
    <cellStyle name="Percent 8 3 2 4 5" xfId="42794"/>
    <cellStyle name="Percent 8 3 2 4 5 2" xfId="42795"/>
    <cellStyle name="Percent 8 3 2 4 5 2 2" xfId="42796"/>
    <cellStyle name="Percent 8 3 2 4 5 3" xfId="42797"/>
    <cellStyle name="Percent 8 3 2 4 5 3 2" xfId="42798"/>
    <cellStyle name="Percent 8 3 2 4 5 4" xfId="42799"/>
    <cellStyle name="Percent 8 3 2 4 5 5" xfId="42800"/>
    <cellStyle name="Percent 8 3 2 4 6" xfId="42801"/>
    <cellStyle name="Percent 8 3 2 4 6 2" xfId="42802"/>
    <cellStyle name="Percent 8 3 2 4 7" xfId="42803"/>
    <cellStyle name="Percent 8 3 2 4 7 2" xfId="42804"/>
    <cellStyle name="Percent 8 3 2 4 8" xfId="42805"/>
    <cellStyle name="Percent 8 3 2 4 8 2" xfId="42806"/>
    <cellStyle name="Percent 8 3 2 4 9" xfId="42807"/>
    <cellStyle name="Percent 8 3 2 5" xfId="42808"/>
    <cellStyle name="Percent 8 3 2 5 2" xfId="42809"/>
    <cellStyle name="Percent 8 3 2 5 2 2" xfId="42810"/>
    <cellStyle name="Percent 8 3 2 5 3" xfId="42811"/>
    <cellStyle name="Percent 8 3 2 5 3 2" xfId="42812"/>
    <cellStyle name="Percent 8 3 2 5 4" xfId="42813"/>
    <cellStyle name="Percent 8 3 2 5 4 2" xfId="42814"/>
    <cellStyle name="Percent 8 3 2 5 5" xfId="42815"/>
    <cellStyle name="Percent 8 3 2 5 6" xfId="42816"/>
    <cellStyle name="Percent 8 3 2 6" xfId="42817"/>
    <cellStyle name="Percent 8 3 2 6 2" xfId="42818"/>
    <cellStyle name="Percent 8 3 2 6 2 2" xfId="42819"/>
    <cellStyle name="Percent 8 3 2 6 3" xfId="42820"/>
    <cellStyle name="Percent 8 3 2 6 3 2" xfId="42821"/>
    <cellStyle name="Percent 8 3 2 6 4" xfId="42822"/>
    <cellStyle name="Percent 8 3 2 6 4 2" xfId="42823"/>
    <cellStyle name="Percent 8 3 2 6 5" xfId="42824"/>
    <cellStyle name="Percent 8 3 2 6 6" xfId="42825"/>
    <cellStyle name="Percent 8 3 2 7" xfId="42826"/>
    <cellStyle name="Percent 8 3 2 7 2" xfId="42827"/>
    <cellStyle name="Percent 8 3 2 7 2 2" xfId="42828"/>
    <cellStyle name="Percent 8 3 2 7 3" xfId="42829"/>
    <cellStyle name="Percent 8 3 2 7 3 2" xfId="42830"/>
    <cellStyle name="Percent 8 3 2 7 4" xfId="42831"/>
    <cellStyle name="Percent 8 3 2 7 4 2" xfId="42832"/>
    <cellStyle name="Percent 8 3 2 7 5" xfId="42833"/>
    <cellStyle name="Percent 8 3 2 7 6" xfId="42834"/>
    <cellStyle name="Percent 8 3 2 8" xfId="42835"/>
    <cellStyle name="Percent 8 3 2 8 2" xfId="42836"/>
    <cellStyle name="Percent 8 3 2 8 2 2" xfId="42837"/>
    <cellStyle name="Percent 8 3 2 8 3" xfId="42838"/>
    <cellStyle name="Percent 8 3 2 8 3 2" xfId="42839"/>
    <cellStyle name="Percent 8 3 2 8 4" xfId="42840"/>
    <cellStyle name="Percent 8 3 2 8 5" xfId="42841"/>
    <cellStyle name="Percent 8 3 2 9" xfId="42842"/>
    <cellStyle name="Percent 8 3 2 9 2" xfId="42843"/>
    <cellStyle name="Percent 8 3 3" xfId="42844"/>
    <cellStyle name="Percent 8 3 3 10" xfId="42845"/>
    <cellStyle name="Percent 8 3 3 10 2" xfId="42846"/>
    <cellStyle name="Percent 8 3 3 11" xfId="42847"/>
    <cellStyle name="Percent 8 3 3 11 2" xfId="42848"/>
    <cellStyle name="Percent 8 3 3 12" xfId="42849"/>
    <cellStyle name="Percent 8 3 3 13" xfId="42850"/>
    <cellStyle name="Percent 8 3 3 2" xfId="42851"/>
    <cellStyle name="Percent 8 3 3 2 10" xfId="42852"/>
    <cellStyle name="Percent 8 3 3 2 11" xfId="42853"/>
    <cellStyle name="Percent 8 3 3 2 2" xfId="42854"/>
    <cellStyle name="Percent 8 3 3 2 2 2" xfId="42855"/>
    <cellStyle name="Percent 8 3 3 2 2 2 2" xfId="42856"/>
    <cellStyle name="Percent 8 3 3 2 2 3" xfId="42857"/>
    <cellStyle name="Percent 8 3 3 2 2 3 2" xfId="42858"/>
    <cellStyle name="Percent 8 3 3 2 2 4" xfId="42859"/>
    <cellStyle name="Percent 8 3 3 2 2 4 2" xfId="42860"/>
    <cellStyle name="Percent 8 3 3 2 2 5" xfId="42861"/>
    <cellStyle name="Percent 8 3 3 2 2 6" xfId="42862"/>
    <cellStyle name="Percent 8 3 3 2 3" xfId="42863"/>
    <cellStyle name="Percent 8 3 3 2 3 2" xfId="42864"/>
    <cellStyle name="Percent 8 3 3 2 3 2 2" xfId="42865"/>
    <cellStyle name="Percent 8 3 3 2 3 3" xfId="42866"/>
    <cellStyle name="Percent 8 3 3 2 3 3 2" xfId="42867"/>
    <cellStyle name="Percent 8 3 3 2 3 4" xfId="42868"/>
    <cellStyle name="Percent 8 3 3 2 3 4 2" xfId="42869"/>
    <cellStyle name="Percent 8 3 3 2 3 5" xfId="42870"/>
    <cellStyle name="Percent 8 3 3 2 3 6" xfId="42871"/>
    <cellStyle name="Percent 8 3 3 2 4" xfId="42872"/>
    <cellStyle name="Percent 8 3 3 2 4 2" xfId="42873"/>
    <cellStyle name="Percent 8 3 3 2 4 2 2" xfId="42874"/>
    <cellStyle name="Percent 8 3 3 2 4 3" xfId="42875"/>
    <cellStyle name="Percent 8 3 3 2 4 3 2" xfId="42876"/>
    <cellStyle name="Percent 8 3 3 2 4 4" xfId="42877"/>
    <cellStyle name="Percent 8 3 3 2 4 4 2" xfId="42878"/>
    <cellStyle name="Percent 8 3 3 2 4 5" xfId="42879"/>
    <cellStyle name="Percent 8 3 3 2 4 6" xfId="42880"/>
    <cellStyle name="Percent 8 3 3 2 5" xfId="42881"/>
    <cellStyle name="Percent 8 3 3 2 5 2" xfId="42882"/>
    <cellStyle name="Percent 8 3 3 2 5 2 2" xfId="42883"/>
    <cellStyle name="Percent 8 3 3 2 5 3" xfId="42884"/>
    <cellStyle name="Percent 8 3 3 2 5 3 2" xfId="42885"/>
    <cellStyle name="Percent 8 3 3 2 5 4" xfId="42886"/>
    <cellStyle name="Percent 8 3 3 2 5 4 2" xfId="42887"/>
    <cellStyle name="Percent 8 3 3 2 5 5" xfId="42888"/>
    <cellStyle name="Percent 8 3 3 2 5 6" xfId="42889"/>
    <cellStyle name="Percent 8 3 3 2 6" xfId="42890"/>
    <cellStyle name="Percent 8 3 3 2 6 2" xfId="42891"/>
    <cellStyle name="Percent 8 3 3 2 6 2 2" xfId="42892"/>
    <cellStyle name="Percent 8 3 3 2 6 3" xfId="42893"/>
    <cellStyle name="Percent 8 3 3 2 6 3 2" xfId="42894"/>
    <cellStyle name="Percent 8 3 3 2 6 4" xfId="42895"/>
    <cellStyle name="Percent 8 3 3 2 6 5" xfId="42896"/>
    <cellStyle name="Percent 8 3 3 2 7" xfId="42897"/>
    <cellStyle name="Percent 8 3 3 2 7 2" xfId="42898"/>
    <cellStyle name="Percent 8 3 3 2 8" xfId="42899"/>
    <cellStyle name="Percent 8 3 3 2 8 2" xfId="42900"/>
    <cellStyle name="Percent 8 3 3 2 9" xfId="42901"/>
    <cellStyle name="Percent 8 3 3 2 9 2" xfId="42902"/>
    <cellStyle name="Percent 8 3 3 3" xfId="42903"/>
    <cellStyle name="Percent 8 3 3 3 10" xfId="42904"/>
    <cellStyle name="Percent 8 3 3 3 2" xfId="42905"/>
    <cellStyle name="Percent 8 3 3 3 2 2" xfId="42906"/>
    <cellStyle name="Percent 8 3 3 3 2 2 2" xfId="42907"/>
    <cellStyle name="Percent 8 3 3 3 2 3" xfId="42908"/>
    <cellStyle name="Percent 8 3 3 3 2 3 2" xfId="42909"/>
    <cellStyle name="Percent 8 3 3 3 2 4" xfId="42910"/>
    <cellStyle name="Percent 8 3 3 3 2 4 2" xfId="42911"/>
    <cellStyle name="Percent 8 3 3 3 2 5" xfId="42912"/>
    <cellStyle name="Percent 8 3 3 3 2 6" xfId="42913"/>
    <cellStyle name="Percent 8 3 3 3 3" xfId="42914"/>
    <cellStyle name="Percent 8 3 3 3 3 2" xfId="42915"/>
    <cellStyle name="Percent 8 3 3 3 3 2 2" xfId="42916"/>
    <cellStyle name="Percent 8 3 3 3 3 3" xfId="42917"/>
    <cellStyle name="Percent 8 3 3 3 3 3 2" xfId="42918"/>
    <cellStyle name="Percent 8 3 3 3 3 4" xfId="42919"/>
    <cellStyle name="Percent 8 3 3 3 3 4 2" xfId="42920"/>
    <cellStyle name="Percent 8 3 3 3 3 5" xfId="42921"/>
    <cellStyle name="Percent 8 3 3 3 3 6" xfId="42922"/>
    <cellStyle name="Percent 8 3 3 3 4" xfId="42923"/>
    <cellStyle name="Percent 8 3 3 3 4 2" xfId="42924"/>
    <cellStyle name="Percent 8 3 3 3 4 2 2" xfId="42925"/>
    <cellStyle name="Percent 8 3 3 3 4 3" xfId="42926"/>
    <cellStyle name="Percent 8 3 3 3 4 3 2" xfId="42927"/>
    <cellStyle name="Percent 8 3 3 3 4 4" xfId="42928"/>
    <cellStyle name="Percent 8 3 3 3 4 4 2" xfId="42929"/>
    <cellStyle name="Percent 8 3 3 3 4 5" xfId="42930"/>
    <cellStyle name="Percent 8 3 3 3 4 6" xfId="42931"/>
    <cellStyle name="Percent 8 3 3 3 5" xfId="42932"/>
    <cellStyle name="Percent 8 3 3 3 5 2" xfId="42933"/>
    <cellStyle name="Percent 8 3 3 3 5 2 2" xfId="42934"/>
    <cellStyle name="Percent 8 3 3 3 5 3" xfId="42935"/>
    <cellStyle name="Percent 8 3 3 3 5 3 2" xfId="42936"/>
    <cellStyle name="Percent 8 3 3 3 5 4" xfId="42937"/>
    <cellStyle name="Percent 8 3 3 3 5 5" xfId="42938"/>
    <cellStyle name="Percent 8 3 3 3 6" xfId="42939"/>
    <cellStyle name="Percent 8 3 3 3 6 2" xfId="42940"/>
    <cellStyle name="Percent 8 3 3 3 7" xfId="42941"/>
    <cellStyle name="Percent 8 3 3 3 7 2" xfId="42942"/>
    <cellStyle name="Percent 8 3 3 3 8" xfId="42943"/>
    <cellStyle name="Percent 8 3 3 3 8 2" xfId="42944"/>
    <cellStyle name="Percent 8 3 3 3 9" xfId="42945"/>
    <cellStyle name="Percent 8 3 3 4" xfId="42946"/>
    <cellStyle name="Percent 8 3 3 4 10" xfId="42947"/>
    <cellStyle name="Percent 8 3 3 4 2" xfId="42948"/>
    <cellStyle name="Percent 8 3 3 4 2 2" xfId="42949"/>
    <cellStyle name="Percent 8 3 3 4 2 2 2" xfId="42950"/>
    <cellStyle name="Percent 8 3 3 4 2 3" xfId="42951"/>
    <cellStyle name="Percent 8 3 3 4 2 3 2" xfId="42952"/>
    <cellStyle name="Percent 8 3 3 4 2 4" xfId="42953"/>
    <cellStyle name="Percent 8 3 3 4 2 4 2" xfId="42954"/>
    <cellStyle name="Percent 8 3 3 4 2 5" xfId="42955"/>
    <cellStyle name="Percent 8 3 3 4 2 6" xfId="42956"/>
    <cellStyle name="Percent 8 3 3 4 3" xfId="42957"/>
    <cellStyle name="Percent 8 3 3 4 3 2" xfId="42958"/>
    <cellStyle name="Percent 8 3 3 4 3 2 2" xfId="42959"/>
    <cellStyle name="Percent 8 3 3 4 3 3" xfId="42960"/>
    <cellStyle name="Percent 8 3 3 4 3 3 2" xfId="42961"/>
    <cellStyle name="Percent 8 3 3 4 3 4" xfId="42962"/>
    <cellStyle name="Percent 8 3 3 4 3 4 2" xfId="42963"/>
    <cellStyle name="Percent 8 3 3 4 3 5" xfId="42964"/>
    <cellStyle name="Percent 8 3 3 4 3 6" xfId="42965"/>
    <cellStyle name="Percent 8 3 3 4 4" xfId="42966"/>
    <cellStyle name="Percent 8 3 3 4 4 2" xfId="42967"/>
    <cellStyle name="Percent 8 3 3 4 4 2 2" xfId="42968"/>
    <cellStyle name="Percent 8 3 3 4 4 3" xfId="42969"/>
    <cellStyle name="Percent 8 3 3 4 4 3 2" xfId="42970"/>
    <cellStyle name="Percent 8 3 3 4 4 4" xfId="42971"/>
    <cellStyle name="Percent 8 3 3 4 4 4 2" xfId="42972"/>
    <cellStyle name="Percent 8 3 3 4 4 5" xfId="42973"/>
    <cellStyle name="Percent 8 3 3 4 4 6" xfId="42974"/>
    <cellStyle name="Percent 8 3 3 4 5" xfId="42975"/>
    <cellStyle name="Percent 8 3 3 4 5 2" xfId="42976"/>
    <cellStyle name="Percent 8 3 3 4 5 2 2" xfId="42977"/>
    <cellStyle name="Percent 8 3 3 4 5 3" xfId="42978"/>
    <cellStyle name="Percent 8 3 3 4 5 3 2" xfId="42979"/>
    <cellStyle name="Percent 8 3 3 4 5 4" xfId="42980"/>
    <cellStyle name="Percent 8 3 3 4 5 5" xfId="42981"/>
    <cellStyle name="Percent 8 3 3 4 6" xfId="42982"/>
    <cellStyle name="Percent 8 3 3 4 6 2" xfId="42983"/>
    <cellStyle name="Percent 8 3 3 4 7" xfId="42984"/>
    <cellStyle name="Percent 8 3 3 4 7 2" xfId="42985"/>
    <cellStyle name="Percent 8 3 3 4 8" xfId="42986"/>
    <cellStyle name="Percent 8 3 3 4 8 2" xfId="42987"/>
    <cellStyle name="Percent 8 3 3 4 9" xfId="42988"/>
    <cellStyle name="Percent 8 3 3 5" xfId="42989"/>
    <cellStyle name="Percent 8 3 3 5 2" xfId="42990"/>
    <cellStyle name="Percent 8 3 3 5 2 2" xfId="42991"/>
    <cellStyle name="Percent 8 3 3 5 3" xfId="42992"/>
    <cellStyle name="Percent 8 3 3 5 3 2" xfId="42993"/>
    <cellStyle name="Percent 8 3 3 5 4" xfId="42994"/>
    <cellStyle name="Percent 8 3 3 5 4 2" xfId="42995"/>
    <cellStyle name="Percent 8 3 3 5 5" xfId="42996"/>
    <cellStyle name="Percent 8 3 3 5 6" xfId="42997"/>
    <cellStyle name="Percent 8 3 3 6" xfId="42998"/>
    <cellStyle name="Percent 8 3 3 6 2" xfId="42999"/>
    <cellStyle name="Percent 8 3 3 6 2 2" xfId="43000"/>
    <cellStyle name="Percent 8 3 3 6 3" xfId="43001"/>
    <cellStyle name="Percent 8 3 3 6 3 2" xfId="43002"/>
    <cellStyle name="Percent 8 3 3 6 4" xfId="43003"/>
    <cellStyle name="Percent 8 3 3 6 4 2" xfId="43004"/>
    <cellStyle name="Percent 8 3 3 6 5" xfId="43005"/>
    <cellStyle name="Percent 8 3 3 6 6" xfId="43006"/>
    <cellStyle name="Percent 8 3 3 7" xfId="43007"/>
    <cellStyle name="Percent 8 3 3 7 2" xfId="43008"/>
    <cellStyle name="Percent 8 3 3 7 2 2" xfId="43009"/>
    <cellStyle name="Percent 8 3 3 7 3" xfId="43010"/>
    <cellStyle name="Percent 8 3 3 7 3 2" xfId="43011"/>
    <cellStyle name="Percent 8 3 3 7 4" xfId="43012"/>
    <cellStyle name="Percent 8 3 3 7 4 2" xfId="43013"/>
    <cellStyle name="Percent 8 3 3 7 5" xfId="43014"/>
    <cellStyle name="Percent 8 3 3 7 6" xfId="43015"/>
    <cellStyle name="Percent 8 3 3 8" xfId="43016"/>
    <cellStyle name="Percent 8 3 3 8 2" xfId="43017"/>
    <cellStyle name="Percent 8 3 3 8 2 2" xfId="43018"/>
    <cellStyle name="Percent 8 3 3 8 3" xfId="43019"/>
    <cellStyle name="Percent 8 3 3 8 3 2" xfId="43020"/>
    <cellStyle name="Percent 8 3 3 8 4" xfId="43021"/>
    <cellStyle name="Percent 8 3 3 8 5" xfId="43022"/>
    <cellStyle name="Percent 8 3 3 9" xfId="43023"/>
    <cellStyle name="Percent 8 3 3 9 2" xfId="43024"/>
    <cellStyle name="Percent 8 3 4" xfId="43025"/>
    <cellStyle name="Percent 8 3 4 10" xfId="43026"/>
    <cellStyle name="Percent 8 3 4 10 2" xfId="43027"/>
    <cellStyle name="Percent 8 3 4 11" xfId="43028"/>
    <cellStyle name="Percent 8 3 4 12" xfId="43029"/>
    <cellStyle name="Percent 8 3 4 2" xfId="43030"/>
    <cellStyle name="Percent 8 3 4 2 10" xfId="43031"/>
    <cellStyle name="Percent 8 3 4 2 2" xfId="43032"/>
    <cellStyle name="Percent 8 3 4 2 2 2" xfId="43033"/>
    <cellStyle name="Percent 8 3 4 2 2 2 2" xfId="43034"/>
    <cellStyle name="Percent 8 3 4 2 2 3" xfId="43035"/>
    <cellStyle name="Percent 8 3 4 2 2 3 2" xfId="43036"/>
    <cellStyle name="Percent 8 3 4 2 2 4" xfId="43037"/>
    <cellStyle name="Percent 8 3 4 2 2 4 2" xfId="43038"/>
    <cellStyle name="Percent 8 3 4 2 2 5" xfId="43039"/>
    <cellStyle name="Percent 8 3 4 2 2 6" xfId="43040"/>
    <cellStyle name="Percent 8 3 4 2 3" xfId="43041"/>
    <cellStyle name="Percent 8 3 4 2 3 2" xfId="43042"/>
    <cellStyle name="Percent 8 3 4 2 3 2 2" xfId="43043"/>
    <cellStyle name="Percent 8 3 4 2 3 3" xfId="43044"/>
    <cellStyle name="Percent 8 3 4 2 3 3 2" xfId="43045"/>
    <cellStyle name="Percent 8 3 4 2 3 4" xfId="43046"/>
    <cellStyle name="Percent 8 3 4 2 3 4 2" xfId="43047"/>
    <cellStyle name="Percent 8 3 4 2 3 5" xfId="43048"/>
    <cellStyle name="Percent 8 3 4 2 3 6" xfId="43049"/>
    <cellStyle name="Percent 8 3 4 2 4" xfId="43050"/>
    <cellStyle name="Percent 8 3 4 2 4 2" xfId="43051"/>
    <cellStyle name="Percent 8 3 4 2 4 2 2" xfId="43052"/>
    <cellStyle name="Percent 8 3 4 2 4 3" xfId="43053"/>
    <cellStyle name="Percent 8 3 4 2 4 3 2" xfId="43054"/>
    <cellStyle name="Percent 8 3 4 2 4 4" xfId="43055"/>
    <cellStyle name="Percent 8 3 4 2 4 4 2" xfId="43056"/>
    <cellStyle name="Percent 8 3 4 2 4 5" xfId="43057"/>
    <cellStyle name="Percent 8 3 4 2 4 6" xfId="43058"/>
    <cellStyle name="Percent 8 3 4 2 5" xfId="43059"/>
    <cellStyle name="Percent 8 3 4 2 5 2" xfId="43060"/>
    <cellStyle name="Percent 8 3 4 2 5 2 2" xfId="43061"/>
    <cellStyle name="Percent 8 3 4 2 5 3" xfId="43062"/>
    <cellStyle name="Percent 8 3 4 2 5 3 2" xfId="43063"/>
    <cellStyle name="Percent 8 3 4 2 5 4" xfId="43064"/>
    <cellStyle name="Percent 8 3 4 2 5 5" xfId="43065"/>
    <cellStyle name="Percent 8 3 4 2 6" xfId="43066"/>
    <cellStyle name="Percent 8 3 4 2 6 2" xfId="43067"/>
    <cellStyle name="Percent 8 3 4 2 7" xfId="43068"/>
    <cellStyle name="Percent 8 3 4 2 7 2" xfId="43069"/>
    <cellStyle name="Percent 8 3 4 2 8" xfId="43070"/>
    <cellStyle name="Percent 8 3 4 2 8 2" xfId="43071"/>
    <cellStyle name="Percent 8 3 4 2 9" xfId="43072"/>
    <cellStyle name="Percent 8 3 4 3" xfId="43073"/>
    <cellStyle name="Percent 8 3 4 3 10" xfId="43074"/>
    <cellStyle name="Percent 8 3 4 3 2" xfId="43075"/>
    <cellStyle name="Percent 8 3 4 3 2 2" xfId="43076"/>
    <cellStyle name="Percent 8 3 4 3 2 2 2" xfId="43077"/>
    <cellStyle name="Percent 8 3 4 3 2 3" xfId="43078"/>
    <cellStyle name="Percent 8 3 4 3 2 3 2" xfId="43079"/>
    <cellStyle name="Percent 8 3 4 3 2 4" xfId="43080"/>
    <cellStyle name="Percent 8 3 4 3 2 4 2" xfId="43081"/>
    <cellStyle name="Percent 8 3 4 3 2 5" xfId="43082"/>
    <cellStyle name="Percent 8 3 4 3 2 6" xfId="43083"/>
    <cellStyle name="Percent 8 3 4 3 3" xfId="43084"/>
    <cellStyle name="Percent 8 3 4 3 3 2" xfId="43085"/>
    <cellStyle name="Percent 8 3 4 3 3 2 2" xfId="43086"/>
    <cellStyle name="Percent 8 3 4 3 3 3" xfId="43087"/>
    <cellStyle name="Percent 8 3 4 3 3 3 2" xfId="43088"/>
    <cellStyle name="Percent 8 3 4 3 3 4" xfId="43089"/>
    <cellStyle name="Percent 8 3 4 3 3 4 2" xfId="43090"/>
    <cellStyle name="Percent 8 3 4 3 3 5" xfId="43091"/>
    <cellStyle name="Percent 8 3 4 3 3 6" xfId="43092"/>
    <cellStyle name="Percent 8 3 4 3 4" xfId="43093"/>
    <cellStyle name="Percent 8 3 4 3 4 2" xfId="43094"/>
    <cellStyle name="Percent 8 3 4 3 4 2 2" xfId="43095"/>
    <cellStyle name="Percent 8 3 4 3 4 3" xfId="43096"/>
    <cellStyle name="Percent 8 3 4 3 4 3 2" xfId="43097"/>
    <cellStyle name="Percent 8 3 4 3 4 4" xfId="43098"/>
    <cellStyle name="Percent 8 3 4 3 4 4 2" xfId="43099"/>
    <cellStyle name="Percent 8 3 4 3 4 5" xfId="43100"/>
    <cellStyle name="Percent 8 3 4 3 4 6" xfId="43101"/>
    <cellStyle name="Percent 8 3 4 3 5" xfId="43102"/>
    <cellStyle name="Percent 8 3 4 3 5 2" xfId="43103"/>
    <cellStyle name="Percent 8 3 4 3 5 2 2" xfId="43104"/>
    <cellStyle name="Percent 8 3 4 3 5 3" xfId="43105"/>
    <cellStyle name="Percent 8 3 4 3 5 3 2" xfId="43106"/>
    <cellStyle name="Percent 8 3 4 3 5 4" xfId="43107"/>
    <cellStyle name="Percent 8 3 4 3 5 5" xfId="43108"/>
    <cellStyle name="Percent 8 3 4 3 6" xfId="43109"/>
    <cellStyle name="Percent 8 3 4 3 6 2" xfId="43110"/>
    <cellStyle name="Percent 8 3 4 3 7" xfId="43111"/>
    <cellStyle name="Percent 8 3 4 3 7 2" xfId="43112"/>
    <cellStyle name="Percent 8 3 4 3 8" xfId="43113"/>
    <cellStyle name="Percent 8 3 4 3 8 2" xfId="43114"/>
    <cellStyle name="Percent 8 3 4 3 9" xfId="43115"/>
    <cellStyle name="Percent 8 3 4 4" xfId="43116"/>
    <cellStyle name="Percent 8 3 4 4 2" xfId="43117"/>
    <cellStyle name="Percent 8 3 4 4 2 2" xfId="43118"/>
    <cellStyle name="Percent 8 3 4 4 3" xfId="43119"/>
    <cellStyle name="Percent 8 3 4 4 3 2" xfId="43120"/>
    <cellStyle name="Percent 8 3 4 4 4" xfId="43121"/>
    <cellStyle name="Percent 8 3 4 4 4 2" xfId="43122"/>
    <cellStyle name="Percent 8 3 4 4 5" xfId="43123"/>
    <cellStyle name="Percent 8 3 4 4 6" xfId="43124"/>
    <cellStyle name="Percent 8 3 4 5" xfId="43125"/>
    <cellStyle name="Percent 8 3 4 5 2" xfId="43126"/>
    <cellStyle name="Percent 8 3 4 5 2 2" xfId="43127"/>
    <cellStyle name="Percent 8 3 4 5 3" xfId="43128"/>
    <cellStyle name="Percent 8 3 4 5 3 2" xfId="43129"/>
    <cellStyle name="Percent 8 3 4 5 4" xfId="43130"/>
    <cellStyle name="Percent 8 3 4 5 4 2" xfId="43131"/>
    <cellStyle name="Percent 8 3 4 5 5" xfId="43132"/>
    <cellStyle name="Percent 8 3 4 5 6" xfId="43133"/>
    <cellStyle name="Percent 8 3 4 6" xfId="43134"/>
    <cellStyle name="Percent 8 3 4 6 2" xfId="43135"/>
    <cellStyle name="Percent 8 3 4 6 2 2" xfId="43136"/>
    <cellStyle name="Percent 8 3 4 6 3" xfId="43137"/>
    <cellStyle name="Percent 8 3 4 6 3 2" xfId="43138"/>
    <cellStyle name="Percent 8 3 4 6 4" xfId="43139"/>
    <cellStyle name="Percent 8 3 4 6 4 2" xfId="43140"/>
    <cellStyle name="Percent 8 3 4 6 5" xfId="43141"/>
    <cellStyle name="Percent 8 3 4 6 6" xfId="43142"/>
    <cellStyle name="Percent 8 3 4 7" xfId="43143"/>
    <cellStyle name="Percent 8 3 4 7 2" xfId="43144"/>
    <cellStyle name="Percent 8 3 4 7 2 2" xfId="43145"/>
    <cellStyle name="Percent 8 3 4 7 3" xfId="43146"/>
    <cellStyle name="Percent 8 3 4 7 3 2" xfId="43147"/>
    <cellStyle name="Percent 8 3 4 7 4" xfId="43148"/>
    <cellStyle name="Percent 8 3 4 7 5" xfId="43149"/>
    <cellStyle name="Percent 8 3 4 8" xfId="43150"/>
    <cellStyle name="Percent 8 3 4 8 2" xfId="43151"/>
    <cellStyle name="Percent 8 3 4 9" xfId="43152"/>
    <cellStyle name="Percent 8 3 4 9 2" xfId="43153"/>
    <cellStyle name="Percent 8 3 5" xfId="43154"/>
    <cellStyle name="Percent 8 3 5 10" xfId="43155"/>
    <cellStyle name="Percent 8 3 5 11" xfId="43156"/>
    <cellStyle name="Percent 8 3 5 2" xfId="43157"/>
    <cellStyle name="Percent 8 3 5 2 2" xfId="43158"/>
    <cellStyle name="Percent 8 3 5 2 2 2" xfId="43159"/>
    <cellStyle name="Percent 8 3 5 2 3" xfId="43160"/>
    <cellStyle name="Percent 8 3 5 2 3 2" xfId="43161"/>
    <cellStyle name="Percent 8 3 5 2 4" xfId="43162"/>
    <cellStyle name="Percent 8 3 5 2 4 2" xfId="43163"/>
    <cellStyle name="Percent 8 3 5 2 5" xfId="43164"/>
    <cellStyle name="Percent 8 3 5 2 6" xfId="43165"/>
    <cellStyle name="Percent 8 3 5 3" xfId="43166"/>
    <cellStyle name="Percent 8 3 5 3 2" xfId="43167"/>
    <cellStyle name="Percent 8 3 5 3 2 2" xfId="43168"/>
    <cellStyle name="Percent 8 3 5 3 3" xfId="43169"/>
    <cellStyle name="Percent 8 3 5 3 3 2" xfId="43170"/>
    <cellStyle name="Percent 8 3 5 3 4" xfId="43171"/>
    <cellStyle name="Percent 8 3 5 3 4 2" xfId="43172"/>
    <cellStyle name="Percent 8 3 5 3 5" xfId="43173"/>
    <cellStyle name="Percent 8 3 5 3 6" xfId="43174"/>
    <cellStyle name="Percent 8 3 5 4" xfId="43175"/>
    <cellStyle name="Percent 8 3 5 4 2" xfId="43176"/>
    <cellStyle name="Percent 8 3 5 4 2 2" xfId="43177"/>
    <cellStyle name="Percent 8 3 5 4 3" xfId="43178"/>
    <cellStyle name="Percent 8 3 5 4 3 2" xfId="43179"/>
    <cellStyle name="Percent 8 3 5 4 4" xfId="43180"/>
    <cellStyle name="Percent 8 3 5 4 4 2" xfId="43181"/>
    <cellStyle name="Percent 8 3 5 4 5" xfId="43182"/>
    <cellStyle name="Percent 8 3 5 4 6" xfId="43183"/>
    <cellStyle name="Percent 8 3 5 5" xfId="43184"/>
    <cellStyle name="Percent 8 3 5 5 2" xfId="43185"/>
    <cellStyle name="Percent 8 3 5 5 2 2" xfId="43186"/>
    <cellStyle name="Percent 8 3 5 5 3" xfId="43187"/>
    <cellStyle name="Percent 8 3 5 5 3 2" xfId="43188"/>
    <cellStyle name="Percent 8 3 5 5 4" xfId="43189"/>
    <cellStyle name="Percent 8 3 5 5 4 2" xfId="43190"/>
    <cellStyle name="Percent 8 3 5 5 5" xfId="43191"/>
    <cellStyle name="Percent 8 3 5 5 6" xfId="43192"/>
    <cellStyle name="Percent 8 3 5 6" xfId="43193"/>
    <cellStyle name="Percent 8 3 5 6 2" xfId="43194"/>
    <cellStyle name="Percent 8 3 5 6 2 2" xfId="43195"/>
    <cellStyle name="Percent 8 3 5 6 3" xfId="43196"/>
    <cellStyle name="Percent 8 3 5 6 3 2" xfId="43197"/>
    <cellStyle name="Percent 8 3 5 6 4" xfId="43198"/>
    <cellStyle name="Percent 8 3 5 6 5" xfId="43199"/>
    <cellStyle name="Percent 8 3 5 7" xfId="43200"/>
    <cellStyle name="Percent 8 3 5 7 2" xfId="43201"/>
    <cellStyle name="Percent 8 3 5 8" xfId="43202"/>
    <cellStyle name="Percent 8 3 5 8 2" xfId="43203"/>
    <cellStyle name="Percent 8 3 5 9" xfId="43204"/>
    <cellStyle name="Percent 8 3 5 9 2" xfId="43205"/>
    <cellStyle name="Percent 8 3 6" xfId="43206"/>
    <cellStyle name="Percent 8 3 6 10" xfId="43207"/>
    <cellStyle name="Percent 8 3 6 2" xfId="43208"/>
    <cellStyle name="Percent 8 3 6 2 2" xfId="43209"/>
    <cellStyle name="Percent 8 3 6 2 2 2" xfId="43210"/>
    <cellStyle name="Percent 8 3 6 2 3" xfId="43211"/>
    <cellStyle name="Percent 8 3 6 2 3 2" xfId="43212"/>
    <cellStyle name="Percent 8 3 6 2 4" xfId="43213"/>
    <cellStyle name="Percent 8 3 6 2 4 2" xfId="43214"/>
    <cellStyle name="Percent 8 3 6 2 5" xfId="43215"/>
    <cellStyle name="Percent 8 3 6 2 6" xfId="43216"/>
    <cellStyle name="Percent 8 3 6 3" xfId="43217"/>
    <cellStyle name="Percent 8 3 6 3 2" xfId="43218"/>
    <cellStyle name="Percent 8 3 6 3 2 2" xfId="43219"/>
    <cellStyle name="Percent 8 3 6 3 3" xfId="43220"/>
    <cellStyle name="Percent 8 3 6 3 3 2" xfId="43221"/>
    <cellStyle name="Percent 8 3 6 3 4" xfId="43222"/>
    <cellStyle name="Percent 8 3 6 3 4 2" xfId="43223"/>
    <cellStyle name="Percent 8 3 6 3 5" xfId="43224"/>
    <cellStyle name="Percent 8 3 6 3 6" xfId="43225"/>
    <cellStyle name="Percent 8 3 6 4" xfId="43226"/>
    <cellStyle name="Percent 8 3 6 4 2" xfId="43227"/>
    <cellStyle name="Percent 8 3 6 4 2 2" xfId="43228"/>
    <cellStyle name="Percent 8 3 6 4 3" xfId="43229"/>
    <cellStyle name="Percent 8 3 6 4 3 2" xfId="43230"/>
    <cellStyle name="Percent 8 3 6 4 4" xfId="43231"/>
    <cellStyle name="Percent 8 3 6 4 4 2" xfId="43232"/>
    <cellStyle name="Percent 8 3 6 4 5" xfId="43233"/>
    <cellStyle name="Percent 8 3 6 4 6" xfId="43234"/>
    <cellStyle name="Percent 8 3 6 5" xfId="43235"/>
    <cellStyle name="Percent 8 3 6 5 2" xfId="43236"/>
    <cellStyle name="Percent 8 3 6 5 2 2" xfId="43237"/>
    <cellStyle name="Percent 8 3 6 5 3" xfId="43238"/>
    <cellStyle name="Percent 8 3 6 5 3 2" xfId="43239"/>
    <cellStyle name="Percent 8 3 6 5 4" xfId="43240"/>
    <cellStyle name="Percent 8 3 6 5 5" xfId="43241"/>
    <cellStyle name="Percent 8 3 6 6" xfId="43242"/>
    <cellStyle name="Percent 8 3 6 6 2" xfId="43243"/>
    <cellStyle name="Percent 8 3 6 7" xfId="43244"/>
    <cellStyle name="Percent 8 3 6 7 2" xfId="43245"/>
    <cellStyle name="Percent 8 3 6 8" xfId="43246"/>
    <cellStyle name="Percent 8 3 6 8 2" xfId="43247"/>
    <cellStyle name="Percent 8 3 6 9" xfId="43248"/>
    <cellStyle name="Percent 8 3 7" xfId="43249"/>
    <cellStyle name="Percent 8 3 7 10" xfId="43250"/>
    <cellStyle name="Percent 8 3 7 2" xfId="43251"/>
    <cellStyle name="Percent 8 3 7 2 2" xfId="43252"/>
    <cellStyle name="Percent 8 3 7 2 2 2" xfId="43253"/>
    <cellStyle name="Percent 8 3 7 2 3" xfId="43254"/>
    <cellStyle name="Percent 8 3 7 2 3 2" xfId="43255"/>
    <cellStyle name="Percent 8 3 7 2 4" xfId="43256"/>
    <cellStyle name="Percent 8 3 7 2 4 2" xfId="43257"/>
    <cellStyle name="Percent 8 3 7 2 5" xfId="43258"/>
    <cellStyle name="Percent 8 3 7 2 6" xfId="43259"/>
    <cellStyle name="Percent 8 3 7 3" xfId="43260"/>
    <cellStyle name="Percent 8 3 7 3 2" xfId="43261"/>
    <cellStyle name="Percent 8 3 7 3 2 2" xfId="43262"/>
    <cellStyle name="Percent 8 3 7 3 3" xfId="43263"/>
    <cellStyle name="Percent 8 3 7 3 3 2" xfId="43264"/>
    <cellStyle name="Percent 8 3 7 3 4" xfId="43265"/>
    <cellStyle name="Percent 8 3 7 3 4 2" xfId="43266"/>
    <cellStyle name="Percent 8 3 7 3 5" xfId="43267"/>
    <cellStyle name="Percent 8 3 7 3 6" xfId="43268"/>
    <cellStyle name="Percent 8 3 7 4" xfId="43269"/>
    <cellStyle name="Percent 8 3 7 4 2" xfId="43270"/>
    <cellStyle name="Percent 8 3 7 4 2 2" xfId="43271"/>
    <cellStyle name="Percent 8 3 7 4 3" xfId="43272"/>
    <cellStyle name="Percent 8 3 7 4 3 2" xfId="43273"/>
    <cellStyle name="Percent 8 3 7 4 4" xfId="43274"/>
    <cellStyle name="Percent 8 3 7 4 4 2" xfId="43275"/>
    <cellStyle name="Percent 8 3 7 4 5" xfId="43276"/>
    <cellStyle name="Percent 8 3 7 4 6" xfId="43277"/>
    <cellStyle name="Percent 8 3 7 5" xfId="43278"/>
    <cellStyle name="Percent 8 3 7 5 2" xfId="43279"/>
    <cellStyle name="Percent 8 3 7 5 2 2" xfId="43280"/>
    <cellStyle name="Percent 8 3 7 5 3" xfId="43281"/>
    <cellStyle name="Percent 8 3 7 5 3 2" xfId="43282"/>
    <cellStyle name="Percent 8 3 7 5 4" xfId="43283"/>
    <cellStyle name="Percent 8 3 7 5 5" xfId="43284"/>
    <cellStyle name="Percent 8 3 7 6" xfId="43285"/>
    <cellStyle name="Percent 8 3 7 6 2" xfId="43286"/>
    <cellStyle name="Percent 8 3 7 7" xfId="43287"/>
    <cellStyle name="Percent 8 3 7 7 2" xfId="43288"/>
    <cellStyle name="Percent 8 3 7 8" xfId="43289"/>
    <cellStyle name="Percent 8 3 7 8 2" xfId="43290"/>
    <cellStyle name="Percent 8 3 7 9" xfId="43291"/>
    <cellStyle name="Percent 8 3 8" xfId="43292"/>
    <cellStyle name="Percent 8 3 8 2" xfId="43293"/>
    <cellStyle name="Percent 8 3 8 2 2" xfId="43294"/>
    <cellStyle name="Percent 8 3 8 3" xfId="43295"/>
    <cellStyle name="Percent 8 3 8 3 2" xfId="43296"/>
    <cellStyle name="Percent 8 3 8 4" xfId="43297"/>
    <cellStyle name="Percent 8 3 8 4 2" xfId="43298"/>
    <cellStyle name="Percent 8 3 8 5" xfId="43299"/>
    <cellStyle name="Percent 8 3 8 6" xfId="43300"/>
    <cellStyle name="Percent 8 3 9" xfId="43301"/>
    <cellStyle name="Percent 8 3 9 2" xfId="43302"/>
    <cellStyle name="Percent 8 3 9 2 2" xfId="43303"/>
    <cellStyle name="Percent 8 3 9 3" xfId="43304"/>
    <cellStyle name="Percent 8 3 9 3 2" xfId="43305"/>
    <cellStyle name="Percent 8 3 9 4" xfId="43306"/>
    <cellStyle name="Percent 8 3 9 4 2" xfId="43307"/>
    <cellStyle name="Percent 8 3 9 5" xfId="43308"/>
    <cellStyle name="Percent 8 3 9 6" xfId="43309"/>
    <cellStyle name="Percent 8 4" xfId="43310"/>
    <cellStyle name="Percent 8 4 10" xfId="43311"/>
    <cellStyle name="Percent 8 4 10 2" xfId="43312"/>
    <cellStyle name="Percent 8 4 11" xfId="43313"/>
    <cellStyle name="Percent 8 4 11 2" xfId="43314"/>
    <cellStyle name="Percent 8 4 12" xfId="43315"/>
    <cellStyle name="Percent 8 4 13" xfId="43316"/>
    <cellStyle name="Percent 8 4 2" xfId="43317"/>
    <cellStyle name="Percent 8 4 2 10" xfId="43318"/>
    <cellStyle name="Percent 8 4 2 11" xfId="43319"/>
    <cellStyle name="Percent 8 4 2 2" xfId="43320"/>
    <cellStyle name="Percent 8 4 2 2 2" xfId="43321"/>
    <cellStyle name="Percent 8 4 2 2 2 2" xfId="43322"/>
    <cellStyle name="Percent 8 4 2 2 3" xfId="43323"/>
    <cellStyle name="Percent 8 4 2 2 3 2" xfId="43324"/>
    <cellStyle name="Percent 8 4 2 2 4" xfId="43325"/>
    <cellStyle name="Percent 8 4 2 2 4 2" xfId="43326"/>
    <cellStyle name="Percent 8 4 2 2 5" xfId="43327"/>
    <cellStyle name="Percent 8 4 2 2 6" xfId="43328"/>
    <cellStyle name="Percent 8 4 2 3" xfId="43329"/>
    <cellStyle name="Percent 8 4 2 3 2" xfId="43330"/>
    <cellStyle name="Percent 8 4 2 3 2 2" xfId="43331"/>
    <cellStyle name="Percent 8 4 2 3 3" xfId="43332"/>
    <cellStyle name="Percent 8 4 2 3 3 2" xfId="43333"/>
    <cellStyle name="Percent 8 4 2 3 4" xfId="43334"/>
    <cellStyle name="Percent 8 4 2 3 4 2" xfId="43335"/>
    <cellStyle name="Percent 8 4 2 3 5" xfId="43336"/>
    <cellStyle name="Percent 8 4 2 3 6" xfId="43337"/>
    <cellStyle name="Percent 8 4 2 4" xfId="43338"/>
    <cellStyle name="Percent 8 4 2 4 2" xfId="43339"/>
    <cellStyle name="Percent 8 4 2 4 2 2" xfId="43340"/>
    <cellStyle name="Percent 8 4 2 4 3" xfId="43341"/>
    <cellStyle name="Percent 8 4 2 4 3 2" xfId="43342"/>
    <cellStyle name="Percent 8 4 2 4 4" xfId="43343"/>
    <cellStyle name="Percent 8 4 2 4 4 2" xfId="43344"/>
    <cellStyle name="Percent 8 4 2 4 5" xfId="43345"/>
    <cellStyle name="Percent 8 4 2 4 6" xfId="43346"/>
    <cellStyle name="Percent 8 4 2 5" xfId="43347"/>
    <cellStyle name="Percent 8 4 2 5 2" xfId="43348"/>
    <cellStyle name="Percent 8 4 2 5 2 2" xfId="43349"/>
    <cellStyle name="Percent 8 4 2 5 3" xfId="43350"/>
    <cellStyle name="Percent 8 4 2 5 3 2" xfId="43351"/>
    <cellStyle name="Percent 8 4 2 5 4" xfId="43352"/>
    <cellStyle name="Percent 8 4 2 5 4 2" xfId="43353"/>
    <cellStyle name="Percent 8 4 2 5 5" xfId="43354"/>
    <cellStyle name="Percent 8 4 2 5 6" xfId="43355"/>
    <cellStyle name="Percent 8 4 2 6" xfId="43356"/>
    <cellStyle name="Percent 8 4 2 6 2" xfId="43357"/>
    <cellStyle name="Percent 8 4 2 6 2 2" xfId="43358"/>
    <cellStyle name="Percent 8 4 2 6 3" xfId="43359"/>
    <cellStyle name="Percent 8 4 2 6 3 2" xfId="43360"/>
    <cellStyle name="Percent 8 4 2 6 4" xfId="43361"/>
    <cellStyle name="Percent 8 4 2 6 5" xfId="43362"/>
    <cellStyle name="Percent 8 4 2 7" xfId="43363"/>
    <cellStyle name="Percent 8 4 2 7 2" xfId="43364"/>
    <cellStyle name="Percent 8 4 2 8" xfId="43365"/>
    <cellStyle name="Percent 8 4 2 8 2" xfId="43366"/>
    <cellStyle name="Percent 8 4 2 9" xfId="43367"/>
    <cellStyle name="Percent 8 4 2 9 2" xfId="43368"/>
    <cellStyle name="Percent 8 4 3" xfId="43369"/>
    <cellStyle name="Percent 8 4 3 10" xfId="43370"/>
    <cellStyle name="Percent 8 4 3 2" xfId="43371"/>
    <cellStyle name="Percent 8 4 3 2 2" xfId="43372"/>
    <cellStyle name="Percent 8 4 3 2 2 2" xfId="43373"/>
    <cellStyle name="Percent 8 4 3 2 3" xfId="43374"/>
    <cellStyle name="Percent 8 4 3 2 3 2" xfId="43375"/>
    <cellStyle name="Percent 8 4 3 2 4" xfId="43376"/>
    <cellStyle name="Percent 8 4 3 2 4 2" xfId="43377"/>
    <cellStyle name="Percent 8 4 3 2 5" xfId="43378"/>
    <cellStyle name="Percent 8 4 3 2 6" xfId="43379"/>
    <cellStyle name="Percent 8 4 3 3" xfId="43380"/>
    <cellStyle name="Percent 8 4 3 3 2" xfId="43381"/>
    <cellStyle name="Percent 8 4 3 3 2 2" xfId="43382"/>
    <cellStyle name="Percent 8 4 3 3 3" xfId="43383"/>
    <cellStyle name="Percent 8 4 3 3 3 2" xfId="43384"/>
    <cellStyle name="Percent 8 4 3 3 4" xfId="43385"/>
    <cellStyle name="Percent 8 4 3 3 4 2" xfId="43386"/>
    <cellStyle name="Percent 8 4 3 3 5" xfId="43387"/>
    <cellStyle name="Percent 8 4 3 3 6" xfId="43388"/>
    <cellStyle name="Percent 8 4 3 4" xfId="43389"/>
    <cellStyle name="Percent 8 4 3 4 2" xfId="43390"/>
    <cellStyle name="Percent 8 4 3 4 2 2" xfId="43391"/>
    <cellStyle name="Percent 8 4 3 4 3" xfId="43392"/>
    <cellStyle name="Percent 8 4 3 4 3 2" xfId="43393"/>
    <cellStyle name="Percent 8 4 3 4 4" xfId="43394"/>
    <cellStyle name="Percent 8 4 3 4 4 2" xfId="43395"/>
    <cellStyle name="Percent 8 4 3 4 5" xfId="43396"/>
    <cellStyle name="Percent 8 4 3 4 6" xfId="43397"/>
    <cellStyle name="Percent 8 4 3 5" xfId="43398"/>
    <cellStyle name="Percent 8 4 3 5 2" xfId="43399"/>
    <cellStyle name="Percent 8 4 3 5 2 2" xfId="43400"/>
    <cellStyle name="Percent 8 4 3 5 3" xfId="43401"/>
    <cellStyle name="Percent 8 4 3 5 3 2" xfId="43402"/>
    <cellStyle name="Percent 8 4 3 5 4" xfId="43403"/>
    <cellStyle name="Percent 8 4 3 5 5" xfId="43404"/>
    <cellStyle name="Percent 8 4 3 6" xfId="43405"/>
    <cellStyle name="Percent 8 4 3 6 2" xfId="43406"/>
    <cellStyle name="Percent 8 4 3 7" xfId="43407"/>
    <cellStyle name="Percent 8 4 3 7 2" xfId="43408"/>
    <cellStyle name="Percent 8 4 3 8" xfId="43409"/>
    <cellStyle name="Percent 8 4 3 8 2" xfId="43410"/>
    <cellStyle name="Percent 8 4 3 9" xfId="43411"/>
    <cellStyle name="Percent 8 4 4" xfId="43412"/>
    <cellStyle name="Percent 8 4 4 10" xfId="43413"/>
    <cellStyle name="Percent 8 4 4 2" xfId="43414"/>
    <cellStyle name="Percent 8 4 4 2 2" xfId="43415"/>
    <cellStyle name="Percent 8 4 4 2 2 2" xfId="43416"/>
    <cellStyle name="Percent 8 4 4 2 3" xfId="43417"/>
    <cellStyle name="Percent 8 4 4 2 3 2" xfId="43418"/>
    <cellStyle name="Percent 8 4 4 2 4" xfId="43419"/>
    <cellStyle name="Percent 8 4 4 2 4 2" xfId="43420"/>
    <cellStyle name="Percent 8 4 4 2 5" xfId="43421"/>
    <cellStyle name="Percent 8 4 4 2 6" xfId="43422"/>
    <cellStyle name="Percent 8 4 4 3" xfId="43423"/>
    <cellStyle name="Percent 8 4 4 3 2" xfId="43424"/>
    <cellStyle name="Percent 8 4 4 3 2 2" xfId="43425"/>
    <cellStyle name="Percent 8 4 4 3 3" xfId="43426"/>
    <cellStyle name="Percent 8 4 4 3 3 2" xfId="43427"/>
    <cellStyle name="Percent 8 4 4 3 4" xfId="43428"/>
    <cellStyle name="Percent 8 4 4 3 4 2" xfId="43429"/>
    <cellStyle name="Percent 8 4 4 3 5" xfId="43430"/>
    <cellStyle name="Percent 8 4 4 3 6" xfId="43431"/>
    <cellStyle name="Percent 8 4 4 4" xfId="43432"/>
    <cellStyle name="Percent 8 4 4 4 2" xfId="43433"/>
    <cellStyle name="Percent 8 4 4 4 2 2" xfId="43434"/>
    <cellStyle name="Percent 8 4 4 4 3" xfId="43435"/>
    <cellStyle name="Percent 8 4 4 4 3 2" xfId="43436"/>
    <cellStyle name="Percent 8 4 4 4 4" xfId="43437"/>
    <cellStyle name="Percent 8 4 4 4 4 2" xfId="43438"/>
    <cellStyle name="Percent 8 4 4 4 5" xfId="43439"/>
    <cellStyle name="Percent 8 4 4 4 6" xfId="43440"/>
    <cellStyle name="Percent 8 4 4 5" xfId="43441"/>
    <cellStyle name="Percent 8 4 4 5 2" xfId="43442"/>
    <cellStyle name="Percent 8 4 4 5 2 2" xfId="43443"/>
    <cellStyle name="Percent 8 4 4 5 3" xfId="43444"/>
    <cellStyle name="Percent 8 4 4 5 3 2" xfId="43445"/>
    <cellStyle name="Percent 8 4 4 5 4" xfId="43446"/>
    <cellStyle name="Percent 8 4 4 5 5" xfId="43447"/>
    <cellStyle name="Percent 8 4 4 6" xfId="43448"/>
    <cellStyle name="Percent 8 4 4 6 2" xfId="43449"/>
    <cellStyle name="Percent 8 4 4 7" xfId="43450"/>
    <cellStyle name="Percent 8 4 4 7 2" xfId="43451"/>
    <cellStyle name="Percent 8 4 4 8" xfId="43452"/>
    <cellStyle name="Percent 8 4 4 8 2" xfId="43453"/>
    <cellStyle name="Percent 8 4 4 9" xfId="43454"/>
    <cellStyle name="Percent 8 4 5" xfId="43455"/>
    <cellStyle name="Percent 8 4 5 2" xfId="43456"/>
    <cellStyle name="Percent 8 4 5 2 2" xfId="43457"/>
    <cellStyle name="Percent 8 4 5 3" xfId="43458"/>
    <cellStyle name="Percent 8 4 5 3 2" xfId="43459"/>
    <cellStyle name="Percent 8 4 5 4" xfId="43460"/>
    <cellStyle name="Percent 8 4 5 4 2" xfId="43461"/>
    <cellStyle name="Percent 8 4 5 5" xfId="43462"/>
    <cellStyle name="Percent 8 4 5 6" xfId="43463"/>
    <cellStyle name="Percent 8 4 6" xfId="43464"/>
    <cellStyle name="Percent 8 4 6 2" xfId="43465"/>
    <cellStyle name="Percent 8 4 6 2 2" xfId="43466"/>
    <cellStyle name="Percent 8 4 6 3" xfId="43467"/>
    <cellStyle name="Percent 8 4 6 3 2" xfId="43468"/>
    <cellStyle name="Percent 8 4 6 4" xfId="43469"/>
    <cellStyle name="Percent 8 4 6 4 2" xfId="43470"/>
    <cellStyle name="Percent 8 4 6 5" xfId="43471"/>
    <cellStyle name="Percent 8 4 6 6" xfId="43472"/>
    <cellStyle name="Percent 8 4 7" xfId="43473"/>
    <cellStyle name="Percent 8 4 7 2" xfId="43474"/>
    <cellStyle name="Percent 8 4 7 2 2" xfId="43475"/>
    <cellStyle name="Percent 8 4 7 3" xfId="43476"/>
    <cellStyle name="Percent 8 4 7 3 2" xfId="43477"/>
    <cellStyle name="Percent 8 4 7 4" xfId="43478"/>
    <cellStyle name="Percent 8 4 7 4 2" xfId="43479"/>
    <cellStyle name="Percent 8 4 7 5" xfId="43480"/>
    <cellStyle name="Percent 8 4 7 6" xfId="43481"/>
    <cellStyle name="Percent 8 4 8" xfId="43482"/>
    <cellStyle name="Percent 8 4 8 2" xfId="43483"/>
    <cellStyle name="Percent 8 4 8 2 2" xfId="43484"/>
    <cellStyle name="Percent 8 4 8 3" xfId="43485"/>
    <cellStyle name="Percent 8 4 8 3 2" xfId="43486"/>
    <cellStyle name="Percent 8 4 8 4" xfId="43487"/>
    <cellStyle name="Percent 8 4 8 5" xfId="43488"/>
    <cellStyle name="Percent 8 4 9" xfId="43489"/>
    <cellStyle name="Percent 8 4 9 2" xfId="43490"/>
    <cellStyle name="Percent 8 5" xfId="43491"/>
    <cellStyle name="Percent 8 5 10" xfId="43492"/>
    <cellStyle name="Percent 8 5 10 2" xfId="43493"/>
    <cellStyle name="Percent 8 5 11" xfId="43494"/>
    <cellStyle name="Percent 8 5 11 2" xfId="43495"/>
    <cellStyle name="Percent 8 5 12" xfId="43496"/>
    <cellStyle name="Percent 8 5 13" xfId="43497"/>
    <cellStyle name="Percent 8 5 2" xfId="43498"/>
    <cellStyle name="Percent 8 5 2 10" xfId="43499"/>
    <cellStyle name="Percent 8 5 2 11" xfId="43500"/>
    <cellStyle name="Percent 8 5 2 2" xfId="43501"/>
    <cellStyle name="Percent 8 5 2 2 2" xfId="43502"/>
    <cellStyle name="Percent 8 5 2 2 2 2" xfId="43503"/>
    <cellStyle name="Percent 8 5 2 2 3" xfId="43504"/>
    <cellStyle name="Percent 8 5 2 2 3 2" xfId="43505"/>
    <cellStyle name="Percent 8 5 2 2 4" xfId="43506"/>
    <cellStyle name="Percent 8 5 2 2 4 2" xfId="43507"/>
    <cellStyle name="Percent 8 5 2 2 5" xfId="43508"/>
    <cellStyle name="Percent 8 5 2 2 6" xfId="43509"/>
    <cellStyle name="Percent 8 5 2 3" xfId="43510"/>
    <cellStyle name="Percent 8 5 2 3 2" xfId="43511"/>
    <cellStyle name="Percent 8 5 2 3 2 2" xfId="43512"/>
    <cellStyle name="Percent 8 5 2 3 3" xfId="43513"/>
    <cellStyle name="Percent 8 5 2 3 3 2" xfId="43514"/>
    <cellStyle name="Percent 8 5 2 3 4" xfId="43515"/>
    <cellStyle name="Percent 8 5 2 3 4 2" xfId="43516"/>
    <cellStyle name="Percent 8 5 2 3 5" xfId="43517"/>
    <cellStyle name="Percent 8 5 2 3 6" xfId="43518"/>
    <cellStyle name="Percent 8 5 2 4" xfId="43519"/>
    <cellStyle name="Percent 8 5 2 4 2" xfId="43520"/>
    <cellStyle name="Percent 8 5 2 4 2 2" xfId="43521"/>
    <cellStyle name="Percent 8 5 2 4 3" xfId="43522"/>
    <cellStyle name="Percent 8 5 2 4 3 2" xfId="43523"/>
    <cellStyle name="Percent 8 5 2 4 4" xfId="43524"/>
    <cellStyle name="Percent 8 5 2 4 4 2" xfId="43525"/>
    <cellStyle name="Percent 8 5 2 4 5" xfId="43526"/>
    <cellStyle name="Percent 8 5 2 4 6" xfId="43527"/>
    <cellStyle name="Percent 8 5 2 5" xfId="43528"/>
    <cellStyle name="Percent 8 5 2 5 2" xfId="43529"/>
    <cellStyle name="Percent 8 5 2 5 2 2" xfId="43530"/>
    <cellStyle name="Percent 8 5 2 5 3" xfId="43531"/>
    <cellStyle name="Percent 8 5 2 5 3 2" xfId="43532"/>
    <cellStyle name="Percent 8 5 2 5 4" xfId="43533"/>
    <cellStyle name="Percent 8 5 2 5 4 2" xfId="43534"/>
    <cellStyle name="Percent 8 5 2 5 5" xfId="43535"/>
    <cellStyle name="Percent 8 5 2 5 6" xfId="43536"/>
    <cellStyle name="Percent 8 5 2 6" xfId="43537"/>
    <cellStyle name="Percent 8 5 2 6 2" xfId="43538"/>
    <cellStyle name="Percent 8 5 2 6 2 2" xfId="43539"/>
    <cellStyle name="Percent 8 5 2 6 3" xfId="43540"/>
    <cellStyle name="Percent 8 5 2 6 3 2" xfId="43541"/>
    <cellStyle name="Percent 8 5 2 6 4" xfId="43542"/>
    <cellStyle name="Percent 8 5 2 6 5" xfId="43543"/>
    <cellStyle name="Percent 8 5 2 7" xfId="43544"/>
    <cellStyle name="Percent 8 5 2 7 2" xfId="43545"/>
    <cellStyle name="Percent 8 5 2 8" xfId="43546"/>
    <cellStyle name="Percent 8 5 2 8 2" xfId="43547"/>
    <cellStyle name="Percent 8 5 2 9" xfId="43548"/>
    <cellStyle name="Percent 8 5 2 9 2" xfId="43549"/>
    <cellStyle name="Percent 8 5 3" xfId="43550"/>
    <cellStyle name="Percent 8 5 3 10" xfId="43551"/>
    <cellStyle name="Percent 8 5 3 2" xfId="43552"/>
    <cellStyle name="Percent 8 5 3 2 2" xfId="43553"/>
    <cellStyle name="Percent 8 5 3 2 2 2" xfId="43554"/>
    <cellStyle name="Percent 8 5 3 2 3" xfId="43555"/>
    <cellStyle name="Percent 8 5 3 2 3 2" xfId="43556"/>
    <cellStyle name="Percent 8 5 3 2 4" xfId="43557"/>
    <cellStyle name="Percent 8 5 3 2 4 2" xfId="43558"/>
    <cellStyle name="Percent 8 5 3 2 5" xfId="43559"/>
    <cellStyle name="Percent 8 5 3 2 6" xfId="43560"/>
    <cellStyle name="Percent 8 5 3 3" xfId="43561"/>
    <cellStyle name="Percent 8 5 3 3 2" xfId="43562"/>
    <cellStyle name="Percent 8 5 3 3 2 2" xfId="43563"/>
    <cellStyle name="Percent 8 5 3 3 3" xfId="43564"/>
    <cellStyle name="Percent 8 5 3 3 3 2" xfId="43565"/>
    <cellStyle name="Percent 8 5 3 3 4" xfId="43566"/>
    <cellStyle name="Percent 8 5 3 3 4 2" xfId="43567"/>
    <cellStyle name="Percent 8 5 3 3 5" xfId="43568"/>
    <cellStyle name="Percent 8 5 3 3 6" xfId="43569"/>
    <cellStyle name="Percent 8 5 3 4" xfId="43570"/>
    <cellStyle name="Percent 8 5 3 4 2" xfId="43571"/>
    <cellStyle name="Percent 8 5 3 4 2 2" xfId="43572"/>
    <cellStyle name="Percent 8 5 3 4 3" xfId="43573"/>
    <cellStyle name="Percent 8 5 3 4 3 2" xfId="43574"/>
    <cellStyle name="Percent 8 5 3 4 4" xfId="43575"/>
    <cellStyle name="Percent 8 5 3 4 4 2" xfId="43576"/>
    <cellStyle name="Percent 8 5 3 4 5" xfId="43577"/>
    <cellStyle name="Percent 8 5 3 4 6" xfId="43578"/>
    <cellStyle name="Percent 8 5 3 5" xfId="43579"/>
    <cellStyle name="Percent 8 5 3 5 2" xfId="43580"/>
    <cellStyle name="Percent 8 5 3 5 2 2" xfId="43581"/>
    <cellStyle name="Percent 8 5 3 5 3" xfId="43582"/>
    <cellStyle name="Percent 8 5 3 5 3 2" xfId="43583"/>
    <cellStyle name="Percent 8 5 3 5 4" xfId="43584"/>
    <cellStyle name="Percent 8 5 3 5 5" xfId="43585"/>
    <cellStyle name="Percent 8 5 3 6" xfId="43586"/>
    <cellStyle name="Percent 8 5 3 6 2" xfId="43587"/>
    <cellStyle name="Percent 8 5 3 7" xfId="43588"/>
    <cellStyle name="Percent 8 5 3 7 2" xfId="43589"/>
    <cellStyle name="Percent 8 5 3 8" xfId="43590"/>
    <cellStyle name="Percent 8 5 3 8 2" xfId="43591"/>
    <cellStyle name="Percent 8 5 3 9" xfId="43592"/>
    <cellStyle name="Percent 8 5 4" xfId="43593"/>
    <cellStyle name="Percent 8 5 4 10" xfId="43594"/>
    <cellStyle name="Percent 8 5 4 2" xfId="43595"/>
    <cellStyle name="Percent 8 5 4 2 2" xfId="43596"/>
    <cellStyle name="Percent 8 5 4 2 2 2" xfId="43597"/>
    <cellStyle name="Percent 8 5 4 2 3" xfId="43598"/>
    <cellStyle name="Percent 8 5 4 2 3 2" xfId="43599"/>
    <cellStyle name="Percent 8 5 4 2 4" xfId="43600"/>
    <cellStyle name="Percent 8 5 4 2 4 2" xfId="43601"/>
    <cellStyle name="Percent 8 5 4 2 5" xfId="43602"/>
    <cellStyle name="Percent 8 5 4 2 6" xfId="43603"/>
    <cellStyle name="Percent 8 5 4 3" xfId="43604"/>
    <cellStyle name="Percent 8 5 4 3 2" xfId="43605"/>
    <cellStyle name="Percent 8 5 4 3 2 2" xfId="43606"/>
    <cellStyle name="Percent 8 5 4 3 3" xfId="43607"/>
    <cellStyle name="Percent 8 5 4 3 3 2" xfId="43608"/>
    <cellStyle name="Percent 8 5 4 3 4" xfId="43609"/>
    <cellStyle name="Percent 8 5 4 3 4 2" xfId="43610"/>
    <cellStyle name="Percent 8 5 4 3 5" xfId="43611"/>
    <cellStyle name="Percent 8 5 4 3 6" xfId="43612"/>
    <cellStyle name="Percent 8 5 4 4" xfId="43613"/>
    <cellStyle name="Percent 8 5 4 4 2" xfId="43614"/>
    <cellStyle name="Percent 8 5 4 4 2 2" xfId="43615"/>
    <cellStyle name="Percent 8 5 4 4 3" xfId="43616"/>
    <cellStyle name="Percent 8 5 4 4 3 2" xfId="43617"/>
    <cellStyle name="Percent 8 5 4 4 4" xfId="43618"/>
    <cellStyle name="Percent 8 5 4 4 4 2" xfId="43619"/>
    <cellStyle name="Percent 8 5 4 4 5" xfId="43620"/>
    <cellStyle name="Percent 8 5 4 4 6" xfId="43621"/>
    <cellStyle name="Percent 8 5 4 5" xfId="43622"/>
    <cellStyle name="Percent 8 5 4 5 2" xfId="43623"/>
    <cellStyle name="Percent 8 5 4 5 2 2" xfId="43624"/>
    <cellStyle name="Percent 8 5 4 5 3" xfId="43625"/>
    <cellStyle name="Percent 8 5 4 5 3 2" xfId="43626"/>
    <cellStyle name="Percent 8 5 4 5 4" xfId="43627"/>
    <cellStyle name="Percent 8 5 4 5 5" xfId="43628"/>
    <cellStyle name="Percent 8 5 4 6" xfId="43629"/>
    <cellStyle name="Percent 8 5 4 6 2" xfId="43630"/>
    <cellStyle name="Percent 8 5 4 7" xfId="43631"/>
    <cellStyle name="Percent 8 5 4 7 2" xfId="43632"/>
    <cellStyle name="Percent 8 5 4 8" xfId="43633"/>
    <cellStyle name="Percent 8 5 4 8 2" xfId="43634"/>
    <cellStyle name="Percent 8 5 4 9" xfId="43635"/>
    <cellStyle name="Percent 8 5 5" xfId="43636"/>
    <cellStyle name="Percent 8 5 5 2" xfId="43637"/>
    <cellStyle name="Percent 8 5 5 2 2" xfId="43638"/>
    <cellStyle name="Percent 8 5 5 3" xfId="43639"/>
    <cellStyle name="Percent 8 5 5 3 2" xfId="43640"/>
    <cellStyle name="Percent 8 5 5 4" xfId="43641"/>
    <cellStyle name="Percent 8 5 5 4 2" xfId="43642"/>
    <cellStyle name="Percent 8 5 5 5" xfId="43643"/>
    <cellStyle name="Percent 8 5 5 6" xfId="43644"/>
    <cellStyle name="Percent 8 5 6" xfId="43645"/>
    <cellStyle name="Percent 8 5 6 2" xfId="43646"/>
    <cellStyle name="Percent 8 5 6 2 2" xfId="43647"/>
    <cellStyle name="Percent 8 5 6 3" xfId="43648"/>
    <cellStyle name="Percent 8 5 6 3 2" xfId="43649"/>
    <cellStyle name="Percent 8 5 6 4" xfId="43650"/>
    <cellStyle name="Percent 8 5 6 4 2" xfId="43651"/>
    <cellStyle name="Percent 8 5 6 5" xfId="43652"/>
    <cellStyle name="Percent 8 5 6 6" xfId="43653"/>
    <cellStyle name="Percent 8 5 7" xfId="43654"/>
    <cellStyle name="Percent 8 5 7 2" xfId="43655"/>
    <cellStyle name="Percent 8 5 7 2 2" xfId="43656"/>
    <cellStyle name="Percent 8 5 7 3" xfId="43657"/>
    <cellStyle name="Percent 8 5 7 3 2" xfId="43658"/>
    <cellStyle name="Percent 8 5 7 4" xfId="43659"/>
    <cellStyle name="Percent 8 5 7 4 2" xfId="43660"/>
    <cellStyle name="Percent 8 5 7 5" xfId="43661"/>
    <cellStyle name="Percent 8 5 7 6" xfId="43662"/>
    <cellStyle name="Percent 8 5 8" xfId="43663"/>
    <cellStyle name="Percent 8 5 8 2" xfId="43664"/>
    <cellStyle name="Percent 8 5 8 2 2" xfId="43665"/>
    <cellStyle name="Percent 8 5 8 3" xfId="43666"/>
    <cellStyle name="Percent 8 5 8 3 2" xfId="43667"/>
    <cellStyle name="Percent 8 5 8 4" xfId="43668"/>
    <cellStyle name="Percent 8 5 8 5" xfId="43669"/>
    <cellStyle name="Percent 8 5 9" xfId="43670"/>
    <cellStyle name="Percent 8 5 9 2" xfId="43671"/>
    <cellStyle name="Percent 8 6" xfId="43672"/>
    <cellStyle name="Percent 8 6 10" xfId="43673"/>
    <cellStyle name="Percent 8 6 10 2" xfId="43674"/>
    <cellStyle name="Percent 8 6 11" xfId="43675"/>
    <cellStyle name="Percent 8 6 12" xfId="43676"/>
    <cellStyle name="Percent 8 6 2" xfId="43677"/>
    <cellStyle name="Percent 8 6 2 10" xfId="43678"/>
    <cellStyle name="Percent 8 6 2 2" xfId="43679"/>
    <cellStyle name="Percent 8 6 2 2 2" xfId="43680"/>
    <cellStyle name="Percent 8 6 2 2 2 2" xfId="43681"/>
    <cellStyle name="Percent 8 6 2 2 3" xfId="43682"/>
    <cellStyle name="Percent 8 6 2 2 3 2" xfId="43683"/>
    <cellStyle name="Percent 8 6 2 2 4" xfId="43684"/>
    <cellStyle name="Percent 8 6 2 2 4 2" xfId="43685"/>
    <cellStyle name="Percent 8 6 2 2 5" xfId="43686"/>
    <cellStyle name="Percent 8 6 2 2 6" xfId="43687"/>
    <cellStyle name="Percent 8 6 2 3" xfId="43688"/>
    <cellStyle name="Percent 8 6 2 3 2" xfId="43689"/>
    <cellStyle name="Percent 8 6 2 3 2 2" xfId="43690"/>
    <cellStyle name="Percent 8 6 2 3 3" xfId="43691"/>
    <cellStyle name="Percent 8 6 2 3 3 2" xfId="43692"/>
    <cellStyle name="Percent 8 6 2 3 4" xfId="43693"/>
    <cellStyle name="Percent 8 6 2 3 4 2" xfId="43694"/>
    <cellStyle name="Percent 8 6 2 3 5" xfId="43695"/>
    <cellStyle name="Percent 8 6 2 3 6" xfId="43696"/>
    <cellStyle name="Percent 8 6 2 4" xfId="43697"/>
    <cellStyle name="Percent 8 6 2 4 2" xfId="43698"/>
    <cellStyle name="Percent 8 6 2 4 2 2" xfId="43699"/>
    <cellStyle name="Percent 8 6 2 4 3" xfId="43700"/>
    <cellStyle name="Percent 8 6 2 4 3 2" xfId="43701"/>
    <cellStyle name="Percent 8 6 2 4 4" xfId="43702"/>
    <cellStyle name="Percent 8 6 2 4 4 2" xfId="43703"/>
    <cellStyle name="Percent 8 6 2 4 5" xfId="43704"/>
    <cellStyle name="Percent 8 6 2 4 6" xfId="43705"/>
    <cellStyle name="Percent 8 6 2 5" xfId="43706"/>
    <cellStyle name="Percent 8 6 2 5 2" xfId="43707"/>
    <cellStyle name="Percent 8 6 2 5 2 2" xfId="43708"/>
    <cellStyle name="Percent 8 6 2 5 3" xfId="43709"/>
    <cellStyle name="Percent 8 6 2 5 3 2" xfId="43710"/>
    <cellStyle name="Percent 8 6 2 5 4" xfId="43711"/>
    <cellStyle name="Percent 8 6 2 5 5" xfId="43712"/>
    <cellStyle name="Percent 8 6 2 6" xfId="43713"/>
    <cellStyle name="Percent 8 6 2 6 2" xfId="43714"/>
    <cellStyle name="Percent 8 6 2 7" xfId="43715"/>
    <cellStyle name="Percent 8 6 2 7 2" xfId="43716"/>
    <cellStyle name="Percent 8 6 2 8" xfId="43717"/>
    <cellStyle name="Percent 8 6 2 8 2" xfId="43718"/>
    <cellStyle name="Percent 8 6 2 9" xfId="43719"/>
    <cellStyle name="Percent 8 6 3" xfId="43720"/>
    <cellStyle name="Percent 8 6 3 10" xfId="43721"/>
    <cellStyle name="Percent 8 6 3 2" xfId="43722"/>
    <cellStyle name="Percent 8 6 3 2 2" xfId="43723"/>
    <cellStyle name="Percent 8 6 3 2 2 2" xfId="43724"/>
    <cellStyle name="Percent 8 6 3 2 3" xfId="43725"/>
    <cellStyle name="Percent 8 6 3 2 3 2" xfId="43726"/>
    <cellStyle name="Percent 8 6 3 2 4" xfId="43727"/>
    <cellStyle name="Percent 8 6 3 2 4 2" xfId="43728"/>
    <cellStyle name="Percent 8 6 3 2 5" xfId="43729"/>
    <cellStyle name="Percent 8 6 3 2 6" xfId="43730"/>
    <cellStyle name="Percent 8 6 3 3" xfId="43731"/>
    <cellStyle name="Percent 8 6 3 3 2" xfId="43732"/>
    <cellStyle name="Percent 8 6 3 3 2 2" xfId="43733"/>
    <cellStyle name="Percent 8 6 3 3 3" xfId="43734"/>
    <cellStyle name="Percent 8 6 3 3 3 2" xfId="43735"/>
    <cellStyle name="Percent 8 6 3 3 4" xfId="43736"/>
    <cellStyle name="Percent 8 6 3 3 4 2" xfId="43737"/>
    <cellStyle name="Percent 8 6 3 3 5" xfId="43738"/>
    <cellStyle name="Percent 8 6 3 3 6" xfId="43739"/>
    <cellStyle name="Percent 8 6 3 4" xfId="43740"/>
    <cellStyle name="Percent 8 6 3 4 2" xfId="43741"/>
    <cellStyle name="Percent 8 6 3 4 2 2" xfId="43742"/>
    <cellStyle name="Percent 8 6 3 4 3" xfId="43743"/>
    <cellStyle name="Percent 8 6 3 4 3 2" xfId="43744"/>
    <cellStyle name="Percent 8 6 3 4 4" xfId="43745"/>
    <cellStyle name="Percent 8 6 3 4 4 2" xfId="43746"/>
    <cellStyle name="Percent 8 6 3 4 5" xfId="43747"/>
    <cellStyle name="Percent 8 6 3 4 6" xfId="43748"/>
    <cellStyle name="Percent 8 6 3 5" xfId="43749"/>
    <cellStyle name="Percent 8 6 3 5 2" xfId="43750"/>
    <cellStyle name="Percent 8 6 3 5 2 2" xfId="43751"/>
    <cellStyle name="Percent 8 6 3 5 3" xfId="43752"/>
    <cellStyle name="Percent 8 6 3 5 3 2" xfId="43753"/>
    <cellStyle name="Percent 8 6 3 5 4" xfId="43754"/>
    <cellStyle name="Percent 8 6 3 5 5" xfId="43755"/>
    <cellStyle name="Percent 8 6 3 6" xfId="43756"/>
    <cellStyle name="Percent 8 6 3 6 2" xfId="43757"/>
    <cellStyle name="Percent 8 6 3 7" xfId="43758"/>
    <cellStyle name="Percent 8 6 3 7 2" xfId="43759"/>
    <cellStyle name="Percent 8 6 3 8" xfId="43760"/>
    <cellStyle name="Percent 8 6 3 8 2" xfId="43761"/>
    <cellStyle name="Percent 8 6 3 9" xfId="43762"/>
    <cellStyle name="Percent 8 6 4" xfId="43763"/>
    <cellStyle name="Percent 8 6 4 2" xfId="43764"/>
    <cellStyle name="Percent 8 6 4 2 2" xfId="43765"/>
    <cellStyle name="Percent 8 6 4 3" xfId="43766"/>
    <cellStyle name="Percent 8 6 4 3 2" xfId="43767"/>
    <cellStyle name="Percent 8 6 4 4" xfId="43768"/>
    <cellStyle name="Percent 8 6 4 4 2" xfId="43769"/>
    <cellStyle name="Percent 8 6 4 5" xfId="43770"/>
    <cellStyle name="Percent 8 6 4 6" xfId="43771"/>
    <cellStyle name="Percent 8 6 5" xfId="43772"/>
    <cellStyle name="Percent 8 6 5 2" xfId="43773"/>
    <cellStyle name="Percent 8 6 5 2 2" xfId="43774"/>
    <cellStyle name="Percent 8 6 5 3" xfId="43775"/>
    <cellStyle name="Percent 8 6 5 3 2" xfId="43776"/>
    <cellStyle name="Percent 8 6 5 4" xfId="43777"/>
    <cellStyle name="Percent 8 6 5 4 2" xfId="43778"/>
    <cellStyle name="Percent 8 6 5 5" xfId="43779"/>
    <cellStyle name="Percent 8 6 5 6" xfId="43780"/>
    <cellStyle name="Percent 8 6 6" xfId="43781"/>
    <cellStyle name="Percent 8 6 6 2" xfId="43782"/>
    <cellStyle name="Percent 8 6 6 2 2" xfId="43783"/>
    <cellStyle name="Percent 8 6 6 3" xfId="43784"/>
    <cellStyle name="Percent 8 6 6 3 2" xfId="43785"/>
    <cellStyle name="Percent 8 6 6 4" xfId="43786"/>
    <cellStyle name="Percent 8 6 6 4 2" xfId="43787"/>
    <cellStyle name="Percent 8 6 6 5" xfId="43788"/>
    <cellStyle name="Percent 8 6 6 6" xfId="43789"/>
    <cellStyle name="Percent 8 6 7" xfId="43790"/>
    <cellStyle name="Percent 8 6 7 2" xfId="43791"/>
    <cellStyle name="Percent 8 6 7 2 2" xfId="43792"/>
    <cellStyle name="Percent 8 6 7 3" xfId="43793"/>
    <cellStyle name="Percent 8 6 7 3 2" xfId="43794"/>
    <cellStyle name="Percent 8 6 7 4" xfId="43795"/>
    <cellStyle name="Percent 8 6 7 5" xfId="43796"/>
    <cellStyle name="Percent 8 6 8" xfId="43797"/>
    <cellStyle name="Percent 8 6 8 2" xfId="43798"/>
    <cellStyle name="Percent 8 6 9" xfId="43799"/>
    <cellStyle name="Percent 8 6 9 2" xfId="43800"/>
    <cellStyle name="Percent 8 7" xfId="43801"/>
    <cellStyle name="Percent 8 7 10" xfId="43802"/>
    <cellStyle name="Percent 8 7 11" xfId="43803"/>
    <cellStyle name="Percent 8 7 2" xfId="43804"/>
    <cellStyle name="Percent 8 7 2 2" xfId="43805"/>
    <cellStyle name="Percent 8 7 2 2 2" xfId="43806"/>
    <cellStyle name="Percent 8 7 2 3" xfId="43807"/>
    <cellStyle name="Percent 8 7 2 3 2" xfId="43808"/>
    <cellStyle name="Percent 8 7 2 4" xfId="43809"/>
    <cellStyle name="Percent 8 7 2 4 2" xfId="43810"/>
    <cellStyle name="Percent 8 7 2 5" xfId="43811"/>
    <cellStyle name="Percent 8 7 2 6" xfId="43812"/>
    <cellStyle name="Percent 8 7 3" xfId="43813"/>
    <cellStyle name="Percent 8 7 3 2" xfId="43814"/>
    <cellStyle name="Percent 8 7 3 2 2" xfId="43815"/>
    <cellStyle name="Percent 8 7 3 3" xfId="43816"/>
    <cellStyle name="Percent 8 7 3 3 2" xfId="43817"/>
    <cellStyle name="Percent 8 7 3 4" xfId="43818"/>
    <cellStyle name="Percent 8 7 3 4 2" xfId="43819"/>
    <cellStyle name="Percent 8 7 3 5" xfId="43820"/>
    <cellStyle name="Percent 8 7 3 6" xfId="43821"/>
    <cellStyle name="Percent 8 7 4" xfId="43822"/>
    <cellStyle name="Percent 8 7 4 2" xfId="43823"/>
    <cellStyle name="Percent 8 7 4 2 2" xfId="43824"/>
    <cellStyle name="Percent 8 7 4 3" xfId="43825"/>
    <cellStyle name="Percent 8 7 4 3 2" xfId="43826"/>
    <cellStyle name="Percent 8 7 4 4" xfId="43827"/>
    <cellStyle name="Percent 8 7 4 4 2" xfId="43828"/>
    <cellStyle name="Percent 8 7 4 5" xfId="43829"/>
    <cellStyle name="Percent 8 7 4 6" xfId="43830"/>
    <cellStyle name="Percent 8 7 5" xfId="43831"/>
    <cellStyle name="Percent 8 7 5 2" xfId="43832"/>
    <cellStyle name="Percent 8 7 5 2 2" xfId="43833"/>
    <cellStyle name="Percent 8 7 5 3" xfId="43834"/>
    <cellStyle name="Percent 8 7 5 3 2" xfId="43835"/>
    <cellStyle name="Percent 8 7 5 4" xfId="43836"/>
    <cellStyle name="Percent 8 7 5 4 2" xfId="43837"/>
    <cellStyle name="Percent 8 7 5 5" xfId="43838"/>
    <cellStyle name="Percent 8 7 5 6" xfId="43839"/>
    <cellStyle name="Percent 8 7 6" xfId="43840"/>
    <cellStyle name="Percent 8 7 6 2" xfId="43841"/>
    <cellStyle name="Percent 8 7 6 2 2" xfId="43842"/>
    <cellStyle name="Percent 8 7 6 3" xfId="43843"/>
    <cellStyle name="Percent 8 7 6 3 2" xfId="43844"/>
    <cellStyle name="Percent 8 7 6 4" xfId="43845"/>
    <cellStyle name="Percent 8 7 6 5" xfId="43846"/>
    <cellStyle name="Percent 8 7 7" xfId="43847"/>
    <cellStyle name="Percent 8 7 7 2" xfId="43848"/>
    <cellStyle name="Percent 8 7 8" xfId="43849"/>
    <cellStyle name="Percent 8 7 8 2" xfId="43850"/>
    <cellStyle name="Percent 8 7 9" xfId="43851"/>
    <cellStyle name="Percent 8 7 9 2" xfId="43852"/>
    <cellStyle name="Percent 8 8" xfId="43853"/>
    <cellStyle name="Percent 8 8 10" xfId="43854"/>
    <cellStyle name="Percent 8 8 2" xfId="43855"/>
    <cellStyle name="Percent 8 8 2 2" xfId="43856"/>
    <cellStyle name="Percent 8 8 2 2 2" xfId="43857"/>
    <cellStyle name="Percent 8 8 2 3" xfId="43858"/>
    <cellStyle name="Percent 8 8 2 3 2" xfId="43859"/>
    <cellStyle name="Percent 8 8 2 4" xfId="43860"/>
    <cellStyle name="Percent 8 8 2 4 2" xfId="43861"/>
    <cellStyle name="Percent 8 8 2 5" xfId="43862"/>
    <cellStyle name="Percent 8 8 2 6" xfId="43863"/>
    <cellStyle name="Percent 8 8 3" xfId="43864"/>
    <cellStyle name="Percent 8 8 3 2" xfId="43865"/>
    <cellStyle name="Percent 8 8 3 2 2" xfId="43866"/>
    <cellStyle name="Percent 8 8 3 3" xfId="43867"/>
    <cellStyle name="Percent 8 8 3 3 2" xfId="43868"/>
    <cellStyle name="Percent 8 8 3 4" xfId="43869"/>
    <cellStyle name="Percent 8 8 3 4 2" xfId="43870"/>
    <cellStyle name="Percent 8 8 3 5" xfId="43871"/>
    <cellStyle name="Percent 8 8 3 6" xfId="43872"/>
    <cellStyle name="Percent 8 8 4" xfId="43873"/>
    <cellStyle name="Percent 8 8 4 2" xfId="43874"/>
    <cellStyle name="Percent 8 8 4 2 2" xfId="43875"/>
    <cellStyle name="Percent 8 8 4 3" xfId="43876"/>
    <cellStyle name="Percent 8 8 4 3 2" xfId="43877"/>
    <cellStyle name="Percent 8 8 4 4" xfId="43878"/>
    <cellStyle name="Percent 8 8 4 4 2" xfId="43879"/>
    <cellStyle name="Percent 8 8 4 5" xfId="43880"/>
    <cellStyle name="Percent 8 8 4 6" xfId="43881"/>
    <cellStyle name="Percent 8 8 5" xfId="43882"/>
    <cellStyle name="Percent 8 8 5 2" xfId="43883"/>
    <cellStyle name="Percent 8 8 5 2 2" xfId="43884"/>
    <cellStyle name="Percent 8 8 5 3" xfId="43885"/>
    <cellStyle name="Percent 8 8 5 3 2" xfId="43886"/>
    <cellStyle name="Percent 8 8 5 4" xfId="43887"/>
    <cellStyle name="Percent 8 8 5 5" xfId="43888"/>
    <cellStyle name="Percent 8 8 6" xfId="43889"/>
    <cellStyle name="Percent 8 8 6 2" xfId="43890"/>
    <cellStyle name="Percent 8 8 7" xfId="43891"/>
    <cellStyle name="Percent 8 8 7 2" xfId="43892"/>
    <cellStyle name="Percent 8 8 8" xfId="43893"/>
    <cellStyle name="Percent 8 8 8 2" xfId="43894"/>
    <cellStyle name="Percent 8 8 9" xfId="43895"/>
    <cellStyle name="Percent 8 9" xfId="43896"/>
    <cellStyle name="Percent 8 9 10" xfId="43897"/>
    <cellStyle name="Percent 8 9 2" xfId="43898"/>
    <cellStyle name="Percent 8 9 2 2" xfId="43899"/>
    <cellStyle name="Percent 8 9 2 2 2" xfId="43900"/>
    <cellStyle name="Percent 8 9 2 3" xfId="43901"/>
    <cellStyle name="Percent 8 9 2 3 2" xfId="43902"/>
    <cellStyle name="Percent 8 9 2 4" xfId="43903"/>
    <cellStyle name="Percent 8 9 2 4 2" xfId="43904"/>
    <cellStyle name="Percent 8 9 2 5" xfId="43905"/>
    <cellStyle name="Percent 8 9 2 6" xfId="43906"/>
    <cellStyle name="Percent 8 9 3" xfId="43907"/>
    <cellStyle name="Percent 8 9 3 2" xfId="43908"/>
    <cellStyle name="Percent 8 9 3 2 2" xfId="43909"/>
    <cellStyle name="Percent 8 9 3 3" xfId="43910"/>
    <cellStyle name="Percent 8 9 3 3 2" xfId="43911"/>
    <cellStyle name="Percent 8 9 3 4" xfId="43912"/>
    <cellStyle name="Percent 8 9 3 4 2" xfId="43913"/>
    <cellStyle name="Percent 8 9 3 5" xfId="43914"/>
    <cellStyle name="Percent 8 9 3 6" xfId="43915"/>
    <cellStyle name="Percent 8 9 4" xfId="43916"/>
    <cellStyle name="Percent 8 9 4 2" xfId="43917"/>
    <cellStyle name="Percent 8 9 4 2 2" xfId="43918"/>
    <cellStyle name="Percent 8 9 4 3" xfId="43919"/>
    <cellStyle name="Percent 8 9 4 3 2" xfId="43920"/>
    <cellStyle name="Percent 8 9 4 4" xfId="43921"/>
    <cellStyle name="Percent 8 9 4 4 2" xfId="43922"/>
    <cellStyle name="Percent 8 9 4 5" xfId="43923"/>
    <cellStyle name="Percent 8 9 4 6" xfId="43924"/>
    <cellStyle name="Percent 8 9 5" xfId="43925"/>
    <cellStyle name="Percent 8 9 5 2" xfId="43926"/>
    <cellStyle name="Percent 8 9 5 2 2" xfId="43927"/>
    <cellStyle name="Percent 8 9 5 3" xfId="43928"/>
    <cellStyle name="Percent 8 9 5 3 2" xfId="43929"/>
    <cellStyle name="Percent 8 9 5 4" xfId="43930"/>
    <cellStyle name="Percent 8 9 5 5" xfId="43931"/>
    <cellStyle name="Percent 8 9 6" xfId="43932"/>
    <cellStyle name="Percent 8 9 6 2" xfId="43933"/>
    <cellStyle name="Percent 8 9 7" xfId="43934"/>
    <cellStyle name="Percent 8 9 7 2" xfId="43935"/>
    <cellStyle name="Percent 8 9 8" xfId="43936"/>
    <cellStyle name="Percent 8 9 8 2" xfId="43937"/>
    <cellStyle name="Percent 8 9 9" xfId="43938"/>
    <cellStyle name="Percent 9" xfId="9304"/>
    <cellStyle name="Percent 9 2" xfId="12291"/>
    <cellStyle name="Percent 9 2 2" xfId="43939"/>
    <cellStyle name="Percent 9 3" xfId="12290"/>
    <cellStyle name="Phase" xfId="12292"/>
    <cellStyle name="Proposal" xfId="43940"/>
    <cellStyle name="PSChar" xfId="66"/>
    <cellStyle name="PSDate" xfId="12293"/>
    <cellStyle name="PSDec" xfId="67"/>
    <cellStyle name="PSDetail" xfId="12294"/>
    <cellStyle name="PSHeading" xfId="68"/>
    <cellStyle name="PSInt" xfId="12295"/>
    <cellStyle name="PSSpacer" xfId="12296"/>
    <cellStyle name="R01A" xfId="43941"/>
    <cellStyle name="Rangename" xfId="12297"/>
    <cellStyle name="Rangenames" xfId="12298"/>
    <cellStyle name="Result field" xfId="12299"/>
    <cellStyle name="Result field 2" xfId="43942"/>
    <cellStyle name="Result field_KY NBV" xfId="43943"/>
    <cellStyle name="RowLevel_" xfId="12300"/>
    <cellStyle name="Schedule Heading" xfId="12301"/>
    <cellStyle name="Screen Display Heading" xfId="12302"/>
    <cellStyle name="Setup" xfId="12303"/>
    <cellStyle name="Shade" xfId="43944"/>
    <cellStyle name="Shading" xfId="43945"/>
    <cellStyle name="SMALL HEADINGS" xfId="43946"/>
    <cellStyle name="Standard_By Team" xfId="12304"/>
    <cellStyle name="Style 1" xfId="12305"/>
    <cellStyle name="SUB HEADING" xfId="43947"/>
    <cellStyle name="Subheading" xfId="43948"/>
    <cellStyle name="Summary Column Cell" xfId="12306"/>
    <cellStyle name="Summary Column Cell 2" xfId="43949"/>
    <cellStyle name="Summary Column Cell_KY NBV" xfId="43950"/>
    <cellStyle name="Title" xfId="72" builtinId="15" customBuiltin="1"/>
    <cellStyle name="Title 2" xfId="43951"/>
    <cellStyle name="Title 3" xfId="43952"/>
    <cellStyle name="Total" xfId="9263" builtinId="25" customBuiltin="1"/>
    <cellStyle name="Total 2" xfId="8767"/>
    <cellStyle name="Total 2 2" xfId="43954"/>
    <cellStyle name="Total 2 3" xfId="43955"/>
    <cellStyle name="Total 2 4" xfId="43956"/>
    <cellStyle name="Total 2 5" xfId="43957"/>
    <cellStyle name="Total 2 6" xfId="43953"/>
    <cellStyle name="Total 3" xfId="43958"/>
    <cellStyle name="Total 3 2" xfId="43959"/>
    <cellStyle name="Total 4" xfId="43960"/>
    <cellStyle name="Total 5" xfId="43961"/>
    <cellStyle name="Transition" xfId="12307"/>
    <cellStyle name="ubordinated Debt" xfId="43962"/>
    <cellStyle name="Undefined" xfId="12308"/>
    <cellStyle name="UNITS" xfId="43963"/>
    <cellStyle name="Unprot" xfId="12309"/>
    <cellStyle name="Unprot 2" xfId="43964"/>
    <cellStyle name="Unprot 3" xfId="43965"/>
    <cellStyle name="Unprot 4" xfId="43966"/>
    <cellStyle name="Unprot 5" xfId="43967"/>
    <cellStyle name="Unprot$" xfId="12310"/>
    <cellStyle name="Unprot$ 2" xfId="43968"/>
    <cellStyle name="Unprot$ 3" xfId="43969"/>
    <cellStyle name="Unprot$ 4" xfId="43970"/>
    <cellStyle name="Unprot$ 5" xfId="43971"/>
    <cellStyle name="Unprot_0308 USFE&amp;G Financial Results Summary" xfId="43972"/>
    <cellStyle name="Unprotect" xfId="12311"/>
    <cellStyle name="UNSHADED" xfId="43973"/>
    <cellStyle name="Variable Inputs" xfId="12312"/>
    <cellStyle name="Variable Inputs 2" xfId="15004"/>
    <cellStyle name="Variable Inputs 3" xfId="15041"/>
    <cellStyle name="Variable Inputs 4" xfId="15043"/>
    <cellStyle name="Variable Inputs 5" xfId="15045"/>
    <cellStyle name="Variable Inputs 6" xfId="15047"/>
    <cellStyle name="Variable Inputs 7" xfId="15049"/>
    <cellStyle name="Variable Inputs 8" xfId="15051"/>
    <cellStyle name="Variable Inputs 9" xfId="15053"/>
    <cellStyle name="Währung [0]_fee projec" xfId="12313"/>
    <cellStyle name="Währung_fee projec" xfId="12314"/>
    <cellStyle name="Warning Text" xfId="9261" builtinId="11" customBuiltin="1"/>
    <cellStyle name="Warning Text 2" xfId="8768"/>
    <cellStyle name="Warning Text 2 2" xfId="43974"/>
    <cellStyle name="Warning Text 3" xfId="43975"/>
    <cellStyle name="years" xfId="43976"/>
    <cellStyle name="콤마 [0]_VERA" xfId="12315"/>
    <cellStyle name="콤마_VERA" xfId="12316"/>
    <cellStyle name="하이퍼링크_VERA" xfId="12317"/>
  </cellStyles>
  <dxfs count="0"/>
  <tableStyles count="0" defaultTableStyle="TableStyleMedium9" defaultPivotStyle="PivotStyleLight16"/>
  <colors>
    <mruColors>
      <color rgb="FF00FF00"/>
      <color rgb="FFFFFF66"/>
      <color rgb="FF0000FF"/>
      <color rgb="FF33CCFF"/>
      <color rgb="FF99CCFF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11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</xdr:row>
          <xdr:rowOff>0</xdr:rowOff>
        </xdr:from>
        <xdr:to>
          <xdr:col>2</xdr:col>
          <xdr:colOff>0</xdr:colOff>
          <xdr:row>3</xdr:row>
          <xdr:rowOff>19050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Courier"/>
                </a:rPr>
                <a:t>SCH 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3</xdr:row>
          <xdr:rowOff>133350</xdr:rowOff>
        </xdr:from>
        <xdr:to>
          <xdr:col>2</xdr:col>
          <xdr:colOff>0</xdr:colOff>
          <xdr:row>5</xdr:row>
          <xdr:rowOff>114300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76200</xdr:rowOff>
        </xdr:from>
        <xdr:to>
          <xdr:col>4</xdr:col>
          <xdr:colOff>0</xdr:colOff>
          <xdr:row>15</xdr:row>
          <xdr:rowOff>57150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15</xdr:row>
          <xdr:rowOff>152400</xdr:rowOff>
        </xdr:from>
        <xdr:to>
          <xdr:col>4</xdr:col>
          <xdr:colOff>0</xdr:colOff>
          <xdr:row>17</xdr:row>
          <xdr:rowOff>152400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18</xdr:row>
          <xdr:rowOff>76200</xdr:rowOff>
        </xdr:from>
        <xdr:to>
          <xdr:col>4</xdr:col>
          <xdr:colOff>0</xdr:colOff>
          <xdr:row>20</xdr:row>
          <xdr:rowOff>66675</xdr:rowOff>
        </xdr:to>
        <xdr:sp macro="" textlink="">
          <xdr:nvSpPr>
            <xdr:cNvPr id="1029" name="Button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20</xdr:row>
          <xdr:rowOff>171450</xdr:rowOff>
        </xdr:from>
        <xdr:to>
          <xdr:col>4</xdr:col>
          <xdr:colOff>0</xdr:colOff>
          <xdr:row>22</xdr:row>
          <xdr:rowOff>161925</xdr:rowOff>
        </xdr:to>
        <xdr:sp macro="" textlink="">
          <xdr:nvSpPr>
            <xdr:cNvPr id="1030" name="Button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19050</xdr:colOff>
          <xdr:row>1</xdr:row>
          <xdr:rowOff>9525</xdr:rowOff>
        </xdr:from>
        <xdr:to>
          <xdr:col>6</xdr:col>
          <xdr:colOff>0</xdr:colOff>
          <xdr:row>3</xdr:row>
          <xdr:rowOff>9525</xdr:rowOff>
        </xdr:to>
        <xdr:sp macro="" textlink="">
          <xdr:nvSpPr>
            <xdr:cNvPr id="1031" name="Button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19050</xdr:colOff>
          <xdr:row>3</xdr:row>
          <xdr:rowOff>114300</xdr:rowOff>
        </xdr:from>
        <xdr:to>
          <xdr:col>6</xdr:col>
          <xdr:colOff>0</xdr:colOff>
          <xdr:row>5</xdr:row>
          <xdr:rowOff>114300</xdr:rowOff>
        </xdr:to>
        <xdr:sp macro="" textlink="">
          <xdr:nvSpPr>
            <xdr:cNvPr id="1032" name="Button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</xdr:colOff>
          <xdr:row>6</xdr:row>
          <xdr:rowOff>19050</xdr:rowOff>
        </xdr:from>
        <xdr:to>
          <xdr:col>6</xdr:col>
          <xdr:colOff>38100</xdr:colOff>
          <xdr:row>8</xdr:row>
          <xdr:rowOff>19050</xdr:rowOff>
        </xdr:to>
        <xdr:sp macro="" textlink="">
          <xdr:nvSpPr>
            <xdr:cNvPr id="1033" name="Button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C2.1 BP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1</xdr:row>
          <xdr:rowOff>19050</xdr:rowOff>
        </xdr:from>
        <xdr:to>
          <xdr:col>10</xdr:col>
          <xdr:colOff>9525</xdr:colOff>
          <xdr:row>2</xdr:row>
          <xdr:rowOff>180975</xdr:rowOff>
        </xdr:to>
        <xdr:sp macro="" textlink="">
          <xdr:nvSpPr>
            <xdr:cNvPr id="1045" name="Button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3</xdr:row>
          <xdr:rowOff>114300</xdr:rowOff>
        </xdr:from>
        <xdr:to>
          <xdr:col>10</xdr:col>
          <xdr:colOff>9525</xdr:colOff>
          <xdr:row>5</xdr:row>
          <xdr:rowOff>85725</xdr:rowOff>
        </xdr:to>
        <xdr:sp macro="" textlink="">
          <xdr:nvSpPr>
            <xdr:cNvPr id="1046" name="Button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6</xdr:row>
          <xdr:rowOff>19050</xdr:rowOff>
        </xdr:from>
        <xdr:to>
          <xdr:col>10</xdr:col>
          <xdr:colOff>19050</xdr:colOff>
          <xdr:row>8</xdr:row>
          <xdr:rowOff>9525</xdr:rowOff>
        </xdr:to>
        <xdr:sp macro="" textlink="">
          <xdr:nvSpPr>
            <xdr:cNvPr id="1047" name="Button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8</xdr:row>
          <xdr:rowOff>95250</xdr:rowOff>
        </xdr:from>
        <xdr:to>
          <xdr:col>10</xdr:col>
          <xdr:colOff>19050</xdr:colOff>
          <xdr:row>10</xdr:row>
          <xdr:rowOff>95250</xdr:rowOff>
        </xdr:to>
        <xdr:sp macro="" textlink="">
          <xdr:nvSpPr>
            <xdr:cNvPr id="1048" name="Button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10</xdr:row>
          <xdr:rowOff>180975</xdr:rowOff>
        </xdr:from>
        <xdr:to>
          <xdr:col>10</xdr:col>
          <xdr:colOff>9525</xdr:colOff>
          <xdr:row>12</xdr:row>
          <xdr:rowOff>171450</xdr:rowOff>
        </xdr:to>
        <xdr:sp macro="" textlink="">
          <xdr:nvSpPr>
            <xdr:cNvPr id="1049" name="Button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13</xdr:row>
          <xdr:rowOff>76200</xdr:rowOff>
        </xdr:from>
        <xdr:to>
          <xdr:col>10</xdr:col>
          <xdr:colOff>9525</xdr:colOff>
          <xdr:row>15</xdr:row>
          <xdr:rowOff>38100</xdr:rowOff>
        </xdr:to>
        <xdr:sp macro="" textlink="">
          <xdr:nvSpPr>
            <xdr:cNvPr id="1050" name="Button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15</xdr:row>
          <xdr:rowOff>142875</xdr:rowOff>
        </xdr:from>
        <xdr:to>
          <xdr:col>10</xdr:col>
          <xdr:colOff>9525</xdr:colOff>
          <xdr:row>17</xdr:row>
          <xdr:rowOff>142875</xdr:rowOff>
        </xdr:to>
        <xdr:sp macro="" textlink="">
          <xdr:nvSpPr>
            <xdr:cNvPr id="1051" name="Button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</xdr:colOff>
          <xdr:row>5</xdr:row>
          <xdr:rowOff>171450</xdr:rowOff>
        </xdr:from>
        <xdr:to>
          <xdr:col>14</xdr:col>
          <xdr:colOff>19050</xdr:colOff>
          <xdr:row>7</xdr:row>
          <xdr:rowOff>161925</xdr:rowOff>
        </xdr:to>
        <xdr:sp macro="" textlink="">
          <xdr:nvSpPr>
            <xdr:cNvPr id="1055" name="Button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</xdr:colOff>
          <xdr:row>8</xdr:row>
          <xdr:rowOff>57150</xdr:rowOff>
        </xdr:from>
        <xdr:to>
          <xdr:col>14</xdr:col>
          <xdr:colOff>19050</xdr:colOff>
          <xdr:row>10</xdr:row>
          <xdr:rowOff>57150</xdr:rowOff>
        </xdr:to>
        <xdr:sp macro="" textlink="">
          <xdr:nvSpPr>
            <xdr:cNvPr id="1056" name="Button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</xdr:colOff>
          <xdr:row>10</xdr:row>
          <xdr:rowOff>142875</xdr:rowOff>
        </xdr:from>
        <xdr:to>
          <xdr:col>14</xdr:col>
          <xdr:colOff>19050</xdr:colOff>
          <xdr:row>12</xdr:row>
          <xdr:rowOff>133350</xdr:rowOff>
        </xdr:to>
        <xdr:sp macro="" textlink="">
          <xdr:nvSpPr>
            <xdr:cNvPr id="1057" name="Button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</xdr:colOff>
          <xdr:row>13</xdr:row>
          <xdr:rowOff>38100</xdr:rowOff>
        </xdr:from>
        <xdr:to>
          <xdr:col>14</xdr:col>
          <xdr:colOff>19050</xdr:colOff>
          <xdr:row>15</xdr:row>
          <xdr:rowOff>19050</xdr:rowOff>
        </xdr:to>
        <xdr:sp macro="" textlink="">
          <xdr:nvSpPr>
            <xdr:cNvPr id="1058" name="Button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</xdr:colOff>
          <xdr:row>15</xdr:row>
          <xdr:rowOff>114300</xdr:rowOff>
        </xdr:from>
        <xdr:to>
          <xdr:col>14</xdr:col>
          <xdr:colOff>19050</xdr:colOff>
          <xdr:row>17</xdr:row>
          <xdr:rowOff>104775</xdr:rowOff>
        </xdr:to>
        <xdr:sp macro="" textlink="">
          <xdr:nvSpPr>
            <xdr:cNvPr id="1059" name="Button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</xdr:colOff>
          <xdr:row>18</xdr:row>
          <xdr:rowOff>9525</xdr:rowOff>
        </xdr:from>
        <xdr:to>
          <xdr:col>14</xdr:col>
          <xdr:colOff>19050</xdr:colOff>
          <xdr:row>20</xdr:row>
          <xdr:rowOff>0</xdr:rowOff>
        </xdr:to>
        <xdr:sp macro="" textlink="">
          <xdr:nvSpPr>
            <xdr:cNvPr id="1060" name="Button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</xdr:colOff>
          <xdr:row>20</xdr:row>
          <xdr:rowOff>85725</xdr:rowOff>
        </xdr:from>
        <xdr:to>
          <xdr:col>14</xdr:col>
          <xdr:colOff>19050</xdr:colOff>
          <xdr:row>22</xdr:row>
          <xdr:rowOff>76200</xdr:rowOff>
        </xdr:to>
        <xdr:sp macro="" textlink="">
          <xdr:nvSpPr>
            <xdr:cNvPr id="1064" name="Button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57150</xdr:colOff>
          <xdr:row>1</xdr:row>
          <xdr:rowOff>28575</xdr:rowOff>
        </xdr:from>
        <xdr:to>
          <xdr:col>27</xdr:col>
          <xdr:colOff>19050</xdr:colOff>
          <xdr:row>3</xdr:row>
          <xdr:rowOff>9525</xdr:rowOff>
        </xdr:to>
        <xdr:sp macro="" textlink="">
          <xdr:nvSpPr>
            <xdr:cNvPr id="1068" name="Button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BASE PERIOD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57150</xdr:colOff>
          <xdr:row>3</xdr:row>
          <xdr:rowOff>95250</xdr:rowOff>
        </xdr:from>
        <xdr:to>
          <xdr:col>27</xdr:col>
          <xdr:colOff>19050</xdr:colOff>
          <xdr:row>5</xdr:row>
          <xdr:rowOff>76200</xdr:rowOff>
        </xdr:to>
        <xdr:sp macro="" textlink="">
          <xdr:nvSpPr>
            <xdr:cNvPr id="1069" name="Button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FORECAST PERIOD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28575</xdr:colOff>
          <xdr:row>8</xdr:row>
          <xdr:rowOff>85725</xdr:rowOff>
        </xdr:from>
        <xdr:to>
          <xdr:col>19</xdr:col>
          <xdr:colOff>590550</xdr:colOff>
          <xdr:row>10</xdr:row>
          <xdr:rowOff>66675</xdr:rowOff>
        </xdr:to>
        <xdr:sp macro="" textlink="">
          <xdr:nvSpPr>
            <xdr:cNvPr id="1082" name="Button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J2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28575</xdr:colOff>
          <xdr:row>10</xdr:row>
          <xdr:rowOff>171450</xdr:rowOff>
        </xdr:from>
        <xdr:to>
          <xdr:col>19</xdr:col>
          <xdr:colOff>590550</xdr:colOff>
          <xdr:row>12</xdr:row>
          <xdr:rowOff>142875</xdr:rowOff>
        </xdr:to>
        <xdr:sp macro="" textlink="">
          <xdr:nvSpPr>
            <xdr:cNvPr id="1083" name="Button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J3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28575</xdr:colOff>
          <xdr:row>13</xdr:row>
          <xdr:rowOff>104775</xdr:rowOff>
        </xdr:from>
        <xdr:to>
          <xdr:col>19</xdr:col>
          <xdr:colOff>590550</xdr:colOff>
          <xdr:row>15</xdr:row>
          <xdr:rowOff>95250</xdr:rowOff>
        </xdr:to>
        <xdr:sp macro="" textlink="">
          <xdr:nvSpPr>
            <xdr:cNvPr id="1084" name="Button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57150</xdr:colOff>
          <xdr:row>8</xdr:row>
          <xdr:rowOff>95250</xdr:rowOff>
        </xdr:from>
        <xdr:to>
          <xdr:col>27</xdr:col>
          <xdr:colOff>0</xdr:colOff>
          <xdr:row>10</xdr:row>
          <xdr:rowOff>95250</xdr:rowOff>
        </xdr:to>
        <xdr:sp macro="" textlink="">
          <xdr:nvSpPr>
            <xdr:cNvPr id="1097" name="Button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RATE BASE RATIO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1</xdr:row>
          <xdr:rowOff>9525</xdr:rowOff>
        </xdr:from>
        <xdr:to>
          <xdr:col>15</xdr:col>
          <xdr:colOff>533400</xdr:colOff>
          <xdr:row>3</xdr:row>
          <xdr:rowOff>19050</xdr:rowOff>
        </xdr:to>
        <xdr:sp macro="" textlink="">
          <xdr:nvSpPr>
            <xdr:cNvPr id="1098" name="Button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FF00"/>
                  </a:solidFill>
                  <a:latin typeface="Courier"/>
                </a:rPr>
                <a:t>SCH G1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FFFF00"/>
                </a:solidFill>
                <a:latin typeface="Courier"/>
              </a:endParaRP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FFFF00"/>
                </a:solidFill>
                <a:latin typeface="Courier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28575</xdr:colOff>
          <xdr:row>3</xdr:row>
          <xdr:rowOff>133350</xdr:rowOff>
        </xdr:from>
        <xdr:to>
          <xdr:col>16</xdr:col>
          <xdr:colOff>0</xdr:colOff>
          <xdr:row>5</xdr:row>
          <xdr:rowOff>104775</xdr:rowOff>
        </xdr:to>
        <xdr:sp macro="" textlink="">
          <xdr:nvSpPr>
            <xdr:cNvPr id="1099" name="Button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FF00"/>
                  </a:solidFill>
                  <a:latin typeface="Courier"/>
                </a:rPr>
                <a:t>SCH G2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28575</xdr:colOff>
          <xdr:row>6</xdr:row>
          <xdr:rowOff>19050</xdr:rowOff>
        </xdr:from>
        <xdr:to>
          <xdr:col>16</xdr:col>
          <xdr:colOff>0</xdr:colOff>
          <xdr:row>8</xdr:row>
          <xdr:rowOff>9525</xdr:rowOff>
        </xdr:to>
        <xdr:sp macro="" textlink="">
          <xdr:nvSpPr>
            <xdr:cNvPr id="1100" name="Button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FF00"/>
                  </a:solidFill>
                  <a:latin typeface="Courier"/>
                </a:rPr>
                <a:t>SCH G3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FFFF00"/>
                </a:solidFill>
                <a:latin typeface="Courier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57150</xdr:colOff>
          <xdr:row>5</xdr:row>
          <xdr:rowOff>171450</xdr:rowOff>
        </xdr:from>
        <xdr:to>
          <xdr:col>27</xdr:col>
          <xdr:colOff>19050</xdr:colOff>
          <xdr:row>7</xdr:row>
          <xdr:rowOff>161925</xdr:rowOff>
        </xdr:to>
        <xdr:sp macro="" textlink="">
          <xdr:nvSpPr>
            <xdr:cNvPr id="1103" name="Button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PRIOR PERIOD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</xdr:colOff>
          <xdr:row>8</xdr:row>
          <xdr:rowOff>133350</xdr:rowOff>
        </xdr:from>
        <xdr:to>
          <xdr:col>6</xdr:col>
          <xdr:colOff>9525</xdr:colOff>
          <xdr:row>10</xdr:row>
          <xdr:rowOff>142875</xdr:rowOff>
        </xdr:to>
        <xdr:sp macro="" textlink="">
          <xdr:nvSpPr>
            <xdr:cNvPr id="1104" name="Button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C2.1 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</xdr:colOff>
          <xdr:row>11</xdr:row>
          <xdr:rowOff>57150</xdr:rowOff>
        </xdr:from>
        <xdr:to>
          <xdr:col>6</xdr:col>
          <xdr:colOff>9525</xdr:colOff>
          <xdr:row>13</xdr:row>
          <xdr:rowOff>66675</xdr:rowOff>
        </xdr:to>
        <xdr:sp macro="" textlink="">
          <xdr:nvSpPr>
            <xdr:cNvPr id="1105" name="Button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</xdr:row>
          <xdr:rowOff>9525</xdr:rowOff>
        </xdr:from>
        <xdr:to>
          <xdr:col>8</xdr:col>
          <xdr:colOff>0</xdr:colOff>
          <xdr:row>2</xdr:row>
          <xdr:rowOff>180975</xdr:rowOff>
        </xdr:to>
        <xdr:sp macro="" textlink="">
          <xdr:nvSpPr>
            <xdr:cNvPr id="1106" name="Button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3</xdr:row>
          <xdr:rowOff>95250</xdr:rowOff>
        </xdr:from>
        <xdr:to>
          <xdr:col>8</xdr:col>
          <xdr:colOff>0</xdr:colOff>
          <xdr:row>5</xdr:row>
          <xdr:rowOff>76200</xdr:rowOff>
        </xdr:to>
        <xdr:sp macro="" textlink="">
          <xdr:nvSpPr>
            <xdr:cNvPr id="1107" name="Button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5</xdr:row>
          <xdr:rowOff>171450</xdr:rowOff>
        </xdr:from>
        <xdr:to>
          <xdr:col>8</xdr:col>
          <xdr:colOff>9525</xdr:colOff>
          <xdr:row>7</xdr:row>
          <xdr:rowOff>161925</xdr:rowOff>
        </xdr:to>
        <xdr:sp macro="" textlink="">
          <xdr:nvSpPr>
            <xdr:cNvPr id="1108" name="Button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8</xdr:row>
          <xdr:rowOff>57150</xdr:rowOff>
        </xdr:from>
        <xdr:to>
          <xdr:col>8</xdr:col>
          <xdr:colOff>28575</xdr:colOff>
          <xdr:row>10</xdr:row>
          <xdr:rowOff>47625</xdr:rowOff>
        </xdr:to>
        <xdr:sp macro="" textlink="">
          <xdr:nvSpPr>
            <xdr:cNvPr id="1109" name="Button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10</xdr:row>
          <xdr:rowOff>142875</xdr:rowOff>
        </xdr:from>
        <xdr:to>
          <xdr:col>8</xdr:col>
          <xdr:colOff>0</xdr:colOff>
          <xdr:row>12</xdr:row>
          <xdr:rowOff>133350</xdr:rowOff>
        </xdr:to>
        <xdr:sp macro="" textlink="">
          <xdr:nvSpPr>
            <xdr:cNvPr id="1110" name="Button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13</xdr:row>
          <xdr:rowOff>57150</xdr:rowOff>
        </xdr:from>
        <xdr:to>
          <xdr:col>8</xdr:col>
          <xdr:colOff>19050</xdr:colOff>
          <xdr:row>15</xdr:row>
          <xdr:rowOff>28575</xdr:rowOff>
        </xdr:to>
        <xdr:sp macro="" textlink="">
          <xdr:nvSpPr>
            <xdr:cNvPr id="1111" name="Button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15</xdr:row>
          <xdr:rowOff>133350</xdr:rowOff>
        </xdr:from>
        <xdr:to>
          <xdr:col>8</xdr:col>
          <xdr:colOff>19050</xdr:colOff>
          <xdr:row>17</xdr:row>
          <xdr:rowOff>133350</xdr:rowOff>
        </xdr:to>
        <xdr:sp macro="" textlink="">
          <xdr:nvSpPr>
            <xdr:cNvPr id="1112" name="Button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18</xdr:row>
          <xdr:rowOff>47625</xdr:rowOff>
        </xdr:from>
        <xdr:to>
          <xdr:col>8</xdr:col>
          <xdr:colOff>0</xdr:colOff>
          <xdr:row>20</xdr:row>
          <xdr:rowOff>57150</xdr:rowOff>
        </xdr:to>
        <xdr:sp macro="" textlink="">
          <xdr:nvSpPr>
            <xdr:cNvPr id="1113" name="Button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20</xdr:row>
          <xdr:rowOff>171450</xdr:rowOff>
        </xdr:from>
        <xdr:to>
          <xdr:col>8</xdr:col>
          <xdr:colOff>0</xdr:colOff>
          <xdr:row>22</xdr:row>
          <xdr:rowOff>133350</xdr:rowOff>
        </xdr:to>
        <xdr:sp macro="" textlink="">
          <xdr:nvSpPr>
            <xdr:cNvPr id="1114" name="Button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23</xdr:row>
          <xdr:rowOff>57150</xdr:rowOff>
        </xdr:from>
        <xdr:to>
          <xdr:col>8</xdr:col>
          <xdr:colOff>0</xdr:colOff>
          <xdr:row>25</xdr:row>
          <xdr:rowOff>47625</xdr:rowOff>
        </xdr:to>
        <xdr:sp macro="" textlink="">
          <xdr:nvSpPr>
            <xdr:cNvPr id="1115" name="Button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25</xdr:row>
          <xdr:rowOff>142875</xdr:rowOff>
        </xdr:from>
        <xdr:to>
          <xdr:col>8</xdr:col>
          <xdr:colOff>0</xdr:colOff>
          <xdr:row>27</xdr:row>
          <xdr:rowOff>123825</xdr:rowOff>
        </xdr:to>
        <xdr:sp macro="" textlink="">
          <xdr:nvSpPr>
            <xdr:cNvPr id="1116" name="Button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18</xdr:row>
          <xdr:rowOff>47625</xdr:rowOff>
        </xdr:from>
        <xdr:to>
          <xdr:col>9</xdr:col>
          <xdr:colOff>533400</xdr:colOff>
          <xdr:row>20</xdr:row>
          <xdr:rowOff>38100</xdr:rowOff>
        </xdr:to>
        <xdr:sp macro="" textlink="">
          <xdr:nvSpPr>
            <xdr:cNvPr id="1117" name="Button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20</xdr:row>
          <xdr:rowOff>133350</xdr:rowOff>
        </xdr:from>
        <xdr:to>
          <xdr:col>10</xdr:col>
          <xdr:colOff>9525</xdr:colOff>
          <xdr:row>22</xdr:row>
          <xdr:rowOff>133350</xdr:rowOff>
        </xdr:to>
        <xdr:sp macro="" textlink="">
          <xdr:nvSpPr>
            <xdr:cNvPr id="1118" name="Button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23</xdr:row>
          <xdr:rowOff>57150</xdr:rowOff>
        </xdr:from>
        <xdr:to>
          <xdr:col>10</xdr:col>
          <xdr:colOff>19050</xdr:colOff>
          <xdr:row>25</xdr:row>
          <xdr:rowOff>47625</xdr:rowOff>
        </xdr:to>
        <xdr:sp macro="" textlink="">
          <xdr:nvSpPr>
            <xdr:cNvPr id="1119" name="Button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25</xdr:row>
          <xdr:rowOff>142875</xdr:rowOff>
        </xdr:from>
        <xdr:to>
          <xdr:col>10</xdr:col>
          <xdr:colOff>19050</xdr:colOff>
          <xdr:row>27</xdr:row>
          <xdr:rowOff>133350</xdr:rowOff>
        </xdr:to>
        <xdr:sp macro="" textlink="">
          <xdr:nvSpPr>
            <xdr:cNvPr id="1120" name="Button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19050</xdr:colOff>
          <xdr:row>1</xdr:row>
          <xdr:rowOff>0</xdr:rowOff>
        </xdr:from>
        <xdr:to>
          <xdr:col>12</xdr:col>
          <xdr:colOff>19050</xdr:colOff>
          <xdr:row>2</xdr:row>
          <xdr:rowOff>180975</xdr:rowOff>
        </xdr:to>
        <xdr:sp macro="" textlink="">
          <xdr:nvSpPr>
            <xdr:cNvPr id="1121" name="Button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19050</xdr:colOff>
          <xdr:row>3</xdr:row>
          <xdr:rowOff>95250</xdr:rowOff>
        </xdr:from>
        <xdr:to>
          <xdr:col>12</xdr:col>
          <xdr:colOff>19050</xdr:colOff>
          <xdr:row>5</xdr:row>
          <xdr:rowOff>85725</xdr:rowOff>
        </xdr:to>
        <xdr:sp macro="" textlink="">
          <xdr:nvSpPr>
            <xdr:cNvPr id="1122" name="Button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19050</xdr:colOff>
          <xdr:row>6</xdr:row>
          <xdr:rowOff>19050</xdr:rowOff>
        </xdr:from>
        <xdr:to>
          <xdr:col>12</xdr:col>
          <xdr:colOff>19050</xdr:colOff>
          <xdr:row>8</xdr:row>
          <xdr:rowOff>19050</xdr:rowOff>
        </xdr:to>
        <xdr:sp macro="" textlink="">
          <xdr:nvSpPr>
            <xdr:cNvPr id="1123" name="Button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19050</xdr:colOff>
          <xdr:row>8</xdr:row>
          <xdr:rowOff>95250</xdr:rowOff>
        </xdr:from>
        <xdr:to>
          <xdr:col>12</xdr:col>
          <xdr:colOff>19050</xdr:colOff>
          <xdr:row>10</xdr:row>
          <xdr:rowOff>95250</xdr:rowOff>
        </xdr:to>
        <xdr:sp macro="" textlink="">
          <xdr:nvSpPr>
            <xdr:cNvPr id="1124" name="Button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</xdr:colOff>
          <xdr:row>1</xdr:row>
          <xdr:rowOff>19050</xdr:rowOff>
        </xdr:from>
        <xdr:to>
          <xdr:col>14</xdr:col>
          <xdr:colOff>9525</xdr:colOff>
          <xdr:row>3</xdr:row>
          <xdr:rowOff>19050</xdr:rowOff>
        </xdr:to>
        <xdr:sp macro="" textlink="">
          <xdr:nvSpPr>
            <xdr:cNvPr id="1125" name="Button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</xdr:colOff>
          <xdr:row>3</xdr:row>
          <xdr:rowOff>114300</xdr:rowOff>
        </xdr:from>
        <xdr:to>
          <xdr:col>14</xdr:col>
          <xdr:colOff>19050</xdr:colOff>
          <xdr:row>5</xdr:row>
          <xdr:rowOff>95250</xdr:rowOff>
        </xdr:to>
        <xdr:sp macro="" textlink="">
          <xdr:nvSpPr>
            <xdr:cNvPr id="1126" name="Button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660066"/>
                  </a:solidFill>
                  <a:latin typeface="Courier"/>
                </a:rPr>
                <a:t>SCH F2.1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28575</xdr:colOff>
          <xdr:row>8</xdr:row>
          <xdr:rowOff>95250</xdr:rowOff>
        </xdr:from>
        <xdr:to>
          <xdr:col>16</xdr:col>
          <xdr:colOff>19050</xdr:colOff>
          <xdr:row>10</xdr:row>
          <xdr:rowOff>95250</xdr:rowOff>
        </xdr:to>
        <xdr:sp macro="" textlink="">
          <xdr:nvSpPr>
            <xdr:cNvPr id="1127" name="Button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Courier"/>
                </a:rPr>
                <a:t>SCH H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Courier"/>
                </a:rPr>
                <a:t>BP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28575</xdr:colOff>
          <xdr:row>1</xdr:row>
          <xdr:rowOff>19050</xdr:rowOff>
        </xdr:from>
        <xdr:to>
          <xdr:col>18</xdr:col>
          <xdr:colOff>19050</xdr:colOff>
          <xdr:row>3</xdr:row>
          <xdr:rowOff>9525</xdr:rowOff>
        </xdr:to>
        <xdr:sp macro="" textlink="">
          <xdr:nvSpPr>
            <xdr:cNvPr id="1128" name="Button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28575</xdr:colOff>
          <xdr:row>3</xdr:row>
          <xdr:rowOff>114300</xdr:rowOff>
        </xdr:from>
        <xdr:to>
          <xdr:col>18</xdr:col>
          <xdr:colOff>19050</xdr:colOff>
          <xdr:row>5</xdr:row>
          <xdr:rowOff>95250</xdr:rowOff>
        </xdr:to>
        <xdr:sp macro="" textlink="">
          <xdr:nvSpPr>
            <xdr:cNvPr id="1129" name="Button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19050</xdr:colOff>
          <xdr:row>6</xdr:row>
          <xdr:rowOff>0</xdr:rowOff>
        </xdr:from>
        <xdr:to>
          <xdr:col>18</xdr:col>
          <xdr:colOff>19050</xdr:colOff>
          <xdr:row>7</xdr:row>
          <xdr:rowOff>171450</xdr:rowOff>
        </xdr:to>
        <xdr:sp macro="" textlink="">
          <xdr:nvSpPr>
            <xdr:cNvPr id="1130" name="Button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19050</xdr:colOff>
          <xdr:row>8</xdr:row>
          <xdr:rowOff>95250</xdr:rowOff>
        </xdr:from>
        <xdr:to>
          <xdr:col>18</xdr:col>
          <xdr:colOff>19050</xdr:colOff>
          <xdr:row>10</xdr:row>
          <xdr:rowOff>85725</xdr:rowOff>
        </xdr:to>
        <xdr:sp macro="" textlink="">
          <xdr:nvSpPr>
            <xdr:cNvPr id="1131" name="Button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19050</xdr:colOff>
          <xdr:row>10</xdr:row>
          <xdr:rowOff>171450</xdr:rowOff>
        </xdr:from>
        <xdr:to>
          <xdr:col>18</xdr:col>
          <xdr:colOff>19050</xdr:colOff>
          <xdr:row>12</xdr:row>
          <xdr:rowOff>161925</xdr:rowOff>
        </xdr:to>
        <xdr:sp macro="" textlink="">
          <xdr:nvSpPr>
            <xdr:cNvPr id="1132" name="Button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28575</xdr:colOff>
          <xdr:row>1</xdr:row>
          <xdr:rowOff>9525</xdr:rowOff>
        </xdr:from>
        <xdr:to>
          <xdr:col>19</xdr:col>
          <xdr:colOff>590550</xdr:colOff>
          <xdr:row>2</xdr:row>
          <xdr:rowOff>180975</xdr:rowOff>
        </xdr:to>
        <xdr:sp macro="" textlink="">
          <xdr:nvSpPr>
            <xdr:cNvPr id="1133" name="Button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J1 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28575</xdr:colOff>
          <xdr:row>16</xdr:row>
          <xdr:rowOff>76200</xdr:rowOff>
        </xdr:from>
        <xdr:to>
          <xdr:col>19</xdr:col>
          <xdr:colOff>590550</xdr:colOff>
          <xdr:row>18</xdr:row>
          <xdr:rowOff>57150</xdr:rowOff>
        </xdr:to>
        <xdr:sp macro="" textlink="">
          <xdr:nvSpPr>
            <xdr:cNvPr id="1134" name="Button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6600"/>
                  </a:solidFill>
                  <a:latin typeface="Courier"/>
                </a:rPr>
                <a:t>SCH  K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38100</xdr:colOff>
          <xdr:row>8</xdr:row>
          <xdr:rowOff>85725</xdr:rowOff>
        </xdr:from>
        <xdr:to>
          <xdr:col>21</xdr:col>
          <xdr:colOff>590550</xdr:colOff>
          <xdr:row>10</xdr:row>
          <xdr:rowOff>66675</xdr:rowOff>
        </xdr:to>
        <xdr:sp macro="" textlink="">
          <xdr:nvSpPr>
            <xdr:cNvPr id="1137" name="Button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J2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38100</xdr:colOff>
          <xdr:row>10</xdr:row>
          <xdr:rowOff>171450</xdr:rowOff>
        </xdr:from>
        <xdr:to>
          <xdr:col>21</xdr:col>
          <xdr:colOff>590550</xdr:colOff>
          <xdr:row>12</xdr:row>
          <xdr:rowOff>142875</xdr:rowOff>
        </xdr:to>
        <xdr:sp macro="" textlink="">
          <xdr:nvSpPr>
            <xdr:cNvPr id="1138" name="Button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J3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38100</xdr:colOff>
          <xdr:row>1</xdr:row>
          <xdr:rowOff>9525</xdr:rowOff>
        </xdr:from>
        <xdr:to>
          <xdr:col>21</xdr:col>
          <xdr:colOff>590550</xdr:colOff>
          <xdr:row>2</xdr:row>
          <xdr:rowOff>180975</xdr:rowOff>
        </xdr:to>
        <xdr:sp macro="" textlink="">
          <xdr:nvSpPr>
            <xdr:cNvPr id="1140" name="Button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J1 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6</xdr:row>
          <xdr:rowOff>19050</xdr:rowOff>
        </xdr:from>
        <xdr:to>
          <xdr:col>2</xdr:col>
          <xdr:colOff>0</xdr:colOff>
          <xdr:row>8</xdr:row>
          <xdr:rowOff>19050</xdr:rowOff>
        </xdr:to>
        <xdr:sp macro="" textlink="">
          <xdr:nvSpPr>
            <xdr:cNvPr id="1143" name="Button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8</xdr:row>
          <xdr:rowOff>95250</xdr:rowOff>
        </xdr:from>
        <xdr:to>
          <xdr:col>2</xdr:col>
          <xdr:colOff>0</xdr:colOff>
          <xdr:row>10</xdr:row>
          <xdr:rowOff>95250</xdr:rowOff>
        </xdr:to>
        <xdr:sp macro="" textlink="">
          <xdr:nvSpPr>
            <xdr:cNvPr id="1144" name="Button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10</xdr:row>
          <xdr:rowOff>180975</xdr:rowOff>
        </xdr:from>
        <xdr:to>
          <xdr:col>2</xdr:col>
          <xdr:colOff>0</xdr:colOff>
          <xdr:row>12</xdr:row>
          <xdr:rowOff>171450</xdr:rowOff>
        </xdr:to>
        <xdr:sp macro="" textlink="">
          <xdr:nvSpPr>
            <xdr:cNvPr id="1145" name="Button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13</xdr:row>
          <xdr:rowOff>76200</xdr:rowOff>
        </xdr:from>
        <xdr:to>
          <xdr:col>2</xdr:col>
          <xdr:colOff>0</xdr:colOff>
          <xdr:row>15</xdr:row>
          <xdr:rowOff>57150</xdr:rowOff>
        </xdr:to>
        <xdr:sp macro="" textlink="">
          <xdr:nvSpPr>
            <xdr:cNvPr id="1146" name="Button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15</xdr:row>
          <xdr:rowOff>142875</xdr:rowOff>
        </xdr:from>
        <xdr:to>
          <xdr:col>2</xdr:col>
          <xdr:colOff>0</xdr:colOff>
          <xdr:row>17</xdr:row>
          <xdr:rowOff>133350</xdr:rowOff>
        </xdr:to>
        <xdr:sp macro="" textlink="">
          <xdr:nvSpPr>
            <xdr:cNvPr id="1147" name="Button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18</xdr:row>
          <xdr:rowOff>47625</xdr:rowOff>
        </xdr:from>
        <xdr:to>
          <xdr:col>2</xdr:col>
          <xdr:colOff>0</xdr:colOff>
          <xdr:row>20</xdr:row>
          <xdr:rowOff>38100</xdr:rowOff>
        </xdr:to>
        <xdr:sp macro="" textlink="">
          <xdr:nvSpPr>
            <xdr:cNvPr id="1148" name="Button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20</xdr:row>
          <xdr:rowOff>152400</xdr:rowOff>
        </xdr:from>
        <xdr:to>
          <xdr:col>2</xdr:col>
          <xdr:colOff>0</xdr:colOff>
          <xdr:row>22</xdr:row>
          <xdr:rowOff>133350</xdr:rowOff>
        </xdr:to>
        <xdr:sp macro="" textlink="">
          <xdr:nvSpPr>
            <xdr:cNvPr id="1149" name="Button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23</xdr:row>
          <xdr:rowOff>57150</xdr:rowOff>
        </xdr:from>
        <xdr:to>
          <xdr:col>2</xdr:col>
          <xdr:colOff>0</xdr:colOff>
          <xdr:row>25</xdr:row>
          <xdr:rowOff>47625</xdr:rowOff>
        </xdr:to>
        <xdr:sp macro="" textlink="">
          <xdr:nvSpPr>
            <xdr:cNvPr id="1150" name="Button 126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</xdr:row>
          <xdr:rowOff>9525</xdr:rowOff>
        </xdr:from>
        <xdr:to>
          <xdr:col>3</xdr:col>
          <xdr:colOff>533400</xdr:colOff>
          <xdr:row>2</xdr:row>
          <xdr:rowOff>180975</xdr:rowOff>
        </xdr:to>
        <xdr:sp macro="" textlink="">
          <xdr:nvSpPr>
            <xdr:cNvPr id="1151" name="Button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</xdr:row>
          <xdr:rowOff>114300</xdr:rowOff>
        </xdr:from>
        <xdr:to>
          <xdr:col>3</xdr:col>
          <xdr:colOff>533400</xdr:colOff>
          <xdr:row>5</xdr:row>
          <xdr:rowOff>95250</xdr:rowOff>
        </xdr:to>
        <xdr:sp macro="" textlink="">
          <xdr:nvSpPr>
            <xdr:cNvPr id="1152" name="Button 12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6</xdr:row>
          <xdr:rowOff>19050</xdr:rowOff>
        </xdr:from>
        <xdr:to>
          <xdr:col>3</xdr:col>
          <xdr:colOff>533400</xdr:colOff>
          <xdr:row>8</xdr:row>
          <xdr:rowOff>19050</xdr:rowOff>
        </xdr:to>
        <xdr:sp macro="" textlink="">
          <xdr:nvSpPr>
            <xdr:cNvPr id="1153" name="Button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8</xdr:row>
          <xdr:rowOff>133350</xdr:rowOff>
        </xdr:from>
        <xdr:to>
          <xdr:col>3</xdr:col>
          <xdr:colOff>533400</xdr:colOff>
          <xdr:row>10</xdr:row>
          <xdr:rowOff>123825</xdr:rowOff>
        </xdr:to>
        <xdr:sp macro="" textlink="">
          <xdr:nvSpPr>
            <xdr:cNvPr id="1154" name="Button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11</xdr:row>
          <xdr:rowOff>28575</xdr:rowOff>
        </xdr:from>
        <xdr:to>
          <xdr:col>3</xdr:col>
          <xdr:colOff>533400</xdr:colOff>
          <xdr:row>13</xdr:row>
          <xdr:rowOff>19050</xdr:rowOff>
        </xdr:to>
        <xdr:sp macro="" textlink="">
          <xdr:nvSpPr>
            <xdr:cNvPr id="1155" name="Button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B4.1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47625</xdr:colOff>
          <xdr:row>1</xdr:row>
          <xdr:rowOff>28575</xdr:rowOff>
        </xdr:from>
        <xdr:to>
          <xdr:col>24</xdr:col>
          <xdr:colOff>38100</xdr:colOff>
          <xdr:row>3</xdr:row>
          <xdr:rowOff>28575</xdr:rowOff>
        </xdr:to>
        <xdr:sp macro="" textlink="">
          <xdr:nvSpPr>
            <xdr:cNvPr id="1162" name="Button 138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WPB-2s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47625</xdr:colOff>
          <xdr:row>3</xdr:row>
          <xdr:rowOff>133350</xdr:rowOff>
        </xdr:from>
        <xdr:to>
          <xdr:col>24</xdr:col>
          <xdr:colOff>38100</xdr:colOff>
          <xdr:row>5</xdr:row>
          <xdr:rowOff>123825</xdr:rowOff>
        </xdr:to>
        <xdr:sp macro="" textlink="">
          <xdr:nvSpPr>
            <xdr:cNvPr id="1163" name="Button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WPB-3s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38100</xdr:colOff>
          <xdr:row>13</xdr:row>
          <xdr:rowOff>152400</xdr:rowOff>
        </xdr:from>
        <xdr:to>
          <xdr:col>24</xdr:col>
          <xdr:colOff>57150</xdr:colOff>
          <xdr:row>15</xdr:row>
          <xdr:rowOff>133350</xdr:rowOff>
        </xdr:to>
        <xdr:sp macro="" textlink="">
          <xdr:nvSpPr>
            <xdr:cNvPr id="1164" name="Button 140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FF00"/>
                  </a:solidFill>
                  <a:latin typeface="Courier"/>
                </a:rPr>
                <a:t>WPE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47625</xdr:colOff>
          <xdr:row>11</xdr:row>
          <xdr:rowOff>57150</xdr:rowOff>
        </xdr:from>
        <xdr:to>
          <xdr:col>24</xdr:col>
          <xdr:colOff>47625</xdr:colOff>
          <xdr:row>13</xdr:row>
          <xdr:rowOff>57150</xdr:rowOff>
        </xdr:to>
        <xdr:sp macro="" textlink="">
          <xdr:nvSpPr>
            <xdr:cNvPr id="1165" name="Button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WPD 2s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47625</xdr:colOff>
          <xdr:row>6</xdr:row>
          <xdr:rowOff>19050</xdr:rowOff>
        </xdr:from>
        <xdr:to>
          <xdr:col>24</xdr:col>
          <xdr:colOff>38100</xdr:colOff>
          <xdr:row>8</xdr:row>
          <xdr:rowOff>19050</xdr:rowOff>
        </xdr:to>
        <xdr:sp macro="" textlink="">
          <xdr:nvSpPr>
            <xdr:cNvPr id="1166" name="Button 142" hidden="1">
              <a:extLst>
                <a:ext uri="{63B3BB69-23CF-44E3-9099-C40C66FF867C}">
                  <a14:compatExt spid="_x0000_s1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WPB-5s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47625</xdr:colOff>
          <xdr:row>8</xdr:row>
          <xdr:rowOff>95250</xdr:rowOff>
        </xdr:from>
        <xdr:to>
          <xdr:col>24</xdr:col>
          <xdr:colOff>38100</xdr:colOff>
          <xdr:row>10</xdr:row>
          <xdr:rowOff>95250</xdr:rowOff>
        </xdr:to>
        <xdr:sp macro="" textlink="">
          <xdr:nvSpPr>
            <xdr:cNvPr id="1167" name="Button 143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19050</xdr:colOff>
          <xdr:row>11</xdr:row>
          <xdr:rowOff>19050</xdr:rowOff>
        </xdr:from>
        <xdr:to>
          <xdr:col>12</xdr:col>
          <xdr:colOff>19050</xdr:colOff>
          <xdr:row>12</xdr:row>
          <xdr:rowOff>171450</xdr:rowOff>
        </xdr:to>
        <xdr:sp macro="" textlink="">
          <xdr:nvSpPr>
            <xdr:cNvPr id="1170" name="Button 146" hidden="1">
              <a:extLst>
                <a:ext uri="{63B3BB69-23CF-44E3-9099-C40C66FF867C}">
                  <a14:compatExt spid="_x0000_s1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19050</xdr:colOff>
          <xdr:row>13</xdr:row>
          <xdr:rowOff>95250</xdr:rowOff>
        </xdr:from>
        <xdr:to>
          <xdr:col>12</xdr:col>
          <xdr:colOff>38100</xdr:colOff>
          <xdr:row>15</xdr:row>
          <xdr:rowOff>57150</xdr:rowOff>
        </xdr:to>
        <xdr:sp macro="" textlink="">
          <xdr:nvSpPr>
            <xdr:cNvPr id="1171" name="Button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28575</xdr:colOff>
          <xdr:row>10</xdr:row>
          <xdr:rowOff>171450</xdr:rowOff>
        </xdr:from>
        <xdr:to>
          <xdr:col>16</xdr:col>
          <xdr:colOff>19050</xdr:colOff>
          <xdr:row>12</xdr:row>
          <xdr:rowOff>171450</xdr:rowOff>
        </xdr:to>
        <xdr:sp macro="" textlink="">
          <xdr:nvSpPr>
            <xdr:cNvPr id="1172" name="Button 148" hidden="1">
              <a:extLst>
                <a:ext uri="{63B3BB69-23CF-44E3-9099-C40C66FF867C}">
                  <a14:compatExt spid="_x0000_s1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Courier"/>
                </a:rPr>
                <a:t>SCH H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Courier"/>
                </a:rPr>
                <a:t>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19050</xdr:colOff>
          <xdr:row>15</xdr:row>
          <xdr:rowOff>171450</xdr:rowOff>
        </xdr:from>
        <xdr:to>
          <xdr:col>12</xdr:col>
          <xdr:colOff>38100</xdr:colOff>
          <xdr:row>17</xdr:row>
          <xdr:rowOff>142875</xdr:rowOff>
        </xdr:to>
        <xdr:sp macro="" textlink="">
          <xdr:nvSpPr>
            <xdr:cNvPr id="1173" name="Button 149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19050</xdr:colOff>
          <xdr:row>18</xdr:row>
          <xdr:rowOff>66675</xdr:rowOff>
        </xdr:from>
        <xdr:to>
          <xdr:col>12</xdr:col>
          <xdr:colOff>19050</xdr:colOff>
          <xdr:row>20</xdr:row>
          <xdr:rowOff>38100</xdr:rowOff>
        </xdr:to>
        <xdr:sp macro="" textlink="">
          <xdr:nvSpPr>
            <xdr:cNvPr id="1174" name="Button 150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19050</xdr:colOff>
          <xdr:row>20</xdr:row>
          <xdr:rowOff>133350</xdr:rowOff>
        </xdr:from>
        <xdr:to>
          <xdr:col>12</xdr:col>
          <xdr:colOff>19050</xdr:colOff>
          <xdr:row>22</xdr:row>
          <xdr:rowOff>95250</xdr:rowOff>
        </xdr:to>
        <xdr:sp macro="" textlink="">
          <xdr:nvSpPr>
            <xdr:cNvPr id="1177" name="Button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</xdr:colOff>
          <xdr:row>23</xdr:row>
          <xdr:rowOff>95250</xdr:rowOff>
        </xdr:from>
        <xdr:to>
          <xdr:col>14</xdr:col>
          <xdr:colOff>19050</xdr:colOff>
          <xdr:row>25</xdr:row>
          <xdr:rowOff>66675</xdr:rowOff>
        </xdr:to>
        <xdr:sp macro="" textlink="">
          <xdr:nvSpPr>
            <xdr:cNvPr id="1178" name="Button 154" hidden="1">
              <a:extLst>
                <a:ext uri="{63B3BB69-23CF-44E3-9099-C40C66FF867C}">
                  <a14:compatExt spid="_x0000_s1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FF00"/>
                  </a:solidFill>
                  <a:latin typeface="Courier"/>
                </a:rPr>
                <a:t>SCH E1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</xdr:colOff>
          <xdr:row>25</xdr:row>
          <xdr:rowOff>142875</xdr:rowOff>
        </xdr:from>
        <xdr:to>
          <xdr:col>14</xdr:col>
          <xdr:colOff>19050</xdr:colOff>
          <xdr:row>27</xdr:row>
          <xdr:rowOff>133350</xdr:rowOff>
        </xdr:to>
        <xdr:sp macro="" textlink="">
          <xdr:nvSpPr>
            <xdr:cNvPr id="1179" name="Button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FF00"/>
                  </a:solidFill>
                  <a:latin typeface="Courier"/>
                </a:rPr>
                <a:t>SCH E2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19050</xdr:colOff>
          <xdr:row>23</xdr:row>
          <xdr:rowOff>57150</xdr:rowOff>
        </xdr:from>
        <xdr:to>
          <xdr:col>12</xdr:col>
          <xdr:colOff>19050</xdr:colOff>
          <xdr:row>25</xdr:row>
          <xdr:rowOff>19050</xdr:rowOff>
        </xdr:to>
        <xdr:sp macro="" textlink="">
          <xdr:nvSpPr>
            <xdr:cNvPr id="1180" name="Button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25</xdr:row>
          <xdr:rowOff>171450</xdr:rowOff>
        </xdr:from>
        <xdr:to>
          <xdr:col>12</xdr:col>
          <xdr:colOff>19050</xdr:colOff>
          <xdr:row>27</xdr:row>
          <xdr:rowOff>133350</xdr:rowOff>
        </xdr:to>
        <xdr:sp macro="" textlink="">
          <xdr:nvSpPr>
            <xdr:cNvPr id="1181" name="Button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28</xdr:row>
          <xdr:rowOff>9525</xdr:rowOff>
        </xdr:from>
        <xdr:to>
          <xdr:col>12</xdr:col>
          <xdr:colOff>9525</xdr:colOff>
          <xdr:row>29</xdr:row>
          <xdr:rowOff>171450</xdr:rowOff>
        </xdr:to>
        <xdr:sp macro="" textlink="">
          <xdr:nvSpPr>
            <xdr:cNvPr id="1182" name="Button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30</xdr:row>
          <xdr:rowOff>57150</xdr:rowOff>
        </xdr:from>
        <xdr:to>
          <xdr:col>12</xdr:col>
          <xdr:colOff>9525</xdr:colOff>
          <xdr:row>32</xdr:row>
          <xdr:rowOff>19050</xdr:rowOff>
        </xdr:to>
        <xdr:sp macro="" textlink="">
          <xdr:nvSpPr>
            <xdr:cNvPr id="1183" name="Button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19050</xdr:colOff>
          <xdr:row>32</xdr:row>
          <xdr:rowOff>95250</xdr:rowOff>
        </xdr:from>
        <xdr:to>
          <xdr:col>12</xdr:col>
          <xdr:colOff>19050</xdr:colOff>
          <xdr:row>34</xdr:row>
          <xdr:rowOff>123825</xdr:rowOff>
        </xdr:to>
        <xdr:sp macro="" textlink="">
          <xdr:nvSpPr>
            <xdr:cNvPr id="1184" name="Button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SCH D2.35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V="1">
          <a:off x="1533906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15361" name="Line 1"/>
        <xdr:cNvSpPr>
          <a:spLocks noChangeShapeType="1"/>
        </xdr:cNvSpPr>
      </xdr:nvSpPr>
      <xdr:spPr bwMode="auto">
        <a:xfrm flipV="1">
          <a:off x="1533906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16385" name="Line 1"/>
        <xdr:cNvSpPr>
          <a:spLocks noChangeShapeType="1"/>
        </xdr:cNvSpPr>
      </xdr:nvSpPr>
      <xdr:spPr bwMode="auto">
        <a:xfrm flipV="1">
          <a:off x="1533906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17409" name="Line 1"/>
        <xdr:cNvSpPr>
          <a:spLocks noChangeShapeType="1"/>
        </xdr:cNvSpPr>
      </xdr:nvSpPr>
      <xdr:spPr bwMode="auto">
        <a:xfrm flipV="1">
          <a:off x="1581150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18433" name="Line 1"/>
        <xdr:cNvSpPr>
          <a:spLocks noChangeShapeType="1"/>
        </xdr:cNvSpPr>
      </xdr:nvSpPr>
      <xdr:spPr bwMode="auto">
        <a:xfrm flipV="1">
          <a:off x="1565910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19457" name="Line 1"/>
        <xdr:cNvSpPr>
          <a:spLocks noChangeShapeType="1"/>
        </xdr:cNvSpPr>
      </xdr:nvSpPr>
      <xdr:spPr bwMode="auto">
        <a:xfrm flipV="1">
          <a:off x="1565910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41985" name="Line 1"/>
        <xdr:cNvSpPr>
          <a:spLocks noChangeShapeType="1"/>
        </xdr:cNvSpPr>
      </xdr:nvSpPr>
      <xdr:spPr bwMode="auto">
        <a:xfrm flipV="1">
          <a:off x="1565910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20481" name="Line 1"/>
        <xdr:cNvSpPr>
          <a:spLocks noChangeShapeType="1"/>
        </xdr:cNvSpPr>
      </xdr:nvSpPr>
      <xdr:spPr bwMode="auto">
        <a:xfrm flipV="1">
          <a:off x="1565910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60</xdr:row>
      <xdr:rowOff>144780</xdr:rowOff>
    </xdr:from>
    <xdr:to>
      <xdr:col>19</xdr:col>
      <xdr:colOff>624840</xdr:colOff>
      <xdr:row>63</xdr:row>
      <xdr:rowOff>7620</xdr:rowOff>
    </xdr:to>
    <xdr:sp macro="" textlink="">
      <xdr:nvSpPr>
        <xdr:cNvPr id="21505" name="Line 1"/>
        <xdr:cNvSpPr>
          <a:spLocks noChangeShapeType="1"/>
        </xdr:cNvSpPr>
      </xdr:nvSpPr>
      <xdr:spPr bwMode="auto">
        <a:xfrm flipV="1">
          <a:off x="15339060" y="116052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844974</xdr:colOff>
      <xdr:row>72</xdr:row>
      <xdr:rowOff>144780</xdr:rowOff>
    </xdr:from>
    <xdr:to>
      <xdr:col>19</xdr:col>
      <xdr:colOff>844974</xdr:colOff>
      <xdr:row>75</xdr:row>
      <xdr:rowOff>7620</xdr:rowOff>
    </xdr:to>
    <xdr:sp macro="" textlink="">
      <xdr:nvSpPr>
        <xdr:cNvPr id="46081" name="Line 1"/>
        <xdr:cNvSpPr>
          <a:spLocks noChangeShapeType="1"/>
        </xdr:cNvSpPr>
      </xdr:nvSpPr>
      <xdr:spPr bwMode="auto">
        <a:xfrm flipV="1">
          <a:off x="13883641" y="12353713"/>
          <a:ext cx="0" cy="3708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</xdr:row>
          <xdr:rowOff>0</xdr:rowOff>
        </xdr:from>
        <xdr:to>
          <xdr:col>2</xdr:col>
          <xdr:colOff>0</xdr:colOff>
          <xdr:row>3</xdr:row>
          <xdr:rowOff>9525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Courier"/>
                </a:rPr>
                <a:t>SCH 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3</xdr:row>
          <xdr:rowOff>95250</xdr:rowOff>
        </xdr:from>
        <xdr:to>
          <xdr:col>2</xdr:col>
          <xdr:colOff>0</xdr:colOff>
          <xdr:row>5</xdr:row>
          <xdr:rowOff>76200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28575</xdr:rowOff>
        </xdr:from>
        <xdr:to>
          <xdr:col>3</xdr:col>
          <xdr:colOff>533400</xdr:colOff>
          <xdr:row>15</xdr:row>
          <xdr:rowOff>19050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15</xdr:row>
          <xdr:rowOff>123825</xdr:rowOff>
        </xdr:from>
        <xdr:to>
          <xdr:col>3</xdr:col>
          <xdr:colOff>533400</xdr:colOff>
          <xdr:row>17</xdr:row>
          <xdr:rowOff>104775</xdr:rowOff>
        </xdr:to>
        <xdr:sp macro="" textlink="">
          <xdr:nvSpPr>
            <xdr:cNvPr id="2052" name="Button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161925</xdr:rowOff>
        </xdr:from>
        <xdr:to>
          <xdr:col>4</xdr:col>
          <xdr:colOff>0</xdr:colOff>
          <xdr:row>19</xdr:row>
          <xdr:rowOff>152400</xdr:rowOff>
        </xdr:to>
        <xdr:sp macro="" textlink="">
          <xdr:nvSpPr>
            <xdr:cNvPr id="2053" name="Button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20</xdr:row>
          <xdr:rowOff>76200</xdr:rowOff>
        </xdr:from>
        <xdr:to>
          <xdr:col>4</xdr:col>
          <xdr:colOff>0</xdr:colOff>
          <xdr:row>22</xdr:row>
          <xdr:rowOff>57150</xdr:rowOff>
        </xdr:to>
        <xdr:sp macro="" textlink="">
          <xdr:nvSpPr>
            <xdr:cNvPr id="2054" name="Button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</xdr:colOff>
          <xdr:row>1</xdr:row>
          <xdr:rowOff>9525</xdr:rowOff>
        </xdr:from>
        <xdr:to>
          <xdr:col>5</xdr:col>
          <xdr:colOff>533400</xdr:colOff>
          <xdr:row>3</xdr:row>
          <xdr:rowOff>9525</xdr:rowOff>
        </xdr:to>
        <xdr:sp macro="" textlink="">
          <xdr:nvSpPr>
            <xdr:cNvPr id="2055" name="Button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</xdr:colOff>
          <xdr:row>3</xdr:row>
          <xdr:rowOff>95250</xdr:rowOff>
        </xdr:from>
        <xdr:to>
          <xdr:col>5</xdr:col>
          <xdr:colOff>533400</xdr:colOff>
          <xdr:row>5</xdr:row>
          <xdr:rowOff>95250</xdr:rowOff>
        </xdr:to>
        <xdr:sp macro="" textlink="">
          <xdr:nvSpPr>
            <xdr:cNvPr id="2056" name="Butto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C2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6</xdr:row>
          <xdr:rowOff>0</xdr:rowOff>
        </xdr:from>
        <xdr:to>
          <xdr:col>6</xdr:col>
          <xdr:colOff>0</xdr:colOff>
          <xdr:row>8</xdr:row>
          <xdr:rowOff>9525</xdr:rowOff>
        </xdr:to>
        <xdr:sp macro="" textlink="">
          <xdr:nvSpPr>
            <xdr:cNvPr id="2057" name="Button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2.1 BP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10</xdr:row>
          <xdr:rowOff>104775</xdr:rowOff>
        </xdr:from>
        <xdr:to>
          <xdr:col>8</xdr:col>
          <xdr:colOff>0</xdr:colOff>
          <xdr:row>12</xdr:row>
          <xdr:rowOff>104775</xdr:rowOff>
        </xdr:to>
        <xdr:sp macro="" textlink="">
          <xdr:nvSpPr>
            <xdr:cNvPr id="2062" name="Button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13</xdr:row>
          <xdr:rowOff>0</xdr:rowOff>
        </xdr:from>
        <xdr:to>
          <xdr:col>8</xdr:col>
          <xdr:colOff>9525</xdr:colOff>
          <xdr:row>14</xdr:row>
          <xdr:rowOff>171450</xdr:rowOff>
        </xdr:to>
        <xdr:sp macro="" textlink="">
          <xdr:nvSpPr>
            <xdr:cNvPr id="2063" name="Button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15</xdr:row>
          <xdr:rowOff>76200</xdr:rowOff>
        </xdr:from>
        <xdr:to>
          <xdr:col>8</xdr:col>
          <xdr:colOff>9525</xdr:colOff>
          <xdr:row>17</xdr:row>
          <xdr:rowOff>66675</xdr:rowOff>
        </xdr:to>
        <xdr:sp macro="" textlink="">
          <xdr:nvSpPr>
            <xdr:cNvPr id="2064" name="Button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17</xdr:row>
          <xdr:rowOff>161925</xdr:rowOff>
        </xdr:from>
        <xdr:to>
          <xdr:col>8</xdr:col>
          <xdr:colOff>0</xdr:colOff>
          <xdr:row>19</xdr:row>
          <xdr:rowOff>171450</xdr:rowOff>
        </xdr:to>
        <xdr:sp macro="" textlink="">
          <xdr:nvSpPr>
            <xdr:cNvPr id="2065" name="Button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20</xdr:row>
          <xdr:rowOff>85725</xdr:rowOff>
        </xdr:from>
        <xdr:to>
          <xdr:col>8</xdr:col>
          <xdr:colOff>0</xdr:colOff>
          <xdr:row>22</xdr:row>
          <xdr:rowOff>57150</xdr:rowOff>
        </xdr:to>
        <xdr:sp macro="" textlink="">
          <xdr:nvSpPr>
            <xdr:cNvPr id="2066" name="Button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22</xdr:row>
          <xdr:rowOff>161925</xdr:rowOff>
        </xdr:from>
        <xdr:to>
          <xdr:col>8</xdr:col>
          <xdr:colOff>0</xdr:colOff>
          <xdr:row>24</xdr:row>
          <xdr:rowOff>142875</xdr:rowOff>
        </xdr:to>
        <xdr:sp macro="" textlink="">
          <xdr:nvSpPr>
            <xdr:cNvPr id="2067" name="Button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25</xdr:row>
          <xdr:rowOff>57150</xdr:rowOff>
        </xdr:from>
        <xdr:to>
          <xdr:col>8</xdr:col>
          <xdr:colOff>0</xdr:colOff>
          <xdr:row>27</xdr:row>
          <xdr:rowOff>28575</xdr:rowOff>
        </xdr:to>
        <xdr:sp macro="" textlink="">
          <xdr:nvSpPr>
            <xdr:cNvPr id="2068" name="Button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1</xdr:row>
          <xdr:rowOff>19050</xdr:rowOff>
        </xdr:from>
        <xdr:to>
          <xdr:col>10</xdr:col>
          <xdr:colOff>0</xdr:colOff>
          <xdr:row>2</xdr:row>
          <xdr:rowOff>180975</xdr:rowOff>
        </xdr:to>
        <xdr:sp macro="" textlink="">
          <xdr:nvSpPr>
            <xdr:cNvPr id="2069" name="Button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3</xdr:row>
          <xdr:rowOff>95250</xdr:rowOff>
        </xdr:from>
        <xdr:to>
          <xdr:col>10</xdr:col>
          <xdr:colOff>0</xdr:colOff>
          <xdr:row>5</xdr:row>
          <xdr:rowOff>66675</xdr:rowOff>
        </xdr:to>
        <xdr:sp macro="" textlink="">
          <xdr:nvSpPr>
            <xdr:cNvPr id="2070" name="Button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5</xdr:row>
          <xdr:rowOff>161925</xdr:rowOff>
        </xdr:from>
        <xdr:to>
          <xdr:col>10</xdr:col>
          <xdr:colOff>9525</xdr:colOff>
          <xdr:row>7</xdr:row>
          <xdr:rowOff>152400</xdr:rowOff>
        </xdr:to>
        <xdr:sp macro="" textlink="">
          <xdr:nvSpPr>
            <xdr:cNvPr id="2071" name="Button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8</xdr:row>
          <xdr:rowOff>47625</xdr:rowOff>
        </xdr:from>
        <xdr:to>
          <xdr:col>10</xdr:col>
          <xdr:colOff>9525</xdr:colOff>
          <xdr:row>10</xdr:row>
          <xdr:rowOff>28575</xdr:rowOff>
        </xdr:to>
        <xdr:sp macro="" textlink="">
          <xdr:nvSpPr>
            <xdr:cNvPr id="2072" name="Button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10</xdr:row>
          <xdr:rowOff>104775</xdr:rowOff>
        </xdr:from>
        <xdr:to>
          <xdr:col>10</xdr:col>
          <xdr:colOff>0</xdr:colOff>
          <xdr:row>12</xdr:row>
          <xdr:rowOff>104775</xdr:rowOff>
        </xdr:to>
        <xdr:sp macro="" textlink="">
          <xdr:nvSpPr>
            <xdr:cNvPr id="2073" name="Button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12</xdr:row>
          <xdr:rowOff>171450</xdr:rowOff>
        </xdr:from>
        <xdr:to>
          <xdr:col>10</xdr:col>
          <xdr:colOff>0</xdr:colOff>
          <xdr:row>14</xdr:row>
          <xdr:rowOff>180975</xdr:rowOff>
        </xdr:to>
        <xdr:sp macro="" textlink="">
          <xdr:nvSpPr>
            <xdr:cNvPr id="2074" name="Button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15</xdr:row>
          <xdr:rowOff>85725</xdr:rowOff>
        </xdr:from>
        <xdr:to>
          <xdr:col>10</xdr:col>
          <xdr:colOff>0</xdr:colOff>
          <xdr:row>17</xdr:row>
          <xdr:rowOff>76200</xdr:rowOff>
        </xdr:to>
        <xdr:sp macro="" textlink="">
          <xdr:nvSpPr>
            <xdr:cNvPr id="2075" name="Button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38100</xdr:colOff>
          <xdr:row>1</xdr:row>
          <xdr:rowOff>28575</xdr:rowOff>
        </xdr:from>
        <xdr:to>
          <xdr:col>27</xdr:col>
          <xdr:colOff>0</xdr:colOff>
          <xdr:row>3</xdr:row>
          <xdr:rowOff>9525</xdr:rowOff>
        </xdr:to>
        <xdr:sp macro="" textlink="">
          <xdr:nvSpPr>
            <xdr:cNvPr id="2092" name="Button 44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FF00"/>
                  </a:solidFill>
                  <a:latin typeface="Times New Roman"/>
                  <a:cs typeface="Times New Roman"/>
                </a:rPr>
                <a:t>PRINT ALL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38100</xdr:colOff>
          <xdr:row>3</xdr:row>
          <xdr:rowOff>95250</xdr:rowOff>
        </xdr:from>
        <xdr:to>
          <xdr:col>27</xdr:col>
          <xdr:colOff>0</xdr:colOff>
          <xdr:row>5</xdr:row>
          <xdr:rowOff>76200</xdr:rowOff>
        </xdr:to>
        <xdr:sp macro="" textlink="">
          <xdr:nvSpPr>
            <xdr:cNvPr id="2093" name="Button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Times New Roman"/>
                  <a:cs typeface="Times New Roman"/>
                </a:rPr>
                <a:t>PRINT B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38100</xdr:colOff>
          <xdr:row>5</xdr:row>
          <xdr:rowOff>171450</xdr:rowOff>
        </xdr:from>
        <xdr:to>
          <xdr:col>27</xdr:col>
          <xdr:colOff>0</xdr:colOff>
          <xdr:row>8</xdr:row>
          <xdr:rowOff>9525</xdr:rowOff>
        </xdr:to>
        <xdr:sp macro="" textlink="">
          <xdr:nvSpPr>
            <xdr:cNvPr id="2094" name="Button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Times New Roman"/>
                  <a:cs typeface="Times New Roman"/>
                </a:rPr>
                <a:t>PRINT C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38100</xdr:colOff>
          <xdr:row>8</xdr:row>
          <xdr:rowOff>95250</xdr:rowOff>
        </xdr:from>
        <xdr:to>
          <xdr:col>27</xdr:col>
          <xdr:colOff>0</xdr:colOff>
          <xdr:row>10</xdr:row>
          <xdr:rowOff>85725</xdr:rowOff>
        </xdr:to>
        <xdr:sp macro="" textlink="">
          <xdr:nvSpPr>
            <xdr:cNvPr id="2098" name="Button 50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Times New Roman"/>
                  <a:cs typeface="Times New Roman"/>
                </a:rPr>
                <a:t>PRINT D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38100</xdr:colOff>
          <xdr:row>10</xdr:row>
          <xdr:rowOff>171450</xdr:rowOff>
        </xdr:from>
        <xdr:to>
          <xdr:col>27</xdr:col>
          <xdr:colOff>0</xdr:colOff>
          <xdr:row>12</xdr:row>
          <xdr:rowOff>171450</xdr:rowOff>
        </xdr:to>
        <xdr:sp macro="" textlink="">
          <xdr:nvSpPr>
            <xdr:cNvPr id="2099" name="Button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FF"/>
                  </a:solidFill>
                  <a:latin typeface="Times New Roman"/>
                  <a:cs typeface="Times New Roman"/>
                </a:rPr>
                <a:t>PRINT E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38100</xdr:colOff>
          <xdr:row>13</xdr:row>
          <xdr:rowOff>76200</xdr:rowOff>
        </xdr:from>
        <xdr:to>
          <xdr:col>27</xdr:col>
          <xdr:colOff>0</xdr:colOff>
          <xdr:row>15</xdr:row>
          <xdr:rowOff>57150</xdr:rowOff>
        </xdr:to>
        <xdr:sp macro="" textlink="">
          <xdr:nvSpPr>
            <xdr:cNvPr id="2100" name="Button 52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Times New Roman"/>
                  <a:cs typeface="Times New Roman"/>
                </a:rPr>
                <a:t>PRINT F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38100</xdr:colOff>
          <xdr:row>15</xdr:row>
          <xdr:rowOff>161925</xdr:rowOff>
        </xdr:from>
        <xdr:to>
          <xdr:col>27</xdr:col>
          <xdr:colOff>0</xdr:colOff>
          <xdr:row>17</xdr:row>
          <xdr:rowOff>142875</xdr:rowOff>
        </xdr:to>
        <xdr:sp macro="" textlink="">
          <xdr:nvSpPr>
            <xdr:cNvPr id="2101" name="Button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FFFF"/>
                  </a:solidFill>
                  <a:latin typeface="Times New Roman"/>
                  <a:cs typeface="Times New Roman"/>
                </a:rPr>
                <a:t>PRINT G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38100</xdr:colOff>
          <xdr:row>18</xdr:row>
          <xdr:rowOff>57150</xdr:rowOff>
        </xdr:from>
        <xdr:to>
          <xdr:col>27</xdr:col>
          <xdr:colOff>0</xdr:colOff>
          <xdr:row>20</xdr:row>
          <xdr:rowOff>66675</xdr:rowOff>
        </xdr:to>
        <xdr:sp macro="" textlink="">
          <xdr:nvSpPr>
            <xdr:cNvPr id="2102" name="Button 54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PRINT I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28575</xdr:colOff>
          <xdr:row>11</xdr:row>
          <xdr:rowOff>28575</xdr:rowOff>
        </xdr:from>
        <xdr:to>
          <xdr:col>24</xdr:col>
          <xdr:colOff>28575</xdr:colOff>
          <xdr:row>13</xdr:row>
          <xdr:rowOff>28575</xdr:rowOff>
        </xdr:to>
        <xdr:sp macro="" textlink="">
          <xdr:nvSpPr>
            <xdr:cNvPr id="2103" name="Button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19050</xdr:colOff>
          <xdr:row>16</xdr:row>
          <xdr:rowOff>28575</xdr:rowOff>
        </xdr:from>
        <xdr:to>
          <xdr:col>24</xdr:col>
          <xdr:colOff>57150</xdr:colOff>
          <xdr:row>18</xdr:row>
          <xdr:rowOff>0</xdr:rowOff>
        </xdr:to>
        <xdr:sp macro="" textlink="">
          <xdr:nvSpPr>
            <xdr:cNvPr id="2104" name="Button 56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FF"/>
                  </a:solidFill>
                  <a:latin typeface="Courier"/>
                </a:rPr>
                <a:t>WPE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28575</xdr:colOff>
          <xdr:row>13</xdr:row>
          <xdr:rowOff>133350</xdr:rowOff>
        </xdr:from>
        <xdr:to>
          <xdr:col>24</xdr:col>
          <xdr:colOff>38100</xdr:colOff>
          <xdr:row>15</xdr:row>
          <xdr:rowOff>123825</xdr:rowOff>
        </xdr:to>
        <xdr:sp macro="" textlink="">
          <xdr:nvSpPr>
            <xdr:cNvPr id="2105" name="Button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WPD 2s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28575</xdr:colOff>
          <xdr:row>6</xdr:row>
          <xdr:rowOff>19050</xdr:rowOff>
        </xdr:from>
        <xdr:to>
          <xdr:col>24</xdr:col>
          <xdr:colOff>28575</xdr:colOff>
          <xdr:row>8</xdr:row>
          <xdr:rowOff>9525</xdr:rowOff>
        </xdr:to>
        <xdr:sp macro="" textlink="">
          <xdr:nvSpPr>
            <xdr:cNvPr id="2119" name="Button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WPB-5s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1</xdr:row>
          <xdr:rowOff>9525</xdr:rowOff>
        </xdr:from>
        <xdr:to>
          <xdr:col>16</xdr:col>
          <xdr:colOff>19050</xdr:colOff>
          <xdr:row>3</xdr:row>
          <xdr:rowOff>19050</xdr:rowOff>
        </xdr:to>
        <xdr:sp macro="" textlink="">
          <xdr:nvSpPr>
            <xdr:cNvPr id="2122" name="Button 74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FF00"/>
                  </a:solidFill>
                  <a:latin typeface="Courier"/>
                </a:rPr>
                <a:t>SCH G1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3</xdr:row>
          <xdr:rowOff>114300</xdr:rowOff>
        </xdr:from>
        <xdr:to>
          <xdr:col>15</xdr:col>
          <xdr:colOff>533400</xdr:colOff>
          <xdr:row>5</xdr:row>
          <xdr:rowOff>85725</xdr:rowOff>
        </xdr:to>
        <xdr:sp macro="" textlink="">
          <xdr:nvSpPr>
            <xdr:cNvPr id="2123" name="Button 75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FF00"/>
                  </a:solidFill>
                  <a:latin typeface="Courier"/>
                </a:rPr>
                <a:t>SCH G2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6</xdr:row>
          <xdr:rowOff>0</xdr:rowOff>
        </xdr:from>
        <xdr:to>
          <xdr:col>15</xdr:col>
          <xdr:colOff>533400</xdr:colOff>
          <xdr:row>7</xdr:row>
          <xdr:rowOff>171450</xdr:rowOff>
        </xdr:to>
        <xdr:sp macro="" textlink="">
          <xdr:nvSpPr>
            <xdr:cNvPr id="2124" name="Button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FF00"/>
                  </a:solidFill>
                  <a:latin typeface="Courier"/>
                </a:rPr>
                <a:t>SCH G3</a:t>
              </a:r>
            </a:p>
            <a:p>
              <a:pPr algn="ctr" rtl="0">
                <a:defRPr sz="1000"/>
              </a:pPr>
              <a:endParaRPr lang="en-US" sz="1000" b="1" i="0" u="none" strike="noStrike" baseline="0">
                <a:solidFill>
                  <a:srgbClr val="FFFF00"/>
                </a:solidFill>
                <a:latin typeface="Courier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19050</xdr:colOff>
          <xdr:row>5</xdr:row>
          <xdr:rowOff>161925</xdr:rowOff>
        </xdr:from>
        <xdr:to>
          <xdr:col>18</xdr:col>
          <xdr:colOff>19050</xdr:colOff>
          <xdr:row>7</xdr:row>
          <xdr:rowOff>152400</xdr:rowOff>
        </xdr:to>
        <xdr:sp macro="" textlink="">
          <xdr:nvSpPr>
            <xdr:cNvPr id="2128" name="Button 80" hidden="1">
              <a:extLst>
                <a:ext uri="{63B3BB69-23CF-44E3-9099-C40C66FF867C}">
                  <a14:compatExt spid="_x0000_s2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19050</xdr:colOff>
          <xdr:row>8</xdr:row>
          <xdr:rowOff>57150</xdr:rowOff>
        </xdr:from>
        <xdr:to>
          <xdr:col>18</xdr:col>
          <xdr:colOff>19050</xdr:colOff>
          <xdr:row>10</xdr:row>
          <xdr:rowOff>47625</xdr:rowOff>
        </xdr:to>
        <xdr:sp macro="" textlink="">
          <xdr:nvSpPr>
            <xdr:cNvPr id="2129" name="Button 81" hidden="1">
              <a:extLst>
                <a:ext uri="{63B3BB69-23CF-44E3-9099-C40C66FF867C}">
                  <a14:compatExt spid="_x0000_s2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8</xdr:row>
          <xdr:rowOff>95250</xdr:rowOff>
        </xdr:from>
        <xdr:to>
          <xdr:col>6</xdr:col>
          <xdr:colOff>0</xdr:colOff>
          <xdr:row>10</xdr:row>
          <xdr:rowOff>95250</xdr:rowOff>
        </xdr:to>
        <xdr:sp macro="" textlink="">
          <xdr:nvSpPr>
            <xdr:cNvPr id="2141" name="Button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2.1 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</xdr:row>
          <xdr:rowOff>19050</xdr:rowOff>
        </xdr:from>
        <xdr:to>
          <xdr:col>8</xdr:col>
          <xdr:colOff>0</xdr:colOff>
          <xdr:row>3</xdr:row>
          <xdr:rowOff>9525</xdr:rowOff>
        </xdr:to>
        <xdr:sp macro="" textlink="">
          <xdr:nvSpPr>
            <xdr:cNvPr id="2142" name="Button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3</xdr:row>
          <xdr:rowOff>76200</xdr:rowOff>
        </xdr:from>
        <xdr:to>
          <xdr:col>8</xdr:col>
          <xdr:colOff>0</xdr:colOff>
          <xdr:row>5</xdr:row>
          <xdr:rowOff>57150</xdr:rowOff>
        </xdr:to>
        <xdr:sp macro="" textlink="">
          <xdr:nvSpPr>
            <xdr:cNvPr id="2143" name="Button 95" hidden="1">
              <a:extLst>
                <a:ext uri="{63B3BB69-23CF-44E3-9099-C40C66FF867C}">
                  <a14:compatExt spid="_x0000_s2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5</xdr:row>
          <xdr:rowOff>152400</xdr:rowOff>
        </xdr:from>
        <xdr:to>
          <xdr:col>8</xdr:col>
          <xdr:colOff>9525</xdr:colOff>
          <xdr:row>7</xdr:row>
          <xdr:rowOff>133350</xdr:rowOff>
        </xdr:to>
        <xdr:sp macro="" textlink="">
          <xdr:nvSpPr>
            <xdr:cNvPr id="2144" name="Button 96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8</xdr:row>
          <xdr:rowOff>47625</xdr:rowOff>
        </xdr:from>
        <xdr:to>
          <xdr:col>8</xdr:col>
          <xdr:colOff>0</xdr:colOff>
          <xdr:row>10</xdr:row>
          <xdr:rowOff>19050</xdr:rowOff>
        </xdr:to>
        <xdr:sp macro="" textlink="">
          <xdr:nvSpPr>
            <xdr:cNvPr id="2145" name="Button 97" hidden="1">
              <a:extLst>
                <a:ext uri="{63B3BB69-23CF-44E3-9099-C40C66FF867C}">
                  <a14:compatExt spid="_x0000_s2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10</xdr:row>
          <xdr:rowOff>180975</xdr:rowOff>
        </xdr:from>
        <xdr:to>
          <xdr:col>6</xdr:col>
          <xdr:colOff>0</xdr:colOff>
          <xdr:row>13</xdr:row>
          <xdr:rowOff>0</xdr:rowOff>
        </xdr:to>
        <xdr:sp macro="" textlink="">
          <xdr:nvSpPr>
            <xdr:cNvPr id="2146" name="Button 98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80"/>
                  </a:solidFill>
                  <a:latin typeface="Courier"/>
                </a:rPr>
                <a:t>SCH 2.2 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17</xdr:row>
          <xdr:rowOff>152400</xdr:rowOff>
        </xdr:from>
        <xdr:to>
          <xdr:col>10</xdr:col>
          <xdr:colOff>0</xdr:colOff>
          <xdr:row>19</xdr:row>
          <xdr:rowOff>142875</xdr:rowOff>
        </xdr:to>
        <xdr:sp macro="" textlink="">
          <xdr:nvSpPr>
            <xdr:cNvPr id="2147" name="Button 99" hidden="1">
              <a:extLst>
                <a:ext uri="{63B3BB69-23CF-44E3-9099-C40C66FF867C}">
                  <a14:compatExt spid="_x0000_s2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20</xdr:row>
          <xdr:rowOff>47625</xdr:rowOff>
        </xdr:from>
        <xdr:to>
          <xdr:col>10</xdr:col>
          <xdr:colOff>0</xdr:colOff>
          <xdr:row>22</xdr:row>
          <xdr:rowOff>57150</xdr:rowOff>
        </xdr:to>
        <xdr:sp macro="" textlink="">
          <xdr:nvSpPr>
            <xdr:cNvPr id="2148" name="Button 100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D2.19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22</xdr:row>
          <xdr:rowOff>133350</xdr:rowOff>
        </xdr:from>
        <xdr:to>
          <xdr:col>10</xdr:col>
          <xdr:colOff>19050</xdr:colOff>
          <xdr:row>24</xdr:row>
          <xdr:rowOff>133350</xdr:rowOff>
        </xdr:to>
        <xdr:sp macro="" textlink="">
          <xdr:nvSpPr>
            <xdr:cNvPr id="2149" name="Button 101" hidden="1">
              <a:extLst>
                <a:ext uri="{63B3BB69-23CF-44E3-9099-C40C66FF867C}">
                  <a14:compatExt spid="_x0000_s2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25</xdr:row>
          <xdr:rowOff>57150</xdr:rowOff>
        </xdr:from>
        <xdr:to>
          <xdr:col>10</xdr:col>
          <xdr:colOff>19050</xdr:colOff>
          <xdr:row>27</xdr:row>
          <xdr:rowOff>47625</xdr:rowOff>
        </xdr:to>
        <xdr:sp macro="" textlink="">
          <xdr:nvSpPr>
            <xdr:cNvPr id="2150" name="Button 102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</xdr:colOff>
          <xdr:row>1</xdr:row>
          <xdr:rowOff>19050</xdr:rowOff>
        </xdr:from>
        <xdr:to>
          <xdr:col>14</xdr:col>
          <xdr:colOff>19050</xdr:colOff>
          <xdr:row>3</xdr:row>
          <xdr:rowOff>19050</xdr:rowOff>
        </xdr:to>
        <xdr:sp macro="" textlink="">
          <xdr:nvSpPr>
            <xdr:cNvPr id="2157" name="Button 109" hidden="1">
              <a:extLst>
                <a:ext uri="{63B3BB69-23CF-44E3-9099-C40C66FF867C}">
                  <a14:compatExt spid="_x0000_s2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</xdr:colOff>
          <xdr:row>3</xdr:row>
          <xdr:rowOff>95250</xdr:rowOff>
        </xdr:from>
        <xdr:to>
          <xdr:col>14</xdr:col>
          <xdr:colOff>47625</xdr:colOff>
          <xdr:row>5</xdr:row>
          <xdr:rowOff>76200</xdr:rowOff>
        </xdr:to>
        <xdr:sp macro="" textlink="">
          <xdr:nvSpPr>
            <xdr:cNvPr id="2158" name="Button 110" hidden="1">
              <a:extLst>
                <a:ext uri="{63B3BB69-23CF-44E3-9099-C40C66FF867C}">
                  <a14:compatExt spid="_x0000_s2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660066"/>
                  </a:solidFill>
                  <a:latin typeface="Courier"/>
                </a:rPr>
                <a:t>SCH F2.1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</xdr:colOff>
          <xdr:row>5</xdr:row>
          <xdr:rowOff>161925</xdr:rowOff>
        </xdr:from>
        <xdr:to>
          <xdr:col>14</xdr:col>
          <xdr:colOff>47625</xdr:colOff>
          <xdr:row>7</xdr:row>
          <xdr:rowOff>152400</xdr:rowOff>
        </xdr:to>
        <xdr:sp macro="" textlink="">
          <xdr:nvSpPr>
            <xdr:cNvPr id="2159" name="Button 111" hidden="1">
              <a:extLst>
                <a:ext uri="{63B3BB69-23CF-44E3-9099-C40C66FF867C}">
                  <a14:compatExt spid="_x0000_s2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</xdr:colOff>
          <xdr:row>8</xdr:row>
          <xdr:rowOff>47625</xdr:rowOff>
        </xdr:from>
        <xdr:to>
          <xdr:col>14</xdr:col>
          <xdr:colOff>47625</xdr:colOff>
          <xdr:row>10</xdr:row>
          <xdr:rowOff>28575</xdr:rowOff>
        </xdr:to>
        <xdr:sp macro="" textlink="">
          <xdr:nvSpPr>
            <xdr:cNvPr id="2160" name="Button 112" hidden="1">
              <a:extLst>
                <a:ext uri="{63B3BB69-23CF-44E3-9099-C40C66FF867C}">
                  <a14:compatExt spid="_x0000_s2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</xdr:colOff>
          <xdr:row>10</xdr:row>
          <xdr:rowOff>133350</xdr:rowOff>
        </xdr:from>
        <xdr:to>
          <xdr:col>14</xdr:col>
          <xdr:colOff>47625</xdr:colOff>
          <xdr:row>12</xdr:row>
          <xdr:rowOff>114300</xdr:rowOff>
        </xdr:to>
        <xdr:sp macro="" textlink="">
          <xdr:nvSpPr>
            <xdr:cNvPr id="2161" name="Button 113" hidden="1">
              <a:extLst>
                <a:ext uri="{63B3BB69-23CF-44E3-9099-C40C66FF867C}">
                  <a14:compatExt spid="_x0000_s2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</xdr:colOff>
          <xdr:row>13</xdr:row>
          <xdr:rowOff>19050</xdr:rowOff>
        </xdr:from>
        <xdr:to>
          <xdr:col>14</xdr:col>
          <xdr:colOff>47625</xdr:colOff>
          <xdr:row>15</xdr:row>
          <xdr:rowOff>0</xdr:rowOff>
        </xdr:to>
        <xdr:sp macro="" textlink="">
          <xdr:nvSpPr>
            <xdr:cNvPr id="2162" name="Button 114" hidden="1">
              <a:extLst>
                <a:ext uri="{63B3BB69-23CF-44E3-9099-C40C66FF867C}">
                  <a14:compatExt spid="_x0000_s2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</xdr:colOff>
          <xdr:row>15</xdr:row>
          <xdr:rowOff>104775</xdr:rowOff>
        </xdr:from>
        <xdr:to>
          <xdr:col>14</xdr:col>
          <xdr:colOff>47625</xdr:colOff>
          <xdr:row>17</xdr:row>
          <xdr:rowOff>85725</xdr:rowOff>
        </xdr:to>
        <xdr:sp macro="" textlink="">
          <xdr:nvSpPr>
            <xdr:cNvPr id="2163" name="Button 115" hidden="1">
              <a:extLst>
                <a:ext uri="{63B3BB69-23CF-44E3-9099-C40C66FF867C}">
                  <a14:compatExt spid="_x0000_s2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</xdr:colOff>
          <xdr:row>17</xdr:row>
          <xdr:rowOff>180975</xdr:rowOff>
        </xdr:from>
        <xdr:to>
          <xdr:col>14</xdr:col>
          <xdr:colOff>47625</xdr:colOff>
          <xdr:row>19</xdr:row>
          <xdr:rowOff>171450</xdr:rowOff>
        </xdr:to>
        <xdr:sp macro="" textlink="">
          <xdr:nvSpPr>
            <xdr:cNvPr id="2164" name="Button 116" hidden="1">
              <a:extLst>
                <a:ext uri="{63B3BB69-23CF-44E3-9099-C40C66FF867C}">
                  <a14:compatExt spid="_x0000_s2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</xdr:colOff>
          <xdr:row>20</xdr:row>
          <xdr:rowOff>76200</xdr:rowOff>
        </xdr:from>
        <xdr:to>
          <xdr:col>14</xdr:col>
          <xdr:colOff>47625</xdr:colOff>
          <xdr:row>22</xdr:row>
          <xdr:rowOff>57150</xdr:rowOff>
        </xdr:to>
        <xdr:sp macro="" textlink="">
          <xdr:nvSpPr>
            <xdr:cNvPr id="2165" name="Button 117" hidden="1">
              <a:extLst>
                <a:ext uri="{63B3BB69-23CF-44E3-9099-C40C66FF867C}">
                  <a14:compatExt spid="_x0000_s2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800000"/>
                  </a:solidFill>
                  <a:latin typeface="Courier"/>
                </a:rPr>
                <a:t>SCH F7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8</xdr:row>
          <xdr:rowOff>57150</xdr:rowOff>
        </xdr:from>
        <xdr:to>
          <xdr:col>16</xdr:col>
          <xdr:colOff>9525</xdr:colOff>
          <xdr:row>10</xdr:row>
          <xdr:rowOff>57150</xdr:rowOff>
        </xdr:to>
        <xdr:sp macro="" textlink="">
          <xdr:nvSpPr>
            <xdr:cNvPr id="2166" name="Button 118" hidden="1">
              <a:extLst>
                <a:ext uri="{63B3BB69-23CF-44E3-9099-C40C66FF867C}">
                  <a14:compatExt spid="_x0000_s2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Courier"/>
                </a:rPr>
                <a:t>SCH 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19050</xdr:colOff>
          <xdr:row>1</xdr:row>
          <xdr:rowOff>19050</xdr:rowOff>
        </xdr:from>
        <xdr:to>
          <xdr:col>18</xdr:col>
          <xdr:colOff>9525</xdr:colOff>
          <xdr:row>3</xdr:row>
          <xdr:rowOff>9525</xdr:rowOff>
        </xdr:to>
        <xdr:sp macro="" textlink="">
          <xdr:nvSpPr>
            <xdr:cNvPr id="2167" name="Button 119" hidden="1">
              <a:extLst>
                <a:ext uri="{63B3BB69-23CF-44E3-9099-C40C66FF867C}">
                  <a14:compatExt spid="_x0000_s2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19050</xdr:colOff>
          <xdr:row>3</xdr:row>
          <xdr:rowOff>85725</xdr:rowOff>
        </xdr:from>
        <xdr:to>
          <xdr:col>18</xdr:col>
          <xdr:colOff>9525</xdr:colOff>
          <xdr:row>5</xdr:row>
          <xdr:rowOff>66675</xdr:rowOff>
        </xdr:to>
        <xdr:sp macro="" textlink="">
          <xdr:nvSpPr>
            <xdr:cNvPr id="2168" name="Button 120" hidden="1">
              <a:extLst>
                <a:ext uri="{63B3BB69-23CF-44E3-9099-C40C66FF867C}">
                  <a14:compatExt spid="_x0000_s2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19050</xdr:colOff>
          <xdr:row>10</xdr:row>
          <xdr:rowOff>142875</xdr:rowOff>
        </xdr:from>
        <xdr:to>
          <xdr:col>18</xdr:col>
          <xdr:colOff>19050</xdr:colOff>
          <xdr:row>12</xdr:row>
          <xdr:rowOff>133350</xdr:rowOff>
        </xdr:to>
        <xdr:sp macro="" textlink="">
          <xdr:nvSpPr>
            <xdr:cNvPr id="2169" name="Button 121" hidden="1">
              <a:extLst>
                <a:ext uri="{63B3BB69-23CF-44E3-9099-C40C66FF867C}">
                  <a14:compatExt spid="_x0000_s2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Courier"/>
                </a:rPr>
                <a:t>SCH I5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1</xdr:row>
          <xdr:rowOff>9525</xdr:rowOff>
        </xdr:from>
        <xdr:to>
          <xdr:col>20</xdr:col>
          <xdr:colOff>28575</xdr:colOff>
          <xdr:row>2</xdr:row>
          <xdr:rowOff>180975</xdr:rowOff>
        </xdr:to>
        <xdr:sp macro="" textlink="">
          <xdr:nvSpPr>
            <xdr:cNvPr id="2170" name="Button 122" hidden="1">
              <a:extLst>
                <a:ext uri="{63B3BB69-23CF-44E3-9099-C40C66FF867C}">
                  <a14:compatExt spid="_x0000_s2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J1 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66675</xdr:colOff>
          <xdr:row>1</xdr:row>
          <xdr:rowOff>9525</xdr:rowOff>
        </xdr:from>
        <xdr:to>
          <xdr:col>22</xdr:col>
          <xdr:colOff>19050</xdr:colOff>
          <xdr:row>2</xdr:row>
          <xdr:rowOff>180975</xdr:rowOff>
        </xdr:to>
        <xdr:sp macro="" textlink="">
          <xdr:nvSpPr>
            <xdr:cNvPr id="2171" name="Button 123" hidden="1">
              <a:extLst>
                <a:ext uri="{63B3BB69-23CF-44E3-9099-C40C66FF867C}">
                  <a14:compatExt spid="_x0000_s2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J1 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3</xdr:row>
          <xdr:rowOff>76200</xdr:rowOff>
        </xdr:from>
        <xdr:to>
          <xdr:col>20</xdr:col>
          <xdr:colOff>57150</xdr:colOff>
          <xdr:row>5</xdr:row>
          <xdr:rowOff>57150</xdr:rowOff>
        </xdr:to>
        <xdr:sp macro="" textlink="">
          <xdr:nvSpPr>
            <xdr:cNvPr id="2172" name="Button 124" hidden="1">
              <a:extLst>
                <a:ext uri="{63B3BB69-23CF-44E3-9099-C40C66FF867C}">
                  <a14:compatExt spid="_x0000_s2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1 .1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5</xdr:row>
          <xdr:rowOff>152400</xdr:rowOff>
        </xdr:from>
        <xdr:to>
          <xdr:col>20</xdr:col>
          <xdr:colOff>57150</xdr:colOff>
          <xdr:row>7</xdr:row>
          <xdr:rowOff>133350</xdr:rowOff>
        </xdr:to>
        <xdr:sp macro="" textlink="">
          <xdr:nvSpPr>
            <xdr:cNvPr id="2173" name="Button 125" hidden="1">
              <a:extLst>
                <a:ext uri="{63B3BB69-23CF-44E3-9099-C40C66FF867C}">
                  <a14:compatExt spid="_x0000_s2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1 .2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8</xdr:row>
          <xdr:rowOff>85725</xdr:rowOff>
        </xdr:from>
        <xdr:to>
          <xdr:col>20</xdr:col>
          <xdr:colOff>28575</xdr:colOff>
          <xdr:row>10</xdr:row>
          <xdr:rowOff>66675</xdr:rowOff>
        </xdr:to>
        <xdr:sp macro="" textlink="">
          <xdr:nvSpPr>
            <xdr:cNvPr id="2174" name="Button 126" hidden="1">
              <a:extLst>
                <a:ext uri="{63B3BB69-23CF-44E3-9099-C40C66FF867C}">
                  <a14:compatExt spid="_x0000_s2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J2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66675</xdr:colOff>
          <xdr:row>8</xdr:row>
          <xdr:rowOff>95250</xdr:rowOff>
        </xdr:from>
        <xdr:to>
          <xdr:col>22</xdr:col>
          <xdr:colOff>19050</xdr:colOff>
          <xdr:row>10</xdr:row>
          <xdr:rowOff>85725</xdr:rowOff>
        </xdr:to>
        <xdr:sp macro="" textlink="">
          <xdr:nvSpPr>
            <xdr:cNvPr id="2175" name="Button 127" hidden="1">
              <a:extLst>
                <a:ext uri="{63B3BB69-23CF-44E3-9099-C40C66FF867C}">
                  <a14:compatExt spid="_x0000_s2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J2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10</xdr:row>
          <xdr:rowOff>171450</xdr:rowOff>
        </xdr:from>
        <xdr:to>
          <xdr:col>20</xdr:col>
          <xdr:colOff>28575</xdr:colOff>
          <xdr:row>12</xdr:row>
          <xdr:rowOff>152400</xdr:rowOff>
        </xdr:to>
        <xdr:sp macro="" textlink="">
          <xdr:nvSpPr>
            <xdr:cNvPr id="2176" name="Button 128" hidden="1">
              <a:extLst>
                <a:ext uri="{63B3BB69-23CF-44E3-9099-C40C66FF867C}">
                  <a14:compatExt spid="_x0000_s2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J3 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66675</xdr:colOff>
          <xdr:row>10</xdr:row>
          <xdr:rowOff>171450</xdr:rowOff>
        </xdr:from>
        <xdr:to>
          <xdr:col>22</xdr:col>
          <xdr:colOff>19050</xdr:colOff>
          <xdr:row>12</xdr:row>
          <xdr:rowOff>171450</xdr:rowOff>
        </xdr:to>
        <xdr:sp macro="" textlink="">
          <xdr:nvSpPr>
            <xdr:cNvPr id="2177" name="Button 129" hidden="1">
              <a:extLst>
                <a:ext uri="{63B3BB69-23CF-44E3-9099-C40C66FF867C}">
                  <a14:compatExt spid="_x0000_s2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J3 FP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13</xdr:row>
          <xdr:rowOff>66675</xdr:rowOff>
        </xdr:from>
        <xdr:to>
          <xdr:col>20</xdr:col>
          <xdr:colOff>28575</xdr:colOff>
          <xdr:row>15</xdr:row>
          <xdr:rowOff>57150</xdr:rowOff>
        </xdr:to>
        <xdr:sp macro="" textlink="">
          <xdr:nvSpPr>
            <xdr:cNvPr id="2178" name="Button 130" hidden="1">
              <a:extLst>
                <a:ext uri="{63B3BB69-23CF-44E3-9099-C40C66FF867C}">
                  <a14:compatExt spid="_x0000_s2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J4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16</xdr:row>
          <xdr:rowOff>47625</xdr:rowOff>
        </xdr:from>
        <xdr:to>
          <xdr:col>20</xdr:col>
          <xdr:colOff>28575</xdr:colOff>
          <xdr:row>18</xdr:row>
          <xdr:rowOff>28575</xdr:rowOff>
        </xdr:to>
        <xdr:sp macro="" textlink="">
          <xdr:nvSpPr>
            <xdr:cNvPr id="2179" name="Button 131" hidden="1">
              <a:extLst>
                <a:ext uri="{63B3BB69-23CF-44E3-9099-C40C66FF867C}">
                  <a14:compatExt spid="_x0000_s2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6600"/>
                  </a:solidFill>
                  <a:latin typeface="Courier"/>
                </a:rPr>
                <a:t>SCH  K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28575</xdr:colOff>
          <xdr:row>8</xdr:row>
          <xdr:rowOff>95250</xdr:rowOff>
        </xdr:from>
        <xdr:to>
          <xdr:col>24</xdr:col>
          <xdr:colOff>28575</xdr:colOff>
          <xdr:row>10</xdr:row>
          <xdr:rowOff>95250</xdr:rowOff>
        </xdr:to>
        <xdr:sp macro="" textlink="">
          <xdr:nvSpPr>
            <xdr:cNvPr id="2180" name="Button 132" hidden="1">
              <a:extLst>
                <a:ext uri="{63B3BB69-23CF-44E3-9099-C40C66FF867C}">
                  <a14:compatExt spid="_x0000_s2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RB vs Cap</a:t>
              </a:r>
            </a:p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Reconciliation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5</xdr:row>
          <xdr:rowOff>161925</xdr:rowOff>
        </xdr:from>
        <xdr:to>
          <xdr:col>2</xdr:col>
          <xdr:colOff>0</xdr:colOff>
          <xdr:row>7</xdr:row>
          <xdr:rowOff>152400</xdr:rowOff>
        </xdr:to>
        <xdr:sp macro="" textlink="">
          <xdr:nvSpPr>
            <xdr:cNvPr id="2181" name="Button 133" hidden="1">
              <a:extLst>
                <a:ext uri="{63B3BB69-23CF-44E3-9099-C40C66FF867C}">
                  <a14:compatExt spid="_x0000_s2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8</xdr:row>
          <xdr:rowOff>57150</xdr:rowOff>
        </xdr:from>
        <xdr:to>
          <xdr:col>2</xdr:col>
          <xdr:colOff>0</xdr:colOff>
          <xdr:row>10</xdr:row>
          <xdr:rowOff>57150</xdr:rowOff>
        </xdr:to>
        <xdr:sp macro="" textlink="">
          <xdr:nvSpPr>
            <xdr:cNvPr id="2182" name="Button 134" hidden="1">
              <a:extLst>
                <a:ext uri="{63B3BB69-23CF-44E3-9099-C40C66FF867C}">
                  <a14:compatExt spid="_x0000_s2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10</xdr:row>
          <xdr:rowOff>142875</xdr:rowOff>
        </xdr:from>
        <xdr:to>
          <xdr:col>2</xdr:col>
          <xdr:colOff>0</xdr:colOff>
          <xdr:row>12</xdr:row>
          <xdr:rowOff>133350</xdr:rowOff>
        </xdr:to>
        <xdr:sp macro="" textlink="">
          <xdr:nvSpPr>
            <xdr:cNvPr id="2183" name="Button 135" hidden="1">
              <a:extLst>
                <a:ext uri="{63B3BB69-23CF-44E3-9099-C40C66FF867C}">
                  <a14:compatExt spid="_x0000_s2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13</xdr:row>
          <xdr:rowOff>28575</xdr:rowOff>
        </xdr:from>
        <xdr:to>
          <xdr:col>2</xdr:col>
          <xdr:colOff>0</xdr:colOff>
          <xdr:row>15</xdr:row>
          <xdr:rowOff>19050</xdr:rowOff>
        </xdr:to>
        <xdr:sp macro="" textlink="">
          <xdr:nvSpPr>
            <xdr:cNvPr id="2184" name="Button 136" hidden="1">
              <a:extLst>
                <a:ext uri="{63B3BB69-23CF-44E3-9099-C40C66FF867C}">
                  <a14:compatExt spid="_x0000_s2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15</xdr:row>
          <xdr:rowOff>114300</xdr:rowOff>
        </xdr:from>
        <xdr:to>
          <xdr:col>2</xdr:col>
          <xdr:colOff>0</xdr:colOff>
          <xdr:row>17</xdr:row>
          <xdr:rowOff>95250</xdr:rowOff>
        </xdr:to>
        <xdr:sp macro="" textlink="">
          <xdr:nvSpPr>
            <xdr:cNvPr id="2185" name="Button 137" hidden="1">
              <a:extLst>
                <a:ext uri="{63B3BB69-23CF-44E3-9099-C40C66FF867C}">
                  <a14:compatExt spid="_x0000_s2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18</xdr:row>
          <xdr:rowOff>0</xdr:rowOff>
        </xdr:from>
        <xdr:to>
          <xdr:col>2</xdr:col>
          <xdr:colOff>0</xdr:colOff>
          <xdr:row>19</xdr:row>
          <xdr:rowOff>180975</xdr:rowOff>
        </xdr:to>
        <xdr:sp macro="" textlink="">
          <xdr:nvSpPr>
            <xdr:cNvPr id="2186" name="Button 138" hidden="1">
              <a:extLst>
                <a:ext uri="{63B3BB69-23CF-44E3-9099-C40C66FF867C}">
                  <a14:compatExt spid="_x0000_s2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20</xdr:row>
          <xdr:rowOff>85725</xdr:rowOff>
        </xdr:from>
        <xdr:to>
          <xdr:col>2</xdr:col>
          <xdr:colOff>0</xdr:colOff>
          <xdr:row>22</xdr:row>
          <xdr:rowOff>76200</xdr:rowOff>
        </xdr:to>
        <xdr:sp macro="" textlink="">
          <xdr:nvSpPr>
            <xdr:cNvPr id="2187" name="Button 139" hidden="1">
              <a:extLst>
                <a:ext uri="{63B3BB69-23CF-44E3-9099-C40C66FF867C}">
                  <a14:compatExt spid="_x0000_s2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22</xdr:row>
          <xdr:rowOff>171450</xdr:rowOff>
        </xdr:from>
        <xdr:to>
          <xdr:col>2</xdr:col>
          <xdr:colOff>0</xdr:colOff>
          <xdr:row>24</xdr:row>
          <xdr:rowOff>171450</xdr:rowOff>
        </xdr:to>
        <xdr:sp macro="" textlink="">
          <xdr:nvSpPr>
            <xdr:cNvPr id="2188" name="Button 140" hidden="1">
              <a:extLst>
                <a:ext uri="{63B3BB69-23CF-44E3-9099-C40C66FF867C}">
                  <a14:compatExt spid="_x0000_s2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B2.7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</xdr:row>
          <xdr:rowOff>28575</xdr:rowOff>
        </xdr:from>
        <xdr:to>
          <xdr:col>3</xdr:col>
          <xdr:colOff>533400</xdr:colOff>
          <xdr:row>3</xdr:row>
          <xdr:rowOff>19050</xdr:rowOff>
        </xdr:to>
        <xdr:sp macro="" textlink="">
          <xdr:nvSpPr>
            <xdr:cNvPr id="2211" name="Button 163" hidden="1">
              <a:extLst>
                <a:ext uri="{63B3BB69-23CF-44E3-9099-C40C66FF867C}">
                  <a14:compatExt spid="_x0000_s2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</xdr:row>
          <xdr:rowOff>133350</xdr:rowOff>
        </xdr:from>
        <xdr:to>
          <xdr:col>3</xdr:col>
          <xdr:colOff>533400</xdr:colOff>
          <xdr:row>5</xdr:row>
          <xdr:rowOff>114300</xdr:rowOff>
        </xdr:to>
        <xdr:sp macro="" textlink="">
          <xdr:nvSpPr>
            <xdr:cNvPr id="2212" name="Button 164" hidden="1">
              <a:extLst>
                <a:ext uri="{63B3BB69-23CF-44E3-9099-C40C66FF867C}">
                  <a14:compatExt spid="_x0000_s2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6</xdr:row>
          <xdr:rowOff>19050</xdr:rowOff>
        </xdr:from>
        <xdr:to>
          <xdr:col>3</xdr:col>
          <xdr:colOff>533400</xdr:colOff>
          <xdr:row>8</xdr:row>
          <xdr:rowOff>9525</xdr:rowOff>
        </xdr:to>
        <xdr:sp macro="" textlink="">
          <xdr:nvSpPr>
            <xdr:cNvPr id="2213" name="Button 165" hidden="1">
              <a:extLst>
                <a:ext uri="{63B3BB69-23CF-44E3-9099-C40C66FF867C}">
                  <a14:compatExt spid="_x0000_s2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B3.2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8</xdr:row>
          <xdr:rowOff>95250</xdr:rowOff>
        </xdr:from>
        <xdr:to>
          <xdr:col>3</xdr:col>
          <xdr:colOff>533400</xdr:colOff>
          <xdr:row>10</xdr:row>
          <xdr:rowOff>85725</xdr:rowOff>
        </xdr:to>
        <xdr:sp macro="" textlink="">
          <xdr:nvSpPr>
            <xdr:cNvPr id="2214" name="Button 166" hidden="1">
              <a:extLst>
                <a:ext uri="{63B3BB69-23CF-44E3-9099-C40C66FF867C}">
                  <a14:compatExt spid="_x0000_s2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10</xdr:row>
          <xdr:rowOff>171450</xdr:rowOff>
        </xdr:from>
        <xdr:to>
          <xdr:col>3</xdr:col>
          <xdr:colOff>533400</xdr:colOff>
          <xdr:row>12</xdr:row>
          <xdr:rowOff>171450</xdr:rowOff>
        </xdr:to>
        <xdr:sp macro="" textlink="">
          <xdr:nvSpPr>
            <xdr:cNvPr id="2215" name="Button 167" hidden="1">
              <a:extLst>
                <a:ext uri="{63B3BB69-23CF-44E3-9099-C40C66FF867C}">
                  <a14:compatExt spid="_x0000_s2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FF"/>
                  </a:solidFill>
                  <a:latin typeface="Courier"/>
                </a:rPr>
                <a:t>SCH B4.1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57150</xdr:colOff>
          <xdr:row>20</xdr:row>
          <xdr:rowOff>161925</xdr:rowOff>
        </xdr:from>
        <xdr:to>
          <xdr:col>27</xdr:col>
          <xdr:colOff>9525</xdr:colOff>
          <xdr:row>22</xdr:row>
          <xdr:rowOff>171450</xdr:rowOff>
        </xdr:to>
        <xdr:sp macro="" textlink="">
          <xdr:nvSpPr>
            <xdr:cNvPr id="2218" name="Button 170" hidden="1">
              <a:extLst>
                <a:ext uri="{63B3BB69-23CF-44E3-9099-C40C66FF867C}">
                  <a14:compatExt spid="_x0000_s2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Times New Roman"/>
                  <a:cs typeface="Times New Roman"/>
                </a:rPr>
                <a:t>PRINT J SCHEDULES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1</xdr:row>
          <xdr:rowOff>19050</xdr:rowOff>
        </xdr:from>
        <xdr:to>
          <xdr:col>12</xdr:col>
          <xdr:colOff>9525</xdr:colOff>
          <xdr:row>2</xdr:row>
          <xdr:rowOff>171450</xdr:rowOff>
        </xdr:to>
        <xdr:sp macro="" textlink="">
          <xdr:nvSpPr>
            <xdr:cNvPr id="2222" name="Button 174" hidden="1">
              <a:extLst>
                <a:ext uri="{63B3BB69-23CF-44E3-9099-C40C66FF867C}">
                  <a14:compatExt spid="_x0000_s2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57150</xdr:colOff>
          <xdr:row>22</xdr:row>
          <xdr:rowOff>171450</xdr:rowOff>
        </xdr:from>
        <xdr:to>
          <xdr:col>14</xdr:col>
          <xdr:colOff>76200</xdr:colOff>
          <xdr:row>24</xdr:row>
          <xdr:rowOff>142875</xdr:rowOff>
        </xdr:to>
        <xdr:sp macro="" textlink="">
          <xdr:nvSpPr>
            <xdr:cNvPr id="2226" name="Button 178" hidden="1">
              <a:extLst>
                <a:ext uri="{63B3BB69-23CF-44E3-9099-C40C66FF867C}">
                  <a14:compatExt spid="_x0000_s2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FF00"/>
                  </a:solidFill>
                  <a:latin typeface="Courier"/>
                </a:rPr>
                <a:t>SCH E1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57150</xdr:colOff>
          <xdr:row>25</xdr:row>
          <xdr:rowOff>57150</xdr:rowOff>
        </xdr:from>
        <xdr:to>
          <xdr:col>15</xdr:col>
          <xdr:colOff>9525</xdr:colOff>
          <xdr:row>27</xdr:row>
          <xdr:rowOff>57150</xdr:rowOff>
        </xdr:to>
        <xdr:sp macro="" textlink="">
          <xdr:nvSpPr>
            <xdr:cNvPr id="2227" name="Button 179" hidden="1">
              <a:extLst>
                <a:ext uri="{63B3BB69-23CF-44E3-9099-C40C66FF867C}">
                  <a14:compatExt spid="_x0000_s2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FF00"/>
                  </a:solidFill>
                  <a:latin typeface="Courier"/>
                </a:rPr>
                <a:t>SCH E2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29</xdr:row>
          <xdr:rowOff>123825</xdr:rowOff>
        </xdr:from>
        <xdr:to>
          <xdr:col>10</xdr:col>
          <xdr:colOff>19050</xdr:colOff>
          <xdr:row>31</xdr:row>
          <xdr:rowOff>114300</xdr:rowOff>
        </xdr:to>
        <xdr:sp macro="" textlink="">
          <xdr:nvSpPr>
            <xdr:cNvPr id="2233" name="Button 185" hidden="1">
              <a:extLst>
                <a:ext uri="{63B3BB69-23CF-44E3-9099-C40C66FF867C}">
                  <a14:compatExt spid="_x0000_s2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27</xdr:row>
          <xdr:rowOff>95250</xdr:rowOff>
        </xdr:from>
        <xdr:to>
          <xdr:col>10</xdr:col>
          <xdr:colOff>19050</xdr:colOff>
          <xdr:row>29</xdr:row>
          <xdr:rowOff>76200</xdr:rowOff>
        </xdr:to>
        <xdr:sp macro="" textlink="">
          <xdr:nvSpPr>
            <xdr:cNvPr id="2234" name="Button 186" hidden="1">
              <a:extLst>
                <a:ext uri="{63B3BB69-23CF-44E3-9099-C40C66FF867C}">
                  <a14:compatExt spid="_x0000_s2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32</xdr:row>
          <xdr:rowOff>0</xdr:rowOff>
        </xdr:from>
        <xdr:to>
          <xdr:col>10</xdr:col>
          <xdr:colOff>19050</xdr:colOff>
          <xdr:row>34</xdr:row>
          <xdr:rowOff>0</xdr:rowOff>
        </xdr:to>
        <xdr:sp macro="" textlink="">
          <xdr:nvSpPr>
            <xdr:cNvPr id="2235" name="Button 187" hidden="1">
              <a:extLst>
                <a:ext uri="{63B3BB69-23CF-44E3-9099-C40C66FF867C}">
                  <a14:compatExt spid="_x0000_s2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9525</xdr:colOff>
          <xdr:row>34</xdr:row>
          <xdr:rowOff>57150</xdr:rowOff>
        </xdr:from>
        <xdr:to>
          <xdr:col>10</xdr:col>
          <xdr:colOff>19050</xdr:colOff>
          <xdr:row>36</xdr:row>
          <xdr:rowOff>57150</xdr:rowOff>
        </xdr:to>
        <xdr:sp macro="" textlink="">
          <xdr:nvSpPr>
            <xdr:cNvPr id="2236" name="Button 188" hidden="1">
              <a:extLst>
                <a:ext uri="{63B3BB69-23CF-44E3-9099-C40C66FF867C}">
                  <a14:compatExt spid="_x0000_s2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36</xdr:row>
          <xdr:rowOff>133350</xdr:rowOff>
        </xdr:from>
        <xdr:to>
          <xdr:col>10</xdr:col>
          <xdr:colOff>9525</xdr:colOff>
          <xdr:row>38</xdr:row>
          <xdr:rowOff>133350</xdr:rowOff>
        </xdr:to>
        <xdr:sp macro="" textlink="">
          <xdr:nvSpPr>
            <xdr:cNvPr id="2237" name="Button 189" hidden="1">
              <a:extLst>
                <a:ext uri="{63B3BB69-23CF-44E3-9099-C40C66FF867C}">
                  <a14:compatExt spid="_x0000_s2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3</xdr:row>
          <xdr:rowOff>95250</xdr:rowOff>
        </xdr:from>
        <xdr:to>
          <xdr:col>12</xdr:col>
          <xdr:colOff>9525</xdr:colOff>
          <xdr:row>5</xdr:row>
          <xdr:rowOff>95250</xdr:rowOff>
        </xdr:to>
        <xdr:sp macro="" textlink="">
          <xdr:nvSpPr>
            <xdr:cNvPr id="2238" name="Button 190" hidden="1">
              <a:extLst>
                <a:ext uri="{63B3BB69-23CF-44E3-9099-C40C66FF867C}">
                  <a14:compatExt spid="_x0000_s2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5</xdr:row>
          <xdr:rowOff>161925</xdr:rowOff>
        </xdr:from>
        <xdr:to>
          <xdr:col>12</xdr:col>
          <xdr:colOff>9525</xdr:colOff>
          <xdr:row>7</xdr:row>
          <xdr:rowOff>161925</xdr:rowOff>
        </xdr:to>
        <xdr:sp macro="" textlink="">
          <xdr:nvSpPr>
            <xdr:cNvPr id="2239" name="Button 191" hidden="1">
              <a:extLst>
                <a:ext uri="{63B3BB69-23CF-44E3-9099-C40C66FF867C}">
                  <a14:compatExt spid="_x0000_s2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D2.29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8</xdr:row>
          <xdr:rowOff>47625</xdr:rowOff>
        </xdr:from>
        <xdr:to>
          <xdr:col>12</xdr:col>
          <xdr:colOff>9525</xdr:colOff>
          <xdr:row>10</xdr:row>
          <xdr:rowOff>47625</xdr:rowOff>
        </xdr:to>
        <xdr:sp macro="" textlink="">
          <xdr:nvSpPr>
            <xdr:cNvPr id="2240" name="Button 192" hidden="1">
              <a:extLst>
                <a:ext uri="{63B3BB69-23CF-44E3-9099-C40C66FF867C}">
                  <a14:compatExt spid="_x0000_s2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D2.30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10</xdr:row>
          <xdr:rowOff>133350</xdr:rowOff>
        </xdr:from>
        <xdr:to>
          <xdr:col>11</xdr:col>
          <xdr:colOff>533400</xdr:colOff>
          <xdr:row>12</xdr:row>
          <xdr:rowOff>133350</xdr:rowOff>
        </xdr:to>
        <xdr:sp macro="" textlink="">
          <xdr:nvSpPr>
            <xdr:cNvPr id="2241" name="Button 193" hidden="1">
              <a:extLst>
                <a:ext uri="{63B3BB69-23CF-44E3-9099-C40C66FF867C}">
                  <a14:compatExt spid="_x0000_s2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76200</xdr:colOff>
          <xdr:row>12</xdr:row>
          <xdr:rowOff>171450</xdr:rowOff>
        </xdr:from>
        <xdr:to>
          <xdr:col>11</xdr:col>
          <xdr:colOff>533400</xdr:colOff>
          <xdr:row>14</xdr:row>
          <xdr:rowOff>171450</xdr:rowOff>
        </xdr:to>
        <xdr:sp macro="" textlink="">
          <xdr:nvSpPr>
            <xdr:cNvPr id="2242" name="Button 194" hidden="1">
              <a:extLst>
                <a:ext uri="{63B3BB69-23CF-44E3-9099-C40C66FF867C}">
                  <a14:compatExt spid="_x0000_s2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76200</xdr:colOff>
          <xdr:row>15</xdr:row>
          <xdr:rowOff>66675</xdr:rowOff>
        </xdr:from>
        <xdr:to>
          <xdr:col>11</xdr:col>
          <xdr:colOff>533400</xdr:colOff>
          <xdr:row>17</xdr:row>
          <xdr:rowOff>57150</xdr:rowOff>
        </xdr:to>
        <xdr:sp macro="" textlink="">
          <xdr:nvSpPr>
            <xdr:cNvPr id="2243" name="Button 195" hidden="1">
              <a:extLst>
                <a:ext uri="{63B3BB69-23CF-44E3-9099-C40C66FF867C}">
                  <a14:compatExt spid="_x0000_s2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76200</xdr:colOff>
          <xdr:row>17</xdr:row>
          <xdr:rowOff>161925</xdr:rowOff>
        </xdr:from>
        <xdr:to>
          <xdr:col>11</xdr:col>
          <xdr:colOff>533400</xdr:colOff>
          <xdr:row>19</xdr:row>
          <xdr:rowOff>152400</xdr:rowOff>
        </xdr:to>
        <xdr:sp macro="" textlink="">
          <xdr:nvSpPr>
            <xdr:cNvPr id="2244" name="Button 196" hidden="1">
              <a:extLst>
                <a:ext uri="{63B3BB69-23CF-44E3-9099-C40C66FF867C}">
                  <a14:compatExt spid="_x0000_s2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D2.34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76200</xdr:colOff>
          <xdr:row>20</xdr:row>
          <xdr:rowOff>38100</xdr:rowOff>
        </xdr:from>
        <xdr:to>
          <xdr:col>11</xdr:col>
          <xdr:colOff>533400</xdr:colOff>
          <xdr:row>22</xdr:row>
          <xdr:rowOff>28575</xdr:rowOff>
        </xdr:to>
        <xdr:sp macro="" textlink="">
          <xdr:nvSpPr>
            <xdr:cNvPr id="2245" name="Button 197" hidden="1">
              <a:extLst>
                <a:ext uri="{63B3BB69-23CF-44E3-9099-C40C66FF867C}">
                  <a14:compatExt spid="_x0000_s2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D2.35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22</xdr:row>
          <xdr:rowOff>152400</xdr:rowOff>
        </xdr:from>
        <xdr:to>
          <xdr:col>12</xdr:col>
          <xdr:colOff>19050</xdr:colOff>
          <xdr:row>24</xdr:row>
          <xdr:rowOff>142875</xdr:rowOff>
        </xdr:to>
        <xdr:sp macro="" textlink="">
          <xdr:nvSpPr>
            <xdr:cNvPr id="2246" name="Button 198" hidden="1">
              <a:extLst>
                <a:ext uri="{63B3BB69-23CF-44E3-9099-C40C66FF867C}">
                  <a14:compatExt spid="_x0000_s2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D2.36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25</xdr:row>
          <xdr:rowOff>47625</xdr:rowOff>
        </xdr:from>
        <xdr:to>
          <xdr:col>12</xdr:col>
          <xdr:colOff>19050</xdr:colOff>
          <xdr:row>27</xdr:row>
          <xdr:rowOff>38100</xdr:rowOff>
        </xdr:to>
        <xdr:sp macro="" textlink="">
          <xdr:nvSpPr>
            <xdr:cNvPr id="2247" name="Button 199" hidden="1">
              <a:extLst>
                <a:ext uri="{63B3BB69-23CF-44E3-9099-C40C66FF867C}">
                  <a14:compatExt spid="_x0000_s2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D2.37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27</xdr:row>
          <xdr:rowOff>95250</xdr:rowOff>
        </xdr:from>
        <xdr:to>
          <xdr:col>12</xdr:col>
          <xdr:colOff>19050</xdr:colOff>
          <xdr:row>29</xdr:row>
          <xdr:rowOff>76200</xdr:rowOff>
        </xdr:to>
        <xdr:sp macro="" textlink="">
          <xdr:nvSpPr>
            <xdr:cNvPr id="2248" name="Button 200" hidden="1">
              <a:extLst>
                <a:ext uri="{63B3BB69-23CF-44E3-9099-C40C66FF867C}">
                  <a14:compatExt spid="_x0000_s2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D2.38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29</xdr:row>
          <xdr:rowOff>133350</xdr:rowOff>
        </xdr:from>
        <xdr:to>
          <xdr:col>12</xdr:col>
          <xdr:colOff>19050</xdr:colOff>
          <xdr:row>31</xdr:row>
          <xdr:rowOff>123825</xdr:rowOff>
        </xdr:to>
        <xdr:sp macro="" textlink="">
          <xdr:nvSpPr>
            <xdr:cNvPr id="2249" name="Button 201" hidden="1">
              <a:extLst>
                <a:ext uri="{63B3BB69-23CF-44E3-9099-C40C66FF867C}">
                  <a14:compatExt spid="_x0000_s2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8080"/>
                  </a:solidFill>
                  <a:latin typeface="Courier"/>
                </a:rPr>
                <a:t>SCH D2.39</a:t>
              </a:r>
            </a:p>
          </xdr:txBody>
        </xdr:sp>
        <xdr:clientData fPrintsWithSheet="0"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55</xdr:row>
      <xdr:rowOff>0</xdr:rowOff>
    </xdr:from>
    <xdr:to>
      <xdr:col>7</xdr:col>
      <xdr:colOff>76200</xdr:colOff>
      <xdr:row>55</xdr:row>
      <xdr:rowOff>7620</xdr:rowOff>
    </xdr:to>
    <xdr:pic>
      <xdr:nvPicPr>
        <xdr:cNvPr id="2" name="Picture 1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04120" y="7734300"/>
          <a:ext cx="76200" cy="762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55</xdr:row>
      <xdr:rowOff>0</xdr:rowOff>
    </xdr:from>
    <xdr:to>
      <xdr:col>9</xdr:col>
      <xdr:colOff>76200</xdr:colOff>
      <xdr:row>55</xdr:row>
      <xdr:rowOff>7620</xdr:rowOff>
    </xdr:to>
    <xdr:pic>
      <xdr:nvPicPr>
        <xdr:cNvPr id="3" name="Picture 1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04120" y="7734300"/>
          <a:ext cx="76200" cy="7620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73</xdr:row>
      <xdr:rowOff>0</xdr:rowOff>
    </xdr:from>
    <xdr:to>
      <xdr:col>9</xdr:col>
      <xdr:colOff>76200</xdr:colOff>
      <xdr:row>73</xdr:row>
      <xdr:rowOff>7620</xdr:rowOff>
    </xdr:to>
    <xdr:pic>
      <xdr:nvPicPr>
        <xdr:cNvPr id="2" name="Picture 1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04120" y="7566660"/>
          <a:ext cx="76200" cy="7620"/>
        </a:xfrm>
        <a:prstGeom prst="rect">
          <a:avLst/>
        </a:prstGeom>
        <a:noFill/>
      </xdr:spPr>
    </xdr:pic>
    <xdr:clientData/>
  </xdr:twoCellAnchor>
  <xdr:oneCellAnchor>
    <xdr:from>
      <xdr:col>9</xdr:col>
      <xdr:colOff>0</xdr:colOff>
      <xdr:row>73</xdr:row>
      <xdr:rowOff>0</xdr:rowOff>
    </xdr:from>
    <xdr:ext cx="76200" cy="7620"/>
    <xdr:pic>
      <xdr:nvPicPr>
        <xdr:cNvPr id="7" name="Picture 6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492067" y="134789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73</xdr:row>
      <xdr:rowOff>0</xdr:rowOff>
    </xdr:from>
    <xdr:ext cx="76200" cy="7620"/>
    <xdr:pic>
      <xdr:nvPicPr>
        <xdr:cNvPr id="9" name="Picture 8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492067" y="134789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77</xdr:row>
      <xdr:rowOff>0</xdr:rowOff>
    </xdr:from>
    <xdr:ext cx="76200" cy="7620"/>
    <xdr:pic>
      <xdr:nvPicPr>
        <xdr:cNvPr id="10" name="Picture 9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492067" y="134789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78</xdr:row>
      <xdr:rowOff>0</xdr:rowOff>
    </xdr:from>
    <xdr:ext cx="76200" cy="7620"/>
    <xdr:pic>
      <xdr:nvPicPr>
        <xdr:cNvPr id="12" name="Picture 11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492067" y="134789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83</xdr:row>
      <xdr:rowOff>0</xdr:rowOff>
    </xdr:from>
    <xdr:ext cx="76200" cy="7620"/>
    <xdr:pic>
      <xdr:nvPicPr>
        <xdr:cNvPr id="13" name="Picture 12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86097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83</xdr:row>
      <xdr:rowOff>0</xdr:rowOff>
    </xdr:from>
    <xdr:ext cx="76200" cy="7620"/>
    <xdr:pic>
      <xdr:nvPicPr>
        <xdr:cNvPr id="14" name="Picture 13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96257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90</xdr:row>
      <xdr:rowOff>0</xdr:rowOff>
    </xdr:from>
    <xdr:ext cx="76200" cy="7620"/>
    <xdr:pic>
      <xdr:nvPicPr>
        <xdr:cNvPr id="15" name="Picture 14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211497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89</xdr:row>
      <xdr:rowOff>0</xdr:rowOff>
    </xdr:from>
    <xdr:ext cx="76200" cy="7620"/>
    <xdr:pic>
      <xdr:nvPicPr>
        <xdr:cNvPr id="16" name="Picture 15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209804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76</xdr:row>
      <xdr:rowOff>0</xdr:rowOff>
    </xdr:from>
    <xdr:ext cx="76200" cy="7620"/>
    <xdr:pic>
      <xdr:nvPicPr>
        <xdr:cNvPr id="17" name="Picture 16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76</xdr:row>
      <xdr:rowOff>0</xdr:rowOff>
    </xdr:from>
    <xdr:ext cx="76200" cy="7620"/>
    <xdr:pic>
      <xdr:nvPicPr>
        <xdr:cNvPr id="18" name="Picture 17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76</xdr:row>
      <xdr:rowOff>0</xdr:rowOff>
    </xdr:from>
    <xdr:ext cx="76200" cy="7620"/>
    <xdr:pic>
      <xdr:nvPicPr>
        <xdr:cNvPr id="19" name="Picture 18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79</xdr:row>
      <xdr:rowOff>0</xdr:rowOff>
    </xdr:from>
    <xdr:ext cx="76200" cy="7620"/>
    <xdr:pic>
      <xdr:nvPicPr>
        <xdr:cNvPr id="20" name="Picture 19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79</xdr:row>
      <xdr:rowOff>0</xdr:rowOff>
    </xdr:from>
    <xdr:ext cx="76200" cy="7620"/>
    <xdr:pic>
      <xdr:nvPicPr>
        <xdr:cNvPr id="21" name="Picture 20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79</xdr:row>
      <xdr:rowOff>0</xdr:rowOff>
    </xdr:from>
    <xdr:ext cx="76200" cy="7620"/>
    <xdr:pic>
      <xdr:nvPicPr>
        <xdr:cNvPr id="22" name="Picture 21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82</xdr:row>
      <xdr:rowOff>0</xdr:rowOff>
    </xdr:from>
    <xdr:ext cx="76200" cy="7620"/>
    <xdr:pic>
      <xdr:nvPicPr>
        <xdr:cNvPr id="23" name="Picture 22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82</xdr:row>
      <xdr:rowOff>0</xdr:rowOff>
    </xdr:from>
    <xdr:ext cx="76200" cy="7620"/>
    <xdr:pic>
      <xdr:nvPicPr>
        <xdr:cNvPr id="24" name="Picture 23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82</xdr:row>
      <xdr:rowOff>0</xdr:rowOff>
    </xdr:from>
    <xdr:ext cx="76200" cy="7620"/>
    <xdr:pic>
      <xdr:nvPicPr>
        <xdr:cNvPr id="25" name="Picture 24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88</xdr:row>
      <xdr:rowOff>0</xdr:rowOff>
    </xdr:from>
    <xdr:ext cx="76200" cy="7620"/>
    <xdr:pic>
      <xdr:nvPicPr>
        <xdr:cNvPr id="26" name="Picture 25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88</xdr:row>
      <xdr:rowOff>0</xdr:rowOff>
    </xdr:from>
    <xdr:ext cx="76200" cy="7620"/>
    <xdr:pic>
      <xdr:nvPicPr>
        <xdr:cNvPr id="27" name="Picture 26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88</xdr:row>
      <xdr:rowOff>0</xdr:rowOff>
    </xdr:from>
    <xdr:ext cx="76200" cy="7620"/>
    <xdr:pic>
      <xdr:nvPicPr>
        <xdr:cNvPr id="28" name="Picture 27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91</xdr:row>
      <xdr:rowOff>0</xdr:rowOff>
    </xdr:from>
    <xdr:ext cx="76200" cy="7620"/>
    <xdr:pic>
      <xdr:nvPicPr>
        <xdr:cNvPr id="29" name="Picture 28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91</xdr:row>
      <xdr:rowOff>0</xdr:rowOff>
    </xdr:from>
    <xdr:ext cx="76200" cy="7620"/>
    <xdr:pic>
      <xdr:nvPicPr>
        <xdr:cNvPr id="30" name="Picture 29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91</xdr:row>
      <xdr:rowOff>0</xdr:rowOff>
    </xdr:from>
    <xdr:ext cx="76200" cy="7620"/>
    <xdr:pic>
      <xdr:nvPicPr>
        <xdr:cNvPr id="31" name="Picture 30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94</xdr:row>
      <xdr:rowOff>0</xdr:rowOff>
    </xdr:from>
    <xdr:ext cx="76200" cy="7620"/>
    <xdr:pic>
      <xdr:nvPicPr>
        <xdr:cNvPr id="32" name="Picture 31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94</xdr:row>
      <xdr:rowOff>0</xdr:rowOff>
    </xdr:from>
    <xdr:ext cx="76200" cy="7620"/>
    <xdr:pic>
      <xdr:nvPicPr>
        <xdr:cNvPr id="33" name="Picture 32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94</xdr:row>
      <xdr:rowOff>0</xdr:rowOff>
    </xdr:from>
    <xdr:ext cx="76200" cy="7620"/>
    <xdr:pic>
      <xdr:nvPicPr>
        <xdr:cNvPr id="34" name="Picture 33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6057" y="116586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79</xdr:row>
      <xdr:rowOff>0</xdr:rowOff>
    </xdr:from>
    <xdr:ext cx="76200" cy="7620"/>
    <xdr:pic>
      <xdr:nvPicPr>
        <xdr:cNvPr id="35" name="Picture 34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2031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79</xdr:row>
      <xdr:rowOff>0</xdr:rowOff>
    </xdr:from>
    <xdr:ext cx="76200" cy="7620"/>
    <xdr:pic>
      <xdr:nvPicPr>
        <xdr:cNvPr id="36" name="Picture 35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2031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79</xdr:row>
      <xdr:rowOff>0</xdr:rowOff>
    </xdr:from>
    <xdr:ext cx="76200" cy="7620"/>
    <xdr:pic>
      <xdr:nvPicPr>
        <xdr:cNvPr id="37" name="Picture 36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2031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82</xdr:row>
      <xdr:rowOff>0</xdr:rowOff>
    </xdr:from>
    <xdr:ext cx="76200" cy="7620"/>
    <xdr:pic>
      <xdr:nvPicPr>
        <xdr:cNvPr id="38" name="Picture 37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2708467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83</xdr:row>
      <xdr:rowOff>0</xdr:rowOff>
    </xdr:from>
    <xdr:ext cx="76200" cy="7620"/>
    <xdr:pic>
      <xdr:nvPicPr>
        <xdr:cNvPr id="39" name="Picture 38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28778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81</xdr:row>
      <xdr:rowOff>0</xdr:rowOff>
    </xdr:from>
    <xdr:ext cx="76200" cy="7620"/>
    <xdr:pic>
      <xdr:nvPicPr>
        <xdr:cNvPr id="40" name="Picture 39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2539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81</xdr:row>
      <xdr:rowOff>0</xdr:rowOff>
    </xdr:from>
    <xdr:ext cx="76200" cy="7620"/>
    <xdr:pic>
      <xdr:nvPicPr>
        <xdr:cNvPr id="41" name="Picture 40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2539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81</xdr:row>
      <xdr:rowOff>0</xdr:rowOff>
    </xdr:from>
    <xdr:ext cx="76200" cy="7620"/>
    <xdr:pic>
      <xdr:nvPicPr>
        <xdr:cNvPr id="42" name="Picture 41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2539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90</xdr:row>
      <xdr:rowOff>0</xdr:rowOff>
    </xdr:from>
    <xdr:ext cx="76200" cy="7620"/>
    <xdr:pic>
      <xdr:nvPicPr>
        <xdr:cNvPr id="43" name="Picture 42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8938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90</xdr:row>
      <xdr:rowOff>0</xdr:rowOff>
    </xdr:from>
    <xdr:ext cx="76200" cy="7620"/>
    <xdr:pic>
      <xdr:nvPicPr>
        <xdr:cNvPr id="44" name="Picture 43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8938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85</xdr:row>
      <xdr:rowOff>0</xdr:rowOff>
    </xdr:from>
    <xdr:ext cx="76200" cy="7620"/>
    <xdr:pic>
      <xdr:nvPicPr>
        <xdr:cNvPr id="45" name="Picture 44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047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85</xdr:row>
      <xdr:rowOff>0</xdr:rowOff>
    </xdr:from>
    <xdr:ext cx="76200" cy="7620"/>
    <xdr:pic>
      <xdr:nvPicPr>
        <xdr:cNvPr id="46" name="Picture 45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047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85</xdr:row>
      <xdr:rowOff>0</xdr:rowOff>
    </xdr:from>
    <xdr:ext cx="76200" cy="7620"/>
    <xdr:pic>
      <xdr:nvPicPr>
        <xdr:cNvPr id="47" name="Picture 46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047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89</xdr:row>
      <xdr:rowOff>0</xdr:rowOff>
    </xdr:from>
    <xdr:ext cx="76200" cy="7620"/>
    <xdr:pic>
      <xdr:nvPicPr>
        <xdr:cNvPr id="48" name="Picture 47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724467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89</xdr:row>
      <xdr:rowOff>0</xdr:rowOff>
    </xdr:from>
    <xdr:ext cx="76200" cy="7620"/>
    <xdr:pic>
      <xdr:nvPicPr>
        <xdr:cNvPr id="49" name="Picture 48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724467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89</xdr:row>
      <xdr:rowOff>0</xdr:rowOff>
    </xdr:from>
    <xdr:ext cx="76200" cy="7620"/>
    <xdr:pic>
      <xdr:nvPicPr>
        <xdr:cNvPr id="50" name="Picture 49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724467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85</xdr:row>
      <xdr:rowOff>0</xdr:rowOff>
    </xdr:from>
    <xdr:ext cx="76200" cy="7620"/>
    <xdr:pic>
      <xdr:nvPicPr>
        <xdr:cNvPr id="51" name="Picture 50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047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85</xdr:row>
      <xdr:rowOff>0</xdr:rowOff>
    </xdr:from>
    <xdr:ext cx="76200" cy="7620"/>
    <xdr:pic>
      <xdr:nvPicPr>
        <xdr:cNvPr id="52" name="Picture 51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047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85</xdr:row>
      <xdr:rowOff>0</xdr:rowOff>
    </xdr:from>
    <xdr:ext cx="76200" cy="7620"/>
    <xdr:pic>
      <xdr:nvPicPr>
        <xdr:cNvPr id="53" name="Picture 52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047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89</xdr:row>
      <xdr:rowOff>0</xdr:rowOff>
    </xdr:from>
    <xdr:ext cx="76200" cy="7620"/>
    <xdr:pic>
      <xdr:nvPicPr>
        <xdr:cNvPr id="54" name="Picture 53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724467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90</xdr:row>
      <xdr:rowOff>0</xdr:rowOff>
    </xdr:from>
    <xdr:ext cx="76200" cy="7620"/>
    <xdr:pic>
      <xdr:nvPicPr>
        <xdr:cNvPr id="55" name="Picture 54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8938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88</xdr:row>
      <xdr:rowOff>0</xdr:rowOff>
    </xdr:from>
    <xdr:ext cx="76200" cy="7620"/>
    <xdr:pic>
      <xdr:nvPicPr>
        <xdr:cNvPr id="56" name="Picture 55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555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88</xdr:row>
      <xdr:rowOff>0</xdr:rowOff>
    </xdr:from>
    <xdr:ext cx="76200" cy="7620"/>
    <xdr:pic>
      <xdr:nvPicPr>
        <xdr:cNvPr id="57" name="Picture 56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555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88</xdr:row>
      <xdr:rowOff>0</xdr:rowOff>
    </xdr:from>
    <xdr:ext cx="76200" cy="7620"/>
    <xdr:pic>
      <xdr:nvPicPr>
        <xdr:cNvPr id="58" name="Picture 57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61867" y="135551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81</xdr:row>
      <xdr:rowOff>0</xdr:rowOff>
    </xdr:from>
    <xdr:ext cx="76200" cy="7620"/>
    <xdr:pic>
      <xdr:nvPicPr>
        <xdr:cNvPr id="59" name="Picture 58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241867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82</xdr:row>
      <xdr:rowOff>0</xdr:rowOff>
    </xdr:from>
    <xdr:ext cx="76200" cy="7620"/>
    <xdr:pic>
      <xdr:nvPicPr>
        <xdr:cNvPr id="60" name="Picture 59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4112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80</xdr:row>
      <xdr:rowOff>0</xdr:rowOff>
    </xdr:from>
    <xdr:ext cx="76200" cy="7620"/>
    <xdr:pic>
      <xdr:nvPicPr>
        <xdr:cNvPr id="61" name="Picture 60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072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80</xdr:row>
      <xdr:rowOff>0</xdr:rowOff>
    </xdr:from>
    <xdr:ext cx="76200" cy="7620"/>
    <xdr:pic>
      <xdr:nvPicPr>
        <xdr:cNvPr id="62" name="Picture 61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072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80</xdr:row>
      <xdr:rowOff>0</xdr:rowOff>
    </xdr:from>
    <xdr:ext cx="76200" cy="7620"/>
    <xdr:pic>
      <xdr:nvPicPr>
        <xdr:cNvPr id="63" name="Picture 62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072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83</xdr:row>
      <xdr:rowOff>0</xdr:rowOff>
    </xdr:from>
    <xdr:ext cx="76200" cy="7620"/>
    <xdr:pic>
      <xdr:nvPicPr>
        <xdr:cNvPr id="64" name="Picture 63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83</xdr:row>
      <xdr:rowOff>0</xdr:rowOff>
    </xdr:from>
    <xdr:ext cx="76200" cy="7620"/>
    <xdr:pic>
      <xdr:nvPicPr>
        <xdr:cNvPr id="65" name="Picture 64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83</xdr:row>
      <xdr:rowOff>0</xdr:rowOff>
    </xdr:from>
    <xdr:ext cx="76200" cy="7620"/>
    <xdr:pic>
      <xdr:nvPicPr>
        <xdr:cNvPr id="66" name="Picture 65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83</xdr:row>
      <xdr:rowOff>0</xdr:rowOff>
    </xdr:from>
    <xdr:ext cx="76200" cy="7620"/>
    <xdr:pic>
      <xdr:nvPicPr>
        <xdr:cNvPr id="67" name="Picture 66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83</xdr:row>
      <xdr:rowOff>0</xdr:rowOff>
    </xdr:from>
    <xdr:ext cx="76200" cy="7620"/>
    <xdr:pic>
      <xdr:nvPicPr>
        <xdr:cNvPr id="68" name="Picture 67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83</xdr:row>
      <xdr:rowOff>0</xdr:rowOff>
    </xdr:from>
    <xdr:ext cx="76200" cy="7620"/>
    <xdr:pic>
      <xdr:nvPicPr>
        <xdr:cNvPr id="69" name="Picture 68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85</xdr:row>
      <xdr:rowOff>0</xdr:rowOff>
    </xdr:from>
    <xdr:ext cx="76200" cy="7620"/>
    <xdr:pic>
      <xdr:nvPicPr>
        <xdr:cNvPr id="70" name="Picture 69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241867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86</xdr:row>
      <xdr:rowOff>0</xdr:rowOff>
    </xdr:from>
    <xdr:ext cx="76200" cy="7620"/>
    <xdr:pic>
      <xdr:nvPicPr>
        <xdr:cNvPr id="71" name="Picture 70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4112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84</xdr:row>
      <xdr:rowOff>0</xdr:rowOff>
    </xdr:from>
    <xdr:ext cx="76200" cy="7620"/>
    <xdr:pic>
      <xdr:nvPicPr>
        <xdr:cNvPr id="72" name="Picture 71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072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84</xdr:row>
      <xdr:rowOff>0</xdr:rowOff>
    </xdr:from>
    <xdr:ext cx="76200" cy="7620"/>
    <xdr:pic>
      <xdr:nvPicPr>
        <xdr:cNvPr id="73" name="Picture 72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072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84</xdr:row>
      <xdr:rowOff>0</xdr:rowOff>
    </xdr:from>
    <xdr:ext cx="76200" cy="7620"/>
    <xdr:pic>
      <xdr:nvPicPr>
        <xdr:cNvPr id="74" name="Picture 73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072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87</xdr:row>
      <xdr:rowOff>0</xdr:rowOff>
    </xdr:from>
    <xdr:ext cx="76200" cy="7620"/>
    <xdr:pic>
      <xdr:nvPicPr>
        <xdr:cNvPr id="75" name="Picture 74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87</xdr:row>
      <xdr:rowOff>0</xdr:rowOff>
    </xdr:from>
    <xdr:ext cx="76200" cy="7620"/>
    <xdr:pic>
      <xdr:nvPicPr>
        <xdr:cNvPr id="76" name="Picture 75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87</xdr:row>
      <xdr:rowOff>0</xdr:rowOff>
    </xdr:from>
    <xdr:ext cx="76200" cy="7620"/>
    <xdr:pic>
      <xdr:nvPicPr>
        <xdr:cNvPr id="77" name="Picture 76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87</xdr:row>
      <xdr:rowOff>0</xdr:rowOff>
    </xdr:from>
    <xdr:ext cx="76200" cy="7620"/>
    <xdr:pic>
      <xdr:nvPicPr>
        <xdr:cNvPr id="78" name="Picture 77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87</xdr:row>
      <xdr:rowOff>0</xdr:rowOff>
    </xdr:from>
    <xdr:ext cx="76200" cy="7620"/>
    <xdr:pic>
      <xdr:nvPicPr>
        <xdr:cNvPr id="79" name="Picture 78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87</xdr:row>
      <xdr:rowOff>0</xdr:rowOff>
    </xdr:from>
    <xdr:ext cx="76200" cy="7620"/>
    <xdr:pic>
      <xdr:nvPicPr>
        <xdr:cNvPr id="80" name="Picture 79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89</xdr:row>
      <xdr:rowOff>0</xdr:rowOff>
    </xdr:from>
    <xdr:ext cx="76200" cy="7620"/>
    <xdr:pic>
      <xdr:nvPicPr>
        <xdr:cNvPr id="81" name="Picture 80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241867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90</xdr:row>
      <xdr:rowOff>0</xdr:rowOff>
    </xdr:from>
    <xdr:ext cx="76200" cy="7620"/>
    <xdr:pic>
      <xdr:nvPicPr>
        <xdr:cNvPr id="82" name="Picture 81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411200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88</xdr:row>
      <xdr:rowOff>0</xdr:rowOff>
    </xdr:from>
    <xdr:ext cx="76200" cy="7620"/>
    <xdr:pic>
      <xdr:nvPicPr>
        <xdr:cNvPr id="83" name="Picture 82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072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88</xdr:row>
      <xdr:rowOff>0</xdr:rowOff>
    </xdr:from>
    <xdr:ext cx="76200" cy="7620"/>
    <xdr:pic>
      <xdr:nvPicPr>
        <xdr:cNvPr id="84" name="Picture 83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072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88</xdr:row>
      <xdr:rowOff>0</xdr:rowOff>
    </xdr:from>
    <xdr:ext cx="76200" cy="7620"/>
    <xdr:pic>
      <xdr:nvPicPr>
        <xdr:cNvPr id="85" name="Picture 84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072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91</xdr:row>
      <xdr:rowOff>0</xdr:rowOff>
    </xdr:from>
    <xdr:ext cx="76200" cy="7620"/>
    <xdr:pic>
      <xdr:nvPicPr>
        <xdr:cNvPr id="86" name="Picture 85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91</xdr:row>
      <xdr:rowOff>0</xdr:rowOff>
    </xdr:from>
    <xdr:ext cx="76200" cy="7620"/>
    <xdr:pic>
      <xdr:nvPicPr>
        <xdr:cNvPr id="87" name="Picture 86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91</xdr:row>
      <xdr:rowOff>0</xdr:rowOff>
    </xdr:from>
    <xdr:ext cx="76200" cy="7620"/>
    <xdr:pic>
      <xdr:nvPicPr>
        <xdr:cNvPr id="88" name="Picture 87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91</xdr:row>
      <xdr:rowOff>0</xdr:rowOff>
    </xdr:from>
    <xdr:ext cx="76200" cy="7620"/>
    <xdr:pic>
      <xdr:nvPicPr>
        <xdr:cNvPr id="89" name="Picture 88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91</xdr:row>
      <xdr:rowOff>0</xdr:rowOff>
    </xdr:from>
    <xdr:ext cx="76200" cy="7620"/>
    <xdr:pic>
      <xdr:nvPicPr>
        <xdr:cNvPr id="90" name="Picture 89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  <xdr:oneCellAnchor>
    <xdr:from>
      <xdr:col>9</xdr:col>
      <xdr:colOff>0</xdr:colOff>
      <xdr:row>91</xdr:row>
      <xdr:rowOff>0</xdr:rowOff>
    </xdr:from>
    <xdr:ext cx="76200" cy="7620"/>
    <xdr:pic>
      <xdr:nvPicPr>
        <xdr:cNvPr id="91" name="Picture 90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70333" y="13580533"/>
          <a:ext cx="76200" cy="7620"/>
        </a:xfrm>
        <a:prstGeom prst="rect">
          <a:avLst/>
        </a:prstGeom>
        <a:noFill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624840</xdr:colOff>
      <xdr:row>100</xdr:row>
      <xdr:rowOff>144780</xdr:rowOff>
    </xdr:from>
    <xdr:to>
      <xdr:col>17</xdr:col>
      <xdr:colOff>635000</xdr:colOff>
      <xdr:row>101</xdr:row>
      <xdr:rowOff>101600</xdr:rowOff>
    </xdr:to>
    <xdr:sp macro="" textlink="">
      <xdr:nvSpPr>
        <xdr:cNvPr id="50177" name="Line 1"/>
        <xdr:cNvSpPr>
          <a:spLocks noChangeShapeType="1"/>
        </xdr:cNvSpPr>
      </xdr:nvSpPr>
      <xdr:spPr bwMode="auto">
        <a:xfrm flipH="1" flipV="1">
          <a:off x="17913773" y="21006647"/>
          <a:ext cx="10160" cy="1346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</xdr:colOff>
      <xdr:row>26</xdr:row>
      <xdr:rowOff>114300</xdr:rowOff>
    </xdr:from>
    <xdr:to>
      <xdr:col>8</xdr:col>
      <xdr:colOff>495300</xdr:colOff>
      <xdr:row>26</xdr:row>
      <xdr:rowOff>114300</xdr:rowOff>
    </xdr:to>
    <xdr:sp macro="" textlink="">
      <xdr:nvSpPr>
        <xdr:cNvPr id="54273" name="Line 1"/>
        <xdr:cNvSpPr>
          <a:spLocks noChangeShapeType="1"/>
        </xdr:cNvSpPr>
      </xdr:nvSpPr>
      <xdr:spPr bwMode="auto">
        <a:xfrm flipH="1">
          <a:off x="5836920" y="5067300"/>
          <a:ext cx="4495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42</xdr:row>
      <xdr:rowOff>0</xdr:rowOff>
    </xdr:from>
    <xdr:to>
      <xdr:col>7</xdr:col>
      <xdr:colOff>76200</xdr:colOff>
      <xdr:row>42</xdr:row>
      <xdr:rowOff>7620</xdr:rowOff>
    </xdr:to>
    <xdr:pic>
      <xdr:nvPicPr>
        <xdr:cNvPr id="2" name="Picture 1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66760" y="7231380"/>
          <a:ext cx="76200" cy="7620"/>
        </a:xfrm>
        <a:prstGeom prst="rect">
          <a:avLst/>
        </a:prstGeom>
        <a:noFill/>
      </xdr:spPr>
    </xdr:pic>
    <xdr:clientData/>
  </xdr:twoCellAnchor>
  <xdr:oneCellAnchor>
    <xdr:from>
      <xdr:col>7</xdr:col>
      <xdr:colOff>0</xdr:colOff>
      <xdr:row>42</xdr:row>
      <xdr:rowOff>0</xdr:rowOff>
    </xdr:from>
    <xdr:ext cx="76200" cy="7620"/>
    <xdr:pic>
      <xdr:nvPicPr>
        <xdr:cNvPr id="3" name="Picture 2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66760" y="7231380"/>
          <a:ext cx="76200" cy="7620"/>
        </a:xfrm>
        <a:prstGeom prst="rect">
          <a:avLst/>
        </a:prstGeom>
        <a:noFill/>
      </xdr:spPr>
    </xdr:pic>
    <xdr:clientData/>
  </xdr:oneCellAnchor>
  <xdr:twoCellAnchor editAs="oneCell">
    <xdr:from>
      <xdr:col>7</xdr:col>
      <xdr:colOff>0</xdr:colOff>
      <xdr:row>42</xdr:row>
      <xdr:rowOff>0</xdr:rowOff>
    </xdr:from>
    <xdr:to>
      <xdr:col>7</xdr:col>
      <xdr:colOff>76200</xdr:colOff>
      <xdr:row>42</xdr:row>
      <xdr:rowOff>7620</xdr:rowOff>
    </xdr:to>
    <xdr:pic>
      <xdr:nvPicPr>
        <xdr:cNvPr id="4" name="Picture 3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66760" y="7231380"/>
          <a:ext cx="76200" cy="7620"/>
        </a:xfrm>
        <a:prstGeom prst="rect">
          <a:avLst/>
        </a:prstGeom>
        <a:noFill/>
      </xdr:spPr>
    </xdr:pic>
    <xdr:clientData/>
  </xdr:twoCellAnchor>
  <xdr:oneCellAnchor>
    <xdr:from>
      <xdr:col>7</xdr:col>
      <xdr:colOff>0</xdr:colOff>
      <xdr:row>42</xdr:row>
      <xdr:rowOff>0</xdr:rowOff>
    </xdr:from>
    <xdr:ext cx="76200" cy="7620"/>
    <xdr:pic>
      <xdr:nvPicPr>
        <xdr:cNvPr id="5" name="Picture 4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66760" y="7231380"/>
          <a:ext cx="76200" cy="7620"/>
        </a:xfrm>
        <a:prstGeom prst="rect">
          <a:avLst/>
        </a:prstGeom>
        <a:noFill/>
      </xdr:spPr>
    </xdr:pic>
    <xdr:clientData/>
  </xdr:oneCellAnchor>
  <xdr:twoCellAnchor>
    <xdr:from>
      <xdr:col>24</xdr:col>
      <xdr:colOff>279401</xdr:colOff>
      <xdr:row>66</xdr:row>
      <xdr:rowOff>16932</xdr:rowOff>
    </xdr:from>
    <xdr:to>
      <xdr:col>24</xdr:col>
      <xdr:colOff>287866</xdr:colOff>
      <xdr:row>70</xdr:row>
      <xdr:rowOff>127000</xdr:rowOff>
    </xdr:to>
    <xdr:sp macro="" textlink="">
      <xdr:nvSpPr>
        <xdr:cNvPr id="14" name="Line 3"/>
        <xdr:cNvSpPr>
          <a:spLocks noChangeShapeType="1"/>
        </xdr:cNvSpPr>
      </xdr:nvSpPr>
      <xdr:spPr bwMode="auto">
        <a:xfrm>
          <a:off x="23528868" y="11929532"/>
          <a:ext cx="8465" cy="78740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24</xdr:col>
      <xdr:colOff>281940</xdr:colOff>
      <xdr:row>68</xdr:row>
      <xdr:rowOff>76224</xdr:rowOff>
    </xdr:from>
    <xdr:to>
      <xdr:col>25</xdr:col>
      <xdr:colOff>0</xdr:colOff>
      <xdr:row>68</xdr:row>
      <xdr:rowOff>76224</xdr:rowOff>
    </xdr:to>
    <xdr:sp macro="" textlink="">
      <xdr:nvSpPr>
        <xdr:cNvPr id="15" name="Line 4"/>
        <xdr:cNvSpPr>
          <a:spLocks noChangeShapeType="1"/>
        </xdr:cNvSpPr>
      </xdr:nvSpPr>
      <xdr:spPr bwMode="auto">
        <a:xfrm>
          <a:off x="23539873" y="11667091"/>
          <a:ext cx="310727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24</xdr:col>
      <xdr:colOff>28786</xdr:colOff>
      <xdr:row>66</xdr:row>
      <xdr:rowOff>8465</xdr:rowOff>
    </xdr:from>
    <xdr:to>
      <xdr:col>24</xdr:col>
      <xdr:colOff>282786</xdr:colOff>
      <xdr:row>66</xdr:row>
      <xdr:rowOff>8465</xdr:rowOff>
    </xdr:to>
    <xdr:cxnSp macro="">
      <xdr:nvCxnSpPr>
        <xdr:cNvPr id="16" name="Straight Connector 15"/>
        <xdr:cNvCxnSpPr/>
      </xdr:nvCxnSpPr>
      <xdr:spPr bwMode="auto">
        <a:xfrm flipH="1">
          <a:off x="23278253" y="11921065"/>
          <a:ext cx="254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24</xdr:col>
      <xdr:colOff>50800</xdr:colOff>
      <xdr:row>70</xdr:row>
      <xdr:rowOff>127000</xdr:rowOff>
    </xdr:from>
    <xdr:to>
      <xdr:col>24</xdr:col>
      <xdr:colOff>287866</xdr:colOff>
      <xdr:row>70</xdr:row>
      <xdr:rowOff>127000</xdr:rowOff>
    </xdr:to>
    <xdr:cxnSp macro="">
      <xdr:nvCxnSpPr>
        <xdr:cNvPr id="17" name="Straight Connector 16"/>
        <xdr:cNvCxnSpPr>
          <a:stCxn id="14" idx="1"/>
        </xdr:cNvCxnSpPr>
      </xdr:nvCxnSpPr>
      <xdr:spPr bwMode="auto">
        <a:xfrm flipH="1">
          <a:off x="23308733" y="12056533"/>
          <a:ext cx="237066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49</xdr:row>
      <xdr:rowOff>0</xdr:rowOff>
    </xdr:from>
    <xdr:to>
      <xdr:col>9</xdr:col>
      <xdr:colOff>76200</xdr:colOff>
      <xdr:row>49</xdr:row>
      <xdr:rowOff>7620</xdr:rowOff>
    </xdr:to>
    <xdr:pic>
      <xdr:nvPicPr>
        <xdr:cNvPr id="2" name="Picture 1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14260" y="7094220"/>
          <a:ext cx="76200" cy="7620"/>
        </a:xfrm>
        <a:prstGeom prst="rect">
          <a:avLst/>
        </a:prstGeom>
        <a:noFill/>
      </xdr:spPr>
    </xdr:pic>
    <xdr:clientData/>
  </xdr:twoCellAnchor>
  <xdr:oneCellAnchor>
    <xdr:from>
      <xdr:col>9</xdr:col>
      <xdr:colOff>0</xdr:colOff>
      <xdr:row>49</xdr:row>
      <xdr:rowOff>0</xdr:rowOff>
    </xdr:from>
    <xdr:ext cx="76200" cy="7620"/>
    <xdr:pic>
      <xdr:nvPicPr>
        <xdr:cNvPr id="3" name="Picture 2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14260" y="7094220"/>
          <a:ext cx="76200" cy="7620"/>
        </a:xfrm>
        <a:prstGeom prst="rect">
          <a:avLst/>
        </a:prstGeom>
        <a:noFill/>
      </xdr:spPr>
    </xdr:pic>
    <xdr:clientData/>
  </xdr:oneCellAnchor>
  <xdr:twoCellAnchor editAs="oneCell">
    <xdr:from>
      <xdr:col>9</xdr:col>
      <xdr:colOff>0</xdr:colOff>
      <xdr:row>49</xdr:row>
      <xdr:rowOff>0</xdr:rowOff>
    </xdr:from>
    <xdr:to>
      <xdr:col>9</xdr:col>
      <xdr:colOff>76200</xdr:colOff>
      <xdr:row>49</xdr:row>
      <xdr:rowOff>7620</xdr:rowOff>
    </xdr:to>
    <xdr:pic>
      <xdr:nvPicPr>
        <xdr:cNvPr id="4" name="Picture 3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14260" y="7094220"/>
          <a:ext cx="76200" cy="7620"/>
        </a:xfrm>
        <a:prstGeom prst="rect">
          <a:avLst/>
        </a:prstGeom>
        <a:noFill/>
      </xdr:spPr>
    </xdr:pic>
    <xdr:clientData/>
  </xdr:twoCellAnchor>
  <xdr:oneCellAnchor>
    <xdr:from>
      <xdr:col>9</xdr:col>
      <xdr:colOff>0</xdr:colOff>
      <xdr:row>49</xdr:row>
      <xdr:rowOff>0</xdr:rowOff>
    </xdr:from>
    <xdr:ext cx="76200" cy="7620"/>
    <xdr:pic>
      <xdr:nvPicPr>
        <xdr:cNvPr id="5" name="Picture 4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14260" y="7094220"/>
          <a:ext cx="76200" cy="7620"/>
        </a:xfrm>
        <a:prstGeom prst="rect">
          <a:avLst/>
        </a:prstGeom>
        <a:noFill/>
      </xdr:spPr>
    </xdr:pic>
    <xdr:clientData/>
  </xdr:oneCellAnchor>
  <xdr:twoCellAnchor>
    <xdr:from>
      <xdr:col>26</xdr:col>
      <xdr:colOff>279401</xdr:colOff>
      <xdr:row>68</xdr:row>
      <xdr:rowOff>16932</xdr:rowOff>
    </xdr:from>
    <xdr:to>
      <xdr:col>26</xdr:col>
      <xdr:colOff>287866</xdr:colOff>
      <xdr:row>72</xdr:row>
      <xdr:rowOff>127000</xdr:rowOff>
    </xdr:to>
    <xdr:sp macro="" textlink="">
      <xdr:nvSpPr>
        <xdr:cNvPr id="6" name="Line 3"/>
        <xdr:cNvSpPr>
          <a:spLocks noChangeShapeType="1"/>
        </xdr:cNvSpPr>
      </xdr:nvSpPr>
      <xdr:spPr bwMode="auto">
        <a:xfrm>
          <a:off x="23543261" y="11149752"/>
          <a:ext cx="8465" cy="78062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281940</xdr:colOff>
      <xdr:row>70</xdr:row>
      <xdr:rowOff>16957</xdr:rowOff>
    </xdr:from>
    <xdr:to>
      <xdr:col>27</xdr:col>
      <xdr:colOff>0</xdr:colOff>
      <xdr:row>70</xdr:row>
      <xdr:rowOff>16957</xdr:rowOff>
    </xdr:to>
    <xdr:sp macro="" textlink="">
      <xdr:nvSpPr>
        <xdr:cNvPr id="7" name="Line 4"/>
        <xdr:cNvSpPr>
          <a:spLocks noChangeShapeType="1"/>
        </xdr:cNvSpPr>
      </xdr:nvSpPr>
      <xdr:spPr bwMode="auto">
        <a:xfrm>
          <a:off x="23545800" y="11485057"/>
          <a:ext cx="3124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26</xdr:col>
      <xdr:colOff>28786</xdr:colOff>
      <xdr:row>68</xdr:row>
      <xdr:rowOff>8465</xdr:rowOff>
    </xdr:from>
    <xdr:to>
      <xdr:col>26</xdr:col>
      <xdr:colOff>282786</xdr:colOff>
      <xdr:row>68</xdr:row>
      <xdr:rowOff>8465</xdr:rowOff>
    </xdr:to>
    <xdr:cxnSp macro="">
      <xdr:nvCxnSpPr>
        <xdr:cNvPr id="8" name="Straight Connector 7"/>
        <xdr:cNvCxnSpPr/>
      </xdr:nvCxnSpPr>
      <xdr:spPr bwMode="auto">
        <a:xfrm flipH="1">
          <a:off x="23292646" y="11141285"/>
          <a:ext cx="254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26</xdr:col>
      <xdr:colOff>67733</xdr:colOff>
      <xdr:row>72</xdr:row>
      <xdr:rowOff>127000</xdr:rowOff>
    </xdr:from>
    <xdr:to>
      <xdr:col>26</xdr:col>
      <xdr:colOff>287866</xdr:colOff>
      <xdr:row>72</xdr:row>
      <xdr:rowOff>127000</xdr:rowOff>
    </xdr:to>
    <xdr:cxnSp macro="">
      <xdr:nvCxnSpPr>
        <xdr:cNvPr id="9" name="Straight Connector 8"/>
        <xdr:cNvCxnSpPr>
          <a:stCxn id="6" idx="1"/>
        </xdr:cNvCxnSpPr>
      </xdr:nvCxnSpPr>
      <xdr:spPr bwMode="auto">
        <a:xfrm flipH="1">
          <a:off x="21175133" y="13123333"/>
          <a:ext cx="220133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48</xdr:row>
      <xdr:rowOff>0</xdr:rowOff>
    </xdr:from>
    <xdr:to>
      <xdr:col>9</xdr:col>
      <xdr:colOff>76200</xdr:colOff>
      <xdr:row>48</xdr:row>
      <xdr:rowOff>7620</xdr:rowOff>
    </xdr:to>
    <xdr:pic>
      <xdr:nvPicPr>
        <xdr:cNvPr id="75777" name="Picture 1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04120" y="8595360"/>
          <a:ext cx="76200" cy="7620"/>
        </a:xfrm>
        <a:prstGeom prst="rect">
          <a:avLst/>
        </a:prstGeom>
        <a:noFill/>
      </xdr:spPr>
    </xdr:pic>
    <xdr:clientData/>
  </xdr:twoCellAnchor>
  <xdr:twoCellAnchor>
    <xdr:from>
      <xdr:col>25</xdr:col>
      <xdr:colOff>262467</xdr:colOff>
      <xdr:row>65</xdr:row>
      <xdr:rowOff>110067</xdr:rowOff>
    </xdr:from>
    <xdr:to>
      <xdr:col>25</xdr:col>
      <xdr:colOff>262468</xdr:colOff>
      <xdr:row>68</xdr:row>
      <xdr:rowOff>101600</xdr:rowOff>
    </xdr:to>
    <xdr:sp macro="" textlink="">
      <xdr:nvSpPr>
        <xdr:cNvPr id="3" name="Line 3"/>
        <xdr:cNvSpPr>
          <a:spLocks noChangeShapeType="1"/>
        </xdr:cNvSpPr>
      </xdr:nvSpPr>
      <xdr:spPr bwMode="auto">
        <a:xfrm flipH="1">
          <a:off x="20798367" y="11547687"/>
          <a:ext cx="1" cy="49445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281940</xdr:colOff>
      <xdr:row>67</xdr:row>
      <xdr:rowOff>24</xdr:rowOff>
    </xdr:from>
    <xdr:to>
      <xdr:col>26</xdr:col>
      <xdr:colOff>0</xdr:colOff>
      <xdr:row>67</xdr:row>
      <xdr:rowOff>24</xdr:rowOff>
    </xdr:to>
    <xdr:sp macro="" textlink="">
      <xdr:nvSpPr>
        <xdr:cNvPr id="4" name="Line 4"/>
        <xdr:cNvSpPr>
          <a:spLocks noChangeShapeType="1"/>
        </xdr:cNvSpPr>
      </xdr:nvSpPr>
      <xdr:spPr bwMode="auto">
        <a:xfrm>
          <a:off x="20817840" y="11772924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25</xdr:col>
      <xdr:colOff>20320</xdr:colOff>
      <xdr:row>65</xdr:row>
      <xdr:rowOff>101599</xdr:rowOff>
    </xdr:from>
    <xdr:to>
      <xdr:col>25</xdr:col>
      <xdr:colOff>274320</xdr:colOff>
      <xdr:row>65</xdr:row>
      <xdr:rowOff>101599</xdr:rowOff>
    </xdr:to>
    <xdr:cxnSp macro="">
      <xdr:nvCxnSpPr>
        <xdr:cNvPr id="5" name="Straight Connector 4"/>
        <xdr:cNvCxnSpPr/>
      </xdr:nvCxnSpPr>
      <xdr:spPr bwMode="auto">
        <a:xfrm flipH="1">
          <a:off x="20556220" y="11539219"/>
          <a:ext cx="254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25</xdr:col>
      <xdr:colOff>0</xdr:colOff>
      <xdr:row>68</xdr:row>
      <xdr:rowOff>101600</xdr:rowOff>
    </xdr:from>
    <xdr:to>
      <xdr:col>25</xdr:col>
      <xdr:colOff>254000</xdr:colOff>
      <xdr:row>68</xdr:row>
      <xdr:rowOff>101600</xdr:rowOff>
    </xdr:to>
    <xdr:cxnSp macro="">
      <xdr:nvCxnSpPr>
        <xdr:cNvPr id="6" name="Straight Connector 5"/>
        <xdr:cNvCxnSpPr/>
      </xdr:nvCxnSpPr>
      <xdr:spPr bwMode="auto">
        <a:xfrm flipH="1">
          <a:off x="20535900" y="12042140"/>
          <a:ext cx="254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43</xdr:row>
      <xdr:rowOff>0</xdr:rowOff>
    </xdr:from>
    <xdr:to>
      <xdr:col>10</xdr:col>
      <xdr:colOff>76200</xdr:colOff>
      <xdr:row>43</xdr:row>
      <xdr:rowOff>7620</xdr:rowOff>
    </xdr:to>
    <xdr:pic>
      <xdr:nvPicPr>
        <xdr:cNvPr id="2" name="Picture 1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85960" y="7566660"/>
          <a:ext cx="76200" cy="7620"/>
        </a:xfrm>
        <a:prstGeom prst="rect">
          <a:avLst/>
        </a:prstGeom>
        <a:noFill/>
      </xdr:spPr>
    </xdr:pic>
    <xdr:clientData/>
  </xdr:twoCellAnchor>
  <xdr:oneCellAnchor>
    <xdr:from>
      <xdr:col>10</xdr:col>
      <xdr:colOff>0</xdr:colOff>
      <xdr:row>43</xdr:row>
      <xdr:rowOff>0</xdr:rowOff>
    </xdr:from>
    <xdr:ext cx="76200" cy="7620"/>
    <xdr:pic>
      <xdr:nvPicPr>
        <xdr:cNvPr id="3" name="Picture 2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85960" y="9593580"/>
          <a:ext cx="76200" cy="7620"/>
        </a:xfrm>
        <a:prstGeom prst="rect">
          <a:avLst/>
        </a:prstGeom>
        <a:noFill/>
      </xdr:spPr>
    </xdr:pic>
    <xdr:clientData/>
  </xdr:oneCellAnchor>
  <xdr:twoCellAnchor editAs="oneCell">
    <xdr:from>
      <xdr:col>10</xdr:col>
      <xdr:colOff>0</xdr:colOff>
      <xdr:row>43</xdr:row>
      <xdr:rowOff>0</xdr:rowOff>
    </xdr:from>
    <xdr:to>
      <xdr:col>10</xdr:col>
      <xdr:colOff>76200</xdr:colOff>
      <xdr:row>43</xdr:row>
      <xdr:rowOff>7620</xdr:rowOff>
    </xdr:to>
    <xdr:pic>
      <xdr:nvPicPr>
        <xdr:cNvPr id="4" name="Picture 3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85960" y="7239000"/>
          <a:ext cx="76200" cy="7620"/>
        </a:xfrm>
        <a:prstGeom prst="rect">
          <a:avLst/>
        </a:prstGeom>
        <a:noFill/>
      </xdr:spPr>
    </xdr:pic>
    <xdr:clientData/>
  </xdr:twoCellAnchor>
  <xdr:oneCellAnchor>
    <xdr:from>
      <xdr:col>10</xdr:col>
      <xdr:colOff>0</xdr:colOff>
      <xdr:row>43</xdr:row>
      <xdr:rowOff>0</xdr:rowOff>
    </xdr:from>
    <xdr:ext cx="76200" cy="7620"/>
    <xdr:pic>
      <xdr:nvPicPr>
        <xdr:cNvPr id="5" name="Picture 4" descr="BolC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85960" y="7239000"/>
          <a:ext cx="76200" cy="7620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579120</xdr:colOff>
      <xdr:row>72</xdr:row>
      <xdr:rowOff>30480</xdr:rowOff>
    </xdr:from>
    <xdr:to>
      <xdr:col>16</xdr:col>
      <xdr:colOff>579120</xdr:colOff>
      <xdr:row>73</xdr:row>
      <xdr:rowOff>129540</xdr:rowOff>
    </xdr:to>
    <xdr:sp macro="" textlink="">
      <xdr:nvSpPr>
        <xdr:cNvPr id="64513" name="Line 1"/>
        <xdr:cNvSpPr>
          <a:spLocks noChangeShapeType="1"/>
        </xdr:cNvSpPr>
      </xdr:nvSpPr>
      <xdr:spPr bwMode="auto">
        <a:xfrm flipV="1">
          <a:off x="14091920" y="12222480"/>
          <a:ext cx="0" cy="26839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16</xdr:col>
      <xdr:colOff>579120</xdr:colOff>
      <xdr:row>75</xdr:row>
      <xdr:rowOff>0</xdr:rowOff>
    </xdr:from>
    <xdr:to>
      <xdr:col>16</xdr:col>
      <xdr:colOff>579120</xdr:colOff>
      <xdr:row>75</xdr:row>
      <xdr:rowOff>0</xdr:rowOff>
    </xdr:to>
    <xdr:sp macro="" textlink="">
      <xdr:nvSpPr>
        <xdr:cNvPr id="64514" name="Line 2"/>
        <xdr:cNvSpPr>
          <a:spLocks noChangeShapeType="1"/>
        </xdr:cNvSpPr>
      </xdr:nvSpPr>
      <xdr:spPr bwMode="auto">
        <a:xfrm flipV="1">
          <a:off x="16421100" y="1466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16</xdr:col>
      <xdr:colOff>579120</xdr:colOff>
      <xdr:row>112</xdr:row>
      <xdr:rowOff>30480</xdr:rowOff>
    </xdr:from>
    <xdr:to>
      <xdr:col>16</xdr:col>
      <xdr:colOff>579120</xdr:colOff>
      <xdr:row>113</xdr:row>
      <xdr:rowOff>129540</xdr:rowOff>
    </xdr:to>
    <xdr:sp macro="" textlink="">
      <xdr:nvSpPr>
        <xdr:cNvPr id="64515" name="Line 3"/>
        <xdr:cNvSpPr>
          <a:spLocks noChangeShapeType="1"/>
        </xdr:cNvSpPr>
      </xdr:nvSpPr>
      <xdr:spPr bwMode="auto">
        <a:xfrm flipV="1">
          <a:off x="14091920" y="18995813"/>
          <a:ext cx="0" cy="26839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731520</xdr:colOff>
      <xdr:row>215</xdr:row>
      <xdr:rowOff>106680</xdr:rowOff>
    </xdr:from>
    <xdr:to>
      <xdr:col>61</xdr:col>
      <xdr:colOff>731520</xdr:colOff>
      <xdr:row>216</xdr:row>
      <xdr:rowOff>152400</xdr:rowOff>
    </xdr:to>
    <xdr:sp macro="" textlink="">
      <xdr:nvSpPr>
        <xdr:cNvPr id="5131" name="Line 11"/>
        <xdr:cNvSpPr>
          <a:spLocks noChangeShapeType="1"/>
        </xdr:cNvSpPr>
      </xdr:nvSpPr>
      <xdr:spPr bwMode="auto">
        <a:xfrm>
          <a:off x="55595520" y="51701700"/>
          <a:ext cx="0" cy="2438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708660</xdr:colOff>
      <xdr:row>32</xdr:row>
      <xdr:rowOff>68580</xdr:rowOff>
    </xdr:from>
    <xdr:to>
      <xdr:col>4</xdr:col>
      <xdr:colOff>708660</xdr:colOff>
      <xdr:row>33</xdr:row>
      <xdr:rowOff>114300</xdr:rowOff>
    </xdr:to>
    <xdr:sp macro="" textlink="">
      <xdr:nvSpPr>
        <xdr:cNvPr id="5162" name="Line 42"/>
        <xdr:cNvSpPr>
          <a:spLocks noChangeShapeType="1"/>
        </xdr:cNvSpPr>
      </xdr:nvSpPr>
      <xdr:spPr bwMode="auto">
        <a:xfrm flipV="1">
          <a:off x="7520940" y="6233160"/>
          <a:ext cx="0" cy="2438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708660</xdr:colOff>
      <xdr:row>32</xdr:row>
      <xdr:rowOff>68580</xdr:rowOff>
    </xdr:from>
    <xdr:to>
      <xdr:col>6</xdr:col>
      <xdr:colOff>708660</xdr:colOff>
      <xdr:row>33</xdr:row>
      <xdr:rowOff>114300</xdr:rowOff>
    </xdr:to>
    <xdr:sp macro="" textlink="">
      <xdr:nvSpPr>
        <xdr:cNvPr id="5164" name="Line 44"/>
        <xdr:cNvSpPr>
          <a:spLocks noChangeShapeType="1"/>
        </xdr:cNvSpPr>
      </xdr:nvSpPr>
      <xdr:spPr bwMode="auto">
        <a:xfrm flipV="1">
          <a:off x="8938260" y="6233160"/>
          <a:ext cx="0" cy="2438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68580</xdr:colOff>
      <xdr:row>56</xdr:row>
      <xdr:rowOff>114300</xdr:rowOff>
    </xdr:from>
    <xdr:to>
      <xdr:col>14</xdr:col>
      <xdr:colOff>419100</xdr:colOff>
      <xdr:row>56</xdr:row>
      <xdr:rowOff>114300</xdr:rowOff>
    </xdr:to>
    <xdr:sp macro="" textlink="">
      <xdr:nvSpPr>
        <xdr:cNvPr id="7170" name="Line 2"/>
        <xdr:cNvSpPr>
          <a:spLocks noChangeShapeType="1"/>
        </xdr:cNvSpPr>
      </xdr:nvSpPr>
      <xdr:spPr bwMode="auto">
        <a:xfrm flipH="1" flipV="1">
          <a:off x="16184880" y="11163300"/>
          <a:ext cx="3505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14</xdr:col>
      <xdr:colOff>68580</xdr:colOff>
      <xdr:row>65</xdr:row>
      <xdr:rowOff>114300</xdr:rowOff>
    </xdr:from>
    <xdr:to>
      <xdr:col>14</xdr:col>
      <xdr:colOff>419100</xdr:colOff>
      <xdr:row>65</xdr:row>
      <xdr:rowOff>114300</xdr:rowOff>
    </xdr:to>
    <xdr:sp macro="" textlink="">
      <xdr:nvSpPr>
        <xdr:cNvPr id="7171" name="Line 3"/>
        <xdr:cNvSpPr>
          <a:spLocks noChangeShapeType="1"/>
        </xdr:cNvSpPr>
      </xdr:nvSpPr>
      <xdr:spPr bwMode="auto">
        <a:xfrm flipH="1" flipV="1">
          <a:off x="16184880" y="12877800"/>
          <a:ext cx="3505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14</xdr:col>
      <xdr:colOff>68580</xdr:colOff>
      <xdr:row>67</xdr:row>
      <xdr:rowOff>114300</xdr:rowOff>
    </xdr:from>
    <xdr:to>
      <xdr:col>14</xdr:col>
      <xdr:colOff>419100</xdr:colOff>
      <xdr:row>67</xdr:row>
      <xdr:rowOff>114300</xdr:rowOff>
    </xdr:to>
    <xdr:sp macro="" textlink="">
      <xdr:nvSpPr>
        <xdr:cNvPr id="7172" name="Line 4"/>
        <xdr:cNvSpPr>
          <a:spLocks noChangeShapeType="1"/>
        </xdr:cNvSpPr>
      </xdr:nvSpPr>
      <xdr:spPr bwMode="auto">
        <a:xfrm flipH="1" flipV="1">
          <a:off x="16184880" y="13258800"/>
          <a:ext cx="3505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57</xdr:row>
      <xdr:rowOff>144780</xdr:rowOff>
    </xdr:from>
    <xdr:to>
      <xdr:col>19</xdr:col>
      <xdr:colOff>624840</xdr:colOff>
      <xdr:row>60</xdr:row>
      <xdr:rowOff>7620</xdr:rowOff>
    </xdr:to>
    <xdr:sp macro="" textlink="">
      <xdr:nvSpPr>
        <xdr:cNvPr id="11265" name="Line 1"/>
        <xdr:cNvSpPr>
          <a:spLocks noChangeShapeType="1"/>
        </xdr:cNvSpPr>
      </xdr:nvSpPr>
      <xdr:spPr bwMode="auto">
        <a:xfrm flipV="1">
          <a:off x="17000220" y="11033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52</xdr:row>
      <xdr:rowOff>144780</xdr:rowOff>
    </xdr:from>
    <xdr:to>
      <xdr:col>19</xdr:col>
      <xdr:colOff>624840</xdr:colOff>
      <xdr:row>55</xdr:row>
      <xdr:rowOff>7620</xdr:rowOff>
    </xdr:to>
    <xdr:sp macro="" textlink="">
      <xdr:nvSpPr>
        <xdr:cNvPr id="12289" name="Line 1"/>
        <xdr:cNvSpPr>
          <a:spLocks noChangeShapeType="1"/>
        </xdr:cNvSpPr>
      </xdr:nvSpPr>
      <xdr:spPr bwMode="auto">
        <a:xfrm flipV="1">
          <a:off x="15499080" y="10088880"/>
          <a:ext cx="0" cy="4343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 flipV="1">
          <a:off x="1533906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45057" name="Line 1"/>
        <xdr:cNvSpPr>
          <a:spLocks noChangeShapeType="1"/>
        </xdr:cNvSpPr>
      </xdr:nvSpPr>
      <xdr:spPr bwMode="auto">
        <a:xfrm flipV="1">
          <a:off x="1533906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e.duke-energy.com/sites/DEK2017ERC/KyPSC%20Case%20No%202017xxxxx%202017%20Electric%20Rate%20Case/Discovery/STAFF%201st%20Set%20of%20Data%20Requests/STAFF-DR-01-071%20ATTACHMENTS/Sch%20B%20-%20March%202019/Schedule%20B-4.1%20Format%20from%20Mod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B-4.1"/>
    </sheetNames>
    <sheetDataSet>
      <sheetData sheetId="0">
        <row r="1">
          <cell r="A1" t="str">
            <v>DUKE ENERGY KENTUCKY, INC.</v>
          </cell>
        </row>
        <row r="2">
          <cell r="A2" t="str">
            <v>CASE NO. 2017-00321</v>
          </cell>
        </row>
        <row r="3">
          <cell r="A3" t="str">
            <v>CONSTRUCTION WORK IN PROGRESS - PERCENT COMPLETE (a)</v>
          </cell>
        </row>
        <row r="4">
          <cell r="A4" t="str">
            <v>AS OF MARCH 31, 2019</v>
          </cell>
        </row>
        <row r="8">
          <cell r="A8" t="str">
            <v>DATA:  BASE PERIOD  "X" FORECASTED PERIOD</v>
          </cell>
          <cell r="H8" t="str">
            <v>SCHEDULE B-4.1</v>
          </cell>
        </row>
        <row r="9">
          <cell r="A9" t="str">
            <v xml:space="preserve">TYPE OF FILING:  "X" ORIGINAL   UPDATED    REVISED  </v>
          </cell>
          <cell r="H9" t="str">
            <v>PAGE  1  OF  4</v>
          </cell>
        </row>
        <row r="10">
          <cell r="A10" t="str">
            <v>WORK PAPER REFERENCE NO(S).:</v>
          </cell>
          <cell r="H10" t="str">
            <v>WITNESS RESPONSIBLE:</v>
          </cell>
        </row>
        <row r="11">
          <cell r="H11" t="str">
            <v>M. W. ARNOLD</v>
          </cell>
        </row>
        <row r="14">
          <cell r="D14" t="str">
            <v>Estimated</v>
          </cell>
          <cell r="E14" t="str">
            <v>Percent</v>
          </cell>
          <cell r="G14" t="str">
            <v>Most</v>
          </cell>
        </row>
        <row r="15">
          <cell r="C15" t="str">
            <v>Date</v>
          </cell>
          <cell r="D15" t="str">
            <v>Project</v>
          </cell>
          <cell r="E15" t="str">
            <v>of</v>
          </cell>
          <cell r="F15" t="str">
            <v>Original</v>
          </cell>
          <cell r="G15" t="str">
            <v>Recent</v>
          </cell>
          <cell r="I15" t="str">
            <v>Percent of</v>
          </cell>
        </row>
        <row r="16">
          <cell r="A16" t="str">
            <v>Line</v>
          </cell>
          <cell r="B16" t="str">
            <v>Project</v>
          </cell>
          <cell r="C16" t="str">
            <v>Construction</v>
          </cell>
          <cell r="D16" t="str">
            <v>Completion</v>
          </cell>
          <cell r="E16" t="str">
            <v>Elapsed</v>
          </cell>
          <cell r="F16" t="str">
            <v>Budget</v>
          </cell>
          <cell r="G16" t="str">
            <v>Budget</v>
          </cell>
          <cell r="H16" t="str">
            <v>Total Project</v>
          </cell>
          <cell r="I16" t="str">
            <v>Total</v>
          </cell>
        </row>
        <row r="17">
          <cell r="A17" t="str">
            <v>No.</v>
          </cell>
          <cell r="B17" t="str">
            <v>No.</v>
          </cell>
          <cell r="C17" t="str">
            <v>Work Began</v>
          </cell>
          <cell r="D17" t="str">
            <v>Date</v>
          </cell>
          <cell r="E17" t="str">
            <v>Time</v>
          </cell>
          <cell r="F17" t="str">
            <v>Estimate</v>
          </cell>
          <cell r="G17" t="str">
            <v>Estimate</v>
          </cell>
          <cell r="H17" t="str">
            <v>Expenditures</v>
          </cell>
          <cell r="I17" t="str">
            <v>Expenditures</v>
          </cell>
        </row>
        <row r="18">
          <cell r="A18" t="str">
            <v>(A)</v>
          </cell>
          <cell r="B18" t="str">
            <v>(B)</v>
          </cell>
          <cell r="C18" t="str">
            <v>(C)</v>
          </cell>
          <cell r="D18" t="str">
            <v>(D)</v>
          </cell>
          <cell r="E18" t="str">
            <v>(E)</v>
          </cell>
          <cell r="F18" t="str">
            <v>(F)</v>
          </cell>
          <cell r="G18" t="str">
            <v>(G)</v>
          </cell>
          <cell r="H18" t="str">
            <v>(H)</v>
          </cell>
          <cell r="I18" t="str">
            <v>(I)= (H) / (G)</v>
          </cell>
        </row>
        <row r="19">
          <cell r="F19" t="str">
            <v>$</v>
          </cell>
          <cell r="G19" t="str">
            <v>$</v>
          </cell>
          <cell r="H19" t="str">
            <v>$</v>
          </cell>
        </row>
        <row r="21">
          <cell r="A21">
            <v>1</v>
          </cell>
          <cell r="E21" t="str">
            <v>100%</v>
          </cell>
          <cell r="I21" t="e">
            <v>#DIV/0!</v>
          </cell>
        </row>
        <row r="22">
          <cell r="A22">
            <v>2</v>
          </cell>
          <cell r="E22" t="str">
            <v>100%</v>
          </cell>
          <cell r="I22" t="e">
            <v>#DIV/0!</v>
          </cell>
        </row>
        <row r="23">
          <cell r="A23">
            <v>3</v>
          </cell>
          <cell r="E23" t="str">
            <v>100%</v>
          </cell>
          <cell r="I23" t="e">
            <v>#DIV/0!</v>
          </cell>
        </row>
        <row r="24">
          <cell r="A24">
            <v>4</v>
          </cell>
          <cell r="E24" t="str">
            <v>100%</v>
          </cell>
          <cell r="I24" t="e">
            <v>#DIV/0!</v>
          </cell>
        </row>
        <row r="25">
          <cell r="A25">
            <v>5</v>
          </cell>
          <cell r="E25" t="str">
            <v>100%</v>
          </cell>
          <cell r="I25" t="e">
            <v>#DIV/0!</v>
          </cell>
        </row>
        <row r="26">
          <cell r="A26">
            <v>6</v>
          </cell>
          <cell r="E26" t="str">
            <v>100%</v>
          </cell>
          <cell r="I26" t="e">
            <v>#DIV/0!</v>
          </cell>
        </row>
        <row r="27">
          <cell r="A27">
            <v>7</v>
          </cell>
          <cell r="E27" t="str">
            <v>100%</v>
          </cell>
          <cell r="I27" t="e">
            <v>#DIV/0!</v>
          </cell>
        </row>
        <row r="28">
          <cell r="A28">
            <v>8</v>
          </cell>
          <cell r="E28" t="str">
            <v>100%</v>
          </cell>
          <cell r="I28" t="e">
            <v>#DIV/0!</v>
          </cell>
        </row>
        <row r="29">
          <cell r="A29">
            <v>9</v>
          </cell>
          <cell r="E29" t="str">
            <v>100%</v>
          </cell>
          <cell r="I29" t="e">
            <v>#DIV/0!</v>
          </cell>
        </row>
        <row r="30">
          <cell r="A30">
            <v>10</v>
          </cell>
          <cell r="E30" t="str">
            <v>100%</v>
          </cell>
          <cell r="I30" t="e">
            <v>#DIV/0!</v>
          </cell>
        </row>
        <row r="31">
          <cell r="A31">
            <v>11</v>
          </cell>
          <cell r="E31" t="str">
            <v>100%</v>
          </cell>
          <cell r="I31" t="e">
            <v>#DIV/0!</v>
          </cell>
        </row>
        <row r="32">
          <cell r="A32">
            <v>12</v>
          </cell>
          <cell r="E32" t="str">
            <v>100%</v>
          </cell>
          <cell r="I32" t="e">
            <v>#DIV/0!</v>
          </cell>
        </row>
        <row r="33">
          <cell r="A33">
            <v>13</v>
          </cell>
          <cell r="E33" t="str">
            <v>100%</v>
          </cell>
          <cell r="I33" t="e">
            <v>#DIV/0!</v>
          </cell>
        </row>
        <row r="34">
          <cell r="A34">
            <v>14</v>
          </cell>
          <cell r="E34" t="str">
            <v>100%</v>
          </cell>
          <cell r="I34" t="e">
            <v>#DIV/0!</v>
          </cell>
        </row>
        <row r="35">
          <cell r="A35">
            <v>15</v>
          </cell>
          <cell r="E35" t="str">
            <v>100%</v>
          </cell>
          <cell r="I35" t="e">
            <v>#DIV/0!</v>
          </cell>
        </row>
        <row r="36">
          <cell r="A36">
            <v>16</v>
          </cell>
          <cell r="E36" t="str">
            <v>100%</v>
          </cell>
          <cell r="I36" t="e">
            <v>#DIV/0!</v>
          </cell>
        </row>
        <row r="37">
          <cell r="A37">
            <v>17</v>
          </cell>
          <cell r="E37" t="str">
            <v>100%</v>
          </cell>
          <cell r="I37" t="e">
            <v>#DIV/0!</v>
          </cell>
        </row>
        <row r="38">
          <cell r="A38">
            <v>18</v>
          </cell>
          <cell r="E38" t="str">
            <v>100%</v>
          </cell>
          <cell r="I38" t="e">
            <v>#DIV/0!</v>
          </cell>
        </row>
        <row r="39">
          <cell r="A39">
            <v>19</v>
          </cell>
          <cell r="E39" t="str">
            <v>100%</v>
          </cell>
          <cell r="I39" t="e">
            <v>#DIV/0!</v>
          </cell>
        </row>
        <row r="40">
          <cell r="A40">
            <v>20</v>
          </cell>
          <cell r="E40" t="str">
            <v>100%</v>
          </cell>
          <cell r="I40" t="e">
            <v>#DIV/0!</v>
          </cell>
        </row>
        <row r="41">
          <cell r="A41">
            <v>21</v>
          </cell>
          <cell r="E41" t="str">
            <v>100%</v>
          </cell>
          <cell r="I41" t="e">
            <v>#DIV/0!</v>
          </cell>
        </row>
        <row r="42">
          <cell r="A42">
            <v>22</v>
          </cell>
          <cell r="E42" t="str">
            <v>100%</v>
          </cell>
          <cell r="I42" t="e">
            <v>#DIV/0!</v>
          </cell>
        </row>
        <row r="43">
          <cell r="A43">
            <v>23</v>
          </cell>
          <cell r="E43" t="str">
            <v>100%</v>
          </cell>
          <cell r="I43" t="e">
            <v>#DIV/0!</v>
          </cell>
        </row>
        <row r="44">
          <cell r="A44">
            <v>24</v>
          </cell>
          <cell r="E44" t="str">
            <v>100%</v>
          </cell>
          <cell r="I44" t="e">
            <v>#DIV/0!</v>
          </cell>
        </row>
        <row r="45">
          <cell r="A45">
            <v>25</v>
          </cell>
          <cell r="E45" t="str">
            <v>100%</v>
          </cell>
          <cell r="I45" t="e">
            <v>#DIV/0!</v>
          </cell>
        </row>
        <row r="46">
          <cell r="A46">
            <v>26</v>
          </cell>
          <cell r="E46" t="str">
            <v>100%</v>
          </cell>
          <cell r="I46" t="e">
            <v>#DIV/0!</v>
          </cell>
        </row>
        <row r="47">
          <cell r="A47">
            <v>27</v>
          </cell>
          <cell r="E47" t="str">
            <v>100%</v>
          </cell>
          <cell r="I47" t="e">
            <v>#DIV/0!</v>
          </cell>
        </row>
        <row r="48">
          <cell r="A48">
            <v>28</v>
          </cell>
          <cell r="E48" t="str">
            <v>100%</v>
          </cell>
          <cell r="I48" t="e">
            <v>#DIV/0!</v>
          </cell>
        </row>
        <row r="49">
          <cell r="A49">
            <v>29</v>
          </cell>
          <cell r="E49" t="str">
            <v>100%</v>
          </cell>
          <cell r="I49" t="e">
            <v>#DIV/0!</v>
          </cell>
        </row>
        <row r="50">
          <cell r="A50">
            <v>30</v>
          </cell>
          <cell r="E50" t="str">
            <v>100%</v>
          </cell>
          <cell r="I50" t="e">
            <v>#DIV/0!</v>
          </cell>
        </row>
        <row r="51">
          <cell r="A51">
            <v>31</v>
          </cell>
          <cell r="E51" t="str">
            <v>100%</v>
          </cell>
          <cell r="I51" t="e">
            <v>#DIV/0!</v>
          </cell>
        </row>
        <row r="52">
          <cell r="A52">
            <v>32</v>
          </cell>
          <cell r="E52" t="str">
            <v>100%</v>
          </cell>
          <cell r="I52" t="e">
            <v>#DIV/0!</v>
          </cell>
        </row>
        <row r="53">
          <cell r="A53">
            <v>33</v>
          </cell>
          <cell r="E53" t="str">
            <v>100%</v>
          </cell>
          <cell r="I53" t="e">
            <v>#DIV/0!</v>
          </cell>
        </row>
        <row r="54">
          <cell r="A54">
            <v>34</v>
          </cell>
          <cell r="E54" t="str">
            <v>100%</v>
          </cell>
          <cell r="I54" t="e">
            <v>#DIV/0!</v>
          </cell>
        </row>
        <row r="55">
          <cell r="A55">
            <v>35</v>
          </cell>
          <cell r="E55" t="str">
            <v>100%</v>
          </cell>
          <cell r="I55" t="e">
            <v>#DIV/0!</v>
          </cell>
        </row>
        <row r="56">
          <cell r="A56">
            <v>36</v>
          </cell>
          <cell r="E56" t="str">
            <v>100%</v>
          </cell>
          <cell r="I56" t="e">
            <v>#DIV/0!</v>
          </cell>
        </row>
        <row r="57">
          <cell r="A57">
            <v>37</v>
          </cell>
          <cell r="E57" t="str">
            <v>100%</v>
          </cell>
          <cell r="I57" t="e">
            <v>#DIV/0!</v>
          </cell>
        </row>
        <row r="58">
          <cell r="A58">
            <v>38</v>
          </cell>
          <cell r="E58" t="str">
            <v>100%</v>
          </cell>
          <cell r="I58" t="e">
            <v>#DIV/0!</v>
          </cell>
        </row>
        <row r="59">
          <cell r="A59">
            <v>39</v>
          </cell>
          <cell r="E59" t="str">
            <v>100%</v>
          </cell>
          <cell r="I59" t="e">
            <v>#DIV/0!</v>
          </cell>
        </row>
        <row r="60">
          <cell r="A60">
            <v>40</v>
          </cell>
          <cell r="E60" t="str">
            <v>100%</v>
          </cell>
          <cell r="I60" t="e">
            <v>#DIV/0!</v>
          </cell>
        </row>
        <row r="61">
          <cell r="A61">
            <v>41</v>
          </cell>
          <cell r="E61" t="str">
            <v>100%</v>
          </cell>
          <cell r="I61" t="e">
            <v>#DIV/0!</v>
          </cell>
        </row>
        <row r="62">
          <cell r="A62">
            <v>42</v>
          </cell>
          <cell r="E62" t="str">
            <v>100%</v>
          </cell>
          <cell r="I62" t="e">
            <v>#DIV/0!</v>
          </cell>
        </row>
        <row r="63">
          <cell r="A63">
            <v>43</v>
          </cell>
          <cell r="E63" t="str">
            <v>100%</v>
          </cell>
          <cell r="I63" t="e">
            <v>#DIV/0!</v>
          </cell>
        </row>
        <row r="64">
          <cell r="A64">
            <v>44</v>
          </cell>
          <cell r="E64" t="str">
            <v>100%</v>
          </cell>
          <cell r="I64" t="e">
            <v>#DIV/0!</v>
          </cell>
        </row>
        <row r="65">
          <cell r="A65">
            <v>45</v>
          </cell>
          <cell r="E65" t="str">
            <v>100%</v>
          </cell>
          <cell r="I65" t="e">
            <v>#DIV/0!</v>
          </cell>
        </row>
        <row r="66">
          <cell r="A66">
            <v>46</v>
          </cell>
          <cell r="E66" t="str">
            <v>100%</v>
          </cell>
          <cell r="I66" t="e">
            <v>#DIV/0!</v>
          </cell>
        </row>
        <row r="67">
          <cell r="A67">
            <v>47</v>
          </cell>
          <cell r="E67" t="str">
            <v>100%</v>
          </cell>
          <cell r="I67" t="e">
            <v>#DIV/0!</v>
          </cell>
        </row>
        <row r="68">
          <cell r="A68">
            <v>48</v>
          </cell>
          <cell r="E68" t="str">
            <v>100%</v>
          </cell>
          <cell r="I68" t="e">
            <v>#DIV/0!</v>
          </cell>
        </row>
        <row r="69">
          <cell r="A69">
            <v>49</v>
          </cell>
          <cell r="E69" t="str">
            <v>100%</v>
          </cell>
          <cell r="I69" t="e">
            <v>#DIV/0!</v>
          </cell>
        </row>
        <row r="70">
          <cell r="A70">
            <v>50</v>
          </cell>
          <cell r="E70" t="str">
            <v>100%</v>
          </cell>
          <cell r="I70" t="e">
            <v>#DIV/0!</v>
          </cell>
        </row>
        <row r="71">
          <cell r="A71">
            <v>51</v>
          </cell>
          <cell r="E71" t="str">
            <v>100%</v>
          </cell>
          <cell r="I71" t="e">
            <v>#DIV/0!</v>
          </cell>
        </row>
        <row r="72">
          <cell r="A72">
            <v>52</v>
          </cell>
          <cell r="E72" t="str">
            <v>100%</v>
          </cell>
          <cell r="I72" t="e">
            <v>#DIV/0!</v>
          </cell>
        </row>
        <row r="73">
          <cell r="A73">
            <v>53</v>
          </cell>
          <cell r="E73" t="str">
            <v>100%</v>
          </cell>
          <cell r="I73" t="e">
            <v>#DIV/0!</v>
          </cell>
        </row>
        <row r="74">
          <cell r="A74">
            <v>54</v>
          </cell>
          <cell r="E74" t="str">
            <v>100%</v>
          </cell>
          <cell r="I74" t="e">
            <v>#DIV/0!</v>
          </cell>
        </row>
        <row r="75">
          <cell r="A75">
            <v>55</v>
          </cell>
          <cell r="E75" t="str">
            <v>100%</v>
          </cell>
          <cell r="I75" t="e">
            <v>#DIV/0!</v>
          </cell>
        </row>
        <row r="76">
          <cell r="A76">
            <v>56</v>
          </cell>
          <cell r="E76" t="str">
            <v>100%</v>
          </cell>
          <cell r="I76" t="e">
            <v>#DIV/0!</v>
          </cell>
        </row>
        <row r="77">
          <cell r="A77">
            <v>57</v>
          </cell>
          <cell r="E77" t="str">
            <v>100%</v>
          </cell>
          <cell r="I77" t="e">
            <v>#DIV/0!</v>
          </cell>
        </row>
        <row r="78">
          <cell r="A78">
            <v>58</v>
          </cell>
          <cell r="E78" t="str">
            <v>100%</v>
          </cell>
          <cell r="I78" t="e">
            <v>#DIV/0!</v>
          </cell>
        </row>
        <row r="79">
          <cell r="A79">
            <v>59</v>
          </cell>
          <cell r="E79" t="str">
            <v>100%</v>
          </cell>
          <cell r="I79" t="e">
            <v>#DIV/0!</v>
          </cell>
        </row>
        <row r="80">
          <cell r="A80">
            <v>60</v>
          </cell>
          <cell r="E80" t="str">
            <v>100%</v>
          </cell>
          <cell r="I80" t="e">
            <v>#DIV/0!</v>
          </cell>
        </row>
        <row r="82">
          <cell r="A82" t="str">
            <v>DUKE ENERGY KENTUCKY, INC.</v>
          </cell>
        </row>
        <row r="83">
          <cell r="A83" t="str">
            <v>CASE NO. 2017-00321</v>
          </cell>
        </row>
        <row r="84">
          <cell r="A84" t="str">
            <v>CONSTRUCTION WORK IN PROGRESS - PERCENT COMPLETE (a)</v>
          </cell>
        </row>
        <row r="85">
          <cell r="A85" t="str">
            <v>AS OF MARCH 31, 2019</v>
          </cell>
        </row>
        <row r="89">
          <cell r="A89" t="str">
            <v>DATA:  BASE PERIOD  "X" FORECASTED PERIOD</v>
          </cell>
          <cell r="H89" t="str">
            <v>SCHEDULE B-4.1</v>
          </cell>
        </row>
        <row r="90">
          <cell r="A90" t="str">
            <v xml:space="preserve">TYPE OF FILING:  "X" ORIGINAL   UPDATED    REVISED  </v>
          </cell>
          <cell r="H90" t="str">
            <v>PAGE  2  OF  4</v>
          </cell>
        </row>
        <row r="91">
          <cell r="A91" t="str">
            <v>WORK PAPER REFERENCE NO(S).:</v>
          </cell>
          <cell r="H91" t="str">
            <v>WITNESS RESPONSIBLE:</v>
          </cell>
        </row>
        <row r="92">
          <cell r="H92" t="str">
            <v>M. W. ARNOLD</v>
          </cell>
        </row>
        <row r="95">
          <cell r="D95" t="str">
            <v>Estimated</v>
          </cell>
          <cell r="E95" t="str">
            <v>Percent</v>
          </cell>
          <cell r="G95" t="str">
            <v>Most</v>
          </cell>
        </row>
        <row r="96">
          <cell r="C96" t="str">
            <v>Date</v>
          </cell>
          <cell r="D96" t="str">
            <v>Project</v>
          </cell>
          <cell r="E96" t="str">
            <v>of</v>
          </cell>
          <cell r="F96" t="str">
            <v>Original</v>
          </cell>
          <cell r="G96" t="str">
            <v>Recent</v>
          </cell>
          <cell r="I96" t="str">
            <v>Percent of</v>
          </cell>
        </row>
        <row r="97">
          <cell r="A97" t="str">
            <v>Line</v>
          </cell>
          <cell r="B97" t="str">
            <v>Project</v>
          </cell>
          <cell r="C97" t="str">
            <v>Construction</v>
          </cell>
          <cell r="D97" t="str">
            <v>Completion</v>
          </cell>
          <cell r="E97" t="str">
            <v>Elapsed</v>
          </cell>
          <cell r="F97" t="str">
            <v>Budget</v>
          </cell>
          <cell r="G97" t="str">
            <v>Budget</v>
          </cell>
          <cell r="H97" t="str">
            <v>Total Project</v>
          </cell>
          <cell r="I97" t="str">
            <v>Total</v>
          </cell>
        </row>
        <row r="98">
          <cell r="A98" t="str">
            <v>No.</v>
          </cell>
          <cell r="B98" t="str">
            <v>No.</v>
          </cell>
          <cell r="C98" t="str">
            <v>Work Began</v>
          </cell>
          <cell r="D98" t="str">
            <v>Date</v>
          </cell>
          <cell r="E98" t="str">
            <v>Time</v>
          </cell>
          <cell r="F98" t="str">
            <v>Estimate</v>
          </cell>
          <cell r="G98" t="str">
            <v>Estimate</v>
          </cell>
          <cell r="H98" t="str">
            <v>Expenditures</v>
          </cell>
          <cell r="I98" t="str">
            <v>Expenditures</v>
          </cell>
        </row>
        <row r="99">
          <cell r="A99" t="str">
            <v>(A)</v>
          </cell>
          <cell r="B99" t="str">
            <v>(B)</v>
          </cell>
          <cell r="C99" t="str">
            <v>(C)</v>
          </cell>
          <cell r="D99" t="str">
            <v>(D)</v>
          </cell>
          <cell r="E99" t="str">
            <v>(E)</v>
          </cell>
          <cell r="F99" t="str">
            <v>(F)</v>
          </cell>
          <cell r="G99" t="str">
            <v>(G)</v>
          </cell>
          <cell r="H99" t="str">
            <v>(H)</v>
          </cell>
          <cell r="I99" t="str">
            <v>(I)= (H) / (G)</v>
          </cell>
        </row>
        <row r="100">
          <cell r="F100" t="str">
            <v>$</v>
          </cell>
          <cell r="G100" t="str">
            <v>$</v>
          </cell>
          <cell r="H100" t="str">
            <v>$</v>
          </cell>
        </row>
        <row r="102">
          <cell r="A102">
            <v>61</v>
          </cell>
          <cell r="E102" t="str">
            <v>100%</v>
          </cell>
          <cell r="I102" t="e">
            <v>#DIV/0!</v>
          </cell>
        </row>
        <row r="103">
          <cell r="A103">
            <v>62</v>
          </cell>
          <cell r="E103" t="str">
            <v>100%</v>
          </cell>
          <cell r="I103" t="e">
            <v>#DIV/0!</v>
          </cell>
        </row>
        <row r="104">
          <cell r="A104">
            <v>63</v>
          </cell>
          <cell r="E104" t="str">
            <v>100%</v>
          </cell>
          <cell r="I104" t="e">
            <v>#DIV/0!</v>
          </cell>
        </row>
        <row r="105">
          <cell r="A105">
            <v>64</v>
          </cell>
          <cell r="E105" t="str">
            <v>100%</v>
          </cell>
          <cell r="I105" t="e">
            <v>#DIV/0!</v>
          </cell>
        </row>
        <row r="106">
          <cell r="A106">
            <v>65</v>
          </cell>
          <cell r="E106" t="str">
            <v>100%</v>
          </cell>
          <cell r="I106" t="e">
            <v>#DIV/0!</v>
          </cell>
        </row>
        <row r="107">
          <cell r="A107">
            <v>66</v>
          </cell>
          <cell r="E107" t="str">
            <v>100%</v>
          </cell>
          <cell r="I107" t="e">
            <v>#DIV/0!</v>
          </cell>
        </row>
        <row r="108">
          <cell r="A108">
            <v>67</v>
          </cell>
          <cell r="E108" t="str">
            <v>100%</v>
          </cell>
          <cell r="I108" t="e">
            <v>#DIV/0!</v>
          </cell>
        </row>
        <row r="109">
          <cell r="A109">
            <v>68</v>
          </cell>
          <cell r="E109" t="str">
            <v>100%</v>
          </cell>
          <cell r="I109" t="e">
            <v>#DIV/0!</v>
          </cell>
        </row>
        <row r="110">
          <cell r="A110">
            <v>69</v>
          </cell>
          <cell r="E110" t="str">
            <v>100%</v>
          </cell>
          <cell r="I110" t="e">
            <v>#DIV/0!</v>
          </cell>
        </row>
        <row r="111">
          <cell r="A111">
            <v>70</v>
          </cell>
          <cell r="E111" t="str">
            <v>100%</v>
          </cell>
          <cell r="I111" t="e">
            <v>#DIV/0!</v>
          </cell>
        </row>
        <row r="112">
          <cell r="A112">
            <v>71</v>
          </cell>
          <cell r="E112" t="str">
            <v>100%</v>
          </cell>
          <cell r="I112" t="e">
            <v>#DIV/0!</v>
          </cell>
        </row>
        <row r="113">
          <cell r="A113">
            <v>72</v>
          </cell>
          <cell r="E113" t="str">
            <v>100%</v>
          </cell>
          <cell r="I113" t="e">
            <v>#DIV/0!</v>
          </cell>
        </row>
        <row r="114">
          <cell r="A114">
            <v>73</v>
          </cell>
          <cell r="E114" t="str">
            <v>100%</v>
          </cell>
          <cell r="I114" t="e">
            <v>#DIV/0!</v>
          </cell>
        </row>
        <row r="115">
          <cell r="A115">
            <v>74</v>
          </cell>
          <cell r="E115" t="str">
            <v>100%</v>
          </cell>
          <cell r="I115" t="e">
            <v>#DIV/0!</v>
          </cell>
        </row>
        <row r="116">
          <cell r="A116">
            <v>75</v>
          </cell>
          <cell r="E116" t="str">
            <v>100%</v>
          </cell>
          <cell r="I116" t="e">
            <v>#DIV/0!</v>
          </cell>
        </row>
        <row r="117">
          <cell r="A117">
            <v>76</v>
          </cell>
          <cell r="E117" t="str">
            <v>100%</v>
          </cell>
          <cell r="I117" t="e">
            <v>#DIV/0!</v>
          </cell>
        </row>
        <row r="118">
          <cell r="A118">
            <v>77</v>
          </cell>
          <cell r="E118" t="str">
            <v>100%</v>
          </cell>
          <cell r="I118" t="e">
            <v>#DIV/0!</v>
          </cell>
        </row>
        <row r="119">
          <cell r="A119">
            <v>78</v>
          </cell>
          <cell r="E119" t="str">
            <v>100%</v>
          </cell>
          <cell r="I119" t="e">
            <v>#DIV/0!</v>
          </cell>
        </row>
        <row r="120">
          <cell r="A120">
            <v>79</v>
          </cell>
          <cell r="E120" t="str">
            <v>100%</v>
          </cell>
          <cell r="I120" t="e">
            <v>#DIV/0!</v>
          </cell>
        </row>
        <row r="121">
          <cell r="A121">
            <v>80</v>
          </cell>
          <cell r="E121" t="str">
            <v>100%</v>
          </cell>
          <cell r="I121" t="e">
            <v>#DIV/0!</v>
          </cell>
        </row>
        <row r="122">
          <cell r="A122">
            <v>81</v>
          </cell>
          <cell r="E122" t="str">
            <v>100%</v>
          </cell>
          <cell r="I122" t="e">
            <v>#DIV/0!</v>
          </cell>
        </row>
        <row r="123">
          <cell r="A123">
            <v>82</v>
          </cell>
          <cell r="E123" t="str">
            <v>100%</v>
          </cell>
          <cell r="I123" t="e">
            <v>#DIV/0!</v>
          </cell>
        </row>
        <row r="124">
          <cell r="A124">
            <v>83</v>
          </cell>
          <cell r="E124" t="str">
            <v>100%</v>
          </cell>
          <cell r="I124" t="e">
            <v>#DIV/0!</v>
          </cell>
        </row>
        <row r="125">
          <cell r="A125">
            <v>84</v>
          </cell>
          <cell r="E125" t="str">
            <v>100%</v>
          </cell>
          <cell r="I125" t="e">
            <v>#DIV/0!</v>
          </cell>
        </row>
        <row r="126">
          <cell r="A126">
            <v>85</v>
          </cell>
          <cell r="E126" t="str">
            <v>100%</v>
          </cell>
          <cell r="I126" t="e">
            <v>#DIV/0!</v>
          </cell>
        </row>
        <row r="127">
          <cell r="A127">
            <v>86</v>
          </cell>
          <cell r="E127" t="str">
            <v>100%</v>
          </cell>
          <cell r="I127" t="e">
            <v>#DIV/0!</v>
          </cell>
        </row>
        <row r="128">
          <cell r="A128">
            <v>87</v>
          </cell>
          <cell r="E128" t="str">
            <v>100%</v>
          </cell>
          <cell r="I128" t="e">
            <v>#DIV/0!</v>
          </cell>
        </row>
        <row r="129">
          <cell r="A129">
            <v>88</v>
          </cell>
          <cell r="E129" t="str">
            <v>100%</v>
          </cell>
          <cell r="I129" t="e">
            <v>#DIV/0!</v>
          </cell>
        </row>
        <row r="130">
          <cell r="A130">
            <v>89</v>
          </cell>
          <cell r="E130" t="str">
            <v>100%</v>
          </cell>
          <cell r="I130" t="e">
            <v>#DIV/0!</v>
          </cell>
        </row>
        <row r="131">
          <cell r="A131">
            <v>90</v>
          </cell>
          <cell r="E131" t="str">
            <v>100%</v>
          </cell>
          <cell r="I131" t="e">
            <v>#DIV/0!</v>
          </cell>
        </row>
        <row r="132">
          <cell r="A132">
            <v>91</v>
          </cell>
          <cell r="E132" t="str">
            <v>100%</v>
          </cell>
          <cell r="I132" t="e">
            <v>#DIV/0!</v>
          </cell>
        </row>
        <row r="133">
          <cell r="A133">
            <v>92</v>
          </cell>
          <cell r="E133" t="str">
            <v>100%</v>
          </cell>
          <cell r="I133" t="e">
            <v>#DIV/0!</v>
          </cell>
        </row>
        <row r="134">
          <cell r="A134">
            <v>93</v>
          </cell>
          <cell r="E134" t="str">
            <v>100%</v>
          </cell>
          <cell r="I134" t="e">
            <v>#DIV/0!</v>
          </cell>
        </row>
        <row r="135">
          <cell r="A135">
            <v>94</v>
          </cell>
          <cell r="E135" t="str">
            <v>100%</v>
          </cell>
          <cell r="I135" t="e">
            <v>#DIV/0!</v>
          </cell>
        </row>
        <row r="136">
          <cell r="A136">
            <v>95</v>
          </cell>
          <cell r="E136" t="str">
            <v>100%</v>
          </cell>
          <cell r="I136" t="e">
            <v>#DIV/0!</v>
          </cell>
        </row>
        <row r="137">
          <cell r="A137">
            <v>96</v>
          </cell>
          <cell r="E137" t="str">
            <v>100%</v>
          </cell>
          <cell r="I137" t="e">
            <v>#DIV/0!</v>
          </cell>
        </row>
        <row r="138">
          <cell r="A138">
            <v>97</v>
          </cell>
          <cell r="E138" t="str">
            <v>100%</v>
          </cell>
          <cell r="I138" t="e">
            <v>#DIV/0!</v>
          </cell>
        </row>
        <row r="139">
          <cell r="A139">
            <v>98</v>
          </cell>
          <cell r="E139" t="str">
            <v>100%</v>
          </cell>
          <cell r="I139" t="e">
            <v>#DIV/0!</v>
          </cell>
        </row>
        <row r="140">
          <cell r="A140">
            <v>99</v>
          </cell>
          <cell r="E140" t="str">
            <v>100%</v>
          </cell>
          <cell r="I140" t="e">
            <v>#DIV/0!</v>
          </cell>
        </row>
        <row r="141">
          <cell r="A141">
            <v>100</v>
          </cell>
          <cell r="E141" t="str">
            <v>100%</v>
          </cell>
          <cell r="I141" t="e">
            <v>#DIV/0!</v>
          </cell>
        </row>
        <row r="142">
          <cell r="A142">
            <v>101</v>
          </cell>
          <cell r="E142" t="str">
            <v>100%</v>
          </cell>
          <cell r="I142" t="e">
            <v>#DIV/0!</v>
          </cell>
        </row>
        <row r="143">
          <cell r="A143">
            <v>102</v>
          </cell>
          <cell r="E143" t="str">
            <v>100%</v>
          </cell>
          <cell r="I143" t="e">
            <v>#DIV/0!</v>
          </cell>
        </row>
        <row r="144">
          <cell r="A144">
            <v>103</v>
          </cell>
          <cell r="E144" t="str">
            <v>100%</v>
          </cell>
          <cell r="I144" t="e">
            <v>#DIV/0!</v>
          </cell>
        </row>
        <row r="145">
          <cell r="A145">
            <v>104</v>
          </cell>
          <cell r="E145" t="str">
            <v>100%</v>
          </cell>
          <cell r="I145" t="e">
            <v>#DIV/0!</v>
          </cell>
        </row>
        <row r="146">
          <cell r="A146">
            <v>105</v>
          </cell>
          <cell r="E146" t="str">
            <v>100%</v>
          </cell>
          <cell r="I146" t="e">
            <v>#DIV/0!</v>
          </cell>
        </row>
        <row r="147">
          <cell r="A147">
            <v>106</v>
          </cell>
          <cell r="E147" t="str">
            <v>100%</v>
          </cell>
          <cell r="I147" t="e">
            <v>#DIV/0!</v>
          </cell>
        </row>
        <row r="148">
          <cell r="A148">
            <v>107</v>
          </cell>
          <cell r="E148" t="str">
            <v>100%</v>
          </cell>
          <cell r="I148" t="e">
            <v>#DIV/0!</v>
          </cell>
        </row>
        <row r="149">
          <cell r="A149">
            <v>108</v>
          </cell>
          <cell r="E149" t="str">
            <v>100%</v>
          </cell>
          <cell r="I149" t="e">
            <v>#DIV/0!</v>
          </cell>
        </row>
        <row r="150">
          <cell r="A150">
            <v>109</v>
          </cell>
          <cell r="E150" t="str">
            <v>100%</v>
          </cell>
          <cell r="I150" t="e">
            <v>#DIV/0!</v>
          </cell>
        </row>
        <row r="151">
          <cell r="A151">
            <v>110</v>
          </cell>
          <cell r="E151" t="str">
            <v>100%</v>
          </cell>
          <cell r="I151" t="e">
            <v>#DIV/0!</v>
          </cell>
        </row>
        <row r="152">
          <cell r="A152">
            <v>111</v>
          </cell>
          <cell r="E152" t="str">
            <v>100%</v>
          </cell>
          <cell r="I152" t="e">
            <v>#DIV/0!</v>
          </cell>
        </row>
        <row r="153">
          <cell r="A153">
            <v>112</v>
          </cell>
          <cell r="E153" t="str">
            <v>100%</v>
          </cell>
          <cell r="I153" t="e">
            <v>#DIV/0!</v>
          </cell>
        </row>
        <row r="154">
          <cell r="A154">
            <v>113</v>
          </cell>
          <cell r="E154" t="str">
            <v>100%</v>
          </cell>
          <cell r="I154" t="e">
            <v>#DIV/0!</v>
          </cell>
        </row>
        <row r="155">
          <cell r="A155">
            <v>114</v>
          </cell>
          <cell r="E155" t="str">
            <v>100%</v>
          </cell>
          <cell r="I155" t="e">
            <v>#DIV/0!</v>
          </cell>
        </row>
        <row r="156">
          <cell r="A156">
            <v>115</v>
          </cell>
          <cell r="E156" t="str">
            <v>100%</v>
          </cell>
          <cell r="I156" t="e">
            <v>#DIV/0!</v>
          </cell>
        </row>
        <row r="157">
          <cell r="A157">
            <v>116</v>
          </cell>
          <cell r="E157" t="str">
            <v>100%</v>
          </cell>
          <cell r="I157" t="e">
            <v>#DIV/0!</v>
          </cell>
        </row>
        <row r="158">
          <cell r="A158">
            <v>117</v>
          </cell>
          <cell r="E158" t="str">
            <v>100%</v>
          </cell>
          <cell r="I158" t="e">
            <v>#DIV/0!</v>
          </cell>
        </row>
        <row r="159">
          <cell r="A159">
            <v>118</v>
          </cell>
          <cell r="E159" t="str">
            <v>100%</v>
          </cell>
          <cell r="I159" t="e">
            <v>#DIV/0!</v>
          </cell>
        </row>
        <row r="160">
          <cell r="A160">
            <v>119</v>
          </cell>
          <cell r="E160" t="str">
            <v>100%</v>
          </cell>
          <cell r="I160" t="e">
            <v>#DIV/0!</v>
          </cell>
        </row>
        <row r="161">
          <cell r="A161">
            <v>120</v>
          </cell>
          <cell r="E161" t="str">
            <v>100%</v>
          </cell>
          <cell r="I161" t="e">
            <v>#DIV/0!</v>
          </cell>
        </row>
        <row r="163">
          <cell r="A163" t="str">
            <v>DUKE ENERGY KENTUCKY, INC.</v>
          </cell>
        </row>
        <row r="164">
          <cell r="A164" t="str">
            <v>CASE NO. 2017-00321</v>
          </cell>
        </row>
        <row r="165">
          <cell r="A165" t="str">
            <v>CONSTRUCTION WORK IN PROGRESS - PERCENT COMPLETE (a)</v>
          </cell>
        </row>
        <row r="166">
          <cell r="A166" t="str">
            <v>AS OF MARCH 31, 2019</v>
          </cell>
        </row>
        <row r="170">
          <cell r="A170" t="str">
            <v>DATA:  BASE PERIOD  "X" FORECASTED PERIOD</v>
          </cell>
          <cell r="H170" t="str">
            <v>SCHEDULE B-4.1</v>
          </cell>
        </row>
        <row r="171">
          <cell r="A171" t="str">
            <v xml:space="preserve">TYPE OF FILING:  "X" ORIGINAL   UPDATED    REVISED  </v>
          </cell>
          <cell r="H171" t="str">
            <v>PAGE  3  OF  4</v>
          </cell>
        </row>
        <row r="172">
          <cell r="A172" t="str">
            <v>WORK PAPER REFERENCE NO(S).:</v>
          </cell>
          <cell r="H172" t="str">
            <v>WITNESS RESPONSIBLE:</v>
          </cell>
        </row>
        <row r="173">
          <cell r="H173" t="str">
            <v>M. W. ARNOLD</v>
          </cell>
        </row>
        <row r="176">
          <cell r="D176" t="str">
            <v>Estimated</v>
          </cell>
          <cell r="E176" t="str">
            <v>Percent</v>
          </cell>
          <cell r="G176" t="str">
            <v>Most</v>
          </cell>
        </row>
        <row r="177">
          <cell r="C177" t="str">
            <v>Date</v>
          </cell>
          <cell r="D177" t="str">
            <v>Project</v>
          </cell>
          <cell r="E177" t="str">
            <v>of</v>
          </cell>
          <cell r="F177" t="str">
            <v>Original</v>
          </cell>
          <cell r="G177" t="str">
            <v>Recent</v>
          </cell>
          <cell r="I177" t="str">
            <v>Percent of</v>
          </cell>
        </row>
        <row r="178">
          <cell r="A178" t="str">
            <v>Line</v>
          </cell>
          <cell r="B178" t="str">
            <v>Project</v>
          </cell>
          <cell r="C178" t="str">
            <v>Construction</v>
          </cell>
          <cell r="D178" t="str">
            <v>Completion</v>
          </cell>
          <cell r="E178" t="str">
            <v>Elapsed</v>
          </cell>
          <cell r="F178" t="str">
            <v>Budget</v>
          </cell>
          <cell r="G178" t="str">
            <v>Budget</v>
          </cell>
          <cell r="H178" t="str">
            <v>Total Project</v>
          </cell>
          <cell r="I178" t="str">
            <v>Total</v>
          </cell>
        </row>
        <row r="179">
          <cell r="A179" t="str">
            <v>No.</v>
          </cell>
          <cell r="B179" t="str">
            <v>No.</v>
          </cell>
          <cell r="C179" t="str">
            <v>Work Began</v>
          </cell>
          <cell r="D179" t="str">
            <v>Date</v>
          </cell>
          <cell r="E179" t="str">
            <v>Time</v>
          </cell>
          <cell r="F179" t="str">
            <v>Estimate</v>
          </cell>
          <cell r="G179" t="str">
            <v>Estimate</v>
          </cell>
          <cell r="H179" t="str">
            <v>Expenditures</v>
          </cell>
          <cell r="I179" t="str">
            <v>Expenditures</v>
          </cell>
        </row>
        <row r="180">
          <cell r="A180" t="str">
            <v>(A)</v>
          </cell>
          <cell r="B180" t="str">
            <v>(B)</v>
          </cell>
          <cell r="C180" t="str">
            <v>(C)</v>
          </cell>
          <cell r="D180" t="str">
            <v>(D)</v>
          </cell>
          <cell r="E180" t="str">
            <v>(E)</v>
          </cell>
          <cell r="F180" t="str">
            <v>(F)</v>
          </cell>
          <cell r="G180" t="str">
            <v>(G)</v>
          </cell>
          <cell r="H180" t="str">
            <v>(H)</v>
          </cell>
          <cell r="I180" t="str">
            <v>(I)= (H) / (G)</v>
          </cell>
        </row>
        <row r="181">
          <cell r="F181" t="str">
            <v>$</v>
          </cell>
          <cell r="G181" t="str">
            <v>$</v>
          </cell>
          <cell r="H181" t="str">
            <v>$</v>
          </cell>
        </row>
        <row r="183">
          <cell r="A183">
            <v>121</v>
          </cell>
          <cell r="E183" t="str">
            <v>100%</v>
          </cell>
          <cell r="I183" t="e">
            <v>#DIV/0!</v>
          </cell>
        </row>
        <row r="184">
          <cell r="A184">
            <v>122</v>
          </cell>
          <cell r="E184" t="str">
            <v>100%</v>
          </cell>
          <cell r="I184" t="e">
            <v>#DIV/0!</v>
          </cell>
        </row>
        <row r="185">
          <cell r="A185">
            <v>123</v>
          </cell>
          <cell r="E185" t="str">
            <v>100%</v>
          </cell>
          <cell r="I185" t="e">
            <v>#DIV/0!</v>
          </cell>
        </row>
        <row r="186">
          <cell r="A186">
            <v>124</v>
          </cell>
          <cell r="E186" t="str">
            <v>100%</v>
          </cell>
          <cell r="I186" t="e">
            <v>#DIV/0!</v>
          </cell>
        </row>
        <row r="187">
          <cell r="A187">
            <v>125</v>
          </cell>
          <cell r="E187" t="str">
            <v>100%</v>
          </cell>
          <cell r="I187" t="e">
            <v>#DIV/0!</v>
          </cell>
        </row>
        <row r="188">
          <cell r="A188">
            <v>126</v>
          </cell>
          <cell r="E188" t="str">
            <v>100%</v>
          </cell>
          <cell r="I188" t="e">
            <v>#DIV/0!</v>
          </cell>
        </row>
        <row r="189">
          <cell r="A189">
            <v>127</v>
          </cell>
          <cell r="E189" t="str">
            <v>100%</v>
          </cell>
          <cell r="I189" t="e">
            <v>#DIV/0!</v>
          </cell>
        </row>
        <row r="190">
          <cell r="A190">
            <v>128</v>
          </cell>
          <cell r="E190" t="str">
            <v>100%</v>
          </cell>
          <cell r="I190" t="e">
            <v>#DIV/0!</v>
          </cell>
        </row>
        <row r="191">
          <cell r="A191">
            <v>129</v>
          </cell>
          <cell r="E191" t="str">
            <v>100%</v>
          </cell>
          <cell r="I191" t="e">
            <v>#DIV/0!</v>
          </cell>
        </row>
        <row r="192">
          <cell r="A192">
            <v>130</v>
          </cell>
          <cell r="E192" t="str">
            <v>100%</v>
          </cell>
          <cell r="I192" t="e">
            <v>#DIV/0!</v>
          </cell>
        </row>
        <row r="193">
          <cell r="A193">
            <v>131</v>
          </cell>
          <cell r="E193" t="str">
            <v>100%</v>
          </cell>
          <cell r="I193" t="e">
            <v>#DIV/0!</v>
          </cell>
        </row>
        <row r="194">
          <cell r="A194">
            <v>132</v>
          </cell>
          <cell r="E194" t="str">
            <v>100%</v>
          </cell>
          <cell r="I194" t="e">
            <v>#DIV/0!</v>
          </cell>
        </row>
        <row r="195">
          <cell r="A195">
            <v>133</v>
          </cell>
          <cell r="E195" t="str">
            <v>100%</v>
          </cell>
          <cell r="I195" t="e">
            <v>#DIV/0!</v>
          </cell>
        </row>
        <row r="196">
          <cell r="A196">
            <v>134</v>
          </cell>
          <cell r="E196" t="str">
            <v>100%</v>
          </cell>
          <cell r="I196" t="e">
            <v>#DIV/0!</v>
          </cell>
        </row>
        <row r="197">
          <cell r="A197">
            <v>135</v>
          </cell>
          <cell r="E197" t="str">
            <v>100%</v>
          </cell>
          <cell r="I197" t="e">
            <v>#DIV/0!</v>
          </cell>
        </row>
        <row r="198">
          <cell r="A198">
            <v>136</v>
          </cell>
          <cell r="E198" t="str">
            <v>100%</v>
          </cell>
          <cell r="I198" t="e">
            <v>#DIV/0!</v>
          </cell>
        </row>
        <row r="199">
          <cell r="A199">
            <v>137</v>
          </cell>
          <cell r="E199" t="str">
            <v>100%</v>
          </cell>
          <cell r="I199" t="e">
            <v>#DIV/0!</v>
          </cell>
        </row>
        <row r="200">
          <cell r="A200">
            <v>138</v>
          </cell>
          <cell r="E200" t="str">
            <v>100%</v>
          </cell>
          <cell r="I200" t="e">
            <v>#DIV/0!</v>
          </cell>
        </row>
        <row r="201">
          <cell r="A201">
            <v>139</v>
          </cell>
          <cell r="E201" t="str">
            <v>100%</v>
          </cell>
          <cell r="I201" t="e">
            <v>#DIV/0!</v>
          </cell>
        </row>
        <row r="202">
          <cell r="A202">
            <v>140</v>
          </cell>
          <cell r="E202" t="str">
            <v>100%</v>
          </cell>
          <cell r="I202" t="e">
            <v>#DIV/0!</v>
          </cell>
        </row>
        <row r="203">
          <cell r="A203">
            <v>141</v>
          </cell>
          <cell r="E203" t="str">
            <v>100%</v>
          </cell>
          <cell r="I203" t="e">
            <v>#DIV/0!</v>
          </cell>
        </row>
        <row r="204">
          <cell r="A204">
            <v>142</v>
          </cell>
          <cell r="E204" t="str">
            <v>100%</v>
          </cell>
          <cell r="I204" t="e">
            <v>#DIV/0!</v>
          </cell>
        </row>
        <row r="205">
          <cell r="A205">
            <v>143</v>
          </cell>
          <cell r="E205" t="str">
            <v>100%</v>
          </cell>
          <cell r="I205" t="e">
            <v>#DIV/0!</v>
          </cell>
        </row>
        <row r="206">
          <cell r="A206">
            <v>144</v>
          </cell>
          <cell r="E206" t="str">
            <v>100%</v>
          </cell>
          <cell r="I206" t="e">
            <v>#DIV/0!</v>
          </cell>
        </row>
        <row r="207">
          <cell r="A207">
            <v>145</v>
          </cell>
          <cell r="E207" t="str">
            <v>100%</v>
          </cell>
          <cell r="I207" t="e">
            <v>#DIV/0!</v>
          </cell>
        </row>
        <row r="208">
          <cell r="A208">
            <v>146</v>
          </cell>
          <cell r="E208" t="str">
            <v>100%</v>
          </cell>
          <cell r="I208" t="e">
            <v>#DIV/0!</v>
          </cell>
        </row>
        <row r="209">
          <cell r="A209">
            <v>147</v>
          </cell>
          <cell r="E209" t="str">
            <v>100%</v>
          </cell>
          <cell r="I209" t="e">
            <v>#DIV/0!</v>
          </cell>
        </row>
        <row r="210">
          <cell r="A210">
            <v>148</v>
          </cell>
          <cell r="E210" t="str">
            <v>100%</v>
          </cell>
          <cell r="I210" t="e">
            <v>#DIV/0!</v>
          </cell>
        </row>
        <row r="211">
          <cell r="A211">
            <v>149</v>
          </cell>
          <cell r="E211" t="str">
            <v>100%</v>
          </cell>
          <cell r="I211" t="e">
            <v>#DIV/0!</v>
          </cell>
        </row>
        <row r="212">
          <cell r="A212">
            <v>150</v>
          </cell>
          <cell r="E212" t="str">
            <v>100%</v>
          </cell>
          <cell r="I212" t="e">
            <v>#DIV/0!</v>
          </cell>
        </row>
        <row r="213">
          <cell r="A213">
            <v>151</v>
          </cell>
          <cell r="E213" t="str">
            <v>100%</v>
          </cell>
          <cell r="I213" t="e">
            <v>#DIV/0!</v>
          </cell>
        </row>
        <row r="214">
          <cell r="A214">
            <v>152</v>
          </cell>
          <cell r="E214" t="str">
            <v>100%</v>
          </cell>
          <cell r="I214" t="e">
            <v>#DIV/0!</v>
          </cell>
        </row>
        <row r="215">
          <cell r="A215">
            <v>153</v>
          </cell>
          <cell r="E215" t="str">
            <v>100%</v>
          </cell>
          <cell r="I215" t="e">
            <v>#DIV/0!</v>
          </cell>
        </row>
        <row r="216">
          <cell r="A216">
            <v>154</v>
          </cell>
          <cell r="E216" t="str">
            <v>100%</v>
          </cell>
          <cell r="I216" t="e">
            <v>#DIV/0!</v>
          </cell>
        </row>
        <row r="217">
          <cell r="A217">
            <v>155</v>
          </cell>
          <cell r="E217" t="str">
            <v>100%</v>
          </cell>
          <cell r="I217" t="e">
            <v>#DIV/0!</v>
          </cell>
        </row>
        <row r="218">
          <cell r="A218">
            <v>156</v>
          </cell>
          <cell r="E218" t="str">
            <v>100%</v>
          </cell>
          <cell r="I218" t="e">
            <v>#DIV/0!</v>
          </cell>
        </row>
        <row r="219">
          <cell r="A219">
            <v>157</v>
          </cell>
          <cell r="E219" t="str">
            <v>100%</v>
          </cell>
          <cell r="I219" t="e">
            <v>#DIV/0!</v>
          </cell>
        </row>
        <row r="220">
          <cell r="A220">
            <v>158</v>
          </cell>
          <cell r="E220" t="str">
            <v>100%</v>
          </cell>
          <cell r="I220" t="e">
            <v>#DIV/0!</v>
          </cell>
        </row>
        <row r="221">
          <cell r="A221">
            <v>159</v>
          </cell>
          <cell r="E221" t="str">
            <v>100%</v>
          </cell>
          <cell r="I221" t="e">
            <v>#DIV/0!</v>
          </cell>
        </row>
        <row r="222">
          <cell r="A222">
            <v>160</v>
          </cell>
          <cell r="E222" t="str">
            <v>100%</v>
          </cell>
          <cell r="I222" t="e">
            <v>#DIV/0!</v>
          </cell>
        </row>
        <row r="223">
          <cell r="A223">
            <v>161</v>
          </cell>
          <cell r="E223" t="str">
            <v>100%</v>
          </cell>
          <cell r="I223" t="e">
            <v>#DIV/0!</v>
          </cell>
        </row>
        <row r="224">
          <cell r="A224">
            <v>162</v>
          </cell>
          <cell r="E224" t="str">
            <v>100%</v>
          </cell>
          <cell r="I224" t="e">
            <v>#DIV/0!</v>
          </cell>
        </row>
        <row r="225">
          <cell r="A225">
            <v>163</v>
          </cell>
          <cell r="E225" t="str">
            <v>100%</v>
          </cell>
          <cell r="I225" t="e">
            <v>#DIV/0!</v>
          </cell>
        </row>
        <row r="226">
          <cell r="A226">
            <v>164</v>
          </cell>
          <cell r="E226" t="str">
            <v>100%</v>
          </cell>
          <cell r="I226" t="e">
            <v>#DIV/0!</v>
          </cell>
        </row>
        <row r="227">
          <cell r="A227">
            <v>165</v>
          </cell>
          <cell r="E227" t="str">
            <v>100%</v>
          </cell>
          <cell r="I227" t="e">
            <v>#DIV/0!</v>
          </cell>
        </row>
        <row r="228">
          <cell r="A228">
            <v>166</v>
          </cell>
          <cell r="E228" t="str">
            <v>100%</v>
          </cell>
          <cell r="I228" t="e">
            <v>#DIV/0!</v>
          </cell>
        </row>
        <row r="229">
          <cell r="A229">
            <v>167</v>
          </cell>
          <cell r="E229" t="str">
            <v>100%</v>
          </cell>
          <cell r="I229" t="e">
            <v>#DIV/0!</v>
          </cell>
        </row>
        <row r="230">
          <cell r="A230">
            <v>168</v>
          </cell>
          <cell r="E230" t="str">
            <v>100%</v>
          </cell>
          <cell r="I230" t="e">
            <v>#DIV/0!</v>
          </cell>
        </row>
        <row r="231">
          <cell r="A231">
            <v>169</v>
          </cell>
          <cell r="E231" t="str">
            <v>100%</v>
          </cell>
          <cell r="I231" t="e">
            <v>#DIV/0!</v>
          </cell>
        </row>
        <row r="232">
          <cell r="A232">
            <v>170</v>
          </cell>
          <cell r="E232" t="str">
            <v>100%</v>
          </cell>
          <cell r="I232" t="e">
            <v>#DIV/0!</v>
          </cell>
        </row>
        <row r="233">
          <cell r="A233">
            <v>171</v>
          </cell>
          <cell r="E233" t="str">
            <v>100%</v>
          </cell>
          <cell r="I233" t="e">
            <v>#DIV/0!</v>
          </cell>
        </row>
        <row r="234">
          <cell r="A234">
            <v>172</v>
          </cell>
          <cell r="E234" t="str">
            <v>100%</v>
          </cell>
          <cell r="I234" t="e">
            <v>#DIV/0!</v>
          </cell>
        </row>
        <row r="235">
          <cell r="A235">
            <v>173</v>
          </cell>
          <cell r="E235" t="str">
            <v>100%</v>
          </cell>
          <cell r="I235" t="e">
            <v>#DIV/0!</v>
          </cell>
        </row>
        <row r="236">
          <cell r="A236">
            <v>174</v>
          </cell>
          <cell r="E236" t="str">
            <v>100%</v>
          </cell>
          <cell r="I236" t="e">
            <v>#DIV/0!</v>
          </cell>
        </row>
        <row r="237">
          <cell r="A237">
            <v>175</v>
          </cell>
          <cell r="E237" t="str">
            <v>100%</v>
          </cell>
          <cell r="I237" t="e">
            <v>#DIV/0!</v>
          </cell>
        </row>
        <row r="238">
          <cell r="A238">
            <v>176</v>
          </cell>
          <cell r="E238" t="str">
            <v>100%</v>
          </cell>
          <cell r="I238" t="e">
            <v>#DIV/0!</v>
          </cell>
        </row>
        <row r="239">
          <cell r="A239">
            <v>177</v>
          </cell>
          <cell r="E239" t="str">
            <v>100%</v>
          </cell>
          <cell r="I239" t="e">
            <v>#DIV/0!</v>
          </cell>
        </row>
        <row r="240">
          <cell r="A240">
            <v>178</v>
          </cell>
          <cell r="E240" t="str">
            <v>100%</v>
          </cell>
          <cell r="I240" t="e">
            <v>#DIV/0!</v>
          </cell>
        </row>
        <row r="241">
          <cell r="A241">
            <v>179</v>
          </cell>
          <cell r="E241" t="str">
            <v>100%</v>
          </cell>
          <cell r="I241" t="e">
            <v>#DIV/0!</v>
          </cell>
        </row>
        <row r="242">
          <cell r="A242">
            <v>180</v>
          </cell>
          <cell r="E242" t="str">
            <v>100%</v>
          </cell>
          <cell r="I242" t="e">
            <v>#DIV/0!</v>
          </cell>
        </row>
        <row r="244">
          <cell r="A244" t="str">
            <v>DUKE ENERGY KENTUCKY, INC.</v>
          </cell>
        </row>
        <row r="245">
          <cell r="A245" t="str">
            <v>CASE NO. 2017-00321</v>
          </cell>
        </row>
        <row r="246">
          <cell r="A246" t="str">
            <v>CONSTRUCTION WORK IN PROGRESS - PERCENT COMPLETE (a)</v>
          </cell>
        </row>
        <row r="247">
          <cell r="A247" t="str">
            <v>AS OF MARCH 31, 2019</v>
          </cell>
        </row>
        <row r="251">
          <cell r="A251" t="str">
            <v>DATA:  BASE PERIOD  "X" FORECASTED PERIOD</v>
          </cell>
          <cell r="H251" t="str">
            <v>SCHEDULE B-4.1</v>
          </cell>
        </row>
        <row r="252">
          <cell r="A252" t="str">
            <v xml:space="preserve">TYPE OF FILING:  "X" ORIGINAL   UPDATED    REVISED  </v>
          </cell>
          <cell r="H252" t="str">
            <v>PAGE  4  OF  4</v>
          </cell>
        </row>
        <row r="253">
          <cell r="A253" t="str">
            <v>WORK PAPER REFERENCE NO(S).:</v>
          </cell>
          <cell r="H253" t="str">
            <v>WITNESS RESPONSIBLE:</v>
          </cell>
        </row>
        <row r="254">
          <cell r="H254" t="str">
            <v>M. W. ARNOLD</v>
          </cell>
        </row>
        <row r="257">
          <cell r="D257" t="str">
            <v>Estimated</v>
          </cell>
          <cell r="E257" t="str">
            <v>Percent</v>
          </cell>
          <cell r="G257" t="str">
            <v>Most</v>
          </cell>
        </row>
        <row r="258">
          <cell r="C258" t="str">
            <v>Date</v>
          </cell>
          <cell r="D258" t="str">
            <v>Project</v>
          </cell>
          <cell r="E258" t="str">
            <v>of</v>
          </cell>
          <cell r="F258" t="str">
            <v>Original</v>
          </cell>
          <cell r="G258" t="str">
            <v>Recent</v>
          </cell>
          <cell r="I258" t="str">
            <v>Percent of</v>
          </cell>
        </row>
        <row r="259">
          <cell r="A259" t="str">
            <v>Line</v>
          </cell>
          <cell r="B259" t="str">
            <v>Project</v>
          </cell>
          <cell r="C259" t="str">
            <v>Construction</v>
          </cell>
          <cell r="D259" t="str">
            <v>Completion</v>
          </cell>
          <cell r="E259" t="str">
            <v>Elapsed</v>
          </cell>
          <cell r="F259" t="str">
            <v>Budget</v>
          </cell>
          <cell r="G259" t="str">
            <v>Budget</v>
          </cell>
          <cell r="H259" t="str">
            <v>Total Project</v>
          </cell>
          <cell r="I259" t="str">
            <v>Total</v>
          </cell>
        </row>
        <row r="260">
          <cell r="A260" t="str">
            <v>No.</v>
          </cell>
          <cell r="B260" t="str">
            <v>No.</v>
          </cell>
          <cell r="C260" t="str">
            <v>Work Began</v>
          </cell>
          <cell r="D260" t="str">
            <v>Date</v>
          </cell>
          <cell r="E260" t="str">
            <v>Time</v>
          </cell>
          <cell r="F260" t="str">
            <v>Estimate</v>
          </cell>
          <cell r="G260" t="str">
            <v>Estimate</v>
          </cell>
          <cell r="H260" t="str">
            <v>Expenditures</v>
          </cell>
          <cell r="I260" t="str">
            <v>Expenditures</v>
          </cell>
        </row>
        <row r="261">
          <cell r="A261" t="str">
            <v>(A)</v>
          </cell>
          <cell r="B261" t="str">
            <v>(B)</v>
          </cell>
          <cell r="C261" t="str">
            <v>(C)</v>
          </cell>
          <cell r="D261" t="str">
            <v>(D)</v>
          </cell>
          <cell r="E261" t="str">
            <v>(E)</v>
          </cell>
          <cell r="F261" t="str">
            <v>(F)</v>
          </cell>
          <cell r="G261" t="str">
            <v>(G)</v>
          </cell>
          <cell r="H261" t="str">
            <v>(H)</v>
          </cell>
          <cell r="I261" t="str">
            <v>(I)= (H) / (G)</v>
          </cell>
        </row>
        <row r="262">
          <cell r="F262" t="str">
            <v>$</v>
          </cell>
          <cell r="G262" t="str">
            <v>$</v>
          </cell>
          <cell r="H262" t="str">
            <v>$</v>
          </cell>
        </row>
        <row r="264">
          <cell r="A264">
            <v>181</v>
          </cell>
          <cell r="E264" t="str">
            <v>100%</v>
          </cell>
          <cell r="I264" t="e">
            <v>#DIV/0!</v>
          </cell>
        </row>
        <row r="265">
          <cell r="A265">
            <v>182</v>
          </cell>
          <cell r="E265" t="str">
            <v>100%</v>
          </cell>
          <cell r="I265" t="e">
            <v>#DIV/0!</v>
          </cell>
        </row>
        <row r="266">
          <cell r="A266">
            <v>183</v>
          </cell>
          <cell r="E266" t="str">
            <v>100%</v>
          </cell>
          <cell r="I266" t="e">
            <v>#DIV/0!</v>
          </cell>
        </row>
        <row r="267">
          <cell r="A267">
            <v>184</v>
          </cell>
          <cell r="E267" t="str">
            <v>100%</v>
          </cell>
          <cell r="I267" t="e">
            <v>#DIV/0!</v>
          </cell>
        </row>
        <row r="268">
          <cell r="A268">
            <v>185</v>
          </cell>
          <cell r="E268" t="str">
            <v>100%</v>
          </cell>
          <cell r="I268" t="e">
            <v>#DIV/0!</v>
          </cell>
        </row>
        <row r="269">
          <cell r="A269">
            <v>186</v>
          </cell>
          <cell r="E269" t="str">
            <v>100%</v>
          </cell>
          <cell r="I269" t="e">
            <v>#DIV/0!</v>
          </cell>
        </row>
        <row r="270">
          <cell r="A270">
            <v>187</v>
          </cell>
          <cell r="E270" t="str">
            <v>100%</v>
          </cell>
          <cell r="I270" t="e">
            <v>#DIV/0!</v>
          </cell>
        </row>
        <row r="271">
          <cell r="A271">
            <v>188</v>
          </cell>
          <cell r="E271" t="str">
            <v>100%</v>
          </cell>
          <cell r="I271" t="e">
            <v>#DIV/0!</v>
          </cell>
        </row>
        <row r="272">
          <cell r="A272">
            <v>189</v>
          </cell>
          <cell r="E272" t="str">
            <v>100%</v>
          </cell>
          <cell r="I272" t="e">
            <v>#DIV/0!</v>
          </cell>
        </row>
        <row r="273">
          <cell r="A273">
            <v>190</v>
          </cell>
          <cell r="E273" t="str">
            <v>100%</v>
          </cell>
          <cell r="I273" t="e">
            <v>#DIV/0!</v>
          </cell>
        </row>
        <row r="274">
          <cell r="A274">
            <v>191</v>
          </cell>
          <cell r="E274" t="str">
            <v>100%</v>
          </cell>
          <cell r="I274" t="e">
            <v>#DIV/0!</v>
          </cell>
        </row>
        <row r="275">
          <cell r="A275">
            <v>192</v>
          </cell>
          <cell r="E275" t="str">
            <v>100%</v>
          </cell>
          <cell r="I275" t="e">
            <v>#DIV/0!</v>
          </cell>
        </row>
        <row r="276">
          <cell r="A276">
            <v>193</v>
          </cell>
          <cell r="E276" t="str">
            <v>100%</v>
          </cell>
          <cell r="I276" t="e">
            <v>#DIV/0!</v>
          </cell>
        </row>
        <row r="277">
          <cell r="A277">
            <v>194</v>
          </cell>
          <cell r="E277" t="str">
            <v>100%</v>
          </cell>
          <cell r="I277" t="e">
            <v>#DIV/0!</v>
          </cell>
        </row>
        <row r="278">
          <cell r="A278">
            <v>195</v>
          </cell>
          <cell r="E278" t="str">
            <v>100%</v>
          </cell>
          <cell r="I278" t="e">
            <v>#DIV/0!</v>
          </cell>
        </row>
        <row r="279">
          <cell r="A279">
            <v>196</v>
          </cell>
          <cell r="E279" t="str">
            <v>100%</v>
          </cell>
          <cell r="I279" t="e">
            <v>#DIV/0!</v>
          </cell>
        </row>
        <row r="280">
          <cell r="A280">
            <v>197</v>
          </cell>
          <cell r="E280" t="str">
            <v>100%</v>
          </cell>
          <cell r="I280" t="e">
            <v>#DIV/0!</v>
          </cell>
        </row>
        <row r="281">
          <cell r="A281">
            <v>198</v>
          </cell>
          <cell r="E281" t="str">
            <v>100%</v>
          </cell>
          <cell r="I281" t="e">
            <v>#DIV/0!</v>
          </cell>
        </row>
        <row r="282">
          <cell r="A282">
            <v>199</v>
          </cell>
          <cell r="E282" t="str">
            <v>100%</v>
          </cell>
          <cell r="I282" t="e">
            <v>#DIV/0!</v>
          </cell>
        </row>
        <row r="283">
          <cell r="A283">
            <v>200</v>
          </cell>
          <cell r="E283" t="str">
            <v>100%</v>
          </cell>
          <cell r="I283" t="e">
            <v>#DIV/0!</v>
          </cell>
        </row>
        <row r="284">
          <cell r="A284">
            <v>201</v>
          </cell>
          <cell r="E284" t="str">
            <v>100%</v>
          </cell>
          <cell r="I284" t="e">
            <v>#DIV/0!</v>
          </cell>
        </row>
        <row r="285">
          <cell r="A285">
            <v>202</v>
          </cell>
          <cell r="E285" t="str">
            <v>100%</v>
          </cell>
          <cell r="I285" t="e">
            <v>#DIV/0!</v>
          </cell>
        </row>
        <row r="286">
          <cell r="A286">
            <v>203</v>
          </cell>
          <cell r="E286" t="str">
            <v>100%</v>
          </cell>
          <cell r="I286" t="e">
            <v>#DIV/0!</v>
          </cell>
        </row>
        <row r="287">
          <cell r="A287">
            <v>204</v>
          </cell>
          <cell r="E287" t="str">
            <v>100%</v>
          </cell>
          <cell r="I287" t="e">
            <v>#DIV/0!</v>
          </cell>
        </row>
        <row r="288">
          <cell r="A288">
            <v>205</v>
          </cell>
          <cell r="E288" t="str">
            <v>100%</v>
          </cell>
          <cell r="I288" t="e">
            <v>#DIV/0!</v>
          </cell>
        </row>
        <row r="289">
          <cell r="A289">
            <v>206</v>
          </cell>
          <cell r="E289" t="str">
            <v>100%</v>
          </cell>
          <cell r="I289" t="e">
            <v>#DIV/0!</v>
          </cell>
        </row>
        <row r="290">
          <cell r="A290">
            <v>207</v>
          </cell>
          <cell r="E290" t="str">
            <v>100%</v>
          </cell>
          <cell r="I290" t="e">
            <v>#DIV/0!</v>
          </cell>
        </row>
        <row r="291">
          <cell r="A291">
            <v>208</v>
          </cell>
          <cell r="E291" t="str">
            <v>100%</v>
          </cell>
          <cell r="I291" t="e">
            <v>#DIV/0!</v>
          </cell>
        </row>
        <row r="292">
          <cell r="A292">
            <v>209</v>
          </cell>
          <cell r="E292" t="str">
            <v>100%</v>
          </cell>
          <cell r="I292" t="e">
            <v>#DIV/0!</v>
          </cell>
        </row>
        <row r="293">
          <cell r="A293">
            <v>210</v>
          </cell>
          <cell r="E293" t="str">
            <v>100%</v>
          </cell>
          <cell r="I293" t="e">
            <v>#DIV/0!</v>
          </cell>
        </row>
        <row r="294">
          <cell r="A294">
            <v>211</v>
          </cell>
          <cell r="E294" t="str">
            <v>100%</v>
          </cell>
          <cell r="I294" t="e">
            <v>#DIV/0!</v>
          </cell>
        </row>
        <row r="295">
          <cell r="A295">
            <v>212</v>
          </cell>
          <cell r="E295" t="str">
            <v>100%</v>
          </cell>
          <cell r="I295" t="e">
            <v>#DIV/0!</v>
          </cell>
        </row>
        <row r="296">
          <cell r="A296">
            <v>213</v>
          </cell>
          <cell r="E296" t="str">
            <v>100%</v>
          </cell>
          <cell r="I296" t="e">
            <v>#DIV/0!</v>
          </cell>
        </row>
        <row r="297">
          <cell r="A297">
            <v>214</v>
          </cell>
          <cell r="E297" t="str">
            <v>100%</v>
          </cell>
          <cell r="I297" t="e">
            <v>#DIV/0!</v>
          </cell>
        </row>
        <row r="298">
          <cell r="A298">
            <v>215</v>
          </cell>
          <cell r="E298" t="str">
            <v>100%</v>
          </cell>
          <cell r="I298" t="e">
            <v>#DIV/0!</v>
          </cell>
        </row>
        <row r="299">
          <cell r="A299">
            <v>216</v>
          </cell>
          <cell r="E299" t="str">
            <v>100%</v>
          </cell>
          <cell r="I299" t="e">
            <v>#DIV/0!</v>
          </cell>
        </row>
        <row r="300">
          <cell r="A300">
            <v>217</v>
          </cell>
          <cell r="E300" t="str">
            <v>100%</v>
          </cell>
          <cell r="I300" t="e">
            <v>#DIV/0!</v>
          </cell>
        </row>
        <row r="301">
          <cell r="A301">
            <v>218</v>
          </cell>
          <cell r="E301" t="str">
            <v>100%</v>
          </cell>
          <cell r="I301" t="e">
            <v>#DIV/0!</v>
          </cell>
        </row>
        <row r="302">
          <cell r="A302">
            <v>219</v>
          </cell>
          <cell r="E302" t="str">
            <v>100%</v>
          </cell>
          <cell r="I302" t="e">
            <v>#DIV/0!</v>
          </cell>
        </row>
        <row r="303">
          <cell r="A303">
            <v>220</v>
          </cell>
          <cell r="E303" t="str">
            <v>100%</v>
          </cell>
          <cell r="I303" t="e">
            <v>#DIV/0!</v>
          </cell>
        </row>
        <row r="304">
          <cell r="A304">
            <v>221</v>
          </cell>
          <cell r="E304" t="str">
            <v>100%</v>
          </cell>
          <cell r="I304" t="e">
            <v>#DIV/0!</v>
          </cell>
        </row>
        <row r="305">
          <cell r="A305">
            <v>222</v>
          </cell>
          <cell r="E305" t="str">
            <v>100%</v>
          </cell>
          <cell r="I305" t="e">
            <v>#DIV/0!</v>
          </cell>
        </row>
        <row r="306">
          <cell r="A306">
            <v>223</v>
          </cell>
          <cell r="E306" t="str">
            <v>100%</v>
          </cell>
          <cell r="I306" t="e">
            <v>#DIV/0!</v>
          </cell>
        </row>
        <row r="307">
          <cell r="A307">
            <v>224</v>
          </cell>
          <cell r="E307" t="str">
            <v>100%</v>
          </cell>
          <cell r="I307" t="e">
            <v>#DIV/0!</v>
          </cell>
        </row>
        <row r="308">
          <cell r="A308">
            <v>225</v>
          </cell>
          <cell r="E308" t="str">
            <v>100%</v>
          </cell>
          <cell r="I308" t="e">
            <v>#DIV/0!</v>
          </cell>
        </row>
        <row r="309">
          <cell r="A309">
            <v>226</v>
          </cell>
          <cell r="E309" t="str">
            <v>100%</v>
          </cell>
          <cell r="I309" t="e">
            <v>#DIV/0!</v>
          </cell>
        </row>
        <row r="310">
          <cell r="A310">
            <v>227</v>
          </cell>
          <cell r="E310" t="str">
            <v>100%</v>
          </cell>
          <cell r="I310" t="e">
            <v>#DIV/0!</v>
          </cell>
        </row>
        <row r="311">
          <cell r="A311">
            <v>228</v>
          </cell>
          <cell r="E311" t="str">
            <v>100%</v>
          </cell>
          <cell r="I311" t="e">
            <v>#DIV/0!</v>
          </cell>
        </row>
        <row r="312">
          <cell r="A312">
            <v>229</v>
          </cell>
          <cell r="E312" t="str">
            <v>100%</v>
          </cell>
          <cell r="I312" t="e">
            <v>#DIV/0!</v>
          </cell>
        </row>
        <row r="313">
          <cell r="A313">
            <v>230</v>
          </cell>
          <cell r="E313" t="str">
            <v>100%</v>
          </cell>
          <cell r="I313" t="e">
            <v>#DIV/0!</v>
          </cell>
        </row>
        <row r="314">
          <cell r="A314">
            <v>231</v>
          </cell>
          <cell r="E314" t="str">
            <v>100%</v>
          </cell>
          <cell r="I314" t="e">
            <v>#DIV/0!</v>
          </cell>
        </row>
        <row r="315">
          <cell r="A315">
            <v>232</v>
          </cell>
          <cell r="E315" t="str">
            <v>100%</v>
          </cell>
          <cell r="I315" t="e">
            <v>#DIV/0!</v>
          </cell>
        </row>
        <row r="316">
          <cell r="A316">
            <v>233</v>
          </cell>
          <cell r="E316" t="str">
            <v>100%</v>
          </cell>
          <cell r="I316" t="e">
            <v>#DIV/0!</v>
          </cell>
        </row>
        <row r="317">
          <cell r="A317">
            <v>234</v>
          </cell>
          <cell r="E317" t="str">
            <v>100%</v>
          </cell>
          <cell r="I317" t="e">
            <v>#DIV/0!</v>
          </cell>
        </row>
        <row r="318">
          <cell r="A318">
            <v>235</v>
          </cell>
          <cell r="E318" t="str">
            <v>100%</v>
          </cell>
          <cell r="I318" t="e">
            <v>#DIV/0!</v>
          </cell>
        </row>
        <row r="319">
          <cell r="A319">
            <v>236</v>
          </cell>
          <cell r="E319" t="str">
            <v>100%</v>
          </cell>
          <cell r="I319" t="e">
            <v>#DIV/0!</v>
          </cell>
        </row>
        <row r="320">
          <cell r="A320">
            <v>237</v>
          </cell>
          <cell r="E320" t="str">
            <v>100%</v>
          </cell>
          <cell r="I320" t="e">
            <v>#DIV/0!</v>
          </cell>
        </row>
        <row r="321">
          <cell r="A321">
            <v>238</v>
          </cell>
          <cell r="E321" t="str">
            <v>100%</v>
          </cell>
          <cell r="I321" t="e">
            <v>#DIV/0!</v>
          </cell>
        </row>
        <row r="322">
          <cell r="A322">
            <v>239</v>
          </cell>
          <cell r="E322" t="str">
            <v>100%</v>
          </cell>
          <cell r="I322" t="e">
            <v>#DIV/0!</v>
          </cell>
        </row>
        <row r="323">
          <cell r="A323">
            <v>240</v>
          </cell>
          <cell r="E323" t="str">
            <v>100%</v>
          </cell>
          <cell r="I323" t="e">
            <v>#DIV/0!</v>
          </cell>
        </row>
        <row r="324">
          <cell r="A324">
            <v>241</v>
          </cell>
          <cell r="E324" t="str">
            <v>100%</v>
          </cell>
          <cell r="I324" t="e">
            <v>#DIV/0!</v>
          </cell>
        </row>
        <row r="325">
          <cell r="A325">
            <v>242</v>
          </cell>
          <cell r="E325" t="str">
            <v>100%</v>
          </cell>
          <cell r="I325" t="e">
            <v>#DIV/0!</v>
          </cell>
        </row>
        <row r="326">
          <cell r="A326">
            <v>243</v>
          </cell>
          <cell r="E326" t="str">
            <v>100%</v>
          </cell>
          <cell r="I326" t="e">
            <v>#DIV/0!</v>
          </cell>
        </row>
        <row r="327">
          <cell r="A327">
            <v>244</v>
          </cell>
          <cell r="E327" t="str">
            <v>100%</v>
          </cell>
          <cell r="I327" t="e">
            <v>#DIV/0!</v>
          </cell>
        </row>
        <row r="328">
          <cell r="A328">
            <v>245</v>
          </cell>
          <cell r="E328" t="str">
            <v>100%</v>
          </cell>
          <cell r="I328" t="e">
            <v>#DIV/0!</v>
          </cell>
        </row>
        <row r="329">
          <cell r="A329">
            <v>246</v>
          </cell>
          <cell r="E329" t="str">
            <v>100%</v>
          </cell>
          <cell r="I329" t="e">
            <v>#DIV/0!</v>
          </cell>
        </row>
        <row r="330">
          <cell r="A330">
            <v>247</v>
          </cell>
          <cell r="E330" t="str">
            <v>100%</v>
          </cell>
          <cell r="I330" t="e">
            <v>#DIV/0!</v>
          </cell>
        </row>
        <row r="332">
          <cell r="A332" t="str">
            <v>(a)  Based on expenditures including AFUDC.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6" Type="http://schemas.openxmlformats.org/officeDocument/2006/relationships/ctrlProp" Target="../ctrlProps/ctrlProp73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97" Type="http://schemas.openxmlformats.org/officeDocument/2006/relationships/ctrlProp" Target="../ctrlProps/ctrlProp94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87" Type="http://schemas.openxmlformats.org/officeDocument/2006/relationships/ctrlProp" Target="../ctrlProps/ctrlProp84.xml"/><Relationship Id="rId102" Type="http://schemas.openxmlformats.org/officeDocument/2006/relationships/ctrlProp" Target="../ctrlProps/ctrlProp99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22.xml"/><Relationship Id="rId21" Type="http://schemas.openxmlformats.org/officeDocument/2006/relationships/ctrlProp" Target="../ctrlProps/ctrlProp117.xml"/><Relationship Id="rId42" Type="http://schemas.openxmlformats.org/officeDocument/2006/relationships/ctrlProp" Target="../ctrlProps/ctrlProp138.xml"/><Relationship Id="rId47" Type="http://schemas.openxmlformats.org/officeDocument/2006/relationships/ctrlProp" Target="../ctrlProps/ctrlProp143.xml"/><Relationship Id="rId63" Type="http://schemas.openxmlformats.org/officeDocument/2006/relationships/ctrlProp" Target="../ctrlProps/ctrlProp159.xml"/><Relationship Id="rId68" Type="http://schemas.openxmlformats.org/officeDocument/2006/relationships/ctrlProp" Target="../ctrlProps/ctrlProp164.xml"/><Relationship Id="rId84" Type="http://schemas.openxmlformats.org/officeDocument/2006/relationships/ctrlProp" Target="../ctrlProps/ctrlProp180.xml"/><Relationship Id="rId89" Type="http://schemas.openxmlformats.org/officeDocument/2006/relationships/ctrlProp" Target="../ctrlProps/ctrlProp185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12.xml"/><Relationship Id="rId29" Type="http://schemas.openxmlformats.org/officeDocument/2006/relationships/ctrlProp" Target="../ctrlProps/ctrlProp125.xml"/><Relationship Id="rId107" Type="http://schemas.openxmlformats.org/officeDocument/2006/relationships/ctrlProp" Target="../ctrlProps/ctrlProp203.xml"/><Relationship Id="rId11" Type="http://schemas.openxmlformats.org/officeDocument/2006/relationships/ctrlProp" Target="../ctrlProps/ctrlProp107.xml"/><Relationship Id="rId24" Type="http://schemas.openxmlformats.org/officeDocument/2006/relationships/ctrlProp" Target="../ctrlProps/ctrlProp120.xml"/><Relationship Id="rId32" Type="http://schemas.openxmlformats.org/officeDocument/2006/relationships/ctrlProp" Target="../ctrlProps/ctrlProp128.xml"/><Relationship Id="rId37" Type="http://schemas.openxmlformats.org/officeDocument/2006/relationships/ctrlProp" Target="../ctrlProps/ctrlProp133.xml"/><Relationship Id="rId40" Type="http://schemas.openxmlformats.org/officeDocument/2006/relationships/ctrlProp" Target="../ctrlProps/ctrlProp136.xml"/><Relationship Id="rId45" Type="http://schemas.openxmlformats.org/officeDocument/2006/relationships/ctrlProp" Target="../ctrlProps/ctrlProp141.xml"/><Relationship Id="rId53" Type="http://schemas.openxmlformats.org/officeDocument/2006/relationships/ctrlProp" Target="../ctrlProps/ctrlProp149.xml"/><Relationship Id="rId58" Type="http://schemas.openxmlformats.org/officeDocument/2006/relationships/ctrlProp" Target="../ctrlProps/ctrlProp154.xml"/><Relationship Id="rId66" Type="http://schemas.openxmlformats.org/officeDocument/2006/relationships/ctrlProp" Target="../ctrlProps/ctrlProp162.xml"/><Relationship Id="rId74" Type="http://schemas.openxmlformats.org/officeDocument/2006/relationships/ctrlProp" Target="../ctrlProps/ctrlProp170.xml"/><Relationship Id="rId79" Type="http://schemas.openxmlformats.org/officeDocument/2006/relationships/ctrlProp" Target="../ctrlProps/ctrlProp175.xml"/><Relationship Id="rId87" Type="http://schemas.openxmlformats.org/officeDocument/2006/relationships/ctrlProp" Target="../ctrlProps/ctrlProp183.xml"/><Relationship Id="rId102" Type="http://schemas.openxmlformats.org/officeDocument/2006/relationships/ctrlProp" Target="../ctrlProps/ctrlProp198.xml"/><Relationship Id="rId110" Type="http://schemas.openxmlformats.org/officeDocument/2006/relationships/ctrlProp" Target="../ctrlProps/ctrlProp206.xml"/><Relationship Id="rId5" Type="http://schemas.openxmlformats.org/officeDocument/2006/relationships/ctrlProp" Target="../ctrlProps/ctrlProp101.xml"/><Relationship Id="rId61" Type="http://schemas.openxmlformats.org/officeDocument/2006/relationships/ctrlProp" Target="../ctrlProps/ctrlProp157.xml"/><Relationship Id="rId82" Type="http://schemas.openxmlformats.org/officeDocument/2006/relationships/ctrlProp" Target="../ctrlProps/ctrlProp178.xml"/><Relationship Id="rId90" Type="http://schemas.openxmlformats.org/officeDocument/2006/relationships/ctrlProp" Target="../ctrlProps/ctrlProp186.xml"/><Relationship Id="rId95" Type="http://schemas.openxmlformats.org/officeDocument/2006/relationships/ctrlProp" Target="../ctrlProps/ctrlProp191.xml"/><Relationship Id="rId19" Type="http://schemas.openxmlformats.org/officeDocument/2006/relationships/ctrlProp" Target="../ctrlProps/ctrlProp115.xml"/><Relationship Id="rId14" Type="http://schemas.openxmlformats.org/officeDocument/2006/relationships/ctrlProp" Target="../ctrlProps/ctrlProp110.xml"/><Relationship Id="rId22" Type="http://schemas.openxmlformats.org/officeDocument/2006/relationships/ctrlProp" Target="../ctrlProps/ctrlProp118.xml"/><Relationship Id="rId27" Type="http://schemas.openxmlformats.org/officeDocument/2006/relationships/ctrlProp" Target="../ctrlProps/ctrlProp123.xml"/><Relationship Id="rId30" Type="http://schemas.openxmlformats.org/officeDocument/2006/relationships/ctrlProp" Target="../ctrlProps/ctrlProp126.xml"/><Relationship Id="rId35" Type="http://schemas.openxmlformats.org/officeDocument/2006/relationships/ctrlProp" Target="../ctrlProps/ctrlProp131.xml"/><Relationship Id="rId43" Type="http://schemas.openxmlformats.org/officeDocument/2006/relationships/ctrlProp" Target="../ctrlProps/ctrlProp139.xml"/><Relationship Id="rId48" Type="http://schemas.openxmlformats.org/officeDocument/2006/relationships/ctrlProp" Target="../ctrlProps/ctrlProp144.xml"/><Relationship Id="rId56" Type="http://schemas.openxmlformats.org/officeDocument/2006/relationships/ctrlProp" Target="../ctrlProps/ctrlProp152.xml"/><Relationship Id="rId64" Type="http://schemas.openxmlformats.org/officeDocument/2006/relationships/ctrlProp" Target="../ctrlProps/ctrlProp160.xml"/><Relationship Id="rId69" Type="http://schemas.openxmlformats.org/officeDocument/2006/relationships/ctrlProp" Target="../ctrlProps/ctrlProp165.xml"/><Relationship Id="rId77" Type="http://schemas.openxmlformats.org/officeDocument/2006/relationships/ctrlProp" Target="../ctrlProps/ctrlProp173.xml"/><Relationship Id="rId100" Type="http://schemas.openxmlformats.org/officeDocument/2006/relationships/ctrlProp" Target="../ctrlProps/ctrlProp196.xml"/><Relationship Id="rId105" Type="http://schemas.openxmlformats.org/officeDocument/2006/relationships/ctrlProp" Target="../ctrlProps/ctrlProp201.xml"/><Relationship Id="rId8" Type="http://schemas.openxmlformats.org/officeDocument/2006/relationships/ctrlProp" Target="../ctrlProps/ctrlProp104.xml"/><Relationship Id="rId51" Type="http://schemas.openxmlformats.org/officeDocument/2006/relationships/ctrlProp" Target="../ctrlProps/ctrlProp147.xml"/><Relationship Id="rId72" Type="http://schemas.openxmlformats.org/officeDocument/2006/relationships/ctrlProp" Target="../ctrlProps/ctrlProp168.xml"/><Relationship Id="rId80" Type="http://schemas.openxmlformats.org/officeDocument/2006/relationships/ctrlProp" Target="../ctrlProps/ctrlProp176.xml"/><Relationship Id="rId85" Type="http://schemas.openxmlformats.org/officeDocument/2006/relationships/ctrlProp" Target="../ctrlProps/ctrlProp181.xml"/><Relationship Id="rId93" Type="http://schemas.openxmlformats.org/officeDocument/2006/relationships/ctrlProp" Target="../ctrlProps/ctrlProp189.xml"/><Relationship Id="rId98" Type="http://schemas.openxmlformats.org/officeDocument/2006/relationships/ctrlProp" Target="../ctrlProps/ctrlProp194.xml"/><Relationship Id="rId3" Type="http://schemas.openxmlformats.org/officeDocument/2006/relationships/vmlDrawing" Target="../drawings/vmlDrawing2.vml"/><Relationship Id="rId12" Type="http://schemas.openxmlformats.org/officeDocument/2006/relationships/ctrlProp" Target="../ctrlProps/ctrlProp108.xml"/><Relationship Id="rId17" Type="http://schemas.openxmlformats.org/officeDocument/2006/relationships/ctrlProp" Target="../ctrlProps/ctrlProp113.xml"/><Relationship Id="rId25" Type="http://schemas.openxmlformats.org/officeDocument/2006/relationships/ctrlProp" Target="../ctrlProps/ctrlProp121.xml"/><Relationship Id="rId33" Type="http://schemas.openxmlformats.org/officeDocument/2006/relationships/ctrlProp" Target="../ctrlProps/ctrlProp129.xml"/><Relationship Id="rId38" Type="http://schemas.openxmlformats.org/officeDocument/2006/relationships/ctrlProp" Target="../ctrlProps/ctrlProp134.xml"/><Relationship Id="rId46" Type="http://schemas.openxmlformats.org/officeDocument/2006/relationships/ctrlProp" Target="../ctrlProps/ctrlProp142.xml"/><Relationship Id="rId59" Type="http://schemas.openxmlformats.org/officeDocument/2006/relationships/ctrlProp" Target="../ctrlProps/ctrlProp155.xml"/><Relationship Id="rId67" Type="http://schemas.openxmlformats.org/officeDocument/2006/relationships/ctrlProp" Target="../ctrlProps/ctrlProp163.xml"/><Relationship Id="rId103" Type="http://schemas.openxmlformats.org/officeDocument/2006/relationships/ctrlProp" Target="../ctrlProps/ctrlProp199.xml"/><Relationship Id="rId108" Type="http://schemas.openxmlformats.org/officeDocument/2006/relationships/ctrlProp" Target="../ctrlProps/ctrlProp204.xml"/><Relationship Id="rId20" Type="http://schemas.openxmlformats.org/officeDocument/2006/relationships/ctrlProp" Target="../ctrlProps/ctrlProp116.xml"/><Relationship Id="rId41" Type="http://schemas.openxmlformats.org/officeDocument/2006/relationships/ctrlProp" Target="../ctrlProps/ctrlProp137.xml"/><Relationship Id="rId54" Type="http://schemas.openxmlformats.org/officeDocument/2006/relationships/ctrlProp" Target="../ctrlProps/ctrlProp150.xml"/><Relationship Id="rId62" Type="http://schemas.openxmlformats.org/officeDocument/2006/relationships/ctrlProp" Target="../ctrlProps/ctrlProp158.xml"/><Relationship Id="rId70" Type="http://schemas.openxmlformats.org/officeDocument/2006/relationships/ctrlProp" Target="../ctrlProps/ctrlProp166.xml"/><Relationship Id="rId75" Type="http://schemas.openxmlformats.org/officeDocument/2006/relationships/ctrlProp" Target="../ctrlProps/ctrlProp171.xml"/><Relationship Id="rId83" Type="http://schemas.openxmlformats.org/officeDocument/2006/relationships/ctrlProp" Target="../ctrlProps/ctrlProp179.xml"/><Relationship Id="rId88" Type="http://schemas.openxmlformats.org/officeDocument/2006/relationships/ctrlProp" Target="../ctrlProps/ctrlProp184.xml"/><Relationship Id="rId91" Type="http://schemas.openxmlformats.org/officeDocument/2006/relationships/ctrlProp" Target="../ctrlProps/ctrlProp187.xml"/><Relationship Id="rId96" Type="http://schemas.openxmlformats.org/officeDocument/2006/relationships/ctrlProp" Target="../ctrlProps/ctrlProp192.xml"/><Relationship Id="rId111" Type="http://schemas.openxmlformats.org/officeDocument/2006/relationships/ctrlProp" Target="../ctrlProps/ctrlProp207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02.xml"/><Relationship Id="rId15" Type="http://schemas.openxmlformats.org/officeDocument/2006/relationships/ctrlProp" Target="../ctrlProps/ctrlProp111.xml"/><Relationship Id="rId23" Type="http://schemas.openxmlformats.org/officeDocument/2006/relationships/ctrlProp" Target="../ctrlProps/ctrlProp119.xml"/><Relationship Id="rId28" Type="http://schemas.openxmlformats.org/officeDocument/2006/relationships/ctrlProp" Target="../ctrlProps/ctrlProp124.xml"/><Relationship Id="rId36" Type="http://schemas.openxmlformats.org/officeDocument/2006/relationships/ctrlProp" Target="../ctrlProps/ctrlProp132.xml"/><Relationship Id="rId49" Type="http://schemas.openxmlformats.org/officeDocument/2006/relationships/ctrlProp" Target="../ctrlProps/ctrlProp145.xml"/><Relationship Id="rId57" Type="http://schemas.openxmlformats.org/officeDocument/2006/relationships/ctrlProp" Target="../ctrlProps/ctrlProp153.xml"/><Relationship Id="rId106" Type="http://schemas.openxmlformats.org/officeDocument/2006/relationships/ctrlProp" Target="../ctrlProps/ctrlProp202.xml"/><Relationship Id="rId10" Type="http://schemas.openxmlformats.org/officeDocument/2006/relationships/ctrlProp" Target="../ctrlProps/ctrlProp106.xml"/><Relationship Id="rId31" Type="http://schemas.openxmlformats.org/officeDocument/2006/relationships/ctrlProp" Target="../ctrlProps/ctrlProp127.xml"/><Relationship Id="rId44" Type="http://schemas.openxmlformats.org/officeDocument/2006/relationships/ctrlProp" Target="../ctrlProps/ctrlProp140.xml"/><Relationship Id="rId52" Type="http://schemas.openxmlformats.org/officeDocument/2006/relationships/ctrlProp" Target="../ctrlProps/ctrlProp148.xml"/><Relationship Id="rId60" Type="http://schemas.openxmlformats.org/officeDocument/2006/relationships/ctrlProp" Target="../ctrlProps/ctrlProp156.xml"/><Relationship Id="rId65" Type="http://schemas.openxmlformats.org/officeDocument/2006/relationships/ctrlProp" Target="../ctrlProps/ctrlProp161.xml"/><Relationship Id="rId73" Type="http://schemas.openxmlformats.org/officeDocument/2006/relationships/ctrlProp" Target="../ctrlProps/ctrlProp169.xml"/><Relationship Id="rId78" Type="http://schemas.openxmlformats.org/officeDocument/2006/relationships/ctrlProp" Target="../ctrlProps/ctrlProp174.xml"/><Relationship Id="rId81" Type="http://schemas.openxmlformats.org/officeDocument/2006/relationships/ctrlProp" Target="../ctrlProps/ctrlProp177.xml"/><Relationship Id="rId86" Type="http://schemas.openxmlformats.org/officeDocument/2006/relationships/ctrlProp" Target="../ctrlProps/ctrlProp182.xml"/><Relationship Id="rId94" Type="http://schemas.openxmlformats.org/officeDocument/2006/relationships/ctrlProp" Target="../ctrlProps/ctrlProp190.xml"/><Relationship Id="rId99" Type="http://schemas.openxmlformats.org/officeDocument/2006/relationships/ctrlProp" Target="../ctrlProps/ctrlProp195.xml"/><Relationship Id="rId101" Type="http://schemas.openxmlformats.org/officeDocument/2006/relationships/ctrlProp" Target="../ctrlProps/ctrlProp197.xml"/><Relationship Id="rId4" Type="http://schemas.openxmlformats.org/officeDocument/2006/relationships/ctrlProp" Target="../ctrlProps/ctrlProp100.xml"/><Relationship Id="rId9" Type="http://schemas.openxmlformats.org/officeDocument/2006/relationships/ctrlProp" Target="../ctrlProps/ctrlProp105.xml"/><Relationship Id="rId13" Type="http://schemas.openxmlformats.org/officeDocument/2006/relationships/ctrlProp" Target="../ctrlProps/ctrlProp109.xml"/><Relationship Id="rId18" Type="http://schemas.openxmlformats.org/officeDocument/2006/relationships/ctrlProp" Target="../ctrlProps/ctrlProp114.xml"/><Relationship Id="rId39" Type="http://schemas.openxmlformats.org/officeDocument/2006/relationships/ctrlProp" Target="../ctrlProps/ctrlProp135.xml"/><Relationship Id="rId109" Type="http://schemas.openxmlformats.org/officeDocument/2006/relationships/ctrlProp" Target="../ctrlProps/ctrlProp205.xml"/><Relationship Id="rId34" Type="http://schemas.openxmlformats.org/officeDocument/2006/relationships/ctrlProp" Target="../ctrlProps/ctrlProp130.xml"/><Relationship Id="rId50" Type="http://schemas.openxmlformats.org/officeDocument/2006/relationships/ctrlProp" Target="../ctrlProps/ctrlProp146.xml"/><Relationship Id="rId55" Type="http://schemas.openxmlformats.org/officeDocument/2006/relationships/ctrlProp" Target="../ctrlProps/ctrlProp151.xml"/><Relationship Id="rId76" Type="http://schemas.openxmlformats.org/officeDocument/2006/relationships/ctrlProp" Target="../ctrlProps/ctrlProp172.xml"/><Relationship Id="rId97" Type="http://schemas.openxmlformats.org/officeDocument/2006/relationships/ctrlProp" Target="../ctrlProps/ctrlProp193.xml"/><Relationship Id="rId104" Type="http://schemas.openxmlformats.org/officeDocument/2006/relationships/ctrlProp" Target="../ctrlProps/ctrlProp200.xml"/><Relationship Id="rId7" Type="http://schemas.openxmlformats.org/officeDocument/2006/relationships/ctrlProp" Target="../ctrlProps/ctrlProp103.xml"/><Relationship Id="rId71" Type="http://schemas.openxmlformats.org/officeDocument/2006/relationships/ctrlProp" Target="../ctrlProps/ctrlProp167.xml"/><Relationship Id="rId92" Type="http://schemas.openxmlformats.org/officeDocument/2006/relationships/ctrlProp" Target="../ctrlProps/ctrlProp188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W48"/>
  <sheetViews>
    <sheetView tabSelected="1" view="pageLayout" zoomScaleNormal="80" workbookViewId="0">
      <selection activeCell="G1" sqref="G1"/>
    </sheetView>
  </sheetViews>
  <sheetFormatPr defaultColWidth="8" defaultRowHeight="12.75"/>
  <cols>
    <col min="1" max="1" width="16.28515625" style="18" customWidth="1"/>
    <col min="2" max="2" width="28.5703125" style="18" customWidth="1"/>
    <col min="3" max="3" width="20.42578125" style="18" customWidth="1"/>
    <col min="4" max="4" width="16" style="18" customWidth="1"/>
    <col min="5" max="5" width="6.5703125" style="18" customWidth="1"/>
    <col min="6" max="6" width="8.28515625" style="18" customWidth="1"/>
    <col min="7" max="7" width="26.5703125" style="18" customWidth="1"/>
    <col min="8" max="8" width="3.85546875" style="18" customWidth="1"/>
    <col min="9" max="9" width="12.5703125" style="18" customWidth="1"/>
    <col min="10" max="10" width="14.7109375" style="18" customWidth="1"/>
    <col min="11" max="16384" width="8" style="18"/>
  </cols>
  <sheetData>
    <row r="1" spans="1:23" ht="18">
      <c r="A1" s="1194" t="s">
        <v>2286</v>
      </c>
      <c r="B1" s="1188"/>
      <c r="C1" s="1188"/>
      <c r="D1" s="1188"/>
      <c r="E1" s="1188"/>
      <c r="F1" s="1188"/>
      <c r="G1" s="1188"/>
      <c r="H1" s="1188"/>
      <c r="I1" s="1188"/>
      <c r="J1" s="1188"/>
      <c r="K1" s="1189"/>
      <c r="L1" s="1189"/>
      <c r="M1" s="1189"/>
      <c r="N1" s="1189"/>
      <c r="O1" s="1189"/>
      <c r="P1" s="1189"/>
      <c r="Q1" s="1189"/>
      <c r="R1" s="1189"/>
      <c r="S1" s="1189"/>
      <c r="T1" s="1189"/>
      <c r="U1" s="1189"/>
      <c r="V1" s="1189"/>
      <c r="W1" s="1189"/>
    </row>
    <row r="2" spans="1:23" ht="15">
      <c r="A2" s="1195" t="s">
        <v>1121</v>
      </c>
      <c r="B2" s="1188"/>
      <c r="C2" s="1188"/>
      <c r="D2" s="1188"/>
      <c r="E2" s="1188"/>
      <c r="F2" s="1188"/>
      <c r="G2" s="1188"/>
      <c r="H2" s="1188"/>
      <c r="I2" s="1188"/>
      <c r="J2" s="1188"/>
      <c r="K2" s="1189"/>
      <c r="L2" s="1189"/>
      <c r="M2" s="1189"/>
      <c r="N2" s="1189"/>
      <c r="O2" s="1189"/>
      <c r="P2" s="1189"/>
      <c r="Q2" s="1189"/>
      <c r="R2" s="1189"/>
      <c r="S2" s="1189"/>
      <c r="T2" s="1189"/>
      <c r="U2" s="1189"/>
      <c r="V2" s="1189"/>
      <c r="W2" s="1189"/>
    </row>
    <row r="3" spans="1:23" ht="15">
      <c r="A3" s="1190"/>
      <c r="B3" s="1189"/>
      <c r="C3" s="1191"/>
      <c r="D3" s="1191"/>
      <c r="E3" s="1191"/>
      <c r="F3" s="1189"/>
      <c r="G3" s="1189"/>
      <c r="H3" s="1189"/>
      <c r="I3" s="1189"/>
      <c r="J3" s="1189"/>
      <c r="K3" s="1189"/>
      <c r="L3" s="1189"/>
      <c r="M3" s="1189"/>
      <c r="N3" s="1189"/>
      <c r="O3" s="1189"/>
      <c r="P3" s="1189"/>
      <c r="Q3" s="1189"/>
      <c r="R3" s="1189"/>
      <c r="S3" s="1189"/>
      <c r="T3" s="1189"/>
      <c r="U3" s="1189"/>
      <c r="V3" s="1189"/>
      <c r="W3" s="1189"/>
    </row>
    <row r="4" spans="1:23" ht="14.25">
      <c r="A4" s="1224" t="s">
        <v>2334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89"/>
      <c r="L4" s="1189"/>
      <c r="M4" s="1189"/>
      <c r="N4" s="1189"/>
      <c r="O4" s="1189"/>
      <c r="P4" s="1189"/>
      <c r="Q4" s="1189"/>
      <c r="R4" s="1189"/>
      <c r="S4" s="1189"/>
      <c r="T4" s="1189"/>
      <c r="U4" s="1189"/>
      <c r="V4" s="1189"/>
      <c r="W4" s="1189"/>
    </row>
    <row r="5" spans="1:23" ht="14.25">
      <c r="A5" s="1197" t="s">
        <v>1122</v>
      </c>
      <c r="B5" s="1350" t="s">
        <v>2286</v>
      </c>
      <c r="C5" s="1198"/>
      <c r="D5" s="1199"/>
      <c r="E5" s="1200"/>
      <c r="F5" s="1201" t="s">
        <v>1123</v>
      </c>
      <c r="G5" s="1196"/>
      <c r="H5" s="1196"/>
      <c r="I5" s="1202" t="s">
        <v>1507</v>
      </c>
      <c r="J5" s="2771"/>
      <c r="K5" s="1189"/>
      <c r="L5" s="1189"/>
      <c r="M5" s="1189"/>
      <c r="N5" s="1189"/>
      <c r="O5" s="1189"/>
      <c r="P5" s="1189"/>
      <c r="Q5" s="1189"/>
      <c r="R5" s="1189"/>
      <c r="S5" s="1189"/>
      <c r="T5" s="1189"/>
      <c r="U5" s="1189"/>
      <c r="V5" s="1189"/>
      <c r="W5" s="1189"/>
    </row>
    <row r="6" spans="1:23" ht="14.25">
      <c r="A6" s="1197" t="s">
        <v>1124</v>
      </c>
      <c r="B6" s="1350" t="s">
        <v>3300</v>
      </c>
      <c r="C6" s="1205"/>
      <c r="D6" s="1199"/>
      <c r="E6" s="1200"/>
      <c r="F6" s="1202" t="s">
        <v>1107</v>
      </c>
      <c r="G6" s="1206" t="s">
        <v>3003</v>
      </c>
      <c r="H6" s="1207"/>
      <c r="I6" s="1208" t="s">
        <v>1117</v>
      </c>
      <c r="J6" s="1293" t="s">
        <v>586</v>
      </c>
      <c r="K6" s="1189"/>
      <c r="L6" s="1189"/>
      <c r="M6" s="1189"/>
      <c r="N6" s="1189"/>
      <c r="O6" s="1189"/>
      <c r="P6" s="1189"/>
      <c r="Q6" s="1189"/>
      <c r="R6" s="1189"/>
      <c r="S6" s="1189"/>
      <c r="T6" s="1189"/>
      <c r="U6" s="1189"/>
      <c r="V6" s="1189"/>
      <c r="W6" s="1189"/>
    </row>
    <row r="7" spans="1:23" ht="14.25">
      <c r="A7" s="1197" t="s">
        <v>1133</v>
      </c>
      <c r="B7" s="1546" t="str">
        <f>"FOR THE TWELVE MONTHS ENDED "&amp;UPPER(TEXT(EDATE(I18,0),"mmmm dd, yyyy"))</f>
        <v>FOR THE TWELVE MONTHS ENDED NOVEMBER 30, 2017</v>
      </c>
      <c r="C7" s="1198"/>
      <c r="D7" s="1199"/>
      <c r="E7" s="1200"/>
      <c r="F7" s="1209" t="s">
        <v>1134</v>
      </c>
      <c r="G7" s="1206" t="s">
        <v>2199</v>
      </c>
      <c r="H7" s="1207"/>
      <c r="I7" s="1210">
        <v>42735</v>
      </c>
      <c r="J7" s="1210">
        <v>43220</v>
      </c>
      <c r="K7" s="1189"/>
      <c r="L7" s="1189"/>
      <c r="M7" s="1189"/>
      <c r="N7" s="1189"/>
      <c r="O7" s="1189"/>
      <c r="P7" s="1189"/>
      <c r="Q7" s="1189"/>
      <c r="R7" s="1189"/>
      <c r="S7" s="1189"/>
      <c r="T7" s="1189"/>
      <c r="U7" s="1189"/>
      <c r="V7" s="1189"/>
      <c r="W7" s="1189"/>
    </row>
    <row r="8" spans="1:23" ht="14.25">
      <c r="A8" s="1197" t="s">
        <v>1135</v>
      </c>
      <c r="B8" s="1546" t="str">
        <f>"FOR THE TWELVE MONTHS ENDED "&amp;UPPER(TEXT(EDATE(J18,0),"mmmm dd, yyyy"))</f>
        <v>FOR THE TWELVE MONTHS ENDED MARCH 31, 2019</v>
      </c>
      <c r="C8" s="1198"/>
      <c r="D8" s="1199"/>
      <c r="E8" s="1200"/>
      <c r="F8" s="1209" t="s">
        <v>1136</v>
      </c>
      <c r="G8" s="1214" t="s">
        <v>2611</v>
      </c>
      <c r="H8" s="1207"/>
      <c r="I8" s="1210">
        <v>42766</v>
      </c>
      <c r="J8" s="1210">
        <v>43251</v>
      </c>
      <c r="K8" s="1189"/>
      <c r="L8" s="1189"/>
      <c r="M8" s="1189"/>
      <c r="N8" s="1189"/>
      <c r="O8" s="1189"/>
      <c r="P8" s="1189"/>
      <c r="Q8" s="1189"/>
      <c r="R8" s="1189"/>
      <c r="S8" s="1189"/>
      <c r="T8" s="1189"/>
      <c r="U8" s="1189"/>
      <c r="V8" s="1189"/>
      <c r="W8" s="1189"/>
    </row>
    <row r="9" spans="1:23" ht="14.25">
      <c r="A9" s="1197" t="s">
        <v>1137</v>
      </c>
      <c r="B9" s="1352" t="s">
        <v>695</v>
      </c>
      <c r="C9" s="1211"/>
      <c r="D9" s="1212"/>
      <c r="E9" s="1213"/>
      <c r="F9" s="1202" t="s">
        <v>1138</v>
      </c>
      <c r="G9" s="1214" t="s">
        <v>2604</v>
      </c>
      <c r="H9" s="1207"/>
      <c r="I9" s="1210">
        <v>42794</v>
      </c>
      <c r="J9" s="1210">
        <v>43281</v>
      </c>
      <c r="K9" s="1189"/>
      <c r="L9" s="1189"/>
      <c r="M9" s="1189"/>
      <c r="N9" s="1189"/>
      <c r="O9" s="1189"/>
      <c r="P9" s="1189"/>
      <c r="Q9" s="1189"/>
      <c r="R9" s="1189"/>
      <c r="S9" s="1189"/>
      <c r="T9" s="1189"/>
      <c r="U9" s="1189"/>
      <c r="V9" s="1189"/>
      <c r="W9" s="1189"/>
    </row>
    <row r="10" spans="1:23" ht="14.25">
      <c r="A10" s="1197" t="s">
        <v>1253</v>
      </c>
      <c r="B10" s="1546" t="str">
        <f>"12 MONTHS ENDED "&amp;UPPER(TEXT(EDATE(I18,0),"mmmm dd, yyyy"))</f>
        <v>12 MONTHS ENDED NOVEMBER 30, 2017</v>
      </c>
      <c r="C10" s="1211"/>
      <c r="D10" s="1204"/>
      <c r="E10" s="1196"/>
      <c r="F10" s="1202" t="s">
        <v>1254</v>
      </c>
      <c r="G10" s="1206" t="s">
        <v>3221</v>
      </c>
      <c r="H10" s="1207"/>
      <c r="I10" s="1210">
        <v>42825</v>
      </c>
      <c r="J10" s="1210">
        <v>43312</v>
      </c>
      <c r="K10" s="1189"/>
      <c r="L10" s="1189"/>
      <c r="M10" s="1189"/>
      <c r="N10" s="1189"/>
      <c r="O10" s="1189"/>
      <c r="P10" s="1189"/>
      <c r="Q10" s="1189"/>
      <c r="R10" s="1189"/>
      <c r="S10" s="1189"/>
      <c r="T10" s="1189"/>
      <c r="U10" s="1189"/>
      <c r="V10" s="1189"/>
      <c r="W10" s="1189"/>
    </row>
    <row r="11" spans="1:23" ht="14.25">
      <c r="A11" s="1197" t="s">
        <v>1255</v>
      </c>
      <c r="B11" s="1546" t="str">
        <f>"12 MONTHS ENDED "&amp;UPPER(TEXT(EDATE(J18,0),"mmmm dd, yyyy"))</f>
        <v>12 MONTHS ENDED MARCH 31, 2019</v>
      </c>
      <c r="C11" s="1211"/>
      <c r="D11" s="1204"/>
      <c r="E11" s="1196"/>
      <c r="F11" s="1202" t="s">
        <v>1256</v>
      </c>
      <c r="G11" s="1206" t="s">
        <v>2710</v>
      </c>
      <c r="H11" s="1207"/>
      <c r="I11" s="1210">
        <v>42855</v>
      </c>
      <c r="J11" s="1210">
        <v>43343</v>
      </c>
      <c r="K11" s="1189"/>
      <c r="L11" s="1189"/>
      <c r="M11" s="1189"/>
      <c r="N11" s="1189"/>
      <c r="O11" s="1189"/>
      <c r="P11" s="1189"/>
      <c r="Q11" s="1189"/>
      <c r="R11" s="1189"/>
      <c r="S11" s="1189"/>
      <c r="T11" s="1189"/>
      <c r="U11" s="1189"/>
      <c r="V11" s="1189"/>
      <c r="W11" s="1189"/>
    </row>
    <row r="12" spans="1:23" ht="14.25">
      <c r="A12" s="1197" t="s">
        <v>1257</v>
      </c>
      <c r="B12" s="1203" t="s">
        <v>2335</v>
      </c>
      <c r="C12" s="1211"/>
      <c r="D12" s="1204"/>
      <c r="E12" s="1213"/>
      <c r="F12" s="1202" t="s">
        <v>1258</v>
      </c>
      <c r="G12" s="1206" t="s">
        <v>3344</v>
      </c>
      <c r="H12" s="1207"/>
      <c r="I12" s="1210">
        <v>42886</v>
      </c>
      <c r="J12" s="1210">
        <v>43373</v>
      </c>
      <c r="K12" s="1189"/>
      <c r="L12" s="1189"/>
      <c r="M12" s="1189"/>
      <c r="N12" s="1189"/>
      <c r="O12" s="1189"/>
      <c r="P12" s="1189"/>
      <c r="Q12" s="1189"/>
      <c r="R12" s="1189"/>
      <c r="S12" s="1189"/>
      <c r="T12" s="1189"/>
      <c r="U12" s="1189"/>
      <c r="V12" s="1189"/>
      <c r="W12" s="1189"/>
    </row>
    <row r="13" spans="1:23" ht="14.25">
      <c r="A13" s="1197" t="s">
        <v>212</v>
      </c>
      <c r="B13" s="1203" t="s">
        <v>2336</v>
      </c>
      <c r="C13" s="1211"/>
      <c r="D13" s="1204"/>
      <c r="E13" s="1213"/>
      <c r="F13" s="1202" t="s">
        <v>1302</v>
      </c>
      <c r="G13" s="1206" t="s">
        <v>3243</v>
      </c>
      <c r="H13" s="1196"/>
      <c r="I13" s="1210">
        <v>42916</v>
      </c>
      <c r="J13" s="1210">
        <v>43404</v>
      </c>
      <c r="K13" s="1189"/>
      <c r="L13" s="1189"/>
      <c r="M13" s="1189"/>
      <c r="N13" s="1189"/>
      <c r="O13" s="1189"/>
      <c r="P13" s="1189"/>
      <c r="Q13" s="1189"/>
      <c r="R13" s="1189"/>
      <c r="S13" s="1189"/>
      <c r="T13" s="1189"/>
      <c r="U13" s="1189"/>
      <c r="V13" s="1189"/>
      <c r="W13" s="1189"/>
    </row>
    <row r="14" spans="1:23" ht="14.25">
      <c r="A14" s="1197" t="s">
        <v>213</v>
      </c>
      <c r="B14" s="1353" t="s">
        <v>214</v>
      </c>
      <c r="C14" s="1211"/>
      <c r="D14" s="1204"/>
      <c r="E14" s="1213"/>
      <c r="F14" s="1202" t="s">
        <v>843</v>
      </c>
      <c r="G14" s="1206" t="s">
        <v>2603</v>
      </c>
      <c r="H14" s="1196"/>
      <c r="I14" s="1210">
        <v>42947</v>
      </c>
      <c r="J14" s="1210">
        <v>43434</v>
      </c>
      <c r="K14" s="1189"/>
      <c r="L14" s="1189"/>
      <c r="M14" s="1189"/>
      <c r="N14" s="1189"/>
      <c r="O14" s="1189"/>
      <c r="P14" s="1189"/>
      <c r="Q14" s="1189"/>
      <c r="R14" s="1189"/>
      <c r="S14" s="1189"/>
      <c r="T14" s="1189"/>
      <c r="U14" s="1189"/>
      <c r="V14" s="1189"/>
      <c r="W14" s="1189"/>
    </row>
    <row r="15" spans="1:23" ht="14.25">
      <c r="A15" s="1197" t="s">
        <v>215</v>
      </c>
      <c r="B15" s="1353" t="s">
        <v>1108</v>
      </c>
      <c r="C15" s="1211"/>
      <c r="D15" s="1204"/>
      <c r="E15" s="1213"/>
      <c r="F15" s="1202" t="s">
        <v>2708</v>
      </c>
      <c r="G15" s="1206" t="s">
        <v>2709</v>
      </c>
      <c r="H15" s="1196"/>
      <c r="I15" s="1210">
        <v>42978</v>
      </c>
      <c r="J15" s="1210">
        <v>43465</v>
      </c>
      <c r="K15" s="1189"/>
      <c r="L15" s="1189"/>
      <c r="M15" s="1189"/>
      <c r="N15" s="1189"/>
      <c r="O15" s="1189"/>
      <c r="P15" s="1189"/>
      <c r="Q15" s="1189"/>
      <c r="R15" s="1189"/>
      <c r="S15" s="1189"/>
      <c r="T15" s="1189"/>
      <c r="U15" s="1189"/>
      <c r="V15" s="1189"/>
      <c r="W15" s="1189"/>
    </row>
    <row r="16" spans="1:23" ht="14.25">
      <c r="A16" s="1197"/>
      <c r="B16" s="1203"/>
      <c r="C16" s="1211"/>
      <c r="D16" s="1204"/>
      <c r="E16" s="1213"/>
      <c r="F16" s="1202" t="s">
        <v>3217</v>
      </c>
      <c r="G16" s="1206" t="s">
        <v>3218</v>
      </c>
      <c r="H16" s="1196"/>
      <c r="I16" s="1210">
        <v>43008</v>
      </c>
      <c r="J16" s="1210">
        <v>43496</v>
      </c>
      <c r="K16" s="1189"/>
      <c r="L16" s="1189"/>
      <c r="M16" s="1189"/>
      <c r="N16" s="1189"/>
      <c r="O16" s="1189"/>
      <c r="P16" s="1189"/>
      <c r="Q16" s="1189"/>
      <c r="R16" s="1189"/>
      <c r="S16" s="1189"/>
      <c r="T16" s="1189"/>
      <c r="U16" s="1189"/>
      <c r="V16" s="1189"/>
      <c r="W16" s="1189"/>
    </row>
    <row r="17" spans="1:23" ht="14.25">
      <c r="A17" s="1197" t="s">
        <v>344</v>
      </c>
      <c r="B17" s="1351" t="s">
        <v>2958</v>
      </c>
      <c r="C17" s="1211"/>
      <c r="D17" s="1204"/>
      <c r="E17" s="1213"/>
      <c r="G17" s="1196"/>
      <c r="H17" s="1196"/>
      <c r="I17" s="1210">
        <v>43039</v>
      </c>
      <c r="J17" s="1210">
        <v>43524</v>
      </c>
      <c r="K17" s="1189"/>
      <c r="L17" s="1189"/>
      <c r="M17" s="1189"/>
      <c r="N17" s="1189"/>
      <c r="O17" s="1189"/>
      <c r="P17" s="1189"/>
      <c r="Q17" s="1189"/>
      <c r="R17" s="1189"/>
      <c r="S17" s="1189"/>
      <c r="T17" s="1189"/>
      <c r="U17" s="1189"/>
      <c r="V17" s="1189"/>
      <c r="W17" s="1189"/>
    </row>
    <row r="18" spans="1:23" ht="14.25">
      <c r="A18" s="1216"/>
      <c r="B18" s="1215"/>
      <c r="C18" s="1196"/>
      <c r="D18" s="1217"/>
      <c r="E18" s="1213"/>
      <c r="F18" s="1218"/>
      <c r="G18" s="1196"/>
      <c r="H18" s="1196"/>
      <c r="I18" s="1210">
        <v>43069</v>
      </c>
      <c r="J18" s="1210">
        <v>43555</v>
      </c>
      <c r="K18" s="1189"/>
      <c r="L18" s="1189"/>
      <c r="M18" s="1189"/>
      <c r="N18" s="1189"/>
      <c r="O18" s="1189"/>
      <c r="P18" s="1189"/>
      <c r="Q18" s="1189"/>
      <c r="R18" s="1189"/>
      <c r="S18" s="1189"/>
      <c r="T18" s="1189"/>
      <c r="U18" s="1189"/>
      <c r="V18" s="1189"/>
      <c r="W18" s="1189"/>
    </row>
    <row r="19" spans="1:23" ht="14.25">
      <c r="A19" s="1216"/>
      <c r="B19" s="1219"/>
      <c r="C19" s="1217"/>
      <c r="D19" s="1217"/>
      <c r="E19" s="1213"/>
      <c r="F19" s="1218"/>
      <c r="G19" s="1196"/>
      <c r="H19" s="1196"/>
      <c r="I19" s="1196"/>
      <c r="J19" s="1196"/>
      <c r="K19" s="1189"/>
      <c r="L19" s="1189"/>
      <c r="M19" s="1189"/>
      <c r="N19" s="1189"/>
      <c r="O19" s="1189"/>
      <c r="P19" s="1189"/>
      <c r="Q19" s="1189"/>
      <c r="R19" s="1189"/>
      <c r="S19" s="1189"/>
      <c r="T19" s="1189"/>
      <c r="U19" s="1189"/>
      <c r="V19" s="1189"/>
      <c r="W19" s="1189"/>
    </row>
    <row r="20" spans="1:23" ht="14.25">
      <c r="A20" s="1216"/>
      <c r="B20" s="1219"/>
      <c r="C20" s="1217"/>
      <c r="D20" s="1217"/>
      <c r="E20" s="1213"/>
      <c r="F20" s="1218"/>
      <c r="G20" s="1196"/>
      <c r="H20" s="1196"/>
      <c r="I20" s="1196"/>
      <c r="J20" s="1196"/>
      <c r="K20" s="1337"/>
      <c r="L20" s="1337"/>
      <c r="M20" s="1337"/>
      <c r="N20" s="1337"/>
      <c r="O20" s="1337"/>
      <c r="P20" s="1337"/>
      <c r="Q20" s="1337"/>
      <c r="R20" s="1337"/>
      <c r="S20" s="1337"/>
      <c r="T20" s="1337"/>
      <c r="U20" s="1337"/>
      <c r="V20" s="1337"/>
      <c r="W20" s="1337"/>
    </row>
    <row r="21" spans="1:23" ht="15" thickBot="1">
      <c r="A21" s="1216"/>
      <c r="B21" s="1219"/>
      <c r="C21" s="1217"/>
      <c r="D21" s="1217"/>
      <c r="E21" s="1213"/>
      <c r="F21" s="1218"/>
      <c r="G21" s="1196"/>
      <c r="H21" s="1196"/>
      <c r="I21" s="1196"/>
      <c r="J21" s="1196"/>
      <c r="K21" s="1337"/>
      <c r="L21" s="1337"/>
      <c r="M21" s="1337"/>
      <c r="N21" s="1337"/>
      <c r="O21" s="1337"/>
      <c r="P21" s="1337"/>
      <c r="Q21" s="1337"/>
      <c r="R21" s="1337"/>
      <c r="S21" s="1337"/>
      <c r="T21" s="1337"/>
      <c r="U21" s="1337"/>
      <c r="V21" s="1337"/>
      <c r="W21" s="1337"/>
    </row>
    <row r="22" spans="1:23" ht="14.25">
      <c r="A22" s="1216"/>
      <c r="B22" s="56" t="s">
        <v>1111</v>
      </c>
      <c r="C22" s="57">
        <f>SCH_H!F19</f>
        <v>7.5000000000000002E-4</v>
      </c>
      <c r="D22" s="1196"/>
      <c r="E22" s="1196"/>
      <c r="F22" s="1220"/>
      <c r="G22" s="1196"/>
      <c r="H22" s="1196"/>
      <c r="I22" s="1196"/>
      <c r="J22" s="1196"/>
      <c r="K22" s="1189"/>
      <c r="L22" s="1189"/>
      <c r="M22" s="1189"/>
      <c r="N22" s="1189"/>
      <c r="O22" s="1189"/>
      <c r="P22" s="1189"/>
      <c r="Q22" s="1189"/>
      <c r="R22" s="1189"/>
      <c r="S22" s="1189"/>
      <c r="T22" s="1189"/>
      <c r="U22" s="1189"/>
      <c r="V22" s="1189"/>
      <c r="W22" s="1189"/>
    </row>
    <row r="23" spans="1:23" ht="14.25">
      <c r="A23" s="1216"/>
      <c r="B23" s="58" t="s">
        <v>1112</v>
      </c>
      <c r="C23" s="2777">
        <f>ROUND(879797/440779989,8)</f>
        <v>1.9959999999999999E-3</v>
      </c>
      <c r="D23" s="1196"/>
      <c r="E23" s="1196"/>
      <c r="F23" s="1218"/>
      <c r="G23" s="1196"/>
      <c r="H23" s="1196"/>
      <c r="I23" s="1196"/>
      <c r="J23" s="1196"/>
      <c r="K23" s="1189"/>
      <c r="L23" s="1189"/>
      <c r="M23" s="1189"/>
      <c r="N23" s="1189"/>
      <c r="O23" s="1189"/>
      <c r="P23" s="1189"/>
      <c r="Q23" s="1189"/>
      <c r="R23" s="1189"/>
      <c r="S23" s="1189"/>
      <c r="T23" s="1189"/>
      <c r="U23" s="1189"/>
      <c r="V23" s="1189"/>
      <c r="W23" s="1189"/>
    </row>
    <row r="24" spans="1:23" ht="14.25">
      <c r="A24" s="1216"/>
      <c r="B24" s="59" t="s">
        <v>1113</v>
      </c>
      <c r="C24" s="60">
        <v>0.06</v>
      </c>
      <c r="D24" s="1196"/>
      <c r="E24" s="1221"/>
      <c r="F24" s="1218"/>
      <c r="G24" s="1196"/>
      <c r="H24" s="1196"/>
      <c r="I24" s="1196"/>
      <c r="J24" s="1196"/>
      <c r="K24" s="1189"/>
      <c r="L24" s="1189"/>
      <c r="M24" s="1189"/>
      <c r="N24" s="1189"/>
      <c r="O24" s="1189"/>
      <c r="P24" s="1189"/>
      <c r="Q24" s="1189"/>
      <c r="R24" s="1189"/>
      <c r="S24" s="1189"/>
      <c r="T24" s="1189"/>
      <c r="U24" s="1189"/>
      <c r="V24" s="1189"/>
      <c r="W24" s="1189"/>
    </row>
    <row r="25" spans="1:23" ht="14.25">
      <c r="A25" s="1216"/>
      <c r="B25" s="58" t="s">
        <v>1114</v>
      </c>
      <c r="C25" s="60">
        <v>0.35</v>
      </c>
      <c r="D25" s="1196"/>
      <c r="E25" s="1196"/>
      <c r="F25" s="1218"/>
      <c r="G25" s="1196"/>
      <c r="H25" s="1196"/>
      <c r="I25" s="1196"/>
      <c r="J25" s="1196"/>
      <c r="K25" s="1189"/>
      <c r="L25" s="1189"/>
      <c r="M25" s="1189"/>
      <c r="N25" s="1189"/>
      <c r="O25" s="1189"/>
      <c r="P25" s="1189"/>
      <c r="Q25" s="1189"/>
      <c r="R25" s="1189"/>
      <c r="S25" s="1189"/>
      <c r="T25" s="1189"/>
      <c r="U25" s="1189"/>
      <c r="V25" s="1189"/>
      <c r="W25" s="1189"/>
    </row>
    <row r="26" spans="1:23" ht="14.25">
      <c r="A26" s="1216"/>
      <c r="B26" s="59" t="s">
        <v>1115</v>
      </c>
      <c r="C26" s="61">
        <f>ROUND(SCH_E1!G76/SCH_E1!G68,6)</f>
        <v>5.3452E-2</v>
      </c>
      <c r="D26" s="1196"/>
      <c r="E26" s="1196"/>
      <c r="F26" s="1218"/>
      <c r="G26" s="1196"/>
      <c r="H26" s="1196"/>
      <c r="I26" s="1196"/>
      <c r="J26" s="1196"/>
      <c r="K26" s="1189"/>
      <c r="L26" s="1189"/>
      <c r="M26" s="1189"/>
      <c r="N26" s="1189"/>
      <c r="O26" s="1189"/>
      <c r="P26" s="1189"/>
      <c r="Q26" s="1189"/>
      <c r="R26" s="1189"/>
      <c r="S26" s="1189"/>
      <c r="T26" s="1189"/>
      <c r="U26" s="1189"/>
      <c r="V26" s="1189"/>
      <c r="W26" s="1189"/>
    </row>
    <row r="27" spans="1:23" ht="14.25">
      <c r="A27" s="1196"/>
      <c r="B27" s="59" t="s">
        <v>2394</v>
      </c>
      <c r="C27" s="1338">
        <f>(1-KPSC)*FIT+KPSC</f>
        <v>0.38899999999999996</v>
      </c>
      <c r="D27" s="1196"/>
      <c r="E27" s="1196"/>
      <c r="F27" s="1218"/>
      <c r="G27" s="1196"/>
      <c r="H27" s="1196"/>
      <c r="I27" s="1196"/>
      <c r="J27" s="1196"/>
      <c r="K27" s="1189"/>
      <c r="L27" s="1189"/>
      <c r="M27" s="1189"/>
      <c r="N27" s="1189"/>
      <c r="O27" s="1189"/>
      <c r="P27" s="1189"/>
      <c r="Q27" s="1189"/>
      <c r="R27" s="1189"/>
      <c r="S27" s="1189"/>
      <c r="T27" s="1189"/>
      <c r="U27" s="1189"/>
      <c r="V27" s="1189"/>
      <c r="W27" s="1189"/>
    </row>
    <row r="28" spans="1:23" ht="15" thickBot="1">
      <c r="A28" s="1222"/>
      <c r="B28" s="62" t="s">
        <v>1116</v>
      </c>
      <c r="C28" s="63">
        <v>0.06</v>
      </c>
      <c r="D28" s="1223"/>
      <c r="E28" s="1223"/>
      <c r="F28" s="1218"/>
      <c r="G28" s="1223"/>
      <c r="H28" s="1223"/>
      <c r="I28" s="1223"/>
      <c r="J28" s="1223"/>
      <c r="K28" s="1189"/>
      <c r="L28" s="1189"/>
      <c r="M28" s="1189"/>
      <c r="N28" s="1189"/>
      <c r="O28" s="1189"/>
      <c r="P28" s="1189"/>
      <c r="Q28" s="1189"/>
      <c r="R28" s="1189"/>
      <c r="S28" s="1189"/>
      <c r="T28" s="1189"/>
      <c r="U28" s="1189"/>
      <c r="V28" s="1189"/>
      <c r="W28" s="1189"/>
    </row>
    <row r="29" spans="1:23" ht="15">
      <c r="A29" s="1193"/>
      <c r="B29" s="1191"/>
      <c r="C29" s="1191"/>
      <c r="D29" s="1191"/>
      <c r="E29" s="1191"/>
      <c r="F29" s="1192"/>
      <c r="G29" s="1191"/>
      <c r="H29" s="1191"/>
      <c r="I29" s="1191"/>
      <c r="J29" s="1191"/>
      <c r="K29" s="1189"/>
      <c r="L29" s="1189"/>
      <c r="M29" s="1189"/>
      <c r="N29" s="1189"/>
      <c r="O29" s="1189"/>
      <c r="P29" s="1189"/>
      <c r="Q29" s="1189"/>
      <c r="R29" s="1189"/>
      <c r="S29" s="1189"/>
      <c r="T29" s="1189"/>
      <c r="U29" s="1189"/>
      <c r="V29" s="1189"/>
      <c r="W29" s="1189"/>
    </row>
    <row r="30" spans="1:23" ht="14.25">
      <c r="A30" s="1189"/>
      <c r="B30" s="1189"/>
      <c r="C30" s="1189"/>
      <c r="D30" s="1189"/>
      <c r="E30" s="1189"/>
      <c r="F30" s="1189"/>
      <c r="G30" s="1189"/>
      <c r="H30" s="1189"/>
      <c r="I30" s="1189"/>
      <c r="J30" s="1189"/>
      <c r="K30" s="1189"/>
      <c r="L30" s="1189"/>
      <c r="M30" s="1189"/>
      <c r="N30" s="1189"/>
      <c r="O30" s="1189"/>
      <c r="P30" s="1189"/>
      <c r="Q30" s="1189"/>
      <c r="R30" s="1189"/>
      <c r="S30" s="1189"/>
      <c r="T30" s="1189"/>
      <c r="U30" s="1189"/>
      <c r="V30" s="1189"/>
      <c r="W30" s="1189"/>
    </row>
    <row r="31" spans="1:23" ht="14.25">
      <c r="A31" s="1189"/>
      <c r="B31" s="1189"/>
      <c r="C31" s="1189"/>
      <c r="D31" s="1189"/>
      <c r="E31" s="1189"/>
      <c r="F31" s="1189"/>
      <c r="G31" s="1189"/>
      <c r="H31" s="1189"/>
      <c r="I31" s="1189"/>
      <c r="J31" s="1189"/>
      <c r="K31" s="1189"/>
      <c r="L31" s="1189"/>
      <c r="M31" s="1189"/>
      <c r="N31" s="1189"/>
      <c r="O31" s="1189"/>
      <c r="P31" s="1189"/>
      <c r="Q31" s="1189"/>
      <c r="R31" s="1189"/>
      <c r="S31" s="1189"/>
      <c r="T31" s="1189"/>
      <c r="U31" s="1189"/>
      <c r="V31" s="1189"/>
      <c r="W31" s="1189"/>
    </row>
    <row r="32" spans="1:23" ht="14.25">
      <c r="A32" s="1189"/>
      <c r="B32" s="1189"/>
      <c r="C32" s="1189"/>
      <c r="D32" s="1189"/>
      <c r="E32" s="1189"/>
      <c r="F32" s="1189"/>
      <c r="G32" s="1189"/>
      <c r="H32" s="1189"/>
      <c r="I32" s="1189"/>
      <c r="J32" s="1189"/>
      <c r="K32" s="1189"/>
      <c r="L32" s="1189"/>
      <c r="M32" s="1189"/>
      <c r="N32" s="1189"/>
      <c r="O32" s="1189"/>
      <c r="P32" s="1189"/>
      <c r="Q32" s="1189"/>
      <c r="R32" s="1189"/>
      <c r="S32" s="1189"/>
      <c r="T32" s="1189"/>
      <c r="U32" s="1189"/>
      <c r="V32" s="1189"/>
      <c r="W32" s="1189"/>
    </row>
    <row r="33" spans="1:23" ht="14.25">
      <c r="A33" s="1189"/>
      <c r="B33" s="1189"/>
      <c r="C33" s="1189"/>
      <c r="D33" s="1189"/>
      <c r="E33" s="1189"/>
      <c r="F33" s="1189"/>
      <c r="G33" s="1189"/>
      <c r="H33" s="1189"/>
      <c r="I33" s="1189"/>
      <c r="J33" s="1189"/>
      <c r="K33" s="1189"/>
      <c r="L33" s="1189"/>
      <c r="M33" s="1189"/>
      <c r="N33" s="1189"/>
      <c r="O33" s="1189"/>
      <c r="P33" s="1189"/>
      <c r="Q33" s="1189"/>
      <c r="R33" s="1189"/>
      <c r="S33" s="1189"/>
      <c r="T33" s="1189"/>
      <c r="U33" s="1189"/>
      <c r="V33" s="1189"/>
      <c r="W33" s="1189"/>
    </row>
    <row r="34" spans="1:23" ht="14.25">
      <c r="A34" s="1189"/>
      <c r="B34" s="1189"/>
      <c r="C34" s="1189"/>
      <c r="D34" s="1189"/>
      <c r="E34" s="1189"/>
      <c r="F34" s="1189"/>
      <c r="G34" s="1189"/>
      <c r="H34" s="1189"/>
      <c r="I34" s="1189"/>
      <c r="J34" s="1189"/>
      <c r="K34" s="1189"/>
      <c r="L34" s="1189"/>
      <c r="M34" s="1189"/>
      <c r="N34" s="1189"/>
      <c r="O34" s="1189"/>
      <c r="P34" s="1189"/>
      <c r="Q34" s="1189"/>
      <c r="R34" s="1189"/>
      <c r="S34" s="1189"/>
      <c r="T34" s="1189"/>
      <c r="U34" s="1189"/>
      <c r="V34" s="1189"/>
      <c r="W34" s="1189"/>
    </row>
    <row r="35" spans="1:23" ht="14.25">
      <c r="A35" s="1189"/>
      <c r="B35" s="1189"/>
      <c r="C35" s="1189"/>
      <c r="D35" s="1189"/>
      <c r="E35" s="1189"/>
      <c r="F35" s="1189"/>
      <c r="G35" s="1189"/>
      <c r="H35" s="1189"/>
      <c r="I35" s="1189"/>
      <c r="J35" s="1189"/>
      <c r="K35" s="1189"/>
      <c r="L35" s="1189"/>
      <c r="M35" s="1189"/>
      <c r="N35" s="1189"/>
      <c r="O35" s="1189"/>
      <c r="P35" s="1189"/>
      <c r="Q35" s="1189"/>
      <c r="R35" s="1189"/>
      <c r="S35" s="1189"/>
      <c r="T35" s="1189"/>
      <c r="U35" s="1189"/>
      <c r="V35" s="1189"/>
      <c r="W35" s="1189"/>
    </row>
    <row r="36" spans="1:23" ht="14.25">
      <c r="A36" s="1189"/>
      <c r="B36" s="1189"/>
      <c r="C36" s="1189"/>
      <c r="D36" s="1189"/>
      <c r="E36" s="1189"/>
      <c r="F36" s="1189"/>
      <c r="G36" s="1189"/>
      <c r="H36" s="1189"/>
      <c r="I36" s="1189"/>
      <c r="J36" s="1189"/>
      <c r="K36" s="1189"/>
      <c r="L36" s="1189"/>
      <c r="M36" s="1189"/>
      <c r="N36" s="1189"/>
      <c r="O36" s="1189"/>
      <c r="P36" s="1189"/>
      <c r="Q36" s="1189"/>
      <c r="R36" s="1189"/>
      <c r="S36" s="1189"/>
      <c r="T36" s="1189"/>
      <c r="U36" s="1189"/>
      <c r="V36" s="1189"/>
      <c r="W36" s="1189"/>
    </row>
    <row r="37" spans="1:23" ht="14.25">
      <c r="A37" s="1189"/>
      <c r="B37" s="1189"/>
      <c r="C37" s="1189"/>
      <c r="D37" s="1189"/>
      <c r="E37" s="1189"/>
      <c r="F37" s="1189"/>
      <c r="G37" s="1189"/>
      <c r="H37" s="1189"/>
      <c r="I37" s="1189"/>
      <c r="J37" s="1189"/>
      <c r="K37" s="1189"/>
      <c r="L37" s="1189"/>
      <c r="M37" s="1189"/>
      <c r="N37" s="1189"/>
      <c r="O37" s="1189"/>
      <c r="P37" s="1189"/>
      <c r="Q37" s="1189"/>
      <c r="R37" s="1189"/>
      <c r="S37" s="1189"/>
      <c r="T37" s="1189"/>
      <c r="U37" s="1189"/>
      <c r="V37" s="1189"/>
      <c r="W37" s="1189"/>
    </row>
    <row r="38" spans="1:23" ht="14.25">
      <c r="A38" s="1189"/>
      <c r="B38" s="1189"/>
      <c r="C38" s="1189"/>
      <c r="D38" s="1189"/>
      <c r="E38" s="1189"/>
      <c r="F38" s="1189"/>
      <c r="G38" s="1189"/>
      <c r="H38" s="1189"/>
      <c r="I38" s="1189"/>
      <c r="J38" s="1189"/>
      <c r="K38" s="1189"/>
      <c r="L38" s="1189"/>
      <c r="M38" s="1189"/>
      <c r="N38" s="1189"/>
      <c r="O38" s="1189"/>
      <c r="P38" s="1189"/>
      <c r="Q38" s="1189"/>
      <c r="R38" s="1189"/>
      <c r="S38" s="1189"/>
      <c r="T38" s="1189"/>
      <c r="U38" s="1189"/>
      <c r="V38" s="1189"/>
      <c r="W38" s="1189"/>
    </row>
    <row r="39" spans="1:23" ht="14.25">
      <c r="A39" s="1189"/>
      <c r="B39" s="1189"/>
      <c r="C39" s="1189"/>
      <c r="D39" s="1189"/>
      <c r="E39" s="1189"/>
      <c r="F39" s="1189"/>
      <c r="G39" s="1189"/>
      <c r="H39" s="1189"/>
      <c r="I39" s="1189"/>
      <c r="J39" s="1189"/>
      <c r="K39" s="1189"/>
      <c r="L39" s="1189"/>
      <c r="M39" s="1189"/>
      <c r="N39" s="1189"/>
      <c r="O39" s="1189"/>
      <c r="P39" s="1189"/>
      <c r="Q39" s="1189"/>
      <c r="R39" s="1189"/>
      <c r="S39" s="1189"/>
      <c r="T39" s="1189"/>
      <c r="U39" s="1189"/>
      <c r="V39" s="1189"/>
      <c r="W39" s="1189"/>
    </row>
    <row r="40" spans="1:23" ht="14.25">
      <c r="A40" s="1189"/>
      <c r="B40" s="1189"/>
      <c r="C40" s="1189"/>
      <c r="D40" s="1189"/>
      <c r="E40" s="1189"/>
      <c r="F40" s="1189"/>
      <c r="G40" s="1189"/>
      <c r="H40" s="1189"/>
      <c r="I40" s="1189"/>
      <c r="J40" s="1189"/>
      <c r="K40" s="1189"/>
      <c r="L40" s="1189"/>
      <c r="M40" s="1189"/>
      <c r="N40" s="1189"/>
      <c r="O40" s="1189"/>
      <c r="P40" s="1189"/>
      <c r="Q40" s="1189"/>
      <c r="R40" s="1189"/>
      <c r="S40" s="1189"/>
      <c r="T40" s="1189"/>
      <c r="U40" s="1189"/>
      <c r="V40" s="1189"/>
      <c r="W40" s="1189"/>
    </row>
    <row r="41" spans="1:23" ht="14.25">
      <c r="A41" s="1189"/>
      <c r="B41" s="1189"/>
      <c r="C41" s="1189"/>
      <c r="D41" s="1189"/>
      <c r="E41" s="1189"/>
      <c r="F41" s="1189"/>
      <c r="G41" s="1189"/>
      <c r="H41" s="1189"/>
      <c r="I41" s="1189"/>
      <c r="J41" s="1189"/>
      <c r="K41" s="1189"/>
      <c r="L41" s="1189"/>
      <c r="M41" s="1189"/>
      <c r="N41" s="1189"/>
      <c r="O41" s="1189"/>
      <c r="P41" s="1189"/>
      <c r="Q41" s="1189"/>
      <c r="R41" s="1189"/>
      <c r="S41" s="1189"/>
      <c r="T41" s="1189"/>
      <c r="U41" s="1189"/>
      <c r="V41" s="1189"/>
      <c r="W41" s="1189"/>
    </row>
    <row r="42" spans="1:23" ht="14.25">
      <c r="A42" s="1189"/>
      <c r="B42" s="1189"/>
      <c r="C42" s="1189"/>
      <c r="D42" s="1189"/>
      <c r="E42" s="1189"/>
      <c r="F42" s="1189"/>
      <c r="G42" s="1189"/>
      <c r="H42" s="1189"/>
      <c r="I42" s="1189"/>
      <c r="J42" s="1189"/>
      <c r="K42" s="1189"/>
      <c r="L42" s="1189"/>
      <c r="M42" s="1189"/>
      <c r="N42" s="1189"/>
      <c r="O42" s="1189"/>
      <c r="P42" s="1189"/>
      <c r="Q42" s="1189"/>
      <c r="R42" s="1189"/>
      <c r="S42" s="1189"/>
      <c r="T42" s="1189"/>
      <c r="U42" s="1189"/>
      <c r="V42" s="1189"/>
      <c r="W42" s="1189"/>
    </row>
    <row r="43" spans="1:23" ht="14.25">
      <c r="A43" s="1189"/>
      <c r="B43" s="1189"/>
      <c r="C43" s="1189"/>
      <c r="D43" s="1189"/>
      <c r="E43" s="1189"/>
      <c r="F43" s="1189"/>
      <c r="G43" s="1189"/>
      <c r="H43" s="1189"/>
      <c r="I43" s="1189"/>
      <c r="J43" s="1189"/>
      <c r="K43" s="1189"/>
      <c r="L43" s="1189"/>
      <c r="M43" s="1189"/>
      <c r="N43" s="1189"/>
      <c r="O43" s="1189"/>
      <c r="P43" s="1189"/>
      <c r="Q43" s="1189"/>
      <c r="R43" s="1189"/>
      <c r="S43" s="1189"/>
      <c r="T43" s="1189"/>
      <c r="U43" s="1189"/>
      <c r="V43" s="1189"/>
      <c r="W43" s="1189"/>
    </row>
    <row r="44" spans="1:23" ht="14.25">
      <c r="A44" s="1189"/>
      <c r="B44" s="1189"/>
      <c r="C44" s="1189"/>
      <c r="D44" s="1189"/>
      <c r="E44" s="1189"/>
      <c r="F44" s="1189"/>
      <c r="G44" s="1189"/>
      <c r="H44" s="1189"/>
      <c r="I44" s="1189"/>
      <c r="J44" s="1189"/>
      <c r="K44" s="1189"/>
      <c r="L44" s="1189"/>
      <c r="M44" s="1189"/>
      <c r="N44" s="1189"/>
      <c r="O44" s="1189"/>
      <c r="P44" s="1189"/>
      <c r="Q44" s="1189"/>
      <c r="R44" s="1189"/>
      <c r="S44" s="1189"/>
      <c r="T44" s="1189"/>
      <c r="U44" s="1189"/>
      <c r="V44" s="1189"/>
      <c r="W44" s="1189"/>
    </row>
    <row r="45" spans="1:23" ht="14.25">
      <c r="A45" s="1189"/>
      <c r="B45" s="1189"/>
      <c r="C45" s="1189"/>
      <c r="D45" s="1189"/>
      <c r="E45" s="1189"/>
      <c r="F45" s="1189"/>
      <c r="G45" s="1189"/>
      <c r="H45" s="1189"/>
      <c r="I45" s="1189"/>
      <c r="J45" s="1189"/>
      <c r="K45" s="1189"/>
      <c r="L45" s="1189"/>
      <c r="M45" s="1189"/>
      <c r="N45" s="1189"/>
      <c r="O45" s="1189"/>
      <c r="P45" s="1189"/>
      <c r="Q45" s="1189"/>
      <c r="R45" s="1189"/>
      <c r="S45" s="1189"/>
      <c r="T45" s="1189"/>
      <c r="U45" s="1189"/>
      <c r="V45" s="1189"/>
      <c r="W45" s="1189"/>
    </row>
    <row r="46" spans="1:23" ht="14.25">
      <c r="A46" s="1189"/>
      <c r="B46" s="1189"/>
      <c r="C46" s="1189"/>
      <c r="D46" s="1189"/>
      <c r="E46" s="1189"/>
      <c r="F46" s="1189"/>
      <c r="G46" s="1189"/>
      <c r="H46" s="1189"/>
      <c r="I46" s="1189"/>
      <c r="J46" s="1189"/>
      <c r="K46" s="1189"/>
      <c r="L46" s="1189"/>
      <c r="M46" s="1189"/>
      <c r="N46" s="1189"/>
      <c r="O46" s="1189"/>
      <c r="P46" s="1189"/>
      <c r="Q46" s="1189"/>
      <c r="R46" s="1189"/>
      <c r="S46" s="1189"/>
      <c r="T46" s="1189"/>
      <c r="U46" s="1189"/>
      <c r="V46" s="1189"/>
      <c r="W46" s="1189"/>
    </row>
    <row r="47" spans="1:23" ht="14.25">
      <c r="A47" s="1189"/>
      <c r="B47" s="1189"/>
      <c r="C47" s="1189"/>
      <c r="D47" s="1189"/>
      <c r="E47" s="1189"/>
      <c r="F47" s="1189"/>
      <c r="G47" s="1189"/>
      <c r="H47" s="1189"/>
      <c r="I47" s="1189"/>
      <c r="J47" s="1189"/>
      <c r="K47" s="1189"/>
      <c r="L47" s="1189"/>
      <c r="M47" s="1189"/>
      <c r="N47" s="1189"/>
      <c r="O47" s="1189"/>
      <c r="P47" s="1189"/>
      <c r="Q47" s="1189"/>
      <c r="R47" s="1189"/>
      <c r="S47" s="1189"/>
      <c r="T47" s="1189"/>
      <c r="U47" s="1189"/>
      <c r="V47" s="1189"/>
      <c r="W47" s="1189"/>
    </row>
    <row r="48" spans="1:23" ht="14.25">
      <c r="A48" s="1189"/>
      <c r="B48" s="1189"/>
      <c r="C48" s="1189"/>
      <c r="D48" s="1189"/>
      <c r="E48" s="1189"/>
      <c r="F48" s="1189"/>
      <c r="G48" s="1189"/>
      <c r="H48" s="1189"/>
      <c r="I48" s="1189"/>
      <c r="J48" s="1189"/>
      <c r="K48" s="1189"/>
      <c r="L48" s="1189"/>
      <c r="M48" s="1189"/>
      <c r="N48" s="1189"/>
      <c r="O48" s="1189"/>
      <c r="P48" s="1189"/>
      <c r="Q48" s="1189"/>
      <c r="R48" s="1189"/>
      <c r="S48" s="1189"/>
      <c r="T48" s="1189"/>
      <c r="U48" s="1189"/>
      <c r="V48" s="1189"/>
      <c r="W48" s="1189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16"/>
  <sheetViews>
    <sheetView tabSelected="1" view="pageLayout" zoomScaleNormal="75" workbookViewId="0">
      <selection activeCell="G1" sqref="G1"/>
    </sheetView>
  </sheetViews>
  <sheetFormatPr defaultColWidth="8" defaultRowHeight="12.75"/>
  <cols>
    <col min="1" max="1" width="9.5703125" style="18" customWidth="1"/>
    <col min="2" max="2" width="8.7109375" style="18" customWidth="1"/>
    <col min="3" max="3" width="1.85546875" style="18" customWidth="1"/>
    <col min="4" max="4" width="42.5703125" style="18" customWidth="1"/>
    <col min="5" max="16384" width="8" style="18"/>
  </cols>
  <sheetData>
    <row r="1" spans="1:4">
      <c r="A1" s="2781" t="s">
        <v>2957</v>
      </c>
    </row>
    <row r="3" spans="1:4">
      <c r="A3" s="18" t="s">
        <v>587</v>
      </c>
      <c r="B3" s="18">
        <v>100</v>
      </c>
      <c r="D3" s="18" t="s">
        <v>588</v>
      </c>
    </row>
    <row r="4" spans="1:4">
      <c r="A4" s="18" t="s">
        <v>589</v>
      </c>
      <c r="B4" s="18">
        <v>100</v>
      </c>
      <c r="D4" s="18" t="s">
        <v>590</v>
      </c>
    </row>
    <row r="5" spans="1:4">
      <c r="A5" s="18" t="s">
        <v>591</v>
      </c>
      <c r="B5" s="18">
        <v>100</v>
      </c>
      <c r="D5" s="18" t="s">
        <v>592</v>
      </c>
    </row>
    <row r="6" spans="1:4">
      <c r="A6" s="18" t="s">
        <v>593</v>
      </c>
      <c r="B6" s="18">
        <v>100</v>
      </c>
      <c r="D6" s="18" t="s">
        <v>594</v>
      </c>
    </row>
    <row r="7" spans="1:4">
      <c r="A7" s="18" t="s">
        <v>595</v>
      </c>
      <c r="B7" s="18">
        <v>100</v>
      </c>
      <c r="D7" s="18" t="s">
        <v>596</v>
      </c>
    </row>
    <row r="8" spans="1:4">
      <c r="A8" s="18" t="s">
        <v>610</v>
      </c>
      <c r="B8" s="18">
        <v>100</v>
      </c>
      <c r="D8" s="18" t="s">
        <v>611</v>
      </c>
    </row>
    <row r="9" spans="1:4">
      <c r="A9" s="18" t="s">
        <v>597</v>
      </c>
      <c r="B9" s="18">
        <v>0</v>
      </c>
      <c r="D9" s="18" t="s">
        <v>594</v>
      </c>
    </row>
    <row r="10" spans="1:4">
      <c r="A10" s="18" t="s">
        <v>598</v>
      </c>
      <c r="B10" s="18">
        <v>100</v>
      </c>
      <c r="D10" s="18" t="s">
        <v>599</v>
      </c>
    </row>
    <row r="11" spans="1:4">
      <c r="A11" s="18" t="s">
        <v>600</v>
      </c>
      <c r="B11" s="18">
        <v>100</v>
      </c>
      <c r="D11" s="18" t="s">
        <v>1658</v>
      </c>
    </row>
    <row r="12" spans="1:4">
      <c r="A12" s="18" t="s">
        <v>1659</v>
      </c>
      <c r="B12" s="18">
        <v>100</v>
      </c>
      <c r="D12" s="18" t="s">
        <v>1660</v>
      </c>
    </row>
    <row r="13" spans="1:4">
      <c r="A13" s="18" t="s">
        <v>1661</v>
      </c>
      <c r="B13" s="18">
        <v>100</v>
      </c>
      <c r="D13" s="18" t="s">
        <v>612</v>
      </c>
    </row>
    <row r="14" spans="1:4">
      <c r="A14" s="18" t="s">
        <v>613</v>
      </c>
      <c r="B14" s="18">
        <v>100</v>
      </c>
      <c r="D14" s="18" t="s">
        <v>614</v>
      </c>
    </row>
    <row r="15" spans="1:4">
      <c r="A15" s="18" t="s">
        <v>615</v>
      </c>
      <c r="B15" s="18">
        <v>100</v>
      </c>
      <c r="D15" s="18" t="s">
        <v>616</v>
      </c>
    </row>
    <row r="16" spans="1:4">
      <c r="A16" s="18" t="s">
        <v>617</v>
      </c>
      <c r="B16" s="18">
        <v>100</v>
      </c>
      <c r="D16" s="18" t="s">
        <v>618</v>
      </c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theme="3" tint="-0.249977111117893"/>
  </sheetPr>
  <dimension ref="A1:O39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6.5703125" style="18" customWidth="1"/>
    <col min="2" max="2" width="0.85546875" style="18" customWidth="1"/>
    <col min="3" max="3" width="49.28515625" style="18" customWidth="1"/>
    <col min="4" max="4" width="1.140625" style="18" customWidth="1"/>
    <col min="5" max="5" width="14.140625" style="18" customWidth="1"/>
    <col min="6" max="6" width="1.140625" style="18" customWidth="1"/>
    <col min="7" max="7" width="17.85546875" style="18" customWidth="1"/>
    <col min="8" max="8" width="1.28515625" style="18" customWidth="1"/>
    <col min="9" max="9" width="12.85546875" style="18" customWidth="1"/>
    <col min="10" max="10" width="1.42578125" style="18" customWidth="1"/>
    <col min="11" max="11" width="10.42578125" style="18" customWidth="1"/>
    <col min="12" max="12" width="1.5703125" style="18" customWidth="1"/>
    <col min="13" max="13" width="19" style="18" customWidth="1"/>
    <col min="14" max="14" width="4.140625" style="18" customWidth="1"/>
    <col min="15" max="15" width="8" style="18" customWidth="1"/>
    <col min="16" max="16" width="49.7109375" style="18" customWidth="1"/>
    <col min="17" max="17" width="8" style="18" customWidth="1"/>
    <col min="18" max="18" width="16.7109375" style="18" customWidth="1"/>
    <col min="19" max="19" width="2.85546875" style="18" customWidth="1"/>
    <col min="20" max="20" width="15.5703125" style="18" customWidth="1"/>
    <col min="21" max="16384" width="8" style="18"/>
  </cols>
  <sheetData>
    <row r="1" spans="1:15">
      <c r="A1" s="76" t="str">
        <f>COMPANY</f>
        <v>DUKE ENERGY KENTUCKY, INC.</v>
      </c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87"/>
      <c r="O1" s="652"/>
    </row>
    <row r="2" spans="1:15">
      <c r="A2" s="76" t="str">
        <f>CASE</f>
        <v>CASE NO. 2017-00321</v>
      </c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87"/>
      <c r="O2" s="652"/>
    </row>
    <row r="3" spans="1:15">
      <c r="A3" s="76" t="s">
        <v>799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87"/>
      <c r="O3" s="652"/>
    </row>
    <row r="4" spans="1:15">
      <c r="A4" s="76" t="str">
        <f>"AS OF " &amp;RIGHT(TESTYR,(LEN(TESTYR)-16))</f>
        <v>AS OF NOVEMBER 30, 2017</v>
      </c>
      <c r="B4" s="650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87"/>
      <c r="O4" s="652"/>
    </row>
    <row r="5" spans="1:15">
      <c r="A5" s="651"/>
      <c r="B5" s="651"/>
      <c r="C5" s="651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2"/>
    </row>
    <row r="6" spans="1:15">
      <c r="A6" s="541" t="str">
        <f>Data</f>
        <v>DATA: "X" BASE PERIOD   FORECASTED PERIOD</v>
      </c>
      <c r="B6" s="652"/>
      <c r="C6" s="652"/>
      <c r="D6" s="652"/>
      <c r="E6" s="652"/>
      <c r="F6" s="652"/>
      <c r="G6" s="652"/>
      <c r="H6" s="652"/>
      <c r="I6" s="652"/>
      <c r="J6" s="652"/>
      <c r="K6" s="99" t="s">
        <v>800</v>
      </c>
      <c r="L6" s="652"/>
      <c r="M6" s="652"/>
      <c r="N6" s="652"/>
      <c r="O6" s="652"/>
    </row>
    <row r="7" spans="1:15">
      <c r="A7" s="99" t="s">
        <v>1340</v>
      </c>
      <c r="B7" s="652"/>
      <c r="C7" s="652"/>
      <c r="D7" s="652"/>
      <c r="E7" s="652"/>
      <c r="F7" s="652"/>
      <c r="G7" s="652"/>
      <c r="H7" s="652"/>
      <c r="I7" s="652"/>
      <c r="J7" s="652"/>
      <c r="K7" s="99" t="s">
        <v>1458</v>
      </c>
      <c r="L7" s="99"/>
      <c r="M7" s="652"/>
      <c r="N7" s="652"/>
      <c r="O7" s="652"/>
    </row>
    <row r="8" spans="1:15">
      <c r="A8" s="542" t="str">
        <f>Type</f>
        <v xml:space="preserve">TYPE OF FILING:  "X" ORIGINAL   UPDATED    REVISED  </v>
      </c>
      <c r="B8" s="652"/>
      <c r="C8" s="652"/>
      <c r="D8" s="652"/>
      <c r="E8" s="652"/>
      <c r="F8" s="652"/>
      <c r="G8" s="652"/>
      <c r="H8" s="652"/>
      <c r="I8" s="652"/>
      <c r="J8" s="652"/>
      <c r="K8" s="99" t="s">
        <v>622</v>
      </c>
      <c r="L8" s="99"/>
      <c r="M8" s="652"/>
      <c r="N8" s="652"/>
      <c r="O8" s="652"/>
    </row>
    <row r="9" spans="1:15">
      <c r="A9" s="99" t="s">
        <v>523</v>
      </c>
      <c r="B9" s="652"/>
      <c r="C9" s="652"/>
      <c r="D9" s="652"/>
      <c r="E9" s="652"/>
      <c r="F9" s="652"/>
      <c r="G9" s="652"/>
      <c r="H9" s="652"/>
      <c r="I9" s="652"/>
      <c r="J9" s="652"/>
      <c r="K9" s="99" t="str">
        <f>_WIT4</f>
        <v>J. L. SULLIVAN</v>
      </c>
      <c r="L9" s="99"/>
      <c r="M9" s="652"/>
      <c r="N9" s="652"/>
      <c r="O9" s="652"/>
    </row>
    <row r="10" spans="1:15">
      <c r="A10" s="652"/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99"/>
      <c r="M10" s="652"/>
      <c r="N10" s="652"/>
      <c r="O10" s="652"/>
    </row>
    <row r="11" spans="1:15">
      <c r="A11" s="653"/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2"/>
      <c r="O11" s="652"/>
    </row>
    <row r="12" spans="1:15">
      <c r="A12" s="654" t="s">
        <v>1961</v>
      </c>
      <c r="B12" s="652"/>
      <c r="C12" s="652"/>
      <c r="D12" s="652"/>
      <c r="E12" s="652"/>
      <c r="F12" s="652"/>
      <c r="G12" s="654" t="s">
        <v>364</v>
      </c>
      <c r="H12" s="654"/>
      <c r="I12" s="654" t="s">
        <v>524</v>
      </c>
      <c r="J12" s="652"/>
      <c r="K12" s="651" t="s">
        <v>363</v>
      </c>
      <c r="L12" s="652"/>
      <c r="M12" s="654" t="s">
        <v>525</v>
      </c>
      <c r="N12" s="652"/>
      <c r="O12" s="652"/>
    </row>
    <row r="13" spans="1:15">
      <c r="A13" s="654" t="s">
        <v>1854</v>
      </c>
      <c r="B13" s="652"/>
      <c r="C13" s="654" t="s">
        <v>1597</v>
      </c>
      <c r="D13" s="652"/>
      <c r="E13" s="654" t="s">
        <v>567</v>
      </c>
      <c r="F13" s="654"/>
      <c r="G13" s="655" t="s">
        <v>1150</v>
      </c>
      <c r="H13" s="655"/>
      <c r="I13" s="655" t="s">
        <v>1035</v>
      </c>
      <c r="J13" s="654"/>
      <c r="K13" s="654" t="s">
        <v>1598</v>
      </c>
      <c r="L13" s="654"/>
      <c r="M13" s="654" t="s">
        <v>1599</v>
      </c>
      <c r="N13" s="652"/>
      <c r="O13" s="652"/>
    </row>
    <row r="14" spans="1:15">
      <c r="A14" s="653"/>
      <c r="B14" s="653"/>
      <c r="C14" s="653"/>
      <c r="D14" s="653"/>
      <c r="E14" s="653"/>
      <c r="F14" s="653"/>
      <c r="G14" s="1305"/>
      <c r="H14" s="1305"/>
      <c r="I14" s="1305"/>
      <c r="J14" s="656"/>
      <c r="K14" s="653"/>
      <c r="L14" s="653"/>
      <c r="M14" s="653"/>
      <c r="N14" s="652"/>
      <c r="O14" s="652"/>
    </row>
    <row r="15" spans="1:15">
      <c r="A15" s="652"/>
      <c r="B15" s="652"/>
      <c r="C15" s="652"/>
      <c r="D15" s="652"/>
      <c r="E15" s="652"/>
      <c r="F15" s="652"/>
      <c r="G15" s="652"/>
      <c r="H15" s="652"/>
      <c r="I15" s="652"/>
      <c r="J15" s="652"/>
      <c r="K15" s="652"/>
      <c r="L15" s="652"/>
      <c r="M15" s="652"/>
      <c r="N15" s="652"/>
      <c r="O15" s="652"/>
    </row>
    <row r="16" spans="1:15">
      <c r="A16" s="654">
        <v>1</v>
      </c>
      <c r="B16" s="652"/>
      <c r="C16" s="657" t="s">
        <v>1600</v>
      </c>
      <c r="D16" s="652"/>
      <c r="E16" s="654"/>
      <c r="F16" s="654"/>
      <c r="G16" s="658">
        <v>480851146</v>
      </c>
      <c r="H16" s="658"/>
      <c r="I16" s="659">
        <f>1-I17-I18</f>
        <v>0.50034999999999996</v>
      </c>
      <c r="J16" s="660"/>
      <c r="K16" s="662">
        <v>0.10299999999999999</v>
      </c>
      <c r="L16" s="662"/>
      <c r="M16" s="659">
        <f>ROUND((I16*K16),5)</f>
        <v>5.1540000000000002E-2</v>
      </c>
      <c r="N16" s="652"/>
      <c r="O16" s="652"/>
    </row>
    <row r="17" spans="1:15">
      <c r="A17" s="654">
        <f t="shared" ref="A17:A33" si="0">1+A16</f>
        <v>2</v>
      </c>
      <c r="B17" s="652"/>
      <c r="C17" s="657" t="s">
        <v>1601</v>
      </c>
      <c r="D17" s="652"/>
      <c r="E17" s="654" t="s">
        <v>1602</v>
      </c>
      <c r="F17" s="654"/>
      <c r="G17" s="663">
        <f>'SCH_J3 - Base'!L52</f>
        <v>449293331</v>
      </c>
      <c r="H17" s="658"/>
      <c r="I17" s="659">
        <f>ROUND(G17/$G$20,5)</f>
        <v>0.46750000000000003</v>
      </c>
      <c r="J17" s="660"/>
      <c r="K17" s="661">
        <f>'SCH_J3 - Base'!M55</f>
        <v>4.2529999999999998E-2</v>
      </c>
      <c r="L17" s="662"/>
      <c r="M17" s="659">
        <f>ROUND((I17*K17),5)</f>
        <v>1.9879999999999998E-2</v>
      </c>
      <c r="N17" s="652"/>
      <c r="O17" s="652"/>
    </row>
    <row r="18" spans="1:15">
      <c r="A18" s="654">
        <f t="shared" si="0"/>
        <v>3</v>
      </c>
      <c r="B18" s="652"/>
      <c r="C18" s="664" t="s">
        <v>1603</v>
      </c>
      <c r="D18" s="652"/>
      <c r="E18" s="665" t="s">
        <v>1604</v>
      </c>
      <c r="F18" s="666"/>
      <c r="G18" s="676">
        <f>'SCH_J2 - Base'!D29</f>
        <v>30902424</v>
      </c>
      <c r="H18" s="652"/>
      <c r="I18" s="667">
        <f>ROUND(G18/$G$20,5)</f>
        <v>3.2149999999999998E-2</v>
      </c>
      <c r="J18" s="668"/>
      <c r="K18" s="661">
        <f>'SCH_J2 - Base'!G31</f>
        <v>2.0619999999999999E-2</v>
      </c>
      <c r="L18" s="662"/>
      <c r="M18" s="667">
        <f>ROUND((I18*K18),5)</f>
        <v>6.6E-4</v>
      </c>
      <c r="N18" s="652"/>
      <c r="O18" s="652"/>
    </row>
    <row r="19" spans="1:15">
      <c r="A19" s="654">
        <f t="shared" si="0"/>
        <v>4</v>
      </c>
      <c r="B19" s="652"/>
      <c r="C19" s="652"/>
      <c r="D19" s="652"/>
      <c r="E19" s="652"/>
      <c r="F19" s="652"/>
      <c r="G19" s="1488"/>
      <c r="H19" s="652"/>
      <c r="I19" s="669"/>
      <c r="J19" s="652"/>
      <c r="K19" s="669"/>
      <c r="L19" s="669"/>
      <c r="M19" s="669"/>
      <c r="N19" s="652"/>
      <c r="O19" s="652"/>
    </row>
    <row r="20" spans="1:15">
      <c r="A20" s="654">
        <f t="shared" si="0"/>
        <v>5</v>
      </c>
      <c r="B20" s="652"/>
      <c r="C20" s="657" t="s">
        <v>1605</v>
      </c>
      <c r="D20" s="652"/>
      <c r="E20" s="652"/>
      <c r="F20" s="652"/>
      <c r="G20" s="670">
        <f>SUM(G16:G18)</f>
        <v>961046901</v>
      </c>
      <c r="H20" s="666"/>
      <c r="I20" s="671">
        <f>SUM(I16:I18)</f>
        <v>1</v>
      </c>
      <c r="J20" s="660"/>
      <c r="K20" s="659"/>
      <c r="L20" s="659"/>
      <c r="M20" s="671">
        <f>SUM(M16:M19)</f>
        <v>7.2079999999999991E-2</v>
      </c>
      <c r="N20" s="652"/>
      <c r="O20" s="652"/>
    </row>
    <row r="21" spans="1:15">
      <c r="A21" s="654">
        <f t="shared" si="0"/>
        <v>6</v>
      </c>
      <c r="B21" s="652"/>
      <c r="C21" s="664"/>
      <c r="D21" s="652"/>
      <c r="E21" s="666"/>
      <c r="F21" s="666"/>
      <c r="G21" s="672"/>
      <c r="H21" s="672"/>
      <c r="I21" s="673"/>
      <c r="J21" s="674"/>
      <c r="K21" s="675"/>
      <c r="L21" s="675"/>
      <c r="M21" s="674"/>
      <c r="N21" s="652"/>
      <c r="O21" s="652"/>
    </row>
    <row r="22" spans="1:15">
      <c r="A22" s="654">
        <f t="shared" si="0"/>
        <v>7</v>
      </c>
      <c r="B22" s="652"/>
      <c r="C22" s="664"/>
      <c r="D22" s="652"/>
      <c r="E22" s="666"/>
      <c r="F22" s="666"/>
      <c r="G22" s="672"/>
      <c r="H22" s="672"/>
      <c r="I22" s="674"/>
      <c r="J22" s="674"/>
      <c r="K22" s="675"/>
      <c r="L22" s="675"/>
      <c r="M22" s="674"/>
      <c r="N22" s="652"/>
      <c r="O22" s="652"/>
    </row>
    <row r="23" spans="1:15">
      <c r="A23" s="654">
        <f t="shared" si="0"/>
        <v>8</v>
      </c>
      <c r="B23" s="652"/>
      <c r="C23" s="664" t="s">
        <v>1606</v>
      </c>
      <c r="D23" s="652"/>
      <c r="E23" s="666"/>
      <c r="F23" s="666"/>
      <c r="G23" s="672"/>
      <c r="H23" s="672"/>
      <c r="I23" s="677"/>
      <c r="J23" s="677"/>
      <c r="K23" s="675"/>
      <c r="L23" s="675"/>
      <c r="M23" s="675"/>
      <c r="N23" s="652"/>
      <c r="O23" s="652"/>
    </row>
    <row r="24" spans="1:15">
      <c r="A24" s="654">
        <f t="shared" si="0"/>
        <v>9</v>
      </c>
      <c r="B24" s="652"/>
      <c r="C24" s="664" t="s">
        <v>1607</v>
      </c>
      <c r="D24" s="652"/>
      <c r="E24" s="665" t="s">
        <v>3201</v>
      </c>
      <c r="F24" s="666"/>
      <c r="G24" s="1619">
        <f>-'WPB-6''s'!L21-'WPB-6''s'!L22-'WPB-6''s'!L40-'WPB-6''s'!L41-'WPB-6''s'!L57-'WPB-6''s'!L58+'WPB-6''s'!L42</f>
        <v>591868</v>
      </c>
      <c r="H24" s="672"/>
      <c r="I24" s="677"/>
      <c r="J24" s="677"/>
      <c r="K24" s="675"/>
      <c r="L24" s="675"/>
      <c r="M24" s="675"/>
      <c r="N24" s="652"/>
      <c r="O24" s="652"/>
    </row>
    <row r="25" spans="1:15">
      <c r="A25" s="654">
        <f t="shared" si="0"/>
        <v>10</v>
      </c>
      <c r="B25" s="652"/>
      <c r="C25" s="657"/>
      <c r="D25" s="652"/>
      <c r="E25" s="652"/>
      <c r="F25" s="652"/>
      <c r="G25" s="666"/>
      <c r="H25" s="666"/>
      <c r="I25" s="677"/>
      <c r="J25" s="677"/>
      <c r="K25" s="675"/>
      <c r="L25" s="675"/>
      <c r="M25" s="675"/>
      <c r="N25" s="652"/>
      <c r="O25" s="652"/>
    </row>
    <row r="26" spans="1:15">
      <c r="A26" s="654">
        <f t="shared" si="0"/>
        <v>11</v>
      </c>
      <c r="B26" s="652"/>
      <c r="C26" s="664"/>
      <c r="D26" s="652"/>
      <c r="E26" s="652"/>
      <c r="F26" s="652"/>
      <c r="G26" s="672"/>
      <c r="H26" s="672"/>
      <c r="I26" s="677"/>
      <c r="J26" s="677"/>
      <c r="K26" s="675"/>
      <c r="L26" s="675"/>
      <c r="M26" s="675"/>
      <c r="N26" s="652"/>
      <c r="O26" s="652"/>
    </row>
    <row r="27" spans="1:15">
      <c r="A27" s="654">
        <f t="shared" si="0"/>
        <v>12</v>
      </c>
      <c r="B27" s="652"/>
      <c r="C27" s="678" t="s">
        <v>1608</v>
      </c>
      <c r="D27" s="652"/>
      <c r="E27" s="652"/>
      <c r="F27" s="652"/>
      <c r="G27" s="666"/>
      <c r="H27" s="666"/>
      <c r="I27" s="677"/>
      <c r="J27" s="677"/>
      <c r="K27" s="675"/>
      <c r="L27" s="675"/>
      <c r="M27" s="675"/>
      <c r="N27" s="652"/>
      <c r="O27" s="652"/>
    </row>
    <row r="28" spans="1:15">
      <c r="A28" s="654">
        <f t="shared" si="0"/>
        <v>13</v>
      </c>
      <c r="B28" s="652"/>
      <c r="C28" s="657"/>
      <c r="D28" s="652"/>
      <c r="E28" s="654"/>
      <c r="F28" s="654"/>
      <c r="G28" s="679"/>
      <c r="H28" s="658"/>
      <c r="I28" s="677"/>
      <c r="J28" s="677"/>
      <c r="K28" s="675"/>
      <c r="L28" s="675"/>
      <c r="M28" s="675"/>
      <c r="N28" s="652"/>
      <c r="O28" s="652"/>
    </row>
    <row r="29" spans="1:15">
      <c r="A29" s="654">
        <f t="shared" si="0"/>
        <v>14</v>
      </c>
      <c r="B29" s="652"/>
      <c r="C29" s="657" t="s">
        <v>1600</v>
      </c>
      <c r="D29" s="652"/>
      <c r="E29" s="652"/>
      <c r="F29" s="652"/>
      <c r="G29" s="672">
        <f>ROUND(G16+(I16*G24),0)</f>
        <v>481147287</v>
      </c>
      <c r="H29" s="672"/>
      <c r="I29" s="659">
        <f>I16</f>
        <v>0.50034999999999996</v>
      </c>
      <c r="J29" s="677"/>
      <c r="K29" s="661">
        <f>K16</f>
        <v>0.10299999999999999</v>
      </c>
      <c r="L29" s="659"/>
      <c r="M29" s="659">
        <f>ROUND((I29*K29),5)</f>
        <v>5.1540000000000002E-2</v>
      </c>
      <c r="N29" s="652"/>
      <c r="O29" s="652"/>
    </row>
    <row r="30" spans="1:15">
      <c r="A30" s="654">
        <f t="shared" si="0"/>
        <v>15</v>
      </c>
      <c r="B30" s="652"/>
      <c r="C30" s="657" t="s">
        <v>1601</v>
      </c>
      <c r="D30" s="652"/>
      <c r="E30" s="652"/>
      <c r="F30" s="652"/>
      <c r="G30" s="672">
        <f>ROUND(G17+(I17*G24),0)</f>
        <v>449570029</v>
      </c>
      <c r="H30" s="666"/>
      <c r="I30" s="659">
        <f>I17</f>
        <v>0.46750000000000003</v>
      </c>
      <c r="J30" s="677"/>
      <c r="K30" s="661">
        <f>K17</f>
        <v>4.2529999999999998E-2</v>
      </c>
      <c r="L30" s="659"/>
      <c r="M30" s="659">
        <f>ROUND((I30*K30),5)</f>
        <v>1.9879999999999998E-2</v>
      </c>
      <c r="N30" s="652"/>
      <c r="O30" s="652"/>
    </row>
    <row r="31" spans="1:15">
      <c r="A31" s="654">
        <f t="shared" si="0"/>
        <v>16</v>
      </c>
      <c r="B31" s="652"/>
      <c r="C31" s="664" t="s">
        <v>1603</v>
      </c>
      <c r="D31" s="652"/>
      <c r="E31" s="654"/>
      <c r="F31" s="654"/>
      <c r="G31" s="680">
        <f>ROUND(G18+(I18*G24),0)</f>
        <v>30921453</v>
      </c>
      <c r="H31" s="658"/>
      <c r="I31" s="667">
        <f>I18</f>
        <v>3.2149999999999998E-2</v>
      </c>
      <c r="J31" s="677"/>
      <c r="K31" s="661">
        <f>K18</f>
        <v>2.0619999999999999E-2</v>
      </c>
      <c r="L31" s="669"/>
      <c r="M31" s="667">
        <f>ROUND((I31*K31),5)</f>
        <v>6.6E-4</v>
      </c>
      <c r="N31" s="652"/>
      <c r="O31" s="652"/>
    </row>
    <row r="32" spans="1:15">
      <c r="A32" s="654">
        <f t="shared" si="0"/>
        <v>17</v>
      </c>
      <c r="B32" s="652"/>
      <c r="C32" s="657"/>
      <c r="D32" s="652"/>
      <c r="E32" s="654"/>
      <c r="F32" s="654"/>
      <c r="G32" s="658"/>
      <c r="H32" s="658"/>
      <c r="I32" s="659"/>
      <c r="J32" s="677"/>
      <c r="K32" s="669"/>
      <c r="L32" s="669"/>
      <c r="M32" s="669"/>
      <c r="N32" s="652"/>
      <c r="O32" s="652"/>
    </row>
    <row r="33" spans="1:15">
      <c r="A33" s="654">
        <f t="shared" si="0"/>
        <v>18</v>
      </c>
      <c r="B33" s="652"/>
      <c r="C33" s="652" t="s">
        <v>1609</v>
      </c>
      <c r="D33" s="652"/>
      <c r="E33" s="652"/>
      <c r="F33" s="652"/>
      <c r="G33" s="681">
        <f>SUM(G29:G32)</f>
        <v>961638769</v>
      </c>
      <c r="H33" s="672"/>
      <c r="I33" s="682">
        <f>SUM(I29:I32)</f>
        <v>1</v>
      </c>
      <c r="J33" s="652"/>
      <c r="K33" s="669"/>
      <c r="L33" s="669"/>
      <c r="M33" s="671">
        <f>SUM(M29:M32)</f>
        <v>7.2079999999999991E-2</v>
      </c>
      <c r="N33" s="652"/>
      <c r="O33" s="652"/>
    </row>
    <row r="34" spans="1:15">
      <c r="A34" s="651"/>
      <c r="B34" s="652"/>
      <c r="C34" s="652"/>
      <c r="D34" s="652"/>
      <c r="E34" s="652"/>
      <c r="F34" s="652"/>
      <c r="G34" s="652"/>
      <c r="H34" s="652"/>
      <c r="I34" s="669"/>
      <c r="J34" s="652"/>
      <c r="K34" s="652"/>
      <c r="L34" s="652"/>
      <c r="M34" s="652"/>
      <c r="N34" s="652"/>
      <c r="O34" s="652"/>
    </row>
    <row r="35" spans="1:15">
      <c r="A35" s="651"/>
      <c r="B35" s="652"/>
      <c r="C35" s="652"/>
      <c r="D35" s="652"/>
      <c r="E35" s="652"/>
      <c r="F35" s="652"/>
      <c r="G35" s="652"/>
      <c r="H35" s="652"/>
      <c r="I35" s="652"/>
      <c r="J35" s="652"/>
      <c r="K35" s="652"/>
      <c r="L35" s="652"/>
      <c r="M35" s="652"/>
      <c r="N35" s="652"/>
      <c r="O35" s="652"/>
    </row>
    <row r="36" spans="1:15">
      <c r="A36" s="652"/>
      <c r="B36" s="652"/>
      <c r="C36" s="652"/>
      <c r="D36" s="652"/>
      <c r="E36" s="652"/>
      <c r="F36" s="652"/>
      <c r="G36" s="652"/>
      <c r="H36" s="652"/>
      <c r="I36" s="652"/>
      <c r="J36" s="652"/>
      <c r="K36" s="652"/>
      <c r="L36" s="652"/>
      <c r="M36" s="675"/>
      <c r="N36" s="652"/>
      <c r="O36" s="652"/>
    </row>
    <row r="37" spans="1:15">
      <c r="A37" s="652"/>
      <c r="B37" s="652"/>
      <c r="C37" s="652"/>
      <c r="D37" s="652"/>
      <c r="E37" s="652"/>
      <c r="F37" s="652"/>
      <c r="G37" s="652"/>
      <c r="H37" s="652"/>
      <c r="I37" s="652"/>
      <c r="J37" s="652"/>
      <c r="K37" s="652"/>
      <c r="L37" s="652"/>
      <c r="M37" s="652"/>
      <c r="N37" s="652"/>
      <c r="O37" s="652"/>
    </row>
    <row r="38" spans="1:15">
      <c r="A38" s="652"/>
      <c r="B38" s="652"/>
      <c r="C38" s="652"/>
      <c r="D38" s="652"/>
      <c r="E38" s="652"/>
      <c r="F38" s="652"/>
      <c r="G38" s="652"/>
      <c r="H38" s="652"/>
      <c r="I38" s="677"/>
      <c r="J38" s="677"/>
      <c r="K38" s="652"/>
      <c r="L38" s="652"/>
      <c r="M38" s="652"/>
      <c r="N38" s="652"/>
      <c r="O38" s="652"/>
    </row>
    <row r="39" spans="1:15">
      <c r="A39" s="99"/>
      <c r="B39" s="652"/>
      <c r="C39" s="652"/>
      <c r="D39" s="652"/>
      <c r="E39" s="652"/>
      <c r="F39" s="652"/>
      <c r="G39" s="652"/>
      <c r="H39" s="652"/>
      <c r="I39" s="652"/>
      <c r="J39" s="652"/>
      <c r="K39" s="675"/>
      <c r="L39" s="675"/>
      <c r="M39" s="675"/>
      <c r="N39" s="652"/>
      <c r="O39" s="652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theme="3" tint="-0.249977111117893"/>
  </sheetPr>
  <dimension ref="A1:R49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7" style="18" customWidth="1"/>
    <col min="2" max="2" width="1.85546875" style="18" customWidth="1"/>
    <col min="3" max="3" width="49.140625" style="18" customWidth="1"/>
    <col min="4" max="4" width="1.5703125" style="18" customWidth="1"/>
    <col min="5" max="5" width="17" style="18" customWidth="1"/>
    <col min="6" max="6" width="1.140625" style="18" customWidth="1"/>
    <col min="7" max="7" width="16.85546875" style="18" customWidth="1"/>
    <col min="8" max="8" width="1.140625" style="18" customWidth="1"/>
    <col min="9" max="9" width="11.85546875" style="18" customWidth="1"/>
    <col min="10" max="10" width="1.5703125" style="18" customWidth="1"/>
    <col min="11" max="11" width="11.85546875" style="18" customWidth="1"/>
    <col min="12" max="12" width="0.7109375" style="18" customWidth="1"/>
    <col min="13" max="13" width="16.28515625" style="18" customWidth="1"/>
    <col min="14" max="14" width="8" style="18" customWidth="1"/>
    <col min="15" max="15" width="11.42578125" style="18" customWidth="1"/>
    <col min="16" max="16" width="8" style="18"/>
    <col min="17" max="17" width="8.5703125" style="18" bestFit="1" customWidth="1"/>
    <col min="18" max="16384" width="8" style="18"/>
  </cols>
  <sheetData>
    <row r="1" spans="1:18">
      <c r="A1" s="76" t="str">
        <f>COMPANY</f>
        <v>DUKE ENERGY KENTUCKY, INC.</v>
      </c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2"/>
      <c r="O1" s="652"/>
    </row>
    <row r="2" spans="1:18">
      <c r="A2" s="76" t="str">
        <f>CASE</f>
        <v>CASE NO. 2017-00321</v>
      </c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2"/>
      <c r="O2" s="652"/>
    </row>
    <row r="3" spans="1:18">
      <c r="A3" s="76" t="s">
        <v>799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2"/>
      <c r="O3" s="652"/>
    </row>
    <row r="4" spans="1:18">
      <c r="A4" s="76" t="str">
        <f>"THIRTEEN MONTH AVERAGE BALANCE ENDING "&amp;Testyear</f>
        <v>THIRTEEN MONTH AVERAGE BALANCE ENDING MARCH 31, 2019</v>
      </c>
      <c r="B4" s="650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2"/>
      <c r="O4" s="652"/>
    </row>
    <row r="5" spans="1:18">
      <c r="A5" s="651"/>
      <c r="B5" s="651"/>
      <c r="C5" s="651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2"/>
      <c r="O5" s="652"/>
    </row>
    <row r="6" spans="1:18">
      <c r="A6" s="541" t="str">
        <f>DataF</f>
        <v>DATA:  BASE PERIOD  "X" FORECASTED PERIOD</v>
      </c>
      <c r="B6" s="652"/>
      <c r="C6" s="652"/>
      <c r="D6" s="652"/>
      <c r="E6" s="652"/>
      <c r="F6" s="652"/>
      <c r="G6" s="652"/>
      <c r="H6" s="652"/>
      <c r="I6" s="652"/>
      <c r="J6" s="652"/>
      <c r="K6" s="99" t="s">
        <v>800</v>
      </c>
      <c r="L6" s="652"/>
      <c r="M6" s="652"/>
      <c r="N6" s="652"/>
      <c r="O6" s="652"/>
    </row>
    <row r="7" spans="1:18">
      <c r="A7" s="99" t="s">
        <v>2596</v>
      </c>
      <c r="B7" s="652"/>
      <c r="C7" s="652"/>
      <c r="D7" s="652"/>
      <c r="E7" s="652"/>
      <c r="F7" s="652"/>
      <c r="G7" s="652"/>
      <c r="H7" s="652"/>
      <c r="I7" s="652"/>
      <c r="J7" s="652"/>
      <c r="K7" s="99" t="s">
        <v>86</v>
      </c>
      <c r="L7" s="99"/>
      <c r="M7" s="652"/>
      <c r="N7" s="652"/>
      <c r="O7" s="652"/>
    </row>
    <row r="8" spans="1:18">
      <c r="A8" s="542" t="str">
        <f>Type</f>
        <v xml:space="preserve">TYPE OF FILING:  "X" ORIGINAL   UPDATED    REVISED  </v>
      </c>
      <c r="B8" s="652"/>
      <c r="C8" s="652"/>
      <c r="D8" s="652"/>
      <c r="E8" s="652"/>
      <c r="F8" s="652"/>
      <c r="G8" s="652"/>
      <c r="H8" s="652"/>
      <c r="I8" s="652"/>
      <c r="J8" s="652"/>
      <c r="K8" s="99" t="s">
        <v>622</v>
      </c>
      <c r="L8" s="99"/>
      <c r="M8" s="652"/>
      <c r="N8" s="652"/>
      <c r="O8" s="652"/>
    </row>
    <row r="9" spans="1:18">
      <c r="A9" s="99" t="s">
        <v>523</v>
      </c>
      <c r="B9" s="652"/>
      <c r="C9" s="652"/>
      <c r="D9" s="652"/>
      <c r="E9" s="652"/>
      <c r="F9" s="652"/>
      <c r="G9" s="652"/>
      <c r="H9" s="652"/>
      <c r="I9" s="652"/>
      <c r="J9" s="652"/>
      <c r="K9" s="99" t="str">
        <f>_WIT4</f>
        <v>J. L. SULLIVAN</v>
      </c>
      <c r="L9" s="99"/>
      <c r="M9" s="652"/>
      <c r="N9" s="652"/>
      <c r="O9" s="652"/>
    </row>
    <row r="10" spans="1:18">
      <c r="A10" s="652"/>
      <c r="B10" s="652"/>
      <c r="C10" s="652"/>
      <c r="D10" s="652"/>
      <c r="E10" s="652"/>
      <c r="F10" s="652"/>
      <c r="G10" s="652"/>
      <c r="H10" s="652"/>
      <c r="I10" s="652"/>
      <c r="J10" s="652"/>
      <c r="K10" s="652"/>
      <c r="L10" s="99"/>
      <c r="M10" s="652"/>
      <c r="N10" s="652"/>
      <c r="O10" s="652"/>
    </row>
    <row r="11" spans="1:18">
      <c r="A11" s="653"/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2"/>
      <c r="O11" s="652"/>
    </row>
    <row r="12" spans="1:18">
      <c r="A12" s="685"/>
      <c r="B12" s="685"/>
      <c r="C12" s="685"/>
      <c r="D12" s="685"/>
      <c r="E12" s="685"/>
      <c r="F12" s="685"/>
      <c r="G12" s="655" t="s">
        <v>455</v>
      </c>
      <c r="H12" s="654"/>
      <c r="I12" s="685"/>
      <c r="J12" s="685"/>
      <c r="K12" s="685"/>
      <c r="L12" s="685"/>
      <c r="M12" s="685"/>
      <c r="N12" s="652"/>
      <c r="O12" s="652"/>
    </row>
    <row r="13" spans="1:18">
      <c r="A13" s="654" t="s">
        <v>1961</v>
      </c>
      <c r="B13" s="652"/>
      <c r="C13" s="652"/>
      <c r="D13" s="652"/>
      <c r="E13" s="652"/>
      <c r="F13" s="652"/>
      <c r="G13" s="654" t="s">
        <v>19</v>
      </c>
      <c r="H13" s="654"/>
      <c r="I13" s="654" t="s">
        <v>524</v>
      </c>
      <c r="J13" s="652"/>
      <c r="K13" s="651" t="s">
        <v>363</v>
      </c>
      <c r="L13" s="652"/>
      <c r="M13" s="654" t="s">
        <v>525</v>
      </c>
      <c r="N13" s="652"/>
      <c r="O13" s="652"/>
      <c r="R13" s="52"/>
    </row>
    <row r="14" spans="1:18">
      <c r="A14" s="654" t="s">
        <v>1854</v>
      </c>
      <c r="B14" s="652"/>
      <c r="C14" s="654" t="s">
        <v>1597</v>
      </c>
      <c r="D14" s="652"/>
      <c r="E14" s="654" t="s">
        <v>567</v>
      </c>
      <c r="F14" s="654"/>
      <c r="G14" s="655" t="s">
        <v>1150</v>
      </c>
      <c r="H14" s="655"/>
      <c r="I14" s="655" t="s">
        <v>1035</v>
      </c>
      <c r="J14" s="654"/>
      <c r="K14" s="654" t="s">
        <v>1598</v>
      </c>
      <c r="L14" s="654"/>
      <c r="M14" s="654" t="s">
        <v>1599</v>
      </c>
      <c r="N14" s="652"/>
      <c r="O14" s="652"/>
      <c r="Q14" s="52"/>
      <c r="R14" s="52"/>
    </row>
    <row r="15" spans="1:18">
      <c r="A15" s="653"/>
      <c r="B15" s="653"/>
      <c r="C15" s="653"/>
      <c r="D15" s="653"/>
      <c r="E15" s="653"/>
      <c r="F15" s="653"/>
      <c r="G15" s="1305"/>
      <c r="H15" s="1305"/>
      <c r="I15" s="1305"/>
      <c r="J15" s="656"/>
      <c r="K15" s="653"/>
      <c r="L15" s="653"/>
      <c r="M15" s="653"/>
      <c r="N15" s="652"/>
      <c r="O15" s="652"/>
      <c r="Q15" s="430"/>
      <c r="R15" s="430"/>
    </row>
    <row r="16" spans="1:18">
      <c r="A16" s="652"/>
      <c r="B16" s="652"/>
      <c r="C16" s="652"/>
      <c r="D16" s="652"/>
      <c r="E16" s="652"/>
      <c r="F16" s="652"/>
      <c r="G16" s="652"/>
      <c r="H16" s="652"/>
      <c r="I16" s="652"/>
      <c r="J16" s="652"/>
      <c r="K16" s="652"/>
      <c r="L16" s="652"/>
      <c r="M16" s="652"/>
      <c r="N16" s="652"/>
      <c r="O16" s="652"/>
    </row>
    <row r="17" spans="1:18">
      <c r="A17" s="654">
        <v>1</v>
      </c>
      <c r="B17" s="652"/>
      <c r="C17" s="657" t="s">
        <v>1600</v>
      </c>
      <c r="D17" s="652"/>
      <c r="E17" s="654"/>
      <c r="F17" s="654"/>
      <c r="G17" s="658">
        <v>522765867</v>
      </c>
      <c r="H17" s="658"/>
      <c r="I17" s="659">
        <f>1-I18-I19</f>
        <v>0.48893000000000003</v>
      </c>
      <c r="J17" s="660"/>
      <c r="K17" s="661">
        <f>'SCH_J1 - Base'!K16</f>
        <v>0.10299999999999999</v>
      </c>
      <c r="L17" s="662"/>
      <c r="M17" s="659">
        <f>ROUND((I17*K17),5)</f>
        <v>5.0360000000000002E-2</v>
      </c>
      <c r="N17" s="652"/>
      <c r="O17" s="652"/>
      <c r="Q17" s="1795"/>
      <c r="R17" s="659"/>
    </row>
    <row r="18" spans="1:18">
      <c r="A18" s="654">
        <f t="shared" ref="A18:A34" si="0">1+A17</f>
        <v>2</v>
      </c>
      <c r="B18" s="652"/>
      <c r="C18" s="657" t="s">
        <v>1601</v>
      </c>
      <c r="D18" s="652"/>
      <c r="E18" s="654" t="s">
        <v>1602</v>
      </c>
      <c r="F18" s="654"/>
      <c r="G18" s="663">
        <f>'SCH_J3 - Forecast'!L54</f>
        <v>434934967</v>
      </c>
      <c r="H18" s="658"/>
      <c r="I18" s="659">
        <f>ROUND(G18/$G$21,5)</f>
        <v>0.40678999999999998</v>
      </c>
      <c r="J18" s="660"/>
      <c r="K18" s="661">
        <f>'SCH_J3 - Forecast'!M57</f>
        <v>4.2430000000000002E-2</v>
      </c>
      <c r="L18" s="662"/>
      <c r="M18" s="659">
        <f>ROUND((I18*K18),5)</f>
        <v>1.7260000000000001E-2</v>
      </c>
      <c r="N18" s="652"/>
      <c r="O18" s="652"/>
      <c r="Q18" s="1795"/>
      <c r="R18" s="659"/>
    </row>
    <row r="19" spans="1:18">
      <c r="A19" s="654">
        <f t="shared" si="0"/>
        <v>3</v>
      </c>
      <c r="B19" s="652"/>
      <c r="C19" s="664" t="s">
        <v>1603</v>
      </c>
      <c r="D19" s="652"/>
      <c r="E19" s="665" t="s">
        <v>1604</v>
      </c>
      <c r="F19" s="666"/>
      <c r="G19" s="676">
        <f>'SCH_J2 - Forecast'!D36</f>
        <v>111491538</v>
      </c>
      <c r="H19" s="652"/>
      <c r="I19" s="667">
        <f>ROUND(G19/$G$21,5)</f>
        <v>0.10428</v>
      </c>
      <c r="J19" s="668"/>
      <c r="K19" s="661">
        <f>'SCH_J2 - Forecast'!I38</f>
        <v>3.083E-2</v>
      </c>
      <c r="L19" s="662"/>
      <c r="M19" s="667">
        <f>ROUND((I19*K19),5)</f>
        <v>3.2100000000000002E-3</v>
      </c>
      <c r="N19" s="652"/>
      <c r="O19" s="652"/>
      <c r="Q19" s="1795"/>
      <c r="R19" s="659"/>
    </row>
    <row r="20" spans="1:18">
      <c r="A20" s="654">
        <f t="shared" si="0"/>
        <v>4</v>
      </c>
      <c r="B20" s="652"/>
      <c r="C20" s="652"/>
      <c r="D20" s="652"/>
      <c r="E20" s="652"/>
      <c r="F20" s="652"/>
      <c r="G20" s="652"/>
      <c r="H20" s="652"/>
      <c r="I20" s="669"/>
      <c r="J20" s="652"/>
      <c r="K20" s="669"/>
      <c r="L20" s="669"/>
      <c r="M20" s="669"/>
      <c r="N20" s="652"/>
      <c r="O20" s="652"/>
      <c r="R20" s="669"/>
    </row>
    <row r="21" spans="1:18">
      <c r="A21" s="654">
        <f t="shared" si="0"/>
        <v>5</v>
      </c>
      <c r="B21" s="652"/>
      <c r="C21" s="657" t="s">
        <v>1605</v>
      </c>
      <c r="D21" s="652"/>
      <c r="E21" s="652"/>
      <c r="F21" s="652"/>
      <c r="G21" s="670">
        <f>SUM(G17:G19)</f>
        <v>1069192372</v>
      </c>
      <c r="H21" s="666"/>
      <c r="I21" s="671">
        <f>SUM(I17:I19)</f>
        <v>1</v>
      </c>
      <c r="J21" s="660"/>
      <c r="K21" s="659"/>
      <c r="L21" s="659"/>
      <c r="M21" s="671">
        <f>SUM(M17:M20)</f>
        <v>7.0830000000000004E-2</v>
      </c>
      <c r="N21" s="652"/>
      <c r="O21" s="652"/>
      <c r="R21" s="671"/>
    </row>
    <row r="22" spans="1:18">
      <c r="A22" s="654">
        <f t="shared" si="0"/>
        <v>6</v>
      </c>
      <c r="B22" s="652"/>
      <c r="C22" s="664"/>
      <c r="D22" s="652"/>
      <c r="E22" s="666"/>
      <c r="F22" s="666"/>
      <c r="G22" s="672"/>
      <c r="H22" s="672"/>
      <c r="I22" s="673"/>
      <c r="J22" s="674"/>
      <c r="K22" s="675"/>
      <c r="L22" s="675"/>
      <c r="M22" s="674"/>
      <c r="N22" s="652"/>
      <c r="O22" s="652"/>
    </row>
    <row r="23" spans="1:18">
      <c r="A23" s="654">
        <f t="shared" si="0"/>
        <v>7</v>
      </c>
      <c r="B23" s="652"/>
      <c r="C23" s="664"/>
      <c r="D23" s="652"/>
      <c r="E23" s="666"/>
      <c r="F23" s="666"/>
      <c r="G23" s="672"/>
      <c r="H23" s="672"/>
      <c r="I23" s="674"/>
      <c r="J23" s="674"/>
      <c r="K23" s="675"/>
      <c r="L23" s="675"/>
      <c r="M23" s="674"/>
      <c r="N23" s="652"/>
      <c r="O23" s="652"/>
    </row>
    <row r="24" spans="1:18">
      <c r="A24" s="654">
        <f t="shared" si="0"/>
        <v>8</v>
      </c>
      <c r="B24" s="652"/>
      <c r="C24" s="664" t="s">
        <v>1606</v>
      </c>
      <c r="D24" s="652"/>
      <c r="E24" s="666"/>
      <c r="F24" s="666"/>
      <c r="G24" s="672"/>
      <c r="H24" s="672"/>
      <c r="I24" s="677"/>
      <c r="J24" s="677"/>
      <c r="K24" s="675"/>
      <c r="L24" s="675"/>
      <c r="M24" s="675"/>
      <c r="N24" s="652"/>
      <c r="O24" s="652"/>
    </row>
    <row r="25" spans="1:18">
      <c r="A25" s="654">
        <f t="shared" si="0"/>
        <v>9</v>
      </c>
      <c r="B25" s="652"/>
      <c r="C25" s="664" t="s">
        <v>1607</v>
      </c>
      <c r="D25" s="652"/>
      <c r="E25" s="665" t="s">
        <v>3201</v>
      </c>
      <c r="F25" s="666"/>
      <c r="G25" s="1619">
        <f>-'WPB-6''s'!T87-'WPB-6''s'!T88-'WPB-6''s'!T89-'WPB-6''s'!T106-'WPB-6''s'!T107-'WPB-6''s'!T108-'WPB-6''s'!T123-'WPB-6''s'!T124</f>
        <v>4874264</v>
      </c>
      <c r="H25" s="672"/>
      <c r="I25" s="677"/>
      <c r="J25" s="677"/>
      <c r="K25" s="675"/>
      <c r="L25" s="675"/>
      <c r="M25" s="675"/>
      <c r="N25" s="652"/>
      <c r="O25" s="652"/>
    </row>
    <row r="26" spans="1:18">
      <c r="A26" s="654">
        <f t="shared" si="0"/>
        <v>10</v>
      </c>
      <c r="B26" s="652"/>
      <c r="C26" s="657"/>
      <c r="D26" s="652"/>
      <c r="E26" s="652"/>
      <c r="F26" s="652"/>
      <c r="G26" s="666"/>
      <c r="H26" s="666"/>
      <c r="I26" s="677"/>
      <c r="J26" s="677"/>
      <c r="K26" s="675"/>
      <c r="L26" s="675"/>
      <c r="M26" s="675"/>
      <c r="N26" s="652"/>
      <c r="O26" s="652"/>
    </row>
    <row r="27" spans="1:18">
      <c r="A27" s="654">
        <f t="shared" si="0"/>
        <v>11</v>
      </c>
      <c r="B27" s="652"/>
      <c r="C27" s="664"/>
      <c r="D27" s="652"/>
      <c r="E27" s="652"/>
      <c r="F27" s="652"/>
      <c r="G27" s="672"/>
      <c r="H27" s="672"/>
      <c r="I27" s="677"/>
      <c r="J27" s="677"/>
      <c r="K27" s="675"/>
      <c r="L27" s="675"/>
      <c r="M27" s="675"/>
      <c r="N27" s="652"/>
      <c r="O27" s="652"/>
    </row>
    <row r="28" spans="1:18">
      <c r="A28" s="654">
        <f t="shared" si="0"/>
        <v>12</v>
      </c>
      <c r="B28" s="652"/>
      <c r="C28" s="678" t="s">
        <v>1608</v>
      </c>
      <c r="D28" s="652"/>
      <c r="E28" s="652"/>
      <c r="F28" s="652"/>
      <c r="G28" s="666"/>
      <c r="H28" s="666"/>
      <c r="I28" s="677"/>
      <c r="J28" s="677"/>
      <c r="K28" s="675"/>
      <c r="L28" s="675"/>
      <c r="M28" s="675"/>
      <c r="N28" s="652"/>
      <c r="O28" s="652"/>
    </row>
    <row r="29" spans="1:18">
      <c r="A29" s="654">
        <f t="shared" si="0"/>
        <v>13</v>
      </c>
      <c r="B29" s="652"/>
      <c r="C29" s="657"/>
      <c r="D29" s="652"/>
      <c r="E29" s="654"/>
      <c r="F29" s="654"/>
      <c r="G29" s="679"/>
      <c r="H29" s="658"/>
      <c r="I29" s="677"/>
      <c r="J29" s="677"/>
      <c r="K29" s="675"/>
      <c r="L29" s="675"/>
      <c r="M29" s="675"/>
      <c r="N29" s="652"/>
      <c r="O29" s="652"/>
    </row>
    <row r="30" spans="1:18">
      <c r="A30" s="654">
        <f t="shared" si="0"/>
        <v>14</v>
      </c>
      <c r="B30" s="652"/>
      <c r="C30" s="657" t="s">
        <v>1600</v>
      </c>
      <c r="D30" s="652"/>
      <c r="E30" s="652"/>
      <c r="F30" s="652"/>
      <c r="G30" s="672">
        <f>ROUND(G17+(I17*G25),0)</f>
        <v>525149041</v>
      </c>
      <c r="H30" s="672"/>
      <c r="I30" s="659">
        <f>I17</f>
        <v>0.48893000000000003</v>
      </c>
      <c r="J30" s="677"/>
      <c r="K30" s="661">
        <f>K17</f>
        <v>0.10299999999999999</v>
      </c>
      <c r="L30" s="659"/>
      <c r="M30" s="659">
        <f>ROUND((I30*K30),5)</f>
        <v>5.0360000000000002E-2</v>
      </c>
      <c r="N30" s="652"/>
      <c r="O30" s="652"/>
    </row>
    <row r="31" spans="1:18">
      <c r="A31" s="654">
        <f t="shared" si="0"/>
        <v>15</v>
      </c>
      <c r="B31" s="652"/>
      <c r="C31" s="657" t="s">
        <v>1601</v>
      </c>
      <c r="D31" s="652"/>
      <c r="E31" s="652"/>
      <c r="F31" s="652"/>
      <c r="G31" s="672">
        <f>ROUND(G18+(I18*G25),0)</f>
        <v>436917769</v>
      </c>
      <c r="H31" s="666"/>
      <c r="I31" s="659">
        <f>I18</f>
        <v>0.40678999999999998</v>
      </c>
      <c r="J31" s="677"/>
      <c r="K31" s="661">
        <f>K18</f>
        <v>4.2430000000000002E-2</v>
      </c>
      <c r="L31" s="659"/>
      <c r="M31" s="659">
        <f>ROUND((I31*K31),5)</f>
        <v>1.7260000000000001E-2</v>
      </c>
      <c r="N31" s="652"/>
      <c r="O31" s="652"/>
    </row>
    <row r="32" spans="1:18">
      <c r="A32" s="654">
        <f t="shared" si="0"/>
        <v>16</v>
      </c>
      <c r="B32" s="652"/>
      <c r="C32" s="664" t="s">
        <v>1603</v>
      </c>
      <c r="D32" s="652"/>
      <c r="E32" s="654"/>
      <c r="F32" s="654"/>
      <c r="G32" s="680">
        <f>ROUND(G19+(I19*G25),0)</f>
        <v>111999826</v>
      </c>
      <c r="H32" s="658"/>
      <c r="I32" s="667">
        <f>I19</f>
        <v>0.10428</v>
      </c>
      <c r="J32" s="677"/>
      <c r="K32" s="661">
        <f>K19</f>
        <v>3.083E-2</v>
      </c>
      <c r="L32" s="669"/>
      <c r="M32" s="667">
        <f>ROUND((I32*K32),5)</f>
        <v>3.2100000000000002E-3</v>
      </c>
      <c r="N32" s="652"/>
      <c r="O32" s="652"/>
    </row>
    <row r="33" spans="1:15">
      <c r="A33" s="654">
        <f t="shared" si="0"/>
        <v>17</v>
      </c>
      <c r="B33" s="652"/>
      <c r="C33" s="657"/>
      <c r="D33" s="652"/>
      <c r="E33" s="654"/>
      <c r="F33" s="654"/>
      <c r="G33" s="658"/>
      <c r="H33" s="658"/>
      <c r="I33" s="659"/>
      <c r="J33" s="677"/>
      <c r="K33" s="669"/>
      <c r="L33" s="669"/>
      <c r="M33" s="669"/>
      <c r="N33" s="652"/>
      <c r="O33" s="652"/>
    </row>
    <row r="34" spans="1:15">
      <c r="A34" s="654">
        <f t="shared" si="0"/>
        <v>18</v>
      </c>
      <c r="B34" s="652"/>
      <c r="C34" s="652" t="s">
        <v>1609</v>
      </c>
      <c r="D34" s="652"/>
      <c r="E34" s="652"/>
      <c r="F34" s="652"/>
      <c r="G34" s="681">
        <f>SUM(G30:G33)</f>
        <v>1074066636</v>
      </c>
      <c r="H34" s="672"/>
      <c r="I34" s="682">
        <f>SUM(I30:I33)</f>
        <v>1</v>
      </c>
      <c r="J34" s="652"/>
      <c r="K34" s="669"/>
      <c r="L34" s="669"/>
      <c r="M34" s="671">
        <f>SUM(M30:M33)</f>
        <v>7.0830000000000004E-2</v>
      </c>
      <c r="N34" s="652"/>
      <c r="O34" s="652"/>
    </row>
    <row r="35" spans="1:15">
      <c r="A35" s="651"/>
      <c r="B35" s="652"/>
      <c r="C35" s="652"/>
      <c r="D35" s="652"/>
      <c r="E35" s="652"/>
      <c r="F35" s="652"/>
      <c r="G35" s="652"/>
      <c r="H35" s="652"/>
      <c r="I35" s="669"/>
      <c r="J35" s="652"/>
      <c r="K35" s="652"/>
      <c r="L35" s="652"/>
      <c r="M35" s="652"/>
      <c r="N35" s="652"/>
      <c r="O35" s="652"/>
    </row>
    <row r="36" spans="1:15">
      <c r="A36" s="683"/>
      <c r="B36" s="683"/>
      <c r="C36" s="683"/>
      <c r="D36" s="686"/>
      <c r="E36" s="652"/>
      <c r="F36" s="652"/>
      <c r="G36" s="652"/>
      <c r="H36" s="652"/>
      <c r="I36" s="652"/>
      <c r="J36" s="652"/>
      <c r="K36" s="652"/>
      <c r="L36" s="652"/>
      <c r="M36" s="652"/>
      <c r="N36" s="652"/>
      <c r="O36" s="652"/>
    </row>
    <row r="37" spans="1:15">
      <c r="A37" s="683"/>
      <c r="B37" s="683"/>
      <c r="C37" s="683"/>
      <c r="D37" s="683"/>
      <c r="E37" s="652"/>
      <c r="F37" s="652"/>
      <c r="G37" s="652"/>
      <c r="H37" s="652"/>
      <c r="I37" s="652"/>
      <c r="J37" s="652"/>
      <c r="K37" s="652"/>
      <c r="L37" s="652"/>
      <c r="M37" s="652"/>
      <c r="N37" s="652"/>
      <c r="O37" s="652"/>
    </row>
    <row r="38" spans="1:15">
      <c r="A38" s="683"/>
      <c r="B38" s="683"/>
      <c r="C38" s="683"/>
      <c r="D38" s="683"/>
      <c r="E38" s="652"/>
      <c r="F38" s="652"/>
      <c r="G38" s="652"/>
      <c r="H38" s="652"/>
      <c r="I38" s="652"/>
      <c r="J38" s="652"/>
      <c r="K38" s="652"/>
      <c r="L38" s="652"/>
      <c r="M38" s="652"/>
      <c r="N38" s="652"/>
      <c r="O38" s="652"/>
    </row>
    <row r="39" spans="1:15">
      <c r="A39" s="683"/>
      <c r="B39" s="683"/>
      <c r="C39" s="683"/>
      <c r="D39" s="683"/>
      <c r="E39" s="652"/>
      <c r="F39" s="652"/>
      <c r="G39" s="652"/>
      <c r="H39" s="652"/>
      <c r="I39" s="652"/>
      <c r="J39" s="652"/>
      <c r="K39" s="652"/>
      <c r="L39" s="652"/>
      <c r="M39" s="652"/>
      <c r="N39" s="652"/>
      <c r="O39" s="652"/>
    </row>
    <row r="40" spans="1:15">
      <c r="A40" s="683"/>
      <c r="B40" s="683"/>
      <c r="C40" s="683"/>
      <c r="D40" s="683"/>
      <c r="E40" s="652"/>
      <c r="F40" s="652"/>
      <c r="G40" s="652"/>
      <c r="H40" s="652"/>
      <c r="I40" s="652"/>
      <c r="J40" s="652"/>
      <c r="K40" s="652"/>
      <c r="L40" s="652"/>
      <c r="M40" s="652"/>
      <c r="N40" s="652"/>
      <c r="O40" s="652"/>
    </row>
    <row r="41" spans="1:15">
      <c r="A41" s="683"/>
      <c r="B41" s="683"/>
      <c r="C41" s="683"/>
      <c r="D41" s="683"/>
      <c r="E41" s="652"/>
      <c r="F41" s="652"/>
      <c r="G41" s="652"/>
      <c r="H41" s="652"/>
      <c r="I41" s="652"/>
      <c r="J41" s="652"/>
      <c r="K41" s="652"/>
      <c r="L41" s="652"/>
      <c r="M41" s="652"/>
      <c r="N41" s="652"/>
      <c r="O41" s="652"/>
    </row>
    <row r="42" spans="1:15">
      <c r="A42" s="683"/>
      <c r="B42" s="683"/>
      <c r="C42" s="683"/>
      <c r="D42" s="683"/>
      <c r="E42" s="652"/>
      <c r="F42" s="652"/>
      <c r="G42" s="652"/>
      <c r="H42" s="652"/>
      <c r="I42" s="652"/>
      <c r="J42" s="652"/>
      <c r="K42" s="652"/>
      <c r="L42" s="652"/>
      <c r="M42" s="652"/>
      <c r="N42" s="652"/>
      <c r="O42" s="652"/>
    </row>
    <row r="43" spans="1:15">
      <c r="A43" s="683"/>
      <c r="B43" s="683"/>
      <c r="C43" s="683"/>
      <c r="D43" s="683"/>
      <c r="E43" s="652"/>
      <c r="F43" s="652"/>
      <c r="G43" s="652"/>
      <c r="H43" s="652"/>
      <c r="I43" s="652"/>
      <c r="J43" s="652"/>
      <c r="K43" s="652"/>
      <c r="L43" s="652"/>
      <c r="M43" s="652"/>
      <c r="N43" s="652"/>
      <c r="O43" s="652"/>
    </row>
    <row r="44" spans="1:15">
      <c r="A44" s="683"/>
      <c r="B44" s="683"/>
      <c r="C44" s="683"/>
      <c r="D44" s="683"/>
      <c r="E44" s="652"/>
      <c r="F44" s="652"/>
      <c r="G44" s="652"/>
      <c r="H44" s="652"/>
      <c r="I44" s="652"/>
      <c r="J44" s="652"/>
      <c r="K44" s="652"/>
      <c r="L44" s="652"/>
      <c r="M44" s="652"/>
      <c r="N44" s="652"/>
      <c r="O44" s="652"/>
    </row>
    <row r="45" spans="1:15">
      <c r="A45" s="683"/>
      <c r="B45" s="683"/>
      <c r="C45" s="683"/>
      <c r="D45" s="683"/>
      <c r="E45" s="652"/>
      <c r="F45" s="652"/>
      <c r="G45" s="652"/>
      <c r="H45" s="652"/>
      <c r="I45" s="652"/>
      <c r="J45" s="652"/>
      <c r="K45" s="652"/>
      <c r="L45" s="652"/>
      <c r="M45" s="652"/>
      <c r="N45" s="652"/>
      <c r="O45" s="652"/>
    </row>
    <row r="46" spans="1:15">
      <c r="A46" s="683"/>
      <c r="B46" s="683"/>
      <c r="C46" s="683"/>
      <c r="D46" s="683"/>
      <c r="E46" s="652"/>
      <c r="F46" s="652"/>
      <c r="G46" s="652"/>
      <c r="H46" s="652"/>
      <c r="I46" s="652"/>
      <c r="J46" s="652"/>
      <c r="K46" s="652"/>
      <c r="L46" s="652"/>
      <c r="M46" s="652"/>
      <c r="N46" s="652"/>
      <c r="O46" s="652"/>
    </row>
    <row r="47" spans="1:15">
      <c r="A47" s="683"/>
      <c r="B47" s="683"/>
      <c r="C47" s="683"/>
      <c r="D47" s="683"/>
      <c r="E47" s="652"/>
      <c r="F47" s="652"/>
      <c r="G47" s="652"/>
      <c r="H47" s="652"/>
      <c r="I47" s="652"/>
      <c r="J47" s="652"/>
      <c r="K47" s="652"/>
      <c r="L47" s="652"/>
      <c r="M47" s="652"/>
      <c r="N47" s="652"/>
      <c r="O47" s="652"/>
    </row>
    <row r="48" spans="1:15">
      <c r="A48" s="683"/>
      <c r="B48" s="683"/>
      <c r="C48" s="683"/>
      <c r="D48" s="683"/>
      <c r="E48" s="652"/>
      <c r="F48" s="652"/>
      <c r="G48" s="652"/>
      <c r="H48" s="652"/>
      <c r="I48" s="652"/>
      <c r="J48" s="652"/>
      <c r="K48" s="652"/>
      <c r="L48" s="652"/>
      <c r="M48" s="652"/>
      <c r="N48" s="652"/>
      <c r="O48" s="652"/>
    </row>
    <row r="49" spans="1:15">
      <c r="A49" s="683"/>
      <c r="B49" s="683"/>
      <c r="C49" s="683"/>
      <c r="D49" s="683"/>
      <c r="E49" s="652"/>
      <c r="F49" s="652"/>
      <c r="G49" s="652"/>
      <c r="H49" s="652"/>
      <c r="I49" s="652"/>
      <c r="J49" s="652"/>
      <c r="K49" s="652"/>
      <c r="L49" s="652"/>
      <c r="M49" s="652"/>
      <c r="N49" s="652"/>
      <c r="O49" s="652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theme="3" tint="-0.249977111117893"/>
  </sheetPr>
  <dimension ref="A1:K50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6" style="18" customWidth="1"/>
    <col min="2" max="2" width="1.42578125" style="18" customWidth="1"/>
    <col min="3" max="3" width="51.28515625" style="18" customWidth="1"/>
    <col min="4" max="4" width="17.28515625" style="18" customWidth="1"/>
    <col min="5" max="5" width="13.28515625" style="18" customWidth="1"/>
    <col min="6" max="6" width="8.5703125" style="18" customWidth="1"/>
    <col min="7" max="7" width="17.85546875" style="18" customWidth="1"/>
    <col min="8" max="16384" width="8" style="18"/>
  </cols>
  <sheetData>
    <row r="1" spans="1:11">
      <c r="A1" s="229" t="str">
        <f>COMPANY</f>
        <v>DUKE ENERGY KENTUCKY, INC.</v>
      </c>
      <c r="B1" s="397"/>
      <c r="C1" s="397"/>
      <c r="D1" s="397"/>
      <c r="E1" s="397"/>
      <c r="F1" s="397"/>
      <c r="G1" s="397"/>
      <c r="H1" s="1571"/>
      <c r="I1" s="1571"/>
      <c r="J1" s="1571"/>
      <c r="K1" s="1571"/>
    </row>
    <row r="2" spans="1:11">
      <c r="A2" s="229" t="str">
        <f>CASE</f>
        <v>CASE NO. 2017-00321</v>
      </c>
      <c r="B2" s="397"/>
      <c r="C2" s="397"/>
      <c r="D2" s="397"/>
      <c r="E2" s="397"/>
      <c r="F2" s="397"/>
      <c r="G2" s="397"/>
      <c r="H2" s="1571"/>
      <c r="I2" s="1571"/>
      <c r="J2" s="1571"/>
      <c r="K2" s="1571"/>
    </row>
    <row r="3" spans="1:11">
      <c r="A3" s="633" t="s">
        <v>1829</v>
      </c>
      <c r="B3" s="397"/>
      <c r="C3" s="397"/>
      <c r="D3" s="397"/>
      <c r="E3" s="397"/>
      <c r="F3" s="397"/>
      <c r="G3" s="397"/>
      <c r="H3" s="1571"/>
      <c r="I3" s="1571"/>
      <c r="J3" s="1571"/>
      <c r="K3" s="1571"/>
    </row>
    <row r="4" spans="1:11">
      <c r="A4" s="76" t="str">
        <f>"AS OF " &amp;RIGHT(TESTYR,(LEN(TESTYR)-16))</f>
        <v>AS OF NOVEMBER 30, 2017</v>
      </c>
      <c r="B4" s="397"/>
      <c r="C4" s="397"/>
      <c r="D4" s="397"/>
      <c r="E4" s="397"/>
      <c r="F4" s="397"/>
      <c r="G4" s="397"/>
      <c r="H4" s="1571"/>
      <c r="I4" s="1571"/>
      <c r="J4" s="1571"/>
      <c r="K4" s="1571"/>
    </row>
    <row r="5" spans="1:11">
      <c r="A5" s="229" t="s">
        <v>1611</v>
      </c>
      <c r="B5" s="397"/>
      <c r="C5" s="397"/>
      <c r="D5" s="397"/>
      <c r="E5" s="397"/>
      <c r="F5" s="397"/>
      <c r="G5" s="397"/>
      <c r="H5" s="1571"/>
      <c r="I5" s="1571"/>
      <c r="J5" s="1571"/>
      <c r="K5" s="1571"/>
    </row>
    <row r="6" spans="1:11">
      <c r="A6" s="229"/>
      <c r="B6" s="397"/>
      <c r="C6" s="397"/>
      <c r="D6" s="397"/>
      <c r="E6" s="397"/>
      <c r="F6" s="397"/>
      <c r="G6" s="397"/>
      <c r="H6" s="1571"/>
      <c r="I6" s="1571"/>
      <c r="J6" s="1571"/>
      <c r="K6" s="1571"/>
    </row>
    <row r="7" spans="1:11">
      <c r="A7" s="541" t="str">
        <f>Data</f>
        <v>DATA: "X" BASE PERIOD   FORECASTED PERIOD</v>
      </c>
      <c r="B7" s="1571"/>
      <c r="C7" s="1571"/>
      <c r="D7" s="1571"/>
      <c r="E7" s="1571"/>
      <c r="F7" s="1581" t="s">
        <v>1830</v>
      </c>
      <c r="G7" s="1581"/>
      <c r="H7" s="1571"/>
      <c r="I7" s="1571"/>
      <c r="J7" s="1571"/>
      <c r="K7" s="1571"/>
    </row>
    <row r="8" spans="1:11">
      <c r="A8" s="99" t="s">
        <v>1340</v>
      </c>
      <c r="B8" s="1571"/>
      <c r="C8" s="1571"/>
      <c r="D8" s="1571"/>
      <c r="E8" s="1571"/>
      <c r="F8" s="1581" t="s">
        <v>958</v>
      </c>
      <c r="G8" s="1581"/>
      <c r="H8" s="1571"/>
      <c r="I8" s="1571"/>
      <c r="J8" s="1571"/>
      <c r="K8" s="1571"/>
    </row>
    <row r="9" spans="1:11">
      <c r="A9" s="1581" t="str">
        <f>Type</f>
        <v xml:space="preserve">TYPE OF FILING:  "X" ORIGINAL   UPDATED    REVISED  </v>
      </c>
      <c r="B9" s="1571"/>
      <c r="C9" s="1571"/>
      <c r="D9" s="1571"/>
      <c r="E9" s="1571"/>
      <c r="F9" s="1581" t="s">
        <v>1644</v>
      </c>
      <c r="G9" s="1581"/>
      <c r="H9" s="1571"/>
      <c r="I9" s="1571"/>
      <c r="J9" s="1571"/>
      <c r="K9" s="1571"/>
    </row>
    <row r="10" spans="1:11">
      <c r="A10" s="1581" t="s">
        <v>1653</v>
      </c>
      <c r="B10" s="1571"/>
      <c r="C10" s="1571"/>
      <c r="D10" s="1571"/>
      <c r="E10" s="1571"/>
      <c r="F10" s="1581" t="str">
        <f>"   "&amp;_WIT4</f>
        <v xml:space="preserve">   J. L. SULLIVAN</v>
      </c>
      <c r="G10" s="1581"/>
      <c r="H10" s="1571"/>
      <c r="I10" s="1571"/>
      <c r="J10" s="1571"/>
      <c r="K10" s="1571"/>
    </row>
    <row r="11" spans="1:11">
      <c r="A11" s="1571"/>
      <c r="B11" s="1571"/>
      <c r="C11" s="1571"/>
      <c r="D11" s="1571"/>
      <c r="E11" s="1571"/>
      <c r="F11" s="1571"/>
      <c r="G11" s="1571"/>
      <c r="H11" s="1571"/>
      <c r="I11" s="1571"/>
      <c r="J11" s="1571"/>
      <c r="K11" s="1571"/>
    </row>
    <row r="12" spans="1:11">
      <c r="A12" s="180"/>
      <c r="B12" s="180"/>
      <c r="C12" s="180"/>
      <c r="D12" s="180"/>
      <c r="E12" s="180"/>
      <c r="F12" s="180"/>
      <c r="G12" s="180"/>
      <c r="H12" s="1571"/>
      <c r="I12" s="1571"/>
      <c r="J12" s="1571"/>
      <c r="K12" s="1571"/>
    </row>
    <row r="13" spans="1:11">
      <c r="A13" s="638"/>
      <c r="B13" s="638"/>
      <c r="C13" s="638"/>
      <c r="D13" s="638"/>
      <c r="E13" s="638"/>
      <c r="F13" s="638"/>
      <c r="G13" s="638"/>
      <c r="H13" s="1571"/>
      <c r="I13" s="1571"/>
      <c r="J13" s="1571"/>
      <c r="K13" s="1571"/>
    </row>
    <row r="14" spans="1:11">
      <c r="A14" s="2741" t="s">
        <v>1961</v>
      </c>
      <c r="B14" s="1571"/>
      <c r="C14" s="1571"/>
      <c r="D14" s="2741" t="s">
        <v>364</v>
      </c>
      <c r="E14" s="2741" t="s">
        <v>808</v>
      </c>
      <c r="F14" s="1571"/>
      <c r="G14" s="2741" t="s">
        <v>808</v>
      </c>
      <c r="H14" s="1571"/>
      <c r="I14" s="1571"/>
      <c r="J14" s="1571"/>
      <c r="K14" s="1571"/>
    </row>
    <row r="15" spans="1:11">
      <c r="A15" s="2741" t="s">
        <v>1854</v>
      </c>
      <c r="B15" s="1571"/>
      <c r="C15" s="2741" t="s">
        <v>1831</v>
      </c>
      <c r="D15" s="2741" t="s">
        <v>1832</v>
      </c>
      <c r="E15" s="2741" t="s">
        <v>806</v>
      </c>
      <c r="F15" s="1571"/>
      <c r="G15" s="2741" t="s">
        <v>1833</v>
      </c>
      <c r="H15" s="1571"/>
      <c r="I15" s="1571"/>
      <c r="J15" s="1571"/>
      <c r="K15" s="1571"/>
    </row>
    <row r="16" spans="1:11">
      <c r="A16" s="1571"/>
      <c r="B16" s="1571"/>
      <c r="C16" s="2741" t="s">
        <v>296</v>
      </c>
      <c r="D16" s="240" t="s">
        <v>210</v>
      </c>
      <c r="E16" s="1784" t="s">
        <v>303</v>
      </c>
      <c r="F16" s="1571"/>
      <c r="G16" s="1785" t="s">
        <v>944</v>
      </c>
      <c r="H16" s="1571"/>
      <c r="I16" s="1571"/>
      <c r="J16" s="1571"/>
      <c r="K16" s="1571"/>
    </row>
    <row r="17" spans="1:11">
      <c r="A17" s="180"/>
      <c r="B17" s="180"/>
      <c r="C17" s="180"/>
      <c r="D17" s="180"/>
      <c r="E17" s="180"/>
      <c r="F17" s="180"/>
      <c r="G17" s="180"/>
      <c r="H17" s="1571"/>
      <c r="I17" s="1571"/>
      <c r="J17" s="1571"/>
      <c r="K17" s="1571"/>
    </row>
    <row r="18" spans="1:11">
      <c r="A18" s="638"/>
      <c r="B18" s="638"/>
      <c r="C18" s="638"/>
      <c r="D18" s="1786" t="s">
        <v>1150</v>
      </c>
      <c r="E18" s="1786" t="s">
        <v>1834</v>
      </c>
      <c r="F18" s="638"/>
      <c r="G18" s="1786" t="s">
        <v>1150</v>
      </c>
      <c r="H18" s="1571"/>
      <c r="I18" s="1571"/>
      <c r="J18" s="1571"/>
      <c r="K18" s="1571"/>
    </row>
    <row r="19" spans="1:11">
      <c r="A19" s="2741">
        <v>1</v>
      </c>
      <c r="B19" s="1571"/>
      <c r="C19" s="1569" t="s">
        <v>2906</v>
      </c>
      <c r="D19" s="234"/>
      <c r="E19" s="1572"/>
      <c r="F19" s="1571"/>
      <c r="G19" s="1571"/>
      <c r="H19" s="1571"/>
      <c r="I19" s="1571"/>
      <c r="J19" s="1571"/>
      <c r="K19" s="1571"/>
    </row>
    <row r="20" spans="1:11">
      <c r="A20" s="1285">
        <v>2</v>
      </c>
      <c r="B20" s="1571"/>
      <c r="C20" s="647"/>
      <c r="D20" s="648"/>
      <c r="E20" s="649"/>
      <c r="F20" s="1571"/>
      <c r="G20" s="1571"/>
      <c r="H20" s="1571"/>
      <c r="I20" s="1571"/>
      <c r="J20" s="1571"/>
      <c r="K20" s="1571"/>
    </row>
    <row r="21" spans="1:11">
      <c r="A21" s="1285">
        <v>3</v>
      </c>
      <c r="B21" s="1571"/>
      <c r="C21" s="1570" t="s">
        <v>2683</v>
      </c>
      <c r="D21" s="182">
        <v>33532</v>
      </c>
      <c r="E21" s="1492">
        <v>4.8205999999999999E-2</v>
      </c>
      <c r="F21" s="1571"/>
      <c r="G21" s="1459">
        <f>ROUND(D21*E21,0)</f>
        <v>1616</v>
      </c>
      <c r="H21" s="1571"/>
      <c r="I21" s="1571"/>
      <c r="J21" s="1571"/>
      <c r="K21" s="1571"/>
    </row>
    <row r="22" spans="1:11">
      <c r="A22" s="2741">
        <v>4</v>
      </c>
      <c r="B22" s="1571"/>
      <c r="C22" s="1570" t="s">
        <v>2684</v>
      </c>
      <c r="D22" s="182">
        <v>104175</v>
      </c>
      <c r="E22" s="1492">
        <v>3.3301999999999998E-2</v>
      </c>
      <c r="F22" s="1571"/>
      <c r="G22" s="1574">
        <f>ROUND(D22*E22,0)</f>
        <v>3469</v>
      </c>
      <c r="H22" s="1571"/>
      <c r="I22" s="1571"/>
      <c r="J22" s="1571"/>
      <c r="K22" s="1571"/>
    </row>
    <row r="23" spans="1:11">
      <c r="A23" s="1285">
        <v>5</v>
      </c>
      <c r="B23" s="1571"/>
      <c r="C23" s="1570" t="s">
        <v>999</v>
      </c>
      <c r="D23" s="182">
        <v>208030</v>
      </c>
      <c r="E23" s="1492">
        <v>8.6337999999999998E-2</v>
      </c>
      <c r="F23" s="1571"/>
      <c r="G23" s="1459">
        <f>ROUND(D23*E23,0)</f>
        <v>17961</v>
      </c>
      <c r="H23" s="1571"/>
      <c r="I23" s="1571"/>
      <c r="J23" s="1571"/>
      <c r="K23" s="1571"/>
    </row>
    <row r="24" spans="1:11">
      <c r="A24" s="1285">
        <v>6</v>
      </c>
      <c r="B24" s="1571"/>
      <c r="C24" s="1571"/>
      <c r="D24" s="182"/>
      <c r="E24" s="1788"/>
      <c r="F24" s="1571"/>
      <c r="G24" s="1459"/>
      <c r="H24" s="1571"/>
      <c r="I24" s="1571"/>
      <c r="J24" s="1571"/>
      <c r="K24" s="1571"/>
    </row>
    <row r="25" spans="1:11">
      <c r="A25" s="2741">
        <v>7</v>
      </c>
      <c r="B25" s="1571"/>
      <c r="C25" s="1569" t="s">
        <v>740</v>
      </c>
      <c r="D25" s="1789"/>
      <c r="E25" s="1790"/>
      <c r="F25" s="1571"/>
      <c r="G25" s="1571"/>
      <c r="H25" s="1571"/>
      <c r="I25" s="1571"/>
      <c r="J25" s="1571"/>
      <c r="K25" s="1571"/>
    </row>
    <row r="26" spans="1:11">
      <c r="A26" s="1285">
        <v>8</v>
      </c>
      <c r="B26" s="1571"/>
      <c r="C26" s="1581"/>
      <c r="D26" s="1789"/>
      <c r="E26" s="1790"/>
      <c r="F26" s="1571"/>
      <c r="G26" s="1571"/>
      <c r="H26" s="1571"/>
      <c r="I26" s="1571"/>
      <c r="J26" s="1571"/>
      <c r="K26" s="1571"/>
    </row>
    <row r="27" spans="1:11">
      <c r="A27" s="1285">
        <v>9</v>
      </c>
      <c r="B27" s="1571"/>
      <c r="C27" s="1581" t="s">
        <v>741</v>
      </c>
      <c r="D27" s="1794">
        <v>30556687</v>
      </c>
      <c r="E27" s="1733">
        <v>2.0095999999999999E-2</v>
      </c>
      <c r="F27" s="1571"/>
      <c r="G27" s="1461">
        <f>ROUND(D27*E27,0)</f>
        <v>614067</v>
      </c>
      <c r="H27" s="1571"/>
      <c r="I27" s="1571"/>
      <c r="J27" s="1571"/>
      <c r="K27" s="1571"/>
    </row>
    <row r="28" spans="1:11">
      <c r="A28" s="2741">
        <v>10</v>
      </c>
      <c r="B28" s="1571"/>
      <c r="C28" s="1581"/>
      <c r="D28" s="1789"/>
      <c r="E28" s="1790"/>
      <c r="F28" s="1571"/>
      <c r="G28" s="1571"/>
      <c r="H28" s="1571"/>
      <c r="I28" s="1571"/>
      <c r="J28" s="1571"/>
      <c r="K28" s="1571"/>
    </row>
    <row r="29" spans="1:11" ht="13.5" thickBot="1">
      <c r="A29" s="1285">
        <v>11</v>
      </c>
      <c r="B29" s="1571"/>
      <c r="C29" s="1581" t="s">
        <v>742</v>
      </c>
      <c r="D29" s="1301">
        <f>SUM(D21:D27)</f>
        <v>30902424</v>
      </c>
      <c r="E29" s="1790"/>
      <c r="F29" s="1571"/>
      <c r="G29" s="1301">
        <f>SUM(G21:G27)</f>
        <v>637113</v>
      </c>
      <c r="H29" s="1571"/>
      <c r="I29" s="1571"/>
      <c r="J29" s="1571"/>
      <c r="K29" s="1571"/>
    </row>
    <row r="30" spans="1:11" ht="13.5" thickTop="1">
      <c r="A30" s="1285">
        <v>12</v>
      </c>
      <c r="B30" s="1571"/>
      <c r="C30" s="1571"/>
      <c r="D30" s="1571"/>
      <c r="E30" s="1571"/>
      <c r="F30" s="1571"/>
      <c r="G30" s="1571"/>
      <c r="H30" s="1571"/>
      <c r="I30" s="1571"/>
      <c r="J30" s="1571"/>
      <c r="K30" s="1571"/>
    </row>
    <row r="31" spans="1:11" ht="13.5" thickBot="1">
      <c r="A31" s="2741">
        <v>13</v>
      </c>
      <c r="B31" s="1571"/>
      <c r="C31" s="1581" t="s">
        <v>743</v>
      </c>
      <c r="D31" s="1571"/>
      <c r="E31" s="1571"/>
      <c r="F31" s="1571"/>
      <c r="G31" s="1327">
        <f>ROUND(G29/D29,5)</f>
        <v>2.0619999999999999E-2</v>
      </c>
      <c r="H31" s="1571"/>
      <c r="I31" s="1571"/>
      <c r="J31" s="1571"/>
      <c r="K31" s="1571"/>
    </row>
    <row r="32" spans="1:11" ht="13.5" thickTop="1">
      <c r="A32" s="1571"/>
      <c r="B32" s="1571"/>
      <c r="C32" s="1571"/>
      <c r="D32" s="1571"/>
      <c r="E32" s="1571"/>
      <c r="F32" s="1571"/>
      <c r="G32" s="1571"/>
      <c r="H32" s="1571"/>
      <c r="I32" s="1571"/>
      <c r="J32" s="1571"/>
      <c r="K32" s="1571"/>
    </row>
    <row r="33" spans="1:11">
      <c r="A33" s="1571"/>
      <c r="B33" s="1571"/>
      <c r="C33" s="1571"/>
      <c r="D33" s="1571"/>
      <c r="E33" s="1571"/>
      <c r="F33" s="1571"/>
      <c r="G33" s="1571"/>
      <c r="H33" s="1571"/>
      <c r="I33" s="1571"/>
      <c r="J33" s="1571"/>
      <c r="K33" s="1571"/>
    </row>
    <row r="34" spans="1:11">
      <c r="A34" s="1571"/>
      <c r="B34" s="1571"/>
      <c r="C34" s="1571"/>
      <c r="D34" s="1571"/>
      <c r="E34" s="1571"/>
      <c r="F34" s="1571"/>
      <c r="G34" s="1571"/>
      <c r="H34" s="1571"/>
      <c r="I34" s="1571"/>
      <c r="J34" s="1571"/>
      <c r="K34" s="1571"/>
    </row>
    <row r="35" spans="1:11">
      <c r="A35" s="1571"/>
      <c r="B35" s="1571"/>
      <c r="C35" s="1571"/>
      <c r="D35" s="1571"/>
      <c r="E35" s="1571"/>
      <c r="F35" s="1571"/>
      <c r="G35" s="1571"/>
      <c r="H35" s="1571"/>
      <c r="I35" s="1571"/>
      <c r="J35" s="1571"/>
      <c r="K35" s="1571"/>
    </row>
    <row r="36" spans="1:11">
      <c r="A36" s="1571"/>
      <c r="B36" s="1571"/>
      <c r="C36" s="1571"/>
      <c r="D36" s="1571"/>
      <c r="E36" s="1571"/>
      <c r="F36" s="1571"/>
      <c r="G36" s="1571"/>
      <c r="H36" s="1571"/>
      <c r="I36" s="1571"/>
      <c r="J36" s="1571"/>
      <c r="K36" s="1571"/>
    </row>
    <row r="37" spans="1:11">
      <c r="A37" s="1571"/>
      <c r="B37" s="1571"/>
      <c r="C37" s="1571"/>
      <c r="D37" s="1571"/>
      <c r="E37" s="1571"/>
      <c r="F37" s="1571"/>
      <c r="G37" s="1571"/>
      <c r="H37" s="1571"/>
      <c r="I37" s="1571"/>
      <c r="J37" s="1571"/>
      <c r="K37" s="1571"/>
    </row>
    <row r="38" spans="1:11">
      <c r="A38" s="1571"/>
      <c r="B38" s="1571"/>
      <c r="C38" s="1571"/>
      <c r="D38" s="1571"/>
      <c r="E38" s="1571"/>
      <c r="F38" s="1571"/>
      <c r="G38" s="1571"/>
      <c r="H38" s="1571"/>
      <c r="I38" s="1571"/>
      <c r="J38" s="1571"/>
      <c r="K38" s="1571"/>
    </row>
    <row r="39" spans="1:11">
      <c r="A39" s="1571"/>
      <c r="B39" s="1571"/>
      <c r="C39" s="1571"/>
      <c r="D39" s="1571"/>
      <c r="E39" s="1571"/>
      <c r="F39" s="1571"/>
      <c r="G39" s="1571"/>
      <c r="H39" s="1571"/>
      <c r="I39" s="1571"/>
      <c r="J39" s="1571"/>
      <c r="K39" s="1571"/>
    </row>
    <row r="40" spans="1:11">
      <c r="A40" s="1571"/>
      <c r="B40" s="1571"/>
      <c r="C40" s="1571"/>
      <c r="D40" s="1571"/>
      <c r="E40" s="1571"/>
      <c r="F40" s="1571"/>
      <c r="G40" s="1571"/>
      <c r="H40" s="1571"/>
      <c r="I40" s="1571"/>
      <c r="J40" s="1571"/>
      <c r="K40" s="1571"/>
    </row>
    <row r="41" spans="1:11">
      <c r="A41" s="1571"/>
      <c r="B41" s="1571"/>
      <c r="C41" s="1571"/>
      <c r="D41" s="1571"/>
      <c r="E41" s="1571"/>
      <c r="F41" s="1571"/>
      <c r="G41" s="1571"/>
      <c r="H41" s="1571"/>
      <c r="I41" s="1571"/>
      <c r="J41" s="1571"/>
      <c r="K41" s="1571"/>
    </row>
    <row r="42" spans="1:11">
      <c r="A42" s="1571"/>
      <c r="B42" s="1571"/>
      <c r="C42" s="1571"/>
      <c r="D42" s="1571"/>
      <c r="E42" s="1571"/>
      <c r="F42" s="1571"/>
      <c r="G42" s="1571"/>
      <c r="H42" s="1571"/>
      <c r="I42" s="1571"/>
      <c r="J42" s="1571"/>
      <c r="K42" s="1571"/>
    </row>
    <row r="43" spans="1:11">
      <c r="A43" s="1571"/>
      <c r="B43" s="1571"/>
      <c r="C43" s="1571"/>
      <c r="D43" s="1571"/>
      <c r="E43" s="1571"/>
      <c r="F43" s="1571"/>
      <c r="G43" s="1571"/>
      <c r="H43" s="1571"/>
      <c r="I43" s="1571"/>
      <c r="J43" s="1571"/>
      <c r="K43" s="1571"/>
    </row>
    <row r="44" spans="1:11">
      <c r="A44" s="1571"/>
      <c r="B44" s="1571"/>
      <c r="C44" s="1571"/>
      <c r="D44" s="1571"/>
      <c r="E44" s="1571"/>
      <c r="F44" s="1571"/>
      <c r="G44" s="1571"/>
      <c r="H44" s="1571"/>
      <c r="I44" s="1571"/>
      <c r="J44" s="1571"/>
      <c r="K44" s="1571"/>
    </row>
    <row r="45" spans="1:11">
      <c r="A45" s="1571"/>
      <c r="B45" s="1571"/>
      <c r="C45" s="1571"/>
      <c r="D45" s="1571"/>
      <c r="E45" s="1571"/>
      <c r="F45" s="1571"/>
      <c r="G45" s="1571"/>
      <c r="H45" s="1571"/>
      <c r="I45" s="1571"/>
      <c r="J45" s="1571"/>
      <c r="K45" s="1571"/>
    </row>
    <row r="46" spans="1:11">
      <c r="A46" s="1571"/>
      <c r="B46" s="1571"/>
      <c r="C46" s="1571"/>
      <c r="D46" s="1571"/>
      <c r="E46" s="1571"/>
      <c r="F46" s="1571"/>
      <c r="G46" s="1571"/>
      <c r="H46" s="1571"/>
      <c r="I46" s="1571"/>
      <c r="J46" s="1571"/>
      <c r="K46" s="1571"/>
    </row>
    <row r="47" spans="1:11">
      <c r="A47" s="1571"/>
      <c r="B47" s="1571"/>
      <c r="C47" s="1571"/>
      <c r="D47" s="1571"/>
      <c r="E47" s="1571"/>
      <c r="F47" s="1571"/>
      <c r="G47" s="1571"/>
      <c r="H47" s="1571"/>
      <c r="I47" s="1571"/>
      <c r="J47" s="1571"/>
      <c r="K47" s="1571"/>
    </row>
    <row r="48" spans="1:11">
      <c r="A48" s="1571"/>
      <c r="B48" s="1571"/>
      <c r="C48" s="1571"/>
      <c r="D48" s="1571"/>
      <c r="E48" s="1571"/>
      <c r="F48" s="1571"/>
      <c r="G48" s="1571"/>
      <c r="H48" s="1571"/>
      <c r="I48" s="1571"/>
      <c r="J48" s="1571"/>
      <c r="K48" s="1571"/>
    </row>
    <row r="49" spans="1:11">
      <c r="A49" s="1571"/>
      <c r="B49" s="1571"/>
      <c r="C49" s="1571"/>
      <c r="D49" s="1571"/>
      <c r="E49" s="1571"/>
      <c r="F49" s="1571"/>
      <c r="G49" s="1571"/>
      <c r="H49" s="1571"/>
      <c r="I49" s="1571"/>
      <c r="J49" s="1571"/>
      <c r="K49" s="1571"/>
    </row>
    <row r="50" spans="1:11">
      <c r="A50" s="1571"/>
      <c r="B50" s="1571"/>
      <c r="C50" s="1571"/>
      <c r="D50" s="1571"/>
      <c r="E50" s="1571"/>
      <c r="F50" s="1571"/>
      <c r="G50" s="1571"/>
      <c r="H50" s="1571"/>
      <c r="I50" s="1571"/>
      <c r="J50" s="1571"/>
      <c r="K50" s="1571"/>
    </row>
  </sheetData>
  <phoneticPr fontId="19" type="noConversion"/>
  <pageMargins left="0.75" right="0.75" top="1" bottom="1" header="0.5" footer="0.5"/>
  <pageSetup scale="59" orientation="portrait" horizontalDpi="300" verticalDpi="300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theme="3" tint="-0.249977111117893"/>
  </sheetPr>
  <dimension ref="A1:M47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6" style="18" customWidth="1"/>
    <col min="2" max="2" width="1.42578125" style="18" customWidth="1"/>
    <col min="3" max="3" width="39.28515625" style="18" customWidth="1"/>
    <col min="4" max="4" width="16.42578125" style="18" customWidth="1"/>
    <col min="5" max="7" width="13.28515625" style="18" customWidth="1"/>
    <col min="8" max="8" width="15.7109375" style="18" customWidth="1"/>
    <col min="9" max="9" width="17.85546875" style="18" customWidth="1"/>
    <col min="10" max="16384" width="8" style="18"/>
  </cols>
  <sheetData>
    <row r="1" spans="1:13">
      <c r="A1" s="229" t="str">
        <f>COMPANY</f>
        <v>DUKE ENERGY KENTUCKY, INC.</v>
      </c>
      <c r="B1" s="397"/>
      <c r="C1" s="397"/>
      <c r="D1" s="397"/>
      <c r="E1" s="397"/>
      <c r="F1" s="397"/>
      <c r="G1" s="397"/>
      <c r="H1" s="397"/>
      <c r="I1" s="397"/>
      <c r="J1" s="1571"/>
      <c r="K1" s="1571"/>
      <c r="L1" s="1571"/>
      <c r="M1" s="1571"/>
    </row>
    <row r="2" spans="1:13">
      <c r="A2" s="229" t="str">
        <f>CASE</f>
        <v>CASE NO. 2017-00321</v>
      </c>
      <c r="B2" s="397"/>
      <c r="C2" s="397"/>
      <c r="D2" s="397"/>
      <c r="E2" s="397"/>
      <c r="F2" s="397"/>
      <c r="G2" s="397"/>
      <c r="H2" s="397"/>
      <c r="I2" s="397"/>
      <c r="J2" s="1571"/>
      <c r="K2" s="1571"/>
      <c r="L2" s="1571"/>
      <c r="M2" s="1571"/>
    </row>
    <row r="3" spans="1:13">
      <c r="A3" s="633" t="s">
        <v>1829</v>
      </c>
      <c r="B3" s="397"/>
      <c r="C3" s="397"/>
      <c r="D3" s="397"/>
      <c r="E3" s="397"/>
      <c r="F3" s="397"/>
      <c r="G3" s="397"/>
      <c r="H3" s="397"/>
      <c r="I3" s="397"/>
      <c r="J3" s="1571"/>
      <c r="K3" s="1571"/>
      <c r="L3" s="1571"/>
      <c r="M3" s="1571"/>
    </row>
    <row r="4" spans="1:13">
      <c r="A4" s="76" t="str">
        <f>"THIRTEEN MONTH AVERAGE BALANCE ENDING "&amp;Testyear</f>
        <v>THIRTEEN MONTH AVERAGE BALANCE ENDING MARCH 31, 2019</v>
      </c>
      <c r="B4" s="397"/>
      <c r="C4" s="397"/>
      <c r="D4" s="397"/>
      <c r="E4" s="397"/>
      <c r="F4" s="397"/>
      <c r="G4" s="397"/>
      <c r="H4" s="397"/>
      <c r="I4" s="397"/>
      <c r="J4" s="1571"/>
      <c r="K4" s="1571"/>
      <c r="L4" s="1571"/>
      <c r="M4" s="1571"/>
    </row>
    <row r="5" spans="1:13">
      <c r="A5" s="229" t="s">
        <v>1611</v>
      </c>
      <c r="B5" s="397"/>
      <c r="C5" s="397"/>
      <c r="D5" s="397"/>
      <c r="E5" s="397"/>
      <c r="F5" s="397"/>
      <c r="G5" s="397"/>
      <c r="H5" s="397"/>
      <c r="I5" s="397"/>
      <c r="J5" s="1571"/>
      <c r="K5" s="1571"/>
      <c r="L5" s="1571"/>
      <c r="M5" s="1571"/>
    </row>
    <row r="6" spans="1:13">
      <c r="A6" s="229"/>
      <c r="B6" s="397"/>
      <c r="C6" s="397"/>
      <c r="D6" s="397"/>
      <c r="E6" s="397"/>
      <c r="F6" s="397"/>
      <c r="G6" s="397"/>
      <c r="H6" s="397"/>
      <c r="I6" s="397"/>
      <c r="J6" s="1571"/>
      <c r="K6" s="1571"/>
      <c r="L6" s="1571"/>
      <c r="M6" s="1571"/>
    </row>
    <row r="7" spans="1:13">
      <c r="A7" s="541" t="str">
        <f>DataF</f>
        <v>DATA:  BASE PERIOD  "X" FORECASTED PERIOD</v>
      </c>
      <c r="B7" s="1571"/>
      <c r="C7" s="1571"/>
      <c r="D7" s="1571"/>
      <c r="E7" s="1571"/>
      <c r="F7" s="1571"/>
      <c r="G7" s="1571"/>
      <c r="H7" s="1581" t="s">
        <v>1830</v>
      </c>
      <c r="I7" s="1581"/>
      <c r="J7" s="1571"/>
      <c r="K7" s="1571"/>
      <c r="L7" s="1571"/>
      <c r="M7" s="1571"/>
    </row>
    <row r="8" spans="1:13">
      <c r="A8" s="99" t="s">
        <v>2596</v>
      </c>
      <c r="B8" s="1571"/>
      <c r="C8" s="1571"/>
      <c r="D8" s="1571"/>
      <c r="E8" s="1571"/>
      <c r="F8" s="1571"/>
      <c r="G8" s="1571"/>
      <c r="H8" s="1581" t="s">
        <v>959</v>
      </c>
      <c r="I8" s="1581"/>
      <c r="J8" s="1571"/>
      <c r="K8" s="1571"/>
      <c r="L8" s="1571"/>
      <c r="M8" s="1571"/>
    </row>
    <row r="9" spans="1:13">
      <c r="A9" s="1581" t="str">
        <f>Type</f>
        <v xml:space="preserve">TYPE OF FILING:  "X" ORIGINAL   UPDATED    REVISED  </v>
      </c>
      <c r="B9" s="1571"/>
      <c r="C9" s="1571"/>
      <c r="D9" s="1571"/>
      <c r="E9" s="1571"/>
      <c r="F9" s="1571"/>
      <c r="G9" s="1571"/>
      <c r="H9" s="1581" t="s">
        <v>1644</v>
      </c>
      <c r="I9" s="1581"/>
      <c r="J9" s="1571"/>
      <c r="K9" s="1571"/>
      <c r="L9" s="1571"/>
      <c r="M9" s="1571"/>
    </row>
    <row r="10" spans="1:13">
      <c r="A10" s="1581" t="s">
        <v>1653</v>
      </c>
      <c r="B10" s="1571"/>
      <c r="C10" s="1571"/>
      <c r="D10" s="1571"/>
      <c r="E10" s="1571"/>
      <c r="F10" s="1571"/>
      <c r="G10" s="1571"/>
      <c r="H10" s="1581" t="str">
        <f>"   "&amp;_WIT4</f>
        <v xml:space="preserve">   J. L. SULLIVAN</v>
      </c>
      <c r="I10" s="1581"/>
      <c r="J10" s="1571"/>
      <c r="K10" s="1571"/>
      <c r="L10" s="1571"/>
      <c r="M10" s="1571"/>
    </row>
    <row r="11" spans="1:13">
      <c r="A11" s="1571"/>
      <c r="B11" s="1571"/>
      <c r="C11" s="1571"/>
      <c r="D11" s="1571"/>
      <c r="E11" s="1571"/>
      <c r="F11" s="1571"/>
      <c r="G11" s="1571"/>
      <c r="H11" s="1571"/>
      <c r="I11" s="1571"/>
      <c r="J11" s="1571"/>
      <c r="K11" s="1571"/>
      <c r="L11" s="1571"/>
      <c r="M11" s="1571"/>
    </row>
    <row r="12" spans="1:13">
      <c r="A12" s="180"/>
      <c r="B12" s="180"/>
      <c r="C12" s="180"/>
      <c r="D12" s="180"/>
      <c r="E12" s="180"/>
      <c r="F12" s="180"/>
      <c r="G12" s="180"/>
      <c r="H12" s="180"/>
      <c r="I12" s="180"/>
      <c r="J12" s="1571"/>
      <c r="K12" s="1571"/>
      <c r="L12" s="1571"/>
      <c r="M12" s="1571"/>
    </row>
    <row r="13" spans="1:13">
      <c r="A13" s="638"/>
      <c r="B13" s="638"/>
      <c r="C13" s="638"/>
      <c r="D13" s="638"/>
      <c r="E13" s="638"/>
      <c r="F13" s="1783" t="s">
        <v>1145</v>
      </c>
      <c r="G13" s="1783" t="s">
        <v>1145</v>
      </c>
      <c r="H13" s="1783"/>
      <c r="I13" s="638"/>
      <c r="J13" s="1571"/>
      <c r="K13" s="1571"/>
      <c r="L13" s="1571"/>
      <c r="M13" s="1571"/>
    </row>
    <row r="14" spans="1:13">
      <c r="F14" s="52" t="s">
        <v>749</v>
      </c>
      <c r="G14" s="52" t="s">
        <v>749</v>
      </c>
      <c r="H14" s="1346"/>
      <c r="J14" s="1571"/>
      <c r="K14" s="1571"/>
      <c r="L14" s="1571"/>
      <c r="M14" s="1571"/>
    </row>
    <row r="15" spans="1:13">
      <c r="A15" s="2741" t="s">
        <v>1961</v>
      </c>
      <c r="B15" s="1571"/>
      <c r="C15" s="1571"/>
      <c r="D15" s="2741" t="s">
        <v>364</v>
      </c>
      <c r="E15" s="2741" t="s">
        <v>808</v>
      </c>
      <c r="F15" s="2741" t="s">
        <v>755</v>
      </c>
      <c r="G15" s="2741" t="s">
        <v>1743</v>
      </c>
      <c r="H15" s="2741" t="s">
        <v>757</v>
      </c>
      <c r="I15" s="2741" t="s">
        <v>808</v>
      </c>
      <c r="J15" s="1571"/>
      <c r="K15" s="1571"/>
      <c r="L15" s="1571"/>
      <c r="M15" s="1571"/>
    </row>
    <row r="16" spans="1:13">
      <c r="A16" s="2741" t="s">
        <v>1854</v>
      </c>
      <c r="B16" s="1571"/>
      <c r="C16" s="2741" t="s">
        <v>1831</v>
      </c>
      <c r="D16" s="2741" t="s">
        <v>1832</v>
      </c>
      <c r="E16" s="2741" t="s">
        <v>806</v>
      </c>
      <c r="F16" s="2741" t="s">
        <v>759</v>
      </c>
      <c r="G16" s="2741" t="s">
        <v>1195</v>
      </c>
      <c r="H16" s="2741" t="s">
        <v>760</v>
      </c>
      <c r="I16" s="2741" t="s">
        <v>1833</v>
      </c>
      <c r="J16" s="1571"/>
      <c r="K16" s="1571"/>
      <c r="L16" s="1571"/>
      <c r="M16" s="1571"/>
    </row>
    <row r="17" spans="1:13">
      <c r="A17" s="1571"/>
      <c r="B17" s="1571"/>
      <c r="C17" s="2741" t="s">
        <v>296</v>
      </c>
      <c r="D17" s="240" t="s">
        <v>210</v>
      </c>
      <c r="E17" s="1784" t="s">
        <v>303</v>
      </c>
      <c r="F17" s="1784" t="s">
        <v>944</v>
      </c>
      <c r="G17" s="1784" t="s">
        <v>1935</v>
      </c>
      <c r="H17" s="1784" t="s">
        <v>2999</v>
      </c>
      <c r="I17" s="1785" t="s">
        <v>944</v>
      </c>
      <c r="J17" s="1571"/>
      <c r="K17" s="1571"/>
      <c r="L17" s="1571"/>
      <c r="M17" s="1571"/>
    </row>
    <row r="18" spans="1:13">
      <c r="A18" s="180"/>
      <c r="B18" s="180"/>
      <c r="C18" s="180"/>
      <c r="D18" s="180"/>
      <c r="E18" s="180"/>
      <c r="F18" s="180"/>
      <c r="G18" s="180"/>
      <c r="H18" s="180"/>
      <c r="I18" s="180"/>
      <c r="J18" s="1571"/>
      <c r="K18" s="1571"/>
      <c r="L18" s="1571"/>
      <c r="M18" s="1571"/>
    </row>
    <row r="19" spans="1:13">
      <c r="A19" s="638"/>
      <c r="B19" s="638"/>
      <c r="C19" s="638"/>
      <c r="D19" s="1786" t="s">
        <v>1150</v>
      </c>
      <c r="E19" s="1786" t="s">
        <v>1834</v>
      </c>
      <c r="F19" s="1787"/>
      <c r="G19" s="1787"/>
      <c r="H19" s="1787"/>
      <c r="I19" s="1786" t="s">
        <v>1150</v>
      </c>
      <c r="J19" s="1571"/>
      <c r="K19" s="1571"/>
      <c r="L19" s="1571"/>
      <c r="M19" s="1571"/>
    </row>
    <row r="20" spans="1:13">
      <c r="A20" s="2741">
        <v>1</v>
      </c>
      <c r="B20" s="1571"/>
      <c r="C20" s="1569" t="s">
        <v>2906</v>
      </c>
      <c r="D20" s="234"/>
      <c r="E20" s="1572"/>
      <c r="F20" s="1572"/>
      <c r="G20" s="1572"/>
      <c r="H20" s="1572"/>
      <c r="I20" s="1571"/>
      <c r="J20" s="1571"/>
      <c r="K20" s="1571"/>
      <c r="L20" s="1571"/>
      <c r="M20" s="1571"/>
    </row>
    <row r="21" spans="1:13">
      <c r="A21" s="1285">
        <v>2</v>
      </c>
      <c r="B21" s="1571"/>
      <c r="C21" s="647"/>
      <c r="D21" s="648"/>
      <c r="E21" s="649"/>
      <c r="F21" s="649"/>
      <c r="G21" s="649"/>
      <c r="H21" s="649"/>
      <c r="I21" s="1571"/>
      <c r="J21" s="1571"/>
      <c r="K21" s="1571"/>
      <c r="L21" s="1571"/>
      <c r="M21" s="1571"/>
    </row>
    <row r="22" spans="1:13">
      <c r="A22" s="2741">
        <v>3</v>
      </c>
      <c r="B22" s="1571"/>
      <c r="C22" s="1570" t="s">
        <v>2684</v>
      </c>
      <c r="D22" s="182">
        <v>164208</v>
      </c>
      <c r="E22" s="1492">
        <v>3.3301999999999998E-2</v>
      </c>
      <c r="F22" s="182"/>
      <c r="G22" s="182"/>
      <c r="H22" s="1574">
        <f>D22+F22-G22</f>
        <v>164208</v>
      </c>
      <c r="I22" s="1574">
        <f>ROUND(E22*H22,0)</f>
        <v>5468</v>
      </c>
      <c r="J22" s="1571"/>
      <c r="K22" s="1571"/>
      <c r="L22" s="1571"/>
      <c r="M22" s="1571"/>
    </row>
    <row r="23" spans="1:13">
      <c r="A23" s="2741">
        <v>4</v>
      </c>
      <c r="B23" s="1571"/>
      <c r="C23" s="1570" t="s">
        <v>999</v>
      </c>
      <c r="D23" s="182">
        <v>224453</v>
      </c>
      <c r="E23" s="1492">
        <v>8.6337999999999998E-2</v>
      </c>
      <c r="F23" s="182"/>
      <c r="G23" s="182"/>
      <c r="H23" s="1574">
        <f>D23+F23-G23</f>
        <v>224453</v>
      </c>
      <c r="I23" s="1459">
        <f>ROUND(D23*E23,0)</f>
        <v>19379</v>
      </c>
      <c r="J23" s="1571"/>
      <c r="K23" s="1571"/>
      <c r="L23" s="1571"/>
      <c r="M23" s="1571"/>
    </row>
    <row r="24" spans="1:13">
      <c r="A24" s="1285">
        <v>5</v>
      </c>
      <c r="B24" s="1571"/>
      <c r="C24" s="1571"/>
      <c r="D24" s="182"/>
      <c r="E24" s="1788"/>
      <c r="F24" s="182"/>
      <c r="G24" s="182"/>
      <c r="H24" s="1459"/>
      <c r="I24" s="1459"/>
      <c r="J24" s="1571"/>
      <c r="K24" s="1571"/>
      <c r="L24" s="1571"/>
      <c r="M24" s="1571"/>
    </row>
    <row r="25" spans="1:13">
      <c r="A25" s="2741">
        <v>6</v>
      </c>
      <c r="B25" s="1571"/>
      <c r="C25" s="1569" t="s">
        <v>740</v>
      </c>
      <c r="D25" s="182"/>
      <c r="E25" s="1788"/>
      <c r="F25" s="182"/>
      <c r="G25" s="182"/>
      <c r="H25" s="1459"/>
      <c r="I25" s="1459"/>
      <c r="J25" s="1571"/>
      <c r="K25" s="1571"/>
      <c r="L25" s="1571"/>
      <c r="M25" s="1571"/>
    </row>
    <row r="26" spans="1:13">
      <c r="A26" s="2741">
        <v>7</v>
      </c>
      <c r="B26" s="1571"/>
      <c r="C26" s="1571" t="s">
        <v>741</v>
      </c>
      <c r="D26" s="182">
        <v>30556687</v>
      </c>
      <c r="E26" s="1788">
        <v>2.3024461538461501E-2</v>
      </c>
      <c r="F26" s="182"/>
      <c r="G26" s="182"/>
      <c r="H26" s="1574">
        <f>D26+F26-G26</f>
        <v>30556687</v>
      </c>
      <c r="I26" s="1459">
        <f>ROUND(D26*E26,0)</f>
        <v>703551</v>
      </c>
      <c r="J26" s="1571"/>
      <c r="K26" s="1571"/>
      <c r="L26" s="1571"/>
      <c r="M26" s="1571"/>
    </row>
    <row r="27" spans="1:13">
      <c r="A27" s="1285">
        <v>8</v>
      </c>
      <c r="B27" s="1571"/>
      <c r="C27" s="1571"/>
      <c r="D27" s="182"/>
      <c r="E27" s="1788"/>
      <c r="F27" s="182"/>
      <c r="G27" s="182"/>
      <c r="H27" s="1459"/>
      <c r="I27" s="1459"/>
      <c r="J27" s="1571"/>
      <c r="K27" s="1571"/>
      <c r="L27" s="1571"/>
      <c r="M27" s="1571"/>
    </row>
    <row r="28" spans="1:13">
      <c r="A28" s="2741">
        <v>9</v>
      </c>
      <c r="B28" s="1571"/>
      <c r="C28" s="1569" t="s">
        <v>2907</v>
      </c>
      <c r="D28" s="182"/>
      <c r="E28" s="1788"/>
      <c r="F28" s="182"/>
      <c r="G28" s="182"/>
      <c r="H28" s="1459"/>
      <c r="I28" s="1459"/>
      <c r="J28" s="1571"/>
      <c r="K28" s="1571"/>
      <c r="L28" s="1571"/>
      <c r="M28" s="1571"/>
    </row>
    <row r="29" spans="1:13">
      <c r="A29" s="2741">
        <v>10</v>
      </c>
      <c r="B29" s="1571"/>
      <c r="C29" s="1571"/>
      <c r="D29" s="182"/>
      <c r="E29" s="1788"/>
      <c r="F29" s="182"/>
      <c r="G29" s="182"/>
      <c r="H29" s="1459"/>
      <c r="I29" s="1459"/>
      <c r="J29" s="1571"/>
      <c r="K29" s="1571"/>
      <c r="L29" s="1571"/>
      <c r="M29" s="1571"/>
    </row>
    <row r="30" spans="1:13">
      <c r="A30" s="1285">
        <v>11</v>
      </c>
      <c r="B30" s="1571"/>
      <c r="C30" s="341" t="s">
        <v>1001</v>
      </c>
      <c r="D30" s="182">
        <v>34392344</v>
      </c>
      <c r="E30" s="1492">
        <v>1.495E-2</v>
      </c>
      <c r="F30" s="182"/>
      <c r="G30" s="182"/>
      <c r="H30" s="1574">
        <f>D30+F30-G30</f>
        <v>34392344</v>
      </c>
      <c r="I30" s="1459">
        <f>ROUND(D30*E30,0)</f>
        <v>514166</v>
      </c>
      <c r="J30" s="1571"/>
      <c r="K30" s="1571"/>
      <c r="L30" s="1571"/>
      <c r="M30" s="1571"/>
    </row>
    <row r="31" spans="1:13">
      <c r="A31" s="2741">
        <v>12</v>
      </c>
      <c r="B31" s="1571"/>
      <c r="C31" s="1581"/>
      <c r="D31" s="1789"/>
      <c r="E31" s="1790"/>
      <c r="F31" s="1789"/>
      <c r="G31" s="1789"/>
      <c r="H31" s="1571"/>
      <c r="I31" s="1571"/>
      <c r="J31" s="1571"/>
      <c r="K31" s="1571"/>
      <c r="L31" s="1571"/>
      <c r="M31" s="1571"/>
    </row>
    <row r="32" spans="1:13">
      <c r="A32" s="2741">
        <v>13</v>
      </c>
      <c r="B32" s="1571"/>
      <c r="C32" s="1569" t="s">
        <v>2996</v>
      </c>
      <c r="D32" s="1789"/>
      <c r="E32" s="1790"/>
      <c r="F32" s="1789"/>
      <c r="G32" s="1789"/>
      <c r="H32" s="1571"/>
      <c r="I32" s="1571"/>
      <c r="J32" s="1571"/>
      <c r="K32" s="1571"/>
      <c r="L32" s="1571"/>
      <c r="M32" s="1571"/>
    </row>
    <row r="33" spans="1:13">
      <c r="A33" s="1285">
        <v>14</v>
      </c>
      <c r="B33" s="1571"/>
      <c r="C33" s="337" t="s">
        <v>2997</v>
      </c>
      <c r="D33" s="182">
        <v>46153846</v>
      </c>
      <c r="E33" s="1492">
        <v>4.65E-2</v>
      </c>
      <c r="F33" s="182">
        <v>-12197</v>
      </c>
      <c r="G33" s="182">
        <v>13778</v>
      </c>
      <c r="H33" s="1574">
        <f t="shared" ref="H33:H34" si="0">D33+F33-G33</f>
        <v>46127871</v>
      </c>
      <c r="I33" s="1617">
        <v>2182824</v>
      </c>
      <c r="J33" s="1571"/>
      <c r="K33" s="1571"/>
      <c r="L33" s="1571"/>
      <c r="M33" s="1571"/>
    </row>
    <row r="34" spans="1:13">
      <c r="A34" s="2741">
        <v>15</v>
      </c>
      <c r="B34" s="1571"/>
      <c r="C34" s="1581" t="s">
        <v>2998</v>
      </c>
      <c r="D34" s="1791"/>
      <c r="E34" s="1492"/>
      <c r="F34" s="1565"/>
      <c r="G34" s="182">
        <v>4981</v>
      </c>
      <c r="H34" s="1460">
        <f t="shared" si="0"/>
        <v>-4981</v>
      </c>
      <c r="I34" s="1628">
        <v>11139</v>
      </c>
      <c r="J34" s="1571"/>
      <c r="K34" s="1571"/>
      <c r="L34" s="1571"/>
      <c r="M34" s="1571"/>
    </row>
    <row r="35" spans="1:13">
      <c r="A35" s="2741">
        <v>16</v>
      </c>
      <c r="B35" s="1571"/>
      <c r="C35" s="1581"/>
      <c r="D35" s="1789"/>
      <c r="E35" s="1790"/>
      <c r="F35" s="1792"/>
      <c r="G35" s="1792"/>
      <c r="H35" s="1792"/>
      <c r="I35" s="1793"/>
      <c r="J35" s="1571"/>
      <c r="K35" s="1571"/>
      <c r="L35" s="1571"/>
      <c r="M35" s="1571"/>
    </row>
    <row r="36" spans="1:13" ht="13.5" thickBot="1">
      <c r="A36" s="1285">
        <v>17</v>
      </c>
      <c r="B36" s="1571"/>
      <c r="C36" s="1581" t="s">
        <v>742</v>
      </c>
      <c r="D36" s="1301">
        <f>SUM(D22:D34)</f>
        <v>111491538</v>
      </c>
      <c r="E36" s="1790"/>
      <c r="F36" s="1301">
        <f t="shared" ref="F36:H36" si="1">SUM(F22:F34)</f>
        <v>-12197</v>
      </c>
      <c r="G36" s="1301">
        <f t="shared" si="1"/>
        <v>18759</v>
      </c>
      <c r="H36" s="1301">
        <f t="shared" si="1"/>
        <v>111460582</v>
      </c>
      <c r="I36" s="1301">
        <f>SUM(I22:I34)</f>
        <v>3436527</v>
      </c>
      <c r="J36" s="1571"/>
      <c r="K36" s="1571"/>
      <c r="L36" s="1571"/>
      <c r="M36" s="1571"/>
    </row>
    <row r="37" spans="1:13" ht="13.5" thickTop="1">
      <c r="A37" s="2741">
        <v>18</v>
      </c>
      <c r="B37" s="1571"/>
      <c r="C37" s="1571"/>
      <c r="D37" s="1571"/>
      <c r="E37" s="1571"/>
      <c r="F37" s="1571"/>
      <c r="G37" s="1571"/>
      <c r="H37" s="1571"/>
      <c r="I37" s="1571"/>
      <c r="J37" s="1571"/>
      <c r="K37" s="1571"/>
      <c r="L37" s="1571"/>
      <c r="M37" s="1571"/>
    </row>
    <row r="38" spans="1:13" ht="13.5" thickBot="1">
      <c r="A38" s="2741">
        <v>19</v>
      </c>
      <c r="B38" s="1571"/>
      <c r="C38" s="1581" t="s">
        <v>743</v>
      </c>
      <c r="D38" s="1571"/>
      <c r="E38" s="1571"/>
      <c r="F38" s="1571"/>
      <c r="G38" s="1571"/>
      <c r="H38" s="1571"/>
      <c r="I38" s="1327">
        <f>ROUND(I36/H36,5)</f>
        <v>3.083E-2</v>
      </c>
      <c r="J38" s="1571"/>
      <c r="K38" s="1571"/>
      <c r="L38" s="1571"/>
      <c r="M38" s="1571"/>
    </row>
    <row r="39" spans="1:13" ht="13.5" thickTop="1">
      <c r="A39" s="1571"/>
      <c r="B39" s="1571"/>
      <c r="C39" s="1571"/>
      <c r="D39" s="1571"/>
      <c r="E39" s="1571"/>
      <c r="F39" s="1571"/>
      <c r="G39" s="1571"/>
      <c r="H39" s="1571"/>
      <c r="I39" s="1571"/>
      <c r="J39" s="1571"/>
      <c r="K39" s="1571"/>
      <c r="L39" s="1571"/>
      <c r="M39" s="1571"/>
    </row>
    <row r="40" spans="1:13">
      <c r="A40" s="1571"/>
      <c r="B40" s="1571"/>
      <c r="C40" s="1571"/>
      <c r="D40" s="1571"/>
      <c r="E40" s="1571"/>
      <c r="F40" s="1571"/>
      <c r="G40" s="1571"/>
      <c r="H40" s="1571"/>
      <c r="I40" s="1571"/>
      <c r="J40" s="1571"/>
      <c r="K40" s="1571"/>
      <c r="L40" s="1571"/>
      <c r="M40" s="1571"/>
    </row>
    <row r="41" spans="1:13">
      <c r="A41" s="1571"/>
      <c r="B41" s="1571"/>
      <c r="C41" s="1571"/>
      <c r="D41" s="1571"/>
      <c r="E41" s="1571"/>
      <c r="F41" s="1571"/>
      <c r="G41" s="1571"/>
      <c r="H41" s="1571"/>
      <c r="I41" s="1571"/>
      <c r="J41" s="1571"/>
      <c r="K41" s="1571"/>
      <c r="L41" s="1571"/>
      <c r="M41" s="1571"/>
    </row>
    <row r="42" spans="1:13">
      <c r="A42" s="1571"/>
      <c r="B42" s="1571"/>
      <c r="C42" s="1571"/>
      <c r="D42" s="1571"/>
      <c r="E42" s="1571"/>
      <c r="F42" s="1571"/>
      <c r="G42" s="1571"/>
      <c r="H42" s="1571"/>
      <c r="I42" s="1571"/>
      <c r="J42" s="1571"/>
      <c r="K42" s="1571"/>
      <c r="L42" s="1571"/>
      <c r="M42" s="1571"/>
    </row>
    <row r="43" spans="1:13">
      <c r="A43" s="1571"/>
      <c r="B43" s="1571"/>
      <c r="C43" s="1571"/>
      <c r="D43" s="1571"/>
      <c r="E43" s="1571"/>
      <c r="F43" s="1571"/>
      <c r="G43" s="1571"/>
      <c r="H43" s="1571"/>
      <c r="I43" s="1571"/>
      <c r="J43" s="1571"/>
      <c r="K43" s="1571"/>
      <c r="L43" s="1571"/>
      <c r="M43" s="1571"/>
    </row>
    <row r="44" spans="1:13">
      <c r="A44" s="1571"/>
      <c r="B44" s="1571"/>
      <c r="C44" s="1571"/>
      <c r="D44" s="1571"/>
      <c r="E44" s="1571"/>
      <c r="F44" s="1571"/>
      <c r="G44" s="1571"/>
      <c r="H44" s="1571"/>
      <c r="I44" s="1571"/>
      <c r="J44" s="1571"/>
      <c r="K44" s="1571"/>
      <c r="L44" s="1571"/>
      <c r="M44" s="1571"/>
    </row>
    <row r="45" spans="1:13">
      <c r="A45" s="1571"/>
      <c r="B45" s="1571"/>
      <c r="C45" s="1571"/>
      <c r="D45" s="1571"/>
      <c r="E45" s="1571"/>
      <c r="F45" s="1571"/>
      <c r="G45" s="1571"/>
      <c r="H45" s="1571"/>
      <c r="I45" s="1571"/>
      <c r="J45" s="1571"/>
      <c r="K45" s="1571"/>
      <c r="L45" s="1571"/>
      <c r="M45" s="1571"/>
    </row>
    <row r="46" spans="1:13">
      <c r="A46" s="1571"/>
      <c r="B46" s="1571"/>
      <c r="C46" s="1571"/>
      <c r="D46" s="1571"/>
      <c r="E46" s="1571"/>
      <c r="F46" s="1571"/>
      <c r="G46" s="1571"/>
      <c r="H46" s="1571"/>
      <c r="I46" s="1571"/>
      <c r="J46" s="1571"/>
      <c r="K46" s="1571"/>
      <c r="L46" s="1571"/>
      <c r="M46" s="1571"/>
    </row>
    <row r="47" spans="1:13">
      <c r="A47" s="1571"/>
      <c r="B47" s="1571"/>
      <c r="C47" s="1571"/>
      <c r="D47" s="1571"/>
      <c r="E47" s="1571"/>
      <c r="F47" s="1571"/>
      <c r="G47" s="1571"/>
      <c r="H47" s="1571"/>
      <c r="I47" s="1571"/>
      <c r="J47" s="1571"/>
      <c r="K47" s="1571"/>
      <c r="L47" s="1571"/>
      <c r="M47" s="1571"/>
    </row>
  </sheetData>
  <phoneticPr fontId="19" type="noConversion"/>
  <pageMargins left="0.75" right="0.75" top="1" bottom="1" header="0.5" footer="0.5"/>
  <pageSetup scale="59" orientation="portrait" horizontalDpi="300" verticalDpi="300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theme="3" tint="-0.249977111117893"/>
  </sheetPr>
  <dimension ref="A1:N67"/>
  <sheetViews>
    <sheetView tabSelected="1" view="pageLayout" zoomScaleNormal="70" workbookViewId="0">
      <selection activeCell="G1" sqref="G1"/>
    </sheetView>
  </sheetViews>
  <sheetFormatPr defaultColWidth="8" defaultRowHeight="12.75"/>
  <cols>
    <col min="1" max="1" width="6" style="18" customWidth="1"/>
    <col min="2" max="2" width="38" style="18" customWidth="1"/>
    <col min="3" max="3" width="19.140625" style="18" customWidth="1"/>
    <col min="4" max="4" width="10.28515625" style="18" customWidth="1"/>
    <col min="5" max="5" width="14.140625" style="18" customWidth="1"/>
    <col min="6" max="6" width="14.28515625" style="18" customWidth="1"/>
    <col min="7" max="7" width="15.28515625" style="18" customWidth="1"/>
    <col min="8" max="8" width="15.85546875" style="18" customWidth="1"/>
    <col min="9" max="9" width="14.28515625" style="18" customWidth="1"/>
    <col min="10" max="10" width="13.42578125" style="18" customWidth="1"/>
    <col min="11" max="11" width="18.140625" style="18" customWidth="1"/>
    <col min="12" max="12" width="14.85546875" style="18" customWidth="1"/>
    <col min="13" max="13" width="15" style="18" customWidth="1"/>
    <col min="14" max="14" width="15.7109375" style="18" bestFit="1" customWidth="1"/>
    <col min="15" max="16384" width="8" style="18"/>
  </cols>
  <sheetData>
    <row r="1" spans="1:14">
      <c r="A1" s="229" t="str">
        <f>COMPANY</f>
        <v>DUKE ENERGY KENTUCKY, INC.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1581"/>
    </row>
    <row r="2" spans="1:14">
      <c r="A2" s="229" t="str">
        <f>CASE</f>
        <v>CASE NO. 2017-00321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1581"/>
    </row>
    <row r="3" spans="1:14">
      <c r="A3" s="633" t="s">
        <v>744</v>
      </c>
      <c r="B3" s="633"/>
      <c r="C3" s="633"/>
      <c r="D3" s="633"/>
      <c r="E3" s="633"/>
      <c r="F3" s="633"/>
      <c r="G3" s="633"/>
      <c r="H3" s="633"/>
      <c r="I3" s="633"/>
      <c r="J3" s="633"/>
      <c r="K3" s="633"/>
      <c r="L3" s="633"/>
      <c r="M3" s="633"/>
      <c r="N3" s="174"/>
    </row>
    <row r="4" spans="1:14">
      <c r="A4" s="76" t="str">
        <f>"AS OF " &amp;RIGHT(TESTYR,(LEN(TESTYR)-16))</f>
        <v>AS OF NOVEMBER 30, 2017</v>
      </c>
      <c r="B4" s="633"/>
      <c r="C4" s="633"/>
      <c r="D4" s="633"/>
      <c r="E4" s="633"/>
      <c r="F4" s="633"/>
      <c r="G4" s="633"/>
      <c r="H4" s="633"/>
      <c r="I4" s="633"/>
      <c r="J4" s="633"/>
      <c r="K4" s="633"/>
      <c r="L4" s="633"/>
      <c r="M4" s="633"/>
      <c r="N4" s="174"/>
    </row>
    <row r="5" spans="1:14">
      <c r="A5" s="229" t="s">
        <v>1611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1581"/>
    </row>
    <row r="6" spans="1:14">
      <c r="A6" s="229"/>
      <c r="B6" s="229"/>
      <c r="C6" s="229"/>
      <c r="D6" s="397"/>
      <c r="E6" s="634"/>
      <c r="F6" s="397"/>
      <c r="G6" s="635"/>
      <c r="H6" s="635"/>
      <c r="I6" s="397"/>
      <c r="J6" s="397"/>
      <c r="K6" s="635"/>
      <c r="L6" s="635"/>
      <c r="M6" s="636"/>
      <c r="N6" s="1571"/>
    </row>
    <row r="7" spans="1:14">
      <c r="A7" s="541" t="str">
        <f>Data</f>
        <v>DATA: "X" BASE PERIOD   FORECASTED PERIOD</v>
      </c>
      <c r="B7" s="1571"/>
      <c r="C7" s="1571"/>
      <c r="D7" s="637"/>
      <c r="E7" s="400"/>
      <c r="F7" s="1571"/>
      <c r="G7" s="1459"/>
      <c r="H7" s="1459"/>
      <c r="I7" s="1459"/>
      <c r="J7" s="1459"/>
      <c r="K7" s="1571"/>
      <c r="L7" s="1581" t="s">
        <v>745</v>
      </c>
      <c r="M7" s="1571"/>
      <c r="N7" s="1571"/>
    </row>
    <row r="8" spans="1:14">
      <c r="A8" s="99" t="s">
        <v>1340</v>
      </c>
      <c r="B8" s="1571"/>
      <c r="C8" s="1571"/>
      <c r="D8" s="637"/>
      <c r="E8" s="1571"/>
      <c r="F8" s="1571"/>
      <c r="G8" s="1459"/>
      <c r="H8" s="1459"/>
      <c r="I8" s="1459"/>
      <c r="J8" s="1459"/>
      <c r="K8" s="1571"/>
      <c r="L8" s="1581" t="s">
        <v>1458</v>
      </c>
      <c r="M8" s="1571"/>
      <c r="N8" s="1571"/>
    </row>
    <row r="9" spans="1:14">
      <c r="A9" s="1581" t="str">
        <f>Type</f>
        <v xml:space="preserve">TYPE OF FILING:  "X" ORIGINAL   UPDATED    REVISED  </v>
      </c>
      <c r="B9" s="1571"/>
      <c r="C9" s="1571"/>
      <c r="D9" s="637"/>
      <c r="E9" s="1571"/>
      <c r="F9" s="1571"/>
      <c r="G9" s="1459"/>
      <c r="H9" s="1459"/>
      <c r="I9" s="1459"/>
      <c r="J9" s="1571"/>
      <c r="K9" s="1571"/>
      <c r="L9" s="1581" t="s">
        <v>622</v>
      </c>
      <c r="M9" s="1571"/>
      <c r="N9" s="400"/>
    </row>
    <row r="10" spans="1:14">
      <c r="A10" s="1581" t="s">
        <v>1653</v>
      </c>
      <c r="B10" s="1571"/>
      <c r="C10" s="1571"/>
      <c r="D10" s="637"/>
      <c r="E10" s="1571"/>
      <c r="F10" s="1571"/>
      <c r="G10" s="1571"/>
      <c r="H10" s="1571"/>
      <c r="I10" s="1571"/>
      <c r="J10" s="1571"/>
      <c r="K10" s="1571"/>
      <c r="L10" s="99" t="str">
        <f>_WIT4</f>
        <v>J. L. SULLIVAN</v>
      </c>
      <c r="M10" s="1571"/>
      <c r="N10" s="400"/>
    </row>
    <row r="11" spans="1:14">
      <c r="A11" s="180"/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</row>
    <row r="12" spans="1:14">
      <c r="A12" s="638"/>
      <c r="B12" s="638"/>
      <c r="C12" s="638"/>
      <c r="D12" s="638"/>
      <c r="E12" s="638"/>
      <c r="F12" s="638"/>
      <c r="G12" s="638"/>
      <c r="H12" s="638"/>
      <c r="I12" s="638"/>
      <c r="J12" s="638"/>
      <c r="K12" s="638"/>
      <c r="L12" s="638"/>
      <c r="M12" s="639"/>
      <c r="N12" s="1571"/>
    </row>
    <row r="13" spans="1:14">
      <c r="A13" s="1571"/>
      <c r="B13" s="2809" t="s">
        <v>746</v>
      </c>
      <c r="C13" s="2809"/>
      <c r="D13" s="2809"/>
      <c r="E13" s="2741" t="s">
        <v>1962</v>
      </c>
      <c r="F13" s="2741" t="s">
        <v>747</v>
      </c>
      <c r="G13" s="1571"/>
      <c r="H13" s="2741" t="s">
        <v>748</v>
      </c>
      <c r="I13" s="2741" t="s">
        <v>749</v>
      </c>
      <c r="J13" s="2741" t="s">
        <v>749</v>
      </c>
      <c r="K13" s="2741" t="s">
        <v>750</v>
      </c>
      <c r="L13" s="1571"/>
      <c r="M13" s="2741" t="s">
        <v>751</v>
      </c>
      <c r="N13" s="1571"/>
    </row>
    <row r="14" spans="1:14">
      <c r="A14" s="2741" t="s">
        <v>1961</v>
      </c>
      <c r="B14" s="2809" t="s">
        <v>752</v>
      </c>
      <c r="C14" s="2809"/>
      <c r="D14" s="2809"/>
      <c r="E14" s="2741" t="s">
        <v>753</v>
      </c>
      <c r="F14" s="2741" t="s">
        <v>1962</v>
      </c>
      <c r="G14" s="2741" t="s">
        <v>754</v>
      </c>
      <c r="H14" s="2741" t="s">
        <v>364</v>
      </c>
      <c r="I14" s="2741" t="s">
        <v>755</v>
      </c>
      <c r="J14" s="2741" t="s">
        <v>1743</v>
      </c>
      <c r="K14" s="2741" t="s">
        <v>756</v>
      </c>
      <c r="L14" s="2741" t="s">
        <v>757</v>
      </c>
      <c r="M14" s="2741" t="s">
        <v>808</v>
      </c>
      <c r="N14" s="1571"/>
    </row>
    <row r="15" spans="1:14">
      <c r="A15" s="2741" t="s">
        <v>1854</v>
      </c>
      <c r="B15" s="2809" t="s">
        <v>806</v>
      </c>
      <c r="C15" s="2809"/>
      <c r="D15" s="2809"/>
      <c r="E15" s="2741" t="s">
        <v>758</v>
      </c>
      <c r="F15" s="2741" t="s">
        <v>758</v>
      </c>
      <c r="G15" s="2741" t="s">
        <v>364</v>
      </c>
      <c r="H15" s="2741" t="s">
        <v>1832</v>
      </c>
      <c r="I15" s="2741" t="s">
        <v>759</v>
      </c>
      <c r="J15" s="2741" t="s">
        <v>1195</v>
      </c>
      <c r="K15" s="2741" t="s">
        <v>1743</v>
      </c>
      <c r="L15" s="2741" t="s">
        <v>760</v>
      </c>
      <c r="M15" s="2741" t="s">
        <v>761</v>
      </c>
      <c r="N15" s="1571"/>
    </row>
    <row r="16" spans="1:14">
      <c r="A16" s="1571"/>
      <c r="B16" s="1571"/>
      <c r="C16" s="1571"/>
      <c r="D16" s="1571"/>
      <c r="E16" s="2741" t="s">
        <v>296</v>
      </c>
      <c r="F16" s="2741" t="s">
        <v>210</v>
      </c>
      <c r="G16" s="2741" t="s">
        <v>303</v>
      </c>
      <c r="H16" s="2741" t="s">
        <v>944</v>
      </c>
      <c r="I16" s="2741" t="s">
        <v>1935</v>
      </c>
      <c r="J16" s="2741" t="s">
        <v>298</v>
      </c>
      <c r="K16" s="2741" t="s">
        <v>300</v>
      </c>
      <c r="L16" s="2741" t="s">
        <v>762</v>
      </c>
      <c r="M16" s="2741" t="s">
        <v>945</v>
      </c>
      <c r="N16" s="1571"/>
    </row>
    <row r="17" spans="1:14">
      <c r="A17" s="180"/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571"/>
    </row>
    <row r="18" spans="1:14">
      <c r="A18" s="638"/>
      <c r="B18" s="638"/>
      <c r="C18" s="638"/>
      <c r="D18" s="638"/>
      <c r="E18" s="638"/>
      <c r="F18" s="638"/>
      <c r="G18" s="638"/>
      <c r="H18" s="638"/>
      <c r="I18" s="638"/>
      <c r="J18" s="638"/>
      <c r="K18" s="638"/>
      <c r="L18" s="638"/>
      <c r="M18" s="638"/>
      <c r="N18" s="1571"/>
    </row>
    <row r="19" spans="1:14">
      <c r="A19" s="2741">
        <v>1</v>
      </c>
      <c r="B19" s="1569" t="s">
        <v>3001</v>
      </c>
      <c r="C19" s="1581"/>
      <c r="D19" s="1571"/>
      <c r="E19" s="1571"/>
      <c r="F19" s="1571"/>
      <c r="G19" s="1571"/>
      <c r="H19" s="1571"/>
      <c r="I19" s="1571"/>
      <c r="J19" s="1571"/>
      <c r="K19" s="1571"/>
      <c r="L19" s="1571"/>
      <c r="M19" s="1571"/>
      <c r="N19" s="1571"/>
    </row>
    <row r="20" spans="1:14">
      <c r="A20" s="2741">
        <v>2</v>
      </c>
      <c r="B20" s="1572"/>
      <c r="C20" s="1572"/>
      <c r="D20" s="1571"/>
      <c r="E20" s="1571"/>
      <c r="F20" s="1571"/>
      <c r="G20" s="1583"/>
      <c r="H20" s="1583"/>
      <c r="I20" s="1583"/>
      <c r="J20" s="1583"/>
      <c r="K20" s="1781"/>
      <c r="L20" s="1582"/>
      <c r="M20" s="1582"/>
      <c r="N20" s="1571"/>
    </row>
    <row r="21" spans="1:14">
      <c r="A21" s="2741">
        <v>3</v>
      </c>
      <c r="B21" s="1570" t="s">
        <v>2683</v>
      </c>
      <c r="C21" s="1698"/>
      <c r="D21" s="1699">
        <v>4.8205798572407567E-2</v>
      </c>
      <c r="E21" s="1700">
        <v>39924</v>
      </c>
      <c r="F21" s="1700">
        <v>43211</v>
      </c>
      <c r="G21" s="1701">
        <v>3429432</v>
      </c>
      <c r="H21" s="1701">
        <v>572048</v>
      </c>
      <c r="I21" s="1576">
        <v>0</v>
      </c>
      <c r="J21" s="1576">
        <v>0</v>
      </c>
      <c r="K21" s="1576">
        <v>0</v>
      </c>
      <c r="L21" s="1574">
        <f>H21+I21-J21-K21</f>
        <v>572048</v>
      </c>
      <c r="M21" s="1575">
        <f>ROUND(L21*D21,0)</f>
        <v>27576</v>
      </c>
      <c r="N21" s="1571"/>
    </row>
    <row r="22" spans="1:14">
      <c r="A22" s="2741">
        <v>4</v>
      </c>
      <c r="B22" s="1570" t="s">
        <v>2684</v>
      </c>
      <c r="C22" s="1698"/>
      <c r="D22" s="1699">
        <v>3.3301555648229231E-2</v>
      </c>
      <c r="E22" s="1700">
        <v>40347</v>
      </c>
      <c r="F22" s="1700">
        <v>43634</v>
      </c>
      <c r="G22" s="1701">
        <v>955061</v>
      </c>
      <c r="H22" s="1701">
        <v>177475</v>
      </c>
      <c r="I22" s="1576">
        <v>0</v>
      </c>
      <c r="J22" s="1576">
        <v>0</v>
      </c>
      <c r="K22" s="1576">
        <v>0</v>
      </c>
      <c r="L22" s="1574">
        <f>H22+I22-J22-K22</f>
        <v>177475</v>
      </c>
      <c r="M22" s="1575">
        <f>ROUND(L22*D22,0)</f>
        <v>5910</v>
      </c>
      <c r="N22" s="1571"/>
    </row>
    <row r="23" spans="1:14">
      <c r="A23" s="2741">
        <v>5</v>
      </c>
      <c r="B23" s="1570" t="s">
        <v>999</v>
      </c>
      <c r="C23" s="1698"/>
      <c r="D23" s="1699">
        <v>8.6337730154361636E-2</v>
      </c>
      <c r="E23" s="1700">
        <v>39081</v>
      </c>
      <c r="F23" s="1700">
        <v>44104</v>
      </c>
      <c r="G23" s="1701">
        <v>2100000</v>
      </c>
      <c r="H23" s="1701">
        <v>428998</v>
      </c>
      <c r="I23" s="1576">
        <v>0</v>
      </c>
      <c r="J23" s="1576">
        <v>0</v>
      </c>
      <c r="K23" s="1576">
        <v>0</v>
      </c>
      <c r="L23" s="1574">
        <f>H23+I23-J23-K23</f>
        <v>428998</v>
      </c>
      <c r="M23" s="1575">
        <f>ROUND(L23*D23,0)</f>
        <v>37039</v>
      </c>
      <c r="N23" s="1571"/>
    </row>
    <row r="24" spans="1:14">
      <c r="A24" s="2741">
        <v>6</v>
      </c>
      <c r="B24" s="1570"/>
      <c r="C24" s="1698"/>
      <c r="D24" s="1699"/>
      <c r="E24" s="1700"/>
      <c r="F24" s="1700"/>
      <c r="G24" s="1576"/>
      <c r="H24" s="1701"/>
      <c r="I24" s="1576"/>
      <c r="J24" s="1576"/>
      <c r="K24" s="1576"/>
      <c r="L24" s="1574"/>
      <c r="M24" s="1575"/>
      <c r="N24" s="1571"/>
    </row>
    <row r="25" spans="1:14">
      <c r="A25" s="2741">
        <v>7</v>
      </c>
      <c r="B25" s="1580" t="s">
        <v>2908</v>
      </c>
      <c r="C25" s="1704"/>
      <c r="D25" s="1705"/>
      <c r="E25" s="412"/>
      <c r="F25" s="412"/>
      <c r="G25" s="412"/>
      <c r="H25" s="412"/>
      <c r="I25" s="412"/>
      <c r="J25" s="412"/>
      <c r="K25" s="412"/>
      <c r="L25" s="1571"/>
      <c r="M25" s="1571"/>
      <c r="N25" s="1571"/>
    </row>
    <row r="26" spans="1:14">
      <c r="A26" s="2741">
        <v>8</v>
      </c>
      <c r="B26" s="1584"/>
      <c r="C26" s="1704"/>
      <c r="D26" s="1705"/>
      <c r="E26" s="412"/>
      <c r="F26" s="412"/>
      <c r="G26" s="412"/>
      <c r="H26" s="412"/>
      <c r="I26" s="412"/>
      <c r="J26" s="412"/>
      <c r="K26" s="412"/>
      <c r="L26" s="1571"/>
      <c r="M26" s="1571"/>
      <c r="N26" s="1571"/>
    </row>
    <row r="27" spans="1:14">
      <c r="A27" s="2741">
        <v>9</v>
      </c>
      <c r="B27" s="1571" t="s">
        <v>763</v>
      </c>
      <c r="C27" s="412"/>
      <c r="D27" s="1705"/>
      <c r="E27" s="412"/>
      <c r="F27" s="412"/>
      <c r="G27" s="412"/>
      <c r="H27" s="412"/>
      <c r="I27" s="412"/>
      <c r="J27" s="412"/>
      <c r="K27" s="65">
        <v>98190</v>
      </c>
      <c r="L27" s="1574">
        <f t="shared" ref="L27:L33" si="0">H27+I27-J27-K27</f>
        <v>-98190</v>
      </c>
      <c r="M27" s="1576">
        <v>39276</v>
      </c>
      <c r="N27" s="1490"/>
    </row>
    <row r="28" spans="1:14">
      <c r="A28" s="2741">
        <v>10</v>
      </c>
      <c r="B28" s="1571" t="s">
        <v>1569</v>
      </c>
      <c r="C28" s="412"/>
      <c r="D28" s="1705"/>
      <c r="E28" s="412"/>
      <c r="F28" s="412"/>
      <c r="G28" s="412"/>
      <c r="H28" s="412"/>
      <c r="I28" s="412"/>
      <c r="J28" s="412"/>
      <c r="K28" s="65">
        <v>110772</v>
      </c>
      <c r="L28" s="1574">
        <f t="shared" si="0"/>
        <v>-110772</v>
      </c>
      <c r="M28" s="1576">
        <v>37479</v>
      </c>
      <c r="N28" s="1490"/>
    </row>
    <row r="29" spans="1:14">
      <c r="A29" s="2741">
        <v>11</v>
      </c>
      <c r="B29" s="1571" t="s">
        <v>764</v>
      </c>
      <c r="C29" s="412"/>
      <c r="D29" s="1705"/>
      <c r="E29" s="412"/>
      <c r="F29" s="412"/>
      <c r="G29" s="412"/>
      <c r="H29" s="412"/>
      <c r="I29" s="412"/>
      <c r="J29" s="412"/>
      <c r="K29" s="65">
        <v>106077</v>
      </c>
      <c r="L29" s="1574">
        <f t="shared" si="0"/>
        <v>-106077</v>
      </c>
      <c r="M29" s="1576">
        <v>66996</v>
      </c>
      <c r="N29" s="1490"/>
    </row>
    <row r="30" spans="1:14">
      <c r="A30" s="2741">
        <v>12</v>
      </c>
      <c r="B30" s="1571" t="s">
        <v>1000</v>
      </c>
      <c r="C30" s="412"/>
      <c r="D30" s="1705"/>
      <c r="E30" s="412"/>
      <c r="F30" s="412"/>
      <c r="G30" s="412"/>
      <c r="H30" s="412"/>
      <c r="I30" s="412"/>
      <c r="J30" s="412"/>
      <c r="K30" s="65">
        <v>487347</v>
      </c>
      <c r="L30" s="1574">
        <f t="shared" si="0"/>
        <v>-487347</v>
      </c>
      <c r="M30" s="1576">
        <v>63938</v>
      </c>
      <c r="N30" s="1490"/>
    </row>
    <row r="31" spans="1:14">
      <c r="A31" s="2741">
        <v>13</v>
      </c>
      <c r="B31" s="1571" t="s">
        <v>2685</v>
      </c>
      <c r="C31" s="412"/>
      <c r="D31" s="1705"/>
      <c r="E31" s="412"/>
      <c r="F31" s="412"/>
      <c r="G31" s="412"/>
      <c r="H31" s="412"/>
      <c r="I31" s="412"/>
      <c r="J31" s="412"/>
      <c r="K31" s="65">
        <v>235143</v>
      </c>
      <c r="L31" s="1574">
        <f t="shared" si="0"/>
        <v>-235143</v>
      </c>
      <c r="M31" s="1576">
        <v>38654</v>
      </c>
      <c r="N31" s="1490"/>
    </row>
    <row r="32" spans="1:14">
      <c r="A32" s="2741">
        <v>14</v>
      </c>
      <c r="B32" s="1571" t="s">
        <v>2686</v>
      </c>
      <c r="C32" s="412"/>
      <c r="D32" s="1705"/>
      <c r="E32" s="412"/>
      <c r="F32" s="412"/>
      <c r="G32" s="412"/>
      <c r="H32" s="412"/>
      <c r="I32" s="412"/>
      <c r="J32" s="412"/>
      <c r="K32" s="65">
        <v>22611</v>
      </c>
      <c r="L32" s="1574">
        <f t="shared" si="0"/>
        <v>-22611</v>
      </c>
      <c r="M32" s="1576">
        <v>4563</v>
      </c>
      <c r="N32" s="1490"/>
    </row>
    <row r="33" spans="1:14">
      <c r="A33" s="2741">
        <v>15</v>
      </c>
      <c r="B33" s="1571" t="s">
        <v>2687</v>
      </c>
      <c r="C33" s="412"/>
      <c r="D33" s="1705"/>
      <c r="E33" s="412"/>
      <c r="F33" s="412"/>
      <c r="G33" s="412"/>
      <c r="H33" s="412"/>
      <c r="I33" s="412"/>
      <c r="J33" s="412"/>
      <c r="K33" s="65">
        <v>150498</v>
      </c>
      <c r="L33" s="1574">
        <f t="shared" si="0"/>
        <v>-150498</v>
      </c>
      <c r="M33" s="1576">
        <v>15569</v>
      </c>
      <c r="N33" s="1490"/>
    </row>
    <row r="34" spans="1:14">
      <c r="A34" s="2741">
        <v>16</v>
      </c>
      <c r="B34" s="1581"/>
      <c r="C34" s="1704"/>
      <c r="D34" s="1705"/>
      <c r="E34" s="412"/>
      <c r="F34" s="412"/>
      <c r="G34" s="412"/>
      <c r="H34" s="412"/>
      <c r="I34" s="412"/>
      <c r="J34" s="412"/>
      <c r="K34" s="1493"/>
      <c r="L34" s="1582"/>
      <c r="M34" s="1493"/>
      <c r="N34" s="1490"/>
    </row>
    <row r="35" spans="1:14">
      <c r="A35" s="2741">
        <v>17</v>
      </c>
      <c r="B35" s="1580" t="s">
        <v>2909</v>
      </c>
      <c r="C35" s="1704"/>
      <c r="D35" s="1705"/>
      <c r="E35" s="412"/>
      <c r="F35" s="412"/>
      <c r="G35" s="412"/>
      <c r="H35" s="412"/>
      <c r="I35" s="412"/>
      <c r="J35" s="412"/>
      <c r="K35" s="1493"/>
      <c r="L35" s="1582"/>
      <c r="M35" s="1493"/>
      <c r="N35" s="1490"/>
    </row>
    <row r="36" spans="1:14">
      <c r="A36" s="2741">
        <v>18</v>
      </c>
      <c r="B36" s="1580"/>
      <c r="C36" s="1704"/>
      <c r="D36" s="1705"/>
      <c r="E36" s="412"/>
      <c r="F36" s="412"/>
      <c r="G36" s="412"/>
      <c r="H36" s="412"/>
      <c r="I36" s="412"/>
      <c r="J36" s="412"/>
      <c r="K36" s="1493"/>
      <c r="L36" s="1582"/>
      <c r="M36" s="1493"/>
      <c r="N36" s="1490"/>
    </row>
    <row r="37" spans="1:14">
      <c r="A37" s="2741">
        <v>19</v>
      </c>
      <c r="B37" s="1577" t="s">
        <v>2689</v>
      </c>
      <c r="C37" s="1699">
        <v>1.5100000000000001E-2</v>
      </c>
      <c r="D37" s="1699" t="s">
        <v>1570</v>
      </c>
      <c r="E37" s="1702"/>
      <c r="F37" s="1702">
        <v>44636</v>
      </c>
      <c r="G37" s="1701">
        <v>25000000</v>
      </c>
      <c r="H37" s="1701">
        <f>G37</f>
        <v>25000000</v>
      </c>
      <c r="I37" s="1576">
        <v>0</v>
      </c>
      <c r="J37" s="1576">
        <v>0</v>
      </c>
      <c r="K37" s="1576">
        <v>0</v>
      </c>
      <c r="L37" s="1574">
        <f>H37+I37-J37-K37</f>
        <v>25000000</v>
      </c>
      <c r="M37" s="1576">
        <v>377400</v>
      </c>
      <c r="N37" s="1490"/>
    </row>
    <row r="38" spans="1:14">
      <c r="A38" s="2741">
        <v>20</v>
      </c>
      <c r="B38" s="1577" t="s">
        <v>46</v>
      </c>
      <c r="C38" s="1699">
        <v>3.8600000000000002E-2</v>
      </c>
      <c r="D38" s="1699" t="s">
        <v>1570</v>
      </c>
      <c r="E38" s="1702">
        <v>38924</v>
      </c>
      <c r="F38" s="1702">
        <v>46600</v>
      </c>
      <c r="G38" s="1701">
        <v>26720000</v>
      </c>
      <c r="H38" s="65">
        <f t="shared" ref="H38:H46" si="1">G38</f>
        <v>26720000</v>
      </c>
      <c r="I38" s="1576">
        <v>0</v>
      </c>
      <c r="J38" s="65">
        <v>192551</v>
      </c>
      <c r="K38" s="1493">
        <v>0</v>
      </c>
      <c r="L38" s="1574">
        <f t="shared" ref="L38:L48" si="2">H38+I38-J38-K38</f>
        <v>26527449</v>
      </c>
      <c r="M38" s="1576">
        <v>1051311</v>
      </c>
      <c r="N38" s="1491"/>
    </row>
    <row r="39" spans="1:14">
      <c r="A39" s="2741">
        <v>21</v>
      </c>
      <c r="B39" s="1577" t="s">
        <v>46</v>
      </c>
      <c r="C39" s="1699">
        <v>1.669E-2</v>
      </c>
      <c r="D39" s="1699" t="s">
        <v>1570</v>
      </c>
      <c r="E39" s="1702">
        <v>39785</v>
      </c>
      <c r="F39" s="1702">
        <v>46600</v>
      </c>
      <c r="G39" s="1701">
        <v>50000000</v>
      </c>
      <c r="H39" s="65">
        <f t="shared" si="1"/>
        <v>50000000</v>
      </c>
      <c r="I39" s="1576">
        <v>0</v>
      </c>
      <c r="J39" s="65">
        <v>226820</v>
      </c>
      <c r="K39" s="1493">
        <v>0</v>
      </c>
      <c r="L39" s="1574">
        <f t="shared" si="2"/>
        <v>49773180</v>
      </c>
      <c r="M39" s="1576">
        <v>857609</v>
      </c>
      <c r="N39" s="1491"/>
    </row>
    <row r="40" spans="1:14">
      <c r="A40" s="2741">
        <v>22</v>
      </c>
      <c r="B40" s="1577" t="s">
        <v>46</v>
      </c>
      <c r="C40" s="1699">
        <v>6.2E-2</v>
      </c>
      <c r="D40" s="1699" t="s">
        <v>1570</v>
      </c>
      <c r="E40" s="1702">
        <v>38786</v>
      </c>
      <c r="F40" s="1702">
        <v>49744</v>
      </c>
      <c r="G40" s="1701">
        <v>65000000</v>
      </c>
      <c r="H40" s="65">
        <f t="shared" si="1"/>
        <v>65000000</v>
      </c>
      <c r="I40" s="1701">
        <v>-224112</v>
      </c>
      <c r="J40" s="65">
        <v>398128</v>
      </c>
      <c r="K40" s="1493">
        <v>0</v>
      </c>
      <c r="L40" s="1574">
        <f t="shared" si="2"/>
        <v>64377760</v>
      </c>
      <c r="M40" s="1576">
        <v>4064049</v>
      </c>
      <c r="N40" s="1491"/>
    </row>
    <row r="41" spans="1:14">
      <c r="A41" s="2741">
        <v>23</v>
      </c>
      <c r="B41" s="1577" t="s">
        <v>46</v>
      </c>
      <c r="C41" s="1699">
        <v>4.65E-2</v>
      </c>
      <c r="D41" s="1699" t="s">
        <v>1570</v>
      </c>
      <c r="E41" s="1702">
        <v>40078</v>
      </c>
      <c r="F41" s="1702">
        <v>43739</v>
      </c>
      <c r="G41" s="1701">
        <v>100000000</v>
      </c>
      <c r="H41" s="1701">
        <f t="shared" si="1"/>
        <v>100000000</v>
      </c>
      <c r="I41" s="1701">
        <v>-68397</v>
      </c>
      <c r="J41" s="65">
        <v>77264</v>
      </c>
      <c r="K41" s="1576">
        <v>0</v>
      </c>
      <c r="L41" s="1574">
        <f t="shared" si="2"/>
        <v>99854339</v>
      </c>
      <c r="M41" s="1576">
        <v>4729451</v>
      </c>
      <c r="N41" s="1491"/>
    </row>
    <row r="42" spans="1:14">
      <c r="A42" s="2741">
        <v>24</v>
      </c>
      <c r="B42" s="1577" t="s">
        <v>46</v>
      </c>
      <c r="C42" s="1699">
        <v>3.4200000000000001E-2</v>
      </c>
      <c r="D42" s="1699" t="s">
        <v>1570</v>
      </c>
      <c r="E42" s="1702">
        <v>42374</v>
      </c>
      <c r="F42" s="1702">
        <v>46037</v>
      </c>
      <c r="G42" s="1701">
        <v>45000000</v>
      </c>
      <c r="H42" s="1701">
        <f t="shared" si="1"/>
        <v>45000000</v>
      </c>
      <c r="I42" s="1576">
        <v>0</v>
      </c>
      <c r="J42" s="65">
        <v>193399</v>
      </c>
      <c r="K42" s="1576">
        <v>0</v>
      </c>
      <c r="L42" s="1574">
        <f t="shared" si="2"/>
        <v>44806601</v>
      </c>
      <c r="M42" s="1576">
        <v>1561117</v>
      </c>
      <c r="N42" s="1491"/>
    </row>
    <row r="43" spans="1:14">
      <c r="A43" s="2741">
        <v>25</v>
      </c>
      <c r="B43" s="1577" t="s">
        <v>46</v>
      </c>
      <c r="C43" s="1699">
        <v>4.4499999999999998E-2</v>
      </c>
      <c r="D43" s="1699" t="s">
        <v>1570</v>
      </c>
      <c r="E43" s="1702">
        <v>42374</v>
      </c>
      <c r="F43" s="1702">
        <v>53342</v>
      </c>
      <c r="G43" s="1701">
        <v>50000000</v>
      </c>
      <c r="H43" s="1701">
        <f t="shared" si="1"/>
        <v>50000000</v>
      </c>
      <c r="I43" s="1576">
        <v>0</v>
      </c>
      <c r="J43" s="65">
        <v>249329</v>
      </c>
      <c r="K43" s="1576">
        <v>0</v>
      </c>
      <c r="L43" s="1574">
        <f t="shared" si="2"/>
        <v>49750671</v>
      </c>
      <c r="M43" s="1576">
        <v>2233314</v>
      </c>
      <c r="N43" s="1491"/>
    </row>
    <row r="44" spans="1:14">
      <c r="A44" s="2741">
        <v>26</v>
      </c>
      <c r="B44" s="1577" t="s">
        <v>2690</v>
      </c>
      <c r="C44" s="1699">
        <v>3.3500000000000002E-2</v>
      </c>
      <c r="D44" s="1699" t="s">
        <v>1570</v>
      </c>
      <c r="E44" s="1702">
        <v>42985</v>
      </c>
      <c r="F44" s="1702">
        <v>47376</v>
      </c>
      <c r="G44" s="1701">
        <v>30000000</v>
      </c>
      <c r="H44" s="1701">
        <f t="shared" si="1"/>
        <v>30000000</v>
      </c>
      <c r="I44" s="1576">
        <v>0</v>
      </c>
      <c r="J44" s="1576">
        <v>125040</v>
      </c>
      <c r="K44" s="1576">
        <v>0</v>
      </c>
      <c r="L44" s="1574">
        <f t="shared" si="2"/>
        <v>29874960</v>
      </c>
      <c r="M44" s="1576">
        <v>1015642</v>
      </c>
      <c r="N44" s="1491"/>
    </row>
    <row r="45" spans="1:14">
      <c r="A45" s="2741">
        <v>27</v>
      </c>
      <c r="B45" s="1577" t="s">
        <v>2690</v>
      </c>
      <c r="C45" s="1699">
        <v>4.1099999999999998E-2</v>
      </c>
      <c r="D45" s="1699" t="s">
        <v>1570</v>
      </c>
      <c r="E45" s="1702">
        <v>42985</v>
      </c>
      <c r="F45" s="1702">
        <v>53950</v>
      </c>
      <c r="G45" s="1701">
        <f>G44</f>
        <v>30000000</v>
      </c>
      <c r="H45" s="1701">
        <f t="shared" si="1"/>
        <v>30000000</v>
      </c>
      <c r="I45" s="1576">
        <v>0</v>
      </c>
      <c r="J45" s="1576">
        <v>126636</v>
      </c>
      <c r="K45" s="1576">
        <v>0</v>
      </c>
      <c r="L45" s="1574">
        <f t="shared" si="2"/>
        <v>29873364</v>
      </c>
      <c r="M45" s="1576">
        <v>1237257</v>
      </c>
      <c r="N45" s="1491"/>
    </row>
    <row r="46" spans="1:14">
      <c r="A46" s="2741">
        <v>28</v>
      </c>
      <c r="B46" s="1577" t="s">
        <v>2690</v>
      </c>
      <c r="C46" s="1699">
        <v>4.2599999999999999E-2</v>
      </c>
      <c r="D46" s="1699" t="s">
        <v>1570</v>
      </c>
      <c r="E46" s="1702">
        <v>42985</v>
      </c>
      <c r="F46" s="1702">
        <v>57603</v>
      </c>
      <c r="G46" s="1701">
        <f>G45</f>
        <v>30000000</v>
      </c>
      <c r="H46" s="1701">
        <f t="shared" si="1"/>
        <v>30000000</v>
      </c>
      <c r="I46" s="1576">
        <v>0</v>
      </c>
      <c r="J46" s="1576">
        <v>126902</v>
      </c>
      <c r="K46" s="1576">
        <v>0</v>
      </c>
      <c r="L46" s="1574">
        <f>H46+I46-J46-K46</f>
        <v>29873098</v>
      </c>
      <c r="M46" s="1576">
        <v>1281193</v>
      </c>
      <c r="N46" s="1491"/>
    </row>
    <row r="47" spans="1:14">
      <c r="A47" s="2741">
        <v>29</v>
      </c>
      <c r="B47" s="1577"/>
      <c r="C47" s="1699"/>
      <c r="D47" s="1699"/>
      <c r="E47" s="1702"/>
      <c r="F47" s="1702"/>
      <c r="G47" s="1701"/>
      <c r="H47" s="1701"/>
      <c r="I47" s="1576"/>
      <c r="J47" s="1576"/>
      <c r="K47" s="1576"/>
      <c r="L47" s="1574"/>
      <c r="M47" s="1576"/>
      <c r="N47" s="1491"/>
    </row>
    <row r="48" spans="1:14">
      <c r="A48" s="2741">
        <v>30</v>
      </c>
      <c r="B48" s="1577" t="s">
        <v>2691</v>
      </c>
      <c r="C48" s="1708"/>
      <c r="D48" s="1703"/>
      <c r="E48" s="1576">
        <v>0</v>
      </c>
      <c r="F48" s="1702">
        <v>44636</v>
      </c>
      <c r="G48" s="1576">
        <v>0</v>
      </c>
      <c r="H48" s="1576">
        <v>0</v>
      </c>
      <c r="I48" s="1576">
        <v>0</v>
      </c>
      <c r="J48" s="65">
        <v>370214</v>
      </c>
      <c r="K48" s="1576">
        <v>0</v>
      </c>
      <c r="L48" s="1574">
        <f t="shared" si="2"/>
        <v>-370214</v>
      </c>
      <c r="M48" s="1493">
        <v>86263</v>
      </c>
      <c r="N48" s="1491"/>
    </row>
    <row r="49" spans="1:14">
      <c r="A49" s="2741">
        <v>31</v>
      </c>
      <c r="B49" s="1577" t="s">
        <v>2692</v>
      </c>
      <c r="C49" s="1708"/>
      <c r="D49" s="1703"/>
      <c r="E49" s="1576">
        <v>0</v>
      </c>
      <c r="F49" s="1702">
        <v>43508</v>
      </c>
      <c r="G49" s="1576">
        <v>0</v>
      </c>
      <c r="H49" s="1576">
        <v>0</v>
      </c>
      <c r="I49" s="1576">
        <v>0</v>
      </c>
      <c r="J49" s="65">
        <v>15760</v>
      </c>
      <c r="K49" s="1576">
        <v>0</v>
      </c>
      <c r="L49" s="1574">
        <f>H49+I49-J49-K49</f>
        <v>-15760</v>
      </c>
      <c r="M49" s="1493">
        <v>13164</v>
      </c>
      <c r="N49" s="1491"/>
    </row>
    <row r="50" spans="1:14">
      <c r="A50" s="2741">
        <v>32</v>
      </c>
      <c r="B50" s="1568" t="s">
        <v>3000</v>
      </c>
      <c r="C50" s="641"/>
      <c r="D50" s="1579"/>
      <c r="E50" s="1573"/>
      <c r="F50" s="1578"/>
      <c r="G50" s="1573"/>
      <c r="H50" s="1573"/>
      <c r="I50" s="1573"/>
      <c r="J50" s="1782"/>
      <c r="K50" s="1573"/>
      <c r="L50" s="1574"/>
      <c r="M50" s="1493">
        <f>(26720000*0.00995)</f>
        <v>265864</v>
      </c>
      <c r="N50" s="1491"/>
    </row>
    <row r="51" spans="1:14">
      <c r="A51" s="2741">
        <v>33</v>
      </c>
      <c r="B51" s="1577"/>
      <c r="C51" s="641"/>
      <c r="D51" s="642"/>
      <c r="E51" s="640"/>
      <c r="F51" s="640"/>
      <c r="G51" s="1473"/>
      <c r="H51" s="1473"/>
      <c r="I51" s="1573"/>
      <c r="J51" s="1573"/>
      <c r="K51" s="1573"/>
      <c r="L51" s="1574"/>
      <c r="M51" s="1575"/>
      <c r="N51" s="1571"/>
    </row>
    <row r="52" spans="1:14" ht="13.5" thickBot="1">
      <c r="A52" s="2741">
        <v>34</v>
      </c>
      <c r="B52" s="1577"/>
      <c r="C52" s="1571"/>
      <c r="D52" s="1581" t="s">
        <v>1571</v>
      </c>
      <c r="E52" s="1571"/>
      <c r="F52" s="1571"/>
      <c r="G52" s="643">
        <f>SUM(G21:G50)</f>
        <v>458204493</v>
      </c>
      <c r="H52" s="643">
        <f>SUM(H21:H50)</f>
        <v>452898521</v>
      </c>
      <c r="I52" s="643">
        <f>SUM(I21:I47)</f>
        <v>-292509</v>
      </c>
      <c r="J52" s="643">
        <f>SUM(J21:J50)</f>
        <v>2102043</v>
      </c>
      <c r="K52" s="643">
        <f>SUM(K21:K47)</f>
        <v>1210638</v>
      </c>
      <c r="L52" s="643">
        <f>SUM(L21:L50)</f>
        <v>449293331</v>
      </c>
      <c r="M52" s="643">
        <f>SUM(M21:M50)</f>
        <v>19110634</v>
      </c>
      <c r="N52" s="1571"/>
    </row>
    <row r="53" spans="1:14" ht="13.5" thickTop="1">
      <c r="A53" s="2741">
        <v>35</v>
      </c>
      <c r="B53" s="1571"/>
      <c r="C53" s="1571"/>
      <c r="D53" s="1571"/>
      <c r="E53" s="1571"/>
      <c r="F53" s="1571"/>
      <c r="G53" s="644"/>
      <c r="H53" s="645"/>
      <c r="I53" s="645"/>
      <c r="J53" s="645"/>
      <c r="K53" s="645"/>
      <c r="L53" s="645"/>
      <c r="M53" s="645"/>
      <c r="N53" s="1571"/>
    </row>
    <row r="54" spans="1:14">
      <c r="A54" s="2741">
        <v>36</v>
      </c>
      <c r="B54" s="1571"/>
      <c r="C54" s="1571"/>
      <c r="D54" s="1571"/>
      <c r="E54" s="1571"/>
      <c r="F54" s="1571"/>
      <c r="G54" s="646"/>
      <c r="H54" s="645"/>
      <c r="I54" s="645"/>
      <c r="J54" s="645"/>
      <c r="K54" s="645"/>
      <c r="L54" s="645"/>
      <c r="M54" s="645"/>
      <c r="N54" s="1571"/>
    </row>
    <row r="55" spans="1:14" ht="13.5" thickBot="1">
      <c r="A55" s="2741">
        <v>37</v>
      </c>
      <c r="B55" s="1571"/>
      <c r="C55" s="1571"/>
      <c r="D55" s="1581" t="s">
        <v>1572</v>
      </c>
      <c r="E55" s="1571"/>
      <c r="F55" s="1571"/>
      <c r="G55" s="1571"/>
      <c r="H55" s="1571"/>
      <c r="I55" s="1571"/>
      <c r="J55" s="1571"/>
      <c r="K55" s="1571"/>
      <c r="L55" s="1571"/>
      <c r="M55" s="1327">
        <f>ROUND(M52/L52,5)</f>
        <v>4.2529999999999998E-2</v>
      </c>
      <c r="N55" s="1572"/>
    </row>
    <row r="56" spans="1:14" ht="13.5" thickTop="1">
      <c r="A56" s="1571"/>
      <c r="B56" s="1571"/>
      <c r="C56" s="1571"/>
      <c r="D56" s="1571"/>
      <c r="E56" s="1571"/>
      <c r="F56" s="1571"/>
      <c r="G56" s="1571"/>
      <c r="H56" s="1571"/>
      <c r="I56" s="1571"/>
      <c r="J56" s="1571"/>
      <c r="K56" s="1571"/>
      <c r="L56" s="1571"/>
      <c r="M56" s="189"/>
      <c r="N56" s="1571"/>
    </row>
    <row r="57" spans="1:14">
      <c r="A57" s="1581" t="s">
        <v>1573</v>
      </c>
      <c r="B57" s="1571"/>
      <c r="C57" s="1571"/>
      <c r="D57" s="1571"/>
      <c r="E57" s="1571"/>
      <c r="F57" s="1571"/>
      <c r="G57" s="1571"/>
      <c r="H57" s="1571"/>
      <c r="I57" s="1571"/>
      <c r="J57" s="1571"/>
      <c r="K57" s="1571"/>
      <c r="L57" s="1571"/>
      <c r="M57" s="1571"/>
      <c r="N57" s="1571"/>
    </row>
    <row r="58" spans="1:14">
      <c r="A58" s="1581" t="s">
        <v>1574</v>
      </c>
      <c r="B58" s="1571"/>
      <c r="C58" s="1571"/>
      <c r="D58" s="1571"/>
      <c r="E58" s="1571"/>
      <c r="F58" s="1571"/>
      <c r="G58" s="1571"/>
      <c r="H58" s="1571"/>
      <c r="I58" s="1571"/>
      <c r="J58" s="1571"/>
      <c r="K58" s="1571"/>
      <c r="L58" s="1571"/>
      <c r="M58" s="1571"/>
      <c r="N58" s="1571"/>
    </row>
    <row r="59" spans="1:14">
      <c r="A59" s="1571"/>
      <c r="B59" s="1571"/>
      <c r="C59" s="1571"/>
      <c r="D59" s="637"/>
      <c r="E59" s="1571"/>
      <c r="F59" s="1571"/>
      <c r="G59" s="1571"/>
      <c r="H59" s="1571"/>
      <c r="I59" s="1571"/>
      <c r="J59" s="1571"/>
      <c r="K59" s="1571"/>
      <c r="L59" s="1571"/>
      <c r="M59" s="1571"/>
      <c r="N59" s="1571"/>
    </row>
    <row r="60" spans="1:14">
      <c r="A60" s="1571"/>
      <c r="B60" s="1571"/>
      <c r="C60" s="1571"/>
      <c r="D60" s="637"/>
      <c r="E60" s="1571"/>
      <c r="F60" s="1571"/>
      <c r="G60" s="1571"/>
      <c r="H60" s="1571"/>
      <c r="I60" s="1571"/>
      <c r="J60" s="1571"/>
      <c r="K60" s="1571"/>
      <c r="L60" s="1571"/>
      <c r="M60" s="1571"/>
      <c r="N60" s="1571"/>
    </row>
    <row r="61" spans="1:14">
      <c r="A61" s="1571"/>
      <c r="B61" s="1571"/>
      <c r="C61" s="1571"/>
      <c r="D61" s="637"/>
      <c r="E61" s="1571"/>
      <c r="F61" s="1571"/>
      <c r="G61" s="1571"/>
      <c r="H61" s="1571"/>
      <c r="I61" s="1571"/>
      <c r="J61" s="1571"/>
      <c r="K61" s="1571"/>
      <c r="L61" s="1571"/>
      <c r="M61" s="1571"/>
      <c r="N61" s="1571"/>
    </row>
    <row r="62" spans="1:14">
      <c r="A62" s="1571"/>
      <c r="B62" s="1571"/>
      <c r="C62" s="1571"/>
      <c r="D62" s="637"/>
      <c r="E62" s="1571"/>
      <c r="F62" s="1571"/>
      <c r="G62" s="1571"/>
      <c r="H62" s="1571"/>
      <c r="I62" s="1571"/>
      <c r="J62" s="1571"/>
      <c r="K62" s="1571"/>
      <c r="L62" s="1571"/>
      <c r="M62" s="1571"/>
      <c r="N62" s="1571"/>
    </row>
    <row r="63" spans="1:14">
      <c r="A63" s="1571"/>
      <c r="B63" s="1571"/>
      <c r="C63" s="1571"/>
      <c r="D63" s="637"/>
      <c r="E63" s="1571"/>
      <c r="F63" s="1571"/>
      <c r="G63" s="1571"/>
      <c r="H63" s="1571"/>
      <c r="I63" s="1571"/>
      <c r="J63" s="1571"/>
      <c r="K63" s="1571"/>
      <c r="L63" s="1571"/>
      <c r="M63" s="1571"/>
      <c r="N63" s="1571"/>
    </row>
    <row r="64" spans="1:14">
      <c r="A64" s="1571"/>
      <c r="B64" s="1571"/>
      <c r="C64" s="1571"/>
      <c r="D64" s="637"/>
      <c r="E64" s="1571"/>
      <c r="F64" s="1571"/>
      <c r="G64" s="1571"/>
      <c r="H64" s="1571"/>
      <c r="I64" s="1571"/>
      <c r="J64" s="1571"/>
      <c r="K64" s="1571"/>
      <c r="L64" s="1571"/>
      <c r="M64" s="1571"/>
      <c r="N64" s="1571"/>
    </row>
    <row r="65" spans="1:14">
      <c r="A65" s="1571"/>
      <c r="B65" s="1571"/>
      <c r="C65" s="1571"/>
      <c r="D65" s="637"/>
      <c r="E65" s="1571"/>
      <c r="F65" s="1571"/>
      <c r="G65" s="1571"/>
      <c r="H65" s="1571"/>
      <c r="I65" s="1571"/>
      <c r="J65" s="1571"/>
      <c r="K65" s="1571"/>
      <c r="L65" s="1571"/>
      <c r="M65" s="1571"/>
      <c r="N65" s="1571"/>
    </row>
    <row r="66" spans="1:14">
      <c r="A66" s="1571"/>
      <c r="B66" s="1571"/>
      <c r="C66" s="1571"/>
      <c r="D66" s="637"/>
      <c r="E66" s="1571"/>
      <c r="F66" s="1571"/>
      <c r="G66" s="1571"/>
      <c r="H66" s="1571"/>
      <c r="I66" s="1571"/>
      <c r="J66" s="1571"/>
      <c r="K66" s="1571"/>
      <c r="L66" s="1571"/>
      <c r="M66" s="1571"/>
      <c r="N66" s="1571"/>
    </row>
    <row r="67" spans="1:14">
      <c r="A67" s="1571"/>
      <c r="B67" s="1571"/>
      <c r="C67" s="1571"/>
      <c r="D67" s="637"/>
      <c r="E67" s="1571"/>
      <c r="F67" s="1571"/>
      <c r="G67" s="1571"/>
      <c r="H67" s="1571"/>
      <c r="I67" s="1571"/>
      <c r="J67" s="1571"/>
      <c r="K67" s="1571"/>
      <c r="L67" s="1571"/>
      <c r="M67" s="1571"/>
      <c r="N67" s="1571"/>
    </row>
  </sheetData>
  <mergeCells count="3">
    <mergeCell ref="B13:D13"/>
    <mergeCell ref="B14:D14"/>
    <mergeCell ref="B15:D15"/>
  </mergeCells>
  <phoneticPr fontId="19" type="noConversion"/>
  <pageMargins left="0.75" right="0.75" top="1" bottom="1" header="0.5" footer="0.5"/>
  <pageSetup scale="59" orientation="landscape" horizontalDpi="300" verticalDpi="300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theme="3" tint="-0.249977111117893"/>
  </sheetPr>
  <dimension ref="A1:N67"/>
  <sheetViews>
    <sheetView tabSelected="1" view="pageLayout" topLeftCell="A4" zoomScaleNormal="70" workbookViewId="0">
      <selection activeCell="G1" sqref="G1"/>
    </sheetView>
  </sheetViews>
  <sheetFormatPr defaultColWidth="8" defaultRowHeight="12.75"/>
  <cols>
    <col min="1" max="1" width="6" style="18" customWidth="1"/>
    <col min="2" max="2" width="36.140625" style="18" customWidth="1"/>
    <col min="3" max="3" width="17.42578125" style="18" customWidth="1"/>
    <col min="4" max="4" width="11.85546875" style="18" customWidth="1"/>
    <col min="5" max="5" width="14.140625" style="18" customWidth="1"/>
    <col min="6" max="6" width="14.28515625" style="18" customWidth="1"/>
    <col min="7" max="7" width="14.7109375" style="18" customWidth="1"/>
    <col min="8" max="8" width="15.5703125" style="18" customWidth="1"/>
    <col min="9" max="9" width="14.42578125" style="18" customWidth="1"/>
    <col min="10" max="10" width="12.5703125" style="18" customWidth="1"/>
    <col min="11" max="11" width="16.140625" style="18" customWidth="1"/>
    <col min="12" max="12" width="14.7109375" style="18" customWidth="1"/>
    <col min="13" max="13" width="14.140625" style="18" customWidth="1"/>
    <col min="14" max="14" width="15.7109375" style="18" bestFit="1" customWidth="1"/>
    <col min="15" max="16" width="8" style="18" customWidth="1"/>
    <col min="17" max="16384" width="8" style="18"/>
  </cols>
  <sheetData>
    <row r="1" spans="1:14" s="1571" customFormat="1">
      <c r="A1" s="229" t="str">
        <f>COMPANY</f>
        <v>DUKE ENERGY KENTUCKY, INC.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1581"/>
    </row>
    <row r="2" spans="1:14" s="1571" customFormat="1">
      <c r="A2" s="229" t="str">
        <f>CASE</f>
        <v>CASE NO. 2017-00321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1581"/>
    </row>
    <row r="3" spans="1:14" s="1571" customFormat="1">
      <c r="A3" s="633" t="s">
        <v>744</v>
      </c>
      <c r="B3" s="633"/>
      <c r="C3" s="633"/>
      <c r="D3" s="633"/>
      <c r="E3" s="633"/>
      <c r="F3" s="633"/>
      <c r="G3" s="633"/>
      <c r="H3" s="633"/>
      <c r="I3" s="633"/>
      <c r="J3" s="633"/>
      <c r="K3" s="633"/>
      <c r="L3" s="633"/>
      <c r="M3" s="633"/>
      <c r="N3" s="174"/>
    </row>
    <row r="4" spans="1:14" s="1571" customFormat="1">
      <c r="A4" s="76" t="str">
        <f>"THIRTEEN MONTH AVERAGE BALANCE ENDING "&amp;Testyear</f>
        <v>THIRTEEN MONTH AVERAGE BALANCE ENDING MARCH 31, 2019</v>
      </c>
      <c r="B4" s="633"/>
      <c r="C4" s="633"/>
      <c r="D4" s="633"/>
      <c r="E4" s="633"/>
      <c r="F4" s="633"/>
      <c r="G4" s="633"/>
      <c r="H4" s="633"/>
      <c r="I4" s="633"/>
      <c r="J4" s="633"/>
      <c r="K4" s="633"/>
      <c r="L4" s="633"/>
      <c r="M4" s="633"/>
      <c r="N4" s="174"/>
    </row>
    <row r="5" spans="1:14" s="1571" customFormat="1">
      <c r="A5" s="229" t="s">
        <v>1611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1581"/>
    </row>
    <row r="6" spans="1:14" s="1571" customFormat="1">
      <c r="A6" s="229"/>
      <c r="B6" s="229"/>
      <c r="C6" s="229"/>
      <c r="D6" s="397"/>
      <c r="E6" s="634"/>
      <c r="F6" s="397"/>
      <c r="G6" s="635"/>
      <c r="H6" s="635"/>
      <c r="I6" s="397"/>
      <c r="J6" s="397"/>
      <c r="K6" s="635"/>
      <c r="L6" s="635"/>
      <c r="M6" s="636"/>
    </row>
    <row r="7" spans="1:14" s="1571" customFormat="1">
      <c r="A7" s="541" t="str">
        <f>DataF</f>
        <v>DATA:  BASE PERIOD  "X" FORECASTED PERIOD</v>
      </c>
      <c r="D7" s="637"/>
      <c r="E7" s="400"/>
      <c r="G7" s="1459"/>
      <c r="H7" s="1459"/>
      <c r="I7" s="1459"/>
      <c r="J7" s="1459"/>
      <c r="L7" s="1581" t="s">
        <v>745</v>
      </c>
    </row>
    <row r="8" spans="1:14" s="1571" customFormat="1">
      <c r="A8" s="99" t="s">
        <v>2596</v>
      </c>
      <c r="D8" s="637"/>
      <c r="G8" s="1459"/>
      <c r="H8" s="1459"/>
      <c r="I8" s="1459"/>
      <c r="J8" s="1459"/>
      <c r="L8" s="1581" t="s">
        <v>86</v>
      </c>
    </row>
    <row r="9" spans="1:14" s="1571" customFormat="1">
      <c r="A9" s="1581" t="str">
        <f>Type</f>
        <v xml:space="preserve">TYPE OF FILING:  "X" ORIGINAL   UPDATED    REVISED  </v>
      </c>
      <c r="D9" s="637"/>
      <c r="G9" s="1459"/>
      <c r="H9" s="1459"/>
      <c r="I9" s="1459"/>
      <c r="L9" s="1581" t="s">
        <v>622</v>
      </c>
      <c r="N9" s="400"/>
    </row>
    <row r="10" spans="1:14" s="1571" customFormat="1">
      <c r="A10" s="1581" t="s">
        <v>1653</v>
      </c>
      <c r="D10" s="637"/>
      <c r="L10" s="99" t="str">
        <f>_WIT4</f>
        <v>J. L. SULLIVAN</v>
      </c>
      <c r="N10" s="400"/>
    </row>
    <row r="11" spans="1:14" s="1571" customFormat="1">
      <c r="A11" s="180"/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</row>
    <row r="12" spans="1:14" s="1571" customFormat="1">
      <c r="A12" s="638"/>
      <c r="B12" s="638"/>
      <c r="C12" s="638"/>
      <c r="D12" s="638"/>
      <c r="E12" s="638"/>
      <c r="F12" s="638"/>
      <c r="G12" s="638"/>
      <c r="H12" s="638"/>
      <c r="I12" s="638"/>
      <c r="J12" s="638"/>
      <c r="K12" s="638"/>
      <c r="L12" s="638"/>
      <c r="M12" s="639"/>
    </row>
    <row r="13" spans="1:14" s="1571" customFormat="1">
      <c r="B13" s="2809" t="s">
        <v>746</v>
      </c>
      <c r="C13" s="2809"/>
      <c r="D13" s="2809"/>
      <c r="E13" s="2741" t="s">
        <v>1962</v>
      </c>
      <c r="F13" s="2741" t="s">
        <v>747</v>
      </c>
      <c r="H13" s="2741" t="s">
        <v>748</v>
      </c>
      <c r="I13" s="2741" t="s">
        <v>749</v>
      </c>
      <c r="J13" s="2741" t="s">
        <v>749</v>
      </c>
      <c r="K13" s="2741" t="s">
        <v>750</v>
      </c>
      <c r="M13" s="2741" t="s">
        <v>751</v>
      </c>
    </row>
    <row r="14" spans="1:14" s="1571" customFormat="1">
      <c r="A14" s="2741" t="s">
        <v>1961</v>
      </c>
      <c r="B14" s="2809" t="s">
        <v>752</v>
      </c>
      <c r="C14" s="2809"/>
      <c r="D14" s="2809"/>
      <c r="E14" s="2741" t="s">
        <v>753</v>
      </c>
      <c r="F14" s="2741" t="s">
        <v>1962</v>
      </c>
      <c r="G14" s="2741" t="s">
        <v>754</v>
      </c>
      <c r="H14" s="2741" t="s">
        <v>364</v>
      </c>
      <c r="I14" s="2741" t="s">
        <v>755</v>
      </c>
      <c r="J14" s="2741" t="s">
        <v>1743</v>
      </c>
      <c r="K14" s="2741" t="s">
        <v>756</v>
      </c>
      <c r="L14" s="2741" t="s">
        <v>757</v>
      </c>
      <c r="M14" s="2741" t="s">
        <v>808</v>
      </c>
    </row>
    <row r="15" spans="1:14" s="1571" customFormat="1">
      <c r="A15" s="2741" t="s">
        <v>1854</v>
      </c>
      <c r="B15" s="2809" t="s">
        <v>806</v>
      </c>
      <c r="C15" s="2809"/>
      <c r="D15" s="2809"/>
      <c r="E15" s="2741" t="s">
        <v>758</v>
      </c>
      <c r="F15" s="2741" t="s">
        <v>758</v>
      </c>
      <c r="G15" s="2741" t="s">
        <v>364</v>
      </c>
      <c r="H15" s="2741" t="s">
        <v>1832</v>
      </c>
      <c r="I15" s="2741" t="s">
        <v>759</v>
      </c>
      <c r="J15" s="2741" t="s">
        <v>1195</v>
      </c>
      <c r="K15" s="2741" t="s">
        <v>1743</v>
      </c>
      <c r="L15" s="2741" t="s">
        <v>760</v>
      </c>
      <c r="M15" s="2741" t="s">
        <v>761</v>
      </c>
    </row>
    <row r="16" spans="1:14" s="1571" customFormat="1">
      <c r="E16" s="2741" t="s">
        <v>296</v>
      </c>
      <c r="F16" s="2741" t="s">
        <v>210</v>
      </c>
      <c r="G16" s="2741" t="s">
        <v>303</v>
      </c>
      <c r="H16" s="2741" t="s">
        <v>944</v>
      </c>
      <c r="I16" s="2741" t="s">
        <v>1935</v>
      </c>
      <c r="J16" s="2741" t="s">
        <v>298</v>
      </c>
      <c r="K16" s="2741" t="s">
        <v>300</v>
      </c>
      <c r="L16" s="2741" t="s">
        <v>762</v>
      </c>
      <c r="M16" s="2741" t="s">
        <v>945</v>
      </c>
    </row>
    <row r="17" spans="1:14" s="1571" customFormat="1">
      <c r="A17" s="180"/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</row>
    <row r="18" spans="1:14" s="1571" customFormat="1">
      <c r="A18" s="638"/>
      <c r="B18" s="638"/>
      <c r="C18" s="638"/>
      <c r="D18" s="638"/>
      <c r="E18" s="638"/>
      <c r="F18" s="638"/>
      <c r="G18" s="638"/>
      <c r="H18" s="638"/>
      <c r="I18" s="638"/>
      <c r="J18" s="638"/>
      <c r="K18" s="638"/>
      <c r="L18" s="638"/>
      <c r="M18" s="638"/>
    </row>
    <row r="19" spans="1:14" s="1571" customFormat="1">
      <c r="A19" s="2741">
        <v>1</v>
      </c>
      <c r="B19" s="1569" t="s">
        <v>3002</v>
      </c>
      <c r="C19" s="1581"/>
    </row>
    <row r="20" spans="1:14" s="1571" customFormat="1">
      <c r="A20" s="2741">
        <v>2</v>
      </c>
      <c r="B20" s="1572"/>
      <c r="C20" s="1572"/>
      <c r="K20" s="1582"/>
      <c r="L20" s="1582"/>
      <c r="M20" s="1582"/>
    </row>
    <row r="21" spans="1:14" s="1571" customFormat="1">
      <c r="A21" s="2741">
        <v>3</v>
      </c>
      <c r="B21" s="1570" t="s">
        <v>2683</v>
      </c>
      <c r="C21" s="1698"/>
      <c r="D21" s="1699">
        <v>4.8205798572407567E-2</v>
      </c>
      <c r="E21" s="1700">
        <v>39924</v>
      </c>
      <c r="F21" s="1700">
        <v>43211</v>
      </c>
      <c r="G21" s="1701">
        <v>3429432</v>
      </c>
      <c r="H21" s="1701">
        <v>36203</v>
      </c>
      <c r="I21" s="1576">
        <v>0</v>
      </c>
      <c r="J21" s="1576">
        <v>0</v>
      </c>
      <c r="K21" s="1576">
        <v>0</v>
      </c>
      <c r="L21" s="1574">
        <f>H21+I21-J21-K21</f>
        <v>36203</v>
      </c>
      <c r="M21" s="1575">
        <f>ROUND(L21*D21,0)</f>
        <v>1745</v>
      </c>
    </row>
    <row r="22" spans="1:14" s="1571" customFormat="1">
      <c r="A22" s="2741">
        <v>4</v>
      </c>
      <c r="B22" s="1570" t="s">
        <v>2684</v>
      </c>
      <c r="C22" s="1698"/>
      <c r="D22" s="1699">
        <v>3.3301555648229231E-2</v>
      </c>
      <c r="E22" s="1700">
        <v>40347</v>
      </c>
      <c r="F22" s="1700">
        <v>43634</v>
      </c>
      <c r="G22" s="1701">
        <v>955061</v>
      </c>
      <c r="H22" s="1701">
        <v>30699</v>
      </c>
      <c r="I22" s="1576">
        <v>0</v>
      </c>
      <c r="J22" s="1576">
        <v>0</v>
      </c>
      <c r="K22" s="1576">
        <v>0</v>
      </c>
      <c r="L22" s="1574">
        <f>H22+I22-J22-K22</f>
        <v>30699</v>
      </c>
      <c r="M22" s="1575">
        <f>ROUND(L22*D22,0)</f>
        <v>1022</v>
      </c>
    </row>
    <row r="23" spans="1:14" s="1571" customFormat="1">
      <c r="A23" s="2741">
        <v>5</v>
      </c>
      <c r="B23" s="1570" t="s">
        <v>999</v>
      </c>
      <c r="C23" s="1698"/>
      <c r="D23" s="1699">
        <v>8.6337730154361636E-2</v>
      </c>
      <c r="E23" s="1700">
        <v>39081</v>
      </c>
      <c r="F23" s="1700">
        <v>44104</v>
      </c>
      <c r="G23" s="1701">
        <v>2100000</v>
      </c>
      <c r="H23" s="1701">
        <v>240155</v>
      </c>
      <c r="I23" s="1576">
        <v>0</v>
      </c>
      <c r="J23" s="1576">
        <v>0</v>
      </c>
      <c r="K23" s="1576">
        <v>0</v>
      </c>
      <c r="L23" s="1574">
        <f>H23+I23-J23-K23</f>
        <v>240155</v>
      </c>
      <c r="M23" s="1575">
        <f>ROUND(L23*D23,0)</f>
        <v>20734</v>
      </c>
    </row>
    <row r="24" spans="1:14" s="1571" customFormat="1">
      <c r="A24" s="2741">
        <v>6</v>
      </c>
      <c r="B24" s="1570"/>
      <c r="C24" s="1698"/>
      <c r="D24" s="1699"/>
      <c r="E24" s="1700"/>
      <c r="F24" s="1700"/>
      <c r="G24" s="1576"/>
      <c r="H24" s="1701"/>
      <c r="I24" s="1576"/>
      <c r="J24" s="1576"/>
      <c r="K24" s="1576"/>
      <c r="L24" s="1574"/>
      <c r="M24" s="1573"/>
    </row>
    <row r="25" spans="1:14" s="1571" customFormat="1">
      <c r="A25" s="2741">
        <v>7</v>
      </c>
      <c r="B25" s="1580" t="s">
        <v>2908</v>
      </c>
      <c r="C25" s="1704"/>
      <c r="D25" s="1705"/>
      <c r="E25" s="412"/>
      <c r="F25" s="412"/>
      <c r="G25" s="412"/>
      <c r="H25" s="412"/>
      <c r="I25" s="412"/>
      <c r="J25" s="412"/>
      <c r="K25" s="412"/>
      <c r="M25" s="1583"/>
    </row>
    <row r="26" spans="1:14" s="1571" customFormat="1">
      <c r="A26" s="2741">
        <v>8</v>
      </c>
      <c r="B26" s="1584"/>
      <c r="C26" s="1704"/>
      <c r="D26" s="1705"/>
      <c r="E26" s="412"/>
      <c r="F26" s="412"/>
      <c r="G26" s="412"/>
      <c r="H26" s="412"/>
      <c r="I26" s="412"/>
      <c r="J26" s="412"/>
      <c r="K26" s="412"/>
      <c r="M26" s="1583"/>
    </row>
    <row r="27" spans="1:14" s="1571" customFormat="1">
      <c r="A27" s="2741">
        <v>9</v>
      </c>
      <c r="B27" s="1571" t="s">
        <v>763</v>
      </c>
      <c r="C27" s="412"/>
      <c r="D27" s="1706"/>
      <c r="E27" s="412"/>
      <c r="F27" s="412"/>
      <c r="G27" s="412"/>
      <c r="H27" s="412"/>
      <c r="I27" s="412"/>
      <c r="J27" s="412"/>
      <c r="K27" s="1576">
        <v>65460</v>
      </c>
      <c r="L27" s="1574">
        <f>H27+I27-J27-K27</f>
        <v>-65460</v>
      </c>
      <c r="M27" s="1576">
        <v>39276</v>
      </c>
      <c r="N27" s="1490"/>
    </row>
    <row r="28" spans="1:14" s="1571" customFormat="1">
      <c r="A28" s="2741">
        <v>10</v>
      </c>
      <c r="B28" s="1571" t="s">
        <v>1569</v>
      </c>
      <c r="C28" s="412"/>
      <c r="D28" s="1706"/>
      <c r="E28" s="412"/>
      <c r="F28" s="412"/>
      <c r="G28" s="412"/>
      <c r="H28" s="412"/>
      <c r="I28" s="412"/>
      <c r="J28" s="412"/>
      <c r="K28" s="65">
        <v>79539</v>
      </c>
      <c r="L28" s="1574">
        <f>H28+I28-J28-K28</f>
        <v>-79539</v>
      </c>
      <c r="M28" s="1576">
        <v>37479</v>
      </c>
      <c r="N28" s="1490"/>
    </row>
    <row r="29" spans="1:14" s="1571" customFormat="1">
      <c r="A29" s="2741">
        <v>11</v>
      </c>
      <c r="B29" s="1571" t="s">
        <v>764</v>
      </c>
      <c r="C29" s="412"/>
      <c r="D29" s="1706"/>
      <c r="E29" s="412"/>
      <c r="F29" s="412"/>
      <c r="G29" s="412"/>
      <c r="H29" s="412"/>
      <c r="I29" s="412"/>
      <c r="J29" s="412"/>
      <c r="K29" s="65">
        <v>50247</v>
      </c>
      <c r="L29" s="1574">
        <f t="shared" ref="L29:L33" si="0">H29+I29-J29-K29</f>
        <v>-50247</v>
      </c>
      <c r="M29" s="1576">
        <v>66996</v>
      </c>
      <c r="N29" s="1490"/>
    </row>
    <row r="30" spans="1:14" s="1571" customFormat="1">
      <c r="A30" s="2741">
        <v>12</v>
      </c>
      <c r="B30" s="1571" t="s">
        <v>1000</v>
      </c>
      <c r="C30" s="412"/>
      <c r="D30" s="1706"/>
      <c r="E30" s="412"/>
      <c r="F30" s="412"/>
      <c r="G30" s="412"/>
      <c r="H30" s="412"/>
      <c r="I30" s="412"/>
      <c r="J30" s="412"/>
      <c r="K30" s="65">
        <v>434065</v>
      </c>
      <c r="L30" s="1574">
        <f t="shared" si="0"/>
        <v>-434065</v>
      </c>
      <c r="M30" s="1576">
        <v>63938</v>
      </c>
      <c r="N30" s="1490"/>
    </row>
    <row r="31" spans="1:14" s="1571" customFormat="1">
      <c r="A31" s="2741">
        <v>13</v>
      </c>
      <c r="B31" s="1571" t="s">
        <v>2685</v>
      </c>
      <c r="C31" s="412"/>
      <c r="D31" s="1706"/>
      <c r="E31" s="412"/>
      <c r="F31" s="412"/>
      <c r="G31" s="412"/>
      <c r="H31" s="412"/>
      <c r="I31" s="412"/>
      <c r="J31" s="412"/>
      <c r="K31" s="1701">
        <v>202932</v>
      </c>
      <c r="L31" s="1574">
        <f t="shared" si="0"/>
        <v>-202932</v>
      </c>
      <c r="M31" s="1576">
        <v>38654</v>
      </c>
      <c r="N31" s="1490"/>
    </row>
    <row r="32" spans="1:14" s="1571" customFormat="1">
      <c r="A32" s="2741">
        <v>14</v>
      </c>
      <c r="B32" s="1571" t="s">
        <v>2686</v>
      </c>
      <c r="C32" s="412"/>
      <c r="D32" s="1706"/>
      <c r="E32" s="412"/>
      <c r="F32" s="412"/>
      <c r="G32" s="412"/>
      <c r="H32" s="412"/>
      <c r="I32" s="412"/>
      <c r="J32" s="412"/>
      <c r="K32" s="1701">
        <v>18809</v>
      </c>
      <c r="L32" s="1574">
        <f t="shared" si="0"/>
        <v>-18809</v>
      </c>
      <c r="M32" s="1576">
        <v>4563</v>
      </c>
      <c r="N32" s="1490"/>
    </row>
    <row r="33" spans="1:14" s="1571" customFormat="1">
      <c r="A33" s="2741">
        <v>15</v>
      </c>
      <c r="B33" s="1571" t="s">
        <v>2687</v>
      </c>
      <c r="C33" s="412"/>
      <c r="D33" s="1706"/>
      <c r="E33" s="412"/>
      <c r="F33" s="412"/>
      <c r="G33" s="412"/>
      <c r="H33" s="412"/>
      <c r="I33" s="412"/>
      <c r="J33" s="412"/>
      <c r="K33" s="1701">
        <v>137524</v>
      </c>
      <c r="L33" s="1574">
        <f t="shared" si="0"/>
        <v>-137524</v>
      </c>
      <c r="M33" s="1576">
        <v>15569</v>
      </c>
      <c r="N33" s="1490"/>
    </row>
    <row r="34" spans="1:14" s="1571" customFormat="1">
      <c r="A34" s="2741">
        <v>16</v>
      </c>
      <c r="C34" s="1707"/>
      <c r="D34" s="1706"/>
      <c r="E34" s="412"/>
      <c r="F34" s="412"/>
      <c r="G34" s="412"/>
      <c r="H34" s="412"/>
      <c r="I34" s="412"/>
      <c r="J34" s="412"/>
      <c r="K34" s="1493"/>
      <c r="L34" s="1574"/>
      <c r="M34" s="1493"/>
      <c r="N34" s="1490"/>
    </row>
    <row r="35" spans="1:14" s="1571" customFormat="1">
      <c r="A35" s="2741">
        <v>17</v>
      </c>
      <c r="B35" s="1580" t="s">
        <v>2909</v>
      </c>
      <c r="C35" s="1708"/>
      <c r="D35" s="1703"/>
      <c r="E35" s="1702"/>
      <c r="F35" s="1702"/>
      <c r="G35" s="1701"/>
      <c r="H35" s="1701"/>
      <c r="I35" s="1576"/>
      <c r="J35" s="1576"/>
      <c r="K35" s="1576"/>
      <c r="L35" s="1574"/>
      <c r="M35" s="1576"/>
      <c r="N35" s="1490"/>
    </row>
    <row r="36" spans="1:14" s="1571" customFormat="1">
      <c r="A36" s="2741">
        <v>18</v>
      </c>
      <c r="B36" s="1577" t="s">
        <v>2689</v>
      </c>
      <c r="C36" s="1699">
        <v>1.8020000000000001E-2</v>
      </c>
      <c r="D36" s="1699" t="s">
        <v>1570</v>
      </c>
      <c r="E36" s="1702"/>
      <c r="F36" s="1702">
        <v>44636</v>
      </c>
      <c r="G36" s="1701">
        <v>25000000</v>
      </c>
      <c r="H36" s="1701">
        <f>G36</f>
        <v>25000000</v>
      </c>
      <c r="I36" s="1576">
        <v>0</v>
      </c>
      <c r="J36" s="1576">
        <v>0</v>
      </c>
      <c r="K36" s="1576">
        <v>0</v>
      </c>
      <c r="L36" s="1574">
        <f>H36+I36-J36-K36</f>
        <v>25000000</v>
      </c>
      <c r="M36" s="1701">
        <v>450612</v>
      </c>
      <c r="N36" s="1490"/>
    </row>
    <row r="37" spans="1:14" s="1571" customFormat="1">
      <c r="A37" s="2741">
        <v>19</v>
      </c>
      <c r="B37" s="1577" t="s">
        <v>46</v>
      </c>
      <c r="C37" s="1699">
        <v>3.8600000000000002E-2</v>
      </c>
      <c r="D37" s="1699" t="s">
        <v>1570</v>
      </c>
      <c r="E37" s="1702">
        <v>38924</v>
      </c>
      <c r="F37" s="1702">
        <v>46600</v>
      </c>
      <c r="G37" s="1701">
        <v>26720000</v>
      </c>
      <c r="H37" s="1701">
        <f t="shared" ref="H37:H45" si="1">G37</f>
        <v>26720000</v>
      </c>
      <c r="I37" s="1576">
        <v>0</v>
      </c>
      <c r="J37" s="65">
        <v>175952</v>
      </c>
      <c r="K37" s="1576">
        <v>0</v>
      </c>
      <c r="L37" s="1574">
        <f>H37+I37-J37-K37</f>
        <v>26544048</v>
      </c>
      <c r="M37" s="65">
        <v>1051311</v>
      </c>
      <c r="N37" s="1490"/>
    </row>
    <row r="38" spans="1:14" s="1571" customFormat="1">
      <c r="A38" s="2741">
        <v>20</v>
      </c>
      <c r="B38" s="1577" t="s">
        <v>46</v>
      </c>
      <c r="C38" s="1699" t="s">
        <v>2688</v>
      </c>
      <c r="D38" s="1699" t="s">
        <v>1570</v>
      </c>
      <c r="E38" s="1702">
        <v>39785</v>
      </c>
      <c r="F38" s="1702">
        <v>46600</v>
      </c>
      <c r="G38" s="1701">
        <v>50000000</v>
      </c>
      <c r="H38" s="1701">
        <f t="shared" si="1"/>
        <v>50000000</v>
      </c>
      <c r="I38" s="1576">
        <v>0</v>
      </c>
      <c r="J38" s="65">
        <v>207655</v>
      </c>
      <c r="K38" s="1576">
        <v>0</v>
      </c>
      <c r="L38" s="1574">
        <f t="shared" ref="L38:L52" si="2">H38+I38-J38-K38</f>
        <v>49792345</v>
      </c>
      <c r="M38" s="65">
        <v>960105</v>
      </c>
      <c r="N38" s="1490"/>
    </row>
    <row r="39" spans="1:14" s="1571" customFormat="1">
      <c r="A39" s="2741">
        <v>21</v>
      </c>
      <c r="B39" s="1577" t="s">
        <v>46</v>
      </c>
      <c r="C39" s="1699">
        <v>6.2E-2</v>
      </c>
      <c r="D39" s="1699" t="s">
        <v>1570</v>
      </c>
      <c r="E39" s="1702">
        <v>38786</v>
      </c>
      <c r="F39" s="1702">
        <v>49744</v>
      </c>
      <c r="G39" s="1701">
        <v>65000000</v>
      </c>
      <c r="H39" s="1701">
        <f t="shared" si="1"/>
        <v>65000000</v>
      </c>
      <c r="I39" s="65">
        <v>-213893</v>
      </c>
      <c r="J39" s="65">
        <v>379973</v>
      </c>
      <c r="K39" s="1576">
        <v>0</v>
      </c>
      <c r="L39" s="1574">
        <f t="shared" si="2"/>
        <v>64406134</v>
      </c>
      <c r="M39" s="65">
        <v>4064049</v>
      </c>
      <c r="N39" s="1490"/>
    </row>
    <row r="40" spans="1:14" s="1571" customFormat="1">
      <c r="A40" s="2741">
        <v>22</v>
      </c>
      <c r="B40" s="1577" t="s">
        <v>46</v>
      </c>
      <c r="C40" s="1699">
        <v>4.65E-2</v>
      </c>
      <c r="D40" s="1699" t="s">
        <v>1570</v>
      </c>
      <c r="E40" s="1702">
        <v>40078</v>
      </c>
      <c r="F40" s="1702">
        <v>43739</v>
      </c>
      <c r="G40" s="1701">
        <v>100000000</v>
      </c>
      <c r="H40" s="1701">
        <f t="shared" si="1"/>
        <v>100000000</v>
      </c>
      <c r="I40" s="1701">
        <v>-37308</v>
      </c>
      <c r="J40" s="1701">
        <v>42144</v>
      </c>
      <c r="K40" s="1576">
        <v>0</v>
      </c>
      <c r="L40" s="1574">
        <f t="shared" si="2"/>
        <v>99920548</v>
      </c>
      <c r="M40" s="1701">
        <v>4729451</v>
      </c>
      <c r="N40" s="1490"/>
    </row>
    <row r="41" spans="1:14" s="1571" customFormat="1">
      <c r="A41" s="2741">
        <v>23</v>
      </c>
      <c r="B41" s="1577" t="s">
        <v>46</v>
      </c>
      <c r="C41" s="1699">
        <v>3.4200000000000001E-2</v>
      </c>
      <c r="D41" s="1699" t="s">
        <v>1570</v>
      </c>
      <c r="E41" s="1702">
        <v>42374</v>
      </c>
      <c r="F41" s="1702">
        <v>46037</v>
      </c>
      <c r="G41" s="1701">
        <v>45000000</v>
      </c>
      <c r="H41" s="1701">
        <f t="shared" si="1"/>
        <v>45000000</v>
      </c>
      <c r="I41" s="1576">
        <v>0</v>
      </c>
      <c r="J41" s="1701">
        <v>174967</v>
      </c>
      <c r="K41" s="1576">
        <v>0</v>
      </c>
      <c r="L41" s="1574">
        <f t="shared" si="2"/>
        <v>44825033</v>
      </c>
      <c r="M41" s="65">
        <v>1561117</v>
      </c>
      <c r="N41" s="1490"/>
    </row>
    <row r="42" spans="1:14" s="1571" customFormat="1">
      <c r="A42" s="2741">
        <v>24</v>
      </c>
      <c r="B42" s="1577" t="s">
        <v>46</v>
      </c>
      <c r="C42" s="1699">
        <v>4.4499999999999998E-2</v>
      </c>
      <c r="D42" s="1699" t="s">
        <v>1570</v>
      </c>
      <c r="E42" s="1702">
        <v>42374</v>
      </c>
      <c r="F42" s="1702">
        <v>53342</v>
      </c>
      <c r="G42" s="1701">
        <v>50000000</v>
      </c>
      <c r="H42" s="1701">
        <f t="shared" si="1"/>
        <v>50000000</v>
      </c>
      <c r="I42" s="1576">
        <v>0</v>
      </c>
      <c r="J42" s="1701">
        <v>242401</v>
      </c>
      <c r="K42" s="1576">
        <v>0</v>
      </c>
      <c r="L42" s="1574">
        <f t="shared" si="2"/>
        <v>49757599</v>
      </c>
      <c r="M42" s="65">
        <v>2233314</v>
      </c>
      <c r="N42" s="1490"/>
    </row>
    <row r="43" spans="1:14" s="1571" customFormat="1">
      <c r="A43" s="2741">
        <v>25</v>
      </c>
      <c r="B43" s="1577" t="s">
        <v>2690</v>
      </c>
      <c r="C43" s="1699">
        <v>3.3500000000000002E-2</v>
      </c>
      <c r="D43" s="1699" t="s">
        <v>1570</v>
      </c>
      <c r="E43" s="1702">
        <v>42985</v>
      </c>
      <c r="F43" s="1702">
        <v>47376</v>
      </c>
      <c r="G43" s="1701">
        <v>30000000</v>
      </c>
      <c r="H43" s="1701">
        <f t="shared" si="1"/>
        <v>30000000</v>
      </c>
      <c r="I43" s="1576">
        <v>0</v>
      </c>
      <c r="J43" s="1701">
        <v>116172</v>
      </c>
      <c r="K43" s="1576">
        <v>0</v>
      </c>
      <c r="L43" s="1574">
        <f t="shared" si="2"/>
        <v>29883828</v>
      </c>
      <c r="M43" s="65">
        <v>1015642</v>
      </c>
      <c r="N43" s="1490"/>
    </row>
    <row r="44" spans="1:14" s="1571" customFormat="1">
      <c r="A44" s="2741">
        <v>26</v>
      </c>
      <c r="B44" s="1577" t="s">
        <v>2690</v>
      </c>
      <c r="C44" s="1699">
        <v>4.1099999999999998E-2</v>
      </c>
      <c r="D44" s="1699" t="s">
        <v>1570</v>
      </c>
      <c r="E44" s="1702">
        <v>42985</v>
      </c>
      <c r="F44" s="1702">
        <v>53950</v>
      </c>
      <c r="G44" s="1701">
        <f>G43</f>
        <v>30000000</v>
      </c>
      <c r="H44" s="1701">
        <f t="shared" si="1"/>
        <v>30000000</v>
      </c>
      <c r="I44" s="1576">
        <v>0</v>
      </c>
      <c r="J44" s="1701">
        <v>123089</v>
      </c>
      <c r="K44" s="1576">
        <v>0</v>
      </c>
      <c r="L44" s="1574">
        <f t="shared" si="2"/>
        <v>29876911</v>
      </c>
      <c r="M44" s="65">
        <v>1237257</v>
      </c>
      <c r="N44" s="1490"/>
    </row>
    <row r="45" spans="1:14" s="1571" customFormat="1">
      <c r="A45" s="2741">
        <v>27</v>
      </c>
      <c r="B45" s="1577" t="s">
        <v>2690</v>
      </c>
      <c r="C45" s="1699">
        <v>4.2599999999999999E-2</v>
      </c>
      <c r="D45" s="1699" t="s">
        <v>1570</v>
      </c>
      <c r="E45" s="1702">
        <v>42985</v>
      </c>
      <c r="F45" s="1702">
        <v>57595</v>
      </c>
      <c r="G45" s="1701">
        <f>G44</f>
        <v>30000000</v>
      </c>
      <c r="H45" s="1701">
        <f t="shared" si="1"/>
        <v>30000000</v>
      </c>
      <c r="I45" s="1576">
        <v>0</v>
      </c>
      <c r="J45" s="1701">
        <v>124241</v>
      </c>
      <c r="K45" s="1576">
        <v>0</v>
      </c>
      <c r="L45" s="1574">
        <f t="shared" si="2"/>
        <v>29875759</v>
      </c>
      <c r="M45" s="65">
        <v>1281193</v>
      </c>
      <c r="N45" s="1490"/>
    </row>
    <row r="46" spans="1:14" s="1571" customFormat="1">
      <c r="A46" s="2741">
        <v>28</v>
      </c>
      <c r="B46" s="1577" t="s">
        <v>2690</v>
      </c>
      <c r="C46" s="1699">
        <v>4.3499999999999997E-2</v>
      </c>
      <c r="D46" s="1699" t="s">
        <v>1570</v>
      </c>
      <c r="E46" s="1702">
        <v>43388</v>
      </c>
      <c r="F46" s="1702"/>
      <c r="G46" s="1701">
        <v>70000000</v>
      </c>
      <c r="H46" s="1701">
        <v>32307692</v>
      </c>
      <c r="I46" s="1576">
        <v>0</v>
      </c>
      <c r="J46" s="65">
        <v>147213</v>
      </c>
      <c r="K46" s="1576">
        <v>0</v>
      </c>
      <c r="L46" s="1574">
        <f t="shared" si="2"/>
        <v>32160479</v>
      </c>
      <c r="M46" s="65">
        <v>1411774</v>
      </c>
      <c r="N46" s="1490"/>
    </row>
    <row r="47" spans="1:14" s="1571" customFormat="1">
      <c r="A47" s="2741">
        <v>29</v>
      </c>
      <c r="B47" s="1577"/>
      <c r="C47" s="1699"/>
      <c r="D47" s="1699"/>
      <c r="E47" s="412"/>
      <c r="F47" s="1702"/>
      <c r="G47" s="1701"/>
      <c r="H47" s="1701"/>
      <c r="I47" s="411"/>
      <c r="J47" s="65"/>
      <c r="K47" s="1576"/>
      <c r="L47" s="1574"/>
      <c r="M47" s="1701"/>
      <c r="N47" s="1490"/>
    </row>
    <row r="48" spans="1:14" s="1571" customFormat="1">
      <c r="A48" s="2741">
        <v>30</v>
      </c>
      <c r="B48" s="1577" t="s">
        <v>2691</v>
      </c>
      <c r="C48" s="1780"/>
      <c r="D48" s="1703"/>
      <c r="E48" s="1576">
        <v>0</v>
      </c>
      <c r="F48" s="1702">
        <v>44636</v>
      </c>
      <c r="G48" s="1576">
        <v>0</v>
      </c>
      <c r="H48" s="1576">
        <v>0</v>
      </c>
      <c r="I48" s="1709">
        <v>0</v>
      </c>
      <c r="J48" s="65">
        <v>298327</v>
      </c>
      <c r="K48" s="1576">
        <v>0</v>
      </c>
      <c r="L48" s="1574">
        <f t="shared" si="2"/>
        <v>-298327</v>
      </c>
      <c r="M48" s="65">
        <v>86263</v>
      </c>
      <c r="N48" s="1490"/>
    </row>
    <row r="49" spans="1:14" s="1571" customFormat="1">
      <c r="A49" s="2741">
        <v>31</v>
      </c>
      <c r="B49" s="1577" t="s">
        <v>3000</v>
      </c>
      <c r="C49" s="1780"/>
      <c r="D49" s="1703"/>
      <c r="E49" s="1576"/>
      <c r="F49" s="1702"/>
      <c r="G49" s="1576"/>
      <c r="H49" s="1576"/>
      <c r="I49" s="1709"/>
      <c r="J49" s="65"/>
      <c r="K49" s="1576"/>
      <c r="L49" s="1574"/>
      <c r="M49" s="65">
        <v>265864</v>
      </c>
      <c r="N49" s="1490"/>
    </row>
    <row r="50" spans="1:14" s="1571" customFormat="1">
      <c r="A50" s="2741">
        <v>32</v>
      </c>
      <c r="B50" s="1577"/>
      <c r="C50" s="1780"/>
      <c r="D50" s="1703"/>
      <c r="E50" s="1576"/>
      <c r="F50" s="1702"/>
      <c r="G50" s="1576"/>
      <c r="H50" s="1701"/>
      <c r="I50" s="1709"/>
      <c r="J50" s="1701"/>
      <c r="K50" s="1576"/>
      <c r="L50" s="1574"/>
      <c r="M50" s="65"/>
      <c r="N50" s="1490"/>
    </row>
    <row r="51" spans="1:14" s="1571" customFormat="1">
      <c r="A51" s="2741">
        <v>33</v>
      </c>
      <c r="B51" s="1580" t="s">
        <v>2693</v>
      </c>
      <c r="C51" s="1780"/>
      <c r="D51" s="1703"/>
      <c r="E51" s="1576"/>
      <c r="F51" s="1702"/>
      <c r="G51" s="1576"/>
      <c r="H51" s="1576"/>
      <c r="I51" s="1576"/>
      <c r="J51" s="65"/>
      <c r="K51" s="1576"/>
      <c r="L51" s="1574"/>
      <c r="M51" s="1493"/>
      <c r="N51" s="1490"/>
    </row>
    <row r="52" spans="1:14" s="1571" customFormat="1">
      <c r="A52" s="2741">
        <v>34</v>
      </c>
      <c r="B52" s="1570" t="s">
        <v>46</v>
      </c>
      <c r="C52" s="1699">
        <v>4.65E-2</v>
      </c>
      <c r="D52" s="1699" t="s">
        <v>1570</v>
      </c>
      <c r="E52" s="1702">
        <v>40078</v>
      </c>
      <c r="F52" s="1702">
        <v>43739</v>
      </c>
      <c r="G52" s="1576"/>
      <c r="H52" s="1701">
        <v>-46153846</v>
      </c>
      <c r="I52" s="1576">
        <v>12197</v>
      </c>
      <c r="J52" s="65">
        <v>-13778</v>
      </c>
      <c r="K52" s="1576"/>
      <c r="L52" s="1574">
        <f t="shared" si="2"/>
        <v>-46127871</v>
      </c>
      <c r="M52" s="65">
        <v>-2182823.5015384601</v>
      </c>
      <c r="N52" s="1490"/>
    </row>
    <row r="53" spans="1:14" s="1571" customFormat="1">
      <c r="A53" s="2741">
        <v>35</v>
      </c>
      <c r="B53" s="1577"/>
      <c r="C53" s="641"/>
      <c r="D53" s="642"/>
      <c r="E53" s="640"/>
      <c r="F53" s="640"/>
      <c r="G53" s="182"/>
      <c r="H53" s="182"/>
      <c r="I53" s="1575"/>
      <c r="J53" s="1575"/>
      <c r="K53" s="1575"/>
      <c r="L53" s="1574"/>
      <c r="M53" s="1575"/>
    </row>
    <row r="54" spans="1:14" s="1571" customFormat="1" ht="13.5" thickBot="1">
      <c r="A54" s="2741">
        <v>36</v>
      </c>
      <c r="D54" s="1581" t="s">
        <v>1571</v>
      </c>
      <c r="G54" s="643">
        <f t="shared" ref="G54:M54" si="3">SUM(G21:G52)</f>
        <v>528204493</v>
      </c>
      <c r="H54" s="643">
        <f t="shared" si="3"/>
        <v>438180903</v>
      </c>
      <c r="I54" s="643">
        <f t="shared" si="3"/>
        <v>-239004</v>
      </c>
      <c r="J54" s="643">
        <f t="shared" si="3"/>
        <v>2018356</v>
      </c>
      <c r="K54" s="643">
        <f t="shared" si="3"/>
        <v>988576</v>
      </c>
      <c r="L54" s="643">
        <f t="shared" si="3"/>
        <v>434934967</v>
      </c>
      <c r="M54" s="643">
        <f t="shared" si="3"/>
        <v>18455104.498461541</v>
      </c>
    </row>
    <row r="55" spans="1:14" s="1571" customFormat="1" ht="13.5" thickTop="1">
      <c r="A55" s="2741">
        <v>37</v>
      </c>
      <c r="G55" s="644"/>
      <c r="H55" s="645"/>
      <c r="I55" s="645"/>
      <c r="J55" s="645"/>
      <c r="K55" s="645"/>
      <c r="L55" s="645"/>
      <c r="M55" s="645"/>
    </row>
    <row r="56" spans="1:14" s="1571" customFormat="1">
      <c r="A56" s="2741">
        <v>38</v>
      </c>
      <c r="G56" s="646"/>
      <c r="H56" s="645"/>
      <c r="I56" s="645"/>
      <c r="J56" s="645"/>
      <c r="K56" s="645"/>
      <c r="L56" s="645"/>
      <c r="M56" s="645"/>
    </row>
    <row r="57" spans="1:14" s="1571" customFormat="1" ht="13.5" thickBot="1">
      <c r="A57" s="2741">
        <v>39</v>
      </c>
      <c r="D57" s="1581" t="s">
        <v>1572</v>
      </c>
      <c r="M57" s="1327">
        <f>ROUND(M54/L54,5)</f>
        <v>4.2430000000000002E-2</v>
      </c>
      <c r="N57" s="1572"/>
    </row>
    <row r="58" spans="1:14" s="1571" customFormat="1" ht="13.5" thickTop="1">
      <c r="M58" s="189"/>
    </row>
    <row r="59" spans="1:14" s="1571" customFormat="1">
      <c r="A59" s="1581" t="s">
        <v>1573</v>
      </c>
    </row>
    <row r="60" spans="1:14" s="1571" customFormat="1">
      <c r="A60" s="1581" t="s">
        <v>1574</v>
      </c>
    </row>
    <row r="61" spans="1:14" s="1571" customFormat="1">
      <c r="D61" s="637"/>
    </row>
    <row r="62" spans="1:14" s="1571" customFormat="1">
      <c r="D62" s="637"/>
    </row>
    <row r="63" spans="1:14" s="1571" customFormat="1">
      <c r="D63" s="637"/>
    </row>
    <row r="64" spans="1:14" s="1571" customFormat="1">
      <c r="D64" s="637"/>
    </row>
    <row r="65" spans="4:4" s="1571" customFormat="1">
      <c r="D65" s="637"/>
    </row>
    <row r="66" spans="4:4" s="1571" customFormat="1">
      <c r="D66" s="637"/>
    </row>
    <row r="67" spans="4:4" s="1571" customFormat="1">
      <c r="D67" s="637"/>
    </row>
  </sheetData>
  <mergeCells count="3">
    <mergeCell ref="B13:D13"/>
    <mergeCell ref="B14:D14"/>
    <mergeCell ref="B15:D15"/>
  </mergeCells>
  <phoneticPr fontId="19" type="noConversion"/>
  <pageMargins left="0.75" right="0.75" top="1" bottom="1" header="0.5" footer="0.5"/>
  <pageSetup scale="59" orientation="landscape" horizontalDpi="300" verticalDpi="300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tabColor theme="3" tint="-0.249977111117893"/>
  </sheetPr>
  <dimension ref="A1:R49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5.42578125" style="18" customWidth="1"/>
    <col min="2" max="2" width="1" style="18" customWidth="1"/>
    <col min="3" max="3" width="38.140625" style="18" customWidth="1"/>
    <col min="4" max="4" width="1.5703125" style="18" customWidth="1"/>
    <col min="5" max="5" width="13.85546875" style="18" customWidth="1"/>
    <col min="6" max="6" width="3.28515625" style="18" customWidth="1"/>
    <col min="7" max="7" width="22.140625" style="18" customWidth="1"/>
    <col min="8" max="8" width="15.28515625" style="18" customWidth="1"/>
    <col min="9" max="9" width="15.85546875" style="18" customWidth="1"/>
    <col min="10" max="11" width="19.85546875" style="18" customWidth="1"/>
    <col min="12" max="12" width="15.28515625" style="18" customWidth="1"/>
    <col min="13" max="13" width="16" style="18" customWidth="1"/>
    <col min="14" max="16384" width="8" style="18"/>
  </cols>
  <sheetData>
    <row r="1" spans="1:18">
      <c r="A1" s="229" t="str">
        <f>COMPANY</f>
        <v>DUKE ENERGY KENTUCKY, INC.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1571"/>
      <c r="O1" s="1571"/>
      <c r="P1" s="1571"/>
      <c r="Q1" s="1571"/>
      <c r="R1" s="1571"/>
    </row>
    <row r="2" spans="1:18">
      <c r="A2" s="229" t="str">
        <f>CASE</f>
        <v>CASE NO. 2017-00321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1571"/>
      <c r="O2" s="1571"/>
      <c r="P2" s="1571"/>
      <c r="Q2" s="1571"/>
      <c r="R2" s="1571"/>
    </row>
    <row r="3" spans="1:18">
      <c r="A3" s="633" t="s">
        <v>1575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1571"/>
      <c r="O3" s="1571"/>
      <c r="P3" s="1571"/>
      <c r="Q3" s="1571"/>
      <c r="R3" s="1571"/>
    </row>
    <row r="4" spans="1:18">
      <c r="A4" s="229" t="s">
        <v>1611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1571"/>
      <c r="O4" s="1571"/>
      <c r="P4" s="1571"/>
      <c r="Q4" s="1571"/>
      <c r="R4" s="1571"/>
    </row>
    <row r="5" spans="1:18">
      <c r="A5" s="633"/>
      <c r="B5" s="397"/>
      <c r="C5" s="397"/>
      <c r="D5" s="397"/>
      <c r="E5" s="397"/>
      <c r="F5" s="397"/>
      <c r="G5" s="397"/>
      <c r="H5" s="397"/>
      <c r="I5" s="397"/>
      <c r="J5" s="397"/>
      <c r="K5" s="397"/>
      <c r="L5" s="397"/>
      <c r="M5" s="397"/>
      <c r="N5" s="1571"/>
      <c r="O5" s="1571"/>
      <c r="P5" s="1571"/>
      <c r="Q5" s="1571"/>
      <c r="R5" s="1571"/>
    </row>
    <row r="6" spans="1:18">
      <c r="A6" s="541" t="str">
        <f>LOGO!B12</f>
        <v>DATA: "X" BASE PERIOD   FORECASTED PERIOD</v>
      </c>
      <c r="B6" s="229"/>
      <c r="C6" s="397"/>
      <c r="D6" s="397"/>
      <c r="E6" s="397"/>
      <c r="F6" s="397"/>
      <c r="G6" s="397"/>
      <c r="H6" s="397"/>
      <c r="I6" s="397"/>
      <c r="J6" s="397"/>
      <c r="K6" s="397"/>
      <c r="L6" s="1581" t="s">
        <v>1576</v>
      </c>
      <c r="M6" s="397"/>
      <c r="N6" s="1571"/>
      <c r="O6" s="1571"/>
      <c r="P6" s="1571"/>
      <c r="Q6" s="1571"/>
      <c r="R6" s="1571"/>
    </row>
    <row r="7" spans="1:18">
      <c r="A7" s="1581" t="str">
        <f>"DATE OF LONG-TERM DEBT: "&amp;RIGHT(TESTYR,(LEN(TESTYR)-16))</f>
        <v>DATE OF LONG-TERM DEBT: NOVEMBER 30, 2017</v>
      </c>
      <c r="B7" s="1571"/>
      <c r="C7" s="1571"/>
      <c r="D7" s="1571"/>
      <c r="E7" s="1571"/>
      <c r="F7" s="1571"/>
      <c r="G7" s="1571" t="s">
        <v>1577</v>
      </c>
      <c r="H7" s="1571"/>
      <c r="I7" s="1571"/>
      <c r="J7" s="1571"/>
      <c r="K7" s="1571"/>
      <c r="L7" s="1581" t="s">
        <v>620</v>
      </c>
      <c r="M7" s="1571"/>
      <c r="N7" s="1571"/>
      <c r="O7" s="1571"/>
      <c r="P7" s="1571"/>
      <c r="Q7" s="1571"/>
      <c r="R7" s="1571"/>
    </row>
    <row r="8" spans="1:18">
      <c r="A8" s="1581" t="str">
        <f>LOGO!B15</f>
        <v xml:space="preserve">TYPE OF FILING:  "X" ORIGINAL   UPDATED    REVISED  </v>
      </c>
      <c r="B8" s="1571"/>
      <c r="C8" s="1571"/>
      <c r="D8" s="1571"/>
      <c r="E8" s="1571"/>
      <c r="F8" s="1571"/>
      <c r="G8" s="1571" t="s">
        <v>1578</v>
      </c>
      <c r="H8" s="1571"/>
      <c r="I8" s="1571"/>
      <c r="J8" s="1571"/>
      <c r="K8" s="1571"/>
      <c r="L8" s="1581" t="s">
        <v>622</v>
      </c>
      <c r="M8" s="1571"/>
      <c r="N8" s="1571"/>
      <c r="O8" s="1571"/>
      <c r="P8" s="1571"/>
      <c r="Q8" s="1571"/>
      <c r="R8" s="1571"/>
    </row>
    <row r="9" spans="1:18">
      <c r="A9" s="1581" t="s">
        <v>1653</v>
      </c>
      <c r="B9" s="1571"/>
      <c r="C9" s="1571"/>
      <c r="D9" s="1571"/>
      <c r="E9" s="1571"/>
      <c r="F9" s="1571"/>
      <c r="G9" s="1571"/>
      <c r="H9" s="1571"/>
      <c r="I9" s="1571"/>
      <c r="J9" s="1571"/>
      <c r="K9" s="1571"/>
      <c r="L9" s="1581" t="str">
        <f>_WIT4</f>
        <v>J. L. SULLIVAN</v>
      </c>
      <c r="M9" s="1571"/>
      <c r="N9" s="1571"/>
      <c r="O9" s="1571"/>
      <c r="P9" s="1571"/>
      <c r="Q9" s="1571"/>
      <c r="R9" s="1571"/>
    </row>
    <row r="10" spans="1:18">
      <c r="A10" s="1571"/>
      <c r="B10" s="1571"/>
      <c r="C10" s="1571"/>
      <c r="D10" s="1571"/>
      <c r="E10" s="1571"/>
      <c r="F10" s="1571"/>
      <c r="G10" s="1571"/>
      <c r="H10" s="1571"/>
      <c r="I10" s="1571"/>
      <c r="J10" s="1571"/>
      <c r="K10" s="1571"/>
      <c r="L10" s="1571"/>
      <c r="M10" s="1571"/>
      <c r="N10" s="1571"/>
      <c r="O10" s="1571"/>
      <c r="P10" s="1571"/>
      <c r="Q10" s="1571"/>
      <c r="R10" s="1571"/>
    </row>
    <row r="11" spans="1:18">
      <c r="A11" s="1774"/>
      <c r="B11" s="1774"/>
      <c r="C11" s="1774"/>
      <c r="D11" s="1774"/>
      <c r="E11" s="1774"/>
      <c r="F11" s="1774"/>
      <c r="G11" s="1774"/>
      <c r="H11" s="1774"/>
      <c r="I11" s="1774"/>
      <c r="J11" s="1774"/>
      <c r="K11" s="1774"/>
      <c r="L11" s="1774"/>
      <c r="M11" s="1774"/>
      <c r="N11" s="1571"/>
      <c r="O11" s="1571"/>
      <c r="P11" s="1571"/>
      <c r="Q11" s="1571"/>
      <c r="R11" s="1571"/>
    </row>
    <row r="12" spans="1:18">
      <c r="A12" s="1571"/>
      <c r="B12" s="1571"/>
      <c r="C12" s="1571"/>
      <c r="D12" s="1571"/>
      <c r="E12" s="1571"/>
      <c r="F12" s="1571"/>
      <c r="G12" s="1571"/>
      <c r="H12" s="1571"/>
      <c r="I12" s="1571"/>
      <c r="J12" s="1571"/>
      <c r="K12" s="1571"/>
      <c r="L12" s="1571"/>
      <c r="M12" s="1571"/>
      <c r="N12" s="1571"/>
      <c r="O12" s="1571"/>
      <c r="P12" s="1571"/>
      <c r="Q12" s="1571"/>
      <c r="R12" s="1571"/>
    </row>
    <row r="13" spans="1:18">
      <c r="A13" s="1571"/>
      <c r="B13" s="1571"/>
      <c r="C13" s="1571"/>
      <c r="D13" s="1571"/>
      <c r="E13" s="1571"/>
      <c r="F13" s="1571"/>
      <c r="G13" s="2741"/>
      <c r="H13" s="1571"/>
      <c r="I13" s="1571"/>
      <c r="J13" s="2741" t="s">
        <v>1579</v>
      </c>
      <c r="K13" s="2741"/>
      <c r="L13" s="1571"/>
      <c r="M13" s="1571"/>
      <c r="N13" s="1571"/>
      <c r="O13" s="1571"/>
      <c r="P13" s="1571"/>
      <c r="Q13" s="1571"/>
      <c r="R13" s="1571"/>
    </row>
    <row r="14" spans="1:18">
      <c r="A14" s="2741" t="s">
        <v>1961</v>
      </c>
      <c r="B14" s="1571"/>
      <c r="C14" s="2741" t="s">
        <v>1580</v>
      </c>
      <c r="D14" s="1571"/>
      <c r="E14" s="2741" t="s">
        <v>1962</v>
      </c>
      <c r="F14" s="1571"/>
      <c r="G14" s="2741" t="s">
        <v>364</v>
      </c>
      <c r="H14" s="2741" t="s">
        <v>1431</v>
      </c>
      <c r="I14" s="2741" t="s">
        <v>1831</v>
      </c>
      <c r="J14" s="2741" t="s">
        <v>756</v>
      </c>
      <c r="K14" s="2741" t="s">
        <v>1432</v>
      </c>
      <c r="L14" s="1285" t="s">
        <v>1433</v>
      </c>
      <c r="M14" s="2741" t="s">
        <v>1434</v>
      </c>
      <c r="N14" s="1571"/>
      <c r="O14" s="1571"/>
      <c r="P14" s="1571"/>
      <c r="Q14" s="1571"/>
      <c r="R14" s="1571"/>
    </row>
    <row r="15" spans="1:18">
      <c r="A15" s="2741" t="s">
        <v>1854</v>
      </c>
      <c r="B15" s="1571"/>
      <c r="C15" s="2741" t="s">
        <v>1435</v>
      </c>
      <c r="D15" s="1571"/>
      <c r="E15" s="2741" t="s">
        <v>753</v>
      </c>
      <c r="F15" s="1571"/>
      <c r="G15" s="2741" t="s">
        <v>1832</v>
      </c>
      <c r="H15" s="2741" t="s">
        <v>1436</v>
      </c>
      <c r="I15" s="2741" t="s">
        <v>1195</v>
      </c>
      <c r="J15" s="2741" t="s">
        <v>1437</v>
      </c>
      <c r="K15" s="2741" t="s">
        <v>1438</v>
      </c>
      <c r="L15" s="1285" t="s">
        <v>1439</v>
      </c>
      <c r="M15" s="2741" t="s">
        <v>1440</v>
      </c>
      <c r="N15" s="1571"/>
      <c r="O15" s="1571"/>
      <c r="P15" s="1571"/>
      <c r="Q15" s="1571"/>
      <c r="R15" s="1571"/>
    </row>
    <row r="16" spans="1:18">
      <c r="A16" s="1571"/>
      <c r="B16" s="1571"/>
      <c r="C16" s="1571"/>
      <c r="D16" s="1571"/>
      <c r="E16" s="2741" t="s">
        <v>296</v>
      </c>
      <c r="F16" s="1571"/>
      <c r="G16" s="2741" t="s">
        <v>210</v>
      </c>
      <c r="H16" s="2741" t="s">
        <v>303</v>
      </c>
      <c r="I16" s="2741" t="s">
        <v>944</v>
      </c>
      <c r="J16" s="2741" t="s">
        <v>1935</v>
      </c>
      <c r="K16" s="2741" t="s">
        <v>1441</v>
      </c>
      <c r="L16" s="1285" t="s">
        <v>300</v>
      </c>
      <c r="M16" s="2741" t="s">
        <v>1442</v>
      </c>
      <c r="N16" s="1571"/>
      <c r="O16" s="1571"/>
      <c r="P16" s="1571"/>
      <c r="Q16" s="1571"/>
      <c r="R16" s="1571"/>
    </row>
    <row r="17" spans="1:18">
      <c r="A17" s="1774"/>
      <c r="B17" s="1774"/>
      <c r="C17" s="1774"/>
      <c r="D17" s="1774"/>
      <c r="E17" s="1774"/>
      <c r="F17" s="1774"/>
      <c r="G17" s="1774"/>
      <c r="H17" s="1774"/>
      <c r="I17" s="1774"/>
      <c r="J17" s="1774"/>
      <c r="K17" s="1774"/>
      <c r="L17" s="1305"/>
      <c r="M17" s="1774"/>
      <c r="N17" s="1571"/>
      <c r="O17" s="1571"/>
      <c r="P17" s="1571"/>
      <c r="Q17" s="1571"/>
      <c r="R17" s="1571"/>
    </row>
    <row r="18" spans="1:18">
      <c r="A18" s="1571"/>
      <c r="B18" s="1571"/>
      <c r="C18" s="1571"/>
      <c r="D18" s="1571"/>
      <c r="E18" s="1571"/>
      <c r="F18" s="1571"/>
      <c r="G18" s="1571"/>
      <c r="H18" s="1571"/>
      <c r="I18" s="1571"/>
      <c r="J18" s="1571"/>
      <c r="K18" s="1571"/>
      <c r="L18" s="1571"/>
      <c r="M18" s="1571"/>
      <c r="N18" s="1571"/>
      <c r="O18" s="1571"/>
      <c r="P18" s="1571"/>
      <c r="Q18" s="1571"/>
      <c r="R18" s="1571"/>
    </row>
    <row r="19" spans="1:18">
      <c r="A19" s="173">
        <v>1</v>
      </c>
      <c r="B19" s="1571"/>
      <c r="C19" s="331"/>
      <c r="D19" s="1775"/>
      <c r="E19" s="1776"/>
      <c r="F19" s="330"/>
      <c r="G19" s="330"/>
      <c r="H19" s="330"/>
      <c r="I19" s="330"/>
      <c r="J19" s="330"/>
      <c r="K19" s="1460"/>
      <c r="L19" s="234"/>
      <c r="M19" s="330"/>
      <c r="N19" s="234"/>
      <c r="O19" s="234"/>
      <c r="P19" s="234"/>
      <c r="Q19" s="234"/>
      <c r="R19" s="234"/>
    </row>
    <row r="20" spans="1:18">
      <c r="A20" s="1571"/>
      <c r="B20" s="1571"/>
      <c r="C20" s="1775"/>
      <c r="D20" s="1775"/>
      <c r="E20" s="330"/>
      <c r="F20" s="330"/>
      <c r="G20" s="330"/>
      <c r="H20" s="330"/>
      <c r="I20" s="330"/>
      <c r="J20" s="1460"/>
      <c r="K20" s="1775"/>
      <c r="L20" s="234"/>
      <c r="M20" s="1460"/>
      <c r="N20" s="234"/>
      <c r="O20" s="234"/>
      <c r="P20" s="234"/>
      <c r="Q20" s="234"/>
      <c r="R20" s="234"/>
    </row>
    <row r="21" spans="1:18">
      <c r="A21" s="173">
        <v>2</v>
      </c>
      <c r="B21" s="1571"/>
      <c r="C21" s="331"/>
      <c r="D21" s="1775"/>
      <c r="E21" s="1776"/>
      <c r="F21" s="330"/>
      <c r="G21" s="330"/>
      <c r="H21" s="330"/>
      <c r="I21" s="330"/>
      <c r="J21" s="330"/>
      <c r="K21" s="1460"/>
      <c r="L21" s="234"/>
      <c r="M21" s="330"/>
      <c r="N21" s="234"/>
      <c r="O21" s="234"/>
      <c r="P21" s="234"/>
      <c r="Q21" s="234"/>
      <c r="R21" s="234"/>
    </row>
    <row r="22" spans="1:18">
      <c r="A22" s="1571"/>
      <c r="B22" s="1571"/>
      <c r="C22" s="1775"/>
      <c r="D22" s="1775"/>
      <c r="E22" s="330"/>
      <c r="F22" s="330"/>
      <c r="G22" s="330"/>
      <c r="H22" s="330"/>
      <c r="I22" s="330"/>
      <c r="J22" s="1460"/>
      <c r="K22" s="1775"/>
      <c r="L22" s="234"/>
      <c r="M22" s="1460"/>
      <c r="N22" s="234"/>
      <c r="O22" s="234"/>
      <c r="P22" s="234"/>
      <c r="Q22" s="234"/>
      <c r="R22" s="234"/>
    </row>
    <row r="23" spans="1:18">
      <c r="A23" s="173">
        <v>3</v>
      </c>
      <c r="B23" s="1571"/>
      <c r="C23" s="331"/>
      <c r="D23" s="1775"/>
      <c r="E23" s="1776"/>
      <c r="F23" s="330"/>
      <c r="G23" s="330"/>
      <c r="H23" s="330"/>
      <c r="I23" s="330"/>
      <c r="J23" s="330"/>
      <c r="K23" s="1460"/>
      <c r="L23" s="234"/>
      <c r="M23" s="330"/>
      <c r="N23" s="234"/>
      <c r="O23" s="234"/>
      <c r="P23" s="234"/>
      <c r="Q23" s="234"/>
      <c r="R23" s="234"/>
    </row>
    <row r="24" spans="1:18">
      <c r="A24" s="1571"/>
      <c r="B24" s="1571"/>
      <c r="C24" s="1775"/>
      <c r="D24" s="1775"/>
      <c r="E24" s="330"/>
      <c r="F24" s="330"/>
      <c r="G24" s="330"/>
      <c r="H24" s="330"/>
      <c r="I24" s="330"/>
      <c r="J24" s="1460"/>
      <c r="K24" s="1775"/>
      <c r="L24" s="234"/>
      <c r="M24" s="1460"/>
      <c r="N24" s="234"/>
      <c r="O24" s="234"/>
      <c r="P24" s="234"/>
      <c r="Q24" s="234"/>
      <c r="R24" s="234"/>
    </row>
    <row r="25" spans="1:18">
      <c r="A25" s="173">
        <v>4</v>
      </c>
      <c r="B25" s="1571"/>
      <c r="C25" s="331"/>
      <c r="D25" s="1775"/>
      <c r="E25" s="1776"/>
      <c r="F25" s="330"/>
      <c r="G25" s="330"/>
      <c r="H25" s="330"/>
      <c r="I25" s="330"/>
      <c r="J25" s="330"/>
      <c r="K25" s="1460"/>
      <c r="L25" s="234"/>
      <c r="M25" s="330"/>
      <c r="N25" s="234"/>
      <c r="O25" s="234"/>
      <c r="P25" s="234"/>
      <c r="Q25" s="234"/>
      <c r="R25" s="234"/>
    </row>
    <row r="26" spans="1:18">
      <c r="A26" s="1571"/>
      <c r="B26" s="1571"/>
      <c r="C26" s="1775"/>
      <c r="D26" s="1775"/>
      <c r="E26" s="330"/>
      <c r="F26" s="330"/>
      <c r="G26" s="330"/>
      <c r="H26" s="330"/>
      <c r="I26" s="330"/>
      <c r="J26" s="1460"/>
      <c r="K26" s="330"/>
      <c r="L26" s="234"/>
      <c r="M26" s="1460"/>
      <c r="N26" s="234"/>
      <c r="O26" s="234"/>
      <c r="P26" s="234"/>
      <c r="Q26" s="234"/>
      <c r="R26" s="234"/>
    </row>
    <row r="27" spans="1:18">
      <c r="A27" s="173">
        <v>5</v>
      </c>
      <c r="B27" s="1571"/>
      <c r="C27" s="331"/>
      <c r="D27" s="1775"/>
      <c r="E27" s="1776"/>
      <c r="F27" s="330"/>
      <c r="G27" s="330"/>
      <c r="H27" s="330"/>
      <c r="I27" s="330"/>
      <c r="J27" s="330"/>
      <c r="K27" s="1460"/>
      <c r="L27" s="234"/>
      <c r="M27" s="330"/>
      <c r="N27" s="234"/>
      <c r="O27" s="234"/>
      <c r="P27" s="234"/>
      <c r="Q27" s="234"/>
      <c r="R27" s="234"/>
    </row>
    <row r="28" spans="1:18">
      <c r="A28" s="1571"/>
      <c r="B28" s="1571"/>
      <c r="C28" s="1775"/>
      <c r="D28" s="1775"/>
      <c r="E28" s="330"/>
      <c r="F28" s="330"/>
      <c r="G28" s="330"/>
      <c r="H28" s="330"/>
      <c r="I28" s="330"/>
      <c r="J28" s="1460"/>
      <c r="K28" s="330"/>
      <c r="L28" s="234"/>
      <c r="M28" s="1460"/>
      <c r="N28" s="234"/>
      <c r="O28" s="234"/>
      <c r="P28" s="234"/>
      <c r="Q28" s="234"/>
      <c r="R28" s="234"/>
    </row>
    <row r="29" spans="1:18">
      <c r="A29" s="173">
        <v>6</v>
      </c>
      <c r="B29" s="1571"/>
      <c r="C29" s="331"/>
      <c r="D29" s="1775"/>
      <c r="E29" s="1776"/>
      <c r="F29" s="330"/>
      <c r="G29" s="330"/>
      <c r="H29" s="330"/>
      <c r="I29" s="330"/>
      <c r="J29" s="330"/>
      <c r="K29" s="1460"/>
      <c r="L29" s="234"/>
      <c r="M29" s="330"/>
      <c r="N29" s="234"/>
      <c r="O29" s="234"/>
      <c r="P29" s="234"/>
      <c r="Q29" s="234"/>
      <c r="R29" s="234"/>
    </row>
    <row r="30" spans="1:18">
      <c r="A30" s="1571"/>
      <c r="B30" s="1571"/>
      <c r="C30" s="1775"/>
      <c r="D30" s="1775"/>
      <c r="E30" s="330"/>
      <c r="F30" s="330"/>
      <c r="G30" s="330"/>
      <c r="H30" s="330"/>
      <c r="I30" s="234"/>
      <c r="J30" s="1460"/>
      <c r="K30" s="330"/>
      <c r="L30" s="234"/>
      <c r="M30" s="234"/>
      <c r="N30" s="234"/>
      <c r="O30" s="234"/>
      <c r="P30" s="234"/>
      <c r="Q30" s="234"/>
      <c r="R30" s="234"/>
    </row>
    <row r="31" spans="1:18">
      <c r="A31" s="173">
        <v>7</v>
      </c>
      <c r="B31" s="1571"/>
      <c r="C31" s="331"/>
      <c r="D31" s="1775"/>
      <c r="E31" s="1776"/>
      <c r="F31" s="330"/>
      <c r="G31" s="330"/>
      <c r="H31" s="330"/>
      <c r="I31" s="330"/>
      <c r="J31" s="330"/>
      <c r="K31" s="1460"/>
      <c r="L31" s="234"/>
      <c r="M31" s="330"/>
      <c r="N31" s="234"/>
      <c r="O31" s="234"/>
      <c r="P31" s="234"/>
      <c r="Q31" s="234"/>
      <c r="R31" s="234"/>
    </row>
    <row r="32" spans="1:18">
      <c r="A32" s="1571"/>
      <c r="B32" s="1571"/>
      <c r="C32" s="234"/>
      <c r="D32" s="1775"/>
      <c r="E32" s="234"/>
      <c r="F32" s="234"/>
      <c r="G32" s="234"/>
      <c r="H32" s="234"/>
      <c r="I32" s="330"/>
      <c r="J32" s="234"/>
      <c r="K32" s="234"/>
      <c r="L32" s="234"/>
      <c r="M32" s="1460"/>
      <c r="N32" s="234"/>
      <c r="O32" s="234"/>
      <c r="P32" s="234"/>
      <c r="Q32" s="234"/>
      <c r="R32" s="234"/>
    </row>
    <row r="33" spans="1:18">
      <c r="A33" s="173">
        <v>8</v>
      </c>
      <c r="B33" s="1571"/>
      <c r="C33" s="331"/>
      <c r="D33" s="1775"/>
      <c r="E33" s="1776"/>
      <c r="F33" s="330"/>
      <c r="G33" s="330"/>
      <c r="H33" s="330"/>
      <c r="I33" s="330"/>
      <c r="J33" s="330"/>
      <c r="K33" s="1460"/>
      <c r="L33" s="234"/>
      <c r="M33" s="330"/>
      <c r="N33" s="234"/>
      <c r="O33" s="234"/>
      <c r="P33" s="234"/>
      <c r="Q33" s="234"/>
      <c r="R33" s="234"/>
    </row>
    <row r="34" spans="1:18">
      <c r="A34" s="1571"/>
      <c r="B34" s="1571"/>
      <c r="C34" s="234"/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</row>
    <row r="35" spans="1:18">
      <c r="A35" s="173">
        <v>9</v>
      </c>
      <c r="B35" s="1571"/>
      <c r="C35" s="331"/>
      <c r="D35" s="1775"/>
      <c r="E35" s="1776"/>
      <c r="F35" s="330"/>
      <c r="G35" s="330"/>
      <c r="H35" s="330"/>
      <c r="I35" s="330"/>
      <c r="J35" s="330"/>
      <c r="K35" s="1460"/>
      <c r="L35" s="234"/>
      <c r="M35" s="330"/>
      <c r="N35" s="234"/>
      <c r="O35" s="234"/>
      <c r="P35" s="234"/>
      <c r="Q35" s="234"/>
      <c r="R35" s="234"/>
    </row>
    <row r="36" spans="1:18" ht="13.5" thickBot="1">
      <c r="A36" s="173">
        <v>10</v>
      </c>
      <c r="B36" s="1571"/>
      <c r="C36" s="1581" t="s">
        <v>1443</v>
      </c>
      <c r="D36" s="1571"/>
      <c r="E36" s="1777"/>
      <c r="F36" s="1459"/>
      <c r="G36" s="191">
        <f>SUM(G19:G35)</f>
        <v>0</v>
      </c>
      <c r="H36" s="191">
        <f>SUM(H19:H35)</f>
        <v>0</v>
      </c>
      <c r="I36" s="191">
        <f>SUM(I19:I35)</f>
        <v>0</v>
      </c>
      <c r="J36" s="191">
        <f>SUM(J19:J35)</f>
        <v>0</v>
      </c>
      <c r="K36" s="191">
        <f>SUM(K19:K35)</f>
        <v>0</v>
      </c>
      <c r="L36" s="191"/>
      <c r="M36" s="191">
        <f>SUM(M19:M35)</f>
        <v>0</v>
      </c>
      <c r="N36" s="1571"/>
      <c r="O36" s="1571"/>
      <c r="P36" s="1571"/>
      <c r="Q36" s="1571"/>
      <c r="R36" s="1571"/>
    </row>
    <row r="37" spans="1:18" ht="13.5" thickTop="1">
      <c r="A37" s="1571"/>
      <c r="B37" s="1571"/>
      <c r="C37" s="1571"/>
      <c r="D37" s="1571"/>
      <c r="E37" s="1777"/>
      <c r="F37" s="1459"/>
      <c r="G37" s="1459"/>
      <c r="H37" s="1459"/>
      <c r="I37" s="1459"/>
      <c r="J37" s="1459"/>
      <c r="K37" s="1459"/>
      <c r="L37" s="1459"/>
      <c r="M37" s="1459"/>
      <c r="N37" s="1571"/>
      <c r="O37" s="1571"/>
      <c r="P37" s="1571"/>
      <c r="Q37" s="1571"/>
      <c r="R37" s="1571"/>
    </row>
    <row r="38" spans="1:18">
      <c r="A38" s="173">
        <v>11</v>
      </c>
      <c r="B38" s="1571"/>
      <c r="C38" s="1581" t="s">
        <v>1673</v>
      </c>
      <c r="D38" s="1571"/>
      <c r="E38" s="1571"/>
      <c r="F38" s="1459"/>
      <c r="G38" s="1459"/>
      <c r="H38" s="1459"/>
      <c r="I38" s="1459"/>
      <c r="J38" s="1459"/>
      <c r="K38" s="1778"/>
      <c r="L38" s="1778"/>
      <c r="M38" s="343" t="e">
        <f>ROUND(M36/K36,4)</f>
        <v>#DIV/0!</v>
      </c>
      <c r="N38" s="1571"/>
      <c r="O38" s="1571"/>
      <c r="P38" s="1571"/>
      <c r="Q38" s="1571"/>
      <c r="R38" s="1571"/>
    </row>
    <row r="39" spans="1:18">
      <c r="A39" s="1571"/>
      <c r="B39" s="1571"/>
      <c r="C39" s="234"/>
      <c r="D39" s="234"/>
      <c r="E39" s="234"/>
      <c r="F39" s="234"/>
      <c r="G39" s="1460"/>
      <c r="H39" s="1460"/>
      <c r="I39" s="1460"/>
      <c r="J39" s="1460"/>
      <c r="K39" s="1460"/>
      <c r="L39" s="1460"/>
      <c r="M39" s="1779"/>
      <c r="N39" s="234"/>
      <c r="O39" s="234"/>
      <c r="P39" s="234"/>
      <c r="Q39" s="234"/>
      <c r="R39" s="234"/>
    </row>
    <row r="40" spans="1:18">
      <c r="A40" s="1581"/>
      <c r="B40" s="1571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1460"/>
      <c r="N40" s="234"/>
      <c r="O40" s="234"/>
      <c r="P40" s="234"/>
      <c r="Q40" s="234"/>
      <c r="R40" s="234"/>
    </row>
    <row r="41" spans="1:18">
      <c r="A41" s="1571"/>
      <c r="B41" s="1571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</row>
    <row r="42" spans="1:18">
      <c r="A42" s="1571"/>
      <c r="B42" s="1571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</row>
    <row r="43" spans="1:18">
      <c r="A43" s="1571"/>
      <c r="B43" s="1571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</row>
    <row r="44" spans="1:18">
      <c r="A44" s="1571"/>
      <c r="B44" s="1571"/>
      <c r="C44" s="1571"/>
      <c r="D44" s="1571"/>
      <c r="E44" s="1571"/>
      <c r="F44" s="1571"/>
      <c r="G44" s="1571"/>
      <c r="H44" s="1571"/>
      <c r="I44" s="1571"/>
      <c r="J44" s="1571"/>
      <c r="K44" s="1571"/>
      <c r="L44" s="1571"/>
      <c r="M44" s="1571"/>
      <c r="N44" s="1571"/>
      <c r="O44" s="1571"/>
      <c r="P44" s="1571"/>
      <c r="Q44" s="1571"/>
      <c r="R44" s="1571"/>
    </row>
    <row r="45" spans="1:18">
      <c r="A45" s="1571"/>
      <c r="B45" s="1571"/>
      <c r="C45" s="1571"/>
      <c r="D45" s="1571"/>
      <c r="E45" s="1571"/>
      <c r="F45" s="1571"/>
      <c r="G45" s="1571"/>
      <c r="H45" s="1571"/>
      <c r="I45" s="1571"/>
      <c r="J45" s="1571"/>
      <c r="K45" s="1571"/>
      <c r="L45" s="1571"/>
      <c r="M45" s="1571"/>
      <c r="N45" s="1571"/>
      <c r="O45" s="1571"/>
      <c r="P45" s="1571"/>
      <c r="Q45" s="1571"/>
      <c r="R45" s="1571"/>
    </row>
    <row r="46" spans="1:18">
      <c r="A46" s="1571"/>
      <c r="B46" s="1571"/>
      <c r="C46" s="1571"/>
      <c r="D46" s="1571"/>
      <c r="E46" s="1571"/>
      <c r="F46" s="1571"/>
      <c r="G46" s="1571"/>
      <c r="H46" s="1571"/>
      <c r="I46" s="1571"/>
      <c r="J46" s="1571"/>
      <c r="K46" s="1571"/>
      <c r="L46" s="1571"/>
      <c r="M46" s="1571"/>
      <c r="N46" s="1571"/>
      <c r="O46" s="1571"/>
      <c r="P46" s="1571"/>
      <c r="Q46" s="1571"/>
      <c r="R46" s="1571"/>
    </row>
    <row r="47" spans="1:18">
      <c r="A47" s="1571"/>
      <c r="B47" s="1571"/>
      <c r="C47" s="1571"/>
      <c r="D47" s="1571"/>
      <c r="E47" s="1571"/>
      <c r="F47" s="1571"/>
      <c r="G47" s="1571"/>
      <c r="H47" s="1571"/>
      <c r="I47" s="1571"/>
      <c r="J47" s="1571"/>
      <c r="K47" s="1571"/>
      <c r="L47" s="1571"/>
      <c r="M47" s="1571"/>
      <c r="N47" s="1571"/>
      <c r="O47" s="1571"/>
      <c r="P47" s="1571"/>
      <c r="Q47" s="1571"/>
      <c r="R47" s="1571"/>
    </row>
    <row r="48" spans="1:18">
      <c r="A48" s="1571"/>
      <c r="B48" s="1571"/>
      <c r="C48" s="1571"/>
      <c r="D48" s="1571"/>
      <c r="E48" s="1571"/>
      <c r="F48" s="1571"/>
      <c r="G48" s="1571"/>
      <c r="H48" s="1571"/>
      <c r="I48" s="1571"/>
      <c r="J48" s="1571"/>
      <c r="K48" s="1571"/>
      <c r="L48" s="1571"/>
      <c r="M48" s="1571"/>
      <c r="N48" s="1571"/>
      <c r="O48" s="1571"/>
      <c r="P48" s="1571"/>
      <c r="Q48" s="1571"/>
      <c r="R48" s="1571"/>
    </row>
    <row r="49" spans="1:18">
      <c r="A49" s="1571"/>
      <c r="B49" s="1571"/>
      <c r="C49" s="1571"/>
      <c r="D49" s="1571"/>
      <c r="E49" s="1571"/>
      <c r="F49" s="1571"/>
      <c r="G49" s="1571"/>
      <c r="H49" s="1571"/>
      <c r="I49" s="1571"/>
      <c r="J49" s="1571"/>
      <c r="K49" s="1571"/>
      <c r="L49" s="1571"/>
      <c r="M49" s="1571"/>
      <c r="N49" s="1571"/>
      <c r="O49" s="1571"/>
      <c r="P49" s="1571"/>
      <c r="Q49" s="1571"/>
      <c r="R49" s="1571"/>
    </row>
  </sheetData>
  <phoneticPr fontId="19" type="noConversion"/>
  <pageMargins left="0.75" right="0.75" top="1" bottom="1" header="0.5" footer="0.5"/>
  <pageSetup scale="59" orientation="landscape" horizontalDpi="300" verticalDpi="300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0"/>
  <dimension ref="A1:O211"/>
  <sheetViews>
    <sheetView tabSelected="1" view="pageLayout" zoomScaleNormal="70" workbookViewId="0">
      <selection activeCell="G1" sqref="G1"/>
    </sheetView>
  </sheetViews>
  <sheetFormatPr defaultColWidth="9.140625" defaultRowHeight="12.75"/>
  <cols>
    <col min="1" max="1" width="5.85546875" style="18" customWidth="1"/>
    <col min="2" max="2" width="68" style="18" customWidth="1"/>
    <col min="3" max="3" width="16.28515625" style="18" customWidth="1"/>
    <col min="4" max="4" width="14.7109375" style="18" customWidth="1"/>
    <col min="5" max="6" width="14.5703125" style="18" customWidth="1"/>
    <col min="7" max="7" width="14.85546875" style="18" customWidth="1"/>
    <col min="8" max="12" width="13.42578125" style="18" customWidth="1"/>
    <col min="13" max="13" width="13.140625" style="18" customWidth="1"/>
    <col min="14" max="14" width="13.28515625" style="18" customWidth="1"/>
    <col min="15" max="16384" width="9.140625" style="18"/>
  </cols>
  <sheetData>
    <row r="1" spans="1:15">
      <c r="A1" s="553" t="str">
        <f>COMPANY</f>
        <v>DUKE ENERGY KENTUCKY, INC.</v>
      </c>
      <c r="B1" s="553"/>
      <c r="C1" s="553"/>
      <c r="D1" s="554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5"/>
    </row>
    <row r="2" spans="1:15">
      <c r="A2" s="556" t="str">
        <f>CASE</f>
        <v>CASE NO. 2017-00321</v>
      </c>
      <c r="B2" s="556"/>
      <c r="C2" s="556"/>
      <c r="D2" s="557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5"/>
    </row>
    <row r="3" spans="1:15">
      <c r="A3" s="556" t="s">
        <v>1674</v>
      </c>
      <c r="B3" s="556"/>
      <c r="C3" s="556"/>
      <c r="D3" s="557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5"/>
    </row>
    <row r="4" spans="1:15">
      <c r="A4" s="558"/>
      <c r="B4" s="558"/>
      <c r="C4" s="558"/>
      <c r="D4" s="1574"/>
      <c r="E4" s="558"/>
      <c r="F4" s="558"/>
      <c r="G4" s="1358"/>
      <c r="H4" s="558"/>
      <c r="I4" s="1358"/>
      <c r="J4" s="558"/>
      <c r="K4" s="558"/>
      <c r="L4" s="558"/>
      <c r="M4" s="558"/>
      <c r="N4" s="558"/>
      <c r="O4" s="555"/>
    </row>
    <row r="5" spans="1:15">
      <c r="A5" s="559" t="str">
        <f>DataB</f>
        <v>DATA: "X" BASE PERIOD  "X" FORECASTED PERIOD</v>
      </c>
      <c r="B5" s="559"/>
      <c r="C5" s="559"/>
      <c r="D5" s="554"/>
      <c r="E5" s="556"/>
      <c r="F5" s="553"/>
      <c r="G5" s="553"/>
      <c r="H5" s="553"/>
      <c r="I5" s="1359"/>
      <c r="J5" s="553"/>
      <c r="K5" s="553"/>
      <c r="L5" s="559" t="s">
        <v>1489</v>
      </c>
      <c r="M5" s="553"/>
      <c r="N5" s="553"/>
      <c r="O5" s="555"/>
    </row>
    <row r="6" spans="1:15">
      <c r="A6" s="559" t="str">
        <f>Type</f>
        <v xml:space="preserve">TYPE OF FILING:  "X" ORIGINAL   UPDATED    REVISED  </v>
      </c>
      <c r="B6" s="559"/>
      <c r="C6" s="559"/>
      <c r="D6" s="554"/>
      <c r="E6" s="556"/>
      <c r="F6" s="553"/>
      <c r="G6" s="553"/>
      <c r="H6" s="553"/>
      <c r="I6" s="553"/>
      <c r="J6" s="553"/>
      <c r="K6" s="553"/>
      <c r="L6" s="559" t="s">
        <v>960</v>
      </c>
      <c r="M6" s="553"/>
      <c r="N6" s="553"/>
      <c r="O6" s="555"/>
    </row>
    <row r="7" spans="1:15">
      <c r="A7" s="558" t="s">
        <v>1879</v>
      </c>
      <c r="B7" s="553"/>
      <c r="C7" s="553"/>
      <c r="D7" s="554"/>
      <c r="E7" s="553"/>
      <c r="F7" s="556"/>
      <c r="G7" s="553"/>
      <c r="H7" s="553"/>
      <c r="I7" s="553"/>
      <c r="J7" s="553"/>
      <c r="K7" s="555"/>
      <c r="L7" s="559" t="s">
        <v>1239</v>
      </c>
      <c r="M7" s="559"/>
      <c r="N7" s="559"/>
      <c r="O7" s="555"/>
    </row>
    <row r="8" spans="1:15">
      <c r="A8" s="555"/>
      <c r="B8" s="558"/>
      <c r="C8" s="558"/>
      <c r="D8" s="1574"/>
      <c r="E8" s="558"/>
      <c r="F8" s="558"/>
      <c r="G8" s="558"/>
      <c r="H8" s="558"/>
      <c r="I8" s="558"/>
      <c r="J8" s="558"/>
      <c r="K8" s="555"/>
      <c r="L8" s="560" t="str">
        <f>_WIT7</f>
        <v>R. H. PRATT / C. S. LEE</v>
      </c>
      <c r="M8" s="559"/>
      <c r="N8" s="559"/>
      <c r="O8" s="555"/>
    </row>
    <row r="9" spans="1:15">
      <c r="A9" s="561"/>
      <c r="B9" s="561"/>
      <c r="C9" s="561"/>
      <c r="D9" s="562"/>
      <c r="E9" s="561"/>
      <c r="F9" s="561"/>
      <c r="G9" s="561"/>
      <c r="H9" s="561"/>
      <c r="I9" s="561"/>
      <c r="J9" s="561"/>
      <c r="K9" s="561"/>
      <c r="L9" s="563"/>
      <c r="M9" s="561"/>
      <c r="N9" s="561"/>
      <c r="O9" s="555"/>
    </row>
    <row r="10" spans="1:15">
      <c r="A10" s="564" t="s">
        <v>1240</v>
      </c>
      <c r="B10" s="558"/>
      <c r="C10" s="564" t="s">
        <v>1143</v>
      </c>
      <c r="D10" s="565" t="s">
        <v>564</v>
      </c>
      <c r="E10" s="566" t="s">
        <v>1675</v>
      </c>
      <c r="F10" s="567"/>
      <c r="G10" s="567"/>
      <c r="H10" s="567"/>
      <c r="I10" s="567"/>
      <c r="J10" s="567"/>
      <c r="K10" s="567"/>
      <c r="L10" s="567"/>
      <c r="M10" s="567"/>
      <c r="N10" s="567"/>
      <c r="O10" s="555"/>
    </row>
    <row r="11" spans="1:15">
      <c r="A11" s="568" t="s">
        <v>1241</v>
      </c>
      <c r="B11" s="569" t="s">
        <v>1119</v>
      </c>
      <c r="C11" s="570" t="s">
        <v>568</v>
      </c>
      <c r="D11" s="570" t="s">
        <v>568</v>
      </c>
      <c r="E11" s="568">
        <f>'SCH_I1 - Elec Only'!M14</f>
        <v>2016</v>
      </c>
      <c r="F11" s="568">
        <f t="shared" ref="F11:N11" si="0">E11-1</f>
        <v>2015</v>
      </c>
      <c r="G11" s="568">
        <f t="shared" si="0"/>
        <v>2014</v>
      </c>
      <c r="H11" s="568">
        <f t="shared" si="0"/>
        <v>2013</v>
      </c>
      <c r="I11" s="568">
        <f t="shared" si="0"/>
        <v>2012</v>
      </c>
      <c r="J11" s="568">
        <f t="shared" si="0"/>
        <v>2011</v>
      </c>
      <c r="K11" s="568">
        <f t="shared" si="0"/>
        <v>2010</v>
      </c>
      <c r="L11" s="568">
        <f t="shared" si="0"/>
        <v>2009</v>
      </c>
      <c r="M11" s="568">
        <f t="shared" si="0"/>
        <v>2008</v>
      </c>
      <c r="N11" s="568">
        <f t="shared" si="0"/>
        <v>2007</v>
      </c>
      <c r="O11" s="555"/>
    </row>
    <row r="12" spans="1:15">
      <c r="A12" s="571"/>
      <c r="B12" s="571"/>
      <c r="C12" s="571"/>
      <c r="D12" s="572"/>
      <c r="E12" s="571"/>
      <c r="F12" s="571"/>
      <c r="G12" s="571"/>
      <c r="H12" s="571"/>
      <c r="I12" s="571"/>
      <c r="J12" s="571"/>
      <c r="K12" s="571"/>
      <c r="L12" s="571"/>
      <c r="M12" s="571"/>
      <c r="N12" s="571"/>
      <c r="O12" s="555"/>
    </row>
    <row r="13" spans="1:15">
      <c r="A13" s="564">
        <v>1</v>
      </c>
      <c r="B13" s="573" t="s">
        <v>51</v>
      </c>
      <c r="C13" s="573"/>
      <c r="D13" s="1574"/>
      <c r="E13" s="574"/>
      <c r="F13" s="558"/>
      <c r="G13" s="558"/>
      <c r="H13" s="558"/>
      <c r="I13" s="558"/>
      <c r="J13" s="560"/>
      <c r="K13" s="560"/>
      <c r="L13" s="560"/>
      <c r="M13" s="560"/>
      <c r="N13" s="560"/>
      <c r="O13" s="555"/>
    </row>
    <row r="14" spans="1:15">
      <c r="A14" s="564">
        <f t="shared" ref="A14:A52" si="1">1+A13</f>
        <v>2</v>
      </c>
      <c r="B14" s="575" t="s">
        <v>52</v>
      </c>
      <c r="C14" s="575"/>
      <c r="D14" s="1582"/>
      <c r="E14" s="576"/>
      <c r="F14" s="555"/>
      <c r="G14" s="555"/>
      <c r="H14" s="555"/>
      <c r="I14" s="555"/>
      <c r="J14" s="555"/>
      <c r="K14" s="555"/>
      <c r="L14" s="555"/>
      <c r="M14" s="577"/>
      <c r="N14" s="577"/>
      <c r="O14" s="555"/>
    </row>
    <row r="15" spans="1:15">
      <c r="A15" s="564">
        <f t="shared" si="1"/>
        <v>3</v>
      </c>
      <c r="B15" s="559" t="s">
        <v>53</v>
      </c>
      <c r="C15" s="578">
        <v>12920</v>
      </c>
      <c r="D15" s="578">
        <v>12920</v>
      </c>
      <c r="E15" s="578">
        <v>6221</v>
      </c>
      <c r="F15" s="578">
        <v>3970</v>
      </c>
      <c r="G15" s="578">
        <v>3915</v>
      </c>
      <c r="H15" s="578">
        <v>3529</v>
      </c>
      <c r="I15" s="578">
        <v>3473</v>
      </c>
      <c r="J15" s="578">
        <v>2744</v>
      </c>
      <c r="K15" s="578">
        <v>2054</v>
      </c>
      <c r="L15" s="578">
        <v>464</v>
      </c>
      <c r="M15" s="578">
        <v>464</v>
      </c>
      <c r="N15" s="578">
        <v>464</v>
      </c>
      <c r="O15" s="555"/>
    </row>
    <row r="16" spans="1:15">
      <c r="A16" s="564">
        <f t="shared" si="1"/>
        <v>4</v>
      </c>
      <c r="B16" s="559" t="s">
        <v>54</v>
      </c>
      <c r="C16" s="578">
        <v>7805</v>
      </c>
      <c r="D16" s="578">
        <v>7812</v>
      </c>
      <c r="E16" s="578">
        <v>7820</v>
      </c>
      <c r="F16" s="578">
        <v>7569</v>
      </c>
      <c r="G16" s="578">
        <v>7793</v>
      </c>
      <c r="H16" s="578">
        <v>7809</v>
      </c>
      <c r="I16" s="578">
        <v>7136</v>
      </c>
      <c r="J16" s="578">
        <v>6229</v>
      </c>
      <c r="K16" s="578">
        <v>6072</v>
      </c>
      <c r="L16" s="578">
        <v>6028</v>
      </c>
      <c r="M16" s="578">
        <v>5883</v>
      </c>
      <c r="N16" s="578">
        <v>5846</v>
      </c>
      <c r="O16" s="555"/>
    </row>
    <row r="17" spans="1:15">
      <c r="A17" s="564">
        <f t="shared" si="1"/>
        <v>5</v>
      </c>
      <c r="B17" s="559" t="s">
        <v>532</v>
      </c>
      <c r="C17" s="578">
        <v>0</v>
      </c>
      <c r="D17" s="578">
        <v>0</v>
      </c>
      <c r="E17" s="578">
        <v>0</v>
      </c>
      <c r="F17" s="578">
        <v>0</v>
      </c>
      <c r="G17" s="578">
        <v>0</v>
      </c>
      <c r="H17" s="578">
        <v>0</v>
      </c>
      <c r="I17" s="578">
        <v>0</v>
      </c>
      <c r="J17" s="578">
        <v>0</v>
      </c>
      <c r="K17" s="578">
        <v>0</v>
      </c>
      <c r="L17" s="578">
        <v>0</v>
      </c>
      <c r="M17" s="578">
        <v>0</v>
      </c>
      <c r="N17" s="578">
        <v>0</v>
      </c>
      <c r="O17" s="555"/>
    </row>
    <row r="18" spans="1:15">
      <c r="A18" s="564">
        <f t="shared" si="1"/>
        <v>6</v>
      </c>
      <c r="B18" s="559" t="s">
        <v>55</v>
      </c>
      <c r="C18" s="578">
        <v>0</v>
      </c>
      <c r="D18" s="578">
        <v>0</v>
      </c>
      <c r="E18" s="578">
        <v>0</v>
      </c>
      <c r="F18" s="578">
        <v>0</v>
      </c>
      <c r="G18" s="578">
        <v>0</v>
      </c>
      <c r="H18" s="578">
        <v>0</v>
      </c>
      <c r="I18" s="578">
        <v>0</v>
      </c>
      <c r="J18" s="578">
        <v>0</v>
      </c>
      <c r="K18" s="578">
        <v>0</v>
      </c>
      <c r="L18" s="578">
        <v>0</v>
      </c>
      <c r="M18" s="578">
        <v>0</v>
      </c>
      <c r="N18" s="578">
        <v>0</v>
      </c>
      <c r="O18" s="555"/>
    </row>
    <row r="19" spans="1:15">
      <c r="A19" s="564">
        <f t="shared" si="1"/>
        <v>7</v>
      </c>
      <c r="B19" s="559" t="s">
        <v>187</v>
      </c>
      <c r="C19" s="578">
        <v>0</v>
      </c>
      <c r="D19" s="578">
        <v>0</v>
      </c>
      <c r="E19" s="578">
        <v>0</v>
      </c>
      <c r="F19" s="578">
        <v>0</v>
      </c>
      <c r="G19" s="578">
        <v>0</v>
      </c>
      <c r="H19" s="578">
        <v>0</v>
      </c>
      <c r="I19" s="578">
        <v>0</v>
      </c>
      <c r="J19" s="578">
        <v>0</v>
      </c>
      <c r="K19" s="578">
        <v>0</v>
      </c>
      <c r="L19" s="578">
        <v>0</v>
      </c>
      <c r="M19" s="578">
        <v>0</v>
      </c>
      <c r="N19" s="578">
        <v>0</v>
      </c>
      <c r="O19" s="555"/>
    </row>
    <row r="20" spans="1:15">
      <c r="A20" s="564">
        <f t="shared" si="1"/>
        <v>8</v>
      </c>
      <c r="B20" s="559" t="s">
        <v>188</v>
      </c>
      <c r="C20" s="578">
        <v>505153</v>
      </c>
      <c r="D20" s="578">
        <v>483915</v>
      </c>
      <c r="E20" s="578">
        <v>452451</v>
      </c>
      <c r="F20" s="578">
        <v>431131</v>
      </c>
      <c r="G20" s="578">
        <v>421026</v>
      </c>
      <c r="H20" s="578">
        <v>414138</v>
      </c>
      <c r="I20" s="578">
        <v>406367</v>
      </c>
      <c r="J20" s="578">
        <v>393816</v>
      </c>
      <c r="K20" s="578">
        <v>384146</v>
      </c>
      <c r="L20" s="578">
        <v>368642</v>
      </c>
      <c r="M20" s="578">
        <v>336617</v>
      </c>
      <c r="N20" s="578">
        <v>311175</v>
      </c>
      <c r="O20" s="555"/>
    </row>
    <row r="21" spans="1:15">
      <c r="A21" s="564">
        <f t="shared" si="1"/>
        <v>9</v>
      </c>
      <c r="B21" s="559" t="s">
        <v>189</v>
      </c>
      <c r="C21" s="578">
        <v>17135</v>
      </c>
      <c r="D21" s="578">
        <v>9271</v>
      </c>
      <c r="E21" s="1757">
        <v>1683</v>
      </c>
      <c r="F21" s="1757">
        <v>3207</v>
      </c>
      <c r="G21" s="1757">
        <v>3159</v>
      </c>
      <c r="H21" s="1757">
        <v>3048</v>
      </c>
      <c r="I21" s="1757">
        <v>3286</v>
      </c>
      <c r="J21" s="1757">
        <v>3203</v>
      </c>
      <c r="K21" s="1757">
        <v>3158</v>
      </c>
      <c r="L21" s="1757">
        <v>3000</v>
      </c>
      <c r="M21" s="1757">
        <v>2100</v>
      </c>
      <c r="N21" s="1757">
        <v>1979</v>
      </c>
      <c r="O21" s="555"/>
    </row>
    <row r="22" spans="1:15">
      <c r="A22" s="564">
        <f t="shared" si="1"/>
        <v>10</v>
      </c>
      <c r="B22" s="559" t="s">
        <v>190</v>
      </c>
      <c r="C22" s="1758">
        <f t="shared" ref="C22:M22" si="2">SUM(C15:C21)</f>
        <v>543013</v>
      </c>
      <c r="D22" s="1758">
        <f t="shared" si="2"/>
        <v>513918</v>
      </c>
      <c r="E22" s="1759">
        <f t="shared" si="2"/>
        <v>468175</v>
      </c>
      <c r="F22" s="1759">
        <f t="shared" si="2"/>
        <v>445877</v>
      </c>
      <c r="G22" s="1759">
        <f t="shared" si="2"/>
        <v>435893</v>
      </c>
      <c r="H22" s="1759">
        <f t="shared" si="2"/>
        <v>428524</v>
      </c>
      <c r="I22" s="1759">
        <f t="shared" si="2"/>
        <v>420262</v>
      </c>
      <c r="J22" s="1759">
        <f t="shared" si="2"/>
        <v>405992</v>
      </c>
      <c r="K22" s="1759">
        <f t="shared" si="2"/>
        <v>395430</v>
      </c>
      <c r="L22" s="1759">
        <f t="shared" si="2"/>
        <v>378134</v>
      </c>
      <c r="M22" s="1759">
        <f t="shared" si="2"/>
        <v>345064</v>
      </c>
      <c r="N22" s="1759">
        <f>SUM(N15:N21)</f>
        <v>319464</v>
      </c>
      <c r="O22" s="555"/>
    </row>
    <row r="23" spans="1:15">
      <c r="A23" s="564">
        <f t="shared" si="1"/>
        <v>11</v>
      </c>
      <c r="B23" s="559" t="s">
        <v>191</v>
      </c>
      <c r="C23" s="1757">
        <v>185397</v>
      </c>
      <c r="D23" s="1757">
        <v>176578</v>
      </c>
      <c r="E23" s="1757">
        <v>156558</v>
      </c>
      <c r="F23" s="1757">
        <v>152368</v>
      </c>
      <c r="G23" s="1757">
        <v>142929</v>
      </c>
      <c r="H23" s="1757">
        <v>134248</v>
      </c>
      <c r="I23" s="1757">
        <v>125356</v>
      </c>
      <c r="J23" s="1757">
        <v>118161</v>
      </c>
      <c r="K23" s="1757">
        <v>109623</v>
      </c>
      <c r="L23" s="1757">
        <v>103506</v>
      </c>
      <c r="M23" s="1757">
        <v>97882</v>
      </c>
      <c r="N23" s="1757">
        <v>93640</v>
      </c>
      <c r="O23" s="555"/>
    </row>
    <row r="24" spans="1:15">
      <c r="A24" s="564">
        <f t="shared" si="1"/>
        <v>12</v>
      </c>
      <c r="B24" s="559" t="s">
        <v>192</v>
      </c>
      <c r="C24" s="1760">
        <f t="shared" ref="C24:M24" si="3">C22-C23</f>
        <v>357616</v>
      </c>
      <c r="D24" s="1760">
        <f t="shared" si="3"/>
        <v>337340</v>
      </c>
      <c r="E24" s="1760">
        <f t="shared" si="3"/>
        <v>311617</v>
      </c>
      <c r="F24" s="1760">
        <f t="shared" si="3"/>
        <v>293509</v>
      </c>
      <c r="G24" s="1760">
        <f t="shared" si="3"/>
        <v>292964</v>
      </c>
      <c r="H24" s="1760">
        <f t="shared" si="3"/>
        <v>294276</v>
      </c>
      <c r="I24" s="1760">
        <f t="shared" si="3"/>
        <v>294906</v>
      </c>
      <c r="J24" s="1760">
        <f t="shared" si="3"/>
        <v>287831</v>
      </c>
      <c r="K24" s="1760">
        <f t="shared" si="3"/>
        <v>285807</v>
      </c>
      <c r="L24" s="1760">
        <f t="shared" si="3"/>
        <v>274628</v>
      </c>
      <c r="M24" s="1760">
        <f t="shared" si="3"/>
        <v>247182</v>
      </c>
      <c r="N24" s="1760">
        <f>N22-N23</f>
        <v>225824</v>
      </c>
      <c r="O24" s="555"/>
    </row>
    <row r="25" spans="1:15">
      <c r="A25" s="564">
        <f t="shared" si="1"/>
        <v>13</v>
      </c>
      <c r="B25" s="558"/>
      <c r="C25" s="1582"/>
      <c r="D25" s="1582"/>
      <c r="E25" s="555"/>
      <c r="F25" s="555"/>
      <c r="G25" s="555"/>
      <c r="H25" s="555"/>
      <c r="I25" s="555"/>
      <c r="J25" s="555"/>
      <c r="K25" s="555"/>
      <c r="L25" s="555"/>
      <c r="M25" s="555"/>
      <c r="N25" s="555"/>
      <c r="O25" s="555"/>
    </row>
    <row r="26" spans="1:15">
      <c r="A26" s="564">
        <f t="shared" si="1"/>
        <v>14</v>
      </c>
      <c r="B26" s="579" t="s">
        <v>193</v>
      </c>
      <c r="C26" s="1582"/>
      <c r="D26" s="1582"/>
      <c r="E26" s="555"/>
      <c r="F26" s="555"/>
      <c r="G26" s="555"/>
      <c r="H26" s="555"/>
      <c r="I26" s="555"/>
      <c r="J26" s="555"/>
      <c r="K26" s="555"/>
      <c r="L26" s="555"/>
      <c r="M26" s="555"/>
      <c r="N26" s="555"/>
      <c r="O26" s="555"/>
    </row>
    <row r="27" spans="1:15">
      <c r="A27" s="564">
        <f t="shared" si="1"/>
        <v>15</v>
      </c>
      <c r="B27" s="580" t="s">
        <v>53</v>
      </c>
      <c r="C27" s="1582">
        <f>ROUND('SCH B-3'!E482/1000,0)</f>
        <v>12504</v>
      </c>
      <c r="D27" s="1582">
        <f>ROUND('SCH B-3'!E207/1000,0)</f>
        <v>12504</v>
      </c>
      <c r="E27" s="1761">
        <v>12343</v>
      </c>
      <c r="F27" s="1761">
        <v>9915</v>
      </c>
      <c r="G27" s="1761">
        <f>9096+2</f>
        <v>9098</v>
      </c>
      <c r="H27" s="1761">
        <v>6000</v>
      </c>
      <c r="I27" s="1761">
        <v>5324</v>
      </c>
      <c r="J27" s="1761">
        <v>5785</v>
      </c>
      <c r="K27" s="1761">
        <v>3223</v>
      </c>
      <c r="L27" s="1761">
        <v>2845</v>
      </c>
      <c r="M27" s="1761">
        <v>2200</v>
      </c>
      <c r="N27" s="1761">
        <v>2197</v>
      </c>
      <c r="O27" s="555"/>
    </row>
    <row r="28" spans="1:15">
      <c r="A28" s="564">
        <f t="shared" si="1"/>
        <v>16</v>
      </c>
      <c r="B28" s="580" t="s">
        <v>1009</v>
      </c>
      <c r="C28" s="1582">
        <f>ROUND('SCH B-3'!E319/1000,0)</f>
        <v>799631</v>
      </c>
      <c r="D28" s="1582">
        <f>ROUND('SCH B-3'!E42/1000,0)</f>
        <v>699761</v>
      </c>
      <c r="E28" s="1761">
        <v>748258</v>
      </c>
      <c r="F28" s="1761">
        <v>771471</v>
      </c>
      <c r="G28" s="1761">
        <f>538676+11993</f>
        <v>550669</v>
      </c>
      <c r="H28" s="1761">
        <v>522424</v>
      </c>
      <c r="I28" s="1761">
        <v>520107</v>
      </c>
      <c r="J28" s="1761">
        <v>509889</v>
      </c>
      <c r="K28" s="1761">
        <v>508496</v>
      </c>
      <c r="L28" s="1761">
        <v>505467</v>
      </c>
      <c r="M28" s="1761">
        <v>494387</v>
      </c>
      <c r="N28" s="1761">
        <v>499345</v>
      </c>
      <c r="O28" s="555"/>
    </row>
    <row r="29" spans="1:15">
      <c r="A29" s="564">
        <f t="shared" si="1"/>
        <v>17</v>
      </c>
      <c r="B29" s="580" t="s">
        <v>1010</v>
      </c>
      <c r="C29" s="578">
        <v>0</v>
      </c>
      <c r="D29" s="578">
        <v>0</v>
      </c>
      <c r="E29" s="1761">
        <v>0</v>
      </c>
      <c r="F29" s="1761">
        <v>0</v>
      </c>
      <c r="G29" s="1761">
        <v>0</v>
      </c>
      <c r="H29" s="1761">
        <v>0</v>
      </c>
      <c r="I29" s="1761">
        <v>0</v>
      </c>
      <c r="J29" s="1761">
        <v>0</v>
      </c>
      <c r="K29" s="1761">
        <v>0</v>
      </c>
      <c r="L29" s="1761">
        <v>0</v>
      </c>
      <c r="M29" s="1761">
        <v>0</v>
      </c>
      <c r="N29" s="1761">
        <v>0</v>
      </c>
      <c r="O29" s="555"/>
    </row>
    <row r="30" spans="1:15">
      <c r="A30" s="564">
        <f t="shared" si="1"/>
        <v>18</v>
      </c>
      <c r="B30" s="580" t="s">
        <v>1011</v>
      </c>
      <c r="C30" s="1582">
        <f>ROUND('SCH B-3'!E362/1000,0)</f>
        <v>334147</v>
      </c>
      <c r="D30" s="1582">
        <f>ROUND('SCH B-3'!E85/1000,0)</f>
        <v>297046</v>
      </c>
      <c r="E30" s="1761">
        <v>290913</v>
      </c>
      <c r="F30" s="1761">
        <v>290067</v>
      </c>
      <c r="G30" s="1761">
        <v>287989</v>
      </c>
      <c r="H30" s="1761">
        <v>284817</v>
      </c>
      <c r="I30" s="1761">
        <v>281758</v>
      </c>
      <c r="J30" s="1761">
        <v>277770</v>
      </c>
      <c r="K30" s="1761">
        <v>268704</v>
      </c>
      <c r="L30" s="1761">
        <v>263293</v>
      </c>
      <c r="M30" s="1761">
        <v>259706</v>
      </c>
      <c r="N30" s="1761">
        <v>271247</v>
      </c>
      <c r="O30" s="555"/>
    </row>
    <row r="31" spans="1:15">
      <c r="A31" s="564">
        <f t="shared" si="1"/>
        <v>19</v>
      </c>
      <c r="B31" s="580" t="s">
        <v>187</v>
      </c>
      <c r="C31" s="1582">
        <f>ROUND('SCH B-3'!E402/1000,0)</f>
        <v>65749</v>
      </c>
      <c r="D31" s="1582">
        <f>ROUND('SCH B-3'!E126/1000,0)</f>
        <v>61757</v>
      </c>
      <c r="E31" s="1761">
        <v>55492</v>
      </c>
      <c r="F31" s="1761">
        <v>55729</v>
      </c>
      <c r="G31" s="1761">
        <v>51015</v>
      </c>
      <c r="H31" s="1761">
        <v>44032</v>
      </c>
      <c r="I31" s="1761">
        <f>31577+7724</f>
        <v>39301</v>
      </c>
      <c r="J31" s="1761">
        <v>29694</v>
      </c>
      <c r="K31" s="1761">
        <v>29258</v>
      </c>
      <c r="L31" s="1761">
        <v>28998</v>
      </c>
      <c r="M31" s="1761">
        <v>28185</v>
      </c>
      <c r="N31" s="1761">
        <v>27830</v>
      </c>
      <c r="O31" s="555"/>
    </row>
    <row r="32" spans="1:15">
      <c r="A32" s="564">
        <f t="shared" si="1"/>
        <v>20</v>
      </c>
      <c r="B32" s="580" t="s">
        <v>188</v>
      </c>
      <c r="C32" s="1582">
        <f>ROUND('SCH B-3'!E456/1000,0)</f>
        <v>471421</v>
      </c>
      <c r="D32" s="1582">
        <f>ROUND('SCH B-3'!E181/1000,0)</f>
        <v>432571</v>
      </c>
      <c r="E32" s="1761">
        <v>426636</v>
      </c>
      <c r="F32" s="1761">
        <v>414569</v>
      </c>
      <c r="G32" s="1761">
        <v>392222</v>
      </c>
      <c r="H32" s="1761">
        <v>382031</v>
      </c>
      <c r="I32" s="1761">
        <v>369753</v>
      </c>
      <c r="J32" s="1761">
        <v>353975</v>
      </c>
      <c r="K32" s="1761">
        <v>343335</v>
      </c>
      <c r="L32" s="1761">
        <v>328839</v>
      </c>
      <c r="M32" s="1761">
        <v>316556</v>
      </c>
      <c r="N32" s="1761">
        <v>302308</v>
      </c>
      <c r="O32" s="555"/>
    </row>
    <row r="33" spans="1:15">
      <c r="A33" s="564">
        <f t="shared" si="1"/>
        <v>21</v>
      </c>
      <c r="B33" s="580" t="s">
        <v>189</v>
      </c>
      <c r="C33" s="1582">
        <f>ROUND('SCH B-3'!E496/1000,0)-C27</f>
        <v>16050</v>
      </c>
      <c r="D33" s="1582">
        <f>ROUND('SCH B-3'!E221/1000,0)-D27</f>
        <v>9859</v>
      </c>
      <c r="E33" s="1757">
        <v>7872</v>
      </c>
      <c r="F33" s="1757">
        <v>5953</v>
      </c>
      <c r="G33" s="1757">
        <v>5610</v>
      </c>
      <c r="H33" s="1757">
        <v>5250</v>
      </c>
      <c r="I33" s="1757">
        <v>5139</v>
      </c>
      <c r="J33" s="1757">
        <v>5414</v>
      </c>
      <c r="K33" s="1757">
        <v>3912</v>
      </c>
      <c r="L33" s="1757">
        <v>1920</v>
      </c>
      <c r="M33" s="1757">
        <v>1384</v>
      </c>
      <c r="N33" s="1757">
        <v>1015</v>
      </c>
      <c r="O33" s="555"/>
    </row>
    <row r="34" spans="1:15">
      <c r="A34" s="564">
        <f t="shared" si="1"/>
        <v>22</v>
      </c>
      <c r="B34" s="580" t="s">
        <v>1012</v>
      </c>
      <c r="C34" s="1758">
        <f t="shared" ref="C34" si="4">SUM(C27:C33)</f>
        <v>1699502</v>
      </c>
      <c r="D34" s="1758">
        <f t="shared" ref="D34:M34" si="5">SUM(D27:D33)</f>
        <v>1513498</v>
      </c>
      <c r="E34" s="1759">
        <f t="shared" si="5"/>
        <v>1541514</v>
      </c>
      <c r="F34" s="1759">
        <f t="shared" si="5"/>
        <v>1547704</v>
      </c>
      <c r="G34" s="1759">
        <f t="shared" si="5"/>
        <v>1296603</v>
      </c>
      <c r="H34" s="1759">
        <f t="shared" si="5"/>
        <v>1244554</v>
      </c>
      <c r="I34" s="1759">
        <f t="shared" si="5"/>
        <v>1221382</v>
      </c>
      <c r="J34" s="1759">
        <f t="shared" si="5"/>
        <v>1182527</v>
      </c>
      <c r="K34" s="1759">
        <f t="shared" si="5"/>
        <v>1156928</v>
      </c>
      <c r="L34" s="1759">
        <f t="shared" si="5"/>
        <v>1131362</v>
      </c>
      <c r="M34" s="1759">
        <f t="shared" si="5"/>
        <v>1102418</v>
      </c>
      <c r="N34" s="1759">
        <f>SUM(N27:N33)</f>
        <v>1103942</v>
      </c>
      <c r="O34" s="555"/>
    </row>
    <row r="35" spans="1:15">
      <c r="A35" s="564">
        <f t="shared" si="1"/>
        <v>23</v>
      </c>
      <c r="B35" s="559" t="s">
        <v>191</v>
      </c>
      <c r="C35" s="1760">
        <f>ROUND('SCH B-3'!G499/1000,0)</f>
        <v>823226</v>
      </c>
      <c r="D35" s="1760">
        <f>ROUND('SCH B-3'!G224/1000,0)</f>
        <v>819415</v>
      </c>
      <c r="E35" s="1757">
        <v>807691</v>
      </c>
      <c r="F35" s="1757">
        <v>790467</v>
      </c>
      <c r="G35" s="1757">
        <v>638666</v>
      </c>
      <c r="H35" s="1757">
        <v>633187</v>
      </c>
      <c r="I35" s="1757">
        <v>607591</v>
      </c>
      <c r="J35" s="1757">
        <v>597583</v>
      </c>
      <c r="K35" s="1757">
        <v>574916</v>
      </c>
      <c r="L35" s="1757">
        <v>551023</v>
      </c>
      <c r="M35" s="1757">
        <v>535776</v>
      </c>
      <c r="N35" s="1757">
        <v>534014</v>
      </c>
      <c r="O35" s="555"/>
    </row>
    <row r="36" spans="1:15">
      <c r="A36" s="564">
        <f t="shared" si="1"/>
        <v>24</v>
      </c>
      <c r="B36" s="580" t="s">
        <v>1013</v>
      </c>
      <c r="C36" s="1760">
        <f t="shared" ref="C36" si="6">C34-C35</f>
        <v>876276</v>
      </c>
      <c r="D36" s="1760">
        <f t="shared" ref="D36:M36" si="7">D34-D35</f>
        <v>694083</v>
      </c>
      <c r="E36" s="1760">
        <f t="shared" si="7"/>
        <v>733823</v>
      </c>
      <c r="F36" s="1760">
        <f t="shared" si="7"/>
        <v>757237</v>
      </c>
      <c r="G36" s="1760">
        <f t="shared" si="7"/>
        <v>657937</v>
      </c>
      <c r="H36" s="1760">
        <f t="shared" si="7"/>
        <v>611367</v>
      </c>
      <c r="I36" s="1760">
        <f t="shared" si="7"/>
        <v>613791</v>
      </c>
      <c r="J36" s="1760">
        <f t="shared" si="7"/>
        <v>584944</v>
      </c>
      <c r="K36" s="1760">
        <f t="shared" si="7"/>
        <v>582012</v>
      </c>
      <c r="L36" s="1760">
        <f t="shared" si="7"/>
        <v>580339</v>
      </c>
      <c r="M36" s="1760">
        <f t="shared" si="7"/>
        <v>566642</v>
      </c>
      <c r="N36" s="1760">
        <f>N34-N35</f>
        <v>569928</v>
      </c>
      <c r="O36" s="555"/>
    </row>
    <row r="37" spans="1:15">
      <c r="A37" s="564">
        <f t="shared" si="1"/>
        <v>25</v>
      </c>
      <c r="B37" s="555"/>
      <c r="C37" s="1582"/>
      <c r="D37" s="1582"/>
      <c r="E37" s="555"/>
      <c r="F37" s="555"/>
      <c r="G37" s="555"/>
      <c r="H37" s="555"/>
      <c r="I37" s="555"/>
      <c r="J37" s="555"/>
      <c r="K37" s="555"/>
      <c r="L37" s="555"/>
      <c r="M37" s="555"/>
      <c r="N37" s="555"/>
      <c r="O37" s="555"/>
    </row>
    <row r="38" spans="1:15">
      <c r="A38" s="564">
        <f t="shared" si="1"/>
        <v>26</v>
      </c>
      <c r="B38" s="579" t="s">
        <v>1288</v>
      </c>
      <c r="C38" s="1582"/>
      <c r="D38" s="1582"/>
      <c r="E38" s="555"/>
      <c r="F38" s="555"/>
      <c r="G38" s="555"/>
      <c r="H38" s="555"/>
      <c r="I38" s="555"/>
      <c r="J38" s="555"/>
      <c r="K38" s="555"/>
      <c r="L38" s="555"/>
      <c r="M38" s="555"/>
      <c r="N38" s="555"/>
      <c r="O38" s="555"/>
    </row>
    <row r="39" spans="1:15">
      <c r="A39" s="564">
        <f t="shared" si="1"/>
        <v>27</v>
      </c>
      <c r="B39" s="580" t="s">
        <v>1289</v>
      </c>
      <c r="C39" s="1582">
        <f>ROUND('SCH B-3'!E539/1000,0)</f>
        <v>43039</v>
      </c>
      <c r="D39" s="1582">
        <f>ROUND('SCH B-3'!E264/1000,0)</f>
        <v>43214</v>
      </c>
      <c r="E39" s="578">
        <v>42694</v>
      </c>
      <c r="F39" s="578">
        <v>42816</v>
      </c>
      <c r="G39" s="578">
        <v>42789</v>
      </c>
      <c r="H39" s="578">
        <v>41257</v>
      </c>
      <c r="I39" s="578">
        <v>41731</v>
      </c>
      <c r="J39" s="578">
        <v>41143</v>
      </c>
      <c r="K39" s="578">
        <v>41119</v>
      </c>
      <c r="L39" s="578">
        <v>32317</v>
      </c>
      <c r="M39" s="578">
        <v>28711</v>
      </c>
      <c r="N39" s="578">
        <v>27291</v>
      </c>
      <c r="O39" s="555"/>
    </row>
    <row r="40" spans="1:15">
      <c r="A40" s="564">
        <f t="shared" si="1"/>
        <v>28</v>
      </c>
      <c r="B40" s="559" t="s">
        <v>191</v>
      </c>
      <c r="C40" s="1760">
        <f>ROUND('SCH B-3'!G539/1000,0)</f>
        <v>38600</v>
      </c>
      <c r="D40" s="1760">
        <f>ROUND('SCH B-3'!G264/1000,0)</f>
        <v>38046</v>
      </c>
      <c r="E40" s="1757">
        <v>36759</v>
      </c>
      <c r="F40" s="1757">
        <v>35358</v>
      </c>
      <c r="G40" s="1757">
        <v>33825</v>
      </c>
      <c r="H40" s="1757">
        <v>31539</v>
      </c>
      <c r="I40" s="1757">
        <f>28706-1</f>
        <v>28705</v>
      </c>
      <c r="J40" s="1757">
        <v>28537</v>
      </c>
      <c r="K40" s="1757">
        <v>24213</v>
      </c>
      <c r="L40" s="1757">
        <v>19236</v>
      </c>
      <c r="M40" s="1757">
        <v>16443</v>
      </c>
      <c r="N40" s="1757">
        <v>13850</v>
      </c>
      <c r="O40" s="555"/>
    </row>
    <row r="41" spans="1:15">
      <c r="A41" s="564">
        <f t="shared" si="1"/>
        <v>29</v>
      </c>
      <c r="B41" s="580" t="s">
        <v>1290</v>
      </c>
      <c r="C41" s="1760">
        <f t="shared" ref="C41" si="8">C39-C40</f>
        <v>4439</v>
      </c>
      <c r="D41" s="1760">
        <f t="shared" ref="D41:M41" si="9">D39-D40</f>
        <v>5168</v>
      </c>
      <c r="E41" s="1760">
        <f t="shared" si="9"/>
        <v>5935</v>
      </c>
      <c r="F41" s="1760">
        <f t="shared" si="9"/>
        <v>7458</v>
      </c>
      <c r="G41" s="1760">
        <f t="shared" si="9"/>
        <v>8964</v>
      </c>
      <c r="H41" s="1760">
        <f t="shared" si="9"/>
        <v>9718</v>
      </c>
      <c r="I41" s="1760">
        <f t="shared" si="9"/>
        <v>13026</v>
      </c>
      <c r="J41" s="1760">
        <f t="shared" si="9"/>
        <v>12606</v>
      </c>
      <c r="K41" s="1760">
        <f t="shared" si="9"/>
        <v>16906</v>
      </c>
      <c r="L41" s="1760">
        <f t="shared" si="9"/>
        <v>13081</v>
      </c>
      <c r="M41" s="1760">
        <f t="shared" si="9"/>
        <v>12268</v>
      </c>
      <c r="N41" s="1760">
        <f>N39-N40</f>
        <v>13441</v>
      </c>
      <c r="O41" s="555"/>
    </row>
    <row r="42" spans="1:15">
      <c r="A42" s="564">
        <f t="shared" si="1"/>
        <v>30</v>
      </c>
      <c r="B42" s="555"/>
      <c r="C42" s="1582"/>
      <c r="D42" s="1582"/>
      <c r="E42" s="555"/>
      <c r="F42" s="555"/>
      <c r="G42" s="555"/>
      <c r="H42" s="555"/>
      <c r="I42" s="555"/>
      <c r="J42" s="555"/>
      <c r="K42" s="555"/>
      <c r="L42" s="555"/>
      <c r="M42" s="555"/>
      <c r="N42" s="555"/>
      <c r="O42" s="555"/>
    </row>
    <row r="43" spans="1:15">
      <c r="A43" s="564">
        <f t="shared" si="1"/>
        <v>31</v>
      </c>
      <c r="B43" s="580" t="s">
        <v>1291</v>
      </c>
      <c r="C43" s="1757">
        <v>0</v>
      </c>
      <c r="D43" s="1757">
        <v>0</v>
      </c>
      <c r="E43" s="1757">
        <v>0</v>
      </c>
      <c r="F43" s="1757">
        <v>0</v>
      </c>
      <c r="G43" s="1757">
        <v>0</v>
      </c>
      <c r="H43" s="1757">
        <v>0</v>
      </c>
      <c r="I43" s="1757">
        <v>0</v>
      </c>
      <c r="J43" s="1757">
        <v>0</v>
      </c>
      <c r="K43" s="1757">
        <v>0</v>
      </c>
      <c r="L43" s="1757">
        <v>0</v>
      </c>
      <c r="M43" s="1757">
        <v>0</v>
      </c>
      <c r="N43" s="1757">
        <v>0</v>
      </c>
      <c r="O43" s="581"/>
    </row>
    <row r="44" spans="1:15">
      <c r="A44" s="564">
        <f t="shared" si="1"/>
        <v>32</v>
      </c>
      <c r="B44" s="555"/>
      <c r="C44" s="1582"/>
      <c r="D44" s="1582"/>
      <c r="E44" s="1582"/>
      <c r="F44" s="1582"/>
      <c r="G44" s="1582"/>
      <c r="H44" s="1582"/>
      <c r="I44" s="1582"/>
      <c r="J44" s="1582"/>
      <c r="K44" s="1582"/>
      <c r="L44" s="1582"/>
      <c r="M44" s="1582"/>
      <c r="N44" s="1582"/>
      <c r="O44" s="555"/>
    </row>
    <row r="45" spans="1:15">
      <c r="A45" s="564">
        <f t="shared" si="1"/>
        <v>33</v>
      </c>
      <c r="B45" s="580" t="s">
        <v>1292</v>
      </c>
      <c r="C45" s="1760">
        <f>-ROUND(SCH_A!Q109/1000,0)</f>
        <v>85525</v>
      </c>
      <c r="D45" s="1760">
        <f>-ROUND(SCH_A!Q69/1000,0)</f>
        <v>121467</v>
      </c>
      <c r="E45" s="1757">
        <v>63833</v>
      </c>
      <c r="F45" s="1757">
        <v>43361</v>
      </c>
      <c r="G45" s="1757">
        <f>14898+405</f>
        <v>15303</v>
      </c>
      <c r="H45" s="1757">
        <v>26970</v>
      </c>
      <c r="I45" s="1757">
        <v>20861</v>
      </c>
      <c r="J45" s="1757">
        <v>27612</v>
      </c>
      <c r="K45" s="1757">
        <v>14510</v>
      </c>
      <c r="L45" s="1757">
        <v>18215</v>
      </c>
      <c r="M45" s="1757">
        <v>36504</v>
      </c>
      <c r="N45" s="1757">
        <v>24572</v>
      </c>
      <c r="O45" s="555"/>
    </row>
    <row r="46" spans="1:15">
      <c r="A46" s="564">
        <f t="shared" si="1"/>
        <v>34</v>
      </c>
      <c r="B46" s="555"/>
      <c r="C46" s="1582"/>
      <c r="D46" s="1582"/>
      <c r="E46" s="1582"/>
      <c r="F46" s="1582"/>
      <c r="G46" s="1582"/>
      <c r="H46" s="1582"/>
      <c r="I46" s="1582"/>
      <c r="J46" s="1582"/>
      <c r="K46" s="1582"/>
      <c r="L46" s="1582"/>
      <c r="M46" s="1582"/>
      <c r="N46" s="1582"/>
      <c r="O46" s="555"/>
    </row>
    <row r="47" spans="1:15" ht="13.5" thickBot="1">
      <c r="A47" s="564">
        <f t="shared" si="1"/>
        <v>35</v>
      </c>
      <c r="B47" s="580" t="s">
        <v>1293</v>
      </c>
      <c r="C47" s="1762">
        <f>C24+C36+C41+C43+C45</f>
        <v>1323856</v>
      </c>
      <c r="D47" s="1762">
        <f>D24+D36+D41+D43+D45</f>
        <v>1158058</v>
      </c>
      <c r="E47" s="1762">
        <f>E24+E36+E41+E43+E45</f>
        <v>1115208</v>
      </c>
      <c r="F47" s="1762">
        <f t="shared" ref="F47:N47" si="10">F24+F36+F41+F43+F45</f>
        <v>1101565</v>
      </c>
      <c r="G47" s="1762">
        <f t="shared" si="10"/>
        <v>975168</v>
      </c>
      <c r="H47" s="1762">
        <f t="shared" si="10"/>
        <v>942331</v>
      </c>
      <c r="I47" s="1762">
        <f t="shared" si="10"/>
        <v>942584</v>
      </c>
      <c r="J47" s="1762">
        <f t="shared" si="10"/>
        <v>912993</v>
      </c>
      <c r="K47" s="1762">
        <f t="shared" si="10"/>
        <v>899235</v>
      </c>
      <c r="L47" s="1762">
        <f t="shared" si="10"/>
        <v>886263</v>
      </c>
      <c r="M47" s="1762">
        <f t="shared" si="10"/>
        <v>862596</v>
      </c>
      <c r="N47" s="1762">
        <f t="shared" si="10"/>
        <v>833765</v>
      </c>
      <c r="O47" s="555"/>
    </row>
    <row r="48" spans="1:15" ht="13.5" thickTop="1">
      <c r="A48" s="564">
        <f t="shared" si="1"/>
        <v>36</v>
      </c>
      <c r="B48" s="555"/>
      <c r="C48" s="555"/>
      <c r="D48" s="1582"/>
      <c r="E48" s="555"/>
      <c r="F48" s="555"/>
      <c r="G48" s="555"/>
      <c r="H48" s="555"/>
      <c r="I48" s="555"/>
      <c r="J48" s="555"/>
      <c r="K48" s="555"/>
      <c r="L48" s="555"/>
      <c r="M48" s="555"/>
      <c r="N48" s="555"/>
      <c r="O48" s="555"/>
    </row>
    <row r="49" spans="1:15">
      <c r="A49" s="564">
        <f t="shared" si="1"/>
        <v>37</v>
      </c>
      <c r="B49" s="555" t="s">
        <v>2962</v>
      </c>
      <c r="C49" s="1582"/>
      <c r="D49" s="1582"/>
      <c r="E49" s="555"/>
      <c r="F49" s="555"/>
      <c r="G49" s="577"/>
      <c r="H49" s="577"/>
      <c r="I49" s="577"/>
      <c r="J49" s="555"/>
      <c r="K49" s="577"/>
      <c r="L49" s="577"/>
      <c r="M49" s="577"/>
      <c r="N49" s="577"/>
      <c r="O49" s="555"/>
    </row>
    <row r="50" spans="1:15">
      <c r="A50" s="564">
        <f t="shared" si="1"/>
        <v>38</v>
      </c>
      <c r="B50" s="555" t="s">
        <v>941</v>
      </c>
      <c r="C50" s="582" t="s">
        <v>1940</v>
      </c>
      <c r="D50" s="582" t="s">
        <v>1940</v>
      </c>
      <c r="E50" s="1764">
        <v>2.41E-2</v>
      </c>
      <c r="F50" s="1764">
        <v>2.4299999999999999E-2</v>
      </c>
      <c r="G50" s="1765">
        <v>2.4199999999999999E-2</v>
      </c>
      <c r="H50" s="1765">
        <v>2.4199999999999999E-2</v>
      </c>
      <c r="I50" s="1765">
        <v>2.4500000000000001E-2</v>
      </c>
      <c r="J50" s="1764">
        <v>2.3900000000000001E-2</v>
      </c>
      <c r="K50" s="1765">
        <v>2.3599999999999999E-2</v>
      </c>
      <c r="L50" s="1765">
        <v>2.7300000000000001E-2</v>
      </c>
      <c r="M50" s="1765">
        <v>2.2800000000000001E-2</v>
      </c>
      <c r="N50" s="1765">
        <v>2.3300000000000001E-2</v>
      </c>
      <c r="O50" s="555"/>
    </row>
    <row r="51" spans="1:15">
      <c r="A51" s="564">
        <f t="shared" si="1"/>
        <v>39</v>
      </c>
      <c r="B51" s="555" t="s">
        <v>1533</v>
      </c>
      <c r="C51" s="582" t="s">
        <v>1940</v>
      </c>
      <c r="D51" s="582" t="s">
        <v>1940</v>
      </c>
      <c r="E51" s="1764">
        <v>2.2200000000000001E-2</v>
      </c>
      <c r="F51" s="1764">
        <v>2.3800000000000002E-2</v>
      </c>
      <c r="G51" s="1765">
        <v>2.3900000000000001E-2</v>
      </c>
      <c r="H51" s="1765">
        <v>2.4799999999999999E-2</v>
      </c>
      <c r="I51" s="1765">
        <v>2.4199999999999999E-2</v>
      </c>
      <c r="J51" s="1764">
        <v>2.46E-2</v>
      </c>
      <c r="K51" s="1765">
        <v>2.5000000000000001E-2</v>
      </c>
      <c r="L51" s="1765">
        <v>2.4899999999999999E-2</v>
      </c>
      <c r="M51" s="1765">
        <v>2.5000000000000001E-2</v>
      </c>
      <c r="N51" s="1765">
        <v>2.5000000000000001E-2</v>
      </c>
      <c r="O51" s="555"/>
    </row>
    <row r="52" spans="1:15">
      <c r="A52" s="564">
        <f t="shared" si="1"/>
        <v>40</v>
      </c>
      <c r="B52" s="555" t="s">
        <v>1534</v>
      </c>
      <c r="C52" s="582" t="s">
        <v>1940</v>
      </c>
      <c r="D52" s="582" t="s">
        <v>1940</v>
      </c>
      <c r="E52" s="1764">
        <v>0.1055</v>
      </c>
      <c r="F52" s="1764">
        <v>5.4300000000000001E-2</v>
      </c>
      <c r="G52" s="1765">
        <v>9.4799999999999995E-2</v>
      </c>
      <c r="H52" s="1765">
        <v>9.1399999999999995E-2</v>
      </c>
      <c r="I52" s="1765">
        <v>9.5200000000000007E-2</v>
      </c>
      <c r="J52" s="1764">
        <v>9.4E-2</v>
      </c>
      <c r="K52" s="1765">
        <v>9.2399999999999996E-2</v>
      </c>
      <c r="L52" s="1765">
        <v>0.19869999999999999</v>
      </c>
      <c r="M52" s="1765">
        <v>8.9800000000000005E-2</v>
      </c>
      <c r="N52" s="1765">
        <v>9.5000000000000001E-2</v>
      </c>
      <c r="O52" s="555"/>
    </row>
    <row r="53" spans="1:15">
      <c r="A53" s="583"/>
      <c r="B53" s="555"/>
      <c r="C53" s="555"/>
      <c r="D53" s="584"/>
      <c r="E53" s="585"/>
      <c r="F53" s="585"/>
      <c r="G53" s="585"/>
      <c r="H53" s="585"/>
      <c r="I53" s="585"/>
      <c r="J53" s="585"/>
      <c r="K53" s="585"/>
      <c r="L53" s="585"/>
      <c r="M53" s="585"/>
      <c r="N53" s="585"/>
      <c r="O53" s="555"/>
    </row>
    <row r="54" spans="1:15">
      <c r="A54" s="583"/>
      <c r="B54" s="586" t="s">
        <v>1319</v>
      </c>
      <c r="C54" s="586"/>
      <c r="D54" s="1582"/>
      <c r="E54" s="555"/>
      <c r="F54" s="555"/>
      <c r="G54" s="555"/>
      <c r="H54" s="555"/>
      <c r="I54" s="555"/>
      <c r="J54" s="555"/>
      <c r="K54" s="555"/>
      <c r="L54" s="555"/>
      <c r="M54" s="555"/>
      <c r="N54" s="555"/>
      <c r="O54" s="555"/>
    </row>
    <row r="55" spans="1:15">
      <c r="A55" s="583"/>
      <c r="B55" s="555"/>
      <c r="C55" s="555"/>
      <c r="D55" s="1582"/>
      <c r="E55" s="555"/>
      <c r="F55" s="555"/>
      <c r="G55" s="555"/>
      <c r="H55" s="555"/>
      <c r="I55" s="555"/>
      <c r="J55" s="555"/>
      <c r="K55" s="555"/>
      <c r="L55" s="555"/>
      <c r="M55" s="555"/>
      <c r="N55" s="555"/>
      <c r="O55" s="555"/>
    </row>
    <row r="56" spans="1:15">
      <c r="A56" s="583"/>
      <c r="B56" s="555"/>
      <c r="C56" s="555"/>
      <c r="D56" s="1582"/>
      <c r="E56" s="555"/>
      <c r="F56" s="555"/>
      <c r="G56" s="555"/>
      <c r="H56" s="555"/>
      <c r="I56" s="555"/>
      <c r="J56" s="555"/>
      <c r="K56" s="555"/>
      <c r="L56" s="555"/>
      <c r="M56" s="555"/>
      <c r="N56" s="555"/>
      <c r="O56" s="555"/>
    </row>
    <row r="57" spans="1:15">
      <c r="A57" s="553" t="str">
        <f>A1</f>
        <v>DUKE ENERGY KENTUCKY, INC.</v>
      </c>
      <c r="B57" s="553"/>
      <c r="C57" s="553"/>
      <c r="D57" s="554"/>
      <c r="E57" s="553"/>
      <c r="F57" s="553"/>
      <c r="G57" s="553"/>
      <c r="H57" s="553"/>
      <c r="I57" s="553"/>
      <c r="J57" s="553"/>
      <c r="K57" s="553"/>
      <c r="L57" s="553"/>
      <c r="M57" s="553"/>
      <c r="N57" s="553"/>
      <c r="O57" s="555"/>
    </row>
    <row r="58" spans="1:15">
      <c r="A58" s="553" t="str">
        <f>A2</f>
        <v>CASE NO. 2017-00321</v>
      </c>
      <c r="B58" s="556"/>
      <c r="C58" s="556"/>
      <c r="D58" s="557"/>
      <c r="E58" s="556"/>
      <c r="F58" s="556"/>
      <c r="G58" s="556"/>
      <c r="H58" s="556"/>
      <c r="I58" s="556"/>
      <c r="J58" s="556"/>
      <c r="K58" s="556"/>
      <c r="L58" s="556"/>
      <c r="M58" s="556"/>
      <c r="N58" s="556"/>
      <c r="O58" s="555"/>
    </row>
    <row r="59" spans="1:15">
      <c r="A59" s="553" t="str">
        <f>A3</f>
        <v>COMPARATIVE FINANCIAL DATA</v>
      </c>
      <c r="B59" s="556"/>
      <c r="C59" s="556"/>
      <c r="D59" s="557"/>
      <c r="E59" s="556"/>
      <c r="F59" s="556"/>
      <c r="G59" s="556"/>
      <c r="H59" s="556"/>
      <c r="I59" s="556"/>
      <c r="J59" s="556"/>
      <c r="K59" s="556"/>
      <c r="L59" s="556"/>
      <c r="M59" s="556"/>
      <c r="N59" s="556"/>
      <c r="O59" s="555"/>
    </row>
    <row r="60" spans="1:15">
      <c r="A60" s="558"/>
      <c r="B60" s="558"/>
      <c r="C60" s="558"/>
      <c r="D60" s="1574"/>
      <c r="E60" s="558"/>
      <c r="F60" s="558"/>
      <c r="G60" s="558"/>
      <c r="H60" s="558"/>
      <c r="I60" s="558"/>
      <c r="J60" s="558"/>
      <c r="K60" s="558"/>
      <c r="L60" s="558"/>
      <c r="M60" s="558"/>
      <c r="N60" s="558"/>
      <c r="O60" s="555"/>
    </row>
    <row r="61" spans="1:15">
      <c r="A61" s="558" t="str">
        <f>A5</f>
        <v>DATA: "X" BASE PERIOD  "X" FORECASTED PERIOD</v>
      </c>
      <c r="B61" s="553"/>
      <c r="C61" s="553"/>
      <c r="D61" s="554"/>
      <c r="E61" s="556"/>
      <c r="F61" s="553"/>
      <c r="G61" s="553"/>
      <c r="H61" s="553"/>
      <c r="I61" s="553"/>
      <c r="J61" s="553"/>
      <c r="K61" s="553"/>
      <c r="L61" s="559" t="str">
        <f>L5</f>
        <v>SCHEDULE K</v>
      </c>
      <c r="M61" s="553"/>
      <c r="N61" s="553"/>
      <c r="O61" s="555"/>
    </row>
    <row r="62" spans="1:15">
      <c r="A62" s="558" t="str">
        <f>A6</f>
        <v xml:space="preserve">TYPE OF FILING:  "X" ORIGINAL   UPDATED    REVISED  </v>
      </c>
      <c r="B62" s="553"/>
      <c r="C62" s="553"/>
      <c r="D62" s="554"/>
      <c r="E62" s="556"/>
      <c r="F62" s="553"/>
      <c r="G62" s="553"/>
      <c r="H62" s="553"/>
      <c r="I62" s="553"/>
      <c r="J62" s="553"/>
      <c r="K62" s="553"/>
      <c r="L62" s="559" t="s">
        <v>961</v>
      </c>
      <c r="M62" s="553"/>
      <c r="N62" s="553"/>
      <c r="O62" s="555"/>
    </row>
    <row r="63" spans="1:15">
      <c r="A63" s="558" t="str">
        <f>A7</f>
        <v>WORK PAPER REFERENCE NO(S).:</v>
      </c>
      <c r="B63" s="590"/>
      <c r="C63" s="590"/>
      <c r="D63" s="554"/>
      <c r="E63" s="553"/>
      <c r="F63" s="556"/>
      <c r="G63" s="553"/>
      <c r="H63" s="553"/>
      <c r="I63" s="553"/>
      <c r="J63" s="553"/>
      <c r="K63" s="591"/>
      <c r="L63" s="592" t="s">
        <v>1239</v>
      </c>
      <c r="M63" s="559"/>
      <c r="N63" s="559"/>
      <c r="O63" s="591"/>
    </row>
    <row r="64" spans="1:15">
      <c r="A64" s="555"/>
      <c r="B64" s="590"/>
      <c r="C64" s="590"/>
      <c r="D64" s="1574"/>
      <c r="E64" s="558"/>
      <c r="F64" s="558"/>
      <c r="G64" s="558"/>
      <c r="H64" s="558"/>
      <c r="I64" s="558"/>
      <c r="J64" s="558"/>
      <c r="K64" s="555"/>
      <c r="L64" s="560" t="str">
        <f>_WIT6</f>
        <v>R. H. PRATT / D. L. DOSS</v>
      </c>
      <c r="M64" s="559"/>
      <c r="N64" s="559"/>
      <c r="O64" s="555"/>
    </row>
    <row r="65" spans="1:15">
      <c r="A65" s="561"/>
      <c r="B65" s="561"/>
      <c r="C65" s="561"/>
      <c r="D65" s="562"/>
      <c r="E65" s="561"/>
      <c r="F65" s="561"/>
      <c r="G65" s="561"/>
      <c r="H65" s="561"/>
      <c r="I65" s="561"/>
      <c r="J65" s="561"/>
      <c r="K65" s="561"/>
      <c r="L65" s="563"/>
      <c r="M65" s="561"/>
      <c r="N65" s="561"/>
      <c r="O65" s="555"/>
    </row>
    <row r="66" spans="1:15">
      <c r="A66" s="564" t="s">
        <v>1240</v>
      </c>
      <c r="B66" s="558"/>
      <c r="C66" s="564" t="s">
        <v>1143</v>
      </c>
      <c r="D66" s="565" t="str">
        <f>D10</f>
        <v>BASE</v>
      </c>
      <c r="E66" s="567" t="str">
        <f>E10</f>
        <v>MOST RECENT CALENDAR YEARS</v>
      </c>
      <c r="F66" s="567"/>
      <c r="G66" s="567"/>
      <c r="H66" s="567"/>
      <c r="I66" s="567"/>
      <c r="J66" s="567"/>
      <c r="K66" s="567"/>
      <c r="L66" s="567"/>
      <c r="M66" s="567"/>
      <c r="N66" s="567"/>
      <c r="O66" s="555"/>
    </row>
    <row r="67" spans="1:15">
      <c r="A67" s="568" t="s">
        <v>1241</v>
      </c>
      <c r="B67" s="568" t="s">
        <v>1119</v>
      </c>
      <c r="C67" s="570" t="s">
        <v>568</v>
      </c>
      <c r="D67" s="570" t="str">
        <f>D11</f>
        <v>PERIOD</v>
      </c>
      <c r="E67" s="568">
        <f t="shared" ref="E67:N67" si="11">E11</f>
        <v>2016</v>
      </c>
      <c r="F67" s="568">
        <f t="shared" si="11"/>
        <v>2015</v>
      </c>
      <c r="G67" s="568">
        <f t="shared" si="11"/>
        <v>2014</v>
      </c>
      <c r="H67" s="568">
        <f t="shared" si="11"/>
        <v>2013</v>
      </c>
      <c r="I67" s="568">
        <f t="shared" si="11"/>
        <v>2012</v>
      </c>
      <c r="J67" s="568">
        <f t="shared" si="11"/>
        <v>2011</v>
      </c>
      <c r="K67" s="568">
        <f t="shared" si="11"/>
        <v>2010</v>
      </c>
      <c r="L67" s="568">
        <f t="shared" si="11"/>
        <v>2009</v>
      </c>
      <c r="M67" s="568">
        <f t="shared" si="11"/>
        <v>2008</v>
      </c>
      <c r="N67" s="568">
        <f t="shared" si="11"/>
        <v>2007</v>
      </c>
      <c r="O67" s="555"/>
    </row>
    <row r="68" spans="1:15">
      <c r="A68" s="558"/>
      <c r="B68" s="558"/>
      <c r="C68" s="558"/>
      <c r="D68" s="1574"/>
      <c r="E68" s="558"/>
      <c r="F68" s="558"/>
      <c r="G68" s="558"/>
      <c r="H68" s="558"/>
      <c r="I68" s="558"/>
      <c r="J68" s="558"/>
      <c r="K68" s="558"/>
      <c r="L68" s="558"/>
      <c r="M68" s="558"/>
      <c r="N68" s="558"/>
      <c r="O68" s="555"/>
    </row>
    <row r="69" spans="1:15">
      <c r="A69" s="583">
        <v>1</v>
      </c>
      <c r="B69" s="576" t="s">
        <v>1320</v>
      </c>
      <c r="C69" s="576"/>
      <c r="D69" s="1582"/>
      <c r="E69" s="555"/>
      <c r="F69" s="555"/>
      <c r="G69" s="555"/>
      <c r="H69" s="555"/>
      <c r="I69" s="555"/>
      <c r="J69" s="555"/>
      <c r="K69" s="555"/>
      <c r="L69" s="555"/>
      <c r="M69" s="555"/>
      <c r="N69" s="555"/>
      <c r="O69" s="555"/>
    </row>
    <row r="70" spans="1:15">
      <c r="A70" s="583">
        <f t="shared" ref="A70:A99" si="12">1+A69</f>
        <v>2</v>
      </c>
      <c r="B70" s="555" t="s">
        <v>1321</v>
      </c>
      <c r="C70" s="1582">
        <f>ROUND('SCH_J1 - Forecast'!G18/1000,0)</f>
        <v>434935</v>
      </c>
      <c r="D70" s="1582">
        <f>ROUND('SCH_J1 - Base'!G17/1000,0)</f>
        <v>449293</v>
      </c>
      <c r="E70" s="1582">
        <f>ROUND(SCH_B8!H95/1000,0)</f>
        <v>361382</v>
      </c>
      <c r="F70" s="1582">
        <f>ROUND(SCH_B8!J95/1000,0)</f>
        <v>316332</v>
      </c>
      <c r="G70" s="1582">
        <f>ROUND(SCH_B8!L95/1000,0)</f>
        <v>317131</v>
      </c>
      <c r="H70" s="1582">
        <f>ROUND(SCH_B8!N95/1000,0)</f>
        <v>332042</v>
      </c>
      <c r="I70" s="1582">
        <f>ROUND(SCH_B8!P95/1000,0)</f>
        <v>331952</v>
      </c>
      <c r="J70" s="578">
        <v>331861</v>
      </c>
      <c r="K70" s="578">
        <v>331771</v>
      </c>
      <c r="L70" s="578">
        <v>331680</v>
      </c>
      <c r="M70" s="578">
        <v>325503</v>
      </c>
      <c r="N70" s="578">
        <v>271923</v>
      </c>
      <c r="O70" s="555"/>
    </row>
    <row r="71" spans="1:15">
      <c r="A71" s="583">
        <f t="shared" si="12"/>
        <v>3</v>
      </c>
      <c r="B71" s="555" t="s">
        <v>1322</v>
      </c>
      <c r="C71" s="578">
        <v>0</v>
      </c>
      <c r="D71" s="578">
        <v>0</v>
      </c>
      <c r="E71" s="578">
        <v>0</v>
      </c>
      <c r="F71" s="578">
        <v>0</v>
      </c>
      <c r="G71" s="578">
        <v>0</v>
      </c>
      <c r="H71" s="578">
        <v>0</v>
      </c>
      <c r="I71" s="578">
        <v>0</v>
      </c>
      <c r="J71" s="578">
        <v>0</v>
      </c>
      <c r="K71" s="578">
        <v>0</v>
      </c>
      <c r="L71" s="578">
        <v>0</v>
      </c>
      <c r="M71" s="578">
        <v>0</v>
      </c>
      <c r="N71" s="578">
        <v>0</v>
      </c>
      <c r="O71" s="555"/>
    </row>
    <row r="72" spans="1:15">
      <c r="A72" s="583">
        <f t="shared" si="12"/>
        <v>4</v>
      </c>
      <c r="B72" s="555" t="s">
        <v>1323</v>
      </c>
      <c r="C72" s="1582">
        <f>ROUND('SCH_J1 - Forecast'!G17/1000,0)</f>
        <v>522766</v>
      </c>
      <c r="D72" s="1582">
        <f>ROUND('SCH_J1 - Base'!G16/1000,0)</f>
        <v>480851</v>
      </c>
      <c r="E72" s="1582">
        <f>ROUND(SCH_B8!H88/1000,0)</f>
        <v>437015</v>
      </c>
      <c r="F72" s="1582">
        <f>ROUND(SCH_B8!J88/1000,0)</f>
        <v>404432</v>
      </c>
      <c r="G72" s="1582">
        <f>ROUND(SCH_B8!L88/1000,0)</f>
        <v>413256</v>
      </c>
      <c r="H72" s="1582">
        <f>ROUND(SCH_B8!N88/1000,0)</f>
        <v>377954</v>
      </c>
      <c r="I72" s="1582">
        <f>ROUND(SCH_B8!P88/1000,0)</f>
        <v>372885</v>
      </c>
      <c r="J72" s="578">
        <v>354664</v>
      </c>
      <c r="K72" s="578">
        <v>465354</v>
      </c>
      <c r="L72" s="578">
        <v>422093</v>
      </c>
      <c r="M72" s="578">
        <v>394025</v>
      </c>
      <c r="N72" s="578">
        <v>385546</v>
      </c>
      <c r="O72" s="555"/>
    </row>
    <row r="73" spans="1:15">
      <c r="A73" s="583">
        <f t="shared" si="12"/>
        <v>5</v>
      </c>
      <c r="B73" s="576" t="s">
        <v>199</v>
      </c>
      <c r="C73" s="578"/>
      <c r="D73" s="578"/>
      <c r="E73" s="584"/>
      <c r="F73" s="584"/>
      <c r="G73" s="584"/>
      <c r="H73" s="584"/>
      <c r="I73" s="578"/>
      <c r="J73" s="584"/>
      <c r="K73" s="584"/>
      <c r="L73" s="584"/>
      <c r="M73" s="584"/>
      <c r="N73" s="578"/>
      <c r="O73" s="555"/>
    </row>
    <row r="74" spans="1:15">
      <c r="A74" s="583">
        <f t="shared" si="12"/>
        <v>6</v>
      </c>
      <c r="B74" s="555" t="s">
        <v>200</v>
      </c>
      <c r="C74" s="596">
        <f>ROUND('SCH_I1 - Total Co'!G16/1000000,1)</f>
        <v>423.6</v>
      </c>
      <c r="D74" s="596">
        <f>ROUND('SCH_I1 - Total Co'!J16/1000000,1)</f>
        <v>427</v>
      </c>
      <c r="E74" s="596">
        <f>ROUND('SCH_I1 - Total Co'!M16/1000000,1)</f>
        <v>440.8</v>
      </c>
      <c r="F74" s="596">
        <f>ROUND('SCH_I1 - Total Co'!O16/1000000,1)</f>
        <v>466.8</v>
      </c>
      <c r="G74" s="596">
        <f>ROUND('SCH_I1 - Total Co'!Q16/1000000,1)</f>
        <v>488.7</v>
      </c>
      <c r="H74" s="596">
        <f>ROUND('SCH_I1 - Total Co'!S16/1000000,1)</f>
        <v>443.8</v>
      </c>
      <c r="I74" s="596">
        <f>ROUND('SCH_I1 - Total Co'!U16/1000000,1)</f>
        <v>427.6</v>
      </c>
      <c r="J74" s="597">
        <v>458.7</v>
      </c>
      <c r="K74" s="597">
        <v>486.7</v>
      </c>
      <c r="L74" s="597">
        <v>460.5</v>
      </c>
      <c r="M74" s="597">
        <v>500.1</v>
      </c>
      <c r="N74" s="597">
        <v>490.6</v>
      </c>
      <c r="O74" s="555"/>
    </row>
    <row r="75" spans="1:15">
      <c r="A75" s="583">
        <f t="shared" si="12"/>
        <v>7</v>
      </c>
      <c r="B75" s="598" t="s">
        <v>1504</v>
      </c>
      <c r="C75" s="597"/>
      <c r="D75" s="597"/>
      <c r="E75" s="597"/>
      <c r="F75" s="597"/>
      <c r="G75" s="597"/>
      <c r="H75" s="597"/>
      <c r="I75" s="597"/>
      <c r="J75" s="597"/>
      <c r="K75" s="597"/>
      <c r="L75" s="597"/>
      <c r="M75" s="597"/>
      <c r="N75" s="597"/>
      <c r="O75" s="555"/>
    </row>
    <row r="76" spans="1:15">
      <c r="A76" s="583">
        <f t="shared" si="12"/>
        <v>8</v>
      </c>
      <c r="B76" s="598" t="s">
        <v>1505</v>
      </c>
      <c r="C76" s="599">
        <f>ROUND(SUM('SCH_I1 - Total Co'!G18:G24)/1000000,1)</f>
        <v>378.9</v>
      </c>
      <c r="D76" s="599">
        <f>ROUND(SUM('SCH_I1 - Total Co'!J18:J24)/1000000,1)</f>
        <v>358.3</v>
      </c>
      <c r="E76" s="599">
        <f>ROUND(SUM('SCH_I1 - Total Co'!M18:M24)/1000000,1)</f>
        <v>365.8</v>
      </c>
      <c r="F76" s="599">
        <f>ROUND(SUM('SCH_I1 - Total Co'!O18:O24)/1000000,1)</f>
        <v>378.1</v>
      </c>
      <c r="G76" s="599">
        <f>ROUND(SUM('SCH_I1 - Total Co'!Q18:Q24)/1000000,1)</f>
        <v>416.6</v>
      </c>
      <c r="H76" s="599">
        <f>ROUND(SUM('SCH_I1 - Total Co'!S18:S24)/1000000,1)</f>
        <v>360.5</v>
      </c>
      <c r="I76" s="599">
        <f>ROUND(SUM('SCH_I1 - Total Co'!U18:U24)/1000000,1)</f>
        <v>365.8</v>
      </c>
      <c r="J76" s="600">
        <v>396.3</v>
      </c>
      <c r="K76" s="600">
        <v>406.7</v>
      </c>
      <c r="L76" s="600">
        <v>397.8</v>
      </c>
      <c r="M76" s="600">
        <v>427.9</v>
      </c>
      <c r="N76" s="600">
        <v>423.6</v>
      </c>
      <c r="O76" s="555"/>
    </row>
    <row r="77" spans="1:15">
      <c r="A77" s="583">
        <f t="shared" si="12"/>
        <v>9</v>
      </c>
      <c r="B77" s="555" t="s">
        <v>1584</v>
      </c>
      <c r="C77" s="601">
        <f t="shared" ref="C77:I77" si="13">C74-C76</f>
        <v>44.700000000000045</v>
      </c>
      <c r="D77" s="601">
        <f t="shared" si="13"/>
        <v>68.699999999999989</v>
      </c>
      <c r="E77" s="601">
        <f t="shared" si="13"/>
        <v>75</v>
      </c>
      <c r="F77" s="601">
        <f t="shared" si="13"/>
        <v>88.699999999999989</v>
      </c>
      <c r="G77" s="601">
        <f t="shared" si="13"/>
        <v>72.099999999999966</v>
      </c>
      <c r="H77" s="601">
        <f t="shared" si="13"/>
        <v>83.300000000000011</v>
      </c>
      <c r="I77" s="601">
        <f t="shared" si="13"/>
        <v>61.800000000000011</v>
      </c>
      <c r="J77" s="601">
        <f>J74-J76</f>
        <v>62.399999999999977</v>
      </c>
      <c r="K77" s="601">
        <f>K74-K76</f>
        <v>80</v>
      </c>
      <c r="L77" s="601">
        <f>L74-L76</f>
        <v>62.699999999999989</v>
      </c>
      <c r="M77" s="601">
        <f>M74-M76</f>
        <v>72.200000000000045</v>
      </c>
      <c r="N77" s="601">
        <f>N74-N76</f>
        <v>67</v>
      </c>
      <c r="O77" s="555"/>
    </row>
    <row r="78" spans="1:15">
      <c r="A78" s="583">
        <f t="shared" si="12"/>
        <v>10</v>
      </c>
      <c r="B78" s="598" t="s">
        <v>1444</v>
      </c>
      <c r="C78" s="596">
        <f>ROUND('SCH_I1 - Total Co'!G25/1000000,1)</f>
        <v>-21.5</v>
      </c>
      <c r="D78" s="596">
        <f>ROUND('SCH_I1 - Total Co'!J25/1000000,1)</f>
        <v>-20.9</v>
      </c>
      <c r="E78" s="596">
        <f>ROUND('SCH_I1 - Total Co'!M25/1000000,1)</f>
        <v>-3.7</v>
      </c>
      <c r="F78" s="596">
        <f>ROUND('SCH_I1 - Total Co'!O25/1000000,1)</f>
        <v>1.6</v>
      </c>
      <c r="G78" s="596">
        <f>ROUND('SCH_I1 - Total Co'!Q25/1000000,1)</f>
        <v>-0.5</v>
      </c>
      <c r="H78" s="596">
        <f>ROUND('SCH_I1 - Total Co'!S25/1000000,1)</f>
        <v>15.1</v>
      </c>
      <c r="I78" s="596">
        <f>ROUND('SCH_I1 - Total Co'!U25/1000000,1)</f>
        <v>1.4</v>
      </c>
      <c r="J78" s="597">
        <v>3.7</v>
      </c>
      <c r="K78" s="597">
        <v>1.2</v>
      </c>
      <c r="L78" s="597">
        <v>-12.1</v>
      </c>
      <c r="M78" s="597">
        <v>7.2</v>
      </c>
      <c r="N78" s="597">
        <v>17.399999999999999</v>
      </c>
      <c r="O78" s="555"/>
    </row>
    <row r="79" spans="1:15">
      <c r="A79" s="583">
        <f t="shared" si="12"/>
        <v>11</v>
      </c>
      <c r="B79" s="598" t="s">
        <v>737</v>
      </c>
      <c r="C79" s="599">
        <f>ROUND('SCH_I1 - Total Co'!G26/1000000,1)</f>
        <v>-0.6</v>
      </c>
      <c r="D79" s="599">
        <f>ROUND('SCH_I1 - Total Co'!J26/1000000,1)</f>
        <v>-1.6</v>
      </c>
      <c r="E79" s="599">
        <f>ROUND('SCH_I1 - Total Co'!M26/1000000,1)</f>
        <v>-0.9</v>
      </c>
      <c r="F79" s="599">
        <f>ROUND('SCH_I1 - Total Co'!O26/1000000,1)</f>
        <v>-0.8</v>
      </c>
      <c r="G79" s="599">
        <f>ROUND('SCH_I1 - Total Co'!Q26/1000000,1)</f>
        <v>1.8</v>
      </c>
      <c r="H79" s="599">
        <f>ROUND('SCH_I1 - Total Co'!S26/1000000,1)</f>
        <v>1.1000000000000001</v>
      </c>
      <c r="I79" s="599">
        <f>ROUND('SCH_I1 - Total Co'!U26/1000000,1)</f>
        <v>3.3</v>
      </c>
      <c r="J79" s="600">
        <v>1.4</v>
      </c>
      <c r="K79" s="600">
        <v>1.5</v>
      </c>
      <c r="L79" s="600">
        <v>-2.2000000000000002</v>
      </c>
      <c r="M79" s="600">
        <v>1.5</v>
      </c>
      <c r="N79" s="600">
        <v>2.2000000000000002</v>
      </c>
      <c r="O79" s="555"/>
    </row>
    <row r="80" spans="1:15">
      <c r="A80" s="583">
        <f t="shared" si="12"/>
        <v>12</v>
      </c>
      <c r="B80" s="598" t="s">
        <v>738</v>
      </c>
      <c r="C80" s="601">
        <f t="shared" ref="C80:I80" si="14">SUM(C78:C79)</f>
        <v>-22.1</v>
      </c>
      <c r="D80" s="601">
        <f t="shared" si="14"/>
        <v>-22.5</v>
      </c>
      <c r="E80" s="601">
        <f t="shared" si="14"/>
        <v>-4.6000000000000005</v>
      </c>
      <c r="F80" s="601">
        <f t="shared" si="14"/>
        <v>0.8</v>
      </c>
      <c r="G80" s="601">
        <f t="shared" si="14"/>
        <v>1.3</v>
      </c>
      <c r="H80" s="601">
        <f t="shared" si="14"/>
        <v>16.2</v>
      </c>
      <c r="I80" s="601">
        <f t="shared" si="14"/>
        <v>4.6999999999999993</v>
      </c>
      <c r="J80" s="601">
        <f>J78+J79</f>
        <v>5.0999999999999996</v>
      </c>
      <c r="K80" s="601">
        <f>K78+K79</f>
        <v>2.7</v>
      </c>
      <c r="L80" s="601">
        <f>L78+L79</f>
        <v>-14.3</v>
      </c>
      <c r="M80" s="601">
        <f>M78+M79</f>
        <v>8.6999999999999993</v>
      </c>
      <c r="N80" s="601">
        <f>N78+N79</f>
        <v>19.599999999999998</v>
      </c>
      <c r="O80" s="555"/>
    </row>
    <row r="81" spans="1:15">
      <c r="A81" s="583">
        <f t="shared" si="12"/>
        <v>13</v>
      </c>
      <c r="B81" s="555" t="s">
        <v>739</v>
      </c>
      <c r="C81" s="596">
        <f>ROUND('SCH_I1 - Total Co'!G29/1000000,1)</f>
        <v>0</v>
      </c>
      <c r="D81" s="596">
        <f>ROUND('SCH_I1 - Total Co'!J29/1000000,1)</f>
        <v>0</v>
      </c>
      <c r="E81" s="596">
        <f>ROUND('SCH_I1 - Total Co'!M29/1000000,1)</f>
        <v>-0.1</v>
      </c>
      <c r="F81" s="596">
        <f>ROUND('SCH_I1 - Total Co'!O29/1000000,1)</f>
        <v>-0.1</v>
      </c>
      <c r="G81" s="596">
        <f>ROUND('SCH_I1 - Total Co'!Q29/1000000,1)</f>
        <v>-0.1</v>
      </c>
      <c r="H81" s="596">
        <f>ROUND('SCH_I1 - Total Co'!S29/1000000,1)</f>
        <v>-0.1</v>
      </c>
      <c r="I81" s="596">
        <f>ROUND('SCH_I1 - Total Co'!U29/1000000,1)</f>
        <v>-0.1</v>
      </c>
      <c r="J81" s="597">
        <v>-0.1</v>
      </c>
      <c r="K81" s="597">
        <v>-0.2</v>
      </c>
      <c r="L81" s="597">
        <v>-0.2</v>
      </c>
      <c r="M81" s="597">
        <v>-0.2</v>
      </c>
      <c r="N81" s="597">
        <v>-0.2</v>
      </c>
      <c r="O81" s="555"/>
    </row>
    <row r="82" spans="1:15">
      <c r="A82" s="583">
        <f t="shared" si="12"/>
        <v>14</v>
      </c>
      <c r="B82" s="555" t="s">
        <v>548</v>
      </c>
      <c r="C82" s="596">
        <f>ROUND(('SCH_I1 - Total Co'!G38-'SCH_I1 - Total Co'!G62)/1000000,1)</f>
        <v>5</v>
      </c>
      <c r="D82" s="596">
        <f>ROUND(('SCH_I1 - Total Co'!J38-'SCH_I1 - Total Co'!J62)/1000000,1)</f>
        <v>4.4000000000000004</v>
      </c>
      <c r="E82" s="596">
        <f>ROUND(('SCH_I1 - Total Co'!M38-'SCH_I1 - Total Co'!M62)/1000000,1)</f>
        <v>1.9</v>
      </c>
      <c r="F82" s="596">
        <f>ROUND(('SCH_I1 - Total Co'!O38-'SCH_I1 - Total Co'!O62)/1000000,1)</f>
        <v>0.8</v>
      </c>
      <c r="G82" s="596">
        <f>ROUND(('SCH_I1 - Total Co'!Q38-'SCH_I1 - Total Co'!Q62)/1000000,1)</f>
        <v>0.7</v>
      </c>
      <c r="H82" s="596">
        <f>ROUND(('SCH_I1 - Total Co'!S38-'SCH_I1 - Total Co'!S62)/1000000,1)</f>
        <v>0.7</v>
      </c>
      <c r="I82" s="596">
        <f>ROUND(('SCH_I1 - Total Co'!U38-'SCH_I1 - Total Co'!U62)/1000000,1)</f>
        <v>0.5</v>
      </c>
      <c r="J82" s="597">
        <v>0.8</v>
      </c>
      <c r="K82" s="597">
        <v>0.5</v>
      </c>
      <c r="L82" s="597">
        <v>0.3</v>
      </c>
      <c r="M82" s="597">
        <v>1.3</v>
      </c>
      <c r="N82" s="597">
        <v>0.7</v>
      </c>
      <c r="O82" s="555"/>
    </row>
    <row r="83" spans="1:15">
      <c r="A83" s="583">
        <f t="shared" si="12"/>
        <v>15</v>
      </c>
      <c r="B83" s="555" t="s">
        <v>549</v>
      </c>
      <c r="C83" s="596">
        <f>ROUND(('SCH_I1 - Total Co'!G41-'SCH_I1 - Total Co'!G38-'SCH_I1 - Total Co'!G45-'SCH_I1 - Total Co'!G53-'SCH_I1 - Total Co'!G63-'SCH_I1 - Total Co'!G62)/1000000,1)</f>
        <v>-17</v>
      </c>
      <c r="D83" s="596">
        <f>ROUND(('SCH_I1 - Total Co'!J41-'SCH_I1 - Total Co'!J38-'SCH_I1 - Total Co'!J45-'SCH_I1 - Total Co'!J53-'SCH_I1 - Total Co'!J63-'SCH_I1 - Total Co'!J62)/1000000,1)</f>
        <v>-11.3</v>
      </c>
      <c r="E83" s="596">
        <f>ROUND(('SCH_I1 - Total Co'!M41-'SCH_I1 - Total Co'!M38-'SCH_I1 - Total Co'!M45-'SCH_I1 - Total Co'!M53-'SCH_I1 - Total Co'!M63-'SCH_I1 - Total Co'!M62)/1000000,1)</f>
        <v>-16.3</v>
      </c>
      <c r="F83" s="596">
        <f>ROUND(('SCH_I1 - Total Co'!O41-'SCH_I1 - Total Co'!O38-'SCH_I1 - Total Co'!O45-'SCH_I1 - Total Co'!O53-'SCH_I1 - Total Co'!O63-'SCH_I1 - Total Co'!O62)/1000000,1)</f>
        <v>-15.1</v>
      </c>
      <c r="G83" s="596">
        <f>ROUND(('SCH_I1 - Total Co'!Q41-'SCH_I1 - Total Co'!Q38-'SCH_I1 - Total Co'!Q45-'SCH_I1 - Total Co'!Q53-'SCH_I1 - Total Co'!Q63-'SCH_I1 - Total Co'!Q62)/1000000,1)</f>
        <v>-15.9</v>
      </c>
      <c r="H83" s="596">
        <f>ROUND(('SCH_I1 - Total Co'!S41-'SCH_I1 - Total Co'!S38-'SCH_I1 - Total Co'!S45-'SCH_I1 - Total Co'!S53-'SCH_I1 - Total Co'!S63-'SCH_I1 - Total Co'!S62)/1000000,1)</f>
        <v>-13.9</v>
      </c>
      <c r="I83" s="596">
        <f>ROUND(('SCH_I1 - Total Co'!U41-'SCH_I1 - Total Co'!U38-'SCH_I1 - Total Co'!U45-'SCH_I1 - Total Co'!U53-'SCH_I1 - Total Co'!U63-'SCH_I1 - Total Co'!U62)/1000000,1)</f>
        <v>-16.8</v>
      </c>
      <c r="J83" s="597">
        <v>-12.9</v>
      </c>
      <c r="K83" s="597">
        <v>-15.2</v>
      </c>
      <c r="L83" s="597">
        <v>-11.9</v>
      </c>
      <c r="M83" s="597">
        <v>-15.7</v>
      </c>
      <c r="N83" s="597">
        <v>-8.6999999999999993</v>
      </c>
      <c r="O83" s="555"/>
    </row>
    <row r="84" spans="1:15">
      <c r="A84" s="583">
        <f t="shared" si="12"/>
        <v>16</v>
      </c>
      <c r="B84" s="555" t="s">
        <v>550</v>
      </c>
      <c r="C84" s="597">
        <v>0</v>
      </c>
      <c r="D84" s="597">
        <v>0</v>
      </c>
      <c r="E84" s="597">
        <v>0</v>
      </c>
      <c r="F84" s="597">
        <v>0</v>
      </c>
      <c r="G84" s="597">
        <v>0</v>
      </c>
      <c r="H84" s="597">
        <v>0</v>
      </c>
      <c r="I84" s="597">
        <v>0</v>
      </c>
      <c r="J84" s="597">
        <v>0</v>
      </c>
      <c r="K84" s="597">
        <v>0</v>
      </c>
      <c r="L84" s="597">
        <v>0</v>
      </c>
      <c r="M84" s="597">
        <v>0</v>
      </c>
      <c r="N84" s="597">
        <v>0</v>
      </c>
      <c r="O84" s="555"/>
    </row>
    <row r="85" spans="1:15">
      <c r="A85" s="583">
        <f t="shared" si="12"/>
        <v>17</v>
      </c>
      <c r="B85" s="555" t="s">
        <v>551</v>
      </c>
      <c r="C85" s="596">
        <f>ROUND('SCH_I1 - Total Co'!G64/1000000,1)</f>
        <v>19.7</v>
      </c>
      <c r="D85" s="596">
        <f>ROUND('SCH_I1 - Total Co'!J64/1000000,1)</f>
        <v>37.700000000000003</v>
      </c>
      <c r="E85" s="596">
        <f>ROUND('SCH_I1 - Total Co'!M64/1000000,1)</f>
        <v>42.6</v>
      </c>
      <c r="F85" s="596">
        <f>ROUND('SCH_I1 - Total Co'!O64/1000000,1)</f>
        <v>46.2</v>
      </c>
      <c r="G85" s="596">
        <f>ROUND('SCH_I1 - Total Co'!Q64/1000000,1)</f>
        <v>35.299999999999997</v>
      </c>
      <c r="H85" s="596">
        <f>ROUND('SCH_I1 - Total Co'!S64/1000000,1)</f>
        <v>45.1</v>
      </c>
      <c r="I85" s="596">
        <f>ROUND('SCH_I1 - Total Co'!U64/1000000,1)</f>
        <v>28.2</v>
      </c>
      <c r="J85" s="597">
        <v>24.3</v>
      </c>
      <c r="K85" s="597">
        <v>43.3</v>
      </c>
      <c r="L85" s="597">
        <v>28.1</v>
      </c>
      <c r="M85" s="597">
        <v>37.5</v>
      </c>
      <c r="N85" s="597">
        <v>33.5</v>
      </c>
      <c r="O85" s="555"/>
    </row>
    <row r="86" spans="1:15">
      <c r="A86" s="583">
        <f t="shared" si="12"/>
        <v>18</v>
      </c>
      <c r="B86" s="555" t="s">
        <v>552</v>
      </c>
      <c r="C86" s="596">
        <f>C85</f>
        <v>19.7</v>
      </c>
      <c r="D86" s="596">
        <f>D85</f>
        <v>37.700000000000003</v>
      </c>
      <c r="E86" s="596">
        <f t="shared" ref="E86:N86" si="15">E85</f>
        <v>42.6</v>
      </c>
      <c r="F86" s="596">
        <f t="shared" si="15"/>
        <v>46.2</v>
      </c>
      <c r="G86" s="596">
        <f t="shared" si="15"/>
        <v>35.299999999999997</v>
      </c>
      <c r="H86" s="596">
        <f t="shared" si="15"/>
        <v>45.1</v>
      </c>
      <c r="I86" s="596">
        <f t="shared" si="15"/>
        <v>28.2</v>
      </c>
      <c r="J86" s="596">
        <f t="shared" si="15"/>
        <v>24.3</v>
      </c>
      <c r="K86" s="596">
        <f t="shared" si="15"/>
        <v>43.3</v>
      </c>
      <c r="L86" s="596">
        <f t="shared" si="15"/>
        <v>28.1</v>
      </c>
      <c r="M86" s="596">
        <f t="shared" si="15"/>
        <v>37.5</v>
      </c>
      <c r="N86" s="596">
        <f t="shared" si="15"/>
        <v>33.5</v>
      </c>
      <c r="O86" s="555"/>
    </row>
    <row r="87" spans="1:15">
      <c r="A87" s="583">
        <f t="shared" si="12"/>
        <v>19</v>
      </c>
      <c r="B87" s="576" t="s">
        <v>553</v>
      </c>
      <c r="C87" s="578"/>
      <c r="D87" s="578"/>
      <c r="E87" s="597"/>
      <c r="F87" s="578"/>
      <c r="G87" s="602"/>
      <c r="H87" s="578"/>
      <c r="I87" s="578"/>
      <c r="J87" s="584"/>
      <c r="K87" s="584"/>
      <c r="L87" s="584"/>
      <c r="M87" s="584"/>
      <c r="N87" s="578"/>
      <c r="O87" s="555"/>
    </row>
    <row r="88" spans="1:15">
      <c r="A88" s="583">
        <f t="shared" si="12"/>
        <v>20</v>
      </c>
      <c r="B88" s="555" t="s">
        <v>554</v>
      </c>
      <c r="C88" s="603">
        <f>ROUND('SCH_I1 - Total Co'!G63/1000,0)</f>
        <v>20302</v>
      </c>
      <c r="D88" s="603">
        <f>ROUND('SCH_I1 - Total Co'!J63/1000,0)</f>
        <v>13571</v>
      </c>
      <c r="E88" s="603">
        <f>ROUND('SCH_I1 - Total Co'!M63/1000,0)</f>
        <v>15952</v>
      </c>
      <c r="F88" s="603">
        <f>ROUND('SCH_I1 - Total Co'!O63/1000,0)</f>
        <v>14573</v>
      </c>
      <c r="G88" s="603">
        <f>ROUND('SCH_I1 - Total Co'!Q63/1000,0)</f>
        <v>16345</v>
      </c>
      <c r="H88" s="603">
        <f>ROUND('SCH_I1 - Total Co'!S63/1000,0)</f>
        <v>15989</v>
      </c>
      <c r="I88" s="603">
        <f>ROUND('SCH_I1 - Total Co'!U63/1000,0)</f>
        <v>17520</v>
      </c>
      <c r="J88" s="604">
        <v>17492</v>
      </c>
      <c r="K88" s="604">
        <v>16182</v>
      </c>
      <c r="L88" s="604">
        <v>16448</v>
      </c>
      <c r="M88" s="604">
        <v>17669</v>
      </c>
      <c r="N88" s="604">
        <v>17414</v>
      </c>
      <c r="O88" s="555"/>
    </row>
    <row r="89" spans="1:15">
      <c r="A89" s="583">
        <f t="shared" si="12"/>
        <v>21</v>
      </c>
      <c r="B89" s="555" t="s">
        <v>555</v>
      </c>
      <c r="C89" s="578"/>
      <c r="D89" s="578"/>
      <c r="E89" s="603"/>
      <c r="F89" s="603"/>
      <c r="G89" s="603"/>
      <c r="H89" s="603"/>
      <c r="I89" s="603"/>
      <c r="J89" s="604"/>
      <c r="K89" s="604"/>
      <c r="L89" s="604"/>
      <c r="M89" s="604"/>
      <c r="N89" s="604"/>
      <c r="O89" s="555"/>
    </row>
    <row r="90" spans="1:15">
      <c r="A90" s="583">
        <f t="shared" si="12"/>
        <v>22</v>
      </c>
      <c r="B90" s="605" t="s">
        <v>556</v>
      </c>
      <c r="C90" s="1582">
        <f>ROUND('SCH_I1 - Total Co'!G64/1000,0)</f>
        <v>19659</v>
      </c>
      <c r="D90" s="603">
        <f>ROUND('SCH_I1 - Total Co'!J64/1000,0)</f>
        <v>37745</v>
      </c>
      <c r="E90" s="603">
        <f>ROUND('SCH_I1 - Total Co'!M64/1000,0)</f>
        <v>42584</v>
      </c>
      <c r="F90" s="603">
        <f>ROUND('SCH_I1 - Total Co'!O64/1000,0)</f>
        <v>46176</v>
      </c>
      <c r="G90" s="603">
        <f>ROUND('SCH_I1 - Total Co'!Q64/1000,0)</f>
        <v>35302</v>
      </c>
      <c r="H90" s="603">
        <f>ROUND('SCH_I1 - Total Co'!S64/1000,0)</f>
        <v>45070</v>
      </c>
      <c r="I90" s="603">
        <f>ROUND('SCH_I1 - Total Co'!U64/1000,0)</f>
        <v>28221</v>
      </c>
      <c r="J90" s="604">
        <v>24310</v>
      </c>
      <c r="K90" s="604">
        <v>43261</v>
      </c>
      <c r="L90" s="604">
        <v>28068</v>
      </c>
      <c r="M90" s="604">
        <v>37481</v>
      </c>
      <c r="N90" s="604">
        <v>33469</v>
      </c>
      <c r="O90" s="555"/>
    </row>
    <row r="91" spans="1:15">
      <c r="A91" s="583">
        <f t="shared" si="12"/>
        <v>23</v>
      </c>
      <c r="B91" s="555" t="s">
        <v>864</v>
      </c>
      <c r="C91" s="578">
        <v>0</v>
      </c>
      <c r="D91" s="578">
        <v>0</v>
      </c>
      <c r="E91" s="603">
        <v>0</v>
      </c>
      <c r="F91" s="603">
        <v>0</v>
      </c>
      <c r="G91" s="603">
        <v>0</v>
      </c>
      <c r="H91" s="603">
        <v>0</v>
      </c>
      <c r="I91" s="603">
        <v>0</v>
      </c>
      <c r="J91" s="604">
        <v>0</v>
      </c>
      <c r="K91" s="604">
        <v>0</v>
      </c>
      <c r="L91" s="604">
        <v>0</v>
      </c>
      <c r="M91" s="604">
        <v>0</v>
      </c>
      <c r="N91" s="604">
        <v>0</v>
      </c>
      <c r="O91" s="555"/>
    </row>
    <row r="92" spans="1:15">
      <c r="A92" s="583">
        <f t="shared" si="12"/>
        <v>24</v>
      </c>
      <c r="B92" s="605" t="s">
        <v>865</v>
      </c>
      <c r="C92" s="578">
        <v>0</v>
      </c>
      <c r="D92" s="578">
        <v>0</v>
      </c>
      <c r="E92" s="603">
        <v>0</v>
      </c>
      <c r="F92" s="603">
        <v>0</v>
      </c>
      <c r="G92" s="603">
        <v>0</v>
      </c>
      <c r="H92" s="603">
        <v>0</v>
      </c>
      <c r="I92" s="603">
        <v>0</v>
      </c>
      <c r="J92" s="604">
        <v>0</v>
      </c>
      <c r="K92" s="604">
        <v>0</v>
      </c>
      <c r="L92" s="604">
        <v>0</v>
      </c>
      <c r="M92" s="604">
        <v>0</v>
      </c>
      <c r="N92" s="604">
        <v>0</v>
      </c>
      <c r="O92" s="555"/>
    </row>
    <row r="93" spans="1:15">
      <c r="A93" s="583">
        <f t="shared" si="12"/>
        <v>25</v>
      </c>
      <c r="B93" s="555" t="s">
        <v>866</v>
      </c>
      <c r="C93" s="1582">
        <f t="shared" ref="C93:K93" si="16">C90-C91</f>
        <v>19659</v>
      </c>
      <c r="D93" s="1582">
        <f t="shared" si="16"/>
        <v>37745</v>
      </c>
      <c r="E93" s="603">
        <f t="shared" si="16"/>
        <v>42584</v>
      </c>
      <c r="F93" s="603">
        <f t="shared" si="16"/>
        <v>46176</v>
      </c>
      <c r="G93" s="603">
        <f t="shared" si="16"/>
        <v>35302</v>
      </c>
      <c r="H93" s="603">
        <f t="shared" si="16"/>
        <v>45070</v>
      </c>
      <c r="I93" s="603">
        <f t="shared" si="16"/>
        <v>28221</v>
      </c>
      <c r="J93" s="603">
        <f t="shared" si="16"/>
        <v>24310</v>
      </c>
      <c r="K93" s="603">
        <f t="shared" si="16"/>
        <v>43261</v>
      </c>
      <c r="L93" s="603">
        <f>L90-L91-L92</f>
        <v>28068</v>
      </c>
      <c r="M93" s="603">
        <f>M90-M91</f>
        <v>37481</v>
      </c>
      <c r="N93" s="603">
        <f>N90-N91</f>
        <v>33469</v>
      </c>
      <c r="O93" s="555"/>
    </row>
    <row r="94" spans="1:15">
      <c r="A94" s="583">
        <f t="shared" si="12"/>
        <v>26</v>
      </c>
      <c r="B94" s="555" t="s">
        <v>867</v>
      </c>
      <c r="C94" s="578"/>
      <c r="D94" s="578"/>
      <c r="E94" s="578"/>
      <c r="F94" s="578"/>
      <c r="G94" s="578"/>
      <c r="H94" s="578"/>
      <c r="I94" s="578"/>
      <c r="J94" s="578"/>
      <c r="K94" s="578"/>
      <c r="L94" s="578"/>
      <c r="M94" s="578"/>
      <c r="N94" s="578"/>
      <c r="O94" s="555"/>
    </row>
    <row r="95" spans="1:15">
      <c r="A95" s="583">
        <f t="shared" si="12"/>
        <v>27</v>
      </c>
      <c r="B95" s="605" t="s">
        <v>868</v>
      </c>
      <c r="C95" s="606">
        <f>ROUND(C82/C86,4)</f>
        <v>0.25380000000000003</v>
      </c>
      <c r="D95" s="606">
        <f>ROUND(D82/D86,4)</f>
        <v>0.1167</v>
      </c>
      <c r="E95" s="606">
        <f t="shared" ref="E95:N95" si="17">ROUND(E82/E86,4)</f>
        <v>4.4600000000000001E-2</v>
      </c>
      <c r="F95" s="606">
        <f t="shared" si="17"/>
        <v>1.7299999999999999E-2</v>
      </c>
      <c r="G95" s="606">
        <f t="shared" si="17"/>
        <v>1.9800000000000002E-2</v>
      </c>
      <c r="H95" s="606">
        <f t="shared" si="17"/>
        <v>1.55E-2</v>
      </c>
      <c r="I95" s="606">
        <f t="shared" si="17"/>
        <v>1.77E-2</v>
      </c>
      <c r="J95" s="606">
        <f t="shared" si="17"/>
        <v>3.2899999999999999E-2</v>
      </c>
      <c r="K95" s="606">
        <f t="shared" si="17"/>
        <v>1.15E-2</v>
      </c>
      <c r="L95" s="606">
        <f t="shared" si="17"/>
        <v>1.0699999999999999E-2</v>
      </c>
      <c r="M95" s="606">
        <f t="shared" si="17"/>
        <v>3.4700000000000002E-2</v>
      </c>
      <c r="N95" s="606">
        <f t="shared" si="17"/>
        <v>2.0899999999999998E-2</v>
      </c>
      <c r="O95" s="555"/>
    </row>
    <row r="96" spans="1:15">
      <c r="A96" s="583">
        <f t="shared" si="12"/>
        <v>28</v>
      </c>
      <c r="B96" s="605" t="s">
        <v>869</v>
      </c>
      <c r="C96" s="606">
        <f>ROUND(C82/C86,4)</f>
        <v>0.25380000000000003</v>
      </c>
      <c r="D96" s="606">
        <f>ROUND(D82/D86,4)</f>
        <v>0.1167</v>
      </c>
      <c r="E96" s="606">
        <f t="shared" ref="E96:N96" si="18">ROUND(E82/E86,4)</f>
        <v>4.4600000000000001E-2</v>
      </c>
      <c r="F96" s="606">
        <f t="shared" si="18"/>
        <v>1.7299999999999999E-2</v>
      </c>
      <c r="G96" s="606">
        <f t="shared" si="18"/>
        <v>1.9800000000000002E-2</v>
      </c>
      <c r="H96" s="606">
        <f t="shared" si="18"/>
        <v>1.55E-2</v>
      </c>
      <c r="I96" s="606">
        <f t="shared" si="18"/>
        <v>1.77E-2</v>
      </c>
      <c r="J96" s="606">
        <f t="shared" si="18"/>
        <v>3.2899999999999999E-2</v>
      </c>
      <c r="K96" s="606">
        <f t="shared" si="18"/>
        <v>1.15E-2</v>
      </c>
      <c r="L96" s="606">
        <f t="shared" si="18"/>
        <v>1.0699999999999999E-2</v>
      </c>
      <c r="M96" s="606">
        <f t="shared" si="18"/>
        <v>3.4700000000000002E-2</v>
      </c>
      <c r="N96" s="606">
        <f t="shared" si="18"/>
        <v>2.0899999999999998E-2</v>
      </c>
      <c r="O96" s="555"/>
    </row>
    <row r="97" spans="1:15">
      <c r="A97" s="583">
        <f t="shared" si="12"/>
        <v>29</v>
      </c>
      <c r="B97" s="607" t="s">
        <v>870</v>
      </c>
      <c r="C97" s="578"/>
      <c r="D97" s="578"/>
      <c r="E97" s="584"/>
      <c r="F97" s="578"/>
      <c r="G97" s="584"/>
      <c r="H97" s="584"/>
      <c r="I97" s="578"/>
      <c r="J97" s="584"/>
      <c r="K97" s="584"/>
      <c r="L97" s="584"/>
      <c r="M97" s="584"/>
      <c r="N97" s="578"/>
      <c r="O97" s="555"/>
    </row>
    <row r="98" spans="1:15">
      <c r="A98" s="583">
        <f t="shared" si="12"/>
        <v>30</v>
      </c>
      <c r="B98" s="555" t="s">
        <v>428</v>
      </c>
      <c r="C98" s="608">
        <f>ROUND('SCH_J1 - Forecast'!K18*100,2)</f>
        <v>4.24</v>
      </c>
      <c r="D98" s="608">
        <f>ROUND('SCH_J1 - Base'!K17*100,2)</f>
        <v>4.25</v>
      </c>
      <c r="E98" s="609">
        <v>4.1500000000000004</v>
      </c>
      <c r="F98" s="609">
        <v>4.12</v>
      </c>
      <c r="G98" s="609">
        <v>4.66</v>
      </c>
      <c r="H98" s="609">
        <v>4.49</v>
      </c>
      <c r="I98" s="609">
        <v>4.51</v>
      </c>
      <c r="J98" s="609">
        <v>4.33</v>
      </c>
      <c r="K98" s="609">
        <v>4.38</v>
      </c>
      <c r="L98" s="609">
        <v>3.75</v>
      </c>
      <c r="M98" s="609">
        <v>4.76</v>
      </c>
      <c r="N98" s="609">
        <v>6.06</v>
      </c>
      <c r="O98" s="555"/>
    </row>
    <row r="99" spans="1:15">
      <c r="A99" s="583">
        <f t="shared" si="12"/>
        <v>31</v>
      </c>
      <c r="B99" s="598" t="s">
        <v>429</v>
      </c>
      <c r="C99" s="609">
        <v>0</v>
      </c>
      <c r="D99" s="609">
        <v>0</v>
      </c>
      <c r="E99" s="609">
        <v>0</v>
      </c>
      <c r="F99" s="609">
        <v>0</v>
      </c>
      <c r="G99" s="609">
        <v>0</v>
      </c>
      <c r="H99" s="609">
        <v>0</v>
      </c>
      <c r="I99" s="609">
        <v>0</v>
      </c>
      <c r="J99" s="609">
        <v>0</v>
      </c>
      <c r="K99" s="609">
        <v>0</v>
      </c>
      <c r="L99" s="609">
        <v>0</v>
      </c>
      <c r="M99" s="609">
        <v>0</v>
      </c>
      <c r="N99" s="609">
        <v>0</v>
      </c>
      <c r="O99" s="555"/>
    </row>
    <row r="100" spans="1:15">
      <c r="A100" s="555"/>
      <c r="B100" s="555"/>
      <c r="C100" s="555"/>
      <c r="D100" s="1582"/>
      <c r="E100" s="555"/>
      <c r="F100" s="555"/>
      <c r="G100" s="555"/>
      <c r="H100" s="555"/>
      <c r="I100" s="555"/>
      <c r="J100" s="555"/>
      <c r="K100" s="555"/>
      <c r="L100" s="555"/>
      <c r="M100" s="555"/>
      <c r="N100" s="555"/>
      <c r="O100" s="555"/>
    </row>
    <row r="101" spans="1:15">
      <c r="A101" s="555"/>
      <c r="B101" s="555" t="s">
        <v>699</v>
      </c>
      <c r="C101" s="555"/>
      <c r="D101" s="555"/>
      <c r="E101" s="555"/>
      <c r="F101" s="555"/>
      <c r="G101" s="555"/>
      <c r="H101" s="555"/>
      <c r="I101" s="555"/>
      <c r="J101" s="555"/>
      <c r="K101" s="555"/>
      <c r="L101" s="555"/>
      <c r="M101" s="555"/>
      <c r="N101" s="555"/>
      <c r="O101" s="555"/>
    </row>
    <row r="102" spans="1:15">
      <c r="A102" s="555"/>
      <c r="B102" s="555"/>
      <c r="C102" s="555"/>
      <c r="D102" s="555"/>
      <c r="E102" s="555"/>
      <c r="F102" s="555"/>
      <c r="G102" s="555"/>
      <c r="H102" s="555"/>
      <c r="I102" s="555"/>
      <c r="J102" s="555"/>
      <c r="K102" s="555"/>
      <c r="L102" s="555"/>
      <c r="M102" s="555"/>
      <c r="N102" s="555"/>
      <c r="O102" s="555"/>
    </row>
    <row r="103" spans="1:15">
      <c r="A103" s="555"/>
      <c r="B103" s="555"/>
      <c r="C103" s="555"/>
      <c r="D103" s="555"/>
      <c r="E103" s="555"/>
      <c r="F103" s="555"/>
      <c r="G103" s="555"/>
      <c r="H103" s="555"/>
      <c r="I103" s="555"/>
      <c r="J103" s="555"/>
      <c r="K103" s="555"/>
      <c r="L103" s="555"/>
      <c r="M103" s="555"/>
      <c r="N103" s="555"/>
      <c r="O103" s="555"/>
    </row>
    <row r="104" spans="1:15">
      <c r="A104" s="553" t="str">
        <f>A1</f>
        <v>DUKE ENERGY KENTUCKY, INC.</v>
      </c>
      <c r="B104" s="553"/>
      <c r="C104" s="553"/>
      <c r="D104" s="554"/>
      <c r="E104" s="553"/>
      <c r="F104" s="553"/>
      <c r="G104" s="553"/>
      <c r="H104" s="553"/>
      <c r="I104" s="553"/>
      <c r="J104" s="553"/>
      <c r="K104" s="553"/>
      <c r="L104" s="553"/>
      <c r="M104" s="553"/>
      <c r="N104" s="556"/>
      <c r="O104" s="555"/>
    </row>
    <row r="105" spans="1:15">
      <c r="A105" s="553" t="str">
        <f>A2</f>
        <v>CASE NO. 2017-00321</v>
      </c>
      <c r="B105" s="556"/>
      <c r="C105" s="556"/>
      <c r="D105" s="557"/>
      <c r="E105" s="556"/>
      <c r="F105" s="556"/>
      <c r="G105" s="556"/>
      <c r="H105" s="556"/>
      <c r="I105" s="556"/>
      <c r="J105" s="556"/>
      <c r="K105" s="556"/>
      <c r="L105" s="556"/>
      <c r="M105" s="556"/>
      <c r="N105" s="556"/>
      <c r="O105" s="555"/>
    </row>
    <row r="106" spans="1:15">
      <c r="A106" s="553" t="str">
        <f>A3</f>
        <v>COMPARATIVE FINANCIAL DATA</v>
      </c>
      <c r="B106" s="556"/>
      <c r="C106" s="556"/>
      <c r="D106" s="557"/>
      <c r="E106" s="556"/>
      <c r="F106" s="556"/>
      <c r="G106" s="556"/>
      <c r="H106" s="556"/>
      <c r="I106" s="556"/>
      <c r="J106" s="556"/>
      <c r="K106" s="556"/>
      <c r="L106" s="556"/>
      <c r="M106" s="556"/>
      <c r="N106" s="556"/>
      <c r="O106" s="555"/>
    </row>
    <row r="107" spans="1:15">
      <c r="A107" s="558"/>
      <c r="B107" s="558"/>
      <c r="C107" s="558"/>
      <c r="D107" s="1574"/>
      <c r="E107" s="558"/>
      <c r="F107" s="558"/>
      <c r="G107" s="558"/>
      <c r="H107" s="558"/>
      <c r="I107" s="558"/>
      <c r="J107" s="558"/>
      <c r="K107" s="558"/>
      <c r="L107" s="558"/>
      <c r="M107" s="558"/>
      <c r="N107" s="558"/>
      <c r="O107" s="555"/>
    </row>
    <row r="108" spans="1:15">
      <c r="A108" s="559" t="str">
        <f>A5</f>
        <v>DATA: "X" BASE PERIOD  "X" FORECASTED PERIOD</v>
      </c>
      <c r="B108" s="553"/>
      <c r="C108" s="553"/>
      <c r="D108" s="554"/>
      <c r="E108" s="556"/>
      <c r="F108" s="553"/>
      <c r="G108" s="553"/>
      <c r="H108" s="553"/>
      <c r="I108" s="553"/>
      <c r="J108" s="553"/>
      <c r="K108" s="553"/>
      <c r="L108" s="559" t="str">
        <f>L5</f>
        <v>SCHEDULE K</v>
      </c>
      <c r="M108" s="553"/>
      <c r="N108" s="553"/>
      <c r="O108" s="555"/>
    </row>
    <row r="109" spans="1:15">
      <c r="A109" s="559" t="str">
        <f>A6</f>
        <v xml:space="preserve">TYPE OF FILING:  "X" ORIGINAL   UPDATED    REVISED  </v>
      </c>
      <c r="B109" s="553"/>
      <c r="C109" s="553"/>
      <c r="D109" s="554"/>
      <c r="E109" s="556"/>
      <c r="F109" s="553"/>
      <c r="G109" s="553"/>
      <c r="H109" s="553"/>
      <c r="I109" s="553"/>
      <c r="J109" s="553"/>
      <c r="K109" s="553"/>
      <c r="L109" s="559" t="s">
        <v>962</v>
      </c>
      <c r="M109" s="553"/>
      <c r="N109" s="553"/>
      <c r="O109" s="555"/>
    </row>
    <row r="110" spans="1:15">
      <c r="A110" s="559" t="str">
        <f>A7</f>
        <v>WORK PAPER REFERENCE NO(S).:</v>
      </c>
      <c r="B110" s="590"/>
      <c r="C110" s="590"/>
      <c r="D110" s="554"/>
      <c r="E110" s="553"/>
      <c r="F110" s="556"/>
      <c r="G110" s="553"/>
      <c r="H110" s="553"/>
      <c r="I110" s="553"/>
      <c r="J110" s="553"/>
      <c r="K110" s="591"/>
      <c r="L110" s="592" t="s">
        <v>1239</v>
      </c>
      <c r="M110" s="559"/>
      <c r="N110" s="559"/>
      <c r="O110" s="555"/>
    </row>
    <row r="111" spans="1:15">
      <c r="A111" s="555"/>
      <c r="B111" s="590"/>
      <c r="C111" s="590"/>
      <c r="D111" s="1574"/>
      <c r="E111" s="558"/>
      <c r="F111" s="558"/>
      <c r="G111" s="558"/>
      <c r="H111" s="558"/>
      <c r="I111" s="558"/>
      <c r="J111" s="558"/>
      <c r="K111" s="555"/>
      <c r="L111" s="560" t="str">
        <f>_WIT4</f>
        <v>J. L. SULLIVAN</v>
      </c>
      <c r="M111" s="559"/>
      <c r="N111" s="559"/>
      <c r="O111" s="555"/>
    </row>
    <row r="112" spans="1:15">
      <c r="A112" s="610"/>
      <c r="B112" s="610"/>
      <c r="C112" s="610"/>
      <c r="D112" s="562"/>
      <c r="E112" s="558"/>
      <c r="F112" s="558"/>
      <c r="G112" s="558"/>
      <c r="H112" s="558"/>
      <c r="I112" s="558"/>
      <c r="J112" s="558"/>
      <c r="K112" s="555"/>
      <c r="L112" s="560"/>
      <c r="M112" s="559"/>
      <c r="N112" s="559"/>
      <c r="O112" s="555"/>
    </row>
    <row r="113" spans="1:15">
      <c r="A113" s="564" t="s">
        <v>1240</v>
      </c>
      <c r="B113" s="558"/>
      <c r="C113" s="564" t="s">
        <v>1143</v>
      </c>
      <c r="D113" s="565" t="str">
        <f>D10</f>
        <v>BASE</v>
      </c>
      <c r="E113" s="567" t="str">
        <f>E10</f>
        <v>MOST RECENT CALENDAR YEARS</v>
      </c>
      <c r="F113" s="567"/>
      <c r="G113" s="567"/>
      <c r="H113" s="567"/>
      <c r="I113" s="567"/>
      <c r="J113" s="567"/>
      <c r="K113" s="567"/>
      <c r="L113" s="567"/>
      <c r="M113" s="567"/>
      <c r="N113" s="567"/>
      <c r="O113" s="555"/>
    </row>
    <row r="114" spans="1:15">
      <c r="A114" s="568" t="s">
        <v>1241</v>
      </c>
      <c r="B114" s="568" t="s">
        <v>1119</v>
      </c>
      <c r="C114" s="570" t="s">
        <v>568</v>
      </c>
      <c r="D114" s="570" t="str">
        <f>D11</f>
        <v>PERIOD</v>
      </c>
      <c r="E114" s="568">
        <f>E11</f>
        <v>2016</v>
      </c>
      <c r="F114" s="568">
        <f t="shared" ref="F114:N114" si="19">F11</f>
        <v>2015</v>
      </c>
      <c r="G114" s="568">
        <f t="shared" si="19"/>
        <v>2014</v>
      </c>
      <c r="H114" s="568">
        <f t="shared" si="19"/>
        <v>2013</v>
      </c>
      <c r="I114" s="568">
        <f t="shared" si="19"/>
        <v>2012</v>
      </c>
      <c r="J114" s="568">
        <f t="shared" si="19"/>
        <v>2011</v>
      </c>
      <c r="K114" s="568">
        <f t="shared" si="19"/>
        <v>2010</v>
      </c>
      <c r="L114" s="568">
        <f t="shared" si="19"/>
        <v>2009</v>
      </c>
      <c r="M114" s="568">
        <f t="shared" si="19"/>
        <v>2008</v>
      </c>
      <c r="N114" s="568">
        <f t="shared" si="19"/>
        <v>2007</v>
      </c>
      <c r="O114" s="555"/>
    </row>
    <row r="115" spans="1:15">
      <c r="A115" s="560"/>
      <c r="B115" s="560"/>
      <c r="C115" s="560"/>
      <c r="D115" s="611"/>
      <c r="E115" s="560"/>
      <c r="F115" s="560"/>
      <c r="G115" s="560"/>
      <c r="H115" s="560"/>
      <c r="I115" s="560"/>
      <c r="J115" s="560"/>
      <c r="K115" s="560"/>
      <c r="L115" s="577"/>
      <c r="M115" s="560"/>
      <c r="N115" s="560"/>
      <c r="O115" s="555"/>
    </row>
    <row r="116" spans="1:15">
      <c r="A116" s="583">
        <v>1</v>
      </c>
      <c r="B116" s="576" t="s">
        <v>1677</v>
      </c>
      <c r="C116" s="576"/>
      <c r="D116" s="612"/>
      <c r="E116" s="612"/>
      <c r="F116" s="612"/>
      <c r="G116" s="612"/>
      <c r="H116" s="612"/>
      <c r="I116" s="612"/>
      <c r="J116" s="612"/>
      <c r="K116" s="612"/>
      <c r="L116" s="612"/>
      <c r="M116" s="612"/>
      <c r="N116" s="612"/>
      <c r="O116" s="555"/>
    </row>
    <row r="117" spans="1:15">
      <c r="A117" s="583">
        <v>2</v>
      </c>
      <c r="B117" s="613" t="s">
        <v>2456</v>
      </c>
      <c r="C117" s="614"/>
      <c r="D117" s="614"/>
      <c r="E117" s="555"/>
      <c r="F117" s="555"/>
      <c r="G117" s="555"/>
      <c r="H117" s="555"/>
      <c r="I117" s="614"/>
      <c r="J117" s="614"/>
      <c r="K117" s="614"/>
      <c r="L117" s="614"/>
      <c r="M117" s="614"/>
      <c r="N117" s="614"/>
      <c r="O117" s="555"/>
    </row>
    <row r="118" spans="1:15">
      <c r="A118" s="583">
        <v>3</v>
      </c>
      <c r="B118" s="555" t="s">
        <v>1678</v>
      </c>
      <c r="C118" s="1766" t="s">
        <v>2956</v>
      </c>
      <c r="D118" s="1766" t="s">
        <v>2956</v>
      </c>
      <c r="E118" s="1766" t="s">
        <v>2956</v>
      </c>
      <c r="F118" s="1766" t="s">
        <v>2956</v>
      </c>
      <c r="G118" s="1766" t="s">
        <v>2956</v>
      </c>
      <c r="H118" s="1766" t="s">
        <v>2956</v>
      </c>
      <c r="I118" s="1766" t="s">
        <v>2956</v>
      </c>
      <c r="J118" s="1766" t="s">
        <v>2956</v>
      </c>
      <c r="K118" s="1766" t="s">
        <v>2956</v>
      </c>
      <c r="L118" s="1766" t="s">
        <v>2956</v>
      </c>
      <c r="M118" s="1766" t="s">
        <v>2956</v>
      </c>
      <c r="N118" s="1766" t="s">
        <v>2956</v>
      </c>
      <c r="O118" s="555"/>
    </row>
    <row r="119" spans="1:15">
      <c r="A119" s="583">
        <v>4</v>
      </c>
      <c r="B119" s="555" t="s">
        <v>50</v>
      </c>
      <c r="C119" s="1766" t="s">
        <v>2325</v>
      </c>
      <c r="D119" s="1766" t="s">
        <v>2325</v>
      </c>
      <c r="E119" s="1766" t="s">
        <v>2325</v>
      </c>
      <c r="F119" s="1766" t="s">
        <v>2325</v>
      </c>
      <c r="G119" s="615" t="s">
        <v>1679</v>
      </c>
      <c r="H119" s="615" t="s">
        <v>1679</v>
      </c>
      <c r="I119" s="615" t="s">
        <v>1679</v>
      </c>
      <c r="J119" s="1766" t="s">
        <v>2325</v>
      </c>
      <c r="K119" s="1766" t="s">
        <v>2325</v>
      </c>
      <c r="L119" s="1766" t="s">
        <v>2325</v>
      </c>
      <c r="M119" s="1766" t="s">
        <v>2325</v>
      </c>
      <c r="N119" s="1766" t="s">
        <v>2325</v>
      </c>
      <c r="O119" s="555"/>
    </row>
    <row r="120" spans="1:15">
      <c r="A120" s="583">
        <v>5</v>
      </c>
      <c r="B120" s="555"/>
      <c r="C120" s="615"/>
      <c r="D120" s="615"/>
      <c r="E120" s="615"/>
      <c r="F120" s="615"/>
      <c r="G120" s="615"/>
      <c r="H120" s="615"/>
      <c r="I120" s="615"/>
      <c r="J120" s="615"/>
      <c r="K120" s="615"/>
      <c r="L120" s="615"/>
      <c r="M120" s="615"/>
      <c r="N120" s="615"/>
      <c r="O120" s="555"/>
    </row>
    <row r="121" spans="1:15">
      <c r="A121" s="583">
        <v>6</v>
      </c>
      <c r="B121" s="576" t="s">
        <v>1676</v>
      </c>
      <c r="C121" s="609"/>
      <c r="D121" s="609"/>
      <c r="E121" s="616"/>
      <c r="F121" s="616"/>
      <c r="G121" s="609"/>
      <c r="H121" s="616"/>
      <c r="I121" s="616"/>
      <c r="J121" s="609"/>
      <c r="K121" s="609"/>
      <c r="L121" s="609"/>
      <c r="M121" s="609"/>
      <c r="N121" s="609"/>
      <c r="O121" s="555"/>
    </row>
    <row r="122" spans="1:15">
      <c r="A122" s="583">
        <v>7</v>
      </c>
      <c r="B122" s="598" t="s">
        <v>430</v>
      </c>
      <c r="C122" s="609">
        <v>2.31</v>
      </c>
      <c r="D122" s="609">
        <v>1.91</v>
      </c>
      <c r="E122" s="609">
        <v>4.45</v>
      </c>
      <c r="F122" s="609">
        <v>5.81</v>
      </c>
      <c r="G122" s="609">
        <v>4.26</v>
      </c>
      <c r="H122" s="609">
        <v>5.23</v>
      </c>
      <c r="I122" s="609">
        <v>3.42</v>
      </c>
      <c r="J122" s="609">
        <v>3.48</v>
      </c>
      <c r="K122" s="609">
        <v>4.8099999999999996</v>
      </c>
      <c r="L122" s="609">
        <v>3.7234731961370109</v>
      </c>
      <c r="M122" s="609">
        <v>3.9367890522576081</v>
      </c>
      <c r="N122" s="609">
        <v>3.6892326537482925</v>
      </c>
      <c r="O122" s="555"/>
    </row>
    <row r="123" spans="1:15">
      <c r="A123" s="583">
        <v>8</v>
      </c>
      <c r="B123" s="598" t="s">
        <v>431</v>
      </c>
      <c r="C123" s="609">
        <v>2.27</v>
      </c>
      <c r="D123" s="609">
        <v>1.83</v>
      </c>
      <c r="E123" s="609">
        <v>4.34</v>
      </c>
      <c r="F123" s="609">
        <v>5.75</v>
      </c>
      <c r="G123" s="609">
        <v>4.22</v>
      </c>
      <c r="H123" s="609">
        <v>5.19</v>
      </c>
      <c r="I123" s="609">
        <v>3.4</v>
      </c>
      <c r="J123" s="609">
        <v>3.44</v>
      </c>
      <c r="K123" s="609">
        <v>4.78</v>
      </c>
      <c r="L123" s="609">
        <v>3.7066288261210891</v>
      </c>
      <c r="M123" s="609">
        <v>3.8718341721476603</v>
      </c>
      <c r="N123" s="609">
        <v>3.6533306745566727</v>
      </c>
      <c r="O123" s="555"/>
    </row>
    <row r="124" spans="1:15">
      <c r="A124" s="583">
        <v>9</v>
      </c>
      <c r="B124" s="555" t="s">
        <v>432</v>
      </c>
      <c r="C124" s="609">
        <v>1.82</v>
      </c>
      <c r="D124" s="609">
        <v>1.64</v>
      </c>
      <c r="E124" s="609">
        <v>3.47</v>
      </c>
      <c r="F124" s="609">
        <v>3.99</v>
      </c>
      <c r="G124" s="609">
        <v>3.04</v>
      </c>
      <c r="H124" s="609">
        <v>3.67</v>
      </c>
      <c r="I124" s="609">
        <v>2.5299999999999998</v>
      </c>
      <c r="J124" s="609">
        <v>2.2999999999999998</v>
      </c>
      <c r="K124" s="609">
        <v>3.51</v>
      </c>
      <c r="L124" s="609">
        <v>2.6077840625772413</v>
      </c>
      <c r="M124" s="609">
        <v>2.9140946953896738</v>
      </c>
      <c r="N124" s="609">
        <v>2.7335232977462982</v>
      </c>
      <c r="O124" s="555"/>
    </row>
    <row r="125" spans="1:15">
      <c r="A125" s="583">
        <v>10</v>
      </c>
      <c r="B125" s="555" t="s">
        <v>350</v>
      </c>
      <c r="C125" s="609">
        <v>0</v>
      </c>
      <c r="D125" s="609">
        <v>0</v>
      </c>
      <c r="E125" s="1767">
        <v>0</v>
      </c>
      <c r="F125" s="1767">
        <v>0</v>
      </c>
      <c r="G125" s="1767">
        <v>0</v>
      </c>
      <c r="H125" s="609">
        <v>0</v>
      </c>
      <c r="I125" s="1767">
        <v>0</v>
      </c>
      <c r="J125" s="609">
        <v>0</v>
      </c>
      <c r="K125" s="609">
        <v>0</v>
      </c>
      <c r="L125" s="609">
        <v>0</v>
      </c>
      <c r="M125" s="609">
        <v>0</v>
      </c>
      <c r="N125" s="609">
        <v>0</v>
      </c>
      <c r="O125" s="555"/>
    </row>
    <row r="126" spans="1:15">
      <c r="A126" s="583">
        <v>11</v>
      </c>
      <c r="B126" s="555" t="s">
        <v>1868</v>
      </c>
      <c r="C126" s="609">
        <v>1.82</v>
      </c>
      <c r="D126" s="609">
        <v>1.64</v>
      </c>
      <c r="E126" s="609">
        <v>4.45</v>
      </c>
      <c r="F126" s="609">
        <v>5.81</v>
      </c>
      <c r="G126" s="609">
        <v>4.26</v>
      </c>
      <c r="H126" s="609">
        <v>5.23</v>
      </c>
      <c r="I126" s="609">
        <v>3.42</v>
      </c>
      <c r="J126" s="609">
        <v>3.48</v>
      </c>
      <c r="K126" s="609">
        <v>4.8099999999999996</v>
      </c>
      <c r="L126" s="609">
        <v>3.7234731961370109</v>
      </c>
      <c r="M126" s="609">
        <v>3.9367890522576081</v>
      </c>
      <c r="N126" s="609">
        <v>3.6892326537482925</v>
      </c>
      <c r="O126" s="555"/>
    </row>
    <row r="127" spans="1:15">
      <c r="A127" s="583">
        <v>12</v>
      </c>
      <c r="B127" s="555"/>
      <c r="C127" s="615"/>
      <c r="D127" s="615"/>
      <c r="E127" s="615"/>
      <c r="F127" s="615"/>
      <c r="G127" s="615"/>
      <c r="H127" s="615"/>
      <c r="I127" s="615"/>
      <c r="J127" s="615"/>
      <c r="K127" s="615"/>
      <c r="L127" s="615"/>
      <c r="M127" s="615"/>
      <c r="N127" s="615"/>
      <c r="O127" s="555"/>
    </row>
    <row r="128" spans="1:15">
      <c r="A128" s="583">
        <v>13</v>
      </c>
      <c r="B128" s="598" t="s">
        <v>1294</v>
      </c>
      <c r="C128" s="1582"/>
      <c r="D128" s="1582"/>
      <c r="E128" s="555"/>
      <c r="F128" s="555"/>
      <c r="G128" s="555"/>
      <c r="H128" s="555"/>
      <c r="I128" s="555"/>
      <c r="J128" s="555"/>
      <c r="K128" s="555"/>
      <c r="L128" s="555"/>
      <c r="M128" s="555"/>
      <c r="N128" s="555"/>
      <c r="O128" s="555"/>
    </row>
    <row r="129" spans="1:15">
      <c r="A129" s="583">
        <v>14</v>
      </c>
      <c r="B129" s="555" t="s">
        <v>1295</v>
      </c>
      <c r="C129" s="578">
        <v>100</v>
      </c>
      <c r="D129" s="578">
        <v>43</v>
      </c>
      <c r="E129" s="581">
        <v>73</v>
      </c>
      <c r="F129" s="581">
        <v>76</v>
      </c>
      <c r="G129" s="581">
        <v>81</v>
      </c>
      <c r="H129" s="581">
        <v>98</v>
      </c>
      <c r="I129" s="581">
        <v>-44</v>
      </c>
      <c r="J129" s="581">
        <v>100</v>
      </c>
      <c r="K129" s="581">
        <v>100</v>
      </c>
      <c r="L129" s="581">
        <v>100</v>
      </c>
      <c r="M129" s="581">
        <v>60</v>
      </c>
      <c r="N129" s="581">
        <v>100</v>
      </c>
      <c r="O129" s="555"/>
    </row>
    <row r="130" spans="1:15">
      <c r="A130" s="583"/>
      <c r="B130" s="555"/>
      <c r="C130" s="615"/>
      <c r="D130" s="615"/>
      <c r="E130" s="615"/>
      <c r="F130" s="615"/>
      <c r="G130" s="615"/>
      <c r="H130" s="615"/>
      <c r="I130" s="615"/>
      <c r="J130" s="615"/>
      <c r="K130" s="615"/>
      <c r="L130" s="615"/>
      <c r="M130" s="615"/>
      <c r="N130" s="615"/>
      <c r="O130" s="555"/>
    </row>
    <row r="131" spans="1:15">
      <c r="A131" s="583"/>
      <c r="B131" s="555"/>
      <c r="C131" s="615"/>
      <c r="D131" s="615"/>
      <c r="E131" s="615"/>
      <c r="F131" s="615"/>
      <c r="G131" s="615"/>
      <c r="H131" s="615"/>
      <c r="I131" s="615"/>
      <c r="J131" s="615"/>
      <c r="K131" s="615"/>
      <c r="L131" s="615"/>
      <c r="M131" s="615"/>
      <c r="N131" s="615"/>
      <c r="O131" s="555"/>
    </row>
    <row r="132" spans="1:15">
      <c r="A132" s="583"/>
      <c r="B132" s="555"/>
      <c r="C132" s="555"/>
      <c r="D132" s="614"/>
      <c r="E132" s="614"/>
      <c r="F132" s="614"/>
      <c r="G132" s="614"/>
      <c r="H132" s="614"/>
      <c r="I132" s="614"/>
      <c r="J132" s="614"/>
      <c r="K132" s="614"/>
      <c r="L132" s="614"/>
      <c r="M132" s="614"/>
      <c r="N132" s="614"/>
      <c r="O132" s="555"/>
    </row>
    <row r="133" spans="1:15">
      <c r="A133" s="553" t="str">
        <f>A1</f>
        <v>DUKE ENERGY KENTUCKY, INC.</v>
      </c>
      <c r="B133" s="553"/>
      <c r="C133" s="553"/>
      <c r="D133" s="554"/>
      <c r="E133" s="553"/>
      <c r="F133" s="553"/>
      <c r="G133" s="553"/>
      <c r="H133" s="553"/>
      <c r="I133" s="553"/>
      <c r="J133" s="553"/>
      <c r="K133" s="553"/>
      <c r="L133" s="553"/>
      <c r="M133" s="553"/>
      <c r="N133" s="553"/>
      <c r="O133" s="555"/>
    </row>
    <row r="134" spans="1:15">
      <c r="A134" s="553" t="str">
        <f>A2</f>
        <v>CASE NO. 2017-00321</v>
      </c>
      <c r="B134" s="556"/>
      <c r="C134" s="556"/>
      <c r="D134" s="557"/>
      <c r="E134" s="556"/>
      <c r="F134" s="556"/>
      <c r="G134" s="556"/>
      <c r="H134" s="556"/>
      <c r="I134" s="556"/>
      <c r="J134" s="556"/>
      <c r="K134" s="556"/>
      <c r="L134" s="556"/>
      <c r="M134" s="556"/>
      <c r="N134" s="556"/>
      <c r="O134" s="555"/>
    </row>
    <row r="135" spans="1:15">
      <c r="A135" s="553" t="str">
        <f>A3</f>
        <v>COMPARATIVE FINANCIAL DATA</v>
      </c>
      <c r="B135" s="556"/>
      <c r="C135" s="556"/>
      <c r="D135" s="557"/>
      <c r="E135" s="556"/>
      <c r="F135" s="556"/>
      <c r="G135" s="556"/>
      <c r="H135" s="556"/>
      <c r="I135" s="556"/>
      <c r="J135" s="556"/>
      <c r="K135" s="556"/>
      <c r="L135" s="556"/>
      <c r="M135" s="556"/>
      <c r="N135" s="556"/>
      <c r="O135" s="555"/>
    </row>
    <row r="136" spans="1:15">
      <c r="A136" s="558"/>
      <c r="B136" s="558"/>
      <c r="C136" s="558"/>
      <c r="D136" s="1574"/>
      <c r="E136" s="558"/>
      <c r="F136" s="558"/>
      <c r="G136" s="558"/>
      <c r="H136" s="558"/>
      <c r="I136" s="558"/>
      <c r="J136" s="558"/>
      <c r="K136" s="558"/>
      <c r="L136" s="558"/>
      <c r="M136" s="558"/>
      <c r="N136" s="558"/>
      <c r="O136" s="555"/>
    </row>
    <row r="137" spans="1:15">
      <c r="A137" s="558" t="str">
        <f>A5</f>
        <v>DATA: "X" BASE PERIOD  "X" FORECASTED PERIOD</v>
      </c>
      <c r="B137" s="553"/>
      <c r="C137" s="553"/>
      <c r="D137" s="554"/>
      <c r="E137" s="556"/>
      <c r="F137" s="553"/>
      <c r="G137" s="553"/>
      <c r="H137" s="553"/>
      <c r="I137" s="553"/>
      <c r="J137" s="553"/>
      <c r="K137" s="553"/>
      <c r="L137" s="559" t="str">
        <f>L5</f>
        <v>SCHEDULE K</v>
      </c>
      <c r="M137" s="553"/>
      <c r="N137" s="553"/>
      <c r="O137" s="555"/>
    </row>
    <row r="138" spans="1:15">
      <c r="A138" s="558" t="str">
        <f>A6</f>
        <v xml:space="preserve">TYPE OF FILING:  "X" ORIGINAL   UPDATED    REVISED  </v>
      </c>
      <c r="B138" s="553"/>
      <c r="C138" s="553"/>
      <c r="D138" s="554"/>
      <c r="E138" s="556"/>
      <c r="F138" s="553"/>
      <c r="G138" s="553"/>
      <c r="H138" s="553"/>
      <c r="I138" s="553"/>
      <c r="J138" s="553"/>
      <c r="K138" s="553"/>
      <c r="L138" s="559" t="s">
        <v>963</v>
      </c>
      <c r="M138" s="553"/>
      <c r="N138" s="553"/>
      <c r="O138" s="555"/>
    </row>
    <row r="139" spans="1:15">
      <c r="A139" s="558" t="str">
        <f>A7</f>
        <v>WORK PAPER REFERENCE NO(S).:</v>
      </c>
      <c r="B139" s="590"/>
      <c r="C139" s="590"/>
      <c r="D139" s="554"/>
      <c r="E139" s="553"/>
      <c r="F139" s="556"/>
      <c r="G139" s="553"/>
      <c r="H139" s="553"/>
      <c r="I139" s="553"/>
      <c r="J139" s="553"/>
      <c r="K139" s="555"/>
      <c r="L139" s="592" t="s">
        <v>1239</v>
      </c>
      <c r="M139" s="559"/>
      <c r="N139" s="559"/>
      <c r="O139" s="555"/>
    </row>
    <row r="140" spans="1:15">
      <c r="A140" s="555"/>
      <c r="B140" s="590"/>
      <c r="C140" s="590"/>
      <c r="D140" s="1574"/>
      <c r="E140" s="558"/>
      <c r="F140" s="558"/>
      <c r="G140" s="558"/>
      <c r="H140" s="558"/>
      <c r="I140" s="558"/>
      <c r="J140" s="558"/>
      <c r="K140" s="555"/>
      <c r="L140" s="560" t="str">
        <f>_WIT6</f>
        <v>R. H. PRATT / D. L. DOSS</v>
      </c>
      <c r="M140" s="559"/>
      <c r="N140" s="559"/>
      <c r="O140" s="555"/>
    </row>
    <row r="141" spans="1:15">
      <c r="A141" s="561"/>
      <c r="B141" s="561"/>
      <c r="C141" s="561"/>
      <c r="D141" s="562"/>
      <c r="E141" s="561"/>
      <c r="F141" s="561"/>
      <c r="G141" s="561"/>
      <c r="H141" s="561"/>
      <c r="I141" s="561"/>
      <c r="J141" s="561"/>
      <c r="K141" s="561"/>
      <c r="L141" s="563"/>
      <c r="M141" s="561"/>
      <c r="N141" s="561"/>
      <c r="O141" s="555"/>
    </row>
    <row r="142" spans="1:15">
      <c r="A142" s="564" t="s">
        <v>1240</v>
      </c>
      <c r="B142" s="558"/>
      <c r="C142" s="564" t="s">
        <v>1143</v>
      </c>
      <c r="D142" s="565" t="str">
        <f>D10</f>
        <v>BASE</v>
      </c>
      <c r="E142" s="567" t="str">
        <f>E10</f>
        <v>MOST RECENT CALENDAR YEARS</v>
      </c>
      <c r="F142" s="567"/>
      <c r="G142" s="567"/>
      <c r="H142" s="567"/>
      <c r="I142" s="567"/>
      <c r="J142" s="567"/>
      <c r="K142" s="567"/>
      <c r="L142" s="567"/>
      <c r="M142" s="567"/>
      <c r="N142" s="567"/>
      <c r="O142" s="555"/>
    </row>
    <row r="143" spans="1:15">
      <c r="A143" s="568" t="s">
        <v>1241</v>
      </c>
      <c r="B143" s="568" t="s">
        <v>1119</v>
      </c>
      <c r="C143" s="570" t="s">
        <v>568</v>
      </c>
      <c r="D143" s="570" t="str">
        <f>D11</f>
        <v>PERIOD</v>
      </c>
      <c r="E143" s="617">
        <f>E11</f>
        <v>2016</v>
      </c>
      <c r="F143" s="617">
        <f t="shared" ref="F143:N143" si="20">F11</f>
        <v>2015</v>
      </c>
      <c r="G143" s="617">
        <f t="shared" si="20"/>
        <v>2014</v>
      </c>
      <c r="H143" s="617">
        <f t="shared" si="20"/>
        <v>2013</v>
      </c>
      <c r="I143" s="617">
        <f t="shared" si="20"/>
        <v>2012</v>
      </c>
      <c r="J143" s="617">
        <f t="shared" si="20"/>
        <v>2011</v>
      </c>
      <c r="K143" s="617">
        <f t="shared" si="20"/>
        <v>2010</v>
      </c>
      <c r="L143" s="617">
        <f t="shared" si="20"/>
        <v>2009</v>
      </c>
      <c r="M143" s="617">
        <f t="shared" si="20"/>
        <v>2008</v>
      </c>
      <c r="N143" s="617">
        <f t="shared" si="20"/>
        <v>2007</v>
      </c>
      <c r="O143" s="555"/>
    </row>
    <row r="144" spans="1:15">
      <c r="A144" s="558"/>
      <c r="B144" s="558"/>
      <c r="C144" s="558"/>
      <c r="D144" s="1574"/>
      <c r="E144" s="558"/>
      <c r="F144" s="558"/>
      <c r="G144" s="558"/>
      <c r="H144" s="558"/>
      <c r="I144" s="558"/>
      <c r="J144" s="558"/>
      <c r="K144" s="558"/>
      <c r="L144" s="558"/>
      <c r="M144" s="558"/>
      <c r="N144" s="558"/>
      <c r="O144" s="555"/>
    </row>
    <row r="145" spans="1:15">
      <c r="A145" s="583">
        <v>1</v>
      </c>
      <c r="B145" s="576" t="s">
        <v>1583</v>
      </c>
      <c r="C145" s="576"/>
      <c r="D145" s="555"/>
      <c r="E145" s="555"/>
      <c r="F145" s="555"/>
      <c r="G145" s="555"/>
      <c r="H145" s="555"/>
      <c r="I145" s="555"/>
      <c r="J145" s="555"/>
      <c r="K145" s="555"/>
      <c r="L145" s="555"/>
      <c r="M145" s="555"/>
      <c r="N145" s="555"/>
      <c r="O145" s="555"/>
    </row>
    <row r="146" spans="1:15">
      <c r="A146" s="583">
        <v>2</v>
      </c>
      <c r="B146" s="555" t="s">
        <v>1685</v>
      </c>
      <c r="C146" s="578">
        <v>585</v>
      </c>
      <c r="D146" s="578">
        <v>585</v>
      </c>
      <c r="E146" s="1768">
        <v>585</v>
      </c>
      <c r="F146" s="1768">
        <v>585</v>
      </c>
      <c r="G146" s="1768">
        <v>585</v>
      </c>
      <c r="H146" s="1768">
        <v>585</v>
      </c>
      <c r="I146" s="1768">
        <v>585</v>
      </c>
      <c r="J146" s="1768">
        <v>585</v>
      </c>
      <c r="K146" s="1768">
        <v>585</v>
      </c>
      <c r="L146" s="1768">
        <v>585</v>
      </c>
      <c r="M146" s="1768">
        <v>585</v>
      </c>
      <c r="N146" s="1768">
        <v>585</v>
      </c>
      <c r="O146" s="555"/>
    </row>
    <row r="147" spans="1:15">
      <c r="A147" s="583">
        <v>3</v>
      </c>
      <c r="B147" s="598" t="s">
        <v>1686</v>
      </c>
      <c r="C147" s="618"/>
      <c r="D147" s="618"/>
      <c r="E147" s="619"/>
      <c r="F147" s="619"/>
      <c r="G147" s="619"/>
      <c r="H147" s="619"/>
      <c r="I147" s="619"/>
      <c r="J147" s="619"/>
      <c r="K147" s="619"/>
      <c r="L147" s="619"/>
      <c r="M147" s="619"/>
      <c r="N147" s="619"/>
      <c r="O147" s="555"/>
    </row>
    <row r="148" spans="1:15">
      <c r="A148" s="583">
        <v>4</v>
      </c>
      <c r="B148" s="555" t="s">
        <v>1687</v>
      </c>
      <c r="C148" s="578">
        <v>585</v>
      </c>
      <c r="D148" s="578">
        <v>585</v>
      </c>
      <c r="E148" s="1769">
        <v>585</v>
      </c>
      <c r="F148" s="1769">
        <v>585</v>
      </c>
      <c r="G148" s="1769">
        <v>585</v>
      </c>
      <c r="H148" s="1769">
        <v>585</v>
      </c>
      <c r="I148" s="1769">
        <v>585</v>
      </c>
      <c r="J148" s="1769">
        <v>585</v>
      </c>
      <c r="K148" s="1769">
        <v>585</v>
      </c>
      <c r="L148" s="1769">
        <v>585</v>
      </c>
      <c r="M148" s="1769">
        <v>585</v>
      </c>
      <c r="N148" s="1769">
        <v>585</v>
      </c>
      <c r="O148" s="555"/>
    </row>
    <row r="149" spans="1:15">
      <c r="A149" s="583">
        <v>5</v>
      </c>
      <c r="B149" s="555" t="s">
        <v>2326</v>
      </c>
      <c r="C149" s="578">
        <v>0</v>
      </c>
      <c r="D149" s="578">
        <v>0</v>
      </c>
      <c r="E149" s="1769">
        <v>10</v>
      </c>
      <c r="F149" s="1769">
        <v>55</v>
      </c>
      <c r="G149" s="578">
        <v>0</v>
      </c>
      <c r="H149" s="1769">
        <v>40</v>
      </c>
      <c r="I149" s="1769">
        <v>10</v>
      </c>
      <c r="J149" s="1769">
        <v>135</v>
      </c>
      <c r="K149" s="578">
        <v>0</v>
      </c>
      <c r="L149" s="578">
        <v>0</v>
      </c>
      <c r="M149" s="1769">
        <v>30</v>
      </c>
      <c r="N149" s="578">
        <v>0</v>
      </c>
      <c r="O149" s="555"/>
    </row>
    <row r="150" spans="1:15">
      <c r="A150" s="583">
        <v>6</v>
      </c>
      <c r="B150" s="598" t="s">
        <v>1688</v>
      </c>
      <c r="C150" s="620">
        <f ca="1">ROUND('SCH_I1 - Elec Only'!G73/1000/C146,2)</f>
        <v>17.23</v>
      </c>
      <c r="D150" s="620">
        <f>ROUND('SCH_I1 - Elec Only'!J73/1000/D146,2)</f>
        <v>52.96</v>
      </c>
      <c r="E150" s="620">
        <f>ROUND((E93)/E146,2)</f>
        <v>72.790000000000006</v>
      </c>
      <c r="F150" s="620">
        <f t="shared" ref="F150:N150" si="21">ROUND((F93)/F146,2)</f>
        <v>78.930000000000007</v>
      </c>
      <c r="G150" s="620">
        <f t="shared" si="21"/>
        <v>60.35</v>
      </c>
      <c r="H150" s="620">
        <f t="shared" si="21"/>
        <v>77.040000000000006</v>
      </c>
      <c r="I150" s="620">
        <f t="shared" si="21"/>
        <v>48.24</v>
      </c>
      <c r="J150" s="620">
        <f t="shared" si="21"/>
        <v>41.56</v>
      </c>
      <c r="K150" s="620">
        <f t="shared" si="21"/>
        <v>73.95</v>
      </c>
      <c r="L150" s="620">
        <f t="shared" si="21"/>
        <v>47.98</v>
      </c>
      <c r="M150" s="620">
        <f t="shared" si="21"/>
        <v>64.069999999999993</v>
      </c>
      <c r="N150" s="620">
        <f t="shared" si="21"/>
        <v>57.21</v>
      </c>
      <c r="O150" s="555"/>
    </row>
    <row r="151" spans="1:15">
      <c r="A151" s="583">
        <v>7</v>
      </c>
      <c r="B151" s="598" t="s">
        <v>1247</v>
      </c>
      <c r="C151" s="618"/>
      <c r="D151" s="618"/>
      <c r="E151" s="621"/>
      <c r="F151" s="621"/>
      <c r="G151" s="621"/>
      <c r="H151" s="621"/>
      <c r="I151" s="621"/>
      <c r="J151" s="621"/>
      <c r="K151" s="621"/>
      <c r="L151" s="621"/>
      <c r="M151" s="621"/>
      <c r="N151" s="621"/>
      <c r="O151" s="555"/>
    </row>
    <row r="152" spans="1:15">
      <c r="A152" s="583">
        <v>8</v>
      </c>
      <c r="B152" s="598" t="s">
        <v>1248</v>
      </c>
      <c r="C152" s="620">
        <f ca="1">C150</f>
        <v>17.23</v>
      </c>
      <c r="D152" s="620">
        <f>D150</f>
        <v>52.96</v>
      </c>
      <c r="E152" s="620">
        <f>E150</f>
        <v>72.790000000000006</v>
      </c>
      <c r="F152" s="620">
        <f>F150</f>
        <v>78.930000000000007</v>
      </c>
      <c r="G152" s="620">
        <f t="shared" ref="G152:N152" si="22">G150</f>
        <v>60.35</v>
      </c>
      <c r="H152" s="622">
        <f t="shared" si="22"/>
        <v>77.040000000000006</v>
      </c>
      <c r="I152" s="622">
        <f t="shared" si="22"/>
        <v>48.24</v>
      </c>
      <c r="J152" s="622">
        <f t="shared" si="22"/>
        <v>41.56</v>
      </c>
      <c r="K152" s="622">
        <f t="shared" si="22"/>
        <v>73.95</v>
      </c>
      <c r="L152" s="622">
        <f t="shared" si="22"/>
        <v>47.98</v>
      </c>
      <c r="M152" s="622">
        <f t="shared" si="22"/>
        <v>64.069999999999993</v>
      </c>
      <c r="N152" s="622">
        <f t="shared" si="22"/>
        <v>57.21</v>
      </c>
      <c r="O152" s="555"/>
    </row>
    <row r="153" spans="1:15">
      <c r="A153" s="583">
        <v>9</v>
      </c>
      <c r="B153" s="555" t="s">
        <v>1249</v>
      </c>
      <c r="C153" s="623" t="s">
        <v>1940</v>
      </c>
      <c r="D153" s="623" t="s">
        <v>1940</v>
      </c>
      <c r="E153" s="624">
        <f t="shared" ref="E153:L153" si="23">ROUND((E149*1000)/E148,2)</f>
        <v>17.09</v>
      </c>
      <c r="F153" s="624">
        <f t="shared" si="23"/>
        <v>94.02</v>
      </c>
      <c r="G153" s="624">
        <f t="shared" si="23"/>
        <v>0</v>
      </c>
      <c r="H153" s="624">
        <f t="shared" si="23"/>
        <v>68.38</v>
      </c>
      <c r="I153" s="624">
        <f t="shared" si="23"/>
        <v>17.09</v>
      </c>
      <c r="J153" s="624">
        <f t="shared" si="23"/>
        <v>230.77</v>
      </c>
      <c r="K153" s="624">
        <f t="shared" si="23"/>
        <v>0</v>
      </c>
      <c r="L153" s="624">
        <f t="shared" si="23"/>
        <v>0</v>
      </c>
      <c r="M153" s="624">
        <f>ROUND((M149*1000)/M148,2)</f>
        <v>51.28</v>
      </c>
      <c r="N153" s="624">
        <f>ROUND((N149*1000)/N148,2)</f>
        <v>0</v>
      </c>
      <c r="O153" s="555"/>
    </row>
    <row r="154" spans="1:15">
      <c r="A154" s="583">
        <v>10</v>
      </c>
      <c r="B154" s="598" t="s">
        <v>1250</v>
      </c>
      <c r="C154" s="623" t="s">
        <v>1940</v>
      </c>
      <c r="D154" s="623" t="s">
        <v>1940</v>
      </c>
      <c r="E154" s="624">
        <f t="shared" ref="E154:N154" si="24">E153</f>
        <v>17.09</v>
      </c>
      <c r="F154" s="624">
        <f t="shared" si="24"/>
        <v>94.02</v>
      </c>
      <c r="G154" s="624">
        <f t="shared" si="24"/>
        <v>0</v>
      </c>
      <c r="H154" s="624">
        <f t="shared" si="24"/>
        <v>68.38</v>
      </c>
      <c r="I154" s="624">
        <f t="shared" si="24"/>
        <v>17.09</v>
      </c>
      <c r="J154" s="624">
        <f t="shared" si="24"/>
        <v>230.77</v>
      </c>
      <c r="K154" s="624">
        <f t="shared" si="24"/>
        <v>0</v>
      </c>
      <c r="L154" s="624">
        <f t="shared" si="24"/>
        <v>0</v>
      </c>
      <c r="M154" s="624">
        <f t="shared" si="24"/>
        <v>51.28</v>
      </c>
      <c r="N154" s="624">
        <f t="shared" si="24"/>
        <v>0</v>
      </c>
      <c r="O154" s="555"/>
    </row>
    <row r="155" spans="1:15">
      <c r="A155" s="583">
        <v>11</v>
      </c>
      <c r="B155" s="598" t="s">
        <v>1251</v>
      </c>
      <c r="C155" s="623" t="s">
        <v>1940</v>
      </c>
      <c r="D155" s="623" t="s">
        <v>1940</v>
      </c>
      <c r="E155" s="1361">
        <f t="shared" ref="E155:L155" si="25">ROUND((E154/E150),4)</f>
        <v>0.23480000000000001</v>
      </c>
      <c r="F155" s="1361">
        <f t="shared" si="25"/>
        <v>1.1912</v>
      </c>
      <c r="G155" s="1361">
        <f t="shared" si="25"/>
        <v>0</v>
      </c>
      <c r="H155" s="1361">
        <f t="shared" si="25"/>
        <v>0.88759999999999994</v>
      </c>
      <c r="I155" s="1361">
        <f t="shared" si="25"/>
        <v>0.3543</v>
      </c>
      <c r="J155" s="1361">
        <f t="shared" si="25"/>
        <v>5.5526999999999997</v>
      </c>
      <c r="K155" s="1361">
        <f t="shared" si="25"/>
        <v>0</v>
      </c>
      <c r="L155" s="1361">
        <f t="shared" si="25"/>
        <v>0</v>
      </c>
      <c r="M155" s="1361">
        <f>ROUND((M154/M150),4)</f>
        <v>0.8004</v>
      </c>
      <c r="N155" s="1361">
        <f>ROUND((N154/N150),4)</f>
        <v>0</v>
      </c>
      <c r="O155" s="555"/>
    </row>
    <row r="156" spans="1:15">
      <c r="A156" s="583">
        <v>12</v>
      </c>
      <c r="B156" s="598" t="s">
        <v>1252</v>
      </c>
      <c r="C156" s="581"/>
      <c r="D156" s="581"/>
      <c r="E156" s="625"/>
      <c r="F156" s="625"/>
      <c r="G156" s="625"/>
      <c r="H156" s="626"/>
      <c r="I156" s="581"/>
      <c r="J156" s="581"/>
      <c r="K156" s="581"/>
      <c r="L156" s="581"/>
      <c r="M156" s="581"/>
      <c r="N156" s="581"/>
      <c r="O156" s="555"/>
    </row>
    <row r="157" spans="1:15">
      <c r="A157" s="583">
        <v>13</v>
      </c>
      <c r="B157" s="555" t="s">
        <v>1627</v>
      </c>
      <c r="C157" s="623" t="s">
        <v>1940</v>
      </c>
      <c r="D157" s="623" t="s">
        <v>1940</v>
      </c>
      <c r="E157" s="623" t="s">
        <v>1940</v>
      </c>
      <c r="F157" s="623" t="s">
        <v>1940</v>
      </c>
      <c r="G157" s="623" t="s">
        <v>1940</v>
      </c>
      <c r="H157" s="623" t="s">
        <v>1940</v>
      </c>
      <c r="I157" s="623" t="s">
        <v>1940</v>
      </c>
      <c r="J157" s="623" t="s">
        <v>1940</v>
      </c>
      <c r="K157" s="623" t="s">
        <v>1940</v>
      </c>
      <c r="L157" s="623" t="s">
        <v>1940</v>
      </c>
      <c r="M157" s="623" t="s">
        <v>1940</v>
      </c>
      <c r="N157" s="623" t="s">
        <v>1940</v>
      </c>
      <c r="O157" s="555"/>
    </row>
    <row r="158" spans="1:15">
      <c r="A158" s="583">
        <v>14</v>
      </c>
      <c r="B158" s="598" t="s">
        <v>1628</v>
      </c>
      <c r="C158" s="623" t="s">
        <v>1940</v>
      </c>
      <c r="D158" s="623" t="s">
        <v>1940</v>
      </c>
      <c r="E158" s="623" t="s">
        <v>1940</v>
      </c>
      <c r="F158" s="623" t="s">
        <v>1940</v>
      </c>
      <c r="G158" s="623" t="s">
        <v>1940</v>
      </c>
      <c r="H158" s="623" t="s">
        <v>1940</v>
      </c>
      <c r="I158" s="623" t="s">
        <v>1940</v>
      </c>
      <c r="J158" s="623" t="s">
        <v>1940</v>
      </c>
      <c r="K158" s="623" t="s">
        <v>1940</v>
      </c>
      <c r="L158" s="623" t="s">
        <v>1940</v>
      </c>
      <c r="M158" s="623" t="s">
        <v>1940</v>
      </c>
      <c r="N158" s="623" t="s">
        <v>1940</v>
      </c>
      <c r="O158" s="555"/>
    </row>
    <row r="159" spans="1:15">
      <c r="A159" s="583">
        <v>15</v>
      </c>
      <c r="B159" s="598" t="s">
        <v>1629</v>
      </c>
      <c r="C159" s="623" t="s">
        <v>1940</v>
      </c>
      <c r="D159" s="623" t="s">
        <v>1940</v>
      </c>
      <c r="E159" s="623" t="s">
        <v>1940</v>
      </c>
      <c r="F159" s="623" t="s">
        <v>1940</v>
      </c>
      <c r="G159" s="623" t="s">
        <v>1940</v>
      </c>
      <c r="H159" s="623" t="s">
        <v>1940</v>
      </c>
      <c r="I159" s="623" t="s">
        <v>1940</v>
      </c>
      <c r="J159" s="623" t="s">
        <v>1940</v>
      </c>
      <c r="K159" s="623" t="s">
        <v>1940</v>
      </c>
      <c r="L159" s="623" t="s">
        <v>1940</v>
      </c>
      <c r="M159" s="623" t="s">
        <v>1940</v>
      </c>
      <c r="N159" s="623" t="s">
        <v>1940</v>
      </c>
      <c r="O159" s="555"/>
    </row>
    <row r="160" spans="1:15">
      <c r="A160" s="583">
        <v>16</v>
      </c>
      <c r="B160" s="598" t="s">
        <v>1628</v>
      </c>
      <c r="C160" s="623" t="s">
        <v>1940</v>
      </c>
      <c r="D160" s="623" t="s">
        <v>1940</v>
      </c>
      <c r="E160" s="623" t="s">
        <v>1940</v>
      </c>
      <c r="F160" s="623" t="s">
        <v>1940</v>
      </c>
      <c r="G160" s="623" t="s">
        <v>1940</v>
      </c>
      <c r="H160" s="623" t="s">
        <v>1940</v>
      </c>
      <c r="I160" s="623" t="s">
        <v>1940</v>
      </c>
      <c r="J160" s="623" t="s">
        <v>1940</v>
      </c>
      <c r="K160" s="623" t="s">
        <v>1940</v>
      </c>
      <c r="L160" s="623" t="s">
        <v>1940</v>
      </c>
      <c r="M160" s="623" t="s">
        <v>1940</v>
      </c>
      <c r="N160" s="623" t="s">
        <v>1940</v>
      </c>
      <c r="O160" s="555"/>
    </row>
    <row r="161" spans="1:15">
      <c r="A161" s="583">
        <v>17</v>
      </c>
      <c r="B161" s="598" t="s">
        <v>1630</v>
      </c>
      <c r="C161" s="623" t="s">
        <v>1940</v>
      </c>
      <c r="D161" s="623" t="s">
        <v>1940</v>
      </c>
      <c r="E161" s="623" t="s">
        <v>1940</v>
      </c>
      <c r="F161" s="623" t="s">
        <v>1940</v>
      </c>
      <c r="G161" s="623" t="s">
        <v>1940</v>
      </c>
      <c r="H161" s="623" t="s">
        <v>1940</v>
      </c>
      <c r="I161" s="623" t="s">
        <v>1940</v>
      </c>
      <c r="J161" s="623" t="s">
        <v>1940</v>
      </c>
      <c r="K161" s="623" t="s">
        <v>1940</v>
      </c>
      <c r="L161" s="623" t="s">
        <v>1940</v>
      </c>
      <c r="M161" s="623" t="s">
        <v>1940</v>
      </c>
      <c r="N161" s="623" t="s">
        <v>1940</v>
      </c>
      <c r="O161" s="555"/>
    </row>
    <row r="162" spans="1:15">
      <c r="A162" s="583">
        <v>18</v>
      </c>
      <c r="B162" s="598" t="s">
        <v>1628</v>
      </c>
      <c r="C162" s="623" t="s">
        <v>1940</v>
      </c>
      <c r="D162" s="623" t="s">
        <v>1940</v>
      </c>
      <c r="E162" s="623" t="s">
        <v>1940</v>
      </c>
      <c r="F162" s="623" t="s">
        <v>1940</v>
      </c>
      <c r="G162" s="623" t="s">
        <v>1940</v>
      </c>
      <c r="H162" s="623" t="s">
        <v>1940</v>
      </c>
      <c r="I162" s="623" t="s">
        <v>1940</v>
      </c>
      <c r="J162" s="623" t="s">
        <v>1940</v>
      </c>
      <c r="K162" s="623" t="s">
        <v>1940</v>
      </c>
      <c r="L162" s="623" t="s">
        <v>1940</v>
      </c>
      <c r="M162" s="623" t="s">
        <v>1940</v>
      </c>
      <c r="N162" s="623" t="s">
        <v>1940</v>
      </c>
      <c r="O162" s="555"/>
    </row>
    <row r="163" spans="1:15">
      <c r="A163" s="583">
        <v>19</v>
      </c>
      <c r="B163" s="598" t="s">
        <v>1631</v>
      </c>
      <c r="C163" s="623" t="s">
        <v>1940</v>
      </c>
      <c r="D163" s="623" t="s">
        <v>1940</v>
      </c>
      <c r="E163" s="623" t="s">
        <v>1940</v>
      </c>
      <c r="F163" s="623" t="s">
        <v>1940</v>
      </c>
      <c r="G163" s="623" t="s">
        <v>1940</v>
      </c>
      <c r="H163" s="623" t="s">
        <v>1940</v>
      </c>
      <c r="I163" s="623" t="s">
        <v>1940</v>
      </c>
      <c r="J163" s="623" t="s">
        <v>1940</v>
      </c>
      <c r="K163" s="623" t="s">
        <v>1940</v>
      </c>
      <c r="L163" s="623" t="s">
        <v>1940</v>
      </c>
      <c r="M163" s="623" t="s">
        <v>1940</v>
      </c>
      <c r="N163" s="623" t="s">
        <v>1940</v>
      </c>
      <c r="O163" s="555"/>
    </row>
    <row r="164" spans="1:15">
      <c r="A164" s="583">
        <v>20</v>
      </c>
      <c r="B164" s="598" t="s">
        <v>1628</v>
      </c>
      <c r="C164" s="623" t="s">
        <v>1940</v>
      </c>
      <c r="D164" s="623" t="s">
        <v>1940</v>
      </c>
      <c r="E164" s="623" t="s">
        <v>1940</v>
      </c>
      <c r="F164" s="623" t="s">
        <v>1940</v>
      </c>
      <c r="G164" s="623" t="s">
        <v>1940</v>
      </c>
      <c r="H164" s="623" t="s">
        <v>1940</v>
      </c>
      <c r="I164" s="623" t="s">
        <v>1940</v>
      </c>
      <c r="J164" s="623" t="s">
        <v>1940</v>
      </c>
      <c r="K164" s="623" t="s">
        <v>1940</v>
      </c>
      <c r="L164" s="623" t="s">
        <v>1940</v>
      </c>
      <c r="M164" s="623" t="s">
        <v>1940</v>
      </c>
      <c r="N164" s="623" t="s">
        <v>1940</v>
      </c>
      <c r="O164" s="555"/>
    </row>
    <row r="165" spans="1:15">
      <c r="A165" s="583">
        <v>21</v>
      </c>
      <c r="B165" s="555" t="s">
        <v>433</v>
      </c>
      <c r="C165" s="623" t="s">
        <v>1940</v>
      </c>
      <c r="D165" s="623" t="s">
        <v>1940</v>
      </c>
      <c r="E165" s="1770">
        <f>ROUND((SCH_B8!H88/1000)/E146,4)</f>
        <v>747.03499999999997</v>
      </c>
      <c r="F165" s="1770">
        <f>ROUND((SCH_B8!J88/1000)/F146,4)</f>
        <v>691.33600000000001</v>
      </c>
      <c r="G165" s="1770">
        <f>ROUND((SCH_B8!L88/1000)/G146,4)</f>
        <v>706.42039999999997</v>
      </c>
      <c r="H165" s="1770">
        <f>ROUND((SCH_B8!N88/1000)/H146,4)</f>
        <v>646.07539999999995</v>
      </c>
      <c r="I165" s="1770">
        <f>ROUND((SCH_B8!P88/1000)/I146,4)</f>
        <v>637.40949999999998</v>
      </c>
      <c r="J165" s="1770">
        <f>ROUND((SCH_B8!S88/1000)/J146,4)</f>
        <v>606.2627</v>
      </c>
      <c r="K165" s="1771">
        <f>ROUND(465354/K146,4)</f>
        <v>795.4769</v>
      </c>
      <c r="L165" s="1771">
        <f>ROUND(422093/L146,4)</f>
        <v>721.52650000000006</v>
      </c>
      <c r="M165" s="1771">
        <f>ROUND(394025/M146,4)</f>
        <v>673.54700000000003</v>
      </c>
      <c r="N165" s="1771">
        <f>ROUND(385545/N146,4)</f>
        <v>659.05129999999997</v>
      </c>
      <c r="O165" s="555"/>
    </row>
    <row r="166" spans="1:15">
      <c r="A166" s="583">
        <v>22</v>
      </c>
      <c r="B166" s="555"/>
      <c r="C166" s="581"/>
      <c r="D166" s="581"/>
      <c r="E166" s="555"/>
      <c r="F166" s="555"/>
      <c r="G166" s="555"/>
      <c r="H166" s="627"/>
      <c r="I166" s="581"/>
      <c r="J166" s="555"/>
      <c r="K166" s="555"/>
      <c r="L166" s="555"/>
      <c r="M166" s="555"/>
      <c r="N166" s="581"/>
      <c r="O166" s="555"/>
    </row>
    <row r="167" spans="1:15">
      <c r="A167" s="583">
        <v>23</v>
      </c>
      <c r="B167" s="576" t="s">
        <v>434</v>
      </c>
      <c r="C167" s="581"/>
      <c r="D167" s="581"/>
      <c r="E167" s="555"/>
      <c r="F167" s="555"/>
      <c r="G167" s="555"/>
      <c r="H167" s="628"/>
      <c r="I167" s="628"/>
      <c r="J167" s="555"/>
      <c r="K167" s="555"/>
      <c r="L167" s="555"/>
      <c r="M167" s="555"/>
      <c r="N167" s="581"/>
      <c r="O167" s="555"/>
    </row>
    <row r="168" spans="1:15">
      <c r="A168" s="583">
        <v>24</v>
      </c>
      <c r="B168" s="598" t="s">
        <v>435</v>
      </c>
      <c r="C168" s="629">
        <f t="shared" ref="C168:N168" si="26">ROUND(C85/(((C72+D72)*0.001)/2),4)*100</f>
        <v>3.93</v>
      </c>
      <c r="D168" s="629">
        <f t="shared" si="26"/>
        <v>8.2100000000000009</v>
      </c>
      <c r="E168" s="629">
        <f>ROUND(E85/(((E72+F72)*0.001)/2),4)*100</f>
        <v>10.130000000000001</v>
      </c>
      <c r="F168" s="629">
        <f>ROUND(F85/(((F72+G72)*0.001)/2),4)*100</f>
        <v>11.3</v>
      </c>
      <c r="G168" s="629">
        <f>ROUND(G85/(((G72+H72)*0.001)/2),4)*100</f>
        <v>8.92</v>
      </c>
      <c r="H168" s="629">
        <f>ROUND(H85/(((H72+I72)*0.001)/2),4)*100</f>
        <v>12.01</v>
      </c>
      <c r="I168" s="629">
        <f t="shared" si="26"/>
        <v>7.75</v>
      </c>
      <c r="J168" s="629">
        <f t="shared" si="26"/>
        <v>5.93</v>
      </c>
      <c r="K168" s="629">
        <f t="shared" si="26"/>
        <v>9.76</v>
      </c>
      <c r="L168" s="629">
        <f t="shared" si="26"/>
        <v>6.8900000000000006</v>
      </c>
      <c r="M168" s="629">
        <f t="shared" si="26"/>
        <v>9.6199999999999992</v>
      </c>
      <c r="N168" s="629">
        <f t="shared" si="26"/>
        <v>17.380000000000003</v>
      </c>
      <c r="O168" s="555"/>
    </row>
    <row r="169" spans="1:15">
      <c r="A169" s="583">
        <v>25</v>
      </c>
      <c r="B169" s="555" t="s">
        <v>436</v>
      </c>
      <c r="C169" s="629">
        <f t="shared" ref="C169:N169" si="27">ROUND(C85/(((C70+C71+C72+D70+D71+D72)*0.001)/2),4)*100</f>
        <v>2.09</v>
      </c>
      <c r="D169" s="629">
        <f t="shared" si="27"/>
        <v>4.3600000000000003</v>
      </c>
      <c r="E169" s="629">
        <f>ROUND(E85/(((E70+E71+E72+F70+F71+F72)*0.001)/2),4)*100</f>
        <v>5.6099999999999994</v>
      </c>
      <c r="F169" s="629">
        <f>ROUND(F85/(((F70+F71+F72+G70+G71+G72)*0.001)/2),4)*100</f>
        <v>6.370000000000001</v>
      </c>
      <c r="G169" s="629">
        <f>ROUND(G85/(((G70+G71+G72+H70+H71+H72)*0.001)/2),4)*100</f>
        <v>4.9000000000000004</v>
      </c>
      <c r="H169" s="629">
        <f>ROUND(H85/(((H70+H71+H72+I70+I71+I72)*0.001)/2),4)*100</f>
        <v>6.38</v>
      </c>
      <c r="I169" s="629">
        <f t="shared" si="27"/>
        <v>4.05</v>
      </c>
      <c r="J169" s="629">
        <f t="shared" si="27"/>
        <v>3.2800000000000002</v>
      </c>
      <c r="K169" s="629">
        <f t="shared" si="27"/>
        <v>5.58</v>
      </c>
      <c r="L169" s="629">
        <f t="shared" si="27"/>
        <v>3.81</v>
      </c>
      <c r="M169" s="629">
        <f t="shared" si="27"/>
        <v>5.45</v>
      </c>
      <c r="N169" s="629">
        <f t="shared" si="27"/>
        <v>10.190000000000001</v>
      </c>
      <c r="O169" s="555"/>
    </row>
    <row r="170" spans="1:15">
      <c r="A170" s="583">
        <v>26</v>
      </c>
      <c r="B170" s="555" t="s">
        <v>437</v>
      </c>
      <c r="C170" s="1772">
        <v>2.78</v>
      </c>
      <c r="D170" s="1772">
        <v>6.2</v>
      </c>
      <c r="E170" s="628">
        <v>5.5</v>
      </c>
      <c r="F170" s="628">
        <v>6.03</v>
      </c>
      <c r="G170" s="628">
        <v>5.43</v>
      </c>
      <c r="H170" s="628">
        <v>6.39</v>
      </c>
      <c r="I170" s="628">
        <v>4.9800000000000004</v>
      </c>
      <c r="J170" s="628">
        <v>4.16</v>
      </c>
      <c r="K170" s="628">
        <v>6.65</v>
      </c>
      <c r="L170" s="1773">
        <v>4.7</v>
      </c>
      <c r="M170" s="1773">
        <v>6.47</v>
      </c>
      <c r="N170" s="1773">
        <v>5.34</v>
      </c>
      <c r="O170" s="555"/>
    </row>
    <row r="171" spans="1:15">
      <c r="A171" s="583">
        <v>27</v>
      </c>
      <c r="B171" s="586" t="s">
        <v>3219</v>
      </c>
      <c r="C171" s="1772">
        <v>3.79</v>
      </c>
      <c r="D171" s="1772">
        <v>3.64</v>
      </c>
      <c r="E171" s="628">
        <v>4.41</v>
      </c>
      <c r="F171" s="628">
        <v>4.9000000000000004</v>
      </c>
      <c r="G171" s="628">
        <v>5.74</v>
      </c>
      <c r="H171" s="628">
        <v>5.29</v>
      </c>
      <c r="I171" s="628">
        <v>-0.16</v>
      </c>
      <c r="J171" s="628">
        <v>2.13</v>
      </c>
      <c r="K171" s="628">
        <v>7.44</v>
      </c>
      <c r="L171" s="628">
        <v>2.61</v>
      </c>
      <c r="M171" s="628">
        <v>3.22</v>
      </c>
      <c r="N171" s="628">
        <v>4.26</v>
      </c>
      <c r="O171" s="555"/>
    </row>
    <row r="172" spans="1:15">
      <c r="A172" s="583">
        <v>28</v>
      </c>
      <c r="B172" s="586" t="s">
        <v>3220</v>
      </c>
      <c r="C172" s="1772">
        <v>2.35</v>
      </c>
      <c r="D172" s="1772">
        <v>7.63</v>
      </c>
      <c r="E172" s="628">
        <v>5.95</v>
      </c>
      <c r="F172" s="628">
        <v>6.5</v>
      </c>
      <c r="G172" s="628">
        <v>5.28</v>
      </c>
      <c r="H172" s="628">
        <v>6.92</v>
      </c>
      <c r="I172" s="628">
        <v>7.48</v>
      </c>
      <c r="J172" s="628">
        <v>5.16</v>
      </c>
      <c r="K172" s="628">
        <v>6.27</v>
      </c>
      <c r="L172" s="628">
        <v>5.65</v>
      </c>
      <c r="M172" s="628">
        <v>7.82</v>
      </c>
      <c r="N172" s="628">
        <v>5.76</v>
      </c>
      <c r="O172" s="555"/>
    </row>
    <row r="173" spans="1:15">
      <c r="A173" s="583"/>
      <c r="B173" s="555"/>
      <c r="C173" s="555"/>
      <c r="D173" s="1582"/>
      <c r="E173" s="555"/>
      <c r="F173" s="555"/>
      <c r="G173" s="555"/>
      <c r="H173" s="555"/>
      <c r="I173" s="555"/>
      <c r="J173" s="555"/>
      <c r="K173" s="555"/>
      <c r="L173" s="555"/>
      <c r="M173" s="555"/>
      <c r="N173" s="555"/>
      <c r="O173" s="555"/>
    </row>
    <row r="174" spans="1:15">
      <c r="A174" s="583"/>
      <c r="B174" s="555" t="s">
        <v>438</v>
      </c>
      <c r="C174" s="555"/>
      <c r="D174" s="1582"/>
      <c r="E174" s="555"/>
      <c r="F174" s="555"/>
      <c r="G174" s="555"/>
      <c r="H174" s="555"/>
      <c r="I174" s="555"/>
      <c r="J174" s="555"/>
      <c r="K174" s="555"/>
      <c r="L174" s="555"/>
      <c r="M174" s="555"/>
      <c r="N174" s="555"/>
      <c r="O174" s="555"/>
    </row>
    <row r="175" spans="1:15">
      <c r="A175" s="583"/>
      <c r="B175" s="555"/>
      <c r="C175" s="555"/>
      <c r="D175" s="1582"/>
      <c r="E175" s="555"/>
      <c r="F175" s="555"/>
      <c r="G175" s="555"/>
      <c r="H175" s="555"/>
      <c r="I175" s="555"/>
      <c r="J175" s="555"/>
      <c r="K175" s="555"/>
      <c r="L175" s="555"/>
      <c r="M175" s="555"/>
      <c r="N175" s="555"/>
      <c r="O175" s="555"/>
    </row>
    <row r="176" spans="1:15">
      <c r="A176" s="553" t="str">
        <f>A1</f>
        <v>DUKE ENERGY KENTUCKY, INC.</v>
      </c>
      <c r="B176" s="553"/>
      <c r="C176" s="553"/>
      <c r="D176" s="554"/>
      <c r="E176" s="553"/>
      <c r="F176" s="553"/>
      <c r="G176" s="553"/>
      <c r="H176" s="553"/>
      <c r="I176" s="553"/>
      <c r="J176" s="553"/>
      <c r="K176" s="553"/>
      <c r="L176" s="553"/>
      <c r="M176" s="553"/>
      <c r="N176" s="553"/>
      <c r="O176" s="555"/>
    </row>
    <row r="177" spans="1:15">
      <c r="A177" s="553" t="str">
        <f>A2</f>
        <v>CASE NO. 2017-00321</v>
      </c>
      <c r="B177" s="556"/>
      <c r="C177" s="556"/>
      <c r="D177" s="557"/>
      <c r="E177" s="556"/>
      <c r="F177" s="556"/>
      <c r="G177" s="556"/>
      <c r="H177" s="556"/>
      <c r="I177" s="556"/>
      <c r="J177" s="556"/>
      <c r="K177" s="556"/>
      <c r="L177" s="556"/>
      <c r="M177" s="556"/>
      <c r="N177" s="556"/>
      <c r="O177" s="555"/>
    </row>
    <row r="178" spans="1:15">
      <c r="A178" s="553" t="str">
        <f>A3</f>
        <v>COMPARATIVE FINANCIAL DATA</v>
      </c>
      <c r="B178" s="556"/>
      <c r="C178" s="556"/>
      <c r="D178" s="557"/>
      <c r="E178" s="556"/>
      <c r="F178" s="556"/>
      <c r="G178" s="556"/>
      <c r="H178" s="556"/>
      <c r="I178" s="556"/>
      <c r="J178" s="556"/>
      <c r="K178" s="556"/>
      <c r="L178" s="556"/>
      <c r="M178" s="556"/>
      <c r="N178" s="556"/>
      <c r="O178" s="555"/>
    </row>
    <row r="179" spans="1:15">
      <c r="A179" s="558"/>
      <c r="B179" s="558"/>
      <c r="C179" s="558"/>
      <c r="D179" s="1574"/>
      <c r="E179" s="558"/>
      <c r="F179" s="558"/>
      <c r="G179" s="558"/>
      <c r="H179" s="558"/>
      <c r="I179" s="558"/>
      <c r="J179" s="558"/>
      <c r="K179" s="558"/>
      <c r="L179" s="558"/>
      <c r="M179" s="558"/>
      <c r="N179" s="558"/>
      <c r="O179" s="555"/>
    </row>
    <row r="180" spans="1:15">
      <c r="A180" s="558" t="str">
        <f>A5</f>
        <v>DATA: "X" BASE PERIOD  "X" FORECASTED PERIOD</v>
      </c>
      <c r="B180" s="553"/>
      <c r="C180" s="553"/>
      <c r="D180" s="554"/>
      <c r="E180" s="556"/>
      <c r="F180" s="553"/>
      <c r="G180" s="553"/>
      <c r="H180" s="553"/>
      <c r="I180" s="553"/>
      <c r="J180" s="553"/>
      <c r="K180" s="553"/>
      <c r="L180" s="559" t="str">
        <f>L5</f>
        <v>SCHEDULE K</v>
      </c>
      <c r="M180" s="553"/>
      <c r="N180" s="553"/>
      <c r="O180" s="555"/>
    </row>
    <row r="181" spans="1:15">
      <c r="A181" s="558" t="str">
        <f>A6</f>
        <v xml:space="preserve">TYPE OF FILING:  "X" ORIGINAL   UPDATED    REVISED  </v>
      </c>
      <c r="B181" s="553"/>
      <c r="C181" s="553"/>
      <c r="D181" s="554"/>
      <c r="E181" s="556"/>
      <c r="F181" s="553"/>
      <c r="G181" s="553"/>
      <c r="H181" s="553"/>
      <c r="I181" s="553"/>
      <c r="J181" s="553"/>
      <c r="K181" s="553"/>
      <c r="L181" s="559" t="s">
        <v>964</v>
      </c>
      <c r="M181" s="553"/>
      <c r="N181" s="553"/>
      <c r="O181" s="555"/>
    </row>
    <row r="182" spans="1:15">
      <c r="A182" s="558" t="str">
        <f>A7</f>
        <v>WORK PAPER REFERENCE NO(S).:</v>
      </c>
      <c r="B182" s="590"/>
      <c r="C182" s="590"/>
      <c r="D182" s="554"/>
      <c r="E182" s="553"/>
      <c r="F182" s="556"/>
      <c r="G182" s="553"/>
      <c r="H182" s="553"/>
      <c r="I182" s="553"/>
      <c r="J182" s="553"/>
      <c r="K182" s="555"/>
      <c r="L182" s="592" t="s">
        <v>1239</v>
      </c>
      <c r="M182" s="559"/>
      <c r="N182" s="559"/>
      <c r="O182" s="555"/>
    </row>
    <row r="183" spans="1:15">
      <c r="A183" s="555"/>
      <c r="B183" s="590"/>
      <c r="C183" s="590"/>
      <c r="D183" s="1574"/>
      <c r="E183" s="558"/>
      <c r="F183" s="558"/>
      <c r="G183" s="558"/>
      <c r="H183" s="558"/>
      <c r="I183" s="558"/>
      <c r="J183" s="558"/>
      <c r="K183" s="555"/>
      <c r="L183" s="560" t="str">
        <f>_WIT6</f>
        <v>R. H. PRATT / D. L. DOSS</v>
      </c>
      <c r="M183" s="559"/>
      <c r="N183" s="559"/>
      <c r="O183" s="555"/>
    </row>
    <row r="184" spans="1:15">
      <c r="A184" s="561"/>
      <c r="B184" s="561"/>
      <c r="C184" s="561"/>
      <c r="D184" s="562"/>
      <c r="E184" s="561"/>
      <c r="F184" s="561"/>
      <c r="G184" s="561"/>
      <c r="H184" s="561"/>
      <c r="I184" s="561"/>
      <c r="J184" s="561"/>
      <c r="K184" s="561"/>
      <c r="L184" s="563"/>
      <c r="M184" s="561"/>
      <c r="N184" s="561"/>
      <c r="O184" s="555"/>
    </row>
    <row r="185" spans="1:15">
      <c r="A185" s="564" t="s">
        <v>1240</v>
      </c>
      <c r="B185" s="558"/>
      <c r="C185" s="564" t="s">
        <v>1143</v>
      </c>
      <c r="D185" s="565" t="str">
        <f>D10</f>
        <v>BASE</v>
      </c>
      <c r="E185" s="567" t="str">
        <f>E10</f>
        <v>MOST RECENT CALENDAR YEARS</v>
      </c>
      <c r="F185" s="567"/>
      <c r="G185" s="567"/>
      <c r="H185" s="567"/>
      <c r="I185" s="567"/>
      <c r="J185" s="567"/>
      <c r="K185" s="567"/>
      <c r="L185" s="567"/>
      <c r="M185" s="567"/>
      <c r="N185" s="567"/>
      <c r="O185" s="555"/>
    </row>
    <row r="186" spans="1:15">
      <c r="A186" s="568" t="s">
        <v>1241</v>
      </c>
      <c r="B186" s="568" t="s">
        <v>1119</v>
      </c>
      <c r="C186" s="570" t="s">
        <v>568</v>
      </c>
      <c r="D186" s="570" t="str">
        <f>D11</f>
        <v>PERIOD</v>
      </c>
      <c r="E186" s="617">
        <f>E11</f>
        <v>2016</v>
      </c>
      <c r="F186" s="617">
        <f t="shared" ref="F186:N186" si="28">F11</f>
        <v>2015</v>
      </c>
      <c r="G186" s="617">
        <f t="shared" si="28"/>
        <v>2014</v>
      </c>
      <c r="H186" s="617">
        <f t="shared" si="28"/>
        <v>2013</v>
      </c>
      <c r="I186" s="617">
        <f t="shared" si="28"/>
        <v>2012</v>
      </c>
      <c r="J186" s="617">
        <f t="shared" si="28"/>
        <v>2011</v>
      </c>
      <c r="K186" s="617">
        <f t="shared" si="28"/>
        <v>2010</v>
      </c>
      <c r="L186" s="617">
        <f t="shared" si="28"/>
        <v>2009</v>
      </c>
      <c r="M186" s="617">
        <f t="shared" si="28"/>
        <v>2008</v>
      </c>
      <c r="N186" s="617">
        <f t="shared" si="28"/>
        <v>2007</v>
      </c>
      <c r="O186" s="555"/>
    </row>
    <row r="187" spans="1:15">
      <c r="A187" s="583"/>
      <c r="B187" s="555"/>
      <c r="C187" s="555"/>
      <c r="D187" s="1582"/>
      <c r="E187" s="555"/>
      <c r="F187" s="555"/>
      <c r="G187" s="555"/>
      <c r="H187" s="555"/>
      <c r="I187" s="555"/>
      <c r="J187" s="555"/>
      <c r="K187" s="555"/>
      <c r="L187" s="555"/>
      <c r="M187" s="555"/>
      <c r="N187" s="555"/>
      <c r="O187" s="555"/>
    </row>
    <row r="188" spans="1:15">
      <c r="A188" s="583">
        <v>1</v>
      </c>
      <c r="B188" s="576" t="s">
        <v>439</v>
      </c>
      <c r="C188" s="576"/>
      <c r="D188" s="1582"/>
      <c r="E188" s="555"/>
      <c r="F188" s="555"/>
      <c r="G188" s="555"/>
      <c r="H188" s="555"/>
      <c r="I188" s="555"/>
      <c r="J188" s="555"/>
      <c r="K188" s="555"/>
      <c r="L188" s="555"/>
      <c r="M188" s="555"/>
      <c r="N188" s="555"/>
      <c r="O188" s="555"/>
    </row>
    <row r="189" spans="1:15">
      <c r="A189" s="583">
        <v>2</v>
      </c>
      <c r="B189" s="555" t="s">
        <v>440</v>
      </c>
      <c r="C189" s="555"/>
      <c r="D189" s="1582"/>
      <c r="E189" s="555"/>
      <c r="F189" s="577"/>
      <c r="G189" s="577"/>
      <c r="H189" s="577"/>
      <c r="I189" s="577"/>
      <c r="J189" s="577"/>
      <c r="K189" s="577"/>
      <c r="L189" s="577"/>
      <c r="M189" s="577"/>
      <c r="N189" s="577"/>
      <c r="O189" s="555"/>
    </row>
    <row r="190" spans="1:15">
      <c r="A190" s="583">
        <v>3</v>
      </c>
      <c r="B190" s="555" t="s">
        <v>314</v>
      </c>
      <c r="C190" s="578">
        <v>102261</v>
      </c>
      <c r="D190" s="578">
        <f>15738+48844+32875</f>
        <v>97457</v>
      </c>
      <c r="E190" s="578">
        <v>93010</v>
      </c>
      <c r="F190" s="578">
        <v>104453</v>
      </c>
      <c r="G190" s="578">
        <v>122401</v>
      </c>
      <c r="H190" s="1761">
        <v>102404</v>
      </c>
      <c r="I190" s="1761">
        <v>89877</v>
      </c>
      <c r="J190" s="1761">
        <v>115204</v>
      </c>
      <c r="K190" s="578">
        <v>139332</v>
      </c>
      <c r="L190" s="1761">
        <v>119452</v>
      </c>
      <c r="M190" s="1761">
        <v>144287</v>
      </c>
      <c r="N190" s="1761">
        <v>140668</v>
      </c>
      <c r="O190" s="555"/>
    </row>
    <row r="191" spans="1:15">
      <c r="A191" s="583">
        <v>4</v>
      </c>
      <c r="B191" s="598" t="s">
        <v>315</v>
      </c>
      <c r="C191" s="1582">
        <f ca="1">ROUND(SCH_C2!H20/1000,2)</f>
        <v>321318.95</v>
      </c>
      <c r="D191" s="1582">
        <f>ROUND(SCH_C2!E20/1000,2)</f>
        <v>326452.34000000003</v>
      </c>
      <c r="E191" s="578">
        <v>347770</v>
      </c>
      <c r="F191" s="578">
        <v>362302</v>
      </c>
      <c r="G191" s="578">
        <v>366324</v>
      </c>
      <c r="H191" s="1761">
        <v>341399</v>
      </c>
      <c r="I191" s="1761">
        <v>337750</v>
      </c>
      <c r="J191" s="1761">
        <v>343471</v>
      </c>
      <c r="K191" s="578">
        <v>347408</v>
      </c>
      <c r="L191" s="1761">
        <v>341022</v>
      </c>
      <c r="M191" s="1761">
        <v>355843</v>
      </c>
      <c r="N191" s="1761">
        <v>349943</v>
      </c>
      <c r="O191" s="555"/>
    </row>
    <row r="192" spans="1:15">
      <c r="A192" s="583">
        <v>5</v>
      </c>
      <c r="B192" s="598" t="s">
        <v>316</v>
      </c>
      <c r="C192" s="630">
        <f t="shared" ref="C192:N192" ca="1" si="29">SUM(C190:C191)</f>
        <v>423579.95</v>
      </c>
      <c r="D192" s="630">
        <f t="shared" si="29"/>
        <v>423909.34</v>
      </c>
      <c r="E192" s="630">
        <f t="shared" si="29"/>
        <v>440780</v>
      </c>
      <c r="F192" s="630">
        <f t="shared" si="29"/>
        <v>466755</v>
      </c>
      <c r="G192" s="630">
        <f t="shared" si="29"/>
        <v>488725</v>
      </c>
      <c r="H192" s="630">
        <f t="shared" si="29"/>
        <v>443803</v>
      </c>
      <c r="I192" s="630">
        <f t="shared" si="29"/>
        <v>427627</v>
      </c>
      <c r="J192" s="630">
        <f t="shared" si="29"/>
        <v>458675</v>
      </c>
      <c r="K192" s="630">
        <f t="shared" si="29"/>
        <v>486740</v>
      </c>
      <c r="L192" s="630">
        <f t="shared" si="29"/>
        <v>460474</v>
      </c>
      <c r="M192" s="630">
        <f t="shared" si="29"/>
        <v>500130</v>
      </c>
      <c r="N192" s="630">
        <f t="shared" si="29"/>
        <v>490611</v>
      </c>
      <c r="O192" s="555"/>
    </row>
    <row r="193" spans="1:15">
      <c r="A193" s="583">
        <v>6</v>
      </c>
      <c r="B193" s="598" t="s">
        <v>518</v>
      </c>
      <c r="C193" s="1582"/>
      <c r="D193" s="1582"/>
      <c r="E193" s="555"/>
      <c r="F193" s="555"/>
      <c r="G193" s="577"/>
      <c r="H193" s="577"/>
      <c r="I193" s="577"/>
      <c r="J193" s="555"/>
      <c r="K193" s="577"/>
      <c r="L193" s="577"/>
      <c r="M193" s="577"/>
      <c r="N193" s="577"/>
      <c r="O193" s="555"/>
    </row>
    <row r="194" spans="1:15">
      <c r="A194" s="583">
        <v>7</v>
      </c>
      <c r="B194" s="598" t="s">
        <v>519</v>
      </c>
      <c r="C194" s="631">
        <f ca="1">ROUND(C190/C192,3)*100</f>
        <v>24.099999999999998</v>
      </c>
      <c r="D194" s="631">
        <f>ROUND(D190/D192,3)*100</f>
        <v>23</v>
      </c>
      <c r="E194" s="631">
        <f>ROUND(E190/E192,3)*100</f>
        <v>21.099999999999998</v>
      </c>
      <c r="F194" s="631">
        <f t="shared" ref="F194:N194" si="30">ROUND(F190/F192,3)*100</f>
        <v>22.400000000000002</v>
      </c>
      <c r="G194" s="631">
        <f t="shared" si="30"/>
        <v>25</v>
      </c>
      <c r="H194" s="631">
        <f t="shared" si="30"/>
        <v>23.1</v>
      </c>
      <c r="I194" s="631">
        <f t="shared" si="30"/>
        <v>21</v>
      </c>
      <c r="J194" s="631">
        <f t="shared" si="30"/>
        <v>25.1</v>
      </c>
      <c r="K194" s="631">
        <f t="shared" si="30"/>
        <v>28.599999999999998</v>
      </c>
      <c r="L194" s="631">
        <f t="shared" si="30"/>
        <v>25.900000000000002</v>
      </c>
      <c r="M194" s="631">
        <f t="shared" si="30"/>
        <v>28.799999999999997</v>
      </c>
      <c r="N194" s="631">
        <f t="shared" si="30"/>
        <v>28.7</v>
      </c>
      <c r="O194" s="555"/>
    </row>
    <row r="195" spans="1:15">
      <c r="A195" s="583">
        <v>8</v>
      </c>
      <c r="B195" s="598" t="s">
        <v>520</v>
      </c>
      <c r="C195" s="631">
        <f t="shared" ref="C195:N195" ca="1" si="31">C196-C194</f>
        <v>75.900000000000006</v>
      </c>
      <c r="D195" s="631">
        <f t="shared" si="31"/>
        <v>77</v>
      </c>
      <c r="E195" s="631">
        <f t="shared" si="31"/>
        <v>78.900000000000006</v>
      </c>
      <c r="F195" s="631">
        <f t="shared" si="31"/>
        <v>77.599999999999994</v>
      </c>
      <c r="G195" s="631">
        <f t="shared" si="31"/>
        <v>75</v>
      </c>
      <c r="H195" s="631">
        <f t="shared" si="31"/>
        <v>76.900000000000006</v>
      </c>
      <c r="I195" s="631">
        <f t="shared" si="31"/>
        <v>79</v>
      </c>
      <c r="J195" s="631">
        <f t="shared" si="31"/>
        <v>74.900000000000006</v>
      </c>
      <c r="K195" s="631">
        <f t="shared" si="31"/>
        <v>71.400000000000006</v>
      </c>
      <c r="L195" s="631">
        <f t="shared" si="31"/>
        <v>74.099999999999994</v>
      </c>
      <c r="M195" s="631">
        <f t="shared" si="31"/>
        <v>71.2</v>
      </c>
      <c r="N195" s="631">
        <f t="shared" si="31"/>
        <v>71.3</v>
      </c>
      <c r="O195" s="555"/>
    </row>
    <row r="196" spans="1:15">
      <c r="A196" s="583">
        <v>9</v>
      </c>
      <c r="B196" s="598" t="s">
        <v>316</v>
      </c>
      <c r="C196" s="632">
        <v>100</v>
      </c>
      <c r="D196" s="632">
        <v>100</v>
      </c>
      <c r="E196" s="632">
        <v>100</v>
      </c>
      <c r="F196" s="632">
        <v>100</v>
      </c>
      <c r="G196" s="632">
        <v>100</v>
      </c>
      <c r="H196" s="632">
        <v>100</v>
      </c>
      <c r="I196" s="632">
        <v>100</v>
      </c>
      <c r="J196" s="632">
        <v>100</v>
      </c>
      <c r="K196" s="632">
        <v>100</v>
      </c>
      <c r="L196" s="632">
        <v>100</v>
      </c>
      <c r="M196" s="632">
        <v>100</v>
      </c>
      <c r="N196" s="632">
        <v>100</v>
      </c>
      <c r="O196" s="555"/>
    </row>
    <row r="197" spans="1:15">
      <c r="A197" s="583">
        <v>10</v>
      </c>
      <c r="B197" s="598" t="s">
        <v>521</v>
      </c>
      <c r="C197" s="1582"/>
      <c r="D197" s="1582"/>
      <c r="E197" s="555"/>
      <c r="F197" s="555"/>
      <c r="G197" s="577"/>
      <c r="H197" s="577"/>
      <c r="I197" s="577"/>
      <c r="J197" s="555"/>
      <c r="K197" s="577"/>
      <c r="L197" s="577"/>
      <c r="M197" s="577"/>
      <c r="N197" s="577"/>
      <c r="O197" s="555"/>
    </row>
    <row r="198" spans="1:15">
      <c r="A198" s="583">
        <v>11</v>
      </c>
      <c r="B198" s="598" t="s">
        <v>519</v>
      </c>
      <c r="C198" s="578">
        <v>38381</v>
      </c>
      <c r="D198" s="578">
        <f>7657+21513+12736</f>
        <v>41906</v>
      </c>
      <c r="E198" s="578">
        <v>32611</v>
      </c>
      <c r="F198" s="578">
        <v>41610</v>
      </c>
      <c r="G198" s="578">
        <v>59826</v>
      </c>
      <c r="H198" s="578">
        <v>45916</v>
      </c>
      <c r="I198" s="578">
        <v>37548</v>
      </c>
      <c r="J198" s="578">
        <v>54560</v>
      </c>
      <c r="K198" s="578">
        <v>68010</v>
      </c>
      <c r="L198" s="1761">
        <v>71790</v>
      </c>
      <c r="M198" s="1761">
        <v>106913</v>
      </c>
      <c r="N198" s="1761">
        <v>94931</v>
      </c>
      <c r="O198" s="555"/>
    </row>
    <row r="199" spans="1:15">
      <c r="A199" s="583">
        <v>12</v>
      </c>
      <c r="B199" s="598" t="s">
        <v>520</v>
      </c>
      <c r="C199" s="1582">
        <f ca="1">ROUND(SCH_C2!H25/1000,2)</f>
        <v>114670.83</v>
      </c>
      <c r="D199" s="1582">
        <f>ROUND(SCH_C2!E25/1000,2)</f>
        <v>115955.45</v>
      </c>
      <c r="E199" s="578">
        <v>131354</v>
      </c>
      <c r="F199" s="578">
        <f>110419+5426+32566</f>
        <v>148411</v>
      </c>
      <c r="G199" s="578">
        <f>77003+3635+94919</f>
        <v>175557</v>
      </c>
      <c r="H199" s="578">
        <f>98190+918+45991</f>
        <v>145099</v>
      </c>
      <c r="I199" s="578">
        <f>84586+1202+53912</f>
        <v>139700</v>
      </c>
      <c r="J199" s="578">
        <f>107118+6524+31481</f>
        <v>145123</v>
      </c>
      <c r="K199" s="578">
        <f>102172+8558+34127</f>
        <v>144857</v>
      </c>
      <c r="L199" s="578">
        <f>109781+6375+22087</f>
        <v>138243</v>
      </c>
      <c r="M199" s="578">
        <f>98069+12364+48741</f>
        <v>159174</v>
      </c>
      <c r="N199" s="578">
        <f>71980+14314+62078</f>
        <v>148372</v>
      </c>
      <c r="O199" s="555"/>
    </row>
    <row r="200" spans="1:15">
      <c r="A200" s="583">
        <v>13</v>
      </c>
      <c r="B200" s="598" t="s">
        <v>316</v>
      </c>
      <c r="C200" s="630">
        <f t="shared" ref="C200:N200" ca="1" si="32">SUM(C198:C199)</f>
        <v>153051.83000000002</v>
      </c>
      <c r="D200" s="630">
        <f t="shared" si="32"/>
        <v>157861.45000000001</v>
      </c>
      <c r="E200" s="630">
        <f t="shared" si="32"/>
        <v>163965</v>
      </c>
      <c r="F200" s="630">
        <f t="shared" si="32"/>
        <v>190021</v>
      </c>
      <c r="G200" s="630">
        <f t="shared" si="32"/>
        <v>235383</v>
      </c>
      <c r="H200" s="630">
        <f t="shared" si="32"/>
        <v>191015</v>
      </c>
      <c r="I200" s="630">
        <f t="shared" si="32"/>
        <v>177248</v>
      </c>
      <c r="J200" s="630">
        <f t="shared" si="32"/>
        <v>199683</v>
      </c>
      <c r="K200" s="630">
        <f t="shared" si="32"/>
        <v>212867</v>
      </c>
      <c r="L200" s="630">
        <f t="shared" si="32"/>
        <v>210033</v>
      </c>
      <c r="M200" s="630">
        <f t="shared" si="32"/>
        <v>266087</v>
      </c>
      <c r="N200" s="630">
        <f t="shared" si="32"/>
        <v>243303</v>
      </c>
      <c r="O200" s="555"/>
    </row>
    <row r="201" spans="1:15">
      <c r="A201" s="583">
        <v>14</v>
      </c>
      <c r="B201" s="598" t="s">
        <v>522</v>
      </c>
      <c r="C201" s="1582"/>
      <c r="D201" s="1582"/>
      <c r="E201" s="555"/>
      <c r="F201" s="555"/>
      <c r="G201" s="577"/>
      <c r="H201" s="577"/>
      <c r="I201" s="577"/>
      <c r="J201" s="555"/>
      <c r="K201" s="577"/>
      <c r="L201" s="577"/>
      <c r="M201" s="577"/>
      <c r="N201" s="577"/>
      <c r="O201" s="555"/>
    </row>
    <row r="202" spans="1:15">
      <c r="A202" s="583">
        <v>15</v>
      </c>
      <c r="B202" s="598" t="s">
        <v>519</v>
      </c>
      <c r="C202" s="631">
        <f ca="1">ROUND(C198/C200,3)*100</f>
        <v>25.1</v>
      </c>
      <c r="D202" s="631">
        <f>ROUND(D198/D200,3)*100</f>
        <v>26.5</v>
      </c>
      <c r="E202" s="631">
        <f>ROUND(E198/E200,3)*100</f>
        <v>19.900000000000002</v>
      </c>
      <c r="F202" s="631">
        <f t="shared" ref="F202:N202" si="33">ROUND(F198/F200,3)*100</f>
        <v>21.9</v>
      </c>
      <c r="G202" s="631">
        <f t="shared" si="33"/>
        <v>25.4</v>
      </c>
      <c r="H202" s="631">
        <f t="shared" si="33"/>
        <v>24</v>
      </c>
      <c r="I202" s="631">
        <f t="shared" si="33"/>
        <v>21.2</v>
      </c>
      <c r="J202" s="631">
        <f t="shared" si="33"/>
        <v>27.3</v>
      </c>
      <c r="K202" s="631">
        <f t="shared" si="33"/>
        <v>31.900000000000002</v>
      </c>
      <c r="L202" s="631">
        <f t="shared" si="33"/>
        <v>34.200000000000003</v>
      </c>
      <c r="M202" s="631">
        <f t="shared" si="33"/>
        <v>40.200000000000003</v>
      </c>
      <c r="N202" s="631">
        <f t="shared" si="33"/>
        <v>39</v>
      </c>
      <c r="O202" s="555"/>
    </row>
    <row r="203" spans="1:15">
      <c r="A203" s="583">
        <v>16</v>
      </c>
      <c r="B203" s="598" t="s">
        <v>520</v>
      </c>
      <c r="C203" s="631">
        <f t="shared" ref="C203:N203" ca="1" si="34">C204-C202</f>
        <v>74.900000000000006</v>
      </c>
      <c r="D203" s="631">
        <f t="shared" si="34"/>
        <v>73.5</v>
      </c>
      <c r="E203" s="631">
        <f t="shared" si="34"/>
        <v>80.099999999999994</v>
      </c>
      <c r="F203" s="631">
        <f t="shared" si="34"/>
        <v>78.099999999999994</v>
      </c>
      <c r="G203" s="631">
        <f t="shared" si="34"/>
        <v>74.599999999999994</v>
      </c>
      <c r="H203" s="631">
        <f t="shared" si="34"/>
        <v>76</v>
      </c>
      <c r="I203" s="631">
        <f t="shared" si="34"/>
        <v>78.8</v>
      </c>
      <c r="J203" s="631">
        <f t="shared" si="34"/>
        <v>72.7</v>
      </c>
      <c r="K203" s="631">
        <f t="shared" si="34"/>
        <v>68.099999999999994</v>
      </c>
      <c r="L203" s="631">
        <f t="shared" si="34"/>
        <v>65.8</v>
      </c>
      <c r="M203" s="631">
        <f t="shared" si="34"/>
        <v>59.8</v>
      </c>
      <c r="N203" s="631">
        <f t="shared" si="34"/>
        <v>61</v>
      </c>
      <c r="O203" s="555"/>
    </row>
    <row r="204" spans="1:15">
      <c r="A204" s="583">
        <v>17</v>
      </c>
      <c r="B204" s="598" t="s">
        <v>316</v>
      </c>
      <c r="C204" s="632">
        <v>100</v>
      </c>
      <c r="D204" s="632">
        <v>100</v>
      </c>
      <c r="E204" s="632">
        <v>100</v>
      </c>
      <c r="F204" s="632">
        <v>100</v>
      </c>
      <c r="G204" s="632">
        <v>100</v>
      </c>
      <c r="H204" s="632">
        <v>100</v>
      </c>
      <c r="I204" s="632">
        <v>100</v>
      </c>
      <c r="J204" s="632">
        <v>100</v>
      </c>
      <c r="K204" s="632">
        <v>100</v>
      </c>
      <c r="L204" s="632">
        <v>100</v>
      </c>
      <c r="M204" s="632">
        <v>100</v>
      </c>
      <c r="N204" s="632">
        <v>100</v>
      </c>
      <c r="O204" s="555"/>
    </row>
    <row r="205" spans="1:15">
      <c r="A205" s="555"/>
      <c r="B205" s="555"/>
      <c r="C205" s="555"/>
      <c r="D205" s="1582"/>
      <c r="E205" s="555"/>
      <c r="F205" s="555"/>
      <c r="G205" s="555"/>
      <c r="H205" s="555"/>
      <c r="I205" s="555"/>
      <c r="J205" s="555"/>
      <c r="K205" s="555"/>
      <c r="L205" s="555"/>
      <c r="M205" s="555"/>
      <c r="N205" s="555"/>
      <c r="O205" s="555"/>
    </row>
    <row r="206" spans="1:15">
      <c r="A206" s="555"/>
      <c r="B206" s="555"/>
      <c r="C206" s="555"/>
      <c r="D206" s="1582"/>
      <c r="E206" s="555"/>
      <c r="F206" s="555"/>
      <c r="G206" s="555"/>
      <c r="H206" s="555"/>
      <c r="I206" s="555"/>
      <c r="J206" s="555"/>
      <c r="K206" s="555"/>
      <c r="L206" s="555"/>
      <c r="M206" s="555"/>
      <c r="N206" s="555"/>
      <c r="O206" s="555"/>
    </row>
    <row r="207" spans="1:15">
      <c r="A207" s="555"/>
      <c r="B207" s="555"/>
      <c r="C207" s="555"/>
      <c r="D207" s="1582"/>
      <c r="E207" s="555"/>
      <c r="F207" s="555"/>
      <c r="G207" s="555"/>
      <c r="H207" s="555"/>
      <c r="I207" s="555"/>
      <c r="J207" s="555"/>
      <c r="K207" s="555"/>
      <c r="L207" s="555"/>
      <c r="M207" s="555"/>
      <c r="N207" s="555"/>
      <c r="O207" s="555"/>
    </row>
    <row r="208" spans="1:15">
      <c r="A208" s="555"/>
      <c r="B208" s="555"/>
      <c r="C208" s="555"/>
      <c r="D208" s="1582"/>
      <c r="E208" s="555"/>
      <c r="F208" s="555"/>
      <c r="G208" s="555"/>
      <c r="H208" s="555"/>
      <c r="I208" s="555"/>
      <c r="J208" s="555"/>
      <c r="K208" s="555"/>
      <c r="L208" s="555"/>
      <c r="M208" s="555"/>
      <c r="N208" s="555"/>
      <c r="O208" s="555"/>
    </row>
    <row r="209" spans="1:15">
      <c r="A209" s="583"/>
      <c r="B209" s="555"/>
      <c r="C209" s="555"/>
      <c r="D209" s="1582"/>
      <c r="E209" s="555"/>
      <c r="F209" s="555"/>
      <c r="G209" s="555"/>
      <c r="H209" s="555"/>
      <c r="I209" s="555"/>
      <c r="J209" s="555"/>
      <c r="K209" s="555"/>
      <c r="L209" s="555"/>
      <c r="M209" s="555"/>
      <c r="N209" s="555"/>
      <c r="O209" s="555"/>
    </row>
    <row r="210" spans="1:15">
      <c r="A210" s="555"/>
      <c r="B210" s="555"/>
      <c r="C210" s="555"/>
      <c r="D210" s="1582"/>
      <c r="E210" s="555"/>
      <c r="F210" s="555"/>
      <c r="G210" s="555"/>
      <c r="H210" s="555"/>
      <c r="I210" s="555"/>
      <c r="J210" s="555"/>
      <c r="K210" s="555"/>
      <c r="L210" s="555"/>
      <c r="M210" s="555"/>
      <c r="N210" s="555"/>
      <c r="O210" s="555"/>
    </row>
    <row r="211" spans="1:15">
      <c r="A211" s="555"/>
      <c r="B211" s="555"/>
      <c r="C211" s="555"/>
      <c r="D211" s="1582"/>
      <c r="E211" s="555"/>
      <c r="F211" s="555"/>
      <c r="G211" s="555"/>
      <c r="H211" s="555"/>
      <c r="I211" s="555"/>
      <c r="J211" s="555"/>
      <c r="K211" s="555"/>
      <c r="L211" s="555"/>
      <c r="M211" s="555"/>
      <c r="N211" s="555"/>
      <c r="O211" s="555"/>
    </row>
  </sheetData>
  <phoneticPr fontId="19" type="noConversion"/>
  <printOptions horizontalCentered="1"/>
  <pageMargins left="0.75" right="0.75" top="1" bottom="1" header="0.5" footer="0.5"/>
  <pageSetup scale="59" orientation="landscape" blackAndWhite="1" r:id="rId1"/>
  <headerFooter alignWithMargins="0">
    <oddHeader>&amp;C&amp;A&amp;R&amp;"Times New Roman,Bold"KyPSC Case No. 2017-00321
STAFF-DR-01-071 SFRs Attachment
Page &amp;P of &amp;N</oddHeader>
    <oddFooter>Page &amp;P</oddFooter>
  </headerFooter>
  <rowBreaks count="2" manualBreakCount="2">
    <brk id="65" max="13" man="1"/>
    <brk id="151" max="12" man="1"/>
  </rowBreaks>
  <colBreaks count="1" manualBreakCount="1">
    <brk id="14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0000"/>
  </sheetPr>
  <dimension ref="A1:T124"/>
  <sheetViews>
    <sheetView tabSelected="1" view="pageLayout" topLeftCell="A22" zoomScaleNormal="90" workbookViewId="0">
      <selection activeCell="G1" sqref="G1"/>
    </sheetView>
  </sheetViews>
  <sheetFormatPr defaultColWidth="8" defaultRowHeight="12.75"/>
  <cols>
    <col min="1" max="1" width="5.5703125" style="45" customWidth="1"/>
    <col min="2" max="2" width="1.28515625" style="45" customWidth="1"/>
    <col min="3" max="3" width="48.85546875" style="45" customWidth="1"/>
    <col min="4" max="4" width="1.5703125" style="45" customWidth="1"/>
    <col min="5" max="5" width="15.7109375" style="45" customWidth="1"/>
    <col min="6" max="6" width="1.5703125" style="45" customWidth="1"/>
    <col min="7" max="7" width="19.140625" style="45" customWidth="1"/>
    <col min="8" max="8" width="2.42578125" style="45" customWidth="1"/>
    <col min="9" max="9" width="20.7109375" style="45" customWidth="1"/>
    <col min="10" max="10" width="4" style="45" customWidth="1"/>
    <col min="11" max="11" width="7.85546875" style="45" customWidth="1"/>
    <col min="12" max="12" width="6.5703125" style="45" customWidth="1"/>
    <col min="13" max="13" width="34.42578125" style="45" customWidth="1"/>
    <col min="14" max="14" width="8" style="45" customWidth="1"/>
    <col min="15" max="15" width="16.5703125" style="45" customWidth="1"/>
    <col min="16" max="16" width="2.7109375" style="45" customWidth="1"/>
    <col min="17" max="17" width="16" style="45" customWidth="1"/>
    <col min="18" max="18" width="8" style="45" customWidth="1"/>
    <col min="19" max="19" width="14.7109375" style="45" customWidth="1"/>
    <col min="20" max="20" width="9.7109375" style="45" customWidth="1"/>
    <col min="21" max="21" width="35.85546875" style="45" customWidth="1"/>
    <col min="22" max="16384" width="8" style="45"/>
  </cols>
  <sheetData>
    <row r="1" spans="1:20">
      <c r="A1" s="1241" t="str">
        <f>COMPANY</f>
        <v>DUKE ENERGY KENTUCKY, INC.</v>
      </c>
      <c r="B1" s="1242"/>
      <c r="C1" s="1242"/>
      <c r="D1" s="1242"/>
      <c r="E1" s="1242"/>
      <c r="F1" s="1242"/>
      <c r="G1" s="1242"/>
      <c r="H1" s="1242"/>
      <c r="I1" s="1242"/>
      <c r="J1" s="1243"/>
      <c r="K1" s="1243"/>
      <c r="L1" s="1243"/>
      <c r="M1" s="1243"/>
      <c r="N1" s="1243"/>
      <c r="O1" s="1243"/>
      <c r="P1" s="1243"/>
      <c r="Q1" s="1243"/>
      <c r="R1" s="1243"/>
      <c r="S1" s="1243"/>
      <c r="T1" s="1243"/>
    </row>
    <row r="2" spans="1:20">
      <c r="A2" s="1244" t="str">
        <f>CASE</f>
        <v>CASE NO. 2017-00321</v>
      </c>
      <c r="B2" s="1242"/>
      <c r="C2" s="1242"/>
      <c r="D2" s="1242"/>
      <c r="E2" s="1242"/>
      <c r="F2" s="1242"/>
      <c r="G2" s="1242"/>
      <c r="H2" s="1242"/>
      <c r="I2" s="1242"/>
      <c r="J2" s="1243"/>
      <c r="K2" s="1243"/>
      <c r="L2" s="1243"/>
      <c r="M2" s="1243"/>
      <c r="N2" s="1243"/>
      <c r="O2" s="1243"/>
      <c r="P2" s="1243"/>
      <c r="Q2" s="1243"/>
      <c r="R2" s="1243"/>
      <c r="S2" s="1243"/>
      <c r="T2" s="1243"/>
    </row>
    <row r="3" spans="1:20">
      <c r="A3" s="1244" t="s">
        <v>1855</v>
      </c>
      <c r="B3" s="1242"/>
      <c r="C3" s="1242"/>
      <c r="D3" s="1242"/>
      <c r="E3" s="1242"/>
      <c r="F3" s="1242"/>
      <c r="G3" s="1242"/>
      <c r="H3" s="1242"/>
      <c r="I3" s="1242"/>
      <c r="J3" s="1243"/>
      <c r="K3" s="1243"/>
      <c r="L3" s="1243"/>
      <c r="M3" s="1243"/>
      <c r="N3" s="1243"/>
      <c r="O3" s="1243"/>
      <c r="P3" s="1243"/>
      <c r="Q3" s="1243"/>
      <c r="R3" s="1243"/>
      <c r="S3" s="1243"/>
      <c r="T3" s="1243"/>
    </row>
    <row r="4" spans="1:20">
      <c r="A4" s="1244" t="str">
        <f>PERIOD</f>
        <v>FOR THE TWELVE MONTHS ENDED NOVEMBER 30, 2017</v>
      </c>
      <c r="B4" s="1242"/>
      <c r="C4" s="1242"/>
      <c r="D4" s="1242"/>
      <c r="E4" s="1242"/>
      <c r="F4" s="1242"/>
      <c r="G4" s="1242"/>
      <c r="H4" s="1242"/>
      <c r="I4" s="1242"/>
      <c r="J4" s="1243"/>
      <c r="K4" s="1243"/>
      <c r="L4" s="1243"/>
      <c r="M4" s="1243"/>
      <c r="N4" s="1243"/>
      <c r="O4" s="1243"/>
      <c r="P4" s="1243"/>
      <c r="Q4" s="1243"/>
      <c r="R4" s="1243"/>
      <c r="S4" s="1243"/>
      <c r="T4" s="1243"/>
    </row>
    <row r="5" spans="1:20">
      <c r="A5" s="1244" t="str">
        <f>PeriodF</f>
        <v>FOR THE TWELVE MONTHS ENDED MARCH 31, 2019</v>
      </c>
      <c r="B5" s="1242"/>
      <c r="C5" s="1242"/>
      <c r="D5" s="1242"/>
      <c r="E5" s="1242"/>
      <c r="F5" s="1242"/>
      <c r="G5" s="1242"/>
      <c r="H5" s="1242"/>
      <c r="I5" s="1242"/>
      <c r="J5" s="1243"/>
      <c r="K5" s="1243"/>
      <c r="L5" s="1243"/>
      <c r="M5" s="1243"/>
      <c r="N5" s="1243"/>
      <c r="O5" s="1243"/>
      <c r="P5" s="1243"/>
      <c r="Q5" s="1243"/>
      <c r="R5" s="1243"/>
      <c r="S5" s="1243"/>
      <c r="T5" s="1243"/>
    </row>
    <row r="6" spans="1:20">
      <c r="A6" s="1243"/>
      <c r="B6" s="1243"/>
      <c r="C6" s="1243"/>
      <c r="D6" s="1243"/>
      <c r="E6" s="1243"/>
      <c r="F6" s="1243"/>
      <c r="G6" s="1243"/>
      <c r="H6" s="1243"/>
      <c r="I6" s="1243"/>
      <c r="J6" s="1243"/>
      <c r="K6" s="1243"/>
      <c r="L6" s="1243"/>
      <c r="M6" s="1243"/>
      <c r="N6" s="1243"/>
      <c r="O6" s="1243"/>
      <c r="P6" s="1243"/>
      <c r="Q6" s="1243"/>
      <c r="R6" s="1243"/>
      <c r="S6" s="1243"/>
      <c r="T6" s="1243"/>
    </row>
    <row r="7" spans="1:20">
      <c r="A7" s="1245" t="str">
        <f>DataB</f>
        <v>DATA: "X" BASE PERIOD  "X" FORECASTED PERIOD</v>
      </c>
      <c r="B7" s="1243"/>
      <c r="C7" s="1243"/>
      <c r="D7" s="1243"/>
      <c r="E7" s="1243"/>
      <c r="F7" s="1243"/>
      <c r="G7" s="1243"/>
      <c r="H7" s="1246" t="s">
        <v>619</v>
      </c>
      <c r="I7" s="1243"/>
      <c r="J7" s="1243"/>
      <c r="K7" s="1243"/>
      <c r="L7" s="1243"/>
      <c r="M7" s="1243"/>
      <c r="N7" s="1243"/>
      <c r="O7" s="1243"/>
      <c r="P7" s="1243"/>
      <c r="Q7" s="1243"/>
      <c r="R7" s="1243"/>
      <c r="S7" s="1243"/>
      <c r="T7" s="1243"/>
    </row>
    <row r="8" spans="1:20">
      <c r="A8" s="1245" t="str">
        <f>Type</f>
        <v xml:space="preserve">TYPE OF FILING:  "X" ORIGINAL   UPDATED    REVISED  </v>
      </c>
      <c r="B8" s="1243"/>
      <c r="C8" s="1243"/>
      <c r="D8" s="1243"/>
      <c r="E8" s="1243"/>
      <c r="F8" s="1243"/>
      <c r="G8" s="1243"/>
      <c r="H8" s="1246" t="s">
        <v>620</v>
      </c>
      <c r="I8" s="1243"/>
      <c r="J8" s="1243"/>
      <c r="K8" s="1243"/>
      <c r="L8" s="1243"/>
      <c r="M8" s="1243"/>
      <c r="N8" s="1243"/>
      <c r="O8" s="1243"/>
      <c r="P8" s="1243"/>
      <c r="Q8" s="1243"/>
      <c r="R8" s="1243"/>
      <c r="S8" s="1243"/>
      <c r="T8" s="1243"/>
    </row>
    <row r="9" spans="1:20">
      <c r="A9" s="1246" t="s">
        <v>621</v>
      </c>
      <c r="B9" s="1243"/>
      <c r="C9" s="1243"/>
      <c r="D9" s="1243"/>
      <c r="E9" s="1243"/>
      <c r="F9" s="1243"/>
      <c r="G9" s="1243"/>
      <c r="H9" s="1246" t="s">
        <v>622</v>
      </c>
      <c r="I9" s="1243"/>
      <c r="J9" s="1243"/>
      <c r="K9" s="1243"/>
      <c r="L9" s="1243"/>
      <c r="M9" s="1243"/>
      <c r="N9" s="1243"/>
      <c r="O9" s="1243"/>
      <c r="P9" s="1243"/>
      <c r="Q9" s="1243"/>
      <c r="R9" s="1243"/>
      <c r="S9" s="1243"/>
      <c r="T9" s="1243"/>
    </row>
    <row r="10" spans="1:20">
      <c r="A10" s="1243"/>
      <c r="B10" s="1243"/>
      <c r="C10" s="1243"/>
      <c r="D10" s="1243"/>
      <c r="E10" s="1243"/>
      <c r="F10" s="1243"/>
      <c r="G10" s="1243"/>
      <c r="H10" s="1246" t="str">
        <f>LOGO!G6</f>
        <v>S. E. LAWLER</v>
      </c>
      <c r="I10" s="1243"/>
      <c r="J10" s="1243"/>
      <c r="K10" s="1243"/>
      <c r="L10" s="1243"/>
      <c r="M10" s="1243"/>
      <c r="N10" s="1243"/>
      <c r="O10" s="1243"/>
      <c r="P10" s="1243"/>
      <c r="Q10" s="1243"/>
      <c r="R10" s="1243"/>
      <c r="S10" s="1243"/>
      <c r="T10" s="1243"/>
    </row>
    <row r="11" spans="1:20">
      <c r="A11" s="1247"/>
      <c r="B11" s="1247"/>
      <c r="C11" s="1247"/>
      <c r="D11" s="1247"/>
      <c r="E11" s="1247"/>
      <c r="F11" s="1247"/>
      <c r="G11" s="1248"/>
      <c r="H11" s="1248"/>
      <c r="I11" s="1247"/>
      <c r="J11" s="1243"/>
      <c r="K11" s="1243"/>
      <c r="L11" s="1243"/>
      <c r="M11" s="1243"/>
      <c r="N11" s="1243"/>
      <c r="O11" s="1243"/>
      <c r="P11" s="1243"/>
      <c r="Q11" s="1243"/>
      <c r="R11" s="1243"/>
      <c r="S11" s="1243"/>
      <c r="T11" s="1243"/>
    </row>
    <row r="12" spans="1:20">
      <c r="A12" s="1243"/>
      <c r="B12" s="1243"/>
      <c r="C12" s="1243"/>
      <c r="D12" s="1243"/>
      <c r="E12" s="1249" t="s">
        <v>1856</v>
      </c>
      <c r="F12" s="1243"/>
      <c r="G12" s="1250" t="s">
        <v>1857</v>
      </c>
      <c r="H12" s="1244"/>
      <c r="I12" s="1251"/>
      <c r="J12" s="1243"/>
      <c r="K12" s="1243"/>
      <c r="L12" s="1243"/>
      <c r="M12" s="1243"/>
      <c r="N12" s="1243"/>
      <c r="O12" s="1243"/>
      <c r="P12" s="1243"/>
      <c r="Q12" s="1243"/>
      <c r="R12" s="1243"/>
      <c r="S12" s="1243"/>
      <c r="T12" s="1243"/>
    </row>
    <row r="13" spans="1:20">
      <c r="A13" s="1249" t="s">
        <v>1961</v>
      </c>
      <c r="B13" s="1243"/>
      <c r="C13" s="1243"/>
      <c r="D13" s="1243"/>
      <c r="E13" s="1249" t="s">
        <v>563</v>
      </c>
      <c r="F13" s="1243"/>
      <c r="G13" s="1249" t="s">
        <v>564</v>
      </c>
      <c r="H13" s="1243"/>
      <c r="I13" s="1252" t="s">
        <v>1143</v>
      </c>
      <c r="J13" s="1243"/>
      <c r="K13" s="1243"/>
      <c r="L13" s="1243"/>
      <c r="M13" s="1243"/>
      <c r="N13" s="1243"/>
      <c r="O13" s="1243"/>
      <c r="P13" s="1243"/>
      <c r="Q13" s="1243"/>
      <c r="R13" s="1243"/>
      <c r="S13" s="1243"/>
      <c r="T13" s="1243"/>
    </row>
    <row r="14" spans="1:20">
      <c r="A14" s="1249" t="s">
        <v>1854</v>
      </c>
      <c r="B14" s="1243"/>
      <c r="C14" s="1249" t="s">
        <v>566</v>
      </c>
      <c r="D14" s="1243"/>
      <c r="E14" s="1249" t="s">
        <v>567</v>
      </c>
      <c r="F14" s="1243"/>
      <c r="G14" s="1249" t="s">
        <v>568</v>
      </c>
      <c r="H14" s="1243"/>
      <c r="I14" s="1252" t="s">
        <v>568</v>
      </c>
      <c r="J14" s="1243"/>
      <c r="K14" s="1243"/>
      <c r="L14" s="1243"/>
      <c r="M14" s="1243"/>
      <c r="N14" s="1243"/>
      <c r="O14" s="1243"/>
      <c r="P14" s="1243"/>
      <c r="Q14" s="1243"/>
      <c r="R14" s="1243"/>
      <c r="S14" s="1243"/>
      <c r="T14" s="1243"/>
    </row>
    <row r="15" spans="1:20">
      <c r="A15" s="1247"/>
      <c r="B15" s="1247"/>
      <c r="C15" s="1247"/>
      <c r="D15" s="1247"/>
      <c r="E15" s="1247"/>
      <c r="F15" s="1247"/>
      <c r="G15" s="1247"/>
      <c r="H15" s="1247"/>
      <c r="I15" s="1248"/>
      <c r="J15" s="1243"/>
      <c r="K15" s="1243"/>
      <c r="L15" s="1243"/>
      <c r="M15" s="1243"/>
      <c r="N15" s="1243"/>
      <c r="O15" s="1243"/>
      <c r="P15" s="1243"/>
      <c r="Q15" s="1243"/>
      <c r="R15" s="1243"/>
      <c r="S15" s="1243"/>
      <c r="T15" s="1243"/>
    </row>
    <row r="16" spans="1:20">
      <c r="A16" s="1243"/>
      <c r="B16" s="1243"/>
      <c r="C16" s="1243"/>
      <c r="D16" s="1243"/>
      <c r="E16" s="1243"/>
      <c r="F16" s="1243"/>
      <c r="G16" s="1243"/>
      <c r="H16" s="1243"/>
      <c r="I16" s="1243"/>
      <c r="J16" s="1243"/>
      <c r="K16" s="1243"/>
      <c r="L16" s="1243"/>
      <c r="M16" s="1243"/>
      <c r="N16" s="1243"/>
      <c r="O16" s="1243"/>
      <c r="P16" s="1243"/>
      <c r="Q16" s="1243"/>
      <c r="R16" s="1243"/>
      <c r="S16" s="1243"/>
      <c r="T16" s="1243"/>
    </row>
    <row r="17" spans="1:20">
      <c r="A17" s="1249">
        <v>1</v>
      </c>
      <c r="B17" s="1243"/>
      <c r="C17" s="1253" t="s">
        <v>392</v>
      </c>
      <c r="D17" s="1243"/>
      <c r="E17" s="1254" t="s">
        <v>1488</v>
      </c>
      <c r="F17" s="1243"/>
      <c r="G17" s="1255">
        <f>SCH_A!Q72</f>
        <v>565195503</v>
      </c>
      <c r="H17" s="1243"/>
      <c r="I17" s="1256">
        <f ca="1">SCH_A!Q112</f>
        <v>705051140</v>
      </c>
      <c r="J17" s="1243"/>
      <c r="K17" s="1243"/>
      <c r="L17" s="1243"/>
      <c r="M17" s="1294"/>
      <c r="N17" s="1243"/>
      <c r="O17" s="1243"/>
      <c r="P17" s="1243"/>
      <c r="Q17" s="1243"/>
      <c r="R17" s="1243"/>
      <c r="S17" s="1243"/>
      <c r="T17" s="1243"/>
    </row>
    <row r="18" spans="1:20">
      <c r="A18" s="1252"/>
      <c r="B18" s="1243"/>
      <c r="C18" s="1257"/>
      <c r="D18" s="1243"/>
      <c r="E18" s="1255"/>
      <c r="F18" s="1243"/>
      <c r="G18" s="1255"/>
      <c r="H18" s="1243"/>
      <c r="I18" s="1243"/>
      <c r="J18" s="1243"/>
      <c r="K18" s="1243"/>
      <c r="L18" s="1243"/>
      <c r="M18" s="1294"/>
      <c r="N18" s="1243"/>
      <c r="O18" s="1243"/>
      <c r="P18" s="1243"/>
      <c r="Q18" s="1243"/>
      <c r="R18" s="1243"/>
      <c r="S18" s="1243"/>
      <c r="T18" s="1243"/>
    </row>
    <row r="19" spans="1:20">
      <c r="A19" s="1249">
        <v>2</v>
      </c>
      <c r="B19" s="1243"/>
      <c r="C19" s="1253" t="s">
        <v>569</v>
      </c>
      <c r="D19" s="1243"/>
      <c r="E19" s="1249" t="s">
        <v>94</v>
      </c>
      <c r="F19" s="1243"/>
      <c r="G19" s="1255">
        <f>SCH_C2!E59</f>
        <v>36387908</v>
      </c>
      <c r="H19" s="1243"/>
      <c r="I19" s="1255">
        <f ca="1">SCH_C2!N59</f>
        <v>20091071</v>
      </c>
      <c r="J19" s="1243"/>
      <c r="K19" s="1243"/>
      <c r="L19" s="1243"/>
      <c r="M19" s="1243"/>
      <c r="N19" s="1243"/>
      <c r="O19" s="1243"/>
      <c r="P19" s="1243"/>
      <c r="Q19" s="1243"/>
      <c r="R19" s="1243"/>
      <c r="S19" s="1243"/>
      <c r="T19" s="1243"/>
    </row>
    <row r="20" spans="1:20">
      <c r="A20" s="1249"/>
      <c r="B20" s="1243"/>
      <c r="C20" s="1257"/>
      <c r="D20" s="1243"/>
      <c r="E20" s="1243"/>
      <c r="F20" s="1243"/>
      <c r="G20" s="1255"/>
      <c r="H20" s="1243"/>
      <c r="I20" s="1243"/>
      <c r="J20" s="1243"/>
      <c r="K20" s="1243"/>
      <c r="L20" s="1243"/>
      <c r="M20" s="1243"/>
      <c r="N20" s="1243"/>
      <c r="O20" s="1243"/>
      <c r="P20" s="1243"/>
      <c r="Q20" s="1243"/>
      <c r="R20" s="1243"/>
      <c r="S20" s="1243"/>
      <c r="T20" s="1243"/>
    </row>
    <row r="21" spans="1:20">
      <c r="A21" s="1252">
        <v>3</v>
      </c>
      <c r="B21" s="1243"/>
      <c r="C21" s="1253" t="s">
        <v>571</v>
      </c>
      <c r="D21" s="1243"/>
      <c r="E21" s="1255"/>
      <c r="F21" s="1243"/>
      <c r="G21" s="2672">
        <f>ROUND(G19/G17,5)</f>
        <v>6.4380000000000007E-2</v>
      </c>
      <c r="H21" s="2673"/>
      <c r="I21" s="2672">
        <f ca="1">ROUND(I19/I17,5)</f>
        <v>2.8500000000000001E-2</v>
      </c>
      <c r="J21" s="1243"/>
      <c r="K21" s="1243"/>
      <c r="L21" s="1243"/>
      <c r="M21" s="1243"/>
      <c r="N21" s="1243"/>
      <c r="O21" s="1243"/>
      <c r="P21" s="1243"/>
      <c r="Q21" s="1243"/>
      <c r="R21" s="1243"/>
      <c r="S21" s="1243"/>
      <c r="T21" s="1243"/>
    </row>
    <row r="22" spans="1:20">
      <c r="A22" s="1249"/>
      <c r="B22" s="1243"/>
      <c r="C22" s="1257"/>
      <c r="D22" s="1243"/>
      <c r="E22" s="1255"/>
      <c r="F22" s="1243"/>
      <c r="G22" s="1255"/>
      <c r="H22" s="1243"/>
      <c r="I22" s="1243"/>
      <c r="J22" s="1243"/>
      <c r="K22" s="1243"/>
      <c r="L22" s="1243"/>
      <c r="M22" s="1243"/>
      <c r="N22" s="1243"/>
      <c r="O22" s="1243"/>
      <c r="P22" s="1243"/>
      <c r="Q22" s="1243"/>
      <c r="R22" s="1243"/>
      <c r="S22" s="1243"/>
      <c r="T22" s="1243"/>
    </row>
    <row r="23" spans="1:20">
      <c r="A23" s="1252">
        <v>4</v>
      </c>
      <c r="B23" s="1243"/>
      <c r="C23" s="1253" t="s">
        <v>526</v>
      </c>
      <c r="D23" s="1243"/>
      <c r="E23" s="1249" t="s">
        <v>527</v>
      </c>
      <c r="F23" s="1243"/>
      <c r="G23" s="1258">
        <f>'SCH_J1 - Base'!M33</f>
        <v>7.2079999999999991E-2</v>
      </c>
      <c r="H23" s="1243"/>
      <c r="I23" s="1258">
        <f>'SCH_J1 - Forecast'!M34</f>
        <v>7.0830000000000004E-2</v>
      </c>
      <c r="J23" s="1243"/>
      <c r="K23" s="1243"/>
      <c r="L23" s="1243"/>
      <c r="M23" s="1243"/>
      <c r="N23" s="1243"/>
      <c r="O23" s="1243"/>
      <c r="P23" s="1243"/>
      <c r="Q23" s="1243"/>
      <c r="R23" s="1243"/>
      <c r="S23" s="1243"/>
      <c r="T23" s="1243"/>
    </row>
    <row r="24" spans="1:20">
      <c r="A24" s="1249"/>
      <c r="B24" s="1243"/>
      <c r="C24" s="1257"/>
      <c r="D24" s="1243"/>
      <c r="E24" s="1255"/>
      <c r="F24" s="1243"/>
      <c r="G24" s="1255"/>
      <c r="H24" s="1243"/>
      <c r="I24" s="1243"/>
      <c r="J24" s="1243"/>
      <c r="K24" s="1243"/>
      <c r="L24" s="1243"/>
      <c r="M24" s="1243"/>
      <c r="N24" s="1243"/>
      <c r="O24" s="1243"/>
      <c r="P24" s="1243"/>
      <c r="Q24" s="1243"/>
      <c r="R24" s="1243"/>
      <c r="S24" s="1243"/>
      <c r="T24" s="1243"/>
    </row>
    <row r="25" spans="1:20">
      <c r="A25" s="1249">
        <v>5</v>
      </c>
      <c r="B25" s="1243"/>
      <c r="C25" s="1253" t="s">
        <v>528</v>
      </c>
      <c r="D25" s="1243"/>
      <c r="E25" s="1255"/>
      <c r="F25" s="1243"/>
      <c r="G25" s="1255">
        <f>ROUND(G17*G23,0)</f>
        <v>40739292</v>
      </c>
      <c r="H25" s="1243"/>
      <c r="I25" s="1255">
        <f ca="1">ROUND(I17*I23,0)</f>
        <v>49938772</v>
      </c>
      <c r="J25" s="1243"/>
      <c r="K25" s="1243"/>
      <c r="L25" s="1243"/>
      <c r="M25" s="1243"/>
      <c r="N25" s="1243"/>
      <c r="O25" s="1243"/>
      <c r="P25" s="1243"/>
      <c r="Q25" s="1243"/>
      <c r="R25" s="1243"/>
      <c r="S25" s="1243"/>
      <c r="T25" s="1243"/>
    </row>
    <row r="26" spans="1:20">
      <c r="A26" s="1249" t="s">
        <v>529</v>
      </c>
      <c r="B26" s="1243"/>
      <c r="C26" s="1257"/>
      <c r="D26" s="1243"/>
      <c r="E26" s="1255"/>
      <c r="F26" s="1243"/>
      <c r="G26" s="1255"/>
      <c r="H26" s="1243"/>
      <c r="I26" s="1243"/>
      <c r="J26" s="1243"/>
      <c r="K26" s="1243"/>
      <c r="L26" s="1243"/>
      <c r="M26" s="1243"/>
      <c r="N26" s="1243"/>
      <c r="O26" s="1243"/>
      <c r="P26" s="1243"/>
      <c r="Q26" s="1243"/>
      <c r="R26" s="1243"/>
      <c r="S26" s="1243"/>
      <c r="T26" s="1243"/>
    </row>
    <row r="27" spans="1:20">
      <c r="A27" s="1252">
        <v>6</v>
      </c>
      <c r="B27" s="1243"/>
      <c r="C27" s="1253" t="s">
        <v>530</v>
      </c>
      <c r="D27" s="1243"/>
      <c r="E27" s="1255"/>
      <c r="F27" s="1243"/>
      <c r="G27" s="1255">
        <f>G25-G19</f>
        <v>4351384</v>
      </c>
      <c r="H27" s="1243"/>
      <c r="I27" s="1255">
        <f ca="1">I25-I19</f>
        <v>29847701</v>
      </c>
      <c r="J27" s="1243"/>
      <c r="K27" s="1243"/>
      <c r="L27" s="1243"/>
      <c r="M27" s="1243"/>
      <c r="N27" s="1243"/>
      <c r="O27" s="1243"/>
      <c r="P27" s="1243"/>
      <c r="Q27" s="1243"/>
      <c r="R27" s="1243"/>
      <c r="S27" s="1243"/>
      <c r="T27" s="1243"/>
    </row>
    <row r="28" spans="1:20">
      <c r="A28" s="1249" t="s">
        <v>529</v>
      </c>
      <c r="B28" s="1243"/>
      <c r="C28" s="1257"/>
      <c r="D28" s="1243"/>
      <c r="E28" s="1255"/>
      <c r="F28" s="1243"/>
      <c r="G28" s="1255"/>
      <c r="H28" s="1243"/>
      <c r="I28" s="1243"/>
      <c r="J28" s="1243"/>
      <c r="K28" s="1243"/>
      <c r="L28" s="1243"/>
      <c r="M28" s="1243"/>
      <c r="N28" s="1243"/>
      <c r="O28" s="1243"/>
      <c r="P28" s="1243"/>
      <c r="Q28" s="1243"/>
      <c r="R28" s="1243"/>
      <c r="S28" s="1243"/>
      <c r="T28" s="1243"/>
    </row>
    <row r="29" spans="1:20">
      <c r="A29" s="1249">
        <v>7</v>
      </c>
      <c r="B29" s="1243"/>
      <c r="C29" s="1253" t="s">
        <v>531</v>
      </c>
      <c r="D29" s="1243"/>
      <c r="E29" s="1254" t="s">
        <v>1752</v>
      </c>
      <c r="F29" s="1243"/>
      <c r="G29" s="1259">
        <f>SCH_H!$I$34</f>
        <v>1.6298147000000001</v>
      </c>
      <c r="H29" s="1243"/>
      <c r="I29" s="1259">
        <f>SCH_H!I72</f>
        <v>1.6298147000000001</v>
      </c>
      <c r="J29" s="1243"/>
      <c r="K29" s="1243"/>
      <c r="L29" s="1243"/>
      <c r="M29" s="1243"/>
      <c r="N29" s="1243"/>
      <c r="O29" s="1243"/>
      <c r="P29" s="1243"/>
      <c r="Q29" s="1243"/>
      <c r="R29" s="1243"/>
      <c r="S29" s="1243"/>
      <c r="T29" s="1243"/>
    </row>
    <row r="30" spans="1:20">
      <c r="A30" s="1252"/>
      <c r="B30" s="1243"/>
      <c r="C30" s="1257"/>
      <c r="D30" s="1243"/>
      <c r="E30" s="1255"/>
      <c r="F30" s="1243"/>
      <c r="G30" s="1255"/>
      <c r="H30" s="1243"/>
      <c r="I30" s="1243"/>
      <c r="J30" s="1243"/>
      <c r="K30" s="1243"/>
      <c r="L30" s="1243"/>
      <c r="M30" s="1243"/>
      <c r="N30" s="1243"/>
      <c r="O30" s="1243"/>
      <c r="P30" s="1243"/>
      <c r="Q30" s="1243"/>
      <c r="R30" s="1243"/>
      <c r="S30" s="1243"/>
      <c r="T30" s="1243"/>
    </row>
    <row r="31" spans="1:20">
      <c r="A31" s="1249">
        <v>8</v>
      </c>
      <c r="B31" s="1243"/>
      <c r="C31" s="1253" t="s">
        <v>1085</v>
      </c>
      <c r="D31" s="1243"/>
      <c r="E31" s="1255"/>
      <c r="F31" s="1243"/>
      <c r="G31" s="1255">
        <f>ROUND(G29*G27,0)</f>
        <v>7091950</v>
      </c>
      <c r="H31" s="1243"/>
      <c r="I31" s="1255">
        <f ca="1">ROUND(I29*I27,0)</f>
        <v>48646222</v>
      </c>
      <c r="J31" s="1243"/>
      <c r="K31" s="1243"/>
      <c r="L31" s="1243"/>
      <c r="M31" s="1243"/>
      <c r="N31" s="1243"/>
      <c r="O31" s="1243"/>
      <c r="P31" s="1243"/>
      <c r="Q31" s="1243"/>
      <c r="R31" s="1243"/>
      <c r="S31" s="1243"/>
      <c r="T31" s="1243"/>
    </row>
    <row r="32" spans="1:20">
      <c r="A32" s="1249"/>
      <c r="B32" s="1243"/>
      <c r="C32" s="1257"/>
      <c r="D32" s="1243"/>
      <c r="E32" s="1243"/>
      <c r="F32" s="1243"/>
      <c r="G32" s="1255"/>
      <c r="H32" s="1243"/>
      <c r="I32" s="1255"/>
      <c r="J32" s="1243"/>
      <c r="K32" s="1243"/>
      <c r="L32" s="1243"/>
      <c r="M32" s="1243"/>
      <c r="N32" s="1243"/>
      <c r="O32" s="1243"/>
      <c r="P32" s="1243"/>
      <c r="Q32" s="1243"/>
      <c r="R32" s="1243"/>
      <c r="S32" s="1243"/>
      <c r="T32" s="1243"/>
    </row>
    <row r="33" spans="1:20">
      <c r="A33" s="1252">
        <v>9</v>
      </c>
      <c r="B33" s="1243"/>
      <c r="C33" s="1253" t="s">
        <v>2581</v>
      </c>
      <c r="D33" s="1243"/>
      <c r="E33" s="1254" t="s">
        <v>570</v>
      </c>
      <c r="F33" s="1243"/>
      <c r="G33" s="1254" t="s">
        <v>1940</v>
      </c>
      <c r="H33" s="1243"/>
      <c r="I33" s="1255">
        <f>MINCR</f>
        <v>48646213</v>
      </c>
      <c r="J33" s="1260"/>
      <c r="K33" s="1243"/>
      <c r="L33" s="1243"/>
      <c r="M33" s="1243"/>
      <c r="N33" s="1243"/>
      <c r="O33" s="1243"/>
      <c r="P33" s="1243"/>
      <c r="Q33" s="1243"/>
      <c r="R33" s="1243"/>
      <c r="S33" s="1243"/>
      <c r="T33" s="1243"/>
    </row>
    <row r="34" spans="1:20">
      <c r="A34" s="1249"/>
      <c r="B34" s="1243"/>
      <c r="C34" s="1253"/>
      <c r="D34" s="1243"/>
      <c r="E34" s="1243"/>
      <c r="F34" s="1243"/>
      <c r="G34" s="1255"/>
      <c r="H34" s="1243"/>
      <c r="I34" s="1255"/>
      <c r="J34" s="1243"/>
      <c r="K34" s="1243"/>
      <c r="L34" s="1243"/>
      <c r="M34" s="1243"/>
      <c r="N34" s="1243"/>
      <c r="O34" s="1243"/>
      <c r="P34" s="1243"/>
      <c r="Q34" s="1243"/>
      <c r="R34" s="1243"/>
      <c r="S34" s="1243"/>
      <c r="T34" s="1243"/>
    </row>
    <row r="35" spans="1:20">
      <c r="A35" s="1249">
        <v>10</v>
      </c>
      <c r="B35" s="1243"/>
      <c r="C35" s="1253" t="s">
        <v>1460</v>
      </c>
      <c r="D35" s="1243"/>
      <c r="E35" s="1249" t="s">
        <v>570</v>
      </c>
      <c r="F35" s="1243"/>
      <c r="G35" s="1254" t="s">
        <v>1940</v>
      </c>
      <c r="H35" s="1243"/>
      <c r="I35" s="1255">
        <f ca="1">SCH_C1!E17</f>
        <v>308857946</v>
      </c>
      <c r="J35" s="1243"/>
      <c r="K35" s="1243"/>
      <c r="L35" s="1243"/>
      <c r="M35" s="1243"/>
      <c r="N35" s="1243"/>
      <c r="O35" s="1243"/>
      <c r="P35" s="1243"/>
      <c r="Q35" s="1243"/>
      <c r="R35" s="1243"/>
      <c r="S35" s="1243"/>
      <c r="T35" s="1243"/>
    </row>
    <row r="36" spans="1:20">
      <c r="A36" s="1252"/>
      <c r="B36" s="1243"/>
      <c r="C36" s="1257"/>
      <c r="D36" s="1243"/>
      <c r="E36" s="1243"/>
      <c r="F36" s="1243"/>
      <c r="G36" s="1243"/>
      <c r="H36" s="1243"/>
      <c r="I36" s="1243"/>
      <c r="J36" s="1243"/>
      <c r="K36" s="1243"/>
      <c r="L36" s="1243"/>
      <c r="M36" s="1243"/>
      <c r="N36" s="1243"/>
      <c r="O36" s="1243"/>
      <c r="P36" s="1243"/>
      <c r="Q36" s="1243"/>
      <c r="R36" s="1243"/>
      <c r="S36" s="1243"/>
      <c r="T36" s="1243"/>
    </row>
    <row r="37" spans="1:20">
      <c r="A37" s="1249">
        <v>11</v>
      </c>
      <c r="B37" s="1243"/>
      <c r="C37" s="1253" t="s">
        <v>2582</v>
      </c>
      <c r="D37" s="1243"/>
      <c r="E37" s="1243"/>
      <c r="F37" s="1243"/>
      <c r="G37" s="1254" t="s">
        <v>1940</v>
      </c>
      <c r="H37" s="1243"/>
      <c r="I37" s="1255">
        <f ca="1">I33+I35</f>
        <v>357504159</v>
      </c>
      <c r="J37" s="1243"/>
      <c r="K37" s="1243"/>
      <c r="L37" s="1243"/>
      <c r="M37" s="1243"/>
      <c r="N37" s="1243"/>
      <c r="O37" s="1243"/>
      <c r="P37" s="1243"/>
      <c r="Q37" s="1243"/>
      <c r="R37" s="1243"/>
      <c r="S37" s="1243"/>
      <c r="T37" s="1243"/>
    </row>
    <row r="38" spans="1:20">
      <c r="A38" s="1252"/>
      <c r="B38" s="1243"/>
      <c r="C38" s="1257"/>
      <c r="D38" s="1243"/>
      <c r="E38" s="1255"/>
      <c r="F38" s="1243"/>
      <c r="G38" s="1243"/>
      <c r="H38" s="1243"/>
      <c r="I38" s="1243"/>
      <c r="J38" s="1243"/>
      <c r="K38" s="1243"/>
      <c r="L38" s="1243"/>
      <c r="M38" s="1243"/>
      <c r="N38" s="1243"/>
      <c r="O38" s="1243"/>
      <c r="P38" s="1243"/>
      <c r="Q38" s="1243"/>
      <c r="R38" s="1243"/>
      <c r="S38" s="1243"/>
      <c r="T38" s="1243"/>
    </row>
    <row r="39" spans="1:20">
      <c r="A39" s="1243"/>
      <c r="B39" s="1243"/>
      <c r="C39" s="1257"/>
      <c r="D39" s="1243"/>
      <c r="E39" s="1243"/>
      <c r="F39" s="1243"/>
      <c r="G39" s="1243"/>
      <c r="H39" s="1243"/>
      <c r="I39" s="1255"/>
      <c r="J39" s="1262"/>
    </row>
    <row r="40" spans="1:20">
      <c r="A40" s="1243"/>
      <c r="B40" s="1243"/>
      <c r="C40" s="1257"/>
      <c r="D40" s="1243"/>
      <c r="E40" s="1243"/>
      <c r="F40" s="1243"/>
      <c r="G40" s="1243"/>
      <c r="H40" s="1243"/>
      <c r="I40" s="1255"/>
      <c r="J40" s="1263"/>
    </row>
    <row r="41" spans="1:20">
      <c r="A41" s="1243"/>
      <c r="B41" s="1243"/>
      <c r="C41" s="1257"/>
      <c r="D41" s="1243"/>
      <c r="E41" s="1243"/>
      <c r="F41" s="1243"/>
      <c r="G41" s="1243"/>
      <c r="H41" s="1243"/>
      <c r="I41" s="1255"/>
      <c r="J41" s="1261"/>
    </row>
    <row r="42" spans="1:20">
      <c r="A42" s="1243"/>
      <c r="B42" s="1243"/>
      <c r="C42" s="1257"/>
      <c r="D42" s="1243"/>
      <c r="E42" s="1243"/>
      <c r="F42" s="1243"/>
      <c r="G42" s="1243"/>
      <c r="H42" s="1243"/>
      <c r="I42" s="1255"/>
      <c r="J42" s="1264"/>
    </row>
    <row r="43" spans="1:20">
      <c r="A43" s="1243"/>
      <c r="B43" s="1243"/>
      <c r="C43" s="1257"/>
      <c r="D43" s="1243"/>
      <c r="E43" s="1243"/>
      <c r="F43" s="1243"/>
      <c r="G43" s="1243"/>
      <c r="H43" s="1243"/>
      <c r="I43" s="1255"/>
      <c r="J43" s="1261"/>
    </row>
    <row r="44" spans="1:20">
      <c r="A44" s="1243"/>
      <c r="B44" s="1243"/>
      <c r="C44" s="1257"/>
      <c r="D44" s="1243"/>
      <c r="E44" s="1243"/>
      <c r="F44" s="1243"/>
      <c r="G44" s="1243"/>
      <c r="H44" s="1243"/>
      <c r="I44" s="1255"/>
      <c r="J44" s="1265"/>
    </row>
    <row r="45" spans="1:20">
      <c r="A45" s="1243"/>
      <c r="B45" s="1243"/>
      <c r="C45" s="1257"/>
      <c r="D45" s="1243"/>
      <c r="E45" s="1243"/>
      <c r="F45" s="1243"/>
      <c r="G45" s="1243"/>
      <c r="H45" s="1243"/>
      <c r="I45" s="1255"/>
      <c r="J45" s="1265"/>
    </row>
    <row r="46" spans="1:20">
      <c r="A46" s="1243"/>
      <c r="B46" s="1243"/>
      <c r="C46" s="1243"/>
      <c r="D46" s="1243"/>
      <c r="E46" s="1243"/>
      <c r="F46" s="1243"/>
      <c r="G46" s="1243"/>
      <c r="H46" s="1243"/>
      <c r="I46" s="1255"/>
      <c r="J46" s="1264"/>
      <c r="K46" s="1167" t="str">
        <f>COMPANY</f>
        <v>DUKE ENERGY KENTUCKY, INC.</v>
      </c>
      <c r="L46" s="1167"/>
      <c r="M46" s="1328"/>
      <c r="N46" s="1328"/>
      <c r="O46" s="1328"/>
      <c r="P46" s="1328"/>
      <c r="Q46" s="1168" t="s">
        <v>1865</v>
      </c>
      <c r="R46" s="1328"/>
      <c r="S46" s="652"/>
      <c r="T46" s="1261"/>
    </row>
    <row r="47" spans="1:20">
      <c r="A47" s="1243"/>
      <c r="B47" s="1243"/>
      <c r="C47" s="1243"/>
      <c r="D47" s="1243"/>
      <c r="E47" s="1243"/>
      <c r="F47" s="1243"/>
      <c r="G47" s="1243"/>
      <c r="H47" s="1243"/>
      <c r="I47" s="1255"/>
      <c r="J47" s="1261"/>
      <c r="K47" s="1167" t="str">
        <f>DEPT</f>
        <v>ELECTRIC DEPARTMENT</v>
      </c>
      <c r="L47" s="1167"/>
      <c r="M47" s="1328"/>
      <c r="N47" s="1328"/>
      <c r="O47" s="1328"/>
      <c r="P47" s="1328"/>
      <c r="Q47" s="1168" t="s">
        <v>622</v>
      </c>
      <c r="R47" s="1328"/>
      <c r="S47" s="652"/>
      <c r="T47" s="1261"/>
    </row>
    <row r="48" spans="1:20">
      <c r="A48" s="1243"/>
      <c r="B48" s="1243"/>
      <c r="C48" s="1243"/>
      <c r="D48" s="1243"/>
      <c r="E48" s="1243"/>
      <c r="F48" s="1243"/>
      <c r="G48" s="1243"/>
      <c r="H48" s="1243"/>
      <c r="I48" s="1255"/>
      <c r="J48" s="1261"/>
      <c r="K48" s="1167" t="str">
        <f>CASE</f>
        <v>CASE NO. 2017-00321</v>
      </c>
      <c r="L48" s="1167"/>
      <c r="M48" s="1328"/>
      <c r="N48" s="1328"/>
      <c r="O48" s="1328"/>
      <c r="P48" s="1328"/>
      <c r="Q48" s="407" t="str">
        <f>_WIT1</f>
        <v>S. E. LAWLER</v>
      </c>
      <c r="R48" s="1328"/>
      <c r="S48" s="652"/>
      <c r="T48" s="1261"/>
    </row>
    <row r="49" spans="1:20">
      <c r="A49" s="1243"/>
      <c r="B49" s="1243"/>
      <c r="C49" s="1243"/>
      <c r="D49" s="1243"/>
      <c r="E49" s="1243"/>
      <c r="F49" s="1243"/>
      <c r="G49" s="1243"/>
      <c r="H49" s="1243"/>
      <c r="I49" s="1255"/>
      <c r="J49" s="1261"/>
      <c r="K49" s="1328" t="str">
        <f>Data</f>
        <v>DATA: "X" BASE PERIOD   FORECASTED PERIOD</v>
      </c>
      <c r="L49" s="1328"/>
      <c r="M49" s="1328"/>
      <c r="N49" s="1328"/>
      <c r="O49" s="1328"/>
      <c r="P49" s="1328"/>
      <c r="Q49" s="1328"/>
      <c r="R49" s="1328"/>
      <c r="S49" s="1328"/>
      <c r="T49" s="1261"/>
    </row>
    <row r="50" spans="1:20">
      <c r="A50" s="1243"/>
      <c r="B50" s="1243"/>
      <c r="C50" s="1243"/>
      <c r="D50" s="1243"/>
      <c r="E50" s="1243"/>
      <c r="F50" s="1243"/>
      <c r="G50" s="1243"/>
      <c r="H50" s="1243"/>
      <c r="I50" s="1255"/>
      <c r="J50" s="1261"/>
      <c r="K50" s="1169" t="s">
        <v>1040</v>
      </c>
      <c r="L50" s="1169"/>
      <c r="M50" s="1328"/>
      <c r="N50" s="1328"/>
      <c r="O50" s="1328"/>
      <c r="P50" s="1328"/>
      <c r="Q50" s="1328"/>
      <c r="R50" s="1328"/>
      <c r="S50" s="1328"/>
      <c r="T50" s="1264"/>
    </row>
    <row r="51" spans="1:20">
      <c r="A51" s="1243"/>
      <c r="B51" s="1243"/>
      <c r="C51" s="1243"/>
      <c r="D51" s="1243"/>
      <c r="E51" s="1243"/>
      <c r="F51" s="1243"/>
      <c r="G51" s="1243"/>
      <c r="H51" s="1243"/>
      <c r="I51" s="1255"/>
      <c r="J51" s="1263"/>
      <c r="K51" s="1328"/>
      <c r="L51" s="1328"/>
      <c r="M51" s="1328"/>
      <c r="N51" s="1328"/>
      <c r="O51" s="1328"/>
      <c r="P51" s="1328"/>
      <c r="Q51" s="1328"/>
      <c r="R51" s="1328"/>
      <c r="S51" s="1328"/>
      <c r="T51" s="1261"/>
    </row>
    <row r="52" spans="1:20">
      <c r="A52" s="1243"/>
      <c r="B52" s="1243"/>
      <c r="C52" s="1243"/>
      <c r="D52" s="1243"/>
      <c r="E52" s="1243"/>
      <c r="F52" s="1243"/>
      <c r="G52" s="1243"/>
      <c r="H52" s="1243"/>
      <c r="I52" s="1255"/>
      <c r="J52" s="1261"/>
      <c r="K52" s="1328"/>
      <c r="L52" s="1328"/>
      <c r="M52" s="1328"/>
      <c r="N52" s="1328"/>
      <c r="O52" s="1328"/>
      <c r="P52" s="1328"/>
      <c r="Q52" s="1328"/>
      <c r="R52" s="1328"/>
      <c r="S52" s="1328"/>
      <c r="T52" s="1261"/>
    </row>
    <row r="53" spans="1:20">
      <c r="A53" s="1243"/>
      <c r="B53" s="1243"/>
      <c r="C53" s="1243"/>
      <c r="D53" s="1243"/>
      <c r="E53" s="1243"/>
      <c r="F53" s="1243"/>
      <c r="G53" s="1243"/>
      <c r="H53" s="1243"/>
      <c r="I53" s="1255"/>
      <c r="J53" s="1261"/>
      <c r="K53" s="1328"/>
      <c r="L53" s="1328"/>
      <c r="M53" s="1328"/>
      <c r="N53" s="1328"/>
      <c r="O53" s="1170"/>
      <c r="P53" s="1170"/>
      <c r="Q53" s="1170"/>
      <c r="R53" s="1328"/>
      <c r="S53" s="1328"/>
      <c r="T53" s="1261"/>
    </row>
    <row r="54" spans="1:20">
      <c r="A54" s="1243"/>
      <c r="B54" s="1243"/>
      <c r="C54" s="1243"/>
      <c r="D54" s="1243"/>
      <c r="E54" s="1243"/>
      <c r="F54" s="1243"/>
      <c r="G54" s="1243"/>
      <c r="H54" s="1243"/>
      <c r="I54" s="1255"/>
      <c r="J54" s="1261"/>
      <c r="K54" s="1171" t="s">
        <v>1240</v>
      </c>
      <c r="L54" s="1171"/>
      <c r="M54" s="1171"/>
      <c r="N54" s="1171"/>
      <c r="O54" s="1172" t="s">
        <v>491</v>
      </c>
      <c r="P54" s="1172"/>
      <c r="Q54" s="1172"/>
      <c r="R54" s="1173"/>
      <c r="S54" s="688"/>
      <c r="T54" s="1264"/>
    </row>
    <row r="55" spans="1:20">
      <c r="A55" s="1243"/>
      <c r="B55" s="1243"/>
      <c r="C55" s="1243"/>
      <c r="D55" s="1243"/>
      <c r="E55" s="1243"/>
      <c r="F55" s="1243"/>
      <c r="G55" s="1243"/>
      <c r="H55" s="1243"/>
      <c r="I55" s="1255"/>
      <c r="J55" s="1261"/>
      <c r="K55" s="1173" t="s">
        <v>1241</v>
      </c>
      <c r="L55" s="1173"/>
      <c r="M55" s="1173" t="s">
        <v>1119</v>
      </c>
      <c r="N55" s="1173"/>
      <c r="O55" s="1173" t="s">
        <v>1929</v>
      </c>
      <c r="P55" s="1173"/>
      <c r="Q55" s="1173" t="s">
        <v>1748</v>
      </c>
      <c r="R55" s="1173"/>
      <c r="S55" s="688"/>
      <c r="T55" s="1261"/>
    </row>
    <row r="56" spans="1:20">
      <c r="A56" s="1243"/>
      <c r="B56" s="1243"/>
      <c r="C56" s="1243"/>
      <c r="D56" s="1243"/>
      <c r="E56" s="1243"/>
      <c r="F56" s="1243"/>
      <c r="G56" s="1243"/>
      <c r="H56" s="1243"/>
      <c r="I56" s="1255"/>
      <c r="J56" s="1261"/>
      <c r="K56" s="1328"/>
      <c r="L56" s="1328"/>
      <c r="M56" s="1328"/>
      <c r="N56" s="1328"/>
      <c r="O56" s="1328"/>
      <c r="P56" s="1328"/>
      <c r="Q56" s="1328"/>
      <c r="R56" s="1328"/>
      <c r="S56" s="688"/>
      <c r="T56" s="1261"/>
    </row>
    <row r="57" spans="1:20">
      <c r="A57" s="1243"/>
      <c r="B57" s="1243"/>
      <c r="C57" s="1243"/>
      <c r="D57" s="1243"/>
      <c r="E57" s="1243"/>
      <c r="F57" s="1243"/>
      <c r="G57" s="1243"/>
      <c r="H57" s="1243"/>
      <c r="I57" s="1255"/>
      <c r="J57" s="1261"/>
      <c r="K57" s="1171">
        <v>1</v>
      </c>
      <c r="L57" s="1328" t="s">
        <v>92</v>
      </c>
      <c r="M57" s="1243"/>
      <c r="N57" s="1266" t="s">
        <v>365</v>
      </c>
      <c r="O57" s="1174">
        <f>'SCH_J1 - Base'!G20</f>
        <v>961046901</v>
      </c>
      <c r="P57" s="1328"/>
      <c r="Q57" s="1328"/>
      <c r="R57" s="1328"/>
      <c r="S57" s="688"/>
      <c r="T57" s="1261"/>
    </row>
    <row r="58" spans="1:20">
      <c r="A58" s="1243"/>
      <c r="B58" s="1243"/>
      <c r="C58" s="1243"/>
      <c r="D58" s="1243"/>
      <c r="E58" s="1243"/>
      <c r="F58" s="1243"/>
      <c r="G58" s="1243"/>
      <c r="H58" s="1243"/>
      <c r="I58" s="1255"/>
      <c r="J58" s="1261"/>
      <c r="K58" s="1171">
        <v>2</v>
      </c>
      <c r="L58" s="1171"/>
      <c r="M58" s="1328"/>
      <c r="N58" s="1328"/>
      <c r="O58" s="1328"/>
      <c r="P58" s="1328"/>
      <c r="Q58" s="1328"/>
      <c r="R58" s="1328"/>
      <c r="S58" s="688"/>
      <c r="T58" s="1261"/>
    </row>
    <row r="59" spans="1:20">
      <c r="A59" s="1243"/>
      <c r="B59" s="1243"/>
      <c r="C59" s="1243"/>
      <c r="D59" s="1243"/>
      <c r="E59" s="1243"/>
      <c r="F59" s="1243"/>
      <c r="G59" s="1243"/>
      <c r="H59" s="1243"/>
      <c r="I59" s="1255"/>
      <c r="J59" s="1261"/>
      <c r="K59" s="1171">
        <v>3</v>
      </c>
      <c r="L59" s="1328" t="s">
        <v>623</v>
      </c>
      <c r="M59" s="1243" t="s">
        <v>2324</v>
      </c>
      <c r="N59" s="1266" t="s">
        <v>318</v>
      </c>
      <c r="O59" s="1174">
        <f>'Rate Base Ratios'!H45</f>
        <v>6084744</v>
      </c>
      <c r="P59" s="1328"/>
      <c r="Q59" s="1328"/>
      <c r="R59" s="1328"/>
      <c r="S59" s="688"/>
      <c r="T59" s="1261"/>
    </row>
    <row r="60" spans="1:20">
      <c r="A60" s="1243"/>
      <c r="B60" s="1243"/>
      <c r="C60" s="1243"/>
      <c r="D60" s="1243"/>
      <c r="E60" s="1243"/>
      <c r="F60" s="1243"/>
      <c r="G60" s="1243"/>
      <c r="H60" s="1243"/>
      <c r="I60" s="1255"/>
      <c r="J60" s="1261"/>
      <c r="K60" s="1171">
        <v>4</v>
      </c>
      <c r="L60" s="1243"/>
      <c r="M60" s="1328" t="s">
        <v>2323</v>
      </c>
      <c r="N60" s="1266" t="s">
        <v>318</v>
      </c>
      <c r="O60" s="1174">
        <f>'Rate Base Ratios'!L45</f>
        <v>477422</v>
      </c>
      <c r="P60" s="1328"/>
      <c r="Q60" s="1328"/>
      <c r="R60" s="1328"/>
      <c r="S60" s="688"/>
      <c r="T60" s="1261"/>
    </row>
    <row r="61" spans="1:20">
      <c r="A61" s="1243"/>
      <c r="B61" s="1243"/>
      <c r="C61" s="1243"/>
      <c r="D61" s="1243"/>
      <c r="E61" s="1243"/>
      <c r="F61" s="1243"/>
      <c r="G61" s="1243"/>
      <c r="H61" s="1243"/>
      <c r="I61" s="1255"/>
      <c r="J61" s="1261"/>
      <c r="K61" s="1171">
        <v>5</v>
      </c>
      <c r="L61" s="1243"/>
      <c r="M61" s="1328" t="s">
        <v>2322</v>
      </c>
      <c r="N61" s="1266" t="s">
        <v>318</v>
      </c>
      <c r="O61" s="1174">
        <f>'Rate Base Ratios'!M45</f>
        <v>-52833599</v>
      </c>
      <c r="P61" s="1328"/>
      <c r="Q61" s="1328"/>
      <c r="R61" s="1328"/>
      <c r="S61" s="688"/>
      <c r="T61" s="1261"/>
    </row>
    <row r="62" spans="1:20">
      <c r="A62" s="1243"/>
      <c r="B62" s="1243"/>
      <c r="C62" s="1243"/>
      <c r="D62" s="1243"/>
      <c r="E62" s="1243"/>
      <c r="F62" s="1243"/>
      <c r="G62" s="1243"/>
      <c r="H62" s="1243"/>
      <c r="I62" s="1255"/>
      <c r="J62" s="1261"/>
      <c r="K62" s="1171">
        <v>6</v>
      </c>
      <c r="L62" s="1243"/>
      <c r="M62" s="1243"/>
      <c r="N62" s="1266"/>
      <c r="O62" s="1174"/>
      <c r="P62" s="1328"/>
      <c r="Q62" s="1328"/>
      <c r="R62" s="1328"/>
      <c r="S62" s="688"/>
      <c r="T62" s="1261"/>
    </row>
    <row r="63" spans="1:20">
      <c r="A63" s="1243"/>
      <c r="B63" s="1243"/>
      <c r="C63" s="1243"/>
      <c r="D63" s="1243"/>
      <c r="E63" s="1243"/>
      <c r="F63" s="1243"/>
      <c r="G63" s="1243"/>
      <c r="H63" s="1243"/>
      <c r="I63" s="1255"/>
      <c r="J63" s="1243"/>
      <c r="K63" s="1171">
        <v>7</v>
      </c>
      <c r="L63" s="1171"/>
      <c r="M63" s="1328"/>
      <c r="N63" s="1328"/>
      <c r="O63" s="1328"/>
      <c r="P63" s="1328"/>
      <c r="Q63" s="1328"/>
      <c r="R63" s="1328"/>
      <c r="S63" s="688"/>
      <c r="T63" s="1261"/>
    </row>
    <row r="64" spans="1:20">
      <c r="A64" s="1243"/>
      <c r="B64" s="1243"/>
      <c r="C64" s="1243"/>
      <c r="D64" s="1243"/>
      <c r="E64" s="1243"/>
      <c r="F64" s="1243"/>
      <c r="G64" s="1243"/>
      <c r="H64" s="1243"/>
      <c r="I64" s="1255"/>
      <c r="J64" s="1243"/>
      <c r="K64" s="1171">
        <v>8</v>
      </c>
      <c r="L64" s="1328" t="s">
        <v>492</v>
      </c>
      <c r="M64" s="1243"/>
      <c r="N64" s="1328"/>
      <c r="O64" s="1174">
        <f>O57-O59-O60-O61-O62</f>
        <v>1007318334</v>
      </c>
      <c r="P64" s="1328"/>
      <c r="Q64" s="1328"/>
      <c r="R64" s="1328"/>
      <c r="S64" s="688"/>
      <c r="T64" s="1261"/>
    </row>
    <row r="65" spans="1:20">
      <c r="A65" s="1243"/>
      <c r="B65" s="1243"/>
      <c r="C65" s="1243"/>
      <c r="D65" s="1243"/>
      <c r="E65" s="1243"/>
      <c r="F65" s="1243"/>
      <c r="G65" s="1243"/>
      <c r="H65" s="1243"/>
      <c r="I65" s="1255"/>
      <c r="J65" s="1243"/>
      <c r="K65" s="1171">
        <v>9</v>
      </c>
      <c r="L65" s="1328"/>
      <c r="M65" s="1243"/>
      <c r="N65" s="1328"/>
      <c r="O65" s="1328"/>
      <c r="P65" s="1328"/>
      <c r="Q65" s="1328"/>
      <c r="R65" s="1328"/>
      <c r="S65" s="688"/>
      <c r="T65" s="1261"/>
    </row>
    <row r="66" spans="1:20">
      <c r="A66" s="1243"/>
      <c r="B66" s="1243"/>
      <c r="C66" s="1243"/>
      <c r="D66" s="1243"/>
      <c r="E66" s="1243"/>
      <c r="F66" s="1243"/>
      <c r="G66" s="1243"/>
      <c r="H66" s="1243"/>
      <c r="I66" s="1255"/>
      <c r="J66" s="1243"/>
      <c r="K66" s="1171">
        <v>10</v>
      </c>
      <c r="L66" s="1328" t="s">
        <v>393</v>
      </c>
      <c r="M66" s="1243"/>
      <c r="N66" s="1266" t="s">
        <v>318</v>
      </c>
      <c r="O66" s="1175">
        <f>ERBR_BP</f>
        <v>0.68166000000000004</v>
      </c>
      <c r="P66" s="1328"/>
      <c r="Q66" s="1174">
        <f>ROUND(O64*O66,0)</f>
        <v>686648616</v>
      </c>
      <c r="R66" s="1174"/>
      <c r="S66" s="688"/>
      <c r="T66" s="1261"/>
    </row>
    <row r="67" spans="1:20">
      <c r="A67" s="1243"/>
      <c r="B67" s="1243"/>
      <c r="C67" s="1243"/>
      <c r="D67" s="1243"/>
      <c r="E67" s="1243"/>
      <c r="F67" s="1243"/>
      <c r="G67" s="1243"/>
      <c r="H67" s="1243"/>
      <c r="I67" s="1255"/>
      <c r="J67" s="1243"/>
      <c r="K67" s="1171">
        <v>11</v>
      </c>
      <c r="L67" s="1328"/>
      <c r="M67" s="1243"/>
      <c r="N67" s="1328"/>
      <c r="O67" s="1176"/>
      <c r="P67" s="1328"/>
      <c r="Q67" s="1174"/>
      <c r="R67" s="1174"/>
      <c r="S67" s="688"/>
      <c r="T67" s="1261"/>
    </row>
    <row r="68" spans="1:20">
      <c r="A68" s="1243"/>
      <c r="B68" s="1243"/>
      <c r="C68" s="1243"/>
      <c r="D68" s="1243"/>
      <c r="E68" s="1243"/>
      <c r="F68" s="1243"/>
      <c r="G68" s="1243"/>
      <c r="H68" s="1243"/>
      <c r="I68" s="1255"/>
      <c r="J68" s="1243"/>
      <c r="K68" s="1171">
        <v>12</v>
      </c>
      <c r="L68" s="1328" t="s">
        <v>394</v>
      </c>
      <c r="M68" s="1243"/>
      <c r="N68" s="1266" t="s">
        <v>319</v>
      </c>
      <c r="O68" s="1175"/>
      <c r="P68" s="1328"/>
      <c r="Q68" s="1174">
        <f>SCH_B6!N21+SCH_B6!N22</f>
        <v>13466</v>
      </c>
      <c r="R68" s="1174"/>
      <c r="S68" s="688"/>
      <c r="T68" s="1261"/>
    </row>
    <row r="69" spans="1:20">
      <c r="A69" s="1243"/>
      <c r="B69" s="1243"/>
      <c r="C69" s="1243"/>
      <c r="D69" s="1243"/>
      <c r="E69" s="1243"/>
      <c r="F69" s="1243"/>
      <c r="G69" s="1243"/>
      <c r="H69" s="1243"/>
      <c r="I69" s="1255"/>
      <c r="J69" s="1243"/>
      <c r="K69" s="1171">
        <v>13</v>
      </c>
      <c r="L69" s="1328" t="s">
        <v>3245</v>
      </c>
      <c r="M69" s="1243"/>
      <c r="N69" s="1266" t="s">
        <v>320</v>
      </c>
      <c r="O69" s="1175"/>
      <c r="P69" s="1328"/>
      <c r="Q69" s="1267">
        <f>-'SCH B-4'!G32</f>
        <v>-121466579</v>
      </c>
      <c r="R69" s="1174"/>
      <c r="S69" s="688"/>
      <c r="T69" s="1261"/>
    </row>
    <row r="70" spans="1:20">
      <c r="A70" s="1243"/>
      <c r="B70" s="1243"/>
      <c r="C70" s="1243"/>
      <c r="D70" s="1243"/>
      <c r="E70" s="1243"/>
      <c r="F70" s="1243"/>
      <c r="G70" s="1243"/>
      <c r="H70" s="1243"/>
      <c r="I70" s="1255"/>
      <c r="J70" s="1243"/>
      <c r="K70" s="1171">
        <v>14</v>
      </c>
      <c r="L70" s="1328"/>
      <c r="M70" s="1243"/>
      <c r="N70" s="1266"/>
      <c r="O70" s="1175"/>
      <c r="P70" s="1328"/>
      <c r="Q70" s="1267"/>
      <c r="R70" s="1174"/>
      <c r="S70" s="688"/>
      <c r="T70" s="1261"/>
    </row>
    <row r="71" spans="1:20">
      <c r="A71" s="1243"/>
      <c r="B71" s="1243"/>
      <c r="C71" s="1243"/>
      <c r="D71" s="1243"/>
      <c r="E71" s="1243"/>
      <c r="F71" s="1243"/>
      <c r="G71" s="1243"/>
      <c r="H71" s="1243"/>
      <c r="I71" s="1255"/>
      <c r="J71" s="1243"/>
      <c r="K71" s="1171">
        <v>15</v>
      </c>
      <c r="L71" s="1328"/>
      <c r="M71" s="1243"/>
      <c r="N71" s="1328"/>
      <c r="O71" s="1328"/>
      <c r="P71" s="1328"/>
      <c r="Q71" s="1174"/>
      <c r="R71" s="1174"/>
      <c r="S71" s="688"/>
      <c r="T71" s="1261"/>
    </row>
    <row r="72" spans="1:20">
      <c r="A72" s="1243"/>
      <c r="B72" s="1243"/>
      <c r="C72" s="1243"/>
      <c r="D72" s="1243"/>
      <c r="E72" s="1243"/>
      <c r="F72" s="1243"/>
      <c r="G72" s="1243"/>
      <c r="H72" s="1243"/>
      <c r="I72" s="1255"/>
      <c r="J72" s="1243"/>
      <c r="K72" s="1171">
        <v>16</v>
      </c>
      <c r="L72" s="1328" t="s">
        <v>493</v>
      </c>
      <c r="M72" s="1243"/>
      <c r="N72" s="1328"/>
      <c r="O72" s="1174"/>
      <c r="P72" s="1328"/>
      <c r="Q72" s="1268">
        <f>SUM(Q66:Q69)</f>
        <v>565195503</v>
      </c>
      <c r="R72" s="1174"/>
      <c r="S72" s="688"/>
      <c r="T72" s="1261"/>
    </row>
    <row r="73" spans="1:20">
      <c r="A73" s="1243"/>
      <c r="B73" s="1243"/>
      <c r="C73" s="1243"/>
      <c r="D73" s="1243"/>
      <c r="E73" s="1243"/>
      <c r="F73" s="1243"/>
      <c r="G73" s="1243"/>
      <c r="H73" s="1243"/>
      <c r="I73" s="1255"/>
      <c r="J73" s="1243"/>
      <c r="K73" s="1171"/>
      <c r="L73" s="1171"/>
      <c r="M73" s="1328"/>
      <c r="N73" s="1328"/>
      <c r="O73" s="1328"/>
      <c r="P73" s="1328"/>
      <c r="Q73" s="1328"/>
      <c r="R73" s="1328"/>
      <c r="S73" s="688"/>
      <c r="T73" s="1243"/>
    </row>
    <row r="74" spans="1:20">
      <c r="A74" s="1243"/>
      <c r="B74" s="1243"/>
      <c r="C74" s="1243"/>
      <c r="D74" s="1243"/>
      <c r="E74" s="1243"/>
      <c r="F74" s="1243"/>
      <c r="G74" s="1243"/>
      <c r="H74" s="1243"/>
      <c r="I74" s="1255"/>
      <c r="J74" s="1243"/>
      <c r="K74" s="1171"/>
      <c r="L74" s="1171"/>
      <c r="M74" s="1328"/>
      <c r="N74" s="1328"/>
      <c r="O74" s="1328"/>
      <c r="P74" s="1328"/>
      <c r="Q74" s="1328"/>
      <c r="R74" s="1328"/>
      <c r="S74" s="688"/>
      <c r="T74" s="1243"/>
    </row>
    <row r="75" spans="1:20">
      <c r="A75" s="1243"/>
      <c r="B75" s="1243"/>
      <c r="C75" s="1243"/>
      <c r="D75" s="1243"/>
      <c r="E75" s="1243"/>
      <c r="F75" s="1243"/>
      <c r="G75" s="1243"/>
      <c r="H75" s="1243"/>
      <c r="I75" s="1255"/>
      <c r="J75" s="1243"/>
      <c r="K75" s="1171"/>
      <c r="L75" s="1171"/>
      <c r="M75" s="1328"/>
      <c r="N75" s="1328"/>
      <c r="O75" s="1328"/>
      <c r="P75" s="1328"/>
      <c r="Q75" s="1171" t="s">
        <v>1863</v>
      </c>
      <c r="R75" s="1328"/>
      <c r="S75" s="688"/>
      <c r="T75" s="1243"/>
    </row>
    <row r="76" spans="1:20">
      <c r="A76" s="1243"/>
      <c r="B76" s="1243"/>
      <c r="C76" s="1243"/>
      <c r="D76" s="1243"/>
      <c r="E76" s="1243"/>
      <c r="F76" s="1243"/>
      <c r="G76" s="1243"/>
      <c r="H76" s="1243"/>
      <c r="I76" s="1255"/>
      <c r="J76" s="1243"/>
      <c r="K76" s="1328"/>
      <c r="L76" s="1328"/>
      <c r="M76" s="1328"/>
      <c r="N76" s="1328"/>
      <c r="O76" s="1328"/>
      <c r="P76" s="1328"/>
      <c r="Q76" s="1171"/>
      <c r="R76" s="1328"/>
      <c r="S76" s="1328"/>
      <c r="T76" s="1243"/>
    </row>
    <row r="77" spans="1:20">
      <c r="A77" s="1243"/>
      <c r="B77" s="1243"/>
      <c r="C77" s="1243"/>
      <c r="D77" s="1243"/>
      <c r="E77" s="1243"/>
      <c r="F77" s="1243"/>
      <c r="G77" s="1243"/>
      <c r="H77" s="1243"/>
      <c r="I77" s="1255"/>
      <c r="J77" s="1243"/>
      <c r="K77" s="1328"/>
      <c r="L77" s="1328"/>
      <c r="M77" s="1328"/>
      <c r="N77" s="1328"/>
      <c r="O77" s="1328"/>
      <c r="P77" s="1328"/>
      <c r="Q77" s="1171"/>
      <c r="R77" s="1328"/>
      <c r="S77" s="1328"/>
      <c r="T77" s="1243"/>
    </row>
    <row r="78" spans="1:20">
      <c r="A78" s="1243"/>
      <c r="B78" s="1243"/>
      <c r="C78" s="1243"/>
      <c r="D78" s="1243"/>
      <c r="E78" s="1243"/>
      <c r="F78" s="1243"/>
      <c r="G78" s="1243"/>
      <c r="H78" s="1243"/>
      <c r="I78" s="1255"/>
      <c r="J78" s="1243"/>
      <c r="K78" s="1328"/>
      <c r="L78" s="1328"/>
      <c r="M78" s="1328"/>
      <c r="N78" s="1328"/>
      <c r="O78" s="1328"/>
      <c r="P78" s="1328"/>
      <c r="Q78" s="1171"/>
      <c r="R78" s="1328"/>
      <c r="S78" s="1328"/>
      <c r="T78" s="1243"/>
    </row>
    <row r="79" spans="1:20">
      <c r="A79" s="1243"/>
      <c r="B79" s="1243"/>
      <c r="C79" s="1243"/>
      <c r="D79" s="1243"/>
      <c r="E79" s="1243"/>
      <c r="F79" s="1243"/>
      <c r="G79" s="1243"/>
      <c r="H79" s="1243"/>
      <c r="I79" s="1255"/>
      <c r="J79" s="1243"/>
      <c r="K79" s="1328"/>
      <c r="L79" s="1328" t="s">
        <v>1502</v>
      </c>
      <c r="N79" s="1328"/>
      <c r="O79" s="1328"/>
      <c r="P79" s="1328"/>
      <c r="Q79" s="1328"/>
      <c r="R79" s="1328"/>
      <c r="S79" s="1328"/>
      <c r="T79" s="1243"/>
    </row>
    <row r="80" spans="1:20">
      <c r="A80" s="1243"/>
      <c r="B80" s="1243"/>
      <c r="C80" s="1243"/>
      <c r="D80" s="1243"/>
      <c r="E80" s="1763"/>
      <c r="F80" s="1243"/>
      <c r="G80" s="1243"/>
      <c r="H80" s="1243"/>
      <c r="I80" s="1255"/>
      <c r="J80" s="1243"/>
      <c r="K80" s="1328"/>
      <c r="L80" s="1177" t="s">
        <v>91</v>
      </c>
      <c r="N80" s="1328"/>
      <c r="O80" s="1328"/>
      <c r="P80" s="1328"/>
      <c r="Q80" s="1328"/>
      <c r="R80" s="1328"/>
      <c r="S80" s="1328"/>
      <c r="T80" s="1243"/>
    </row>
    <row r="81" spans="1:20">
      <c r="A81" s="1243"/>
      <c r="B81" s="1243"/>
      <c r="C81" s="1243"/>
      <c r="D81" s="1243"/>
      <c r="E81" s="1243"/>
      <c r="F81" s="1243"/>
      <c r="G81" s="1243"/>
      <c r="H81" s="1243"/>
      <c r="I81" s="1255"/>
      <c r="J81" s="1243"/>
      <c r="K81" s="1328"/>
      <c r="L81" s="1177" t="s">
        <v>115</v>
      </c>
      <c r="N81" s="1328"/>
      <c r="O81" s="1328"/>
      <c r="P81" s="1328"/>
      <c r="Q81" s="1328"/>
      <c r="R81" s="1328"/>
      <c r="S81" s="1328"/>
      <c r="T81" s="1243"/>
    </row>
    <row r="82" spans="1:20">
      <c r="A82" s="1243"/>
      <c r="B82" s="1243"/>
      <c r="C82" s="1243"/>
      <c r="D82" s="1243"/>
      <c r="E82" s="1243"/>
      <c r="F82" s="1243"/>
      <c r="G82" s="1243"/>
      <c r="H82" s="1243"/>
      <c r="I82" s="1255"/>
      <c r="J82" s="1243"/>
      <c r="K82" s="1328"/>
      <c r="L82" s="1177" t="s">
        <v>1142</v>
      </c>
      <c r="N82" s="1328"/>
      <c r="O82" s="1328"/>
      <c r="P82" s="1328"/>
      <c r="Q82" s="1328"/>
      <c r="R82" s="1328"/>
      <c r="S82" s="1328"/>
      <c r="T82" s="1243"/>
    </row>
    <row r="83" spans="1:20">
      <c r="A83" s="1243"/>
      <c r="B83" s="1243"/>
      <c r="C83" s="1243"/>
      <c r="D83" s="1243"/>
      <c r="E83" s="1243"/>
      <c r="F83" s="1243"/>
      <c r="G83" s="1243"/>
      <c r="H83" s="1243"/>
      <c r="I83" s="1255"/>
      <c r="J83" s="1243"/>
      <c r="K83" s="1328"/>
      <c r="L83" s="1725" t="s">
        <v>3323</v>
      </c>
      <c r="N83" s="1328"/>
      <c r="O83" s="1328"/>
      <c r="P83" s="1328"/>
      <c r="Q83" s="1328"/>
      <c r="R83" s="1328"/>
      <c r="S83" s="1328"/>
      <c r="T83" s="1243"/>
    </row>
    <row r="84" spans="1:20">
      <c r="A84" s="1243"/>
      <c r="B84" s="1243"/>
      <c r="C84" s="1243"/>
      <c r="D84" s="1243"/>
      <c r="E84" s="1243"/>
      <c r="F84" s="1243"/>
      <c r="G84" s="1243"/>
      <c r="H84" s="1243"/>
      <c r="I84" s="1243"/>
      <c r="J84" s="1243"/>
      <c r="K84" s="652"/>
      <c r="L84" s="652"/>
      <c r="M84" s="652"/>
      <c r="N84" s="652"/>
      <c r="O84" s="652"/>
      <c r="P84" s="652"/>
      <c r="Q84" s="652"/>
      <c r="R84" s="652"/>
      <c r="S84" s="652"/>
      <c r="T84" s="1243"/>
    </row>
    <row r="85" spans="1:20">
      <c r="A85" s="1243"/>
      <c r="B85" s="1243"/>
      <c r="C85" s="1243"/>
      <c r="D85" s="1243"/>
      <c r="E85" s="1243"/>
      <c r="F85" s="1243"/>
      <c r="G85" s="1243"/>
      <c r="H85" s="1243"/>
      <c r="I85" s="1243"/>
      <c r="J85" s="1243"/>
      <c r="K85" s="652"/>
      <c r="L85" s="652"/>
      <c r="M85" s="652"/>
      <c r="N85" s="652"/>
      <c r="O85" s="652"/>
      <c r="P85" s="652"/>
      <c r="Q85" s="652"/>
      <c r="R85" s="652"/>
      <c r="S85" s="652"/>
      <c r="T85" s="1243"/>
    </row>
    <row r="86" spans="1:20">
      <c r="A86" s="1243"/>
      <c r="B86" s="1243"/>
      <c r="C86" s="1243"/>
      <c r="D86" s="1243"/>
      <c r="E86" s="1243"/>
      <c r="F86" s="1243"/>
      <c r="G86" s="1243"/>
      <c r="H86" s="1243"/>
      <c r="I86" s="1243"/>
      <c r="J86" s="1243"/>
      <c r="K86" s="1167" t="str">
        <f>COMPANY</f>
        <v>DUKE ENERGY KENTUCKY, INC.</v>
      </c>
      <c r="L86" s="1167"/>
      <c r="M86" s="1328"/>
      <c r="N86" s="1328"/>
      <c r="O86" s="1328"/>
      <c r="P86" s="1328"/>
      <c r="Q86" s="1168" t="s">
        <v>1864</v>
      </c>
      <c r="R86" s="1328"/>
      <c r="S86" s="652"/>
      <c r="T86" s="1243"/>
    </row>
    <row r="87" spans="1:20">
      <c r="A87" s="1243"/>
      <c r="B87" s="1243"/>
      <c r="C87" s="1243"/>
      <c r="D87" s="1243"/>
      <c r="E87" s="1243"/>
      <c r="F87" s="1243"/>
      <c r="G87" s="1243"/>
      <c r="H87" s="1243"/>
      <c r="I87" s="1243"/>
      <c r="J87" s="1243"/>
      <c r="K87" s="1167" t="str">
        <f>DEPT</f>
        <v>ELECTRIC DEPARTMENT</v>
      </c>
      <c r="L87" s="1167"/>
      <c r="M87" s="1328"/>
      <c r="N87" s="1328"/>
      <c r="O87" s="1328"/>
      <c r="P87" s="1328"/>
      <c r="Q87" s="1168" t="s">
        <v>622</v>
      </c>
      <c r="R87" s="1328"/>
      <c r="S87" s="652"/>
      <c r="T87" s="1243"/>
    </row>
    <row r="88" spans="1:20">
      <c r="A88" s="1243"/>
      <c r="B88" s="1243"/>
      <c r="C88" s="1243"/>
      <c r="D88" s="1243"/>
      <c r="E88" s="1243"/>
      <c r="F88" s="1243"/>
      <c r="G88" s="1243"/>
      <c r="H88" s="1243"/>
      <c r="I88" s="1243"/>
      <c r="J88" s="1243"/>
      <c r="K88" s="1167" t="str">
        <f>CASE</f>
        <v>CASE NO. 2017-00321</v>
      </c>
      <c r="L88" s="1167"/>
      <c r="M88" s="1328"/>
      <c r="N88" s="1328"/>
      <c r="O88" s="1328"/>
      <c r="P88" s="1328"/>
      <c r="Q88" s="407" t="str">
        <f>_WIT1</f>
        <v>S. E. LAWLER</v>
      </c>
      <c r="R88" s="1328"/>
      <c r="S88" s="652"/>
      <c r="T88" s="1243"/>
    </row>
    <row r="89" spans="1:20">
      <c r="A89" s="1243"/>
      <c r="B89" s="1243"/>
      <c r="C89" s="1243"/>
      <c r="D89" s="1243"/>
      <c r="E89" s="1243"/>
      <c r="F89" s="1243"/>
      <c r="G89" s="1243"/>
      <c r="H89" s="1243"/>
      <c r="I89" s="1243"/>
      <c r="J89" s="1243"/>
      <c r="K89" s="1328" t="str">
        <f>DataF</f>
        <v>DATA:  BASE PERIOD  "X" FORECASTED PERIOD</v>
      </c>
      <c r="L89" s="1328"/>
      <c r="M89" s="1328"/>
      <c r="N89" s="1328"/>
      <c r="O89" s="1328"/>
      <c r="P89" s="1328"/>
      <c r="Q89" s="1328"/>
      <c r="R89" s="1328"/>
      <c r="S89" s="1328"/>
      <c r="T89" s="1243"/>
    </row>
    <row r="90" spans="1:20">
      <c r="A90" s="1243"/>
      <c r="B90" s="1243"/>
      <c r="C90" s="1243"/>
      <c r="D90" s="1243"/>
      <c r="E90" s="1243"/>
      <c r="F90" s="1243"/>
      <c r="G90" s="1243"/>
      <c r="H90" s="1243"/>
      <c r="I90" s="1243"/>
      <c r="J90" s="1243"/>
      <c r="K90" s="1169" t="s">
        <v>1040</v>
      </c>
      <c r="L90" s="1169"/>
      <c r="M90" s="1328"/>
      <c r="N90" s="1328"/>
      <c r="O90" s="1328"/>
      <c r="P90" s="1328"/>
      <c r="Q90" s="1328"/>
      <c r="R90" s="1328"/>
      <c r="S90" s="1328"/>
      <c r="T90" s="1243"/>
    </row>
    <row r="91" spans="1:20">
      <c r="A91" s="1243"/>
      <c r="B91" s="1243"/>
      <c r="C91" s="1243"/>
      <c r="D91" s="1243"/>
      <c r="E91" s="1243"/>
      <c r="F91" s="1243"/>
      <c r="G91" s="1243"/>
      <c r="H91" s="1243"/>
      <c r="I91" s="1243"/>
      <c r="J91" s="1243"/>
      <c r="K91" s="1328"/>
      <c r="L91" s="1328"/>
      <c r="M91" s="1328"/>
      <c r="N91" s="1328"/>
      <c r="O91" s="1328"/>
      <c r="P91" s="1328"/>
      <c r="Q91" s="1328"/>
      <c r="R91" s="1328"/>
      <c r="S91" s="1328"/>
      <c r="T91" s="1243"/>
    </row>
    <row r="92" spans="1:20">
      <c r="A92" s="1243"/>
      <c r="B92" s="1243"/>
      <c r="C92" s="1243"/>
      <c r="D92" s="1243"/>
      <c r="E92" s="1243"/>
      <c r="F92" s="1243"/>
      <c r="G92" s="1243"/>
      <c r="H92" s="1243"/>
      <c r="I92" s="1243"/>
      <c r="J92" s="1243"/>
      <c r="K92" s="1328"/>
      <c r="L92" s="1328"/>
      <c r="M92" s="1328"/>
      <c r="N92" s="1328"/>
      <c r="O92" s="1328"/>
      <c r="P92" s="1328"/>
      <c r="Q92" s="1328"/>
      <c r="R92" s="1328"/>
      <c r="S92" s="1328"/>
      <c r="T92" s="1243"/>
    </row>
    <row r="93" spans="1:20">
      <c r="A93" s="1243"/>
      <c r="B93" s="1243"/>
      <c r="C93" s="1243"/>
      <c r="D93" s="1243"/>
      <c r="E93" s="1243"/>
      <c r="F93" s="1243"/>
      <c r="G93" s="1243"/>
      <c r="H93" s="1243"/>
      <c r="I93" s="1243"/>
      <c r="J93" s="1243"/>
      <c r="K93" s="1328"/>
      <c r="L93" s="1328"/>
      <c r="M93" s="1328"/>
      <c r="N93" s="1328"/>
      <c r="O93" s="1170"/>
      <c r="P93" s="1170"/>
      <c r="Q93" s="1170"/>
      <c r="R93" s="1328"/>
      <c r="S93" s="1328"/>
      <c r="T93" s="1243"/>
    </row>
    <row r="94" spans="1:20">
      <c r="A94" s="1243"/>
      <c r="B94" s="1243"/>
      <c r="C94" s="1243"/>
      <c r="D94" s="1243"/>
      <c r="E94" s="1243"/>
      <c r="F94" s="1243"/>
      <c r="G94" s="1243"/>
      <c r="H94" s="1243"/>
      <c r="I94" s="1243"/>
      <c r="J94" s="1243"/>
      <c r="K94" s="1171" t="s">
        <v>1240</v>
      </c>
      <c r="L94" s="1171"/>
      <c r="M94" s="1171"/>
      <c r="N94" s="1171"/>
      <c r="O94" s="1172" t="s">
        <v>491</v>
      </c>
      <c r="P94" s="1172"/>
      <c r="Q94" s="1172"/>
      <c r="R94" s="1173"/>
      <c r="S94" s="688"/>
      <c r="T94" s="1243"/>
    </row>
    <row r="95" spans="1:20">
      <c r="A95" s="1243"/>
      <c r="B95" s="1243"/>
      <c r="C95" s="1243"/>
      <c r="D95" s="1243"/>
      <c r="E95" s="1243"/>
      <c r="F95" s="1243"/>
      <c r="G95" s="1243"/>
      <c r="H95" s="1243"/>
      <c r="I95" s="1243"/>
      <c r="J95" s="1243"/>
      <c r="K95" s="1173" t="s">
        <v>1241</v>
      </c>
      <c r="L95" s="1173"/>
      <c r="M95" s="1173" t="s">
        <v>1119</v>
      </c>
      <c r="N95" s="1173"/>
      <c r="O95" s="1173" t="s">
        <v>1929</v>
      </c>
      <c r="P95" s="1173"/>
      <c r="Q95" s="1173" t="s">
        <v>1748</v>
      </c>
      <c r="R95" s="1173"/>
      <c r="S95" s="688"/>
      <c r="T95" s="1243"/>
    </row>
    <row r="96" spans="1:20">
      <c r="A96" s="1243"/>
      <c r="B96" s="1243"/>
      <c r="C96" s="1243"/>
      <c r="D96" s="1243"/>
      <c r="E96" s="1243"/>
      <c r="F96" s="1243"/>
      <c r="G96" s="1243"/>
      <c r="H96" s="1243"/>
      <c r="I96" s="1243"/>
      <c r="J96" s="1243"/>
      <c r="K96" s="1328"/>
      <c r="L96" s="1328"/>
      <c r="M96" s="1328"/>
      <c r="N96" s="1328"/>
      <c r="O96" s="1328"/>
      <c r="P96" s="1328"/>
      <c r="Q96" s="1328"/>
      <c r="R96" s="1328"/>
      <c r="S96" s="688"/>
      <c r="T96" s="1243"/>
    </row>
    <row r="97" spans="1:20">
      <c r="A97" s="1243"/>
      <c r="B97" s="1243"/>
      <c r="C97" s="1243"/>
      <c r="D97" s="1243"/>
      <c r="E97" s="1243"/>
      <c r="F97" s="1243"/>
      <c r="G97" s="1243"/>
      <c r="H97" s="1243"/>
      <c r="I97" s="1243"/>
      <c r="J97" s="1243"/>
      <c r="K97" s="1171">
        <v>1</v>
      </c>
      <c r="L97" s="1328" t="s">
        <v>245</v>
      </c>
      <c r="M97" s="1243"/>
      <c r="N97" s="1266" t="s">
        <v>365</v>
      </c>
      <c r="O97" s="1174">
        <f>'SCH_J1 - Forecast'!G21</f>
        <v>1069192372</v>
      </c>
      <c r="P97" s="1328"/>
      <c r="Q97" s="1328"/>
      <c r="R97" s="1328"/>
      <c r="S97" s="688"/>
      <c r="T97" s="1243"/>
    </row>
    <row r="98" spans="1:20">
      <c r="A98" s="1243"/>
      <c r="B98" s="1243"/>
      <c r="C98" s="1243"/>
      <c r="D98" s="1243"/>
      <c r="E98" s="1243"/>
      <c r="F98" s="1243"/>
      <c r="G98" s="1243"/>
      <c r="H98" s="1243"/>
      <c r="I98" s="1243"/>
      <c r="J98" s="1243"/>
      <c r="K98" s="1171">
        <v>2</v>
      </c>
      <c r="L98" s="1328"/>
      <c r="M98" s="1243"/>
      <c r="N98" s="1328"/>
      <c r="O98" s="1328"/>
      <c r="P98" s="1328"/>
      <c r="Q98" s="1328"/>
      <c r="R98" s="1328"/>
      <c r="S98" s="688"/>
      <c r="T98" s="1243"/>
    </row>
    <row r="99" spans="1:20">
      <c r="A99" s="1243"/>
      <c r="B99" s="1243"/>
      <c r="C99" s="1243"/>
      <c r="D99" s="1243"/>
      <c r="E99" s="1243"/>
      <c r="F99" s="1243"/>
      <c r="G99" s="1243"/>
      <c r="H99" s="1243"/>
      <c r="I99" s="1243"/>
      <c r="J99" s="1243"/>
      <c r="K99" s="1171">
        <v>3</v>
      </c>
      <c r="L99" s="1328" t="s">
        <v>623</v>
      </c>
      <c r="M99" s="1243" t="s">
        <v>2324</v>
      </c>
      <c r="N99" s="1266" t="s">
        <v>318</v>
      </c>
      <c r="O99" s="1174">
        <f>'Rate Base Ratios'!V105</f>
        <v>5927795.538461538</v>
      </c>
      <c r="P99" s="1328"/>
      <c r="Q99" s="1328"/>
      <c r="R99" s="1328"/>
      <c r="S99" s="688"/>
      <c r="T99" s="1243"/>
    </row>
    <row r="100" spans="1:20">
      <c r="A100" s="1243"/>
      <c r="B100" s="1243"/>
      <c r="C100" s="1243"/>
      <c r="D100" s="1243"/>
      <c r="E100" s="1243"/>
      <c r="F100" s="1243"/>
      <c r="G100" s="1243"/>
      <c r="H100" s="1243"/>
      <c r="I100" s="1243"/>
      <c r="J100" s="1243"/>
      <c r="K100" s="1171">
        <v>4</v>
      </c>
      <c r="L100" s="1243"/>
      <c r="M100" s="1328" t="s">
        <v>2323</v>
      </c>
      <c r="N100" s="1266" t="s">
        <v>318</v>
      </c>
      <c r="O100" s="1174">
        <f>'Rate Base Ratios'!Z105</f>
        <v>792644</v>
      </c>
      <c r="P100" s="1328"/>
      <c r="Q100" s="1328"/>
      <c r="R100" s="1328"/>
      <c r="S100" s="688"/>
      <c r="T100" s="1243"/>
    </row>
    <row r="101" spans="1:20">
      <c r="A101" s="1243"/>
      <c r="B101" s="1243"/>
      <c r="C101" s="1243"/>
      <c r="D101" s="1243"/>
      <c r="E101" s="1243"/>
      <c r="F101" s="1243"/>
      <c r="G101" s="1243"/>
      <c r="H101" s="1243"/>
      <c r="I101" s="1243"/>
      <c r="J101" s="1243"/>
      <c r="K101" s="1171">
        <v>5</v>
      </c>
      <c r="L101" s="1243"/>
      <c r="M101" s="1328" t="s">
        <v>2322</v>
      </c>
      <c r="N101" s="1266" t="s">
        <v>318</v>
      </c>
      <c r="O101" s="1174">
        <f>'Rate Base Ratios'!AA105</f>
        <v>-50651286</v>
      </c>
      <c r="P101" s="1328"/>
      <c r="Q101" s="1328"/>
      <c r="R101" s="1328"/>
      <c r="S101" s="688"/>
      <c r="T101" s="1243"/>
    </row>
    <row r="102" spans="1:20">
      <c r="A102" s="1243"/>
      <c r="B102" s="1243"/>
      <c r="C102" s="1243"/>
      <c r="D102" s="1243"/>
      <c r="E102" s="1243"/>
      <c r="F102" s="1243"/>
      <c r="G102" s="1243"/>
      <c r="H102" s="1243"/>
      <c r="I102" s="1243"/>
      <c r="J102" s="1243"/>
      <c r="K102" s="1171">
        <v>6</v>
      </c>
      <c r="L102" s="1328"/>
      <c r="M102" s="1243"/>
      <c r="N102" s="1266"/>
      <c r="O102" s="1174"/>
      <c r="P102" s="1328"/>
      <c r="Q102" s="1328"/>
      <c r="R102" s="1328"/>
      <c r="S102" s="688"/>
      <c r="T102" s="1243"/>
    </row>
    <row r="103" spans="1:20">
      <c r="A103" s="1243"/>
      <c r="B103" s="1243"/>
      <c r="C103" s="1243"/>
      <c r="D103" s="1243"/>
      <c r="E103" s="1243"/>
      <c r="F103" s="1243"/>
      <c r="G103" s="1243"/>
      <c r="H103" s="1243"/>
      <c r="I103" s="1243"/>
      <c r="J103" s="1243"/>
      <c r="K103" s="1171">
        <v>7</v>
      </c>
      <c r="L103" s="1328"/>
      <c r="M103" s="1243"/>
      <c r="N103" s="1328"/>
      <c r="O103" s="1328"/>
      <c r="P103" s="1328"/>
      <c r="Q103" s="1328"/>
      <c r="R103" s="1328"/>
      <c r="S103" s="688"/>
      <c r="T103" s="1243"/>
    </row>
    <row r="104" spans="1:20">
      <c r="A104" s="1243"/>
      <c r="B104" s="1243"/>
      <c r="C104" s="1243"/>
      <c r="D104" s="1243"/>
      <c r="E104" s="1243"/>
      <c r="F104" s="1243"/>
      <c r="G104" s="1243"/>
      <c r="H104" s="1243"/>
      <c r="I104" s="1243"/>
      <c r="J104" s="1243"/>
      <c r="K104" s="1171">
        <v>8</v>
      </c>
      <c r="L104" s="1328" t="s">
        <v>492</v>
      </c>
      <c r="M104" s="1243"/>
      <c r="N104" s="1328"/>
      <c r="O104" s="1174">
        <f>O97-O99-O100-O101-O102</f>
        <v>1113123218.4615383</v>
      </c>
      <c r="P104" s="1328"/>
      <c r="Q104" s="1328"/>
      <c r="R104" s="1328"/>
      <c r="S104" s="688"/>
      <c r="T104" s="1243"/>
    </row>
    <row r="105" spans="1:20">
      <c r="A105" s="1243"/>
      <c r="B105" s="1243"/>
      <c r="C105" s="1243"/>
      <c r="D105" s="1243"/>
      <c r="E105" s="1243"/>
      <c r="F105" s="1243"/>
      <c r="G105" s="1243"/>
      <c r="H105" s="1243"/>
      <c r="I105" s="1243"/>
      <c r="J105" s="1243"/>
      <c r="K105" s="1171">
        <v>9</v>
      </c>
      <c r="L105" s="1328"/>
      <c r="M105" s="1243"/>
      <c r="N105" s="1328"/>
      <c r="O105" s="1328"/>
      <c r="P105" s="1328"/>
      <c r="Q105" s="1328"/>
      <c r="R105" s="1328"/>
      <c r="S105" s="688"/>
      <c r="T105" s="1243"/>
    </row>
    <row r="106" spans="1:20">
      <c r="A106" s="1243"/>
      <c r="B106" s="1243"/>
      <c r="C106" s="1243"/>
      <c r="D106" s="1243"/>
      <c r="E106" s="1243"/>
      <c r="F106" s="1243"/>
      <c r="G106" s="1243"/>
      <c r="H106" s="1243"/>
      <c r="I106" s="1243"/>
      <c r="J106" s="1243"/>
      <c r="K106" s="1171">
        <v>10</v>
      </c>
      <c r="L106" s="1328" t="s">
        <v>393</v>
      </c>
      <c r="M106" s="1243"/>
      <c r="N106" s="1266" t="s">
        <v>318</v>
      </c>
      <c r="O106" s="1175">
        <f ca="1">ERBR_FP</f>
        <v>0.72045000000000003</v>
      </c>
      <c r="P106" s="1328"/>
      <c r="Q106" s="1174">
        <f ca="1">ROUND(O104*O106,0)</f>
        <v>801949623</v>
      </c>
      <c r="R106" s="1174"/>
      <c r="S106" s="688"/>
      <c r="T106" s="1243"/>
    </row>
    <row r="107" spans="1:20">
      <c r="A107" s="1243"/>
      <c r="B107" s="1243"/>
      <c r="C107" s="1243"/>
      <c r="D107" s="1243"/>
      <c r="E107" s="1243"/>
      <c r="F107" s="1243"/>
      <c r="G107" s="1243"/>
      <c r="H107" s="1243"/>
      <c r="I107" s="1243"/>
      <c r="J107" s="1243"/>
      <c r="K107" s="1171">
        <v>11</v>
      </c>
      <c r="L107" s="1328"/>
      <c r="M107" s="1243"/>
      <c r="N107" s="1328"/>
      <c r="O107" s="1176"/>
      <c r="P107" s="1328"/>
      <c r="Q107" s="1174"/>
      <c r="R107" s="1174"/>
      <c r="S107" s="688"/>
      <c r="T107" s="1243"/>
    </row>
    <row r="108" spans="1:20">
      <c r="A108" s="1243"/>
      <c r="B108" s="1243"/>
      <c r="C108" s="1243"/>
      <c r="D108" s="1243"/>
      <c r="E108" s="1243"/>
      <c r="F108" s="1243"/>
      <c r="G108" s="1243"/>
      <c r="H108" s="1243"/>
      <c r="I108" s="1243"/>
      <c r="J108" s="1243"/>
      <c r="K108" s="1171">
        <v>12</v>
      </c>
      <c r="L108" s="1328" t="s">
        <v>394</v>
      </c>
      <c r="M108" s="1243"/>
      <c r="N108" s="1266" t="s">
        <v>319</v>
      </c>
      <c r="O108" s="1175"/>
      <c r="P108" s="1328"/>
      <c r="Q108" s="1174">
        <f>SCH_B6!N61+SCH_B6!N62+SCH_B6!N63</f>
        <v>4354475</v>
      </c>
      <c r="R108" s="1174"/>
      <c r="S108" s="688"/>
      <c r="T108" s="1243"/>
    </row>
    <row r="109" spans="1:20">
      <c r="A109" s="1243"/>
      <c r="B109" s="1243"/>
      <c r="C109" s="1243"/>
      <c r="D109" s="1243"/>
      <c r="E109" s="1243"/>
      <c r="F109" s="1243"/>
      <c r="G109" s="1243"/>
      <c r="H109" s="1243"/>
      <c r="I109" s="1243"/>
      <c r="J109" s="1243"/>
      <c r="K109" s="1171">
        <v>13</v>
      </c>
      <c r="L109" s="1328" t="s">
        <v>623</v>
      </c>
      <c r="M109" s="1243" t="s">
        <v>3226</v>
      </c>
      <c r="N109" s="1266" t="s">
        <v>320</v>
      </c>
      <c r="O109" s="1175"/>
      <c r="P109" s="1328"/>
      <c r="Q109" s="1174">
        <f>-'SCH B-4'!G70</f>
        <v>-85525336</v>
      </c>
      <c r="R109" s="1174"/>
      <c r="S109" s="688"/>
      <c r="T109" s="1243"/>
    </row>
    <row r="110" spans="1:20">
      <c r="A110" s="1243"/>
      <c r="B110" s="1243"/>
      <c r="C110" s="1243"/>
      <c r="D110" s="1243"/>
      <c r="E110" s="1243"/>
      <c r="F110" s="1243"/>
      <c r="G110" s="1243"/>
      <c r="H110" s="1243"/>
      <c r="I110" s="1243"/>
      <c r="J110" s="1243"/>
      <c r="K110" s="1171">
        <v>14</v>
      </c>
      <c r="L110" s="1328"/>
      <c r="M110" s="1243" t="s">
        <v>3244</v>
      </c>
      <c r="N110" s="1266" t="s">
        <v>321</v>
      </c>
      <c r="O110" s="1175"/>
      <c r="P110" s="1328"/>
      <c r="Q110" s="1737">
        <f>-15744317+16695</f>
        <v>-15727622</v>
      </c>
      <c r="R110" s="1174"/>
      <c r="S110" s="688"/>
      <c r="T110" s="1243"/>
    </row>
    <row r="111" spans="1:20">
      <c r="A111" s="1243"/>
      <c r="B111" s="1243"/>
      <c r="C111" s="1243"/>
      <c r="D111" s="1243"/>
      <c r="E111" s="1243"/>
      <c r="F111" s="1243"/>
      <c r="G111" s="1243"/>
      <c r="H111" s="1243"/>
      <c r="I111" s="1243"/>
      <c r="J111" s="1243"/>
      <c r="K111" s="1171">
        <v>15</v>
      </c>
      <c r="L111" s="1328"/>
      <c r="M111" s="1243"/>
      <c r="N111" s="1266"/>
      <c r="O111" s="1175"/>
      <c r="P111" s="1328"/>
      <c r="Q111" s="1267"/>
      <c r="R111" s="1174"/>
      <c r="S111" s="688"/>
      <c r="T111" s="1243"/>
    </row>
    <row r="112" spans="1:20">
      <c r="A112" s="1243"/>
      <c r="B112" s="1243"/>
      <c r="C112" s="1243"/>
      <c r="D112" s="1243"/>
      <c r="E112" s="1243"/>
      <c r="F112" s="1243"/>
      <c r="G112" s="1243"/>
      <c r="H112" s="1243"/>
      <c r="I112" s="1243"/>
      <c r="J112" s="1243"/>
      <c r="K112" s="1171">
        <v>16</v>
      </c>
      <c r="L112" s="1328" t="s">
        <v>493</v>
      </c>
      <c r="M112" s="1243"/>
      <c r="N112" s="1328"/>
      <c r="O112" s="1174"/>
      <c r="P112" s="1328"/>
      <c r="Q112" s="1268">
        <f ca="1">SUM(Q106:Q111)</f>
        <v>705051140</v>
      </c>
      <c r="R112" s="1174"/>
      <c r="S112" s="1344"/>
      <c r="T112" s="1243"/>
    </row>
    <row r="113" spans="1:20">
      <c r="A113" s="1243"/>
      <c r="B113" s="1243"/>
      <c r="C113" s="1243"/>
      <c r="D113" s="1243"/>
      <c r="E113" s="1243"/>
      <c r="F113" s="1243"/>
      <c r="G113" s="1243"/>
      <c r="H113" s="1243"/>
      <c r="I113" s="1243"/>
      <c r="J113" s="1243"/>
      <c r="K113" s="1171"/>
      <c r="L113" s="1171"/>
      <c r="M113" s="1328"/>
      <c r="N113" s="1328"/>
      <c r="O113" s="1328"/>
      <c r="P113" s="1328"/>
      <c r="Q113" s="1328"/>
      <c r="R113" s="1328"/>
      <c r="S113" s="688"/>
      <c r="T113" s="1243"/>
    </row>
    <row r="114" spans="1:20">
      <c r="A114" s="1243"/>
      <c r="B114" s="1243"/>
      <c r="C114" s="1243"/>
      <c r="D114" s="1243"/>
      <c r="E114" s="1243"/>
      <c r="F114" s="1243"/>
      <c r="G114" s="1243"/>
      <c r="H114" s="1243"/>
      <c r="I114" s="1243"/>
      <c r="J114" s="1243"/>
      <c r="K114" s="1171"/>
      <c r="L114" s="1171"/>
      <c r="M114" s="1328"/>
      <c r="N114" s="1328"/>
      <c r="O114" s="1328"/>
      <c r="P114" s="1328"/>
      <c r="Q114" s="1328"/>
      <c r="R114" s="1328"/>
      <c r="S114" s="688"/>
      <c r="T114" s="1243"/>
    </row>
    <row r="115" spans="1:20">
      <c r="A115" s="1243"/>
      <c r="B115" s="1243"/>
      <c r="C115" s="1243"/>
      <c r="D115" s="1243"/>
      <c r="E115" s="1243"/>
      <c r="F115" s="1243"/>
      <c r="G115" s="1243"/>
      <c r="H115" s="1243"/>
      <c r="I115" s="1243"/>
      <c r="J115" s="1243"/>
      <c r="K115" s="1171"/>
      <c r="L115" s="1171"/>
      <c r="M115" s="1328"/>
      <c r="N115" s="1328"/>
      <c r="O115" s="1328"/>
      <c r="P115" s="1328"/>
      <c r="Q115" s="1171" t="s">
        <v>1863</v>
      </c>
      <c r="R115" s="1328"/>
      <c r="S115" s="688"/>
      <c r="T115" s="1243"/>
    </row>
    <row r="116" spans="1:20">
      <c r="K116" s="1171"/>
      <c r="L116" s="1171"/>
      <c r="M116" s="1328"/>
      <c r="N116" s="1328"/>
      <c r="O116" s="1328"/>
      <c r="P116" s="1328"/>
      <c r="Q116" s="1328"/>
      <c r="R116" s="1328"/>
      <c r="S116" s="688"/>
      <c r="T116" s="1243"/>
    </row>
    <row r="117" spans="1:20">
      <c r="K117" s="1171"/>
      <c r="L117" s="1171"/>
      <c r="M117" s="1328"/>
      <c r="N117" s="1328"/>
      <c r="O117" s="1269"/>
      <c r="P117" s="1328"/>
      <c r="Q117" s="1174"/>
      <c r="R117" s="1174"/>
      <c r="S117" s="688"/>
      <c r="T117" s="1243"/>
    </row>
    <row r="118" spans="1:20">
      <c r="K118" s="1328"/>
      <c r="L118" s="1328"/>
      <c r="M118" s="1328"/>
      <c r="N118" s="1328"/>
      <c r="O118" s="1328"/>
      <c r="P118" s="1328"/>
      <c r="Q118" s="1171"/>
      <c r="R118" s="1328"/>
      <c r="S118" s="1328"/>
      <c r="T118" s="1243"/>
    </row>
    <row r="119" spans="1:20">
      <c r="K119" s="1328"/>
      <c r="L119" s="1328" t="s">
        <v>1502</v>
      </c>
      <c r="N119" s="1328"/>
      <c r="O119" s="1328"/>
      <c r="P119" s="1328"/>
      <c r="Q119" s="1328"/>
      <c r="R119" s="1328"/>
      <c r="S119" s="1328"/>
      <c r="T119" s="1243"/>
    </row>
    <row r="120" spans="1:20">
      <c r="K120" s="1328"/>
      <c r="L120" s="1177" t="s">
        <v>1420</v>
      </c>
      <c r="N120" s="1328"/>
      <c r="O120" s="1328"/>
      <c r="P120" s="1328"/>
      <c r="Q120" s="1328"/>
      <c r="R120" s="1328"/>
      <c r="S120" s="1328"/>
      <c r="T120" s="1243"/>
    </row>
    <row r="121" spans="1:20">
      <c r="K121" s="1328"/>
      <c r="L121" s="1177" t="s">
        <v>114</v>
      </c>
      <c r="N121" s="1328"/>
      <c r="O121" s="1328"/>
      <c r="P121" s="1328"/>
      <c r="Q121" s="1328"/>
      <c r="R121" s="1328"/>
      <c r="S121" s="1328"/>
      <c r="T121" s="1243"/>
    </row>
    <row r="122" spans="1:20">
      <c r="K122" s="1328"/>
      <c r="L122" s="1177" t="s">
        <v>1419</v>
      </c>
      <c r="N122" s="1328"/>
      <c r="O122" s="1328"/>
      <c r="P122" s="1328"/>
      <c r="Q122" s="1328"/>
      <c r="R122" s="1328"/>
      <c r="S122" s="1328"/>
      <c r="T122" s="1243"/>
    </row>
    <row r="123" spans="1:20">
      <c r="K123" s="652"/>
      <c r="L123" s="1725" t="s">
        <v>3324</v>
      </c>
      <c r="N123" s="652"/>
      <c r="O123" s="652"/>
      <c r="P123" s="652"/>
      <c r="Q123" s="652"/>
      <c r="R123" s="652"/>
      <c r="S123" s="652"/>
      <c r="T123" s="1243"/>
    </row>
    <row r="124" spans="1:20">
      <c r="L124" s="1725" t="s">
        <v>3238</v>
      </c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 tint="0.39997558519241921"/>
  </sheetPr>
  <dimension ref="A1:AD131"/>
  <sheetViews>
    <sheetView tabSelected="1" view="pageLayout" topLeftCell="Q62" zoomScaleNormal="90" workbookViewId="0">
      <selection activeCell="G1" sqref="G1"/>
    </sheetView>
  </sheetViews>
  <sheetFormatPr defaultColWidth="9.140625" defaultRowHeight="12.75"/>
  <cols>
    <col min="1" max="1" width="6.42578125" style="18" customWidth="1"/>
    <col min="2" max="2" width="49.7109375" style="18" customWidth="1"/>
    <col min="3" max="3" width="16.42578125" style="18" customWidth="1"/>
    <col min="4" max="4" width="1.5703125" style="18" customWidth="1"/>
    <col min="5" max="5" width="17.28515625" style="18" customWidth="1"/>
    <col min="6" max="6" width="17.7109375" style="18" customWidth="1"/>
    <col min="7" max="7" width="4.85546875" style="18" customWidth="1"/>
    <col min="8" max="8" width="15.7109375" style="18" customWidth="1"/>
    <col min="9" max="9" width="4.7109375" style="18" customWidth="1"/>
    <col min="10" max="10" width="16.85546875" style="18" customWidth="1"/>
    <col min="11" max="11" width="5.5703125" style="18" customWidth="1"/>
    <col min="12" max="13" width="15.7109375" style="18" customWidth="1"/>
    <col min="14" max="14" width="9.140625" style="18"/>
    <col min="15" max="15" width="7.42578125" style="18" customWidth="1"/>
    <col min="16" max="16" width="50.42578125" style="18" customWidth="1"/>
    <col min="17" max="17" width="16.85546875" style="18" customWidth="1"/>
    <col min="18" max="18" width="1.5703125" style="18" customWidth="1"/>
    <col min="19" max="19" width="18.42578125" style="18" customWidth="1"/>
    <col min="20" max="20" width="18.140625" style="18" customWidth="1"/>
    <col min="21" max="21" width="6.7109375" style="18" customWidth="1"/>
    <col min="22" max="22" width="15.5703125" style="18" customWidth="1"/>
    <col min="23" max="23" width="4" style="18" customWidth="1"/>
    <col min="24" max="24" width="17.42578125" style="18" customWidth="1"/>
    <col min="25" max="25" width="4.85546875" style="18" customWidth="1"/>
    <col min="26" max="27" width="15.5703125" style="18" customWidth="1"/>
    <col min="28" max="16384" width="9.140625" style="18"/>
  </cols>
  <sheetData>
    <row r="1" spans="1:30">
      <c r="A1" s="1581" t="str">
        <f>COMPANY</f>
        <v>DUKE ENERGY KENTUCKY, INC.</v>
      </c>
      <c r="B1" s="1571"/>
      <c r="C1" s="1571"/>
      <c r="D1" s="1571"/>
      <c r="E1" s="1328"/>
      <c r="F1" s="1328"/>
      <c r="G1" s="1328"/>
      <c r="H1" s="1328"/>
      <c r="I1" s="1328"/>
      <c r="L1" s="1581" t="s">
        <v>1866</v>
      </c>
      <c r="M1" s="1328"/>
      <c r="N1" s="45"/>
      <c r="O1" s="45"/>
      <c r="P1" s="45"/>
      <c r="Q1" s="45"/>
      <c r="R1" s="45"/>
      <c r="S1" s="45"/>
      <c r="T1" s="45"/>
      <c r="U1" s="46"/>
      <c r="V1" s="45"/>
      <c r="W1" s="46"/>
      <c r="X1" s="45"/>
      <c r="Y1" s="45"/>
      <c r="Z1" s="45"/>
      <c r="AA1" s="45"/>
      <c r="AB1" s="45"/>
      <c r="AC1" s="45"/>
      <c r="AD1" s="45"/>
    </row>
    <row r="2" spans="1:30">
      <c r="A2" s="1581" t="str">
        <f>DEPT</f>
        <v>ELECTRIC DEPARTMENT</v>
      </c>
      <c r="B2" s="1571"/>
      <c r="C2" s="1571"/>
      <c r="D2" s="1571"/>
      <c r="E2" s="1328"/>
      <c r="F2" s="1328"/>
      <c r="G2" s="1328"/>
      <c r="H2" s="1328"/>
      <c r="I2" s="1328"/>
      <c r="L2" s="1581" t="s">
        <v>622</v>
      </c>
      <c r="M2" s="1328"/>
      <c r="N2" s="45"/>
      <c r="O2" s="45"/>
      <c r="P2" s="45"/>
      <c r="Q2" s="45"/>
      <c r="R2" s="45"/>
      <c r="S2" s="45"/>
      <c r="T2" s="45"/>
      <c r="U2" s="46"/>
      <c r="V2" s="45"/>
      <c r="W2" s="46"/>
      <c r="X2" s="45"/>
      <c r="Y2" s="45"/>
      <c r="Z2" s="45"/>
      <c r="AA2" s="45"/>
      <c r="AB2" s="45"/>
      <c r="AC2" s="45"/>
      <c r="AD2" s="45"/>
    </row>
    <row r="3" spans="1:30">
      <c r="A3" s="1581" t="str">
        <f>CASE</f>
        <v>CASE NO. 2017-00321</v>
      </c>
      <c r="B3" s="1571"/>
      <c r="C3" s="1571"/>
      <c r="D3" s="1571"/>
      <c r="E3" s="1328"/>
      <c r="F3" s="1328"/>
      <c r="G3" s="1328"/>
      <c r="H3" s="1328"/>
      <c r="I3" s="1328"/>
      <c r="L3" s="1571" t="str">
        <f>_WIT1</f>
        <v>S. E. LAWLER</v>
      </c>
      <c r="M3" s="1328"/>
      <c r="N3" s="45"/>
      <c r="O3" s="45"/>
      <c r="P3" s="45"/>
      <c r="Q3" s="45"/>
      <c r="R3" s="45"/>
      <c r="S3" s="45"/>
      <c r="T3" s="45"/>
      <c r="U3" s="46"/>
      <c r="V3" s="45"/>
      <c r="W3" s="46"/>
      <c r="X3" s="45"/>
      <c r="Y3" s="45"/>
      <c r="Z3" s="45"/>
      <c r="AA3" s="45"/>
      <c r="AB3" s="45"/>
      <c r="AC3" s="45"/>
      <c r="AD3" s="45"/>
    </row>
    <row r="4" spans="1:30">
      <c r="A4" s="174" t="s">
        <v>397</v>
      </c>
      <c r="B4" s="1571"/>
      <c r="C4" s="1571"/>
      <c r="D4" s="1571"/>
      <c r="E4" s="1328"/>
      <c r="F4" s="1328"/>
      <c r="G4" s="1328"/>
      <c r="H4" s="1328"/>
      <c r="I4" s="1328"/>
      <c r="J4" s="1328"/>
      <c r="K4" s="1328"/>
      <c r="L4" s="1328"/>
      <c r="M4" s="1328"/>
      <c r="N4" s="45"/>
      <c r="O4" s="45"/>
      <c r="P4" s="45"/>
      <c r="Q4" s="45"/>
      <c r="R4" s="45"/>
      <c r="S4" s="45"/>
      <c r="T4" s="45"/>
      <c r="U4" s="46"/>
      <c r="V4" s="45"/>
      <c r="W4" s="46"/>
      <c r="X4" s="45"/>
      <c r="Y4" s="45"/>
      <c r="Z4" s="45"/>
      <c r="AA4" s="45"/>
      <c r="AB4" s="45"/>
      <c r="AC4" s="45"/>
      <c r="AD4" s="45"/>
    </row>
    <row r="5" spans="1:30">
      <c r="A5" s="1270" t="s">
        <v>442</v>
      </c>
      <c r="B5" s="1571"/>
      <c r="C5" s="1571"/>
      <c r="D5" s="1571"/>
      <c r="E5" s="1571"/>
      <c r="F5" s="1571"/>
      <c r="G5" s="1571"/>
      <c r="H5" s="1328"/>
      <c r="I5" s="1328"/>
      <c r="J5" s="1328"/>
      <c r="K5" s="1328"/>
      <c r="L5" s="1328"/>
      <c r="M5" s="1328"/>
      <c r="N5" s="45"/>
      <c r="O5" s="45"/>
      <c r="P5" s="45"/>
      <c r="Q5" s="45"/>
      <c r="R5" s="45"/>
      <c r="S5" s="45"/>
      <c r="T5" s="45"/>
      <c r="U5" s="46"/>
      <c r="V5" s="45"/>
      <c r="W5" s="46"/>
      <c r="X5" s="45"/>
      <c r="Y5" s="45"/>
      <c r="Z5" s="45"/>
      <c r="AA5" s="45"/>
      <c r="AB5" s="45"/>
      <c r="AC5" s="45"/>
      <c r="AD5" s="45"/>
    </row>
    <row r="6" spans="1:30">
      <c r="A6" s="1581" t="str">
        <f>Data</f>
        <v>DATA: "X" BASE PERIOD   FORECASTED PERIOD</v>
      </c>
      <c r="B6" s="1571"/>
      <c r="C6" s="1571"/>
      <c r="D6" s="1571"/>
      <c r="E6" s="1571"/>
      <c r="F6" s="1571"/>
      <c r="G6" s="1571"/>
      <c r="H6" s="1328"/>
      <c r="I6" s="1328"/>
      <c r="J6" s="1328"/>
      <c r="K6" s="1328"/>
      <c r="L6" s="1328"/>
      <c r="M6" s="1328"/>
      <c r="N6" s="45"/>
      <c r="O6" s="45"/>
      <c r="P6" s="45"/>
      <c r="Q6" s="45"/>
      <c r="R6" s="45"/>
      <c r="S6" s="45"/>
      <c r="T6" s="45"/>
      <c r="U6" s="46"/>
      <c r="V6" s="45"/>
      <c r="W6" s="46"/>
      <c r="X6" s="45"/>
      <c r="Y6" s="45"/>
      <c r="Z6" s="45"/>
      <c r="AA6" s="45"/>
      <c r="AB6" s="45"/>
      <c r="AC6" s="45"/>
      <c r="AD6" s="45"/>
    </row>
    <row r="7" spans="1:30">
      <c r="A7" s="1571"/>
      <c r="B7" s="1571"/>
      <c r="C7" s="1571"/>
      <c r="D7" s="1571"/>
      <c r="E7" s="1571"/>
      <c r="F7" s="2741" t="s">
        <v>1744</v>
      </c>
      <c r="G7" s="2741"/>
      <c r="H7" s="1328"/>
      <c r="I7" s="1328"/>
      <c r="J7" s="2741"/>
      <c r="K7" s="2741"/>
      <c r="L7" s="1328"/>
      <c r="M7" s="1328"/>
      <c r="N7" s="45"/>
      <c r="O7" s="45"/>
      <c r="P7" s="45"/>
      <c r="Q7" s="45"/>
      <c r="R7" s="45"/>
      <c r="S7" s="45"/>
      <c r="T7" s="45"/>
      <c r="U7" s="46"/>
      <c r="V7" s="45"/>
      <c r="W7" s="46"/>
      <c r="X7" s="45"/>
      <c r="Y7" s="45"/>
      <c r="Z7" s="45"/>
      <c r="AA7" s="45"/>
      <c r="AB7" s="45"/>
      <c r="AC7" s="45"/>
      <c r="AD7" s="45"/>
    </row>
    <row r="8" spans="1:30">
      <c r="A8" s="1571"/>
      <c r="B8" s="1571"/>
      <c r="C8" s="1571"/>
      <c r="D8" s="1571"/>
      <c r="E8" s="1571"/>
      <c r="F8" s="2741" t="s">
        <v>3310</v>
      </c>
      <c r="G8" s="2741"/>
      <c r="H8" s="1328"/>
      <c r="I8" s="1328"/>
      <c r="J8" s="2741"/>
      <c r="K8" s="2741"/>
      <c r="L8" s="1328"/>
      <c r="M8" s="1328"/>
      <c r="N8" s="45"/>
      <c r="O8" s="45"/>
      <c r="P8" s="45"/>
      <c r="Q8" s="45"/>
      <c r="R8" s="45"/>
      <c r="S8" s="45"/>
      <c r="T8" s="45"/>
      <c r="U8" s="46"/>
      <c r="V8" s="45"/>
      <c r="W8" s="46"/>
      <c r="X8" s="45"/>
      <c r="Y8" s="45"/>
      <c r="Z8" s="45"/>
      <c r="AA8" s="45"/>
      <c r="AB8" s="45"/>
      <c r="AC8" s="45"/>
      <c r="AD8" s="45"/>
    </row>
    <row r="9" spans="1:30">
      <c r="A9" s="2741" t="s">
        <v>1240</v>
      </c>
      <c r="B9" s="1571"/>
      <c r="C9" s="1285" t="s">
        <v>1745</v>
      </c>
      <c r="D9" s="1571"/>
      <c r="E9" s="2741" t="s">
        <v>1929</v>
      </c>
      <c r="F9" s="2741" t="s">
        <v>1746</v>
      </c>
      <c r="G9" s="2741"/>
      <c r="H9" s="2741" t="s">
        <v>1747</v>
      </c>
      <c r="I9" s="2741"/>
      <c r="J9" s="2741" t="s">
        <v>1748</v>
      </c>
      <c r="K9" s="2741"/>
      <c r="L9" s="2741" t="s">
        <v>1748</v>
      </c>
      <c r="M9" s="2741" t="s">
        <v>1640</v>
      </c>
      <c r="N9" s="45"/>
      <c r="O9" s="45"/>
      <c r="P9" s="45"/>
      <c r="Q9" s="45"/>
      <c r="R9" s="45"/>
      <c r="S9" s="45"/>
      <c r="T9" s="45"/>
      <c r="U9" s="46"/>
      <c r="V9" s="45"/>
      <c r="W9" s="46"/>
      <c r="X9" s="45"/>
      <c r="Y9" s="45"/>
      <c r="Z9" s="45"/>
      <c r="AA9" s="45"/>
      <c r="AB9" s="45"/>
      <c r="AC9" s="45"/>
      <c r="AD9" s="45"/>
    </row>
    <row r="10" spans="1:30">
      <c r="A10" s="1308" t="s">
        <v>1241</v>
      </c>
      <c r="B10" s="399" t="s">
        <v>1119</v>
      </c>
      <c r="C10" s="475" t="s">
        <v>1749</v>
      </c>
      <c r="D10" s="1305"/>
      <c r="E10" s="1308" t="s">
        <v>1750</v>
      </c>
      <c r="F10" s="1308" t="s">
        <v>2331</v>
      </c>
      <c r="G10" s="1308"/>
      <c r="H10" s="1308" t="s">
        <v>1751</v>
      </c>
      <c r="I10" s="1308"/>
      <c r="J10" s="1308" t="s">
        <v>802</v>
      </c>
      <c r="K10" s="1308"/>
      <c r="L10" s="1308" t="s">
        <v>1751</v>
      </c>
      <c r="M10" s="1308" t="s">
        <v>802</v>
      </c>
      <c r="N10" s="45"/>
      <c r="O10" s="45"/>
      <c r="P10" s="45"/>
      <c r="Q10" s="45"/>
      <c r="R10" s="45"/>
      <c r="S10" s="45"/>
      <c r="T10" s="45"/>
      <c r="U10" s="46"/>
      <c r="V10" s="45"/>
      <c r="W10" s="46"/>
      <c r="X10" s="45"/>
      <c r="Y10" s="45"/>
      <c r="Z10" s="45"/>
      <c r="AA10" s="45"/>
      <c r="AB10" s="45"/>
      <c r="AC10" s="45"/>
      <c r="AD10" s="45"/>
    </row>
    <row r="11" spans="1:30">
      <c r="A11" s="2741"/>
      <c r="B11" s="1571"/>
      <c r="C11" s="1571"/>
      <c r="D11" s="1571"/>
      <c r="E11" s="1571"/>
      <c r="F11" s="1571"/>
      <c r="G11" s="1571"/>
      <c r="H11" s="1328"/>
      <c r="I11" s="1328"/>
      <c r="J11" s="1328"/>
      <c r="K11" s="1328"/>
      <c r="L11" s="1271"/>
      <c r="M11" s="1271"/>
      <c r="N11" s="45"/>
      <c r="O11" s="45"/>
      <c r="P11" s="45"/>
      <c r="Q11" s="45"/>
      <c r="R11" s="45"/>
      <c r="S11" s="45"/>
      <c r="T11" s="45"/>
      <c r="U11" s="46"/>
      <c r="V11" s="45"/>
      <c r="W11" s="46"/>
      <c r="X11" s="45"/>
      <c r="Y11" s="45"/>
      <c r="Z11" s="45"/>
      <c r="AA11" s="45"/>
      <c r="AB11" s="45"/>
      <c r="AC11" s="45"/>
      <c r="AD11" s="45"/>
    </row>
    <row r="12" spans="1:30">
      <c r="A12" s="2741">
        <v>1</v>
      </c>
      <c r="B12" s="1581" t="s">
        <v>3311</v>
      </c>
      <c r="C12" s="1285" t="s">
        <v>601</v>
      </c>
      <c r="D12" s="1571"/>
      <c r="E12" s="1460">
        <f>SUM(F12:M12)</f>
        <v>2058887569</v>
      </c>
      <c r="F12" s="1316">
        <f>513919445-H12</f>
        <v>502133386</v>
      </c>
      <c r="G12" s="192" t="s">
        <v>944</v>
      </c>
      <c r="H12" s="1628">
        <v>11786059</v>
      </c>
      <c r="I12" s="192" t="s">
        <v>944</v>
      </c>
      <c r="J12" s="1460">
        <f>SCH_B1!G18</f>
        <v>1544965918</v>
      </c>
      <c r="K12" s="1460"/>
      <c r="L12" s="1316">
        <v>0</v>
      </c>
      <c r="M12" s="1316">
        <v>2206</v>
      </c>
      <c r="N12" s="192" t="s">
        <v>944</v>
      </c>
      <c r="O12" s="45"/>
      <c r="P12" s="45"/>
      <c r="Q12" s="45"/>
      <c r="R12" s="45"/>
      <c r="S12" s="45"/>
      <c r="T12" s="45"/>
      <c r="U12" s="46"/>
      <c r="V12" s="45"/>
      <c r="W12" s="46"/>
      <c r="X12" s="45"/>
      <c r="Y12" s="45"/>
      <c r="Z12" s="45"/>
      <c r="AA12" s="45"/>
      <c r="AB12" s="45"/>
      <c r="AC12" s="45"/>
      <c r="AD12" s="45"/>
    </row>
    <row r="13" spans="1:30">
      <c r="A13" s="2741">
        <v>2</v>
      </c>
      <c r="B13" s="1581"/>
      <c r="C13" s="1285"/>
      <c r="D13" s="1571"/>
      <c r="E13" s="1460"/>
      <c r="F13" s="1460"/>
      <c r="G13" s="1460"/>
      <c r="H13" s="1316"/>
      <c r="I13" s="1316"/>
      <c r="J13" s="1316"/>
      <c r="K13" s="1316"/>
      <c r="L13" s="1316"/>
      <c r="M13" s="1316"/>
      <c r="N13" s="45"/>
      <c r="O13" s="45"/>
      <c r="P13" s="45"/>
      <c r="Q13" s="45"/>
      <c r="R13" s="45"/>
      <c r="S13" s="45"/>
      <c r="T13" s="45"/>
      <c r="U13" s="46"/>
      <c r="V13" s="45"/>
      <c r="W13" s="46"/>
      <c r="X13" s="45"/>
      <c r="Y13" s="45"/>
      <c r="Z13" s="45"/>
      <c r="AA13" s="45"/>
      <c r="AB13" s="45"/>
      <c r="AC13" s="45"/>
      <c r="AD13" s="45"/>
    </row>
    <row r="14" spans="1:30">
      <c r="A14" s="2741">
        <v>3</v>
      </c>
      <c r="B14" s="1581" t="s">
        <v>602</v>
      </c>
      <c r="C14" s="1571"/>
      <c r="D14" s="1571"/>
      <c r="E14" s="1459"/>
      <c r="F14" s="1459"/>
      <c r="G14" s="1460"/>
      <c r="H14" s="1335"/>
      <c r="I14" s="1335"/>
      <c r="J14" s="1335"/>
      <c r="K14" s="1335"/>
      <c r="L14" s="1335"/>
      <c r="M14" s="1335"/>
      <c r="N14" s="45"/>
      <c r="O14" s="45"/>
      <c r="P14" s="45"/>
      <c r="Q14" s="45"/>
      <c r="R14" s="45"/>
      <c r="S14" s="45"/>
      <c r="T14" s="45"/>
      <c r="U14" s="46"/>
      <c r="V14" s="45"/>
      <c r="W14" s="46"/>
      <c r="X14" s="45"/>
      <c r="Y14" s="45"/>
      <c r="Z14" s="45"/>
      <c r="AA14" s="45"/>
      <c r="AB14" s="45"/>
      <c r="AC14" s="45"/>
      <c r="AD14" s="45"/>
    </row>
    <row r="15" spans="1:30">
      <c r="A15" s="2741">
        <v>4</v>
      </c>
      <c r="B15" s="1581" t="s">
        <v>603</v>
      </c>
      <c r="C15" s="1285" t="s">
        <v>303</v>
      </c>
      <c r="D15" s="1571"/>
      <c r="E15" s="1460">
        <f>SUM(F15:M15)</f>
        <v>0</v>
      </c>
      <c r="F15" s="1335">
        <v>0</v>
      </c>
      <c r="G15" s="1316"/>
      <c r="H15" s="1335">
        <v>0</v>
      </c>
      <c r="I15" s="1335"/>
      <c r="J15" s="1459">
        <v>0</v>
      </c>
      <c r="K15" s="1459"/>
      <c r="L15" s="1335">
        <v>0</v>
      </c>
      <c r="M15" s="1335">
        <v>0</v>
      </c>
      <c r="N15" s="45"/>
      <c r="O15" s="45"/>
      <c r="P15" s="45"/>
      <c r="Q15" s="45"/>
      <c r="R15" s="45"/>
      <c r="S15" s="45"/>
      <c r="T15" s="45"/>
      <c r="U15" s="46"/>
      <c r="V15" s="45"/>
      <c r="W15" s="46"/>
      <c r="X15" s="45"/>
      <c r="Y15" s="45"/>
      <c r="Z15" s="45"/>
      <c r="AA15" s="45"/>
      <c r="AB15" s="45"/>
      <c r="AC15" s="45"/>
      <c r="AD15" s="45"/>
    </row>
    <row r="16" spans="1:30">
      <c r="A16" s="2741">
        <v>5</v>
      </c>
      <c r="B16" s="1571"/>
      <c r="C16" s="1571"/>
      <c r="D16" s="1571"/>
      <c r="E16" s="400"/>
      <c r="F16" s="1571"/>
      <c r="G16" s="234"/>
      <c r="H16" s="1300"/>
      <c r="I16" s="1300"/>
      <c r="J16" s="1300"/>
      <c r="K16" s="1300"/>
      <c r="L16" s="1300"/>
      <c r="M16" s="1300"/>
      <c r="N16" s="45"/>
      <c r="O16" s="45"/>
      <c r="P16" s="45"/>
      <c r="Q16" s="45"/>
      <c r="R16" s="45"/>
      <c r="S16" s="45"/>
      <c r="T16" s="45"/>
      <c r="U16" s="46"/>
      <c r="V16" s="45"/>
      <c r="W16" s="46"/>
      <c r="X16" s="45"/>
      <c r="Y16" s="45"/>
      <c r="Z16" s="45"/>
      <c r="AA16" s="45"/>
      <c r="AB16" s="45"/>
      <c r="AC16" s="45"/>
      <c r="AD16" s="45"/>
    </row>
    <row r="17" spans="1:30">
      <c r="A17" s="2741">
        <v>6</v>
      </c>
      <c r="B17" s="1571" t="s">
        <v>1641</v>
      </c>
      <c r="C17" s="1285" t="s">
        <v>606</v>
      </c>
      <c r="D17" s="1571"/>
      <c r="E17" s="1460">
        <f>SUM(F17:M17)</f>
        <v>20893849</v>
      </c>
      <c r="F17" s="1460">
        <v>0</v>
      </c>
      <c r="G17" s="1460"/>
      <c r="H17" s="1335">
        <v>0</v>
      </c>
      <c r="I17" s="1335"/>
      <c r="J17" s="1459">
        <f>SCH_B5s!M27</f>
        <v>20893849</v>
      </c>
      <c r="K17" s="1459"/>
      <c r="L17" s="1335">
        <v>0</v>
      </c>
      <c r="M17" s="1335">
        <v>0</v>
      </c>
      <c r="N17" s="45"/>
      <c r="O17" s="45"/>
      <c r="P17" s="45"/>
      <c r="Q17" s="45"/>
      <c r="R17" s="45"/>
      <c r="S17" s="45"/>
      <c r="T17" s="45"/>
      <c r="U17" s="46"/>
      <c r="V17" s="45"/>
      <c r="W17" s="46"/>
      <c r="X17" s="45"/>
      <c r="Y17" s="45"/>
      <c r="Z17" s="45"/>
      <c r="AA17" s="45"/>
      <c r="AB17" s="45"/>
      <c r="AC17" s="45"/>
      <c r="AD17" s="45"/>
    </row>
    <row r="18" spans="1:30">
      <c r="A18" s="2741">
        <v>7</v>
      </c>
      <c r="B18" s="1571"/>
      <c r="C18" s="1571"/>
      <c r="D18" s="1571"/>
      <c r="E18" s="400"/>
      <c r="F18" s="1571"/>
      <c r="G18" s="234"/>
      <c r="H18" s="1300"/>
      <c r="I18" s="1300"/>
      <c r="J18" s="1300"/>
      <c r="K18" s="1300"/>
      <c r="L18" s="1300"/>
      <c r="M18" s="1300"/>
      <c r="N18" s="45"/>
      <c r="O18" s="45"/>
      <c r="P18" s="45"/>
      <c r="Q18" s="45"/>
      <c r="R18" s="45"/>
      <c r="S18" s="45"/>
      <c r="T18" s="45"/>
      <c r="U18" s="46"/>
      <c r="V18" s="45"/>
      <c r="W18" s="46"/>
      <c r="X18" s="45"/>
      <c r="Y18" s="45"/>
      <c r="Z18" s="45"/>
      <c r="AA18" s="45"/>
      <c r="AB18" s="45"/>
      <c r="AC18" s="45"/>
      <c r="AD18" s="45"/>
    </row>
    <row r="19" spans="1:30">
      <c r="A19" s="2741">
        <v>8</v>
      </c>
      <c r="B19" s="1581" t="s">
        <v>604</v>
      </c>
      <c r="C19" s="1571"/>
      <c r="D19" s="1571"/>
      <c r="E19" s="401"/>
      <c r="F19" s="1459"/>
      <c r="G19" s="1460"/>
      <c r="H19" s="1335"/>
      <c r="I19" s="1335"/>
      <c r="J19" s="1335"/>
      <c r="K19" s="1335"/>
      <c r="L19" s="1335"/>
      <c r="M19" s="1335"/>
      <c r="N19" s="45"/>
      <c r="O19" s="45"/>
      <c r="P19" s="45"/>
      <c r="Q19" s="45"/>
      <c r="R19" s="45"/>
      <c r="S19" s="45"/>
      <c r="T19" s="45"/>
      <c r="U19" s="46"/>
      <c r="V19" s="45"/>
      <c r="W19" s="46"/>
      <c r="X19" s="45"/>
      <c r="Y19" s="45"/>
      <c r="Z19" s="45"/>
      <c r="AA19" s="45"/>
      <c r="AB19" s="45"/>
      <c r="AC19" s="45"/>
      <c r="AD19" s="45"/>
    </row>
    <row r="20" spans="1:30">
      <c r="A20" s="2741">
        <v>9</v>
      </c>
      <c r="B20" s="1581" t="s">
        <v>605</v>
      </c>
      <c r="C20" s="1285" t="s">
        <v>1709</v>
      </c>
      <c r="D20" s="1571"/>
      <c r="E20" s="1459">
        <f>'WPB-5''s'!M61</f>
        <v>3714387</v>
      </c>
      <c r="F20" s="1459">
        <f>'WPB-5''s'!O61</f>
        <v>1300035</v>
      </c>
      <c r="G20" s="1460"/>
      <c r="H20" s="1459">
        <f>E20-F20</f>
        <v>2414352</v>
      </c>
      <c r="I20" s="1460"/>
      <c r="J20" s="1459">
        <v>0</v>
      </c>
      <c r="K20" s="1459"/>
      <c r="L20" s="1335">
        <v>0</v>
      </c>
      <c r="M20" s="1335">
        <v>0</v>
      </c>
      <c r="N20" s="45"/>
      <c r="O20" s="45"/>
      <c r="P20" s="45"/>
      <c r="Q20" s="45"/>
      <c r="R20" s="45"/>
      <c r="S20" s="45"/>
      <c r="T20" s="45"/>
      <c r="U20" s="46"/>
      <c r="V20" s="45"/>
      <c r="W20" s="46"/>
      <c r="X20" s="45"/>
      <c r="Y20" s="45"/>
      <c r="Z20" s="45"/>
      <c r="AA20" s="45"/>
      <c r="AB20" s="45"/>
      <c r="AC20" s="45"/>
      <c r="AD20" s="45"/>
    </row>
    <row r="21" spans="1:30">
      <c r="A21" s="2741">
        <v>10</v>
      </c>
      <c r="B21" s="1581" t="s">
        <v>607</v>
      </c>
      <c r="C21" s="1285" t="s">
        <v>1710</v>
      </c>
      <c r="D21" s="1571"/>
      <c r="E21" s="1460">
        <f>'WPB-5''s'!AT156</f>
        <v>20955355</v>
      </c>
      <c r="F21" s="1460">
        <f>E21-J21</f>
        <v>480584</v>
      </c>
      <c r="G21" s="1460"/>
      <c r="H21" s="1316">
        <v>0</v>
      </c>
      <c r="I21" s="1316"/>
      <c r="J21" s="1460">
        <f>'WPB-5''s'!AZ156</f>
        <v>20474771</v>
      </c>
      <c r="K21" s="1460"/>
      <c r="L21" s="1316">
        <v>0</v>
      </c>
      <c r="M21" s="1316">
        <v>0</v>
      </c>
      <c r="N21" s="45"/>
      <c r="O21" s="45"/>
      <c r="P21" s="45"/>
      <c r="Q21" s="45"/>
      <c r="R21" s="45"/>
      <c r="S21" s="45"/>
      <c r="T21" s="45"/>
      <c r="U21" s="46"/>
      <c r="V21" s="45"/>
      <c r="W21" s="46"/>
      <c r="X21" s="45"/>
      <c r="Y21" s="45"/>
      <c r="Z21" s="45"/>
      <c r="AA21" s="45"/>
      <c r="AB21" s="45"/>
      <c r="AC21" s="45"/>
      <c r="AD21" s="45"/>
    </row>
    <row r="22" spans="1:30">
      <c r="A22" s="2741">
        <v>11</v>
      </c>
      <c r="B22" s="2741" t="s">
        <v>373</v>
      </c>
      <c r="C22" s="1571"/>
      <c r="D22" s="1571"/>
      <c r="E22" s="406">
        <f t="shared" ref="E22:M22" si="0">E20+E21</f>
        <v>24669742</v>
      </c>
      <c r="F22" s="406">
        <f t="shared" si="0"/>
        <v>1780619</v>
      </c>
      <c r="G22" s="1460"/>
      <c r="H22" s="406">
        <f t="shared" si="0"/>
        <v>2414352</v>
      </c>
      <c r="I22" s="1460"/>
      <c r="J22" s="406">
        <f t="shared" si="0"/>
        <v>20474771</v>
      </c>
      <c r="K22" s="1317"/>
      <c r="L22" s="406">
        <f t="shared" si="0"/>
        <v>0</v>
      </c>
      <c r="M22" s="406">
        <f t="shared" si="0"/>
        <v>0</v>
      </c>
      <c r="N22" s="45"/>
      <c r="O22" s="45"/>
      <c r="P22" s="45"/>
      <c r="Q22" s="45"/>
      <c r="R22" s="45"/>
      <c r="S22" s="45"/>
      <c r="T22" s="45"/>
      <c r="U22" s="46"/>
      <c r="V22" s="45"/>
      <c r="W22" s="46"/>
      <c r="X22" s="45"/>
      <c r="Y22" s="45"/>
      <c r="Z22" s="45"/>
      <c r="AA22" s="45"/>
      <c r="AB22" s="45"/>
      <c r="AC22" s="45"/>
      <c r="AD22" s="45"/>
    </row>
    <row r="23" spans="1:30">
      <c r="A23" s="2741">
        <v>12</v>
      </c>
      <c r="B23" s="1571"/>
      <c r="C23" s="1571"/>
      <c r="D23" s="1571"/>
      <c r="E23" s="1459"/>
      <c r="F23" s="1459"/>
      <c r="G23" s="1460"/>
      <c r="H23" s="1459"/>
      <c r="I23" s="1460"/>
      <c r="J23" s="1459"/>
      <c r="K23" s="1459"/>
      <c r="L23" s="1271"/>
      <c r="M23" s="1271"/>
      <c r="N23" s="45"/>
      <c r="O23" s="45"/>
      <c r="P23" s="45"/>
      <c r="Q23" s="45"/>
      <c r="R23" s="45"/>
      <c r="S23" s="45"/>
      <c r="T23" s="45"/>
      <c r="U23" s="46"/>
      <c r="V23" s="45"/>
      <c r="W23" s="46"/>
      <c r="X23" s="45"/>
      <c r="Y23" s="45"/>
      <c r="Z23" s="45"/>
      <c r="AA23" s="45"/>
      <c r="AB23" s="45"/>
      <c r="AC23" s="45"/>
      <c r="AD23" s="45"/>
    </row>
    <row r="24" spans="1:30">
      <c r="A24" s="2741">
        <v>13</v>
      </c>
      <c r="B24" s="1581" t="s">
        <v>374</v>
      </c>
      <c r="C24" s="1285" t="s">
        <v>1711</v>
      </c>
      <c r="D24" s="1571"/>
      <c r="E24" s="1460">
        <f>SUM(F24:M24)</f>
        <v>3412415</v>
      </c>
      <c r="F24" s="1459">
        <f>'WPB-5''s'!BJ197</f>
        <v>3412415</v>
      </c>
      <c r="G24" s="1460"/>
      <c r="H24" s="1335">
        <v>0</v>
      </c>
      <c r="I24" s="1316"/>
      <c r="J24" s="1335">
        <v>0</v>
      </c>
      <c r="K24" s="1335"/>
      <c r="L24" s="1335">
        <v>0</v>
      </c>
      <c r="M24" s="1335">
        <v>0</v>
      </c>
      <c r="N24" s="45"/>
      <c r="O24" s="45"/>
      <c r="P24" s="45"/>
      <c r="Q24" s="45"/>
      <c r="R24" s="45"/>
      <c r="S24" s="45"/>
      <c r="T24" s="45"/>
      <c r="U24" s="46"/>
      <c r="V24" s="45"/>
      <c r="W24" s="46"/>
      <c r="X24" s="45"/>
      <c r="Y24" s="45"/>
      <c r="Z24" s="45"/>
      <c r="AA24" s="45"/>
      <c r="AB24" s="45"/>
      <c r="AC24" s="45"/>
      <c r="AD24" s="45"/>
    </row>
    <row r="25" spans="1:30">
      <c r="A25" s="2741">
        <v>14</v>
      </c>
      <c r="B25" s="1571"/>
      <c r="C25" s="1571"/>
      <c r="D25" s="1571"/>
      <c r="E25" s="401"/>
      <c r="F25" s="1459"/>
      <c r="G25" s="1460"/>
      <c r="H25" s="1335"/>
      <c r="I25" s="1316"/>
      <c r="J25" s="1459"/>
      <c r="K25" s="1459"/>
      <c r="L25" s="1335"/>
      <c r="M25" s="1335"/>
      <c r="N25" s="45"/>
      <c r="O25" s="45"/>
      <c r="P25" s="45"/>
      <c r="Q25" s="45"/>
      <c r="R25" s="45"/>
      <c r="S25" s="45"/>
      <c r="T25" s="45"/>
      <c r="U25" s="46"/>
      <c r="V25" s="45"/>
      <c r="W25" s="46"/>
      <c r="X25" s="45"/>
      <c r="Y25" s="45"/>
      <c r="Z25" s="45"/>
      <c r="AA25" s="45"/>
      <c r="AB25" s="45"/>
      <c r="AC25" s="45"/>
      <c r="AD25" s="45"/>
    </row>
    <row r="26" spans="1:30">
      <c r="A26" s="2741">
        <v>15</v>
      </c>
      <c r="B26" s="1581" t="s">
        <v>375</v>
      </c>
      <c r="C26" s="1285" t="s">
        <v>1713</v>
      </c>
      <c r="D26" s="1571"/>
      <c r="E26" s="1460">
        <f>SUM(F26:M26)</f>
        <v>665925</v>
      </c>
      <c r="F26" s="1617">
        <v>0</v>
      </c>
      <c r="G26" s="1316"/>
      <c r="H26" s="1459">
        <f>'WPB-5''s'!W96</f>
        <v>188503</v>
      </c>
      <c r="I26" s="1316"/>
      <c r="J26" s="1459">
        <f>'WPB-5''s'!W100-F26-H26-L26-M26</f>
        <v>0</v>
      </c>
      <c r="K26" s="1459"/>
      <c r="L26" s="1459">
        <f>'WPB-5''s'!W97</f>
        <v>477422</v>
      </c>
      <c r="M26" s="1335">
        <v>0</v>
      </c>
      <c r="N26" s="45"/>
      <c r="O26" s="45"/>
      <c r="P26" s="45"/>
      <c r="Q26" s="45"/>
      <c r="R26" s="45"/>
      <c r="S26" s="45"/>
      <c r="T26" s="45"/>
      <c r="U26" s="46"/>
      <c r="V26" s="45"/>
      <c r="W26" s="46"/>
      <c r="X26" s="45"/>
      <c r="Y26" s="45"/>
      <c r="Z26" s="45"/>
      <c r="AA26" s="45"/>
      <c r="AB26" s="45"/>
      <c r="AC26" s="45"/>
      <c r="AD26" s="45"/>
    </row>
    <row r="27" spans="1:30">
      <c r="A27" s="2741">
        <v>16</v>
      </c>
      <c r="B27" s="1571"/>
      <c r="C27" s="1571"/>
      <c r="D27" s="1571"/>
      <c r="E27" s="401"/>
      <c r="F27" s="1459"/>
      <c r="G27" s="1460"/>
      <c r="H27" s="1335"/>
      <c r="I27" s="1316"/>
      <c r="J27" s="1335"/>
      <c r="K27" s="1335"/>
      <c r="L27" s="1335"/>
      <c r="M27" s="1335"/>
      <c r="N27" s="45"/>
      <c r="O27" s="45"/>
      <c r="P27" s="45"/>
      <c r="Q27" s="45"/>
      <c r="R27" s="45"/>
      <c r="S27" s="45"/>
      <c r="T27" s="45"/>
      <c r="U27" s="46"/>
      <c r="V27" s="45"/>
      <c r="W27" s="46"/>
      <c r="X27" s="45"/>
      <c r="Y27" s="45"/>
      <c r="Z27" s="45"/>
      <c r="AA27" s="45"/>
      <c r="AB27" s="45"/>
      <c r="AC27" s="45"/>
      <c r="AD27" s="45"/>
    </row>
    <row r="28" spans="1:30">
      <c r="A28" s="2741">
        <v>17</v>
      </c>
      <c r="B28" s="1571" t="s">
        <v>1986</v>
      </c>
      <c r="C28" s="1285" t="s">
        <v>989</v>
      </c>
      <c r="D28" s="1571"/>
      <c r="E28" s="1460">
        <f>SUM(F28:M28)</f>
        <v>0</v>
      </c>
      <c r="F28" s="1335">
        <v>0</v>
      </c>
      <c r="G28" s="1316"/>
      <c r="H28" s="1335">
        <v>0</v>
      </c>
      <c r="I28" s="1316"/>
      <c r="J28" s="1459">
        <f>SCH_B5s!M33</f>
        <v>0</v>
      </c>
      <c r="K28" s="1459"/>
      <c r="L28" s="1459">
        <f>SCH_B5s!I33-SCH_B5s!M33</f>
        <v>0</v>
      </c>
      <c r="M28" s="1335">
        <v>0</v>
      </c>
      <c r="N28" s="45"/>
      <c r="O28" s="45"/>
      <c r="P28" s="45"/>
      <c r="Q28" s="45"/>
      <c r="R28" s="45"/>
      <c r="S28" s="45"/>
      <c r="T28" s="45"/>
      <c r="U28" s="46"/>
      <c r="V28" s="45"/>
      <c r="W28" s="46"/>
      <c r="X28" s="45"/>
      <c r="Y28" s="45"/>
      <c r="Z28" s="45"/>
      <c r="AA28" s="45"/>
      <c r="AB28" s="45"/>
      <c r="AC28" s="45"/>
      <c r="AD28" s="45"/>
    </row>
    <row r="29" spans="1:30">
      <c r="A29" s="2741">
        <v>18</v>
      </c>
      <c r="B29" s="1571"/>
      <c r="C29" s="1571"/>
      <c r="D29" s="1571"/>
      <c r="E29" s="401"/>
      <c r="F29" s="1459"/>
      <c r="G29" s="1460"/>
      <c r="H29" s="1335"/>
      <c r="I29" s="1316"/>
      <c r="J29" s="1335"/>
      <c r="K29" s="1335"/>
      <c r="L29" s="1335"/>
      <c r="M29" s="1335"/>
      <c r="N29" s="45"/>
      <c r="O29" s="45"/>
      <c r="P29" s="45"/>
      <c r="Q29" s="45"/>
      <c r="R29" s="45"/>
      <c r="S29" s="45"/>
      <c r="T29" s="45"/>
      <c r="U29" s="46"/>
      <c r="V29" s="45"/>
      <c r="W29" s="46"/>
      <c r="X29" s="45"/>
      <c r="Y29" s="45"/>
      <c r="Z29" s="45"/>
      <c r="AA29" s="45"/>
      <c r="AB29" s="45"/>
      <c r="AC29" s="45"/>
      <c r="AD29" s="45"/>
    </row>
    <row r="30" spans="1:30">
      <c r="A30" s="2741">
        <v>19</v>
      </c>
      <c r="B30" s="1581" t="s">
        <v>462</v>
      </c>
      <c r="C30" s="1285" t="s">
        <v>1707</v>
      </c>
      <c r="D30" s="1571"/>
      <c r="E30" s="1460">
        <f>SUM(F30:M30)</f>
        <v>16807315</v>
      </c>
      <c r="F30" s="1459">
        <f>'WPB-5''s'!E32</f>
        <v>2989701</v>
      </c>
      <c r="G30" s="1460"/>
      <c r="H30" s="1335">
        <v>0</v>
      </c>
      <c r="I30" s="1316"/>
      <c r="J30" s="1459">
        <f>SCH_B5s!M17</f>
        <v>13817614</v>
      </c>
      <c r="K30" s="1459"/>
      <c r="L30" s="1335">
        <v>0</v>
      </c>
      <c r="M30" s="1335">
        <v>0</v>
      </c>
      <c r="N30" s="45"/>
      <c r="O30" s="45"/>
      <c r="P30" s="45"/>
      <c r="Q30" s="45"/>
      <c r="R30" s="45"/>
      <c r="S30" s="45"/>
      <c r="T30" s="45"/>
      <c r="U30" s="46"/>
      <c r="V30" s="45"/>
      <c r="W30" s="46"/>
      <c r="X30" s="45"/>
      <c r="Y30" s="45"/>
      <c r="Z30" s="45"/>
      <c r="AA30" s="45"/>
      <c r="AB30" s="45"/>
      <c r="AC30" s="45"/>
      <c r="AD30" s="45"/>
    </row>
    <row r="31" spans="1:30">
      <c r="A31" s="2741">
        <v>20</v>
      </c>
      <c r="B31" s="1581"/>
      <c r="C31" s="1285"/>
      <c r="D31" s="1571"/>
      <c r="E31" s="1460"/>
      <c r="F31" s="1459"/>
      <c r="G31" s="1460"/>
      <c r="H31" s="1335"/>
      <c r="I31" s="1316"/>
      <c r="J31" s="1335"/>
      <c r="K31" s="1335"/>
      <c r="L31" s="1335"/>
      <c r="M31" s="1335"/>
      <c r="N31" s="45"/>
      <c r="O31" s="45"/>
      <c r="P31" s="45"/>
      <c r="Q31" s="45"/>
      <c r="R31" s="45"/>
      <c r="S31" s="45"/>
      <c r="T31" s="45"/>
      <c r="U31" s="46"/>
      <c r="V31" s="45"/>
      <c r="W31" s="46"/>
      <c r="X31" s="45"/>
      <c r="Y31" s="45"/>
      <c r="Z31" s="45"/>
      <c r="AA31" s="45"/>
      <c r="AB31" s="45"/>
      <c r="AC31" s="45"/>
      <c r="AD31" s="45"/>
    </row>
    <row r="32" spans="1:30">
      <c r="A32" s="2741">
        <v>21</v>
      </c>
      <c r="B32" s="1581" t="s">
        <v>882</v>
      </c>
      <c r="C32" s="1285" t="s">
        <v>883</v>
      </c>
      <c r="D32" s="1571"/>
      <c r="E32" s="1460">
        <f>SUM(F32:M32)</f>
        <v>0</v>
      </c>
      <c r="F32" s="1459">
        <v>0</v>
      </c>
      <c r="G32" s="1460"/>
      <c r="H32" s="1335">
        <v>0</v>
      </c>
      <c r="I32" s="1316"/>
      <c r="J32" s="1459">
        <f>SCH_B1!I38</f>
        <v>0</v>
      </c>
      <c r="K32" s="1459"/>
      <c r="L32" s="1335">
        <v>0</v>
      </c>
      <c r="M32" s="1335">
        <v>0</v>
      </c>
      <c r="N32" s="45"/>
      <c r="O32" s="45"/>
      <c r="P32" s="45"/>
      <c r="Q32" s="45"/>
      <c r="R32" s="45"/>
      <c r="S32" s="45"/>
      <c r="T32" s="45"/>
      <c r="U32" s="46"/>
      <c r="V32" s="45"/>
      <c r="W32" s="46"/>
      <c r="X32" s="45"/>
      <c r="Y32" s="45"/>
      <c r="Z32" s="45"/>
      <c r="AA32" s="45"/>
      <c r="AB32" s="45"/>
      <c r="AC32" s="45"/>
      <c r="AD32" s="45"/>
    </row>
    <row r="33" spans="1:30">
      <c r="A33" s="2741">
        <v>22</v>
      </c>
      <c r="B33" s="2741" t="s">
        <v>884</v>
      </c>
      <c r="C33" s="1571"/>
      <c r="D33" s="1571"/>
      <c r="E33" s="1336">
        <f t="shared" ref="E33:M33" si="1">E15+E17+E22+E24+E26+E28+E30+E32</f>
        <v>66449246</v>
      </c>
      <c r="F33" s="1336">
        <f t="shared" si="1"/>
        <v>8182735</v>
      </c>
      <c r="G33" s="1460"/>
      <c r="H33" s="1336">
        <f t="shared" si="1"/>
        <v>2602855</v>
      </c>
      <c r="I33" s="1460"/>
      <c r="J33" s="1336">
        <f t="shared" si="1"/>
        <v>55186234</v>
      </c>
      <c r="K33" s="1336"/>
      <c r="L33" s="1336">
        <f t="shared" si="1"/>
        <v>477422</v>
      </c>
      <c r="M33" s="1336">
        <f t="shared" si="1"/>
        <v>0</v>
      </c>
      <c r="N33" s="45"/>
      <c r="O33" s="45"/>
      <c r="P33" s="45"/>
      <c r="Q33" s="45"/>
      <c r="R33" s="45"/>
      <c r="S33" s="45"/>
      <c r="T33" s="45"/>
      <c r="U33" s="46"/>
      <c r="V33" s="45"/>
      <c r="W33" s="46"/>
      <c r="X33" s="45"/>
      <c r="Y33" s="45"/>
      <c r="Z33" s="45"/>
      <c r="AA33" s="45"/>
      <c r="AB33" s="45"/>
      <c r="AC33" s="45"/>
      <c r="AD33" s="45"/>
    </row>
    <row r="34" spans="1:30">
      <c r="A34" s="2741">
        <v>23</v>
      </c>
      <c r="B34" s="1571"/>
      <c r="C34" s="1571"/>
      <c r="D34" s="1571"/>
      <c r="E34" s="1459"/>
      <c r="F34" s="1459"/>
      <c r="G34" s="1460"/>
      <c r="H34" s="1459"/>
      <c r="I34" s="1460"/>
      <c r="J34" s="1459"/>
      <c r="K34" s="1459"/>
      <c r="L34" s="1271"/>
      <c r="M34" s="1271"/>
      <c r="N34" s="45"/>
      <c r="O34" s="45"/>
      <c r="P34" s="45"/>
      <c r="Q34" s="45"/>
      <c r="R34" s="45"/>
      <c r="S34" s="45"/>
      <c r="T34" s="45"/>
      <c r="U34" s="46"/>
      <c r="V34" s="45"/>
      <c r="W34" s="46"/>
      <c r="X34" s="45"/>
      <c r="Y34" s="45"/>
      <c r="Z34" s="45"/>
      <c r="AA34" s="45"/>
      <c r="AB34" s="45"/>
      <c r="AC34" s="45"/>
      <c r="AD34" s="45"/>
    </row>
    <row r="35" spans="1:30">
      <c r="A35" s="2741">
        <v>24</v>
      </c>
      <c r="B35" s="1581" t="s">
        <v>885</v>
      </c>
      <c r="C35" s="1571"/>
      <c r="D35" s="1571"/>
      <c r="E35" s="1459"/>
      <c r="F35" s="1459"/>
      <c r="G35" s="1460"/>
      <c r="H35" s="1459"/>
      <c r="I35" s="1460"/>
      <c r="J35" s="1459"/>
      <c r="K35" s="1459"/>
      <c r="L35" s="1271"/>
      <c r="M35" s="1271"/>
      <c r="N35" s="45"/>
      <c r="O35" s="45"/>
      <c r="P35" s="45"/>
      <c r="Q35" s="45"/>
      <c r="R35" s="45"/>
      <c r="S35" s="45"/>
      <c r="T35" s="45"/>
      <c r="U35" s="46"/>
      <c r="V35" s="45"/>
      <c r="W35" s="46"/>
      <c r="X35" s="45"/>
      <c r="Y35" s="45"/>
      <c r="Z35" s="45"/>
      <c r="AA35" s="45"/>
      <c r="AB35" s="45"/>
      <c r="AC35" s="45"/>
      <c r="AD35" s="45"/>
    </row>
    <row r="36" spans="1:30">
      <c r="A36" s="2741">
        <v>25</v>
      </c>
      <c r="B36" s="1581" t="s">
        <v>3318</v>
      </c>
      <c r="C36" s="1285" t="s">
        <v>608</v>
      </c>
      <c r="D36" s="1571"/>
      <c r="E36" s="1460">
        <f>SUM(F36:M36)</f>
        <v>1010540589</v>
      </c>
      <c r="F36" s="1335">
        <f>176577512-H36</f>
        <v>169168029</v>
      </c>
      <c r="G36" s="192" t="s">
        <v>944</v>
      </c>
      <c r="H36" s="1617">
        <v>7409483</v>
      </c>
      <c r="I36" s="192" t="s">
        <v>944</v>
      </c>
      <c r="J36" s="1459">
        <f>-SCH_B1!G20</f>
        <v>833963077</v>
      </c>
      <c r="K36" s="1459"/>
      <c r="L36" s="1335">
        <v>0</v>
      </c>
      <c r="M36" s="1335">
        <v>0</v>
      </c>
      <c r="N36" s="45"/>
      <c r="O36" s="45"/>
      <c r="P36" s="45"/>
      <c r="Q36" s="45"/>
      <c r="R36" s="45"/>
      <c r="S36" s="45"/>
      <c r="T36" s="45"/>
      <c r="U36" s="46"/>
      <c r="V36" s="45"/>
      <c r="W36" s="46"/>
      <c r="X36" s="45"/>
      <c r="Y36" s="45"/>
      <c r="Z36" s="45"/>
      <c r="AA36" s="45"/>
      <c r="AB36" s="45"/>
      <c r="AC36" s="45"/>
      <c r="AD36" s="45"/>
    </row>
    <row r="37" spans="1:30">
      <c r="A37" s="2741">
        <v>26</v>
      </c>
      <c r="B37" s="1571"/>
      <c r="C37" s="1571"/>
      <c r="D37" s="1571"/>
      <c r="E37" s="401"/>
      <c r="F37" s="1459"/>
      <c r="G37" s="1460"/>
      <c r="H37" s="1335"/>
      <c r="I37" s="1316"/>
      <c r="J37" s="1335"/>
      <c r="K37" s="1335"/>
      <c r="L37" s="1335"/>
      <c r="M37" s="1335"/>
      <c r="N37" s="45"/>
      <c r="O37" s="45"/>
      <c r="P37" s="45"/>
      <c r="Q37" s="45"/>
      <c r="R37" s="45"/>
      <c r="S37" s="45"/>
      <c r="T37" s="45"/>
      <c r="U37" s="46"/>
      <c r="V37" s="45"/>
      <c r="W37" s="46"/>
      <c r="X37" s="45"/>
      <c r="Y37" s="45"/>
      <c r="Z37" s="45"/>
      <c r="AA37" s="45"/>
      <c r="AB37" s="45"/>
      <c r="AC37" s="45"/>
      <c r="AD37" s="45"/>
    </row>
    <row r="38" spans="1:30">
      <c r="A38" s="2741">
        <v>27</v>
      </c>
      <c r="B38" s="1581" t="s">
        <v>3319</v>
      </c>
      <c r="C38" s="1285" t="s">
        <v>3330</v>
      </c>
      <c r="D38" s="1571"/>
      <c r="E38" s="1460">
        <f>SUM(F38:M38)</f>
        <v>347970670</v>
      </c>
      <c r="F38" s="1459">
        <f>-'WPB-6''s'!L33+'WPB-6''s'!L32-H38</f>
        <v>81290430</v>
      </c>
      <c r="G38" s="192"/>
      <c r="H38" s="1459">
        <f>-'WPB-6''s'!AD154</f>
        <v>894687</v>
      </c>
      <c r="I38" s="192" t="s">
        <v>210</v>
      </c>
      <c r="J38" s="1459">
        <f>-SCH_B6!P27</f>
        <v>212949748</v>
      </c>
      <c r="K38" s="1459"/>
      <c r="L38" s="1335">
        <v>0</v>
      </c>
      <c r="M38" s="1459">
        <f>-'WPB-6''s'!L66</f>
        <v>52835805</v>
      </c>
      <c r="N38" s="45"/>
      <c r="O38" s="45"/>
      <c r="P38" s="45"/>
      <c r="Q38" s="45"/>
      <c r="R38" s="45"/>
      <c r="S38" s="45"/>
      <c r="T38" s="45"/>
      <c r="U38" s="46"/>
      <c r="V38" s="45"/>
      <c r="W38" s="46"/>
      <c r="X38" s="45"/>
      <c r="Y38" s="45"/>
      <c r="Z38" s="45"/>
      <c r="AA38" s="45"/>
      <c r="AB38" s="45"/>
      <c r="AC38" s="45"/>
      <c r="AD38" s="45"/>
    </row>
    <row r="39" spans="1:30">
      <c r="A39" s="2741">
        <v>28</v>
      </c>
      <c r="B39" s="1328"/>
      <c r="C39" s="1328"/>
      <c r="D39" s="1571"/>
      <c r="E39" s="401"/>
      <c r="F39" s="1459"/>
      <c r="G39" s="1460"/>
      <c r="H39" s="1335"/>
      <c r="I39" s="1316"/>
      <c r="J39" s="1335"/>
      <c r="K39" s="1335"/>
      <c r="L39" s="1335"/>
      <c r="M39" s="1335"/>
      <c r="N39" s="45"/>
      <c r="O39" s="45"/>
      <c r="P39" s="45"/>
      <c r="Q39" s="45"/>
      <c r="R39" s="45"/>
      <c r="S39" s="45"/>
      <c r="T39" s="45"/>
      <c r="U39" s="46"/>
      <c r="V39" s="45"/>
      <c r="W39" s="46"/>
      <c r="X39" s="45"/>
      <c r="Y39" s="45"/>
      <c r="Z39" s="45"/>
      <c r="AA39" s="45"/>
      <c r="AB39" s="45"/>
      <c r="AC39" s="45"/>
      <c r="AD39" s="45"/>
    </row>
    <row r="40" spans="1:30">
      <c r="A40" s="2741">
        <v>29</v>
      </c>
      <c r="B40" s="1581" t="s">
        <v>1417</v>
      </c>
      <c r="C40" s="1285" t="s">
        <v>1869</v>
      </c>
      <c r="D40" s="1571"/>
      <c r="E40" s="1460">
        <f>SUM(F40:M40)</f>
        <v>1492412</v>
      </c>
      <c r="F40" s="1459">
        <f>-'WPB-6''s'!L17</f>
        <v>1492412</v>
      </c>
      <c r="G40" s="1460"/>
      <c r="H40" s="1335">
        <v>0</v>
      </c>
      <c r="I40" s="1316"/>
      <c r="J40" s="1335">
        <v>0</v>
      </c>
      <c r="K40" s="1335"/>
      <c r="L40" s="1335">
        <v>0</v>
      </c>
      <c r="M40" s="1335">
        <v>0</v>
      </c>
      <c r="N40" s="45"/>
      <c r="O40" s="45"/>
      <c r="P40" s="45"/>
      <c r="Q40" s="45"/>
      <c r="R40" s="45"/>
      <c r="S40" s="45"/>
      <c r="T40" s="45"/>
      <c r="U40" s="46"/>
      <c r="V40" s="45"/>
      <c r="W40" s="46"/>
      <c r="X40" s="45"/>
      <c r="Y40" s="45"/>
      <c r="Z40" s="45"/>
      <c r="AA40" s="45"/>
      <c r="AB40" s="45"/>
      <c r="AC40" s="45"/>
      <c r="AD40" s="45"/>
    </row>
    <row r="41" spans="1:30">
      <c r="A41" s="2741">
        <v>30</v>
      </c>
      <c r="B41" s="1581"/>
      <c r="C41" s="1285"/>
      <c r="D41" s="1571"/>
      <c r="E41" s="1460"/>
      <c r="F41" s="1459"/>
      <c r="G41" s="1460"/>
      <c r="H41" s="1335"/>
      <c r="I41" s="1316"/>
      <c r="J41" s="1335"/>
      <c r="K41" s="1335"/>
      <c r="L41" s="1335"/>
      <c r="M41" s="1335"/>
      <c r="N41" s="45"/>
      <c r="O41" s="45"/>
      <c r="P41" s="45"/>
      <c r="Q41" s="45"/>
      <c r="R41" s="45"/>
      <c r="S41" s="45"/>
      <c r="T41" s="45"/>
      <c r="U41" s="46"/>
      <c r="V41" s="45"/>
      <c r="W41" s="46"/>
      <c r="X41" s="45"/>
      <c r="Y41" s="45"/>
      <c r="Z41" s="45"/>
      <c r="AA41" s="45"/>
      <c r="AB41" s="45"/>
      <c r="AC41" s="45"/>
      <c r="AD41" s="45"/>
    </row>
    <row r="42" spans="1:30">
      <c r="A42" s="2741">
        <v>31</v>
      </c>
      <c r="B42" s="1581" t="s">
        <v>3331</v>
      </c>
      <c r="C42" s="1285" t="s">
        <v>883</v>
      </c>
      <c r="D42" s="1571"/>
      <c r="E42" s="1459">
        <f>SUM(F42:M42)</f>
        <v>0</v>
      </c>
      <c r="F42" s="1459">
        <f>-'WPB-6''s'!L20-H42</f>
        <v>0</v>
      </c>
      <c r="G42" s="1460"/>
      <c r="H42" s="1459">
        <f>-'WPB-6''s'!AD152</f>
        <v>0</v>
      </c>
      <c r="I42" s="192"/>
      <c r="J42" s="1459">
        <f>-SCH_B1!G34</f>
        <v>0</v>
      </c>
      <c r="K42" s="1459"/>
      <c r="L42" s="1335">
        <v>0</v>
      </c>
      <c r="M42" s="1459">
        <f>-'WPB-6''s'!L55</f>
        <v>0</v>
      </c>
      <c r="N42" s="45"/>
      <c r="O42" s="45"/>
      <c r="P42" s="45"/>
      <c r="Q42" s="45"/>
      <c r="R42" s="45"/>
      <c r="S42" s="45"/>
      <c r="T42" s="45"/>
      <c r="U42" s="46"/>
      <c r="V42" s="45"/>
      <c r="W42" s="46"/>
      <c r="X42" s="45"/>
      <c r="Y42" s="45"/>
      <c r="Z42" s="45"/>
      <c r="AA42" s="45"/>
      <c r="AB42" s="45"/>
      <c r="AC42" s="45"/>
      <c r="AD42" s="45"/>
    </row>
    <row r="43" spans="1:30">
      <c r="A43" s="2741">
        <v>32</v>
      </c>
      <c r="B43" s="2741" t="s">
        <v>1364</v>
      </c>
      <c r="C43" s="1571"/>
      <c r="D43" s="1571"/>
      <c r="E43" s="1336">
        <f t="shared" ref="E43:M43" si="2">SUM(E36:E42)</f>
        <v>1360003671</v>
      </c>
      <c r="F43" s="1336">
        <f t="shared" si="2"/>
        <v>251950871</v>
      </c>
      <c r="G43" s="1460"/>
      <c r="H43" s="1336">
        <f t="shared" si="2"/>
        <v>8304170</v>
      </c>
      <c r="I43" s="1460"/>
      <c r="J43" s="1336">
        <f t="shared" si="2"/>
        <v>1046912825</v>
      </c>
      <c r="K43" s="1336"/>
      <c r="L43" s="1336">
        <f t="shared" si="2"/>
        <v>0</v>
      </c>
      <c r="M43" s="1336">
        <f t="shared" si="2"/>
        <v>52835805</v>
      </c>
      <c r="N43" s="45"/>
      <c r="O43" s="45"/>
      <c r="P43" s="45"/>
      <c r="Q43" s="45"/>
      <c r="R43" s="45"/>
      <c r="S43" s="45"/>
      <c r="T43" s="45"/>
      <c r="U43" s="46"/>
      <c r="V43" s="45"/>
      <c r="W43" s="46"/>
      <c r="X43" s="45"/>
      <c r="Y43" s="45"/>
      <c r="Z43" s="45"/>
      <c r="AA43" s="45"/>
      <c r="AB43" s="45"/>
      <c r="AC43" s="45"/>
      <c r="AD43" s="45"/>
    </row>
    <row r="44" spans="1:30">
      <c r="A44" s="2741">
        <v>33</v>
      </c>
      <c r="B44" s="1571"/>
      <c r="C44" s="1571"/>
      <c r="D44" s="1571"/>
      <c r="E44" s="1459"/>
      <c r="F44" s="1459"/>
      <c r="G44" s="1460"/>
      <c r="H44" s="1459"/>
      <c r="I44" s="1460"/>
      <c r="J44" s="1459"/>
      <c r="K44" s="1459"/>
      <c r="L44" s="1271"/>
      <c r="M44" s="1271"/>
      <c r="N44" s="45"/>
      <c r="O44" s="45"/>
      <c r="P44" s="45"/>
      <c r="Q44" s="45"/>
      <c r="R44" s="45"/>
      <c r="S44" s="45"/>
      <c r="T44" s="45"/>
      <c r="U44" s="46"/>
      <c r="V44" s="45"/>
      <c r="W44" s="46"/>
      <c r="X44" s="45"/>
      <c r="Y44" s="45"/>
      <c r="Z44" s="45"/>
      <c r="AA44" s="45"/>
      <c r="AB44" s="45"/>
      <c r="AC44" s="45"/>
      <c r="AD44" s="45"/>
    </row>
    <row r="45" spans="1:30" ht="13.5" thickBot="1">
      <c r="A45" s="2741">
        <v>34</v>
      </c>
      <c r="B45" s="1581" t="s">
        <v>1365</v>
      </c>
      <c r="C45" s="1571"/>
      <c r="D45" s="1571"/>
      <c r="E45" s="1301">
        <f t="shared" ref="E45:M45" si="3">E12+E33-E43</f>
        <v>765333144</v>
      </c>
      <c r="F45" s="1301">
        <f t="shared" si="3"/>
        <v>258365250</v>
      </c>
      <c r="G45" s="1460"/>
      <c r="H45" s="1301">
        <f t="shared" si="3"/>
        <v>6084744</v>
      </c>
      <c r="I45" s="1460"/>
      <c r="J45" s="1301">
        <f t="shared" si="3"/>
        <v>553239327</v>
      </c>
      <c r="K45" s="1301"/>
      <c r="L45" s="1301">
        <f t="shared" si="3"/>
        <v>477422</v>
      </c>
      <c r="M45" s="1301">
        <f t="shared" si="3"/>
        <v>-52833599</v>
      </c>
      <c r="N45" s="45"/>
      <c r="O45" s="45"/>
      <c r="P45" s="45"/>
      <c r="Q45" s="45"/>
      <c r="R45" s="45"/>
      <c r="S45" s="45"/>
      <c r="T45" s="45"/>
      <c r="U45" s="46"/>
      <c r="V45" s="45"/>
      <c r="W45" s="46"/>
      <c r="X45" s="45"/>
      <c r="Y45" s="45"/>
      <c r="Z45" s="45"/>
      <c r="AA45" s="45"/>
      <c r="AB45" s="45"/>
      <c r="AC45" s="45"/>
      <c r="AD45" s="45"/>
    </row>
    <row r="46" spans="1:30" ht="13.5" thickTop="1">
      <c r="A46" s="2741">
        <v>35</v>
      </c>
      <c r="B46" s="1571"/>
      <c r="C46" s="1571"/>
      <c r="D46" s="1571"/>
      <c r="E46" s="1459"/>
      <c r="F46" s="1459"/>
      <c r="G46" s="1460"/>
      <c r="H46" s="1459"/>
      <c r="I46" s="1460"/>
      <c r="J46" s="1459"/>
      <c r="K46" s="1459"/>
      <c r="L46" s="1271"/>
      <c r="M46" s="1271"/>
      <c r="N46" s="45"/>
      <c r="O46" s="45"/>
      <c r="P46" s="45"/>
      <c r="Q46" s="45"/>
      <c r="R46" s="45"/>
      <c r="S46" s="45"/>
      <c r="T46" s="45"/>
      <c r="U46" s="46"/>
      <c r="V46" s="45"/>
      <c r="W46" s="46"/>
      <c r="X46" s="45"/>
      <c r="Y46" s="45"/>
      <c r="Z46" s="45"/>
      <c r="AA46" s="45"/>
      <c r="AB46" s="45"/>
      <c r="AC46" s="45"/>
      <c r="AD46" s="45"/>
    </row>
    <row r="47" spans="1:30" ht="13.5" thickBot="1">
      <c r="A47" s="2741">
        <v>36</v>
      </c>
      <c r="B47" s="1581" t="s">
        <v>76</v>
      </c>
      <c r="C47" s="1571"/>
      <c r="D47" s="1571"/>
      <c r="E47" s="1272">
        <v>1</v>
      </c>
      <c r="F47" s="1327">
        <f>ROUND(F45/E45,5)</f>
        <v>0.33759</v>
      </c>
      <c r="G47" s="1307"/>
      <c r="H47" s="1327">
        <f>ROUND(H45/E45,5)</f>
        <v>7.9500000000000005E-3</v>
      </c>
      <c r="I47" s="1307"/>
      <c r="J47" s="1327">
        <f>E47-F47-H47-L47-M47</f>
        <v>0.72287000000000001</v>
      </c>
      <c r="K47" s="1327"/>
      <c r="L47" s="1327">
        <f>ROUND(L45/E45,5)</f>
        <v>6.2E-4</v>
      </c>
      <c r="M47" s="1327">
        <f>ROUND(M45/E45,5)</f>
        <v>-6.9029999999999994E-2</v>
      </c>
      <c r="N47" s="45"/>
      <c r="O47" s="45"/>
      <c r="P47" s="45"/>
      <c r="Q47" s="45"/>
      <c r="R47" s="45"/>
      <c r="S47" s="45"/>
      <c r="T47" s="45"/>
      <c r="U47" s="46"/>
      <c r="V47" s="45"/>
      <c r="W47" s="46"/>
      <c r="X47" s="45"/>
      <c r="Y47" s="45"/>
      <c r="Z47" s="45"/>
      <c r="AA47" s="45"/>
      <c r="AB47" s="45"/>
      <c r="AC47" s="45"/>
      <c r="AD47" s="45"/>
    </row>
    <row r="48" spans="1:30" ht="13.5" thickTop="1">
      <c r="A48" s="2741">
        <v>37</v>
      </c>
      <c r="B48" s="1571"/>
      <c r="C48" s="1571"/>
      <c r="D48" s="1571"/>
      <c r="E48" s="1459"/>
      <c r="F48" s="1459"/>
      <c r="G48" s="1460"/>
      <c r="H48" s="1459"/>
      <c r="I48" s="1460"/>
      <c r="J48" s="1459"/>
      <c r="K48" s="1459"/>
      <c r="L48" s="1271"/>
      <c r="M48" s="1271"/>
      <c r="N48" s="45"/>
      <c r="O48" s="45"/>
      <c r="P48" s="45"/>
      <c r="Q48" s="45"/>
      <c r="R48" s="45"/>
      <c r="S48" s="45"/>
      <c r="T48" s="45"/>
      <c r="U48" s="46"/>
      <c r="V48" s="45"/>
      <c r="W48" s="46"/>
      <c r="X48" s="45"/>
      <c r="Y48" s="45"/>
      <c r="Z48" s="45"/>
      <c r="AA48" s="45"/>
      <c r="AB48" s="45"/>
      <c r="AC48" s="45"/>
      <c r="AD48" s="45"/>
    </row>
    <row r="49" spans="1:30" ht="13.5" thickBot="1">
      <c r="A49" s="2741">
        <v>38</v>
      </c>
      <c r="B49" s="1581" t="s">
        <v>108</v>
      </c>
      <c r="C49" s="1571"/>
      <c r="D49" s="1571"/>
      <c r="E49" s="1272">
        <v>1</v>
      </c>
      <c r="F49" s="1327">
        <f>ROUND(F45/($F$45+$J$45),5)</f>
        <v>0.31834000000000001</v>
      </c>
      <c r="G49" s="1307"/>
      <c r="H49" s="1307"/>
      <c r="I49" s="1307"/>
      <c r="J49" s="1327">
        <f>ROUND(J45/($F$45+$J$45),5)</f>
        <v>0.68166000000000004</v>
      </c>
      <c r="K49" s="1307"/>
      <c r="L49" s="1307"/>
      <c r="M49" s="1307"/>
      <c r="N49" s="45"/>
      <c r="O49" s="45"/>
      <c r="P49" s="45"/>
      <c r="Q49" s="45"/>
      <c r="R49" s="45"/>
      <c r="S49" s="45"/>
      <c r="T49" s="45"/>
      <c r="U49" s="46"/>
      <c r="V49" s="45"/>
      <c r="W49" s="46"/>
      <c r="X49" s="45"/>
      <c r="Y49" s="45"/>
      <c r="Z49" s="45"/>
      <c r="AA49" s="45"/>
      <c r="AB49" s="45"/>
      <c r="AC49" s="45"/>
      <c r="AD49" s="45"/>
    </row>
    <row r="50" spans="1:30" ht="13.5" thickTop="1">
      <c r="A50" s="2741"/>
      <c r="B50" s="1581"/>
      <c r="C50" s="1571"/>
      <c r="D50" s="1571"/>
      <c r="E50" s="1307"/>
      <c r="F50" s="1307"/>
      <c r="G50" s="1307"/>
      <c r="H50" s="1307"/>
      <c r="I50" s="1307"/>
      <c r="J50" s="1307"/>
      <c r="K50" s="1307"/>
      <c r="L50" s="1307"/>
      <c r="M50" s="1307"/>
      <c r="N50" s="45"/>
      <c r="O50" s="45"/>
      <c r="P50" s="45"/>
      <c r="Q50" s="45"/>
      <c r="R50" s="45"/>
      <c r="S50" s="45"/>
      <c r="T50" s="45"/>
      <c r="U50" s="46"/>
      <c r="V50" s="45"/>
      <c r="W50" s="46"/>
      <c r="X50" s="45"/>
      <c r="Y50" s="45"/>
      <c r="Z50" s="45"/>
      <c r="AA50" s="45"/>
      <c r="AB50" s="45"/>
      <c r="AC50" s="45"/>
      <c r="AD50" s="45"/>
    </row>
    <row r="51" spans="1:30">
      <c r="A51" s="1328"/>
      <c r="B51" s="1328"/>
      <c r="C51" s="1328"/>
      <c r="D51" s="1328"/>
      <c r="E51" s="1328"/>
      <c r="F51" s="1328"/>
      <c r="G51" s="1271"/>
      <c r="H51" s="1328"/>
      <c r="I51" s="1271"/>
      <c r="J51" s="1328"/>
      <c r="K51" s="1328"/>
      <c r="L51" s="1328"/>
      <c r="M51" s="1328"/>
      <c r="N51" s="45"/>
      <c r="O51" s="45"/>
      <c r="P51" s="45"/>
      <c r="Q51" s="45"/>
      <c r="R51" s="45"/>
      <c r="S51" s="45"/>
      <c r="T51" s="45"/>
      <c r="U51" s="46"/>
      <c r="V51" s="45"/>
      <c r="W51" s="46"/>
      <c r="X51" s="45"/>
      <c r="Y51" s="45"/>
      <c r="Z51" s="45"/>
      <c r="AA51" s="45"/>
      <c r="AB51" s="45"/>
      <c r="AC51" s="45"/>
      <c r="AD51" s="45"/>
    </row>
    <row r="52" spans="1:30">
      <c r="A52" s="2741"/>
      <c r="B52" s="1581" t="s">
        <v>1502</v>
      </c>
      <c r="C52" s="1571"/>
      <c r="D52" s="1571"/>
      <c r="E52" s="1571"/>
      <c r="F52" s="1571"/>
      <c r="G52" s="234"/>
      <c r="H52" s="1571"/>
      <c r="I52" s="234"/>
      <c r="J52" s="1328"/>
      <c r="K52" s="1328"/>
      <c r="L52" s="1271"/>
      <c r="M52" s="1271"/>
      <c r="N52" s="45"/>
      <c r="O52" s="45"/>
      <c r="P52" s="45"/>
      <c r="Q52" s="45"/>
      <c r="R52" s="45"/>
      <c r="S52" s="45"/>
      <c r="T52" s="45"/>
      <c r="U52" s="46"/>
      <c r="V52" s="45"/>
      <c r="W52" s="46"/>
      <c r="X52" s="45"/>
      <c r="Y52" s="45"/>
      <c r="Z52" s="45"/>
      <c r="AA52" s="45"/>
      <c r="AB52" s="45"/>
      <c r="AC52" s="45"/>
      <c r="AD52" s="45"/>
    </row>
    <row r="53" spans="1:30">
      <c r="A53" s="2741"/>
      <c r="B53" s="1581" t="s">
        <v>1985</v>
      </c>
      <c r="C53" s="1571"/>
      <c r="D53" s="1459"/>
      <c r="E53" s="1571"/>
      <c r="F53" s="1571"/>
      <c r="G53" s="1571"/>
      <c r="H53" s="1328"/>
      <c r="I53" s="1271"/>
      <c r="J53" s="1328"/>
      <c r="K53" s="1328"/>
      <c r="L53" s="1271"/>
      <c r="M53" s="1271"/>
      <c r="N53" s="45"/>
      <c r="O53" s="45"/>
      <c r="P53" s="45"/>
      <c r="Q53" s="45"/>
      <c r="R53" s="45"/>
      <c r="S53" s="45"/>
      <c r="T53" s="45"/>
      <c r="U53" s="46"/>
      <c r="V53" s="45"/>
      <c r="W53" s="46"/>
      <c r="X53" s="45"/>
      <c r="Y53" s="45"/>
      <c r="Z53" s="45"/>
      <c r="AA53" s="45"/>
      <c r="AB53" s="45"/>
      <c r="AC53" s="45"/>
      <c r="AD53" s="45"/>
    </row>
    <row r="54" spans="1:30">
      <c r="A54" s="1273"/>
      <c r="B54" s="1581" t="str">
        <f>"(B)  WPB-6c.  Liberalized Depreciation of "&amp;TEXT(-'WPB-6''s'!AD154,"$#,###")&amp;"."</f>
        <v>(B)  WPB-6c.  Liberalized Depreciation of $894,687.</v>
      </c>
      <c r="C54" s="1571"/>
      <c r="D54" s="1459"/>
      <c r="E54" s="1459"/>
      <c r="F54" s="401"/>
      <c r="G54" s="401"/>
      <c r="H54" s="1328"/>
      <c r="I54" s="1271"/>
      <c r="J54" s="1328"/>
      <c r="K54" s="1328"/>
      <c r="L54" s="1271"/>
      <c r="M54" s="1271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</row>
    <row r="55" spans="1:30">
      <c r="A55" s="1273"/>
      <c r="B55" s="1581" t="s">
        <v>3332</v>
      </c>
      <c r="C55" s="1571"/>
      <c r="D55" s="1459"/>
      <c r="E55" s="1459"/>
      <c r="F55" s="401"/>
      <c r="G55" s="401"/>
      <c r="H55" s="1328"/>
      <c r="I55" s="1271"/>
      <c r="J55" s="1328"/>
      <c r="K55" s="1328"/>
      <c r="L55" s="1271"/>
      <c r="M55" s="1271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</row>
    <row r="56" spans="1:30">
      <c r="A56" s="1273"/>
      <c r="B56" s="1581" t="s">
        <v>3333</v>
      </c>
      <c r="C56" s="1571"/>
      <c r="D56" s="1459"/>
      <c r="E56" s="1459"/>
      <c r="F56" s="1571"/>
      <c r="G56" s="1571"/>
      <c r="H56" s="1328"/>
      <c r="I56" s="1271"/>
      <c r="J56" s="1328"/>
      <c r="K56" s="1328"/>
      <c r="L56" s="1271"/>
      <c r="M56" s="1271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</row>
    <row r="57" spans="1:30">
      <c r="A57" s="1273"/>
      <c r="B57" s="1328"/>
      <c r="C57" s="1571"/>
      <c r="D57" s="1459"/>
      <c r="E57" s="1459"/>
      <c r="F57" s="1459"/>
      <c r="G57" s="1459"/>
      <c r="H57" s="1328"/>
      <c r="I57" s="1271"/>
      <c r="J57" s="1328"/>
      <c r="K57" s="1328"/>
      <c r="L57" s="1271"/>
      <c r="M57" s="1271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</row>
    <row r="58" spans="1:30">
      <c r="A58" s="1273"/>
      <c r="B58" s="1328"/>
      <c r="C58" s="1571"/>
      <c r="D58" s="1459"/>
      <c r="E58" s="1459"/>
      <c r="F58" s="1459"/>
      <c r="G58" s="1459"/>
      <c r="H58" s="1328"/>
      <c r="I58" s="1271"/>
      <c r="J58" s="1328"/>
      <c r="K58" s="1328"/>
      <c r="L58" s="1271"/>
      <c r="M58" s="1271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</row>
    <row r="59" spans="1:30">
      <c r="A59" s="1273"/>
      <c r="B59" s="1328"/>
      <c r="C59" s="1571"/>
      <c r="D59" s="1459"/>
      <c r="E59" s="1459"/>
      <c r="F59" s="1571"/>
      <c r="G59" s="1571"/>
      <c r="H59" s="1328"/>
      <c r="I59" s="1271"/>
      <c r="J59" s="1328"/>
      <c r="K59" s="1328"/>
      <c r="L59" s="1271"/>
      <c r="M59" s="1271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</row>
    <row r="60" spans="1:30">
      <c r="A60" s="45"/>
      <c r="B60" s="45"/>
      <c r="C60" s="45"/>
      <c r="D60" s="45"/>
      <c r="E60" s="45"/>
      <c r="F60" s="45"/>
      <c r="G60" s="45"/>
      <c r="H60" s="45"/>
      <c r="I60" s="46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</row>
    <row r="61" spans="1:30">
      <c r="A61" s="45"/>
      <c r="B61" s="45"/>
      <c r="C61" s="45"/>
      <c r="D61" s="45"/>
      <c r="E61" s="45"/>
      <c r="F61" s="45"/>
      <c r="G61" s="45"/>
      <c r="H61" s="45"/>
      <c r="I61" s="46"/>
      <c r="J61" s="45"/>
      <c r="K61" s="45"/>
      <c r="L61" s="45"/>
      <c r="M61" s="45"/>
      <c r="N61" s="45"/>
      <c r="O61" s="1581" t="str">
        <f>COMPANY</f>
        <v>DUKE ENERGY KENTUCKY, INC.</v>
      </c>
      <c r="P61" s="1571"/>
      <c r="Q61" s="1571"/>
      <c r="R61" s="1571"/>
      <c r="S61" s="1328"/>
      <c r="T61" s="1328"/>
      <c r="U61" s="1271"/>
      <c r="V61" s="1328"/>
      <c r="W61" s="1271"/>
      <c r="Y61" s="1581"/>
      <c r="Z61" s="1581" t="s">
        <v>1867</v>
      </c>
      <c r="AA61" s="1328"/>
      <c r="AB61" s="45"/>
      <c r="AC61" s="45"/>
      <c r="AD61" s="45"/>
    </row>
    <row r="62" spans="1:30">
      <c r="A62" s="45"/>
      <c r="B62" s="45"/>
      <c r="C62" s="45"/>
      <c r="D62" s="45"/>
      <c r="E62" s="45"/>
      <c r="F62" s="45"/>
      <c r="G62" s="45"/>
      <c r="H62" s="45"/>
      <c r="I62" s="46"/>
      <c r="J62" s="45"/>
      <c r="K62" s="45"/>
      <c r="L62" s="45"/>
      <c r="M62" s="45"/>
      <c r="N62" s="45"/>
      <c r="O62" s="1581" t="str">
        <f>DEPT</f>
        <v>ELECTRIC DEPARTMENT</v>
      </c>
      <c r="P62" s="1571"/>
      <c r="Q62" s="1571"/>
      <c r="R62" s="1571"/>
      <c r="S62" s="1328"/>
      <c r="T62" s="1328"/>
      <c r="U62" s="1271"/>
      <c r="V62" s="1328"/>
      <c r="W62" s="1271"/>
      <c r="Y62" s="1581"/>
      <c r="Z62" s="1581" t="s">
        <v>622</v>
      </c>
      <c r="AA62" s="1328"/>
      <c r="AB62" s="45"/>
      <c r="AC62" s="45"/>
      <c r="AD62" s="45"/>
    </row>
    <row r="63" spans="1:30">
      <c r="A63" s="45"/>
      <c r="B63" s="45"/>
      <c r="C63" s="45"/>
      <c r="D63" s="45"/>
      <c r="E63" s="45"/>
      <c r="F63" s="45"/>
      <c r="G63" s="45"/>
      <c r="H63" s="45"/>
      <c r="I63" s="46"/>
      <c r="J63" s="45"/>
      <c r="K63" s="45"/>
      <c r="L63" s="45"/>
      <c r="M63" s="45"/>
      <c r="N63" s="45"/>
      <c r="O63" s="1581" t="str">
        <f>CASE</f>
        <v>CASE NO. 2017-00321</v>
      </c>
      <c r="P63" s="1571"/>
      <c r="Q63" s="1571"/>
      <c r="R63" s="1571"/>
      <c r="S63" s="1328"/>
      <c r="T63" s="1328"/>
      <c r="U63" s="1271"/>
      <c r="V63" s="1328"/>
      <c r="W63" s="1271"/>
      <c r="Y63" s="1571"/>
      <c r="Z63" s="1571" t="str">
        <f>_WIT1</f>
        <v>S. E. LAWLER</v>
      </c>
      <c r="AA63" s="1328"/>
      <c r="AB63" s="45"/>
      <c r="AC63" s="45"/>
      <c r="AD63" s="45"/>
    </row>
    <row r="64" spans="1:30">
      <c r="A64" s="45"/>
      <c r="B64" s="45"/>
      <c r="C64" s="45"/>
      <c r="D64" s="45"/>
      <c r="E64" s="45"/>
      <c r="F64" s="45"/>
      <c r="G64" s="45"/>
      <c r="H64" s="45"/>
      <c r="I64" s="46"/>
      <c r="J64" s="45"/>
      <c r="K64" s="45"/>
      <c r="L64" s="45"/>
      <c r="M64" s="45"/>
      <c r="N64" s="45"/>
      <c r="O64" s="174" t="s">
        <v>246</v>
      </c>
      <c r="P64" s="1571"/>
      <c r="Q64" s="1571"/>
      <c r="R64" s="1571"/>
      <c r="S64" s="1328"/>
      <c r="T64" s="1328"/>
      <c r="U64" s="1271"/>
      <c r="V64" s="1328"/>
      <c r="W64" s="1271"/>
      <c r="X64" s="1328"/>
      <c r="Y64" s="1328"/>
      <c r="Z64" s="1328"/>
      <c r="AA64" s="1328"/>
      <c r="AB64" s="45"/>
      <c r="AC64" s="45"/>
      <c r="AD64" s="45"/>
    </row>
    <row r="65" spans="1:30">
      <c r="A65" s="45"/>
      <c r="B65" s="45"/>
      <c r="C65" s="45"/>
      <c r="D65" s="45"/>
      <c r="E65" s="45"/>
      <c r="F65" s="45"/>
      <c r="G65" s="45"/>
      <c r="H65" s="45"/>
      <c r="I65" s="46"/>
      <c r="J65" s="45"/>
      <c r="K65" s="45"/>
      <c r="L65" s="45"/>
      <c r="M65" s="45"/>
      <c r="N65" s="45"/>
      <c r="O65" s="1270" t="s">
        <v>442</v>
      </c>
      <c r="P65" s="1571"/>
      <c r="Q65" s="1571"/>
      <c r="R65" s="1571"/>
      <c r="S65" s="1571"/>
      <c r="T65" s="1571"/>
      <c r="U65" s="234"/>
      <c r="V65" s="1328"/>
      <c r="W65" s="1271"/>
      <c r="X65" s="1328"/>
      <c r="Y65" s="1328"/>
      <c r="Z65" s="1328"/>
      <c r="AA65" s="1328"/>
      <c r="AB65" s="45"/>
      <c r="AC65" s="45"/>
      <c r="AD65" s="45"/>
    </row>
    <row r="66" spans="1:30">
      <c r="A66" s="45"/>
      <c r="B66" s="45"/>
      <c r="C66" s="45"/>
      <c r="D66" s="45"/>
      <c r="E66" s="45"/>
      <c r="F66" s="45"/>
      <c r="G66" s="45"/>
      <c r="H66" s="45"/>
      <c r="I66" s="46"/>
      <c r="J66" s="45"/>
      <c r="K66" s="45"/>
      <c r="L66" s="45"/>
      <c r="M66" s="45"/>
      <c r="N66" s="45"/>
      <c r="O66" s="1581" t="str">
        <f>DataF</f>
        <v>DATA:  BASE PERIOD  "X" FORECASTED PERIOD</v>
      </c>
      <c r="P66" s="1571"/>
      <c r="Q66" s="1571"/>
      <c r="R66" s="1571"/>
      <c r="S66" s="1571"/>
      <c r="T66" s="1571"/>
      <c r="U66" s="234"/>
      <c r="V66" s="1328"/>
      <c r="W66" s="1271"/>
      <c r="X66" s="1328"/>
      <c r="Y66" s="1328"/>
      <c r="Z66" s="1328"/>
      <c r="AA66" s="1328"/>
      <c r="AB66" s="45"/>
      <c r="AC66" s="45"/>
      <c r="AD66" s="45"/>
    </row>
    <row r="67" spans="1:30">
      <c r="A67" s="45"/>
      <c r="B67" s="45"/>
      <c r="C67" s="45"/>
      <c r="D67" s="45"/>
      <c r="E67" s="45"/>
      <c r="F67" s="45"/>
      <c r="G67" s="45"/>
      <c r="H67" s="45"/>
      <c r="I67" s="46"/>
      <c r="J67" s="45"/>
      <c r="K67" s="45"/>
      <c r="L67" s="45"/>
      <c r="M67" s="45"/>
      <c r="N67" s="45"/>
      <c r="O67" s="1571"/>
      <c r="P67" s="1571"/>
      <c r="Q67" s="1571"/>
      <c r="R67" s="1571"/>
      <c r="S67" s="1571"/>
      <c r="T67" s="2741" t="s">
        <v>1744</v>
      </c>
      <c r="U67" s="232"/>
      <c r="V67" s="1328"/>
      <c r="W67" s="1271"/>
      <c r="X67" s="2741"/>
      <c r="Y67" s="2741"/>
      <c r="Z67" s="1328"/>
      <c r="AA67" s="1328"/>
      <c r="AB67" s="45"/>
      <c r="AC67" s="45"/>
      <c r="AD67" s="45"/>
    </row>
    <row r="68" spans="1:30">
      <c r="A68" s="45"/>
      <c r="B68" s="45"/>
      <c r="C68" s="45"/>
      <c r="D68" s="45"/>
      <c r="E68" s="45"/>
      <c r="F68" s="45"/>
      <c r="G68" s="45"/>
      <c r="H68" s="45"/>
      <c r="I68" s="46"/>
      <c r="J68" s="45"/>
      <c r="K68" s="45"/>
      <c r="L68" s="45"/>
      <c r="M68" s="45"/>
      <c r="N68" s="45"/>
      <c r="O68" s="1571"/>
      <c r="P68" s="1571"/>
      <c r="Q68" s="1571"/>
      <c r="R68" s="1571"/>
      <c r="S68" s="1571"/>
      <c r="T68" s="2741" t="s">
        <v>3310</v>
      </c>
      <c r="U68" s="232"/>
      <c r="V68" s="1328"/>
      <c r="W68" s="1271"/>
      <c r="X68" s="2741"/>
      <c r="Y68" s="2741"/>
      <c r="Z68" s="1328"/>
      <c r="AA68" s="1328"/>
      <c r="AB68" s="45"/>
      <c r="AC68" s="45"/>
      <c r="AD68" s="45"/>
    </row>
    <row r="69" spans="1:30">
      <c r="A69" s="45"/>
      <c r="B69" s="45"/>
      <c r="C69" s="45"/>
      <c r="D69" s="45"/>
      <c r="E69" s="45"/>
      <c r="F69" s="45"/>
      <c r="G69" s="45"/>
      <c r="H69" s="45"/>
      <c r="I69" s="46"/>
      <c r="J69" s="45"/>
      <c r="K69" s="45"/>
      <c r="L69" s="45"/>
      <c r="M69" s="45"/>
      <c r="N69" s="45"/>
      <c r="O69" s="2741" t="s">
        <v>1240</v>
      </c>
      <c r="P69" s="1571"/>
      <c r="Q69" s="1285" t="s">
        <v>1745</v>
      </c>
      <c r="R69" s="1571"/>
      <c r="S69" s="2741" t="s">
        <v>1929</v>
      </c>
      <c r="T69" s="2741" t="s">
        <v>1746</v>
      </c>
      <c r="U69" s="232"/>
      <c r="V69" s="2741" t="s">
        <v>1747</v>
      </c>
      <c r="W69" s="232"/>
      <c r="X69" s="2741" t="s">
        <v>1748</v>
      </c>
      <c r="Y69" s="2741"/>
      <c r="Z69" s="2741" t="s">
        <v>1748</v>
      </c>
      <c r="AA69" s="2741" t="s">
        <v>1640</v>
      </c>
      <c r="AB69" s="45"/>
      <c r="AC69" s="45"/>
      <c r="AD69" s="45"/>
    </row>
    <row r="70" spans="1:30">
      <c r="A70" s="45"/>
      <c r="B70" s="45"/>
      <c r="C70" s="45"/>
      <c r="D70" s="45"/>
      <c r="E70" s="45"/>
      <c r="F70" s="45"/>
      <c r="G70" s="45"/>
      <c r="H70" s="45"/>
      <c r="I70" s="46"/>
      <c r="J70" s="45"/>
      <c r="K70" s="45"/>
      <c r="L70" s="45"/>
      <c r="M70" s="45"/>
      <c r="N70" s="45"/>
      <c r="O70" s="1308" t="s">
        <v>1241</v>
      </c>
      <c r="P70" s="399" t="s">
        <v>1119</v>
      </c>
      <c r="Q70" s="475" t="s">
        <v>1749</v>
      </c>
      <c r="R70" s="1305"/>
      <c r="S70" s="1308" t="s">
        <v>1750</v>
      </c>
      <c r="T70" s="1308" t="s">
        <v>2331</v>
      </c>
      <c r="U70" s="1308"/>
      <c r="V70" s="1308" t="s">
        <v>1751</v>
      </c>
      <c r="W70" s="1308"/>
      <c r="X70" s="1308" t="s">
        <v>802</v>
      </c>
      <c r="Y70" s="1308"/>
      <c r="Z70" s="1308" t="s">
        <v>1751</v>
      </c>
      <c r="AA70" s="1308" t="s">
        <v>802</v>
      </c>
      <c r="AB70" s="45"/>
      <c r="AC70" s="45"/>
      <c r="AD70" s="45"/>
    </row>
    <row r="71" spans="1:30">
      <c r="A71" s="45"/>
      <c r="B71" s="45"/>
      <c r="C71" s="45"/>
      <c r="D71" s="45"/>
      <c r="E71" s="45"/>
      <c r="F71" s="45"/>
      <c r="G71" s="45"/>
      <c r="H71" s="45"/>
      <c r="I71" s="46"/>
      <c r="J71" s="45"/>
      <c r="K71" s="45"/>
      <c r="L71" s="45"/>
      <c r="M71" s="45"/>
      <c r="N71" s="45"/>
      <c r="O71" s="2741"/>
      <c r="P71" s="1571"/>
      <c r="Q71" s="1571"/>
      <c r="R71" s="1571"/>
      <c r="S71" s="1571"/>
      <c r="T71" s="1571"/>
      <c r="U71" s="234"/>
      <c r="V71" s="1328"/>
      <c r="W71" s="1271"/>
      <c r="X71" s="1328"/>
      <c r="Y71" s="1328"/>
      <c r="Z71" s="1271"/>
      <c r="AA71" s="1271"/>
      <c r="AB71" s="45"/>
      <c r="AC71" s="45"/>
      <c r="AD71" s="45"/>
    </row>
    <row r="72" spans="1:30">
      <c r="A72" s="45"/>
      <c r="B72" s="45"/>
      <c r="C72" s="45"/>
      <c r="D72" s="45"/>
      <c r="E72" s="45"/>
      <c r="F72" s="45"/>
      <c r="G72" s="45"/>
      <c r="H72" s="45"/>
      <c r="I72" s="46"/>
      <c r="J72" s="45"/>
      <c r="K72" s="45"/>
      <c r="L72" s="45"/>
      <c r="M72" s="45"/>
      <c r="N72" s="45"/>
      <c r="O72" s="2741">
        <v>1</v>
      </c>
      <c r="P72" s="1581" t="s">
        <v>3312</v>
      </c>
      <c r="Q72" s="1285" t="s">
        <v>601</v>
      </c>
      <c r="R72" s="1571"/>
      <c r="S72" s="1460">
        <f>SUM(T72:AA72)</f>
        <v>2273858620</v>
      </c>
      <c r="T72" s="1316">
        <f>543014501-V72</f>
        <v>531228442</v>
      </c>
      <c r="U72" s="192" t="s">
        <v>1935</v>
      </c>
      <c r="V72" s="1628">
        <v>11786059</v>
      </c>
      <c r="W72" s="192" t="s">
        <v>1935</v>
      </c>
      <c r="X72" s="1460">
        <f>PLANT_IN_SERVICE</f>
        <v>1730844119</v>
      </c>
      <c r="Y72" s="1460"/>
      <c r="Z72" s="1316">
        <v>0</v>
      </c>
      <c r="AA72" s="1316">
        <v>0</v>
      </c>
      <c r="AB72" s="45"/>
      <c r="AC72" s="45"/>
      <c r="AD72" s="45"/>
    </row>
    <row r="73" spans="1:30">
      <c r="A73" s="45"/>
      <c r="B73" s="45"/>
      <c r="C73" s="45"/>
      <c r="D73" s="45"/>
      <c r="E73" s="45"/>
      <c r="F73" s="45"/>
      <c r="G73" s="45"/>
      <c r="H73" s="45"/>
      <c r="I73" s="46"/>
      <c r="J73" s="45"/>
      <c r="K73" s="45"/>
      <c r="L73" s="45"/>
      <c r="M73" s="45"/>
      <c r="N73" s="45"/>
      <c r="O73" s="2741">
        <f>1+O72</f>
        <v>2</v>
      </c>
      <c r="P73" s="1581"/>
      <c r="Q73" s="1285"/>
      <c r="R73" s="1571"/>
      <c r="S73" s="1460"/>
      <c r="T73" s="1460"/>
      <c r="U73" s="1460"/>
      <c r="V73" s="1316"/>
      <c r="W73" s="1316"/>
      <c r="X73" s="1316"/>
      <c r="Y73" s="1316"/>
      <c r="Z73" s="1316"/>
      <c r="AA73" s="1316"/>
      <c r="AB73" s="45"/>
      <c r="AC73" s="45"/>
      <c r="AD73" s="45"/>
    </row>
    <row r="74" spans="1:30">
      <c r="A74" s="45"/>
      <c r="B74" s="45"/>
      <c r="C74" s="45"/>
      <c r="D74" s="45"/>
      <c r="E74" s="45"/>
      <c r="F74" s="45"/>
      <c r="G74" s="45"/>
      <c r="H74" s="45"/>
      <c r="I74" s="46"/>
      <c r="J74" s="45"/>
      <c r="K74" s="45"/>
      <c r="L74" s="45"/>
      <c r="M74" s="45"/>
      <c r="N74" s="45"/>
      <c r="O74" s="2741">
        <f t="shared" ref="O74:O109" si="4">1+O73</f>
        <v>3</v>
      </c>
      <c r="P74" s="1581" t="s">
        <v>602</v>
      </c>
      <c r="Q74" s="1571"/>
      <c r="R74" s="1571"/>
      <c r="S74" s="1459"/>
      <c r="T74" s="1459"/>
      <c r="U74" s="1460"/>
      <c r="V74" s="1335"/>
      <c r="W74" s="1316"/>
      <c r="X74" s="1335"/>
      <c r="Y74" s="1316"/>
      <c r="Z74" s="1335"/>
      <c r="AA74" s="1335"/>
      <c r="AB74" s="45"/>
      <c r="AC74" s="45"/>
      <c r="AD74" s="45"/>
    </row>
    <row r="75" spans="1:30">
      <c r="A75" s="45"/>
      <c r="B75" s="45"/>
      <c r="C75" s="45"/>
      <c r="D75" s="45"/>
      <c r="E75" s="45"/>
      <c r="F75" s="45"/>
      <c r="G75" s="45"/>
      <c r="H75" s="45"/>
      <c r="I75" s="46"/>
      <c r="J75" s="45"/>
      <c r="K75" s="45"/>
      <c r="L75" s="45"/>
      <c r="M75" s="45"/>
      <c r="N75" s="45"/>
      <c r="O75" s="2741">
        <f t="shared" si="4"/>
        <v>4</v>
      </c>
      <c r="P75" s="1581" t="s">
        <v>603</v>
      </c>
      <c r="Q75" s="1285" t="s">
        <v>944</v>
      </c>
      <c r="R75" s="1571"/>
      <c r="S75" s="1460">
        <f>SUM(T75:AA75)</f>
        <v>0</v>
      </c>
      <c r="T75" s="1335">
        <v>0</v>
      </c>
      <c r="U75" s="1316"/>
      <c r="V75" s="1335">
        <v>0</v>
      </c>
      <c r="W75" s="1316"/>
      <c r="X75" s="1617">
        <v>0</v>
      </c>
      <c r="Y75" s="1460"/>
      <c r="Z75" s="1335">
        <v>0</v>
      </c>
      <c r="AA75" s="1335">
        <v>0</v>
      </c>
      <c r="AB75" s="45"/>
      <c r="AC75" s="45"/>
      <c r="AD75" s="45"/>
    </row>
    <row r="76" spans="1:30">
      <c r="A76" s="45"/>
      <c r="B76" s="45"/>
      <c r="C76" s="45"/>
      <c r="D76" s="45"/>
      <c r="E76" s="45"/>
      <c r="F76" s="45"/>
      <c r="G76" s="45"/>
      <c r="H76" s="45"/>
      <c r="I76" s="46"/>
      <c r="J76" s="45"/>
      <c r="K76" s="45"/>
      <c r="L76" s="45"/>
      <c r="M76" s="45"/>
      <c r="N76" s="45"/>
      <c r="O76" s="2741">
        <f t="shared" si="4"/>
        <v>5</v>
      </c>
      <c r="P76" s="1571"/>
      <c r="Q76" s="1571"/>
      <c r="R76" s="1571"/>
      <c r="S76" s="400"/>
      <c r="T76" s="1571"/>
      <c r="U76" s="234"/>
      <c r="V76" s="1300"/>
      <c r="W76" s="402"/>
      <c r="X76" s="1300"/>
      <c r="Y76" s="402"/>
      <c r="Z76" s="1300"/>
      <c r="AA76" s="1300"/>
      <c r="AB76" s="45"/>
      <c r="AC76" s="45"/>
      <c r="AD76" s="45"/>
    </row>
    <row r="77" spans="1:30">
      <c r="A77" s="45"/>
      <c r="B77" s="45"/>
      <c r="C77" s="45"/>
      <c r="D77" s="45"/>
      <c r="E77" s="45"/>
      <c r="F77" s="45"/>
      <c r="G77" s="45"/>
      <c r="H77" s="45"/>
      <c r="I77" s="46"/>
      <c r="J77" s="45"/>
      <c r="K77" s="45"/>
      <c r="L77" s="45"/>
      <c r="M77" s="45"/>
      <c r="N77" s="45"/>
      <c r="O77" s="2741">
        <f t="shared" si="4"/>
        <v>6</v>
      </c>
      <c r="P77" s="1571" t="s">
        <v>1641</v>
      </c>
      <c r="Q77" s="1285" t="s">
        <v>606</v>
      </c>
      <c r="R77" s="1571"/>
      <c r="S77" s="1460">
        <f>SUM(T77:AA77)</f>
        <v>19946203</v>
      </c>
      <c r="T77" s="1460">
        <v>0</v>
      </c>
      <c r="U77" s="234"/>
      <c r="V77" s="1335">
        <v>0</v>
      </c>
      <c r="W77" s="1316"/>
      <c r="X77" s="1459">
        <f>SCH_B5s!O27</f>
        <v>19946203</v>
      </c>
      <c r="Y77" s="1460"/>
      <c r="Z77" s="1335">
        <v>0</v>
      </c>
      <c r="AA77" s="1335">
        <v>0</v>
      </c>
      <c r="AB77" s="45"/>
      <c r="AC77" s="45"/>
      <c r="AD77" s="45"/>
    </row>
    <row r="78" spans="1:30">
      <c r="A78" s="45"/>
      <c r="B78" s="45"/>
      <c r="C78" s="45"/>
      <c r="D78" s="45"/>
      <c r="E78" s="45"/>
      <c r="F78" s="45"/>
      <c r="G78" s="45"/>
      <c r="H78" s="45"/>
      <c r="I78" s="46"/>
      <c r="J78" s="45"/>
      <c r="K78" s="45"/>
      <c r="L78" s="45"/>
      <c r="M78" s="45"/>
      <c r="N78" s="45"/>
      <c r="O78" s="2741">
        <f t="shared" si="4"/>
        <v>7</v>
      </c>
      <c r="P78" s="1571"/>
      <c r="Q78" s="1571"/>
      <c r="R78" s="1571"/>
      <c r="S78" s="400"/>
      <c r="T78" s="1571"/>
      <c r="U78" s="234"/>
      <c r="V78" s="1300"/>
      <c r="W78" s="402"/>
      <c r="X78" s="1300"/>
      <c r="Y78" s="402"/>
      <c r="Z78" s="1300"/>
      <c r="AA78" s="1300"/>
      <c r="AB78" s="45"/>
      <c r="AC78" s="45"/>
      <c r="AD78" s="45"/>
    </row>
    <row r="79" spans="1:30">
      <c r="A79" s="45"/>
      <c r="B79" s="45"/>
      <c r="C79" s="45"/>
      <c r="D79" s="45"/>
      <c r="E79" s="45"/>
      <c r="F79" s="45"/>
      <c r="G79" s="45"/>
      <c r="H79" s="45"/>
      <c r="I79" s="46"/>
      <c r="J79" s="45"/>
      <c r="K79" s="45"/>
      <c r="L79" s="45"/>
      <c r="M79" s="45"/>
      <c r="N79" s="45"/>
      <c r="O79" s="2741">
        <f t="shared" si="4"/>
        <v>8</v>
      </c>
      <c r="P79" s="1581" t="s">
        <v>604</v>
      </c>
      <c r="Q79" s="1571"/>
      <c r="R79" s="1571"/>
      <c r="S79" s="401"/>
      <c r="T79" s="1459"/>
      <c r="U79" s="1460"/>
      <c r="V79" s="1335"/>
      <c r="W79" s="1316"/>
      <c r="X79" s="1335"/>
      <c r="Y79" s="1316"/>
      <c r="Z79" s="1335"/>
      <c r="AA79" s="1335"/>
      <c r="AB79" s="45"/>
      <c r="AC79" s="45"/>
      <c r="AD79" s="45"/>
    </row>
    <row r="80" spans="1:30">
      <c r="A80" s="45"/>
      <c r="B80" s="45"/>
      <c r="C80" s="45"/>
      <c r="D80" s="45"/>
      <c r="E80" s="45"/>
      <c r="F80" s="45"/>
      <c r="G80" s="45"/>
      <c r="H80" s="45"/>
      <c r="I80" s="46"/>
      <c r="J80" s="45"/>
      <c r="K80" s="45"/>
      <c r="L80" s="45"/>
      <c r="M80" s="45"/>
      <c r="N80" s="45"/>
      <c r="O80" s="2741">
        <f t="shared" si="4"/>
        <v>9</v>
      </c>
      <c r="P80" s="1581" t="s">
        <v>3313</v>
      </c>
      <c r="Q80" s="1285" t="s">
        <v>1709</v>
      </c>
      <c r="R80" s="1571"/>
      <c r="S80" s="1459">
        <f>'WPB-5''s'!M79</f>
        <v>3714387</v>
      </c>
      <c r="T80" s="1459">
        <f>'WPB-5''s'!O79</f>
        <v>1300035</v>
      </c>
      <c r="U80" s="1460"/>
      <c r="V80" s="1459">
        <f>S80-T80</f>
        <v>2414352</v>
      </c>
      <c r="W80" s="1460"/>
      <c r="X80" s="1335">
        <v>0</v>
      </c>
      <c r="Y80" s="1316"/>
      <c r="Z80" s="1335">
        <v>0</v>
      </c>
      <c r="AA80" s="1335">
        <v>0</v>
      </c>
      <c r="AB80" s="45"/>
      <c r="AC80" s="45"/>
      <c r="AD80" s="45"/>
    </row>
    <row r="81" spans="1:30">
      <c r="A81" s="45"/>
      <c r="B81" s="45"/>
      <c r="C81" s="45"/>
      <c r="D81" s="45"/>
      <c r="E81" s="45"/>
      <c r="F81" s="45"/>
      <c r="G81" s="45"/>
      <c r="H81" s="45"/>
      <c r="I81" s="46"/>
      <c r="J81" s="45"/>
      <c r="K81" s="45"/>
      <c r="L81" s="45"/>
      <c r="M81" s="45"/>
      <c r="N81" s="45"/>
      <c r="O81" s="2741">
        <f t="shared" si="4"/>
        <v>10</v>
      </c>
      <c r="P81" s="1581" t="s">
        <v>3314</v>
      </c>
      <c r="Q81" s="1285" t="s">
        <v>1710</v>
      </c>
      <c r="R81" s="1571"/>
      <c r="S81" s="1460">
        <f>'WPB-5''s'!AT167</f>
        <v>20955355</v>
      </c>
      <c r="T81" s="1460">
        <f>S81-X81</f>
        <v>480584</v>
      </c>
      <c r="U81" s="1460"/>
      <c r="V81" s="1316">
        <v>0</v>
      </c>
      <c r="W81" s="1316"/>
      <c r="X81" s="1460">
        <f>'WPB-5''s'!AZ167</f>
        <v>20474771</v>
      </c>
      <c r="Y81" s="1460"/>
      <c r="Z81" s="1316">
        <v>0</v>
      </c>
      <c r="AA81" s="1316">
        <v>0</v>
      </c>
      <c r="AB81" s="45"/>
      <c r="AC81" s="45"/>
      <c r="AD81" s="45"/>
    </row>
    <row r="82" spans="1:30">
      <c r="A82" s="45"/>
      <c r="B82" s="45"/>
      <c r="C82" s="45"/>
      <c r="D82" s="45"/>
      <c r="E82" s="45"/>
      <c r="F82" s="45"/>
      <c r="G82" s="45"/>
      <c r="H82" s="45"/>
      <c r="I82" s="46"/>
      <c r="J82" s="45"/>
      <c r="K82" s="45"/>
      <c r="L82" s="45"/>
      <c r="M82" s="45"/>
      <c r="N82" s="45"/>
      <c r="O82" s="2741">
        <f t="shared" si="4"/>
        <v>11</v>
      </c>
      <c r="P82" s="2741" t="s">
        <v>373</v>
      </c>
      <c r="Q82" s="1571"/>
      <c r="R82" s="1571"/>
      <c r="S82" s="406">
        <f t="shared" ref="S82:AA82" si="5">S80+S81</f>
        <v>24669742</v>
      </c>
      <c r="T82" s="406">
        <f t="shared" si="5"/>
        <v>1780619</v>
      </c>
      <c r="U82" s="1460"/>
      <c r="V82" s="406">
        <f t="shared" si="5"/>
        <v>2414352</v>
      </c>
      <c r="W82" s="1460"/>
      <c r="X82" s="406">
        <f t="shared" si="5"/>
        <v>20474771</v>
      </c>
      <c r="Y82" s="1460"/>
      <c r="Z82" s="406">
        <f t="shared" si="5"/>
        <v>0</v>
      </c>
      <c r="AA82" s="406">
        <f t="shared" si="5"/>
        <v>0</v>
      </c>
      <c r="AB82" s="45"/>
      <c r="AC82" s="45"/>
      <c r="AD82" s="45"/>
    </row>
    <row r="83" spans="1:30">
      <c r="A83" s="45"/>
      <c r="B83" s="45"/>
      <c r="C83" s="45"/>
      <c r="D83" s="45"/>
      <c r="E83" s="45"/>
      <c r="F83" s="45"/>
      <c r="G83" s="45"/>
      <c r="H83" s="45"/>
      <c r="I83" s="46"/>
      <c r="J83" s="45"/>
      <c r="K83" s="45"/>
      <c r="L83" s="45"/>
      <c r="M83" s="45"/>
      <c r="N83" s="45"/>
      <c r="O83" s="2741">
        <f t="shared" si="4"/>
        <v>12</v>
      </c>
      <c r="P83" s="1571"/>
      <c r="Q83" s="1571"/>
      <c r="R83" s="1571"/>
      <c r="S83" s="1459"/>
      <c r="T83" s="1459"/>
      <c r="U83" s="1460"/>
      <c r="V83" s="1459"/>
      <c r="W83" s="1460"/>
      <c r="X83" s="1459"/>
      <c r="Y83" s="1460"/>
      <c r="Z83" s="1271"/>
      <c r="AA83" s="1271"/>
      <c r="AB83" s="45"/>
      <c r="AC83" s="45"/>
      <c r="AD83" s="45"/>
    </row>
    <row r="84" spans="1:30">
      <c r="A84" s="45"/>
      <c r="B84" s="45"/>
      <c r="C84" s="45"/>
      <c r="D84" s="45"/>
      <c r="E84" s="45"/>
      <c r="F84" s="45"/>
      <c r="G84" s="45"/>
      <c r="H84" s="45"/>
      <c r="I84" s="46"/>
      <c r="J84" s="45"/>
      <c r="K84" s="45"/>
      <c r="L84" s="45"/>
      <c r="M84" s="45"/>
      <c r="N84" s="45"/>
      <c r="O84" s="2741">
        <f t="shared" si="4"/>
        <v>13</v>
      </c>
      <c r="P84" s="1581" t="s">
        <v>3315</v>
      </c>
      <c r="Q84" s="1285" t="s">
        <v>1711</v>
      </c>
      <c r="R84" s="1571"/>
      <c r="S84" s="1460">
        <f>SUM(T84:Z84)</f>
        <v>3412415.076923077</v>
      </c>
      <c r="T84" s="1459">
        <f>'WPB-5''s'!BJ215</f>
        <v>3412415.076923077</v>
      </c>
      <c r="U84" s="1460"/>
      <c r="V84" s="1335">
        <v>0</v>
      </c>
      <c r="W84" s="1460"/>
      <c r="X84" s="1335">
        <v>0</v>
      </c>
      <c r="Y84" s="1316"/>
      <c r="Z84" s="1335">
        <v>0</v>
      </c>
      <c r="AA84" s="1335">
        <v>0</v>
      </c>
      <c r="AB84" s="45"/>
      <c r="AC84" s="45"/>
      <c r="AD84" s="45"/>
    </row>
    <row r="85" spans="1:30">
      <c r="A85" s="45"/>
      <c r="B85" s="45"/>
      <c r="C85" s="45"/>
      <c r="D85" s="45"/>
      <c r="E85" s="45"/>
      <c r="F85" s="45"/>
      <c r="G85" s="45"/>
      <c r="H85" s="45"/>
      <c r="I85" s="46"/>
      <c r="J85" s="45"/>
      <c r="K85" s="45"/>
      <c r="L85" s="45"/>
      <c r="M85" s="45"/>
      <c r="N85" s="45"/>
      <c r="O85" s="2741">
        <f t="shared" si="4"/>
        <v>14</v>
      </c>
      <c r="P85" s="1571"/>
      <c r="Q85" s="1571"/>
      <c r="R85" s="1571"/>
      <c r="S85" s="401"/>
      <c r="T85" s="1459"/>
      <c r="U85" s="1460"/>
      <c r="V85" s="1335"/>
      <c r="W85" s="1316"/>
      <c r="X85" s="1459"/>
      <c r="Y85" s="1460"/>
      <c r="Z85" s="1335"/>
      <c r="AA85" s="1335"/>
      <c r="AB85" s="45"/>
      <c r="AC85" s="45"/>
      <c r="AD85" s="45"/>
    </row>
    <row r="86" spans="1:30">
      <c r="A86" s="45"/>
      <c r="B86" s="45"/>
      <c r="C86" s="45"/>
      <c r="D86" s="45"/>
      <c r="E86" s="45"/>
      <c r="F86" s="45"/>
      <c r="G86" s="45"/>
      <c r="H86" s="45"/>
      <c r="I86" s="46"/>
      <c r="J86" s="45"/>
      <c r="K86" s="45"/>
      <c r="L86" s="45"/>
      <c r="M86" s="45"/>
      <c r="N86" s="45"/>
      <c r="O86" s="2741">
        <f t="shared" si="4"/>
        <v>15</v>
      </c>
      <c r="P86" s="1581" t="s">
        <v>3316</v>
      </c>
      <c r="Q86" s="1285" t="s">
        <v>1713</v>
      </c>
      <c r="R86" s="1571"/>
      <c r="S86" s="1459">
        <f>'WPB-5''s'!W107</f>
        <v>1178424.5384615385</v>
      </c>
      <c r="T86" s="1617">
        <v>0</v>
      </c>
      <c r="U86" s="1316"/>
      <c r="V86" s="1459">
        <f>'WPB-5''s'!W103</f>
        <v>385780.53846153844</v>
      </c>
      <c r="W86" s="1316"/>
      <c r="X86" s="1459">
        <f>'WPB-5''s'!W107-T86-V86-Z86-AA86</f>
        <v>0</v>
      </c>
      <c r="Y86" s="1459"/>
      <c r="Z86" s="1459">
        <f>'WPB-5''s'!W104</f>
        <v>792644</v>
      </c>
      <c r="AA86" s="1335">
        <v>0</v>
      </c>
      <c r="AB86" s="45"/>
      <c r="AC86" s="45"/>
      <c r="AD86" s="45"/>
    </row>
    <row r="87" spans="1:30">
      <c r="A87" s="45"/>
      <c r="B87" s="45"/>
      <c r="C87" s="45"/>
      <c r="D87" s="45"/>
      <c r="E87" s="45"/>
      <c r="F87" s="45"/>
      <c r="G87" s="45"/>
      <c r="H87" s="45"/>
      <c r="I87" s="46"/>
      <c r="J87" s="45"/>
      <c r="K87" s="45"/>
      <c r="L87" s="45"/>
      <c r="M87" s="45"/>
      <c r="N87" s="45"/>
      <c r="O87" s="2741">
        <f t="shared" si="4"/>
        <v>16</v>
      </c>
      <c r="P87" s="1571"/>
      <c r="Q87" s="1571"/>
      <c r="R87" s="1571"/>
      <c r="S87" s="401"/>
      <c r="T87" s="1459"/>
      <c r="U87" s="1460"/>
      <c r="V87" s="1335"/>
      <c r="W87" s="1316"/>
      <c r="X87" s="1335"/>
      <c r="Y87" s="1316"/>
      <c r="Z87" s="1335"/>
      <c r="AA87" s="1335"/>
      <c r="AB87" s="45"/>
      <c r="AC87" s="45"/>
      <c r="AD87" s="45"/>
    </row>
    <row r="88" spans="1:30">
      <c r="A88" s="45"/>
      <c r="B88" s="45"/>
      <c r="C88" s="45"/>
      <c r="D88" s="45"/>
      <c r="E88" s="45"/>
      <c r="F88" s="45"/>
      <c r="G88" s="45"/>
      <c r="H88" s="45"/>
      <c r="I88" s="46"/>
      <c r="J88" s="45"/>
      <c r="K88" s="45"/>
      <c r="L88" s="45"/>
      <c r="M88" s="45"/>
      <c r="N88" s="45"/>
      <c r="O88" s="2741">
        <f t="shared" si="4"/>
        <v>17</v>
      </c>
      <c r="P88" s="1571" t="s">
        <v>1986</v>
      </c>
      <c r="Q88" s="1285" t="s">
        <v>989</v>
      </c>
      <c r="R88" s="1571"/>
      <c r="S88" s="1460">
        <f>SUM(T88:AA88)</f>
        <v>0</v>
      </c>
      <c r="T88" s="1335">
        <v>0</v>
      </c>
      <c r="U88" s="1316"/>
      <c r="V88" s="1335">
        <v>0</v>
      </c>
      <c r="W88" s="1316"/>
      <c r="X88" s="1459">
        <f>SCH_B5s!O33</f>
        <v>0</v>
      </c>
      <c r="Y88" s="1460"/>
      <c r="Z88" s="1459">
        <f>SCH_B5s!K33-SCH_B5s!O33</f>
        <v>0</v>
      </c>
      <c r="AA88" s="1335">
        <v>0</v>
      </c>
      <c r="AB88" s="45"/>
      <c r="AC88" s="45"/>
      <c r="AD88" s="45"/>
    </row>
    <row r="89" spans="1:30">
      <c r="A89" s="45"/>
      <c r="B89" s="45"/>
      <c r="C89" s="45"/>
      <c r="D89" s="45"/>
      <c r="E89" s="45"/>
      <c r="F89" s="45"/>
      <c r="G89" s="45"/>
      <c r="H89" s="45"/>
      <c r="I89" s="46"/>
      <c r="J89" s="45"/>
      <c r="K89" s="45"/>
      <c r="L89" s="45"/>
      <c r="M89" s="45"/>
      <c r="N89" s="45"/>
      <c r="O89" s="2741">
        <f t="shared" si="4"/>
        <v>18</v>
      </c>
      <c r="P89" s="1571"/>
      <c r="Q89" s="1571"/>
      <c r="R89" s="1571"/>
      <c r="S89" s="401"/>
      <c r="T89" s="1459"/>
      <c r="U89" s="1460"/>
      <c r="V89" s="1335"/>
      <c r="W89" s="1316"/>
      <c r="X89" s="1335"/>
      <c r="Y89" s="1316"/>
      <c r="Z89" s="1335"/>
      <c r="AA89" s="1335"/>
      <c r="AB89" s="45"/>
      <c r="AC89" s="45"/>
      <c r="AD89" s="45"/>
    </row>
    <row r="90" spans="1:30">
      <c r="A90" s="45"/>
      <c r="B90" s="45"/>
      <c r="C90" s="45"/>
      <c r="D90" s="45"/>
      <c r="E90" s="45"/>
      <c r="F90" s="45"/>
      <c r="G90" s="45"/>
      <c r="H90" s="45"/>
      <c r="I90" s="46"/>
      <c r="J90" s="45"/>
      <c r="K90" s="45"/>
      <c r="L90" s="45"/>
      <c r="M90" s="45"/>
      <c r="N90" s="45"/>
      <c r="O90" s="2741">
        <f t="shared" si="4"/>
        <v>19</v>
      </c>
      <c r="P90" s="1581" t="s">
        <v>462</v>
      </c>
      <c r="Q90" s="1285" t="s">
        <v>1707</v>
      </c>
      <c r="R90" s="1571"/>
      <c r="S90" s="1460">
        <f ca="1">SUM(T90:Z90)</f>
        <v>17119715</v>
      </c>
      <c r="T90" s="1459">
        <f>'WPB-5''s'!G32</f>
        <v>2904308</v>
      </c>
      <c r="U90" s="1460"/>
      <c r="V90" s="1335">
        <v>0</v>
      </c>
      <c r="W90" s="1316"/>
      <c r="X90" s="1459">
        <f ca="1">SCH_B5s!O17</f>
        <v>14215407</v>
      </c>
      <c r="Y90" s="1460"/>
      <c r="Z90" s="1335">
        <v>0</v>
      </c>
      <c r="AA90" s="1335">
        <v>0</v>
      </c>
      <c r="AB90" s="45"/>
      <c r="AC90" s="45"/>
      <c r="AD90" s="45"/>
    </row>
    <row r="91" spans="1:30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2741">
        <f t="shared" si="4"/>
        <v>20</v>
      </c>
      <c r="P91" s="1581"/>
      <c r="Q91" s="1285"/>
      <c r="R91" s="1571"/>
      <c r="S91" s="1460"/>
      <c r="T91" s="1459"/>
      <c r="U91" s="1460"/>
      <c r="V91" s="1335"/>
      <c r="W91" s="1316"/>
      <c r="X91" s="1335"/>
      <c r="Y91" s="1316"/>
      <c r="Z91" s="1335"/>
      <c r="AA91" s="1335"/>
      <c r="AB91" s="45"/>
      <c r="AC91" s="45"/>
      <c r="AD91" s="45"/>
    </row>
    <row r="92" spans="1:30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2741">
        <f t="shared" si="4"/>
        <v>21</v>
      </c>
      <c r="P92" s="1581" t="s">
        <v>882</v>
      </c>
      <c r="Q92" s="1285" t="s">
        <v>883</v>
      </c>
      <c r="R92" s="1571"/>
      <c r="S92" s="1460">
        <f>SUM(T92:Z92)</f>
        <v>0</v>
      </c>
      <c r="T92" s="1459">
        <f>SCH_B1!I38</f>
        <v>0</v>
      </c>
      <c r="U92" s="1460"/>
      <c r="V92" s="1335">
        <v>0</v>
      </c>
      <c r="W92" s="1316"/>
      <c r="X92" s="1335">
        <v>0</v>
      </c>
      <c r="Y92" s="1316"/>
      <c r="Z92" s="1335">
        <v>0</v>
      </c>
      <c r="AA92" s="1335">
        <v>0</v>
      </c>
      <c r="AB92" s="45"/>
      <c r="AC92" s="45"/>
      <c r="AD92" s="45"/>
    </row>
    <row r="93" spans="1:30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2741">
        <f t="shared" si="4"/>
        <v>22</v>
      </c>
      <c r="P93" s="2741" t="s">
        <v>884</v>
      </c>
      <c r="Q93" s="1571"/>
      <c r="R93" s="1571"/>
      <c r="S93" s="1336">
        <f t="shared" ref="S93:AA93" ca="1" si="6">S75+S77+S82+S84+S86+S88+S90+S92</f>
        <v>66326499.615384616</v>
      </c>
      <c r="T93" s="1336">
        <f t="shared" si="6"/>
        <v>8097342.076923077</v>
      </c>
      <c r="U93" s="1460"/>
      <c r="V93" s="1336">
        <f t="shared" si="6"/>
        <v>2800132.5384615385</v>
      </c>
      <c r="W93" s="1460"/>
      <c r="X93" s="1336">
        <f t="shared" ca="1" si="6"/>
        <v>54636381</v>
      </c>
      <c r="Y93" s="1460"/>
      <c r="Z93" s="1336">
        <f t="shared" si="6"/>
        <v>792644</v>
      </c>
      <c r="AA93" s="1336">
        <f t="shared" si="6"/>
        <v>0</v>
      </c>
      <c r="AB93" s="45"/>
      <c r="AC93" s="45"/>
      <c r="AD93" s="45"/>
    </row>
    <row r="94" spans="1:30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2741">
        <f t="shared" si="4"/>
        <v>23</v>
      </c>
      <c r="P94" s="1571"/>
      <c r="Q94" s="1571"/>
      <c r="R94" s="1571"/>
      <c r="S94" s="1459"/>
      <c r="T94" s="1459"/>
      <c r="U94" s="1460"/>
      <c r="V94" s="1459"/>
      <c r="W94" s="1460"/>
      <c r="X94" s="1459"/>
      <c r="Y94" s="1460"/>
      <c r="Z94" s="1271"/>
      <c r="AA94" s="1271"/>
      <c r="AB94" s="45"/>
      <c r="AC94" s="45"/>
      <c r="AD94" s="45"/>
    </row>
    <row r="95" spans="1:30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2741">
        <f t="shared" si="4"/>
        <v>24</v>
      </c>
      <c r="P95" s="1581" t="s">
        <v>885</v>
      </c>
      <c r="Q95" s="1571"/>
      <c r="R95" s="1571"/>
      <c r="S95" s="1459"/>
      <c r="T95" s="1459"/>
      <c r="U95" s="1460"/>
      <c r="V95" s="1459"/>
      <c r="W95" s="1460"/>
      <c r="X95" s="1459"/>
      <c r="Y95" s="1460"/>
      <c r="Z95" s="1271"/>
      <c r="AA95" s="1271"/>
      <c r="AB95" s="45"/>
      <c r="AC95" s="45"/>
      <c r="AD95" s="45"/>
    </row>
    <row r="96" spans="1:30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2741">
        <f t="shared" si="4"/>
        <v>25</v>
      </c>
      <c r="P96" s="1581" t="s">
        <v>3320</v>
      </c>
      <c r="Q96" s="1285" t="s">
        <v>3334</v>
      </c>
      <c r="R96" s="1571"/>
      <c r="S96" s="1460">
        <f>SUM(T96:AA96)</f>
        <v>1025608946</v>
      </c>
      <c r="T96" s="1335">
        <f>185396987-V96</f>
        <v>177696357</v>
      </c>
      <c r="U96" s="192" t="s">
        <v>1935</v>
      </c>
      <c r="V96" s="1617">
        <v>7700630</v>
      </c>
      <c r="W96" s="192" t="s">
        <v>1935</v>
      </c>
      <c r="X96" s="1459">
        <f>ROUND('SCH B-3.2 - Proposed'!H307,0)</f>
        <v>840211959</v>
      </c>
      <c r="Y96" s="192" t="s">
        <v>296</v>
      </c>
      <c r="Z96" s="1335">
        <v>0</v>
      </c>
      <c r="AA96" s="1335">
        <v>0</v>
      </c>
      <c r="AB96" s="45"/>
      <c r="AC96" s="45"/>
      <c r="AD96" s="45"/>
    </row>
    <row r="97" spans="1:30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2741">
        <f t="shared" si="4"/>
        <v>26</v>
      </c>
      <c r="P97" s="1571"/>
      <c r="Q97" s="1571"/>
      <c r="R97" s="1571"/>
      <c r="S97" s="401"/>
      <c r="T97" s="1459"/>
      <c r="U97" s="1460"/>
      <c r="V97" s="1335"/>
      <c r="W97" s="1316"/>
      <c r="X97" s="1335"/>
      <c r="Y97" s="1316"/>
      <c r="Z97" s="1335"/>
      <c r="AA97" s="1335"/>
      <c r="AB97" s="45"/>
      <c r="AC97" s="45"/>
      <c r="AD97" s="45"/>
    </row>
    <row r="98" spans="1:30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2741">
        <f t="shared" si="4"/>
        <v>27</v>
      </c>
      <c r="P98" s="1581" t="s">
        <v>3321</v>
      </c>
      <c r="Q98" s="1285" t="s">
        <v>3330</v>
      </c>
      <c r="R98" s="1571"/>
      <c r="S98" s="1460">
        <f>SUM(T98:AA98)</f>
        <v>380044857</v>
      </c>
      <c r="T98" s="1460">
        <f>-'WPB-6''s'!T99-V98+'WPB-6''s'!T98</f>
        <v>87024253</v>
      </c>
      <c r="U98" s="192"/>
      <c r="V98" s="1459">
        <f>-'WPB-6''s'!AD177</f>
        <v>957766</v>
      </c>
      <c r="W98" s="192" t="s">
        <v>303</v>
      </c>
      <c r="X98" s="1459">
        <f>-'WPB-6''s'!T117</f>
        <v>241411552</v>
      </c>
      <c r="Y98" s="1460"/>
      <c r="Z98" s="1335">
        <v>0</v>
      </c>
      <c r="AA98" s="1459">
        <f>-'WPB-6''s'!T132</f>
        <v>50651286</v>
      </c>
      <c r="AB98" s="45"/>
      <c r="AC98" s="45"/>
      <c r="AD98" s="45"/>
    </row>
    <row r="99" spans="1:30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2741">
        <f t="shared" si="4"/>
        <v>28</v>
      </c>
      <c r="P99" s="1328"/>
      <c r="Q99" s="1328"/>
      <c r="R99" s="1571"/>
      <c r="S99" s="401"/>
      <c r="T99" s="1459"/>
      <c r="U99" s="1460"/>
      <c r="V99" s="1335"/>
      <c r="W99" s="1316"/>
      <c r="X99" s="1335"/>
      <c r="Y99" s="1316"/>
      <c r="Z99" s="1335"/>
      <c r="AA99" s="1335"/>
      <c r="AB99" s="45"/>
      <c r="AC99" s="45"/>
      <c r="AD99" s="45"/>
    </row>
    <row r="100" spans="1:30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2741">
        <f t="shared" si="4"/>
        <v>29</v>
      </c>
      <c r="P100" s="1581" t="s">
        <v>1417</v>
      </c>
      <c r="Q100" s="1285" t="s">
        <v>1869</v>
      </c>
      <c r="R100" s="1571"/>
      <c r="S100" s="1460">
        <f>SUM(T100:AA100)</f>
        <v>1492412</v>
      </c>
      <c r="T100" s="1459">
        <f>-'WPB-6''s'!T83</f>
        <v>1492412</v>
      </c>
      <c r="U100" s="1460"/>
      <c r="V100" s="1335">
        <v>0</v>
      </c>
      <c r="W100" s="1316"/>
      <c r="X100" s="1335">
        <v>0</v>
      </c>
      <c r="Y100" s="1316"/>
      <c r="Z100" s="1335">
        <v>0</v>
      </c>
      <c r="AA100" s="1335">
        <v>0</v>
      </c>
      <c r="AB100" s="45"/>
      <c r="AC100" s="45"/>
      <c r="AD100" s="45"/>
    </row>
    <row r="101" spans="1:30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2741">
        <f t="shared" si="4"/>
        <v>30</v>
      </c>
      <c r="P101" s="1581"/>
      <c r="Q101" s="1285"/>
      <c r="R101" s="1571"/>
      <c r="S101" s="1460"/>
      <c r="T101" s="1459"/>
      <c r="U101" s="1460"/>
      <c r="V101" s="1335"/>
      <c r="W101" s="1316"/>
      <c r="X101" s="1335"/>
      <c r="Y101" s="1316"/>
      <c r="Z101" s="1335"/>
      <c r="AA101" s="1335"/>
      <c r="AB101" s="45"/>
      <c r="AC101" s="45"/>
      <c r="AD101" s="45"/>
    </row>
    <row r="102" spans="1:30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2741">
        <f t="shared" si="4"/>
        <v>31</v>
      </c>
      <c r="P102" s="1581" t="s">
        <v>3331</v>
      </c>
      <c r="Q102" s="1285" t="s">
        <v>883</v>
      </c>
      <c r="R102" s="1571"/>
      <c r="S102" s="1460">
        <f>SUM(T102:AA102)</f>
        <v>0</v>
      </c>
      <c r="T102" s="1459">
        <f>-'WPB-6''s'!T86-V102</f>
        <v>0</v>
      </c>
      <c r="U102" s="1460"/>
      <c r="V102" s="1459">
        <f>-'WPB-6''s'!AD175</f>
        <v>0</v>
      </c>
      <c r="W102" s="192"/>
      <c r="X102" s="1459">
        <f>-SCH_B6!P60</f>
        <v>0</v>
      </c>
      <c r="Y102" s="1460"/>
      <c r="Z102" s="1335">
        <v>0</v>
      </c>
      <c r="AA102" s="1459">
        <f>-'WPB-6''s'!T121</f>
        <v>0</v>
      </c>
      <c r="AB102" s="45"/>
      <c r="AC102" s="45"/>
      <c r="AD102" s="45"/>
    </row>
    <row r="103" spans="1:30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2741">
        <f t="shared" si="4"/>
        <v>32</v>
      </c>
      <c r="P103" s="2741" t="s">
        <v>1364</v>
      </c>
      <c r="Q103" s="1571"/>
      <c r="R103" s="1571"/>
      <c r="S103" s="1336">
        <f t="shared" ref="S103:AA103" si="7">SUM(S96:S102)</f>
        <v>1407146215</v>
      </c>
      <c r="T103" s="1336">
        <f t="shared" si="7"/>
        <v>266213022</v>
      </c>
      <c r="U103" s="1460"/>
      <c r="V103" s="1336">
        <f t="shared" si="7"/>
        <v>8658396</v>
      </c>
      <c r="W103" s="1460"/>
      <c r="X103" s="1336">
        <f t="shared" si="7"/>
        <v>1081623511</v>
      </c>
      <c r="Y103" s="1460"/>
      <c r="Z103" s="1336">
        <f t="shared" si="7"/>
        <v>0</v>
      </c>
      <c r="AA103" s="1336">
        <f t="shared" si="7"/>
        <v>50651286</v>
      </c>
      <c r="AB103" s="45"/>
      <c r="AC103" s="45"/>
      <c r="AD103" s="45"/>
    </row>
    <row r="104" spans="1:30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2741">
        <f t="shared" si="4"/>
        <v>33</v>
      </c>
      <c r="P104" s="1571"/>
      <c r="Q104" s="1571"/>
      <c r="R104" s="1571"/>
      <c r="S104" s="1459"/>
      <c r="T104" s="1459"/>
      <c r="U104" s="1460"/>
      <c r="V104" s="1459"/>
      <c r="W104" s="1460"/>
      <c r="X104" s="1459"/>
      <c r="Y104" s="1460"/>
      <c r="Z104" s="1271"/>
      <c r="AA104" s="1271"/>
      <c r="AB104" s="45"/>
      <c r="AC104" s="45"/>
      <c r="AD104" s="45"/>
    </row>
    <row r="105" spans="1:30" ht="13.5" thickBot="1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2741">
        <f t="shared" si="4"/>
        <v>34</v>
      </c>
      <c r="P105" s="1581" t="s">
        <v>1365</v>
      </c>
      <c r="Q105" s="1571"/>
      <c r="R105" s="1571"/>
      <c r="S105" s="1301">
        <f t="shared" ref="S105:AA105" ca="1" si="8">S72+S93-S103</f>
        <v>933038904.61538458</v>
      </c>
      <c r="T105" s="1301">
        <f t="shared" si="8"/>
        <v>273112762.07692313</v>
      </c>
      <c r="U105" s="1460"/>
      <c r="V105" s="1301">
        <f t="shared" si="8"/>
        <v>5927795.538461538</v>
      </c>
      <c r="W105" s="1460"/>
      <c r="X105" s="1301">
        <f ca="1">IF(X72+X93-X103=SCH_B1!I40-SCH_B1!I24+SCH_D2.24!J27+SCH_D1!AA297+SCH_D1!AA302,X72+X93-X103,"Check B-1")</f>
        <v>703856989</v>
      </c>
      <c r="Y105" s="1460"/>
      <c r="Z105" s="1301">
        <f t="shared" si="8"/>
        <v>792644</v>
      </c>
      <c r="AA105" s="1301">
        <f t="shared" si="8"/>
        <v>-50651286</v>
      </c>
      <c r="AB105" s="45"/>
      <c r="AC105" s="45"/>
      <c r="AD105" s="45"/>
    </row>
    <row r="106" spans="1:30" ht="13.5" thickTop="1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2741">
        <f t="shared" si="4"/>
        <v>35</v>
      </c>
      <c r="P106" s="1571"/>
      <c r="Q106" s="1571"/>
      <c r="R106" s="1571"/>
      <c r="S106" s="1459"/>
      <c r="T106" s="1459"/>
      <c r="U106" s="1460"/>
      <c r="V106" s="1459"/>
      <c r="W106" s="1460"/>
      <c r="X106" s="1459"/>
      <c r="Y106" s="1460"/>
      <c r="Z106" s="1271"/>
      <c r="AA106" s="1271"/>
      <c r="AB106" s="45"/>
      <c r="AC106" s="45"/>
      <c r="AD106" s="45"/>
    </row>
    <row r="107" spans="1:30" ht="13.5" thickBot="1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2741">
        <f t="shared" si="4"/>
        <v>36</v>
      </c>
      <c r="P107" s="1581" t="s">
        <v>76</v>
      </c>
      <c r="Q107" s="1571"/>
      <c r="R107" s="1571"/>
      <c r="S107" s="1272">
        <v>1</v>
      </c>
      <c r="T107" s="1327">
        <f ca="1">ROUND(T105/$S105,5)</f>
        <v>0.29271000000000003</v>
      </c>
      <c r="U107" s="1307"/>
      <c r="V107" s="1327">
        <f ca="1">ROUND(V105/$S105,5)</f>
        <v>6.3499999999999997E-3</v>
      </c>
      <c r="W107" s="1307"/>
      <c r="X107" s="1327">
        <f ca="1">ROUND(X105/$S105,5)</f>
        <v>0.75436999999999999</v>
      </c>
      <c r="Y107" s="1307"/>
      <c r="Z107" s="1327">
        <f ca="1">ROUND(Z105/$S105,5)</f>
        <v>8.4999999999999995E-4</v>
      </c>
      <c r="AA107" s="1327">
        <f ca="1">ROUND(AA105/$S105,5)</f>
        <v>-5.4289999999999998E-2</v>
      </c>
      <c r="AB107" s="45"/>
      <c r="AC107" s="45"/>
      <c r="AD107" s="45"/>
    </row>
    <row r="108" spans="1:30" ht="13.5" thickTop="1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2741">
        <f t="shared" si="4"/>
        <v>37</v>
      </c>
      <c r="P108" s="1571"/>
      <c r="Q108" s="1571"/>
      <c r="R108" s="1571"/>
      <c r="S108" s="1459"/>
      <c r="T108" s="1459"/>
      <c r="U108" s="1460"/>
      <c r="V108" s="1459"/>
      <c r="W108" s="1460"/>
      <c r="X108" s="1459"/>
      <c r="Y108" s="1460"/>
      <c r="Z108" s="1271"/>
      <c r="AA108" s="1271"/>
      <c r="AB108" s="45"/>
      <c r="AC108" s="45"/>
      <c r="AD108" s="45"/>
    </row>
    <row r="109" spans="1:30" ht="13.5" thickBot="1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2741">
        <f t="shared" si="4"/>
        <v>38</v>
      </c>
      <c r="P109" s="1581" t="s">
        <v>108</v>
      </c>
      <c r="Q109" s="1571"/>
      <c r="R109" s="1571"/>
      <c r="S109" s="1272">
        <v>1</v>
      </c>
      <c r="T109" s="1327">
        <f ca="1">ROUND(T105/($T$105+$X$105),5)</f>
        <v>0.27955000000000002</v>
      </c>
      <c r="U109" s="1307"/>
      <c r="V109" s="1307"/>
      <c r="W109" s="1307"/>
      <c r="X109" s="1327">
        <f ca="1">ROUND(X105/($T$105+$X$105),5)</f>
        <v>0.72045000000000003</v>
      </c>
      <c r="Y109" s="1307"/>
      <c r="Z109" s="1307"/>
      <c r="AA109" s="1307"/>
      <c r="AB109" s="45"/>
      <c r="AC109" s="45"/>
      <c r="AD109" s="45"/>
    </row>
    <row r="110" spans="1:30" ht="13.5" thickTop="1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2741"/>
      <c r="P110" s="1581"/>
      <c r="Q110" s="1571"/>
      <c r="R110" s="1571"/>
      <c r="S110" s="1307"/>
      <c r="T110" s="1307"/>
      <c r="U110" s="1307"/>
      <c r="V110" s="1307"/>
      <c r="W110" s="1307"/>
      <c r="X110" s="1307"/>
      <c r="Y110" s="1307"/>
      <c r="Z110" s="1307"/>
      <c r="AA110" s="1307"/>
      <c r="AB110" s="45"/>
      <c r="AC110" s="45"/>
      <c r="AD110" s="45"/>
    </row>
    <row r="111" spans="1:30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1328"/>
      <c r="P111" s="1328"/>
      <c r="Q111" s="1274"/>
      <c r="R111" s="1328"/>
      <c r="S111" s="1328"/>
      <c r="T111" s="1328"/>
      <c r="U111" s="1271"/>
      <c r="V111" s="1328"/>
      <c r="W111" s="1271"/>
      <c r="X111" s="1174"/>
      <c r="Y111" s="1328"/>
      <c r="Z111" s="1328"/>
      <c r="AA111" s="1328"/>
      <c r="AB111" s="45"/>
      <c r="AC111" s="45"/>
      <c r="AD111" s="45"/>
    </row>
    <row r="112" spans="1:30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2741"/>
      <c r="P112" s="1581" t="s">
        <v>1502</v>
      </c>
      <c r="Q112" s="1571"/>
      <c r="R112" s="1571"/>
      <c r="S112" s="1571"/>
      <c r="T112" s="1571"/>
      <c r="U112" s="234"/>
      <c r="V112" s="1571"/>
      <c r="W112" s="234"/>
      <c r="X112" s="1174"/>
      <c r="Y112" s="1328"/>
      <c r="Z112" s="1271"/>
      <c r="AA112" s="1271"/>
      <c r="AB112" s="45"/>
      <c r="AC112" s="45"/>
      <c r="AD112" s="45"/>
    </row>
    <row r="113" spans="1:30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2741"/>
      <c r="P113" s="1581" t="s">
        <v>1987</v>
      </c>
      <c r="Q113" s="1571"/>
      <c r="R113" s="1459"/>
      <c r="S113" s="1571"/>
      <c r="T113" s="1571"/>
      <c r="U113" s="234"/>
      <c r="V113" s="1328"/>
      <c r="W113" s="1271"/>
      <c r="X113" s="1174"/>
      <c r="Y113" s="1328"/>
      <c r="Z113" s="1271"/>
      <c r="AA113" s="1271"/>
      <c r="AB113" s="45"/>
      <c r="AC113" s="45"/>
      <c r="AD113" s="45"/>
    </row>
    <row r="114" spans="1:30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2741"/>
      <c r="P114" s="1581" t="s">
        <v>1988</v>
      </c>
      <c r="Q114" s="1571"/>
      <c r="R114" s="1459"/>
      <c r="S114" s="1571"/>
      <c r="T114" s="1571"/>
      <c r="U114" s="234"/>
      <c r="V114" s="1328"/>
      <c r="W114" s="1271"/>
      <c r="X114" s="1174"/>
      <c r="Y114" s="1328"/>
      <c r="Z114" s="1271"/>
      <c r="AA114" s="1271"/>
      <c r="AB114" s="45"/>
      <c r="AC114" s="45"/>
      <c r="AD114" s="45"/>
    </row>
    <row r="115" spans="1:30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1273"/>
      <c r="P115" s="1581" t="str">
        <f>"(C)  WPB-6d.  Liberalized Depreciation of "&amp;TEXT(-'WPB-6''s'!AD177,"$#,###;($#,###)")&amp;"."</f>
        <v>(C)  WPB-6d.  Liberalized Depreciation of $957,766.</v>
      </c>
      <c r="Q115" s="1571"/>
      <c r="R115" s="1459"/>
      <c r="S115" s="1459"/>
      <c r="T115" s="401"/>
      <c r="U115" s="330"/>
      <c r="V115" s="1328"/>
      <c r="W115" s="1271"/>
      <c r="X115" s="1345"/>
      <c r="Y115" s="1328"/>
      <c r="Z115" s="1271"/>
      <c r="AA115" s="1271"/>
      <c r="AB115" s="45"/>
      <c r="AC115" s="45"/>
      <c r="AD115" s="45"/>
    </row>
    <row r="116" spans="1:30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1273"/>
      <c r="P116" s="1581" t="s">
        <v>3309</v>
      </c>
      <c r="Q116" s="1571"/>
      <c r="R116" s="1459"/>
      <c r="S116" s="1459"/>
      <c r="T116" s="401"/>
      <c r="U116" s="330"/>
      <c r="V116" s="1328"/>
      <c r="W116" s="1271"/>
      <c r="X116" s="1345"/>
      <c r="Y116" s="1328"/>
      <c r="Z116" s="1271"/>
      <c r="AA116" s="1271"/>
      <c r="AB116" s="45"/>
      <c r="AC116" s="45"/>
      <c r="AD116" s="45"/>
    </row>
    <row r="117" spans="1:30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1273"/>
      <c r="P117" s="1581" t="s">
        <v>3317</v>
      </c>
      <c r="Q117" s="1571"/>
      <c r="R117" s="1459"/>
      <c r="S117" s="1459"/>
      <c r="T117" s="1571"/>
      <c r="U117" s="234"/>
      <c r="V117" s="1328"/>
      <c r="W117" s="1271"/>
      <c r="X117" s="1345"/>
      <c r="Y117" s="1328"/>
      <c r="Z117" s="1271"/>
      <c r="AA117" s="1271"/>
      <c r="AB117" s="45"/>
      <c r="AC117" s="45"/>
      <c r="AD117" s="45"/>
    </row>
    <row r="118" spans="1:30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1273"/>
      <c r="P118" s="1581"/>
      <c r="Q118" s="1571"/>
      <c r="R118" s="1459"/>
      <c r="S118" s="1459"/>
      <c r="T118" s="1459"/>
      <c r="U118" s="1460"/>
      <c r="V118" s="1328"/>
      <c r="W118" s="1271"/>
      <c r="X118" s="1328"/>
      <c r="Y118" s="1328"/>
      <c r="Z118" s="1271"/>
      <c r="AA118" s="1271"/>
      <c r="AB118" s="45"/>
      <c r="AC118" s="45"/>
      <c r="AD118" s="45"/>
    </row>
    <row r="119" spans="1:30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1273"/>
      <c r="P119" s="1328"/>
      <c r="Q119" s="1571"/>
      <c r="R119" s="1459"/>
      <c r="S119" s="1459"/>
      <c r="T119" s="1459"/>
      <c r="U119" s="1460"/>
      <c r="V119" s="1328"/>
      <c r="W119" s="1271"/>
      <c r="X119" s="1328"/>
      <c r="Y119" s="1328"/>
      <c r="Z119" s="1271"/>
      <c r="AA119" s="1271"/>
      <c r="AB119" s="45"/>
      <c r="AC119" s="45"/>
      <c r="AD119" s="45"/>
    </row>
    <row r="120" spans="1:30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1273"/>
      <c r="P120" s="1328"/>
      <c r="Q120" s="1571"/>
      <c r="R120" s="1459"/>
      <c r="S120" s="1459"/>
      <c r="T120" s="1571"/>
      <c r="U120" s="234"/>
      <c r="V120" s="1328"/>
      <c r="W120" s="1271"/>
      <c r="X120" s="1328"/>
      <c r="Y120" s="1328"/>
      <c r="Z120" s="1271"/>
      <c r="AA120" s="1271"/>
      <c r="AB120" s="45"/>
      <c r="AC120" s="45"/>
      <c r="AD120" s="45"/>
    </row>
    <row r="121" spans="1:30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6"/>
      <c r="V121" s="45"/>
      <c r="W121" s="46"/>
      <c r="X121" s="45"/>
      <c r="Y121" s="45"/>
      <c r="Z121" s="45"/>
      <c r="AA121" s="45"/>
      <c r="AB121" s="45"/>
      <c r="AC121" s="45"/>
      <c r="AD121" s="45"/>
    </row>
    <row r="122" spans="1:30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</row>
    <row r="123" spans="1:30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</row>
    <row r="124" spans="1:30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</row>
    <row r="125" spans="1:30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</row>
    <row r="126" spans="1:30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</row>
    <row r="127" spans="1:30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</row>
    <row r="128" spans="1:30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</row>
    <row r="129" spans="1:30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</row>
    <row r="130" spans="1:30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</row>
    <row r="131" spans="1:30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</row>
  </sheetData>
  <phoneticPr fontId="43" type="noConversion"/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4" tint="0.39997558519241921"/>
  </sheetPr>
  <dimension ref="A1:Q49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6.42578125" style="45" customWidth="1"/>
    <col min="2" max="2" width="1.28515625" style="45" customWidth="1"/>
    <col min="3" max="3" width="45.42578125" style="45" customWidth="1"/>
    <col min="4" max="4" width="1.85546875" style="45" customWidth="1"/>
    <col min="5" max="5" width="16.140625" style="45" customWidth="1"/>
    <col min="6" max="6" width="1.5703125" style="45" customWidth="1"/>
    <col min="7" max="7" width="20" style="45" customWidth="1"/>
    <col min="8" max="8" width="1.85546875" style="45" customWidth="1"/>
    <col min="9" max="9" width="21.28515625" style="45" customWidth="1"/>
    <col min="10" max="10" width="6.5703125" style="45" customWidth="1"/>
    <col min="11" max="16" width="8" style="18"/>
    <col min="17" max="17" width="15.5703125" style="18" bestFit="1" customWidth="1"/>
    <col min="18" max="18" width="13.28515625" style="18" customWidth="1"/>
    <col min="19" max="19" width="8" style="18"/>
    <col min="20" max="20" width="15" style="18" bestFit="1" customWidth="1"/>
    <col min="21" max="21" width="14" style="18" customWidth="1"/>
    <col min="22" max="16384" width="8" style="18"/>
  </cols>
  <sheetData>
    <row r="1" spans="1:10">
      <c r="A1" s="1241" t="str">
        <f>COMPANY</f>
        <v>DUKE ENERGY KENTUCKY, INC.</v>
      </c>
      <c r="B1" s="2642"/>
      <c r="C1" s="2642"/>
      <c r="D1" s="2642"/>
      <c r="E1" s="2642"/>
      <c r="F1" s="2642"/>
      <c r="G1" s="2642"/>
      <c r="H1" s="2642"/>
      <c r="I1" s="2642"/>
      <c r="J1" s="2642"/>
    </row>
    <row r="2" spans="1:10">
      <c r="A2" s="1241" t="str">
        <f>CASE</f>
        <v>CASE NO. 2017-00321</v>
      </c>
      <c r="B2" s="2642"/>
      <c r="C2" s="2642"/>
      <c r="D2" s="2642"/>
      <c r="E2" s="2642"/>
      <c r="F2" s="2642"/>
      <c r="G2" s="2642"/>
      <c r="H2" s="2642"/>
      <c r="I2" s="2642"/>
      <c r="J2" s="2642"/>
    </row>
    <row r="3" spans="1:10">
      <c r="A3" s="1241" t="s">
        <v>453</v>
      </c>
      <c r="B3" s="2642"/>
      <c r="C3" s="2642"/>
      <c r="D3" s="2642"/>
      <c r="E3" s="2642"/>
      <c r="F3" s="2642"/>
      <c r="G3" s="2642"/>
      <c r="H3" s="2642"/>
      <c r="I3" s="2642"/>
      <c r="J3" s="2642"/>
    </row>
    <row r="4" spans="1:10">
      <c r="A4" s="76" t="str">
        <f>"AS OF " &amp;RIGHT(TESTYR,(LEN(TESTYR)-16))</f>
        <v>AS OF NOVEMBER 30, 2017</v>
      </c>
      <c r="B4" s="2642"/>
      <c r="C4" s="2642"/>
      <c r="D4" s="2642"/>
      <c r="E4" s="2642"/>
      <c r="F4" s="2642"/>
      <c r="G4" s="2642"/>
      <c r="H4" s="2642"/>
      <c r="I4" s="2642"/>
      <c r="J4" s="2642"/>
    </row>
    <row r="5" spans="1:10">
      <c r="A5" s="76" t="str">
        <f>"AS OF " &amp;RIGHT(Forecast,(LEN(Forecast)-16))</f>
        <v>AS OF MARCH 31, 2019</v>
      </c>
      <c r="B5" s="2642"/>
      <c r="C5" s="2642"/>
      <c r="D5" s="2642"/>
      <c r="E5" s="2642"/>
      <c r="F5" s="2642"/>
      <c r="G5" s="2642"/>
      <c r="H5" s="2642"/>
      <c r="I5" s="2642"/>
      <c r="J5" s="2642"/>
    </row>
    <row r="6" spans="1:10">
      <c r="A6" s="80"/>
      <c r="B6" s="80"/>
      <c r="C6" s="80"/>
      <c r="D6" s="80"/>
      <c r="E6" s="80"/>
      <c r="F6" s="80"/>
      <c r="G6" s="80"/>
      <c r="H6" s="80"/>
      <c r="I6" s="80"/>
      <c r="J6" s="80"/>
    </row>
    <row r="7" spans="1:10">
      <c r="A7" s="79" t="str">
        <f>DataB</f>
        <v>DATA: "X" BASE PERIOD  "X" FORECASTED PERIOD</v>
      </c>
      <c r="B7" s="80"/>
      <c r="C7" s="80"/>
      <c r="D7" s="80"/>
      <c r="E7" s="80"/>
      <c r="F7" s="80"/>
      <c r="G7" s="80"/>
      <c r="H7" s="80"/>
      <c r="I7" s="2643" t="s">
        <v>454</v>
      </c>
      <c r="J7" s="80"/>
    </row>
    <row r="8" spans="1:10">
      <c r="A8" s="79" t="str">
        <f>Type</f>
        <v xml:space="preserve">TYPE OF FILING:  "X" ORIGINAL   UPDATED    REVISED  </v>
      </c>
      <c r="B8" s="80"/>
      <c r="C8" s="80"/>
      <c r="D8" s="80"/>
      <c r="E8" s="80"/>
      <c r="F8" s="80"/>
      <c r="G8" s="80"/>
      <c r="H8" s="80"/>
      <c r="I8" s="2643" t="s">
        <v>620</v>
      </c>
      <c r="J8" s="80"/>
    </row>
    <row r="9" spans="1:10">
      <c r="A9" s="2643" t="s">
        <v>621</v>
      </c>
      <c r="B9" s="80"/>
      <c r="C9" s="80"/>
      <c r="D9" s="80"/>
      <c r="E9" s="80"/>
      <c r="F9" s="80"/>
      <c r="G9" s="80"/>
      <c r="H9" s="80"/>
      <c r="I9" s="2643" t="s">
        <v>622</v>
      </c>
      <c r="J9" s="80"/>
    </row>
    <row r="10" spans="1:10">
      <c r="A10" s="80"/>
      <c r="B10" s="80"/>
      <c r="C10" s="80"/>
      <c r="D10" s="80"/>
      <c r="E10" s="80"/>
      <c r="F10" s="80"/>
      <c r="G10" s="80"/>
      <c r="H10" s="80"/>
      <c r="I10" s="2643" t="str">
        <f>_WIT1</f>
        <v>S. E. LAWLER</v>
      </c>
      <c r="J10" s="80"/>
    </row>
    <row r="11" spans="1:10">
      <c r="A11" s="2644"/>
      <c r="B11" s="2644"/>
      <c r="C11" s="2644"/>
      <c r="D11" s="2644"/>
      <c r="E11" s="2644"/>
      <c r="F11" s="2644"/>
      <c r="G11" s="2644"/>
      <c r="H11" s="2644"/>
      <c r="I11" s="2644"/>
      <c r="J11" s="2645"/>
    </row>
    <row r="12" spans="1:10">
      <c r="A12" s="80"/>
      <c r="B12" s="80"/>
      <c r="C12" s="80"/>
      <c r="D12" s="80"/>
      <c r="E12" s="80"/>
      <c r="F12" s="80"/>
      <c r="G12" s="80"/>
      <c r="H12" s="80"/>
      <c r="I12" s="2646"/>
      <c r="J12" s="2647"/>
    </row>
    <row r="13" spans="1:10">
      <c r="A13" s="80"/>
      <c r="B13" s="80"/>
      <c r="C13" s="80"/>
      <c r="D13" s="80"/>
      <c r="E13" s="2646" t="s">
        <v>1856</v>
      </c>
      <c r="F13" s="80"/>
      <c r="G13" s="80"/>
      <c r="H13" s="2648"/>
      <c r="I13" s="1241" t="s">
        <v>455</v>
      </c>
      <c r="J13" s="2647"/>
    </row>
    <row r="14" spans="1:10">
      <c r="A14" s="2646" t="s">
        <v>1961</v>
      </c>
      <c r="B14" s="80"/>
      <c r="C14" s="80"/>
      <c r="D14" s="80"/>
      <c r="E14" s="2646" t="s">
        <v>563</v>
      </c>
      <c r="F14" s="80"/>
      <c r="G14" s="2649" t="s">
        <v>564</v>
      </c>
      <c r="H14" s="80"/>
      <c r="I14" s="2646" t="s">
        <v>565</v>
      </c>
      <c r="J14" s="2647"/>
    </row>
    <row r="15" spans="1:10">
      <c r="A15" s="2646" t="s">
        <v>1854</v>
      </c>
      <c r="B15" s="80"/>
      <c r="C15" s="2646" t="s">
        <v>456</v>
      </c>
      <c r="D15" s="80"/>
      <c r="E15" s="2646" t="s">
        <v>567</v>
      </c>
      <c r="F15" s="80"/>
      <c r="G15" s="2649" t="s">
        <v>568</v>
      </c>
      <c r="H15" s="80"/>
      <c r="I15" s="2646" t="s">
        <v>568</v>
      </c>
      <c r="J15" s="2647"/>
    </row>
    <row r="16" spans="1:10">
      <c r="A16" s="2650"/>
      <c r="B16" s="2644"/>
      <c r="C16" s="2644"/>
      <c r="D16" s="2644"/>
      <c r="E16" s="2644"/>
      <c r="F16" s="2644"/>
      <c r="G16" s="2644"/>
      <c r="H16" s="2644"/>
      <c r="I16" s="2644"/>
      <c r="J16" s="2645"/>
    </row>
    <row r="17" spans="1:11">
      <c r="A17" s="2649"/>
      <c r="B17" s="80"/>
      <c r="C17" s="80"/>
      <c r="D17" s="80"/>
      <c r="E17" s="80"/>
      <c r="F17" s="80"/>
      <c r="G17" s="80"/>
      <c r="H17" s="80"/>
      <c r="I17" s="80"/>
      <c r="J17" s="2647"/>
    </row>
    <row r="18" spans="1:11">
      <c r="A18" s="2646">
        <v>1</v>
      </c>
      <c r="B18" s="80"/>
      <c r="C18" s="2651" t="s">
        <v>457</v>
      </c>
      <c r="D18" s="80"/>
      <c r="E18" s="2652" t="s">
        <v>458</v>
      </c>
      <c r="F18" s="85"/>
      <c r="G18" s="81">
        <f>ROUND('SCH B-2'!G42,0)</f>
        <v>1544965918</v>
      </c>
      <c r="H18" s="85"/>
      <c r="I18" s="81">
        <f>ROUND('SCH B-2'!G90,0)</f>
        <v>1730844119</v>
      </c>
      <c r="J18" s="85"/>
    </row>
    <row r="19" spans="1:11">
      <c r="A19" s="2649"/>
      <c r="B19" s="80"/>
      <c r="C19" s="2653"/>
      <c r="D19" s="80"/>
      <c r="E19" s="85"/>
      <c r="F19" s="85"/>
      <c r="G19" s="82"/>
      <c r="H19" s="85"/>
      <c r="I19" s="82"/>
      <c r="J19" s="85"/>
    </row>
    <row r="20" spans="1:11">
      <c r="A20" s="2649">
        <v>2</v>
      </c>
      <c r="B20" s="80"/>
      <c r="C20" s="2651" t="s">
        <v>459</v>
      </c>
      <c r="D20" s="80"/>
      <c r="E20" s="2652" t="s">
        <v>3202</v>
      </c>
      <c r="F20" s="85"/>
      <c r="G20" s="83">
        <f>-ROUND('SCH B-3'!K272,0)</f>
        <v>-833963077</v>
      </c>
      <c r="H20" s="85"/>
      <c r="I20" s="83">
        <f ca="1">-(ROUND('SCH B-3.2 - Proposed'!H307,0)+SCH_D2.24!J27)</f>
        <v>-846148393</v>
      </c>
      <c r="J20" s="2652">
        <v>-1</v>
      </c>
      <c r="K20" s="45"/>
    </row>
    <row r="21" spans="1:11">
      <c r="A21" s="2649"/>
      <c r="B21" s="80"/>
      <c r="C21" s="2651"/>
      <c r="D21" s="80"/>
      <c r="E21" s="2652"/>
      <c r="F21" s="85"/>
      <c r="G21" s="84"/>
      <c r="H21" s="85"/>
      <c r="I21" s="84"/>
      <c r="J21" s="85"/>
    </row>
    <row r="22" spans="1:11">
      <c r="A22" s="2649">
        <v>3</v>
      </c>
      <c r="B22" s="80"/>
      <c r="C22" s="2651" t="s">
        <v>460</v>
      </c>
      <c r="D22" s="80"/>
      <c r="E22" s="85"/>
      <c r="F22" s="85"/>
      <c r="G22" s="85">
        <f>G18+G20</f>
        <v>711002841</v>
      </c>
      <c r="H22" s="85"/>
      <c r="I22" s="85">
        <f ca="1">PLANT_IN_SERVICE+I20</f>
        <v>884695726</v>
      </c>
      <c r="J22" s="85"/>
    </row>
    <row r="23" spans="1:11">
      <c r="A23" s="2649"/>
      <c r="B23" s="80"/>
      <c r="C23" s="2653"/>
      <c r="D23" s="80"/>
      <c r="E23" s="85"/>
      <c r="F23" s="85"/>
      <c r="G23" s="85"/>
      <c r="H23" s="85"/>
      <c r="I23" s="85"/>
      <c r="J23" s="85"/>
    </row>
    <row r="24" spans="1:11">
      <c r="A24" s="2646">
        <v>4</v>
      </c>
      <c r="B24" s="80"/>
      <c r="C24" s="2651" t="s">
        <v>461</v>
      </c>
      <c r="D24" s="80"/>
      <c r="E24" s="2652" t="s">
        <v>318</v>
      </c>
      <c r="F24" s="80"/>
      <c r="G24" s="1713">
        <v>0</v>
      </c>
      <c r="H24" s="1714"/>
      <c r="I24" s="1713">
        <v>0</v>
      </c>
    </row>
    <row r="25" spans="1:11">
      <c r="A25" s="2649"/>
      <c r="B25" s="80"/>
      <c r="C25" s="2653"/>
      <c r="D25" s="80"/>
      <c r="E25" s="85"/>
      <c r="F25" s="85"/>
      <c r="G25" s="85"/>
      <c r="H25" s="85"/>
      <c r="I25" s="85"/>
      <c r="J25" s="85"/>
    </row>
    <row r="26" spans="1:11">
      <c r="A26" s="2649">
        <v>5</v>
      </c>
      <c r="B26" s="80"/>
      <c r="C26" s="2651" t="s">
        <v>462</v>
      </c>
      <c r="D26" s="80"/>
      <c r="E26" s="2652" t="s">
        <v>463</v>
      </c>
      <c r="F26" s="85"/>
      <c r="G26" s="85">
        <f>SCH_B5s!M17</f>
        <v>13817614</v>
      </c>
      <c r="H26" s="85"/>
      <c r="I26" s="85">
        <f ca="1">SCH_B5s!O17</f>
        <v>14215407</v>
      </c>
      <c r="J26" s="85"/>
    </row>
    <row r="27" spans="1:11">
      <c r="A27" s="2649"/>
      <c r="B27" s="80"/>
      <c r="C27" s="2651"/>
      <c r="D27" s="80"/>
      <c r="E27" s="2652"/>
      <c r="F27" s="85"/>
      <c r="G27" s="85"/>
      <c r="H27" s="85"/>
      <c r="I27" s="85"/>
      <c r="J27" s="85"/>
    </row>
    <row r="28" spans="1:11">
      <c r="A28" s="2649">
        <v>6</v>
      </c>
      <c r="B28" s="80"/>
      <c r="C28" s="2651" t="s">
        <v>464</v>
      </c>
      <c r="D28" s="80"/>
      <c r="E28" s="2652" t="s">
        <v>463</v>
      </c>
      <c r="F28" s="85"/>
      <c r="G28" s="85">
        <f>SCH_B5s!M41-G26</f>
        <v>41368620</v>
      </c>
      <c r="H28" s="85"/>
      <c r="I28" s="85">
        <f ca="1">SCH_B5s!O41-I26</f>
        <v>40420974</v>
      </c>
      <c r="J28" s="85"/>
    </row>
    <row r="29" spans="1:11">
      <c r="A29" s="2646"/>
      <c r="B29" s="80"/>
      <c r="C29" s="2653"/>
      <c r="D29" s="80"/>
      <c r="E29" s="85"/>
      <c r="F29" s="85"/>
      <c r="G29" s="85"/>
      <c r="H29" s="85"/>
      <c r="I29" s="85"/>
      <c r="J29" s="85"/>
    </row>
    <row r="30" spans="1:11">
      <c r="A30" s="2649">
        <v>7</v>
      </c>
      <c r="B30" s="80"/>
      <c r="C30" s="2651" t="s">
        <v>465</v>
      </c>
      <c r="D30" s="80"/>
      <c r="E30" s="85"/>
      <c r="F30" s="80"/>
      <c r="G30" s="85"/>
      <c r="H30" s="80"/>
      <c r="I30" s="85"/>
      <c r="J30" s="85"/>
    </row>
    <row r="31" spans="1:11">
      <c r="A31" s="2649"/>
      <c r="B31" s="80"/>
      <c r="C31" s="2651"/>
      <c r="D31" s="80"/>
      <c r="E31" s="85"/>
      <c r="F31" s="80"/>
      <c r="G31" s="85"/>
      <c r="H31" s="80"/>
      <c r="I31" s="85"/>
      <c r="J31" s="85"/>
    </row>
    <row r="32" spans="1:11">
      <c r="A32" s="2649">
        <v>8</v>
      </c>
      <c r="B32" s="80"/>
      <c r="C32" s="2651" t="s">
        <v>1560</v>
      </c>
      <c r="D32" s="80"/>
      <c r="E32" s="2652" t="s">
        <v>1561</v>
      </c>
      <c r="F32" s="80"/>
      <c r="G32" s="86">
        <v>0</v>
      </c>
      <c r="H32" s="80"/>
      <c r="I32" s="86">
        <v>0</v>
      </c>
      <c r="J32" s="85"/>
    </row>
    <row r="33" spans="1:17">
      <c r="A33" s="2649"/>
      <c r="B33" s="80"/>
      <c r="C33" s="2653"/>
      <c r="D33" s="80"/>
      <c r="E33" s="80"/>
      <c r="F33" s="80"/>
      <c r="G33" s="85"/>
      <c r="H33" s="80"/>
      <c r="I33" s="85"/>
      <c r="J33" s="85"/>
    </row>
    <row r="34" spans="1:17">
      <c r="A34" s="2646">
        <v>9</v>
      </c>
      <c r="B34" s="80"/>
      <c r="C34" s="2651" t="s">
        <v>65</v>
      </c>
      <c r="D34" s="80"/>
      <c r="E34" s="2652" t="s">
        <v>1561</v>
      </c>
      <c r="F34" s="85"/>
      <c r="G34" s="85">
        <f>SCH_B6!P24</f>
        <v>0</v>
      </c>
      <c r="H34" s="85"/>
      <c r="I34" s="85">
        <f>SCH_B6!P64</f>
        <v>0</v>
      </c>
      <c r="J34" s="85"/>
    </row>
    <row r="35" spans="1:17">
      <c r="A35" s="2649"/>
      <c r="B35" s="80"/>
      <c r="C35" s="2653"/>
      <c r="D35" s="80"/>
      <c r="E35" s="80"/>
      <c r="F35" s="80"/>
      <c r="G35" s="85"/>
      <c r="H35" s="80"/>
      <c r="I35" s="85"/>
      <c r="J35" s="85"/>
    </row>
    <row r="36" spans="1:17">
      <c r="A36" s="2646">
        <v>10</v>
      </c>
      <c r="B36" s="80"/>
      <c r="C36" s="2651" t="s">
        <v>66</v>
      </c>
      <c r="D36" s="80"/>
      <c r="E36" s="2652" t="s">
        <v>1561</v>
      </c>
      <c r="F36" s="85"/>
      <c r="G36" s="85">
        <f>SCH_B6!P27</f>
        <v>-212949748</v>
      </c>
      <c r="H36" s="85"/>
      <c r="I36" s="85">
        <f ca="1">SCH_B6!P67-SCH_D1!AA297-SCH_D1!AA302</f>
        <v>-239127546</v>
      </c>
      <c r="J36" s="2652">
        <v>-1</v>
      </c>
    </row>
    <row r="37" spans="1:17">
      <c r="A37" s="2649"/>
      <c r="B37" s="80"/>
      <c r="C37" s="2653"/>
      <c r="D37" s="80"/>
      <c r="E37" s="80"/>
      <c r="F37" s="80"/>
      <c r="G37" s="85"/>
      <c r="H37" s="80"/>
      <c r="I37" s="85"/>
      <c r="J37" s="85"/>
    </row>
    <row r="38" spans="1:17">
      <c r="A38" s="2649">
        <v>11</v>
      </c>
      <c r="B38" s="80"/>
      <c r="C38" s="2651" t="s">
        <v>67</v>
      </c>
      <c r="D38" s="80"/>
      <c r="E38" s="2652" t="s">
        <v>1561</v>
      </c>
      <c r="F38" s="85"/>
      <c r="G38" s="87">
        <v>0</v>
      </c>
      <c r="H38" s="85"/>
      <c r="I38" s="87">
        <v>0</v>
      </c>
      <c r="J38" s="85"/>
    </row>
    <row r="39" spans="1:17">
      <c r="A39" s="2649"/>
      <c r="B39" s="80"/>
      <c r="C39" s="2651"/>
      <c r="D39" s="80"/>
      <c r="E39" s="2652"/>
      <c r="F39" s="85"/>
      <c r="G39" s="85"/>
      <c r="H39" s="85"/>
      <c r="I39" s="88"/>
      <c r="J39" s="85"/>
    </row>
    <row r="40" spans="1:17" ht="13.5" thickBot="1">
      <c r="A40" s="2649">
        <v>12</v>
      </c>
      <c r="B40" s="80"/>
      <c r="C40" s="2651" t="s">
        <v>68</v>
      </c>
      <c r="D40" s="80"/>
      <c r="E40" s="85"/>
      <c r="F40" s="85"/>
      <c r="G40" s="2654">
        <f>SUM(G22:G38)</f>
        <v>553239327</v>
      </c>
      <c r="H40" s="85"/>
      <c r="I40" s="2654">
        <f ca="1">SUM(I22:I38)</f>
        <v>700204561</v>
      </c>
      <c r="J40" s="85"/>
    </row>
    <row r="41" spans="1:17" ht="13.5" thickTop="1">
      <c r="A41" s="2649"/>
      <c r="B41" s="80"/>
      <c r="C41" s="2653"/>
      <c r="D41" s="80"/>
      <c r="E41" s="80"/>
      <c r="F41" s="80"/>
      <c r="G41" s="80"/>
      <c r="H41" s="80"/>
      <c r="I41" s="2655"/>
      <c r="J41" s="85"/>
    </row>
    <row r="42" spans="1:17">
      <c r="A42" s="2646"/>
      <c r="B42" s="80"/>
      <c r="C42" s="80"/>
      <c r="D42" s="80"/>
      <c r="E42" s="80"/>
      <c r="F42" s="80"/>
      <c r="G42" s="80"/>
      <c r="H42" s="80"/>
      <c r="I42" s="80"/>
      <c r="J42" s="80"/>
    </row>
    <row r="43" spans="1:17">
      <c r="A43" s="2649"/>
      <c r="B43" s="80"/>
      <c r="C43" s="80" t="s">
        <v>2580</v>
      </c>
      <c r="D43" s="80"/>
      <c r="E43" s="80"/>
      <c r="F43" s="80"/>
      <c r="G43" s="80"/>
      <c r="H43" s="80"/>
      <c r="I43" s="80"/>
      <c r="J43" s="85"/>
    </row>
    <row r="44" spans="1:17">
      <c r="A44" s="2649"/>
      <c r="B44" s="80"/>
      <c r="C44" s="1725" t="s">
        <v>3132</v>
      </c>
      <c r="D44" s="80"/>
      <c r="E44" s="80"/>
      <c r="F44" s="80"/>
      <c r="G44" s="80"/>
      <c r="H44" s="80"/>
      <c r="I44" s="80"/>
      <c r="J44" s="85"/>
      <c r="Q44" s="1347"/>
    </row>
    <row r="45" spans="1:17">
      <c r="A45" s="2649"/>
      <c r="B45" s="80"/>
      <c r="C45" s="2643"/>
      <c r="D45" s="80"/>
      <c r="E45" s="80"/>
      <c r="F45" s="80"/>
      <c r="G45" s="80"/>
      <c r="H45" s="80"/>
      <c r="I45" s="80"/>
      <c r="J45" s="85"/>
    </row>
    <row r="46" spans="1:17">
      <c r="A46" s="2649"/>
      <c r="B46" s="80"/>
      <c r="C46" s="2643"/>
      <c r="D46" s="80"/>
      <c r="E46" s="80"/>
      <c r="F46" s="80"/>
      <c r="G46" s="80"/>
      <c r="H46" s="80"/>
      <c r="I46" s="80"/>
      <c r="J46" s="80"/>
    </row>
    <row r="47" spans="1:17">
      <c r="A47" s="2649"/>
      <c r="B47" s="80"/>
      <c r="C47" s="80"/>
      <c r="D47" s="80"/>
      <c r="E47" s="80"/>
      <c r="F47" s="80"/>
      <c r="G47" s="80"/>
      <c r="H47" s="80"/>
      <c r="I47" s="80"/>
      <c r="J47" s="80"/>
    </row>
    <row r="48" spans="1:17">
      <c r="A48" s="80"/>
      <c r="B48" s="80"/>
      <c r="C48" s="80"/>
      <c r="D48" s="80"/>
      <c r="E48" s="80"/>
      <c r="F48" s="80"/>
      <c r="G48" s="80"/>
      <c r="H48" s="80"/>
      <c r="I48" s="80"/>
      <c r="J48" s="80"/>
    </row>
    <row r="49" spans="1:10">
      <c r="A49" s="2643"/>
      <c r="B49" s="80"/>
      <c r="C49" s="80"/>
      <c r="D49" s="80"/>
      <c r="E49" s="80"/>
      <c r="F49" s="80"/>
      <c r="G49" s="80"/>
      <c r="H49" s="80"/>
      <c r="I49" s="80"/>
      <c r="J49" s="80"/>
    </row>
  </sheetData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2">
    <tabColor theme="4" tint="0.39997558519241921"/>
  </sheetPr>
  <dimension ref="A1:BU452"/>
  <sheetViews>
    <sheetView tabSelected="1" view="pageLayout" zoomScaleNormal="90" workbookViewId="0">
      <selection activeCell="G1" sqref="G1"/>
    </sheetView>
  </sheetViews>
  <sheetFormatPr defaultColWidth="12.5703125" defaultRowHeight="12.75"/>
  <cols>
    <col min="1" max="1" width="7.7109375" style="1541" customWidth="1"/>
    <col min="2" max="2" width="35.28515625" style="1541" customWidth="1"/>
    <col min="3" max="3" width="17.42578125" style="1541" customWidth="1"/>
    <col min="4" max="4" width="13.7109375" style="1541" customWidth="1"/>
    <col min="5" max="5" width="16.7109375" style="1541" customWidth="1"/>
    <col min="6" max="6" width="15.7109375" style="1541" customWidth="1"/>
    <col min="7" max="7" width="20" style="1541" customWidth="1"/>
    <col min="8" max="8" width="20.28515625" style="1541" customWidth="1"/>
    <col min="9" max="9" width="2.28515625" style="1541" customWidth="1"/>
    <col min="10" max="10" width="10" style="1541" customWidth="1"/>
    <col min="11" max="12" width="15.140625" style="1541" customWidth="1"/>
    <col min="13" max="13" width="65.28515625" style="1541" customWidth="1"/>
    <col min="14" max="18" width="20.28515625" style="1541" customWidth="1"/>
    <col min="19" max="19" width="2.28515625" style="1541" customWidth="1"/>
    <col min="20" max="20" width="12.5703125" style="1541"/>
    <col min="21" max="21" width="15.140625" style="1541" customWidth="1"/>
    <col min="22" max="22" width="12.5703125" style="1541"/>
    <col min="23" max="23" width="52.42578125" style="1541" customWidth="1"/>
    <col min="24" max="26" width="20.28515625" style="1541" customWidth="1"/>
    <col min="27" max="27" width="2.28515625" style="1541" customWidth="1"/>
    <col min="28" max="28" width="12.5703125" style="1541"/>
    <col min="29" max="29" width="15.140625" style="1541" customWidth="1"/>
    <col min="30" max="30" width="12.5703125" style="1541"/>
    <col min="31" max="31" width="65.28515625" style="1541" customWidth="1"/>
    <col min="32" max="36" width="20.28515625" style="1541" customWidth="1"/>
    <col min="37" max="37" width="33.140625" style="1541" customWidth="1"/>
    <col min="38" max="38" width="20.28515625" style="1541" customWidth="1"/>
    <col min="39" max="39" width="2.28515625" style="1541" customWidth="1"/>
    <col min="40" max="40" width="15.140625" style="1541" customWidth="1"/>
    <col min="41" max="46" width="22.85546875" style="1541" customWidth="1"/>
    <col min="47" max="47" width="26.7109375" style="1541" customWidth="1"/>
    <col min="48" max="48" width="22.85546875" style="1541" customWidth="1"/>
    <col min="49" max="49" width="20.28515625" style="1541" customWidth="1"/>
    <col min="50" max="50" width="2.28515625" style="1541" customWidth="1"/>
    <col min="51" max="51" width="26.7109375" style="1541" customWidth="1"/>
    <col min="52" max="52" width="37" style="1541" customWidth="1"/>
    <col min="53" max="53" width="46" style="1541" customWidth="1"/>
    <col min="54" max="56" width="15.140625" style="1541" customWidth="1"/>
    <col min="57" max="57" width="26.7109375" style="1541" customWidth="1"/>
    <col min="58" max="58" width="15.140625" style="1541" customWidth="1"/>
    <col min="59" max="59" width="2.28515625" style="1541" customWidth="1"/>
    <col min="60" max="60" width="10" style="1541" customWidth="1"/>
    <col min="61" max="61" width="12.5703125" style="1541"/>
    <col min="62" max="62" width="39.5703125" style="1541" customWidth="1"/>
    <col min="63" max="63" width="16.42578125" style="1541" customWidth="1"/>
    <col min="64" max="66" width="20.28515625" style="1541" customWidth="1"/>
    <col min="67" max="68" width="16.42578125" style="1541" customWidth="1"/>
    <col min="69" max="69" width="26.7109375" style="1541" customWidth="1"/>
    <col min="70" max="70" width="39.5703125" style="1541" customWidth="1"/>
    <col min="71" max="71" width="12.5703125" style="1541"/>
    <col min="72" max="72" width="16.42578125" style="1541" customWidth="1"/>
    <col min="73" max="73" width="17.7109375" style="1541" customWidth="1"/>
    <col min="74" max="16384" width="12.5703125" style="1541"/>
  </cols>
  <sheetData>
    <row r="1" spans="1:73">
      <c r="A1" s="103" t="str">
        <f>COMPANY</f>
        <v>DUKE ENERGY KENTUCKY, INC.</v>
      </c>
      <c r="B1" s="2585"/>
      <c r="C1" s="2585"/>
      <c r="D1" s="2585"/>
      <c r="E1" s="2585"/>
      <c r="F1" s="2585"/>
      <c r="G1" s="2585"/>
      <c r="BT1" s="1506"/>
      <c r="BU1" s="1506"/>
    </row>
    <row r="2" spans="1:73">
      <c r="A2" s="103" t="str">
        <f>CASE</f>
        <v>CASE NO. 2017-00321</v>
      </c>
      <c r="B2" s="2585"/>
      <c r="C2" s="2585"/>
      <c r="D2" s="2585"/>
      <c r="E2" s="2585"/>
      <c r="F2" s="2585"/>
      <c r="G2" s="2585"/>
      <c r="BT2" s="1506"/>
      <c r="BU2" s="1506"/>
    </row>
    <row r="3" spans="1:73">
      <c r="A3" s="103" t="s">
        <v>1964</v>
      </c>
      <c r="B3" s="2585"/>
      <c r="C3" s="2585"/>
      <c r="D3" s="2585"/>
      <c r="E3" s="2585"/>
      <c r="F3" s="2585"/>
      <c r="G3" s="2585"/>
      <c r="BT3" s="1506"/>
      <c r="BU3" s="1506"/>
    </row>
    <row r="4" spans="1:73">
      <c r="A4" s="76" t="str">
        <f>"AS OF " &amp;RIGHT(TESTYR,(LEN(TESTYR)-16))</f>
        <v>AS OF NOVEMBER 30, 2017</v>
      </c>
      <c r="B4" s="2585"/>
      <c r="C4" s="2585"/>
      <c r="D4" s="2585"/>
      <c r="E4" s="2585"/>
      <c r="F4" s="2585"/>
      <c r="G4" s="2585"/>
      <c r="BT4" s="1506"/>
      <c r="BU4" s="1506"/>
    </row>
    <row r="5" spans="1:73">
      <c r="A5" s="2585"/>
      <c r="B5" s="2585"/>
      <c r="C5" s="2585"/>
      <c r="D5" s="2585"/>
      <c r="E5" s="2585"/>
      <c r="F5" s="2585"/>
      <c r="G5" s="2585"/>
      <c r="BT5" s="1506"/>
      <c r="BU5" s="1506"/>
    </row>
    <row r="6" spans="1:73">
      <c r="A6" s="2569"/>
      <c r="B6" s="2585"/>
      <c r="C6" s="2585"/>
      <c r="D6" s="2585"/>
      <c r="E6" s="2585"/>
      <c r="F6" s="2585"/>
      <c r="G6" s="2585"/>
      <c r="BT6" s="1506"/>
      <c r="BU6" s="1506"/>
    </row>
    <row r="7" spans="1:73">
      <c r="BT7" s="1506"/>
      <c r="BU7" s="1506"/>
    </row>
    <row r="8" spans="1:73">
      <c r="BT8" s="1506"/>
      <c r="BU8" s="1506"/>
    </row>
    <row r="9" spans="1:73">
      <c r="A9" s="1506" t="str">
        <f>Data</f>
        <v>DATA: "X" BASE PERIOD   FORECASTED PERIOD</v>
      </c>
      <c r="F9" s="1506" t="s">
        <v>1965</v>
      </c>
      <c r="BT9" s="1506"/>
      <c r="BU9" s="1506"/>
    </row>
    <row r="10" spans="1:73">
      <c r="A10" s="1506" t="str">
        <f>Type</f>
        <v xml:space="preserve">TYPE OF FILING:  "X" ORIGINAL   UPDATED    REVISED  </v>
      </c>
      <c r="F10" s="1506" t="s">
        <v>1458</v>
      </c>
      <c r="BT10" s="1506"/>
      <c r="BU10" s="1506"/>
    </row>
    <row r="11" spans="1:73">
      <c r="A11" s="1506" t="s">
        <v>1966</v>
      </c>
      <c r="F11" s="1506" t="s">
        <v>622</v>
      </c>
      <c r="BT11" s="1506"/>
      <c r="BU11" s="1506"/>
    </row>
    <row r="12" spans="1:73">
      <c r="F12" s="1506" t="str">
        <f>_WIT7</f>
        <v>R. H. PRATT / C. S. LEE</v>
      </c>
      <c r="BT12" s="1506"/>
      <c r="BU12" s="1506"/>
    </row>
    <row r="13" spans="1:73">
      <c r="BT13" s="1506"/>
      <c r="BU13" s="1506"/>
    </row>
    <row r="14" spans="1:73">
      <c r="BT14" s="1506"/>
      <c r="BU14" s="1506"/>
    </row>
    <row r="15" spans="1:73">
      <c r="BT15" s="1506"/>
      <c r="BU15" s="1506"/>
    </row>
    <row r="16" spans="1:73">
      <c r="A16" s="1621"/>
      <c r="B16" s="1621"/>
      <c r="C16" s="2675"/>
      <c r="D16" s="1621"/>
      <c r="E16" s="1621"/>
      <c r="F16" s="1621"/>
      <c r="G16" s="1621"/>
      <c r="BT16" s="1506"/>
      <c r="BU16" s="1506"/>
    </row>
    <row r="17" spans="1:73">
      <c r="A17" s="1505" t="s">
        <v>1240</v>
      </c>
      <c r="C17" s="2620" t="s">
        <v>1117</v>
      </c>
      <c r="D17" s="1505" t="s">
        <v>802</v>
      </c>
      <c r="E17" s="1505" t="s">
        <v>802</v>
      </c>
      <c r="G17" s="1505" t="s">
        <v>574</v>
      </c>
      <c r="BT17" s="1506"/>
      <c r="BU17" s="1506"/>
    </row>
    <row r="18" spans="1:73">
      <c r="A18" s="1505" t="s">
        <v>1241</v>
      </c>
      <c r="B18" s="1506" t="s">
        <v>1968</v>
      </c>
      <c r="C18" s="1505" t="s">
        <v>1120</v>
      </c>
      <c r="D18" s="1505" t="s">
        <v>363</v>
      </c>
      <c r="E18" s="1505" t="s">
        <v>1929</v>
      </c>
      <c r="F18" s="1505" t="s">
        <v>573</v>
      </c>
      <c r="G18" s="1505" t="s">
        <v>1449</v>
      </c>
      <c r="BT18" s="1506"/>
      <c r="BU18" s="1506"/>
    </row>
    <row r="19" spans="1:73">
      <c r="A19" s="1621"/>
      <c r="B19" s="1621"/>
      <c r="C19" s="1621"/>
      <c r="D19" s="1621"/>
      <c r="E19" s="1621"/>
      <c r="F19" s="1621"/>
      <c r="G19" s="1621"/>
      <c r="BT19" s="1506"/>
      <c r="BU19" s="1506"/>
    </row>
    <row r="20" spans="1:73">
      <c r="C20" s="1505" t="s">
        <v>1705</v>
      </c>
      <c r="E20" s="1505" t="s">
        <v>1705</v>
      </c>
      <c r="F20" s="1505" t="s">
        <v>1705</v>
      </c>
      <c r="G20" s="1505" t="s">
        <v>1705</v>
      </c>
      <c r="BT20" s="1506"/>
      <c r="BU20" s="1506"/>
    </row>
    <row r="21" spans="1:73">
      <c r="BT21" s="1506"/>
      <c r="BU21" s="1506"/>
    </row>
    <row r="22" spans="1:73">
      <c r="BT22" s="1506"/>
      <c r="BU22" s="1506"/>
    </row>
    <row r="23" spans="1:73">
      <c r="A23" s="1505">
        <v>1</v>
      </c>
      <c r="B23" s="1506" t="s">
        <v>779</v>
      </c>
      <c r="C23" s="1539">
        <f>'SCH B-2.1'!E42</f>
        <v>746346786</v>
      </c>
      <c r="D23" s="2575">
        <v>100</v>
      </c>
      <c r="E23" s="1539">
        <f>ROUND((C23*D23)/100,0)</f>
        <v>746346786</v>
      </c>
      <c r="F23" s="1539">
        <f>'SCH B-2.1'!H42</f>
        <v>-46586238</v>
      </c>
      <c r="G23" s="1539">
        <f>E23+F23</f>
        <v>699760548</v>
      </c>
      <c r="BT23" s="1506"/>
      <c r="BU23" s="1506"/>
    </row>
    <row r="24" spans="1:73">
      <c r="C24" s="1539"/>
      <c r="D24" s="2610"/>
      <c r="E24" s="1539"/>
      <c r="F24" s="1539"/>
      <c r="G24" s="1539"/>
      <c r="BT24" s="1506"/>
      <c r="BU24" s="1506"/>
    </row>
    <row r="25" spans="1:73">
      <c r="A25" s="2620">
        <f>1+A23</f>
        <v>2</v>
      </c>
      <c r="B25" s="1541" t="s">
        <v>780</v>
      </c>
      <c r="C25" s="1539">
        <f>'SCH B-2.1'!E83</f>
        <v>297045806</v>
      </c>
      <c r="D25" s="2575">
        <v>100</v>
      </c>
      <c r="E25" s="1539">
        <f>ROUND((C25*D25)/100,0)</f>
        <v>297045806</v>
      </c>
      <c r="F25" s="1539">
        <f>'SCH B-2.1'!H83</f>
        <v>0</v>
      </c>
      <c r="G25" s="1539">
        <f>E25+F25</f>
        <v>297045806</v>
      </c>
      <c r="BT25" s="1506"/>
      <c r="BU25" s="1506"/>
    </row>
    <row r="26" spans="1:73">
      <c r="C26" s="1539"/>
      <c r="D26" s="2610"/>
      <c r="E26" s="1539"/>
      <c r="F26" s="1539"/>
      <c r="G26" s="1539"/>
      <c r="BT26" s="1506"/>
      <c r="BU26" s="1506"/>
    </row>
    <row r="27" spans="1:73">
      <c r="A27" s="2620">
        <f>1+A25</f>
        <v>3</v>
      </c>
      <c r="B27" s="1541" t="s">
        <v>1176</v>
      </c>
      <c r="C27" s="1539">
        <f>'SCH B-2.1'!E122</f>
        <v>61757470</v>
      </c>
      <c r="D27" s="2575">
        <v>100</v>
      </c>
      <c r="E27" s="1539">
        <f>ROUND((C27*D27)/100,0)</f>
        <v>61757470</v>
      </c>
      <c r="F27" s="1539">
        <f>'SCH B-2.1'!H122</f>
        <v>0</v>
      </c>
      <c r="G27" s="1539">
        <f>E27+F27</f>
        <v>61757470</v>
      </c>
      <c r="BT27" s="1506"/>
      <c r="BU27" s="1506"/>
    </row>
    <row r="28" spans="1:73">
      <c r="C28" s="1539"/>
      <c r="D28" s="2610"/>
      <c r="E28" s="1539"/>
      <c r="F28" s="1539"/>
      <c r="G28" s="1539"/>
      <c r="BT28" s="1506"/>
      <c r="BU28" s="1506"/>
    </row>
    <row r="29" spans="1:73">
      <c r="A29" s="2620">
        <f>1+A27</f>
        <v>4</v>
      </c>
      <c r="B29" s="1506" t="s">
        <v>1178</v>
      </c>
      <c r="C29" s="1539">
        <f>'SCH B-2.1'!E175</f>
        <v>447117449</v>
      </c>
      <c r="D29" s="2575">
        <v>100</v>
      </c>
      <c r="E29" s="1539">
        <f>ROUND((C29*D29)/100,0)</f>
        <v>447117449</v>
      </c>
      <c r="F29" s="1539">
        <f>'SCH B-2.1'!H175</f>
        <v>-14546302</v>
      </c>
      <c r="G29" s="1539">
        <f>E29+F29</f>
        <v>432571147</v>
      </c>
      <c r="BT29" s="1506"/>
      <c r="BU29" s="1506"/>
    </row>
    <row r="30" spans="1:73">
      <c r="C30" s="1539"/>
      <c r="E30" s="1539"/>
      <c r="F30" s="1539"/>
      <c r="G30" s="1539"/>
      <c r="BT30" s="1506"/>
      <c r="BU30" s="1506"/>
    </row>
    <row r="31" spans="1:73">
      <c r="A31" s="2620">
        <f>1+A29</f>
        <v>5</v>
      </c>
      <c r="B31" s="1506" t="s">
        <v>1450</v>
      </c>
      <c r="C31" s="1539">
        <f>'SCH B-2.1'!E214</f>
        <v>22362720</v>
      </c>
      <c r="D31" s="2575">
        <v>100</v>
      </c>
      <c r="E31" s="1539">
        <f>ROUND((C31*D31)/100,0)</f>
        <v>22362720</v>
      </c>
      <c r="F31" s="1539">
        <f>'SCH B-2.1'!H214</f>
        <v>0</v>
      </c>
      <c r="G31" s="1539">
        <f>E31+F31</f>
        <v>22362720</v>
      </c>
      <c r="BT31" s="1506"/>
      <c r="BU31" s="1506"/>
    </row>
    <row r="32" spans="1:73">
      <c r="C32" s="1539"/>
      <c r="E32" s="1539"/>
      <c r="F32" s="1539"/>
      <c r="G32" s="1539"/>
      <c r="BT32" s="1506"/>
      <c r="BU32" s="1506"/>
    </row>
    <row r="33" spans="1:73">
      <c r="A33" s="2620">
        <f>1+A31</f>
        <v>6</v>
      </c>
      <c r="B33" s="1506" t="s">
        <v>29</v>
      </c>
      <c r="C33" s="1539">
        <f>'SCH B-2.1'!E259</f>
        <v>31468227</v>
      </c>
      <c r="D33" s="2575">
        <v>100</v>
      </c>
      <c r="E33" s="1539">
        <f>ROUND((C33*D33)/100,0)</f>
        <v>31468227</v>
      </c>
      <c r="F33" s="1539">
        <f>'SCH B-2.1'!H259</f>
        <v>0</v>
      </c>
      <c r="G33" s="1539">
        <f>E33+F33</f>
        <v>31468227</v>
      </c>
      <c r="BT33" s="1506"/>
      <c r="BU33" s="1506"/>
    </row>
    <row r="34" spans="1:73">
      <c r="C34" s="1539"/>
      <c r="E34" s="1539"/>
      <c r="F34" s="1539"/>
      <c r="G34" s="1539"/>
      <c r="BT34" s="1506"/>
      <c r="BU34" s="1506"/>
    </row>
    <row r="35" spans="1:73">
      <c r="A35" s="2620">
        <f>1+A33</f>
        <v>7</v>
      </c>
      <c r="B35" s="1506" t="s">
        <v>1451</v>
      </c>
      <c r="C35" s="1539"/>
      <c r="E35" s="1539"/>
      <c r="F35" s="1539"/>
      <c r="G35" s="1539"/>
      <c r="BT35" s="1506"/>
      <c r="BU35" s="1506"/>
    </row>
    <row r="36" spans="1:73">
      <c r="B36" s="1506" t="s">
        <v>1452</v>
      </c>
      <c r="C36" s="1539"/>
      <c r="E36" s="1539"/>
      <c r="F36" s="1539"/>
      <c r="G36" s="1539"/>
      <c r="BT36" s="1506"/>
      <c r="BU36" s="1506"/>
    </row>
    <row r="37" spans="1:73">
      <c r="A37" s="2620"/>
      <c r="B37" s="1506"/>
      <c r="C37" s="1539"/>
      <c r="E37" s="1539"/>
      <c r="F37" s="1539"/>
      <c r="G37" s="1539"/>
      <c r="BT37" s="1506"/>
      <c r="BU37" s="1506"/>
    </row>
    <row r="38" spans="1:73">
      <c r="A38" s="1505">
        <f>1+A35</f>
        <v>8</v>
      </c>
      <c r="B38" s="1506" t="s">
        <v>1453</v>
      </c>
      <c r="C38" s="1539"/>
      <c r="E38" s="1539"/>
      <c r="F38" s="1539"/>
      <c r="G38" s="1539"/>
      <c r="BT38" s="1506"/>
      <c r="BU38" s="1506"/>
    </row>
    <row r="39" spans="1:73">
      <c r="C39" s="1539"/>
      <c r="E39" s="1539"/>
      <c r="F39" s="1539"/>
      <c r="G39" s="1539"/>
      <c r="BT39" s="1506"/>
      <c r="BU39" s="1506"/>
    </row>
    <row r="40" spans="1:73">
      <c r="C40" s="1539"/>
      <c r="E40" s="1539"/>
      <c r="F40" s="1539"/>
      <c r="G40" s="1539"/>
      <c r="BT40" s="1506"/>
      <c r="BU40" s="1506"/>
    </row>
    <row r="41" spans="1:73">
      <c r="B41" s="1621"/>
      <c r="C41" s="1622"/>
      <c r="D41" s="1621"/>
      <c r="E41" s="1622"/>
      <c r="F41" s="1622"/>
      <c r="G41" s="1622"/>
      <c r="BT41" s="1506"/>
      <c r="BU41" s="1506"/>
    </row>
    <row r="42" spans="1:73">
      <c r="A42" s="1505">
        <f>1+A38</f>
        <v>9</v>
      </c>
      <c r="B42" s="1506" t="s">
        <v>1454</v>
      </c>
      <c r="C42" s="1539">
        <f>SUM(C23:C38)</f>
        <v>1606098458</v>
      </c>
      <c r="E42" s="1539">
        <f>SUM(E23:E38)</f>
        <v>1606098458</v>
      </c>
      <c r="F42" s="1539">
        <f>SUM(F23:F38)</f>
        <v>-61132540</v>
      </c>
      <c r="G42" s="1539">
        <f>SUM(G23:G38)</f>
        <v>1544965918</v>
      </c>
      <c r="BT42" s="1506"/>
      <c r="BU42" s="1506"/>
    </row>
    <row r="43" spans="1:73">
      <c r="C43" s="1539"/>
      <c r="E43" s="1539"/>
      <c r="F43" s="1539"/>
      <c r="G43" s="1539"/>
    </row>
    <row r="44" spans="1:73">
      <c r="B44" s="1621"/>
      <c r="C44" s="1621"/>
      <c r="D44" s="1621"/>
      <c r="E44" s="1622"/>
      <c r="F44" s="1622"/>
      <c r="G44" s="1622"/>
    </row>
    <row r="46" spans="1:73">
      <c r="A46" s="2640" t="s">
        <v>1514</v>
      </c>
    </row>
    <row r="49" spans="1:8">
      <c r="A49" s="103" t="str">
        <f>COMPANY</f>
        <v>DUKE ENERGY KENTUCKY, INC.</v>
      </c>
      <c r="B49" s="2585"/>
      <c r="C49" s="2585"/>
      <c r="D49" s="2585"/>
      <c r="E49" s="2585"/>
      <c r="F49" s="2585"/>
      <c r="G49" s="2585"/>
    </row>
    <row r="50" spans="1:8">
      <c r="A50" s="103" t="str">
        <f>CASE</f>
        <v>CASE NO. 2017-00321</v>
      </c>
      <c r="B50" s="2585"/>
      <c r="C50" s="2585"/>
      <c r="D50" s="2585"/>
      <c r="E50" s="2585"/>
      <c r="F50" s="2585"/>
      <c r="G50" s="2585"/>
    </row>
    <row r="51" spans="1:8">
      <c r="A51" s="103" t="s">
        <v>1964</v>
      </c>
      <c r="B51" s="2585"/>
      <c r="C51" s="2585"/>
      <c r="D51" s="2585"/>
      <c r="E51" s="2585"/>
      <c r="F51" s="2585"/>
      <c r="G51" s="2585"/>
    </row>
    <row r="52" spans="1:8">
      <c r="A52" s="76" t="str">
        <f>"AS OF " &amp;RIGHT(Forecast,(LEN(Forecast)-16))</f>
        <v>AS OF MARCH 31, 2019</v>
      </c>
      <c r="B52" s="2585"/>
      <c r="C52" s="2585"/>
      <c r="D52" s="2585"/>
      <c r="E52" s="2585"/>
      <c r="F52" s="2585"/>
      <c r="G52" s="2585"/>
    </row>
    <row r="53" spans="1:8">
      <c r="A53" s="2585"/>
      <c r="B53" s="2585"/>
      <c r="C53" s="2585"/>
      <c r="D53" s="2585"/>
      <c r="E53" s="2585"/>
      <c r="F53" s="2585"/>
      <c r="G53" s="2585"/>
    </row>
    <row r="54" spans="1:8">
      <c r="A54" s="2569"/>
      <c r="B54" s="2585"/>
      <c r="C54" s="2585"/>
      <c r="D54" s="2585"/>
      <c r="E54" s="2585"/>
      <c r="F54" s="2585"/>
      <c r="G54" s="2585"/>
    </row>
    <row r="57" spans="1:8">
      <c r="A57" s="1506" t="str">
        <f>DataF</f>
        <v>DATA:  BASE PERIOD  "X" FORECASTED PERIOD</v>
      </c>
      <c r="F57" s="1506" t="s">
        <v>1965</v>
      </c>
    </row>
    <row r="58" spans="1:8">
      <c r="A58" s="1506" t="str">
        <f>Type</f>
        <v xml:space="preserve">TYPE OF FILING:  "X" ORIGINAL   UPDATED    REVISED  </v>
      </c>
      <c r="F58" s="1506" t="s">
        <v>86</v>
      </c>
    </row>
    <row r="59" spans="1:8">
      <c r="A59" s="1506" t="s">
        <v>1966</v>
      </c>
      <c r="F59" s="1506" t="s">
        <v>622</v>
      </c>
    </row>
    <row r="60" spans="1:8">
      <c r="F60" s="1506" t="str">
        <f>_WIT7</f>
        <v>R. H. PRATT / C. S. LEE</v>
      </c>
    </row>
    <row r="63" spans="1:8">
      <c r="F63" s="2587"/>
      <c r="H63" s="2517"/>
    </row>
    <row r="64" spans="1:8">
      <c r="A64" s="1621"/>
      <c r="B64" s="1621"/>
      <c r="C64" s="2675" t="s">
        <v>1967</v>
      </c>
      <c r="D64" s="1621"/>
      <c r="E64" s="1621"/>
      <c r="F64" s="77" t="s">
        <v>1967</v>
      </c>
      <c r="G64" s="2674" t="s">
        <v>1381</v>
      </c>
      <c r="H64" s="78"/>
    </row>
    <row r="65" spans="1:8">
      <c r="A65" s="1505" t="s">
        <v>1240</v>
      </c>
      <c r="C65" s="1505" t="s">
        <v>873</v>
      </c>
      <c r="D65" s="1505" t="s">
        <v>802</v>
      </c>
      <c r="E65" s="1505" t="s">
        <v>802</v>
      </c>
      <c r="F65" s="2581" t="s">
        <v>873</v>
      </c>
      <c r="G65" s="1505" t="s">
        <v>574</v>
      </c>
      <c r="H65" s="90"/>
    </row>
    <row r="66" spans="1:8">
      <c r="A66" s="1505" t="s">
        <v>1241</v>
      </c>
      <c r="B66" s="1506" t="s">
        <v>1968</v>
      </c>
      <c r="C66" s="1505" t="s">
        <v>207</v>
      </c>
      <c r="D66" s="1505" t="s">
        <v>363</v>
      </c>
      <c r="E66" s="1505" t="s">
        <v>1929</v>
      </c>
      <c r="F66" s="2634" t="s">
        <v>573</v>
      </c>
      <c r="G66" s="1505" t="s">
        <v>1449</v>
      </c>
      <c r="H66" s="90"/>
    </row>
    <row r="67" spans="1:8">
      <c r="A67" s="1621"/>
      <c r="B67" s="1621"/>
      <c r="C67" s="1621"/>
      <c r="D67" s="1621"/>
      <c r="E67" s="1621"/>
      <c r="F67" s="1621"/>
      <c r="G67" s="1621"/>
      <c r="H67" s="2517"/>
    </row>
    <row r="68" spans="1:8">
      <c r="C68" s="1505" t="s">
        <v>1705</v>
      </c>
      <c r="E68" s="1505" t="s">
        <v>1705</v>
      </c>
      <c r="F68" s="1505" t="s">
        <v>1705</v>
      </c>
      <c r="G68" s="1505" t="s">
        <v>1705</v>
      </c>
    </row>
    <row r="71" spans="1:8">
      <c r="A71" s="1505">
        <v>1</v>
      </c>
      <c r="B71" s="1506" t="s">
        <v>779</v>
      </c>
      <c r="C71" s="1539">
        <f>'SCH B-2.1'!E307</f>
        <v>834932911</v>
      </c>
      <c r="D71" s="2575">
        <v>100</v>
      </c>
      <c r="E71" s="1539">
        <f>ROUND((C71*D71)/100,0)</f>
        <v>834932911</v>
      </c>
      <c r="F71" s="1539">
        <f>'SCH B-2.1'!H307</f>
        <v>-35302027</v>
      </c>
      <c r="G71" s="1539">
        <f>E71+F71</f>
        <v>799630884</v>
      </c>
    </row>
    <row r="72" spans="1:8">
      <c r="A72" s="1505"/>
      <c r="B72" s="1506"/>
      <c r="C72" s="1539"/>
      <c r="D72" s="2575"/>
      <c r="E72" s="1539"/>
      <c r="F72" s="1539"/>
      <c r="G72" s="1539"/>
    </row>
    <row r="73" spans="1:8">
      <c r="A73" s="1505">
        <f>1+A71</f>
        <v>2</v>
      </c>
      <c r="B73" s="1506" t="s">
        <v>780</v>
      </c>
      <c r="C73" s="1539">
        <f>'SCH B-2.1'!E348</f>
        <v>334147228</v>
      </c>
      <c r="D73" s="2575">
        <v>100</v>
      </c>
      <c r="E73" s="1539">
        <f>ROUND((C73*D73)/100,0)</f>
        <v>334147228</v>
      </c>
      <c r="F73" s="1539">
        <f>'SCH B-2.1'!H348</f>
        <v>0</v>
      </c>
      <c r="G73" s="1539">
        <f>E73+F73</f>
        <v>334147228</v>
      </c>
    </row>
    <row r="74" spans="1:8">
      <c r="C74" s="1539"/>
      <c r="D74" s="2610"/>
      <c r="E74" s="1539"/>
      <c r="F74" s="1539"/>
      <c r="G74" s="1539"/>
    </row>
    <row r="75" spans="1:8">
      <c r="A75" s="1505">
        <f>1+A73</f>
        <v>3</v>
      </c>
      <c r="B75" s="1541" t="s">
        <v>1176</v>
      </c>
      <c r="C75" s="1539">
        <f>'SCH B-2.1'!E387</f>
        <v>65749235</v>
      </c>
      <c r="D75" s="2575">
        <v>100</v>
      </c>
      <c r="E75" s="1539">
        <f>ROUND((C75*D75)/100,0)</f>
        <v>65749235</v>
      </c>
      <c r="F75" s="1539">
        <f>'SCH B-2.1'!H387</f>
        <v>0</v>
      </c>
      <c r="G75" s="1539">
        <f>E75+F75</f>
        <v>65749235</v>
      </c>
    </row>
    <row r="76" spans="1:8">
      <c r="C76" s="1539"/>
      <c r="D76" s="2610"/>
      <c r="E76" s="1539"/>
      <c r="F76" s="1539"/>
      <c r="G76" s="1539"/>
    </row>
    <row r="77" spans="1:8">
      <c r="A77" s="1505">
        <f>1+A75</f>
        <v>4</v>
      </c>
      <c r="B77" s="1506" t="s">
        <v>1178</v>
      </c>
      <c r="C77" s="1539">
        <f>'SCH B-2.1'!E440</f>
        <v>485008652</v>
      </c>
      <c r="D77" s="2575">
        <v>100</v>
      </c>
      <c r="E77" s="1539">
        <f>ROUND((C77*D77)/100,0)</f>
        <v>485008652</v>
      </c>
      <c r="F77" s="1539">
        <f>'SCH B-2.1'!H440</f>
        <v>-13587238</v>
      </c>
      <c r="G77" s="1539">
        <f>E77+F77</f>
        <v>471421414</v>
      </c>
    </row>
    <row r="78" spans="1:8">
      <c r="C78" s="1539"/>
      <c r="E78" s="1539"/>
      <c r="F78" s="1539"/>
      <c r="G78" s="1539"/>
    </row>
    <row r="79" spans="1:8">
      <c r="A79" s="1505">
        <f>1+A77</f>
        <v>5</v>
      </c>
      <c r="B79" s="1506" t="s">
        <v>1450</v>
      </c>
      <c r="C79" s="1539">
        <f>'SCH B-2.1'!E479</f>
        <v>28554117</v>
      </c>
      <c r="D79" s="2575">
        <v>100</v>
      </c>
      <c r="E79" s="1539">
        <f>ROUND((C79*D79)/100,0)</f>
        <v>28554117</v>
      </c>
      <c r="F79" s="1539">
        <f>'SCH B-2.1'!H479</f>
        <v>0</v>
      </c>
      <c r="G79" s="1539">
        <f>E79+F79</f>
        <v>28554117</v>
      </c>
    </row>
    <row r="80" spans="1:8">
      <c r="C80" s="1539"/>
      <c r="E80" s="1539"/>
      <c r="F80" s="1539"/>
      <c r="G80" s="1539"/>
    </row>
    <row r="81" spans="1:7">
      <c r="A81" s="1505">
        <f>1+A79</f>
        <v>6</v>
      </c>
      <c r="B81" s="1506" t="s">
        <v>29</v>
      </c>
      <c r="C81" s="1539">
        <f>'SCH B-2.1'!E524</f>
        <v>31341241</v>
      </c>
      <c r="D81" s="2575">
        <v>100</v>
      </c>
      <c r="E81" s="1539">
        <f>ROUND((C81*D81)/100,0)</f>
        <v>31341241</v>
      </c>
      <c r="F81" s="1539">
        <f>'SCH B-2.1'!H524</f>
        <v>0</v>
      </c>
      <c r="G81" s="1539">
        <f>E81+F81</f>
        <v>31341241</v>
      </c>
    </row>
    <row r="82" spans="1:7">
      <c r="C82" s="1539"/>
      <c r="E82" s="1539"/>
      <c r="F82" s="1539"/>
      <c r="G82" s="1539"/>
    </row>
    <row r="83" spans="1:7">
      <c r="A83" s="1505">
        <f>1+A81</f>
        <v>7</v>
      </c>
      <c r="B83" s="1506" t="s">
        <v>1451</v>
      </c>
      <c r="C83" s="1539"/>
      <c r="E83" s="1539"/>
      <c r="F83" s="1539"/>
      <c r="G83" s="1539"/>
    </row>
    <row r="84" spans="1:7">
      <c r="B84" s="1506" t="s">
        <v>1452</v>
      </c>
      <c r="C84" s="1539"/>
      <c r="E84" s="1539"/>
      <c r="F84" s="1539"/>
      <c r="G84" s="1539"/>
    </row>
    <row r="85" spans="1:7">
      <c r="B85" s="1506"/>
      <c r="C85" s="1539"/>
      <c r="E85" s="1539"/>
      <c r="F85" s="1539"/>
      <c r="G85" s="1539"/>
    </row>
    <row r="86" spans="1:7">
      <c r="A86" s="1505">
        <f>1+A83</f>
        <v>8</v>
      </c>
      <c r="B86" s="1506" t="s">
        <v>1453</v>
      </c>
      <c r="C86" s="1539"/>
      <c r="E86" s="1539"/>
      <c r="F86" s="1539"/>
      <c r="G86" s="1539"/>
    </row>
    <row r="87" spans="1:7">
      <c r="C87" s="1539"/>
      <c r="E87" s="1539"/>
      <c r="F87" s="1539"/>
      <c r="G87" s="1539"/>
    </row>
    <row r="88" spans="1:7">
      <c r="C88" s="1539"/>
      <c r="E88" s="1539"/>
      <c r="F88" s="1539"/>
      <c r="G88" s="1539"/>
    </row>
    <row r="89" spans="1:7">
      <c r="B89" s="1621"/>
      <c r="C89" s="1622"/>
      <c r="D89" s="1621"/>
      <c r="E89" s="1622"/>
      <c r="F89" s="1622"/>
      <c r="G89" s="1622"/>
    </row>
    <row r="90" spans="1:7">
      <c r="A90" s="1505">
        <f>1+A86</f>
        <v>9</v>
      </c>
      <c r="B90" s="1506" t="s">
        <v>1454</v>
      </c>
      <c r="C90" s="1539">
        <f>SUM(C71:C86)</f>
        <v>1779733384</v>
      </c>
      <c r="E90" s="1539">
        <f>SUM(E71:E86)</f>
        <v>1779733384</v>
      </c>
      <c r="F90" s="1539">
        <f>SUM(F71:F86)</f>
        <v>-48889265</v>
      </c>
      <c r="G90" s="1539">
        <f>SUM(G71:G86)</f>
        <v>1730844119</v>
      </c>
    </row>
    <row r="91" spans="1:7">
      <c r="C91" s="1539"/>
      <c r="E91" s="1539"/>
      <c r="F91" s="1539"/>
      <c r="G91" s="1539"/>
    </row>
    <row r="92" spans="1:7">
      <c r="B92" s="1621"/>
      <c r="C92" s="1621"/>
      <c r="D92" s="1621"/>
      <c r="E92" s="1622"/>
      <c r="F92" s="1622"/>
      <c r="G92" s="1622"/>
    </row>
    <row r="94" spans="1:7">
      <c r="A94" s="2640" t="s">
        <v>1514</v>
      </c>
    </row>
    <row r="95" spans="1:7">
      <c r="C95" s="2641"/>
      <c r="F95" s="2641"/>
    </row>
    <row r="96" spans="1:7">
      <c r="C96" s="2641"/>
      <c r="F96" s="2641"/>
    </row>
    <row r="97" spans="3:6">
      <c r="C97" s="2641"/>
      <c r="F97" s="2641"/>
    </row>
    <row r="98" spans="3:6">
      <c r="C98" s="2641"/>
      <c r="F98" s="2641"/>
    </row>
    <row r="99" spans="3:6">
      <c r="C99" s="2641"/>
      <c r="F99" s="2641"/>
    </row>
    <row r="100" spans="3:6">
      <c r="C100" s="2641"/>
      <c r="F100" s="2641"/>
    </row>
    <row r="101" spans="3:6">
      <c r="C101" s="2641"/>
      <c r="F101" s="2641"/>
    </row>
    <row r="102" spans="3:6">
      <c r="C102" s="2641"/>
      <c r="F102" s="2641"/>
    </row>
    <row r="103" spans="3:6">
      <c r="C103" s="2641"/>
      <c r="F103" s="2641"/>
    </row>
    <row r="104" spans="3:6">
      <c r="C104" s="2641"/>
      <c r="F104" s="2641"/>
    </row>
    <row r="105" spans="3:6">
      <c r="C105" s="2641"/>
      <c r="F105" s="2641"/>
    </row>
    <row r="106" spans="3:6">
      <c r="C106" s="2641"/>
      <c r="F106" s="2641"/>
    </row>
    <row r="107" spans="3:6">
      <c r="C107" s="2641"/>
      <c r="F107" s="2641"/>
    </row>
    <row r="108" spans="3:6">
      <c r="C108" s="2641"/>
      <c r="F108" s="2641"/>
    </row>
    <row r="109" spans="3:6">
      <c r="C109" s="2641"/>
      <c r="F109" s="2641"/>
    </row>
    <row r="110" spans="3:6">
      <c r="C110" s="2641"/>
      <c r="F110" s="2641"/>
    </row>
    <row r="111" spans="3:6">
      <c r="C111" s="2641"/>
      <c r="F111" s="2641"/>
    </row>
    <row r="112" spans="3:6">
      <c r="C112" s="2641"/>
      <c r="F112" s="2641"/>
    </row>
    <row r="113" spans="3:6">
      <c r="C113" s="2641"/>
      <c r="F113" s="2641"/>
    </row>
    <row r="114" spans="3:6">
      <c r="C114" s="2641"/>
      <c r="F114" s="2641"/>
    </row>
    <row r="115" spans="3:6">
      <c r="C115" s="2641"/>
      <c r="F115" s="2641"/>
    </row>
    <row r="116" spans="3:6">
      <c r="C116" s="2641"/>
      <c r="F116" s="2641"/>
    </row>
    <row r="117" spans="3:6">
      <c r="C117" s="2641"/>
      <c r="F117" s="2641"/>
    </row>
    <row r="118" spans="3:6">
      <c r="C118" s="2641"/>
      <c r="F118" s="2641"/>
    </row>
    <row r="119" spans="3:6">
      <c r="C119" s="2641"/>
      <c r="F119" s="2641"/>
    </row>
    <row r="120" spans="3:6">
      <c r="C120" s="2641"/>
      <c r="F120" s="2641"/>
    </row>
    <row r="121" spans="3:6">
      <c r="C121" s="2641"/>
      <c r="F121" s="2641"/>
    </row>
    <row r="122" spans="3:6">
      <c r="C122" s="2641"/>
      <c r="F122" s="2641"/>
    </row>
    <row r="123" spans="3:6">
      <c r="C123" s="2641"/>
      <c r="F123" s="2641"/>
    </row>
    <row r="124" spans="3:6">
      <c r="C124" s="2641"/>
      <c r="F124" s="2641"/>
    </row>
    <row r="125" spans="3:6">
      <c r="C125" s="2641"/>
      <c r="F125" s="2641"/>
    </row>
    <row r="126" spans="3:6">
      <c r="C126" s="2641"/>
      <c r="F126" s="2641"/>
    </row>
    <row r="127" spans="3:6">
      <c r="C127" s="2641"/>
      <c r="F127" s="2641"/>
    </row>
    <row r="128" spans="3:6">
      <c r="C128" s="2641"/>
      <c r="F128" s="2641"/>
    </row>
    <row r="129" spans="3:6">
      <c r="C129" s="2641"/>
      <c r="F129" s="2641"/>
    </row>
    <row r="130" spans="3:6">
      <c r="C130" s="2641"/>
    </row>
    <row r="131" spans="3:6">
      <c r="C131" s="2641"/>
    </row>
    <row r="132" spans="3:6">
      <c r="C132" s="2641"/>
    </row>
    <row r="133" spans="3:6">
      <c r="C133" s="2641"/>
    </row>
    <row r="134" spans="3:6">
      <c r="C134" s="2641"/>
    </row>
    <row r="135" spans="3:6">
      <c r="C135" s="2641"/>
    </row>
    <row r="136" spans="3:6">
      <c r="C136" s="2641"/>
    </row>
    <row r="137" spans="3:6">
      <c r="C137" s="2641"/>
    </row>
    <row r="379" spans="2:2">
      <c r="B379" s="1506"/>
    </row>
    <row r="380" spans="2:2">
      <c r="B380" s="1506"/>
    </row>
    <row r="381" spans="2:2">
      <c r="B381" s="1506"/>
    </row>
    <row r="382" spans="2:2">
      <c r="B382" s="1506"/>
    </row>
    <row r="383" spans="2:2">
      <c r="B383" s="1506"/>
    </row>
    <row r="384" spans="2:2">
      <c r="B384" s="1506"/>
    </row>
    <row r="385" spans="2:2">
      <c r="B385" s="1506"/>
    </row>
    <row r="386" spans="2:2">
      <c r="B386" s="1506"/>
    </row>
    <row r="387" spans="2:2">
      <c r="B387" s="1506"/>
    </row>
    <row r="388" spans="2:2">
      <c r="B388" s="1506"/>
    </row>
    <row r="389" spans="2:2">
      <c r="B389" s="1506"/>
    </row>
    <row r="390" spans="2:2">
      <c r="B390" s="1506"/>
    </row>
    <row r="391" spans="2:2">
      <c r="B391" s="1506"/>
    </row>
    <row r="392" spans="2:2">
      <c r="B392" s="1506"/>
    </row>
    <row r="393" spans="2:2">
      <c r="B393" s="1506"/>
    </row>
    <row r="394" spans="2:2">
      <c r="B394" s="1506"/>
    </row>
    <row r="395" spans="2:2">
      <c r="B395" s="1506"/>
    </row>
    <row r="396" spans="2:2">
      <c r="B396" s="1506"/>
    </row>
    <row r="397" spans="2:2">
      <c r="B397" s="1506"/>
    </row>
    <row r="398" spans="2:2">
      <c r="B398" s="1506"/>
    </row>
    <row r="399" spans="2:2">
      <c r="B399" s="1506"/>
    </row>
    <row r="400" spans="2:2">
      <c r="B400" s="1506"/>
    </row>
    <row r="401" spans="2:2">
      <c r="B401" s="1506"/>
    </row>
    <row r="402" spans="2:2">
      <c r="B402" s="1506"/>
    </row>
    <row r="403" spans="2:2">
      <c r="B403" s="1506"/>
    </row>
    <row r="404" spans="2:2">
      <c r="B404" s="1506"/>
    </row>
    <row r="405" spans="2:2">
      <c r="B405" s="1506"/>
    </row>
    <row r="406" spans="2:2">
      <c r="B406" s="1506"/>
    </row>
    <row r="407" spans="2:2">
      <c r="B407" s="1506"/>
    </row>
    <row r="408" spans="2:2">
      <c r="B408" s="1506"/>
    </row>
    <row r="409" spans="2:2">
      <c r="B409" s="1506"/>
    </row>
    <row r="410" spans="2:2">
      <c r="B410" s="1506"/>
    </row>
    <row r="411" spans="2:2">
      <c r="B411" s="1506"/>
    </row>
    <row r="412" spans="2:2">
      <c r="B412" s="1506"/>
    </row>
    <row r="413" spans="2:2">
      <c r="B413" s="1506"/>
    </row>
    <row r="414" spans="2:2">
      <c r="B414" s="1506"/>
    </row>
    <row r="415" spans="2:2">
      <c r="B415" s="1506"/>
    </row>
    <row r="417" spans="2:2">
      <c r="B417" s="1506"/>
    </row>
    <row r="418" spans="2:2">
      <c r="B418" s="1506"/>
    </row>
    <row r="419" spans="2:2">
      <c r="B419" s="1506"/>
    </row>
    <row r="420" spans="2:2">
      <c r="B420" s="1506"/>
    </row>
    <row r="421" spans="2:2">
      <c r="B421" s="1506"/>
    </row>
    <row r="422" spans="2:2">
      <c r="B422" s="1506"/>
    </row>
    <row r="423" spans="2:2">
      <c r="B423" s="1506"/>
    </row>
    <row r="424" spans="2:2">
      <c r="B424" s="1506"/>
    </row>
    <row r="425" spans="2:2">
      <c r="B425" s="1506"/>
    </row>
    <row r="426" spans="2:2">
      <c r="B426" s="1506"/>
    </row>
    <row r="427" spans="2:2">
      <c r="B427" s="1506"/>
    </row>
    <row r="428" spans="2:2">
      <c r="B428" s="1506"/>
    </row>
    <row r="437" spans="1:2">
      <c r="A437" s="1506" t="s">
        <v>1515</v>
      </c>
      <c r="B437" s="1506"/>
    </row>
    <row r="439" spans="1:2">
      <c r="A439" s="1506" t="s">
        <v>1516</v>
      </c>
      <c r="B439" s="1506"/>
    </row>
    <row r="441" spans="1:2">
      <c r="A441" s="1506" t="s">
        <v>1517</v>
      </c>
      <c r="B441" s="1506"/>
    </row>
    <row r="443" spans="1:2">
      <c r="A443" s="1506" t="s">
        <v>1518</v>
      </c>
      <c r="B443" s="1506"/>
    </row>
    <row r="444" spans="1:2">
      <c r="B444" s="1506"/>
    </row>
    <row r="445" spans="1:2">
      <c r="B445" s="1506"/>
    </row>
    <row r="446" spans="1:2">
      <c r="B446" s="1506"/>
    </row>
    <row r="447" spans="1:2">
      <c r="B447" s="1506"/>
    </row>
    <row r="450" spans="1:2">
      <c r="A450" s="1506" t="s">
        <v>1519</v>
      </c>
      <c r="B450" s="1506"/>
    </row>
    <row r="452" spans="1:2">
      <c r="A452" s="1506" t="s">
        <v>1520</v>
      </c>
      <c r="B452" s="1506"/>
    </row>
  </sheetData>
  <printOptions horizontalCentered="1"/>
  <pageMargins left="0.75" right="0.75" top="1" bottom="1" header="0.5" footer="0.5"/>
  <pageSetup scale="59" orientation="landscape" horizontalDpi="300" verticalDpi="300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4" tint="0.39997558519241921"/>
  </sheetPr>
  <dimension ref="A1:L530"/>
  <sheetViews>
    <sheetView tabSelected="1" view="pageLayout" topLeftCell="A327" zoomScaleNormal="100" workbookViewId="0">
      <selection activeCell="G1" sqref="G1"/>
    </sheetView>
  </sheetViews>
  <sheetFormatPr defaultColWidth="11.42578125" defaultRowHeight="12.75"/>
  <cols>
    <col min="1" max="1" width="7.5703125" style="18" customWidth="1"/>
    <col min="2" max="2" width="11.42578125" style="18" customWidth="1"/>
    <col min="3" max="3" width="13.7109375" style="18" customWidth="1"/>
    <col min="4" max="4" width="40.5703125" style="18" customWidth="1"/>
    <col min="5" max="5" width="17.85546875" style="18" customWidth="1"/>
    <col min="6" max="6" width="13.28515625" style="18" customWidth="1"/>
    <col min="7" max="7" width="16.85546875" style="18" customWidth="1"/>
    <col min="8" max="8" width="14.5703125" style="18" customWidth="1"/>
    <col min="9" max="9" width="15" style="18" customWidth="1"/>
    <col min="10" max="10" width="11.42578125" style="18"/>
    <col min="11" max="11" width="13.5703125" style="18" customWidth="1"/>
    <col min="12" max="16384" width="11.42578125" style="18"/>
  </cols>
  <sheetData>
    <row r="1" spans="1:11">
      <c r="A1" s="103" t="str">
        <f>COMPANY</f>
        <v>DUKE ENERGY KENTUCKY, INC.</v>
      </c>
      <c r="B1" s="2585"/>
      <c r="C1" s="2585"/>
      <c r="D1" s="2589"/>
      <c r="E1" s="2585"/>
      <c r="F1" s="2626"/>
      <c r="G1" s="2627"/>
      <c r="H1" s="2627"/>
      <c r="I1" s="2627"/>
      <c r="J1" s="1631"/>
      <c r="K1" s="1631"/>
    </row>
    <row r="2" spans="1:11">
      <c r="A2" s="103" t="str">
        <f>CASE</f>
        <v>CASE NO. 2017-00321</v>
      </c>
      <c r="B2" s="2585"/>
      <c r="C2" s="2585"/>
      <c r="D2" s="2589"/>
      <c r="E2" s="2585"/>
      <c r="F2" s="2628"/>
      <c r="G2" s="2627"/>
      <c r="H2" s="2627"/>
      <c r="I2" s="2627"/>
      <c r="J2" s="1631"/>
      <c r="K2" s="1631"/>
    </row>
    <row r="3" spans="1:11">
      <c r="A3" s="103" t="s">
        <v>1162</v>
      </c>
      <c r="B3" s="2585"/>
      <c r="C3" s="2585"/>
      <c r="D3" s="2589"/>
      <c r="E3" s="2585"/>
      <c r="F3" s="2626"/>
      <c r="G3" s="2627"/>
      <c r="H3" s="2627"/>
      <c r="I3" s="2627"/>
      <c r="J3" s="1631"/>
      <c r="K3" s="1631"/>
    </row>
    <row r="4" spans="1:11">
      <c r="A4" s="76" t="str">
        <f>"AS OF " &amp;RIGHT(TESTYR,(LEN(TESTYR)-16))</f>
        <v>AS OF NOVEMBER 30, 2017</v>
      </c>
      <c r="B4" s="2585"/>
      <c r="C4" s="2585"/>
      <c r="D4" s="2589"/>
      <c r="E4" s="2585"/>
      <c r="F4" s="2626"/>
      <c r="G4" s="2627"/>
      <c r="H4" s="2627"/>
      <c r="I4" s="2627"/>
      <c r="J4" s="1631"/>
      <c r="K4" s="1631"/>
    </row>
    <row r="5" spans="1:11">
      <c r="A5" s="2585"/>
      <c r="B5" s="2585"/>
      <c r="C5" s="2585"/>
      <c r="D5" s="2589"/>
      <c r="E5" s="2585"/>
      <c r="F5" s="2626"/>
      <c r="G5" s="2627"/>
      <c r="H5" s="2627"/>
      <c r="I5" s="2627"/>
      <c r="J5" s="1631"/>
      <c r="K5" s="1631"/>
    </row>
    <row r="6" spans="1:11">
      <c r="A6" s="103" t="s">
        <v>333</v>
      </c>
      <c r="B6" s="2585"/>
      <c r="C6" s="2585"/>
      <c r="D6" s="2589"/>
      <c r="E6" s="2585"/>
      <c r="F6" s="2626"/>
      <c r="G6" s="2627"/>
      <c r="H6" s="2627"/>
      <c r="I6" s="2627"/>
      <c r="J6" s="1631"/>
      <c r="K6" s="1631"/>
    </row>
    <row r="7" spans="1:11">
      <c r="A7" s="2569" t="s">
        <v>1799</v>
      </c>
      <c r="B7" s="2585"/>
      <c r="C7" s="2585"/>
      <c r="D7" s="2589"/>
      <c r="E7" s="2585"/>
      <c r="F7" s="2626"/>
      <c r="G7" s="2627"/>
      <c r="H7" s="2627"/>
      <c r="I7" s="2627"/>
      <c r="J7" s="1631"/>
      <c r="K7" s="1631"/>
    </row>
    <row r="8" spans="1:11">
      <c r="A8" s="1541"/>
      <c r="B8" s="1541"/>
      <c r="C8" s="1541"/>
      <c r="D8" s="1541"/>
      <c r="E8" s="1541"/>
      <c r="F8" s="1538"/>
      <c r="G8" s="1539"/>
      <c r="H8" s="1539"/>
      <c r="I8" s="1539"/>
      <c r="J8" s="1631"/>
      <c r="K8" s="1631"/>
    </row>
    <row r="9" spans="1:11">
      <c r="A9" s="1541"/>
      <c r="B9" s="1541"/>
      <c r="C9" s="1541"/>
      <c r="D9" s="1541"/>
      <c r="E9" s="1541"/>
      <c r="F9" s="2629"/>
      <c r="G9" s="1541"/>
      <c r="H9" s="1541"/>
      <c r="I9" s="1541"/>
      <c r="J9" s="1631"/>
      <c r="K9" s="1631"/>
    </row>
    <row r="10" spans="1:11">
      <c r="A10" s="1506" t="str">
        <f>Data</f>
        <v>DATA: "X" BASE PERIOD   FORECASTED PERIOD</v>
      </c>
      <c r="B10" s="1541"/>
      <c r="C10" s="1541"/>
      <c r="D10" s="1541"/>
      <c r="E10" s="1539"/>
      <c r="F10" s="1538"/>
      <c r="G10" s="1539"/>
      <c r="H10" s="2619" t="s">
        <v>1163</v>
      </c>
      <c r="I10" s="1539"/>
      <c r="J10" s="1631"/>
      <c r="K10" s="1631"/>
    </row>
    <row r="11" spans="1:11">
      <c r="A11" s="1506" t="str">
        <f>Type</f>
        <v xml:space="preserve">TYPE OF FILING:  "X" ORIGINAL   UPDATED    REVISED  </v>
      </c>
      <c r="B11" s="1541"/>
      <c r="C11" s="1541"/>
      <c r="D11" s="1541"/>
      <c r="E11" s="1539"/>
      <c r="F11" s="1538"/>
      <c r="G11" s="1539"/>
      <c r="H11" s="2619" t="s">
        <v>1911</v>
      </c>
      <c r="I11" s="1539"/>
      <c r="J11" s="1631"/>
      <c r="K11" s="1631"/>
    </row>
    <row r="12" spans="1:11">
      <c r="A12" s="1506" t="s">
        <v>427</v>
      </c>
      <c r="B12" s="1541"/>
      <c r="C12" s="1541"/>
      <c r="D12" s="1541"/>
      <c r="E12" s="1539"/>
      <c r="F12" s="1538"/>
      <c r="G12" s="1539"/>
      <c r="H12" s="2619" t="s">
        <v>622</v>
      </c>
      <c r="I12" s="1539"/>
      <c r="J12" s="1631"/>
      <c r="K12" s="1631"/>
    </row>
    <row r="13" spans="1:11">
      <c r="A13" s="1541"/>
      <c r="B13" s="1541"/>
      <c r="C13" s="1541"/>
      <c r="D13" s="1541"/>
      <c r="E13" s="1539"/>
      <c r="F13" s="1538"/>
      <c r="G13" s="1539"/>
      <c r="H13" s="2586" t="str">
        <f>_WIT7</f>
        <v>R. H. PRATT / C. S. LEE</v>
      </c>
      <c r="I13" s="1539"/>
      <c r="J13" s="1631"/>
      <c r="K13" s="1631"/>
    </row>
    <row r="14" spans="1:11">
      <c r="A14" s="1541"/>
      <c r="B14" s="1541"/>
      <c r="C14" s="1541"/>
      <c r="D14" s="1541"/>
      <c r="E14" s="1539"/>
      <c r="F14" s="1538"/>
      <c r="G14" s="1539"/>
      <c r="H14" s="1539"/>
      <c r="I14" s="1539"/>
      <c r="J14" s="1631"/>
      <c r="K14" s="1631"/>
    </row>
    <row r="15" spans="1:11">
      <c r="A15" s="1541"/>
      <c r="B15" s="1541"/>
      <c r="C15" s="1541"/>
      <c r="D15" s="1541"/>
      <c r="E15" s="1539"/>
      <c r="F15" s="1538"/>
      <c r="G15" s="1539"/>
      <c r="H15" s="1539"/>
      <c r="I15" s="1539"/>
      <c r="J15" s="1631"/>
      <c r="K15" s="1631"/>
    </row>
    <row r="16" spans="1:11">
      <c r="A16" s="1621"/>
      <c r="B16" s="2681"/>
      <c r="C16" s="2680"/>
      <c r="D16" s="1621"/>
      <c r="E16" s="1622"/>
      <c r="F16" s="1623"/>
      <c r="G16" s="1622"/>
      <c r="H16" s="1622"/>
      <c r="I16" s="1622"/>
      <c r="J16" s="1631"/>
      <c r="K16" s="1631"/>
    </row>
    <row r="17" spans="1:11">
      <c r="A17" s="89"/>
      <c r="B17" s="90" t="s">
        <v>943</v>
      </c>
      <c r="C17" s="90" t="s">
        <v>1750</v>
      </c>
      <c r="D17" s="89"/>
      <c r="E17" s="78"/>
      <c r="F17" s="91"/>
      <c r="G17" s="92"/>
      <c r="H17" s="92"/>
      <c r="I17" s="92"/>
      <c r="J17" s="1631"/>
      <c r="K17" s="1631"/>
    </row>
    <row r="18" spans="1:11">
      <c r="A18" s="1505" t="s">
        <v>1240</v>
      </c>
      <c r="B18" s="1505" t="s">
        <v>1164</v>
      </c>
      <c r="C18" s="1505" t="s">
        <v>1164</v>
      </c>
      <c r="D18" s="1541"/>
      <c r="E18" s="90" t="s">
        <v>1117</v>
      </c>
      <c r="F18" s="2630" t="s">
        <v>802</v>
      </c>
      <c r="G18" s="2581" t="s">
        <v>802</v>
      </c>
      <c r="H18" s="1539"/>
      <c r="I18" s="2581" t="s">
        <v>574</v>
      </c>
      <c r="J18" s="1631"/>
      <c r="K18" s="1631"/>
    </row>
    <row r="19" spans="1:11">
      <c r="A19" s="1505" t="s">
        <v>1241</v>
      </c>
      <c r="B19" s="1505" t="s">
        <v>1241</v>
      </c>
      <c r="C19" s="1505" t="s">
        <v>1241</v>
      </c>
      <c r="D19" s="1505" t="s">
        <v>1165</v>
      </c>
      <c r="E19" s="90" t="s">
        <v>1120</v>
      </c>
      <c r="F19" s="2631" t="s">
        <v>363</v>
      </c>
      <c r="G19" s="2632" t="s">
        <v>1929</v>
      </c>
      <c r="H19" s="2632" t="s">
        <v>573</v>
      </c>
      <c r="I19" s="2632" t="s">
        <v>1449</v>
      </c>
      <c r="J19" s="1631"/>
      <c r="K19" s="1631"/>
    </row>
    <row r="20" spans="1:11">
      <c r="A20" s="1505"/>
      <c r="B20" s="1505"/>
      <c r="C20" s="1505"/>
      <c r="D20" s="1505"/>
      <c r="E20" s="2621"/>
      <c r="F20" s="2633"/>
      <c r="G20" s="2634"/>
      <c r="H20" s="2634"/>
      <c r="I20" s="2634"/>
      <c r="J20" s="1631"/>
      <c r="K20" s="1631"/>
    </row>
    <row r="21" spans="1:11">
      <c r="A21" s="1621"/>
      <c r="B21" s="1621"/>
      <c r="C21" s="1621"/>
      <c r="D21" s="1621"/>
      <c r="E21" s="2581" t="s">
        <v>1705</v>
      </c>
      <c r="F21" s="2629"/>
      <c r="G21" s="2581" t="s">
        <v>1705</v>
      </c>
      <c r="H21" s="2581" t="s">
        <v>1705</v>
      </c>
      <c r="I21" s="2581" t="s">
        <v>1705</v>
      </c>
      <c r="J21" s="1631"/>
      <c r="K21" s="1631"/>
    </row>
    <row r="22" spans="1:11">
      <c r="A22" s="1505" t="s">
        <v>529</v>
      </c>
      <c r="B22" s="1541"/>
      <c r="C22" s="1541"/>
      <c r="D22" s="1541"/>
      <c r="E22" s="1631"/>
      <c r="F22" s="2635"/>
      <c r="G22" s="1631"/>
      <c r="H22" s="1631"/>
      <c r="I22" s="1631"/>
      <c r="J22" s="1631"/>
      <c r="K22" s="1631"/>
    </row>
    <row r="23" spans="1:11">
      <c r="A23" s="1505">
        <v>1</v>
      </c>
      <c r="B23" s="1505">
        <v>310</v>
      </c>
      <c r="C23" s="1505">
        <v>3100</v>
      </c>
      <c r="D23" s="1506" t="s">
        <v>849</v>
      </c>
      <c r="E23" s="96">
        <f>'SCH B-2.3'!K23</f>
        <v>7047301</v>
      </c>
      <c r="F23" s="1616">
        <v>1</v>
      </c>
      <c r="G23" s="1539">
        <f t="shared" ref="G23:G38" si="0">ROUND((E23*F23),0)</f>
        <v>7047301</v>
      </c>
      <c r="H23" s="2636"/>
      <c r="I23" s="1539">
        <f t="shared" ref="I23:I38" si="1">G23+H23</f>
        <v>7047301</v>
      </c>
      <c r="J23" s="1631"/>
      <c r="K23" s="1631"/>
    </row>
    <row r="24" spans="1:11">
      <c r="A24" s="1505">
        <v>2</v>
      </c>
      <c r="B24" s="1505">
        <v>311</v>
      </c>
      <c r="C24" s="1505">
        <v>3110</v>
      </c>
      <c r="D24" s="1506" t="s">
        <v>1170</v>
      </c>
      <c r="E24" s="96">
        <f>'SCH B-2.3'!K24</f>
        <v>53167993</v>
      </c>
      <c r="F24" s="1616">
        <v>1</v>
      </c>
      <c r="G24" s="1539">
        <f t="shared" si="0"/>
        <v>53167993</v>
      </c>
      <c r="H24" s="2636"/>
      <c r="I24" s="1539">
        <f t="shared" si="1"/>
        <v>53167993</v>
      </c>
      <c r="J24" s="1631"/>
      <c r="K24" s="1631"/>
    </row>
    <row r="25" spans="1:11">
      <c r="A25" s="1505">
        <v>3</v>
      </c>
      <c r="B25" s="1505">
        <v>311</v>
      </c>
      <c r="C25" s="1505" t="s">
        <v>2291</v>
      </c>
      <c r="D25" s="1506" t="s">
        <v>1170</v>
      </c>
      <c r="E25" s="96">
        <f>'SCH B-2.3'!K25</f>
        <v>18409562</v>
      </c>
      <c r="F25" s="1616">
        <v>1</v>
      </c>
      <c r="G25" s="1539">
        <f t="shared" si="0"/>
        <v>18409562</v>
      </c>
      <c r="H25" s="2636"/>
      <c r="I25" s="1539">
        <f t="shared" si="1"/>
        <v>18409562</v>
      </c>
      <c r="J25" s="1631"/>
      <c r="K25" s="1631"/>
    </row>
    <row r="26" spans="1:11">
      <c r="A26" s="1505">
        <v>4</v>
      </c>
      <c r="B26" s="1505">
        <v>312</v>
      </c>
      <c r="C26" s="1505">
        <v>3120</v>
      </c>
      <c r="D26" s="1506" t="s">
        <v>334</v>
      </c>
      <c r="E26" s="96">
        <f>'SCH B-2.3'!K26</f>
        <v>206947630</v>
      </c>
      <c r="F26" s="1616">
        <v>1</v>
      </c>
      <c r="G26" s="1539">
        <f t="shared" si="0"/>
        <v>206947630</v>
      </c>
      <c r="H26" s="2636"/>
      <c r="I26" s="1539">
        <f t="shared" si="1"/>
        <v>206947630</v>
      </c>
      <c r="J26" s="1631"/>
      <c r="K26" s="1631"/>
    </row>
    <row r="27" spans="1:11">
      <c r="A27" s="1505">
        <v>5</v>
      </c>
      <c r="B27" s="1505">
        <v>312</v>
      </c>
      <c r="C27" s="1505" t="s">
        <v>2292</v>
      </c>
      <c r="D27" s="1506" t="s">
        <v>334</v>
      </c>
      <c r="E27" s="96">
        <f>'SCH B-2.3'!K27</f>
        <v>242761035</v>
      </c>
      <c r="F27" s="1616">
        <v>1</v>
      </c>
      <c r="G27" s="1539">
        <f t="shared" si="0"/>
        <v>242761035</v>
      </c>
      <c r="H27" s="2636"/>
      <c r="I27" s="1539">
        <f t="shared" si="1"/>
        <v>242761035</v>
      </c>
      <c r="J27" s="1631"/>
      <c r="K27" s="1631"/>
    </row>
    <row r="28" spans="1:11">
      <c r="A28" s="1505">
        <v>6</v>
      </c>
      <c r="B28" s="1505"/>
      <c r="C28" s="1505"/>
      <c r="D28" s="1506" t="s">
        <v>3278</v>
      </c>
      <c r="E28" s="96">
        <f>'SCH B-2.3'!K28</f>
        <v>0</v>
      </c>
      <c r="F28" s="1616">
        <v>1</v>
      </c>
      <c r="G28" s="1539">
        <f t="shared" si="0"/>
        <v>0</v>
      </c>
      <c r="H28" s="2636"/>
      <c r="I28" s="1539">
        <f t="shared" si="1"/>
        <v>0</v>
      </c>
      <c r="J28" s="1631"/>
      <c r="K28" s="1631"/>
    </row>
    <row r="29" spans="1:11">
      <c r="A29" s="1505">
        <v>7</v>
      </c>
      <c r="B29" s="1505">
        <v>312</v>
      </c>
      <c r="C29" s="1505" t="s">
        <v>2293</v>
      </c>
      <c r="D29" s="1506" t="s">
        <v>335</v>
      </c>
      <c r="E29" s="96">
        <f>'SCH B-2.3'!K29</f>
        <v>5420680</v>
      </c>
      <c r="F29" s="1616">
        <v>1</v>
      </c>
      <c r="G29" s="1539">
        <f t="shared" si="0"/>
        <v>5420680</v>
      </c>
      <c r="H29" s="2636"/>
      <c r="I29" s="1539">
        <f t="shared" si="1"/>
        <v>5420680</v>
      </c>
      <c r="J29" s="1631"/>
      <c r="K29" s="1631"/>
    </row>
    <row r="30" spans="1:11">
      <c r="A30" s="1505">
        <v>8</v>
      </c>
      <c r="B30" s="1505">
        <v>314</v>
      </c>
      <c r="C30" s="1505">
        <v>3140</v>
      </c>
      <c r="D30" s="1506" t="s">
        <v>336</v>
      </c>
      <c r="E30" s="96">
        <f>'SCH B-2.3'!K30</f>
        <v>89782860</v>
      </c>
      <c r="F30" s="1616">
        <v>1</v>
      </c>
      <c r="G30" s="1539">
        <f t="shared" si="0"/>
        <v>89782860</v>
      </c>
      <c r="H30" s="2636"/>
      <c r="I30" s="1539">
        <f t="shared" si="1"/>
        <v>89782860</v>
      </c>
      <c r="J30" s="1631"/>
      <c r="K30" s="1631"/>
    </row>
    <row r="31" spans="1:11">
      <c r="A31" s="1505">
        <v>9</v>
      </c>
      <c r="B31" s="1505">
        <v>314</v>
      </c>
      <c r="C31" s="1505" t="s">
        <v>2294</v>
      </c>
      <c r="D31" s="1506" t="s">
        <v>336</v>
      </c>
      <c r="E31" s="96">
        <f>'SCH B-2.3'!K31</f>
        <v>10590194</v>
      </c>
      <c r="F31" s="1616">
        <v>1</v>
      </c>
      <c r="G31" s="1539">
        <f t="shared" si="0"/>
        <v>10590194</v>
      </c>
      <c r="H31" s="2636"/>
      <c r="I31" s="1539">
        <f t="shared" si="1"/>
        <v>10590194</v>
      </c>
      <c r="J31" s="1631"/>
      <c r="K31" s="1631"/>
    </row>
    <row r="32" spans="1:11">
      <c r="A32" s="1505">
        <v>10</v>
      </c>
      <c r="B32" s="1505">
        <v>315</v>
      </c>
      <c r="C32" s="1505">
        <v>3150</v>
      </c>
      <c r="D32" s="1506" t="s">
        <v>337</v>
      </c>
      <c r="E32" s="96">
        <f>'SCH B-2.3'!K32</f>
        <v>28222456</v>
      </c>
      <c r="F32" s="1616">
        <v>1</v>
      </c>
      <c r="G32" s="1539">
        <f t="shared" si="0"/>
        <v>28222456</v>
      </c>
      <c r="H32" s="2636"/>
      <c r="I32" s="1539">
        <f t="shared" si="1"/>
        <v>28222456</v>
      </c>
      <c r="J32" s="1631"/>
      <c r="K32" s="1631"/>
    </row>
    <row r="33" spans="1:11">
      <c r="A33" s="1505">
        <v>11</v>
      </c>
      <c r="B33" s="1505">
        <v>315</v>
      </c>
      <c r="C33" s="1505" t="s">
        <v>2295</v>
      </c>
      <c r="D33" s="1506" t="s">
        <v>337</v>
      </c>
      <c r="E33" s="96">
        <f>'SCH B-2.3'!K33</f>
        <v>16979176</v>
      </c>
      <c r="F33" s="1616">
        <v>1</v>
      </c>
      <c r="G33" s="1539">
        <f t="shared" si="0"/>
        <v>16979176</v>
      </c>
      <c r="H33" s="2636"/>
      <c r="I33" s="1539">
        <f t="shared" si="1"/>
        <v>16979176</v>
      </c>
      <c r="J33" s="1631"/>
      <c r="K33" s="1631"/>
    </row>
    <row r="34" spans="1:11">
      <c r="A34" s="1505">
        <v>12</v>
      </c>
      <c r="B34" s="1505">
        <v>316</v>
      </c>
      <c r="C34" s="1505">
        <v>3160</v>
      </c>
      <c r="D34" s="1506" t="s">
        <v>338</v>
      </c>
      <c r="E34" s="96">
        <f>'SCH B-2.3'!K34</f>
        <v>14501994</v>
      </c>
      <c r="F34" s="1616">
        <v>1</v>
      </c>
      <c r="G34" s="1539">
        <f t="shared" si="0"/>
        <v>14501994</v>
      </c>
      <c r="H34" s="2636"/>
      <c r="I34" s="1539">
        <f t="shared" si="1"/>
        <v>14501994</v>
      </c>
      <c r="J34" s="1631"/>
      <c r="K34" s="1631"/>
    </row>
    <row r="35" spans="1:11">
      <c r="A35" s="1505">
        <v>13</v>
      </c>
      <c r="B35" s="1505">
        <v>317</v>
      </c>
      <c r="C35" s="1505" t="s">
        <v>2296</v>
      </c>
      <c r="D35" s="1506" t="s">
        <v>338</v>
      </c>
      <c r="E35" s="96">
        <f>'SCH B-2.3'!K35</f>
        <v>5796351</v>
      </c>
      <c r="F35" s="1616">
        <v>1</v>
      </c>
      <c r="G35" s="1539">
        <f t="shared" si="0"/>
        <v>5796351</v>
      </c>
      <c r="H35" s="2636"/>
      <c r="I35" s="1539">
        <f t="shared" si="1"/>
        <v>5796351</v>
      </c>
      <c r="J35" s="1631"/>
      <c r="K35" s="1631"/>
    </row>
    <row r="36" spans="1:11">
      <c r="A36" s="1505">
        <v>14</v>
      </c>
      <c r="B36" s="1505">
        <v>317</v>
      </c>
      <c r="C36" s="1505" t="s">
        <v>2753</v>
      </c>
      <c r="D36" s="1506" t="s">
        <v>2747</v>
      </c>
      <c r="E36" s="96">
        <f>'SCH B-2.3'!K36</f>
        <v>46586238</v>
      </c>
      <c r="F36" s="1616">
        <v>1</v>
      </c>
      <c r="G36" s="1539">
        <f t="shared" si="0"/>
        <v>46586238</v>
      </c>
      <c r="H36" s="1539">
        <f>'SCH B-2.2'!G23</f>
        <v>-46586238</v>
      </c>
      <c r="I36" s="1539">
        <f t="shared" si="1"/>
        <v>0</v>
      </c>
      <c r="J36" s="1631"/>
      <c r="K36" s="1631"/>
    </row>
    <row r="37" spans="1:11">
      <c r="A37" s="1505">
        <v>15</v>
      </c>
      <c r="B37" s="1505"/>
      <c r="C37" s="1505"/>
      <c r="D37" s="1506" t="s">
        <v>1483</v>
      </c>
      <c r="E37" s="96">
        <f>'SCH B-2.3'!K37</f>
        <v>0</v>
      </c>
      <c r="F37" s="1616">
        <v>1</v>
      </c>
      <c r="G37" s="1539">
        <f t="shared" si="0"/>
        <v>0</v>
      </c>
      <c r="H37" s="2636"/>
      <c r="I37" s="1539">
        <f t="shared" si="1"/>
        <v>0</v>
      </c>
      <c r="J37" s="1631"/>
      <c r="K37" s="1631"/>
    </row>
    <row r="38" spans="1:11">
      <c r="A38" s="1505">
        <v>16</v>
      </c>
      <c r="B38" s="1506"/>
      <c r="C38" s="1505" t="s">
        <v>3103</v>
      </c>
      <c r="D38" s="1506" t="s">
        <v>1483</v>
      </c>
      <c r="E38" s="96">
        <f>'SCH B-2.3'!K38</f>
        <v>133316</v>
      </c>
      <c r="F38" s="1616">
        <v>1</v>
      </c>
      <c r="G38" s="1539">
        <f t="shared" si="0"/>
        <v>133316</v>
      </c>
      <c r="H38" s="2636"/>
      <c r="I38" s="1539">
        <f t="shared" si="1"/>
        <v>133316</v>
      </c>
      <c r="J38" s="1631"/>
      <c r="K38" s="1631"/>
    </row>
    <row r="39" spans="1:11">
      <c r="A39" s="1505"/>
      <c r="B39" s="1541"/>
      <c r="C39" s="1541"/>
      <c r="D39" s="45"/>
      <c r="E39" s="96"/>
      <c r="F39" s="1538"/>
      <c r="G39" s="1539"/>
      <c r="H39" s="2636"/>
      <c r="I39" s="1539"/>
      <c r="J39" s="1631"/>
      <c r="K39" s="1631"/>
    </row>
    <row r="40" spans="1:11">
      <c r="A40" s="1541"/>
      <c r="B40" s="1541"/>
      <c r="C40" s="1541"/>
      <c r="D40" s="1541"/>
      <c r="E40" s="1541"/>
      <c r="F40" s="2629"/>
      <c r="G40" s="1541"/>
      <c r="H40" s="1541"/>
      <c r="I40" s="1541"/>
      <c r="J40" s="1631"/>
      <c r="K40" s="1631"/>
    </row>
    <row r="41" spans="1:11">
      <c r="A41" s="1621"/>
      <c r="B41" s="1621"/>
      <c r="C41" s="1621"/>
      <c r="D41" s="1621"/>
      <c r="E41" s="1621"/>
      <c r="F41" s="2677"/>
      <c r="G41" s="1621"/>
      <c r="H41" s="1621"/>
      <c r="I41" s="1621"/>
      <c r="J41" s="1631"/>
      <c r="K41" s="1631"/>
    </row>
    <row r="42" spans="1:11">
      <c r="A42" s="1505">
        <v>17</v>
      </c>
      <c r="B42" s="1541"/>
      <c r="C42" s="1541"/>
      <c r="D42" s="1506" t="s">
        <v>777</v>
      </c>
      <c r="E42" s="1539">
        <f>SUM(E23:E39)</f>
        <v>746346786</v>
      </c>
      <c r="F42" s="1538"/>
      <c r="G42" s="1539">
        <f>SUM(G23:G39)</f>
        <v>746346786</v>
      </c>
      <c r="H42" s="1539">
        <f>SUM(H23:H39)</f>
        <v>-46586238</v>
      </c>
      <c r="I42" s="1539">
        <f>SUM(I23:I39)</f>
        <v>699760548</v>
      </c>
      <c r="J42" s="1631"/>
      <c r="K42" s="2682" t="str">
        <f>IF(E42='SCH B-2.3'!K42,"BALANCED","ERROR")</f>
        <v>BALANCED</v>
      </c>
    </row>
    <row r="43" spans="1:11">
      <c r="A43" s="2587"/>
      <c r="B43" s="2587"/>
      <c r="C43" s="2587"/>
      <c r="D43" s="2587"/>
      <c r="E43" s="2611"/>
      <c r="F43" s="2637"/>
      <c r="G43" s="2611"/>
      <c r="H43" s="2611"/>
      <c r="I43" s="2611"/>
      <c r="J43" s="1631"/>
      <c r="K43" s="1631"/>
    </row>
    <row r="44" spans="1:11">
      <c r="A44" s="1621"/>
      <c r="B44" s="1621"/>
      <c r="C44" s="1621"/>
      <c r="D44" s="1621"/>
      <c r="E44" s="1621"/>
      <c r="F44" s="2677"/>
      <c r="G44" s="1621"/>
      <c r="H44" s="1621"/>
      <c r="I44" s="1621"/>
      <c r="J44" s="1631"/>
      <c r="K44" s="1631"/>
    </row>
    <row r="45" spans="1:11">
      <c r="A45" s="103" t="str">
        <f>COMPANY</f>
        <v>DUKE ENERGY KENTUCKY, INC.</v>
      </c>
      <c r="B45" s="2585"/>
      <c r="C45" s="2585"/>
      <c r="D45" s="2585"/>
      <c r="E45" s="2589"/>
      <c r="F45" s="2585"/>
      <c r="G45" s="2585"/>
      <c r="H45" s="2585"/>
      <c r="I45" s="2585"/>
      <c r="J45" s="1631"/>
      <c r="K45" s="2585"/>
    </row>
    <row r="46" spans="1:11">
      <c r="A46" s="103" t="str">
        <f>CASE</f>
        <v>CASE NO. 2017-00321</v>
      </c>
      <c r="B46" s="2585"/>
      <c r="C46" s="2585"/>
      <c r="D46" s="2585"/>
      <c r="E46" s="2589"/>
      <c r="F46" s="2585"/>
      <c r="G46" s="2585"/>
      <c r="H46" s="2585"/>
      <c r="I46" s="2585"/>
      <c r="J46" s="1631"/>
      <c r="K46" s="2585"/>
    </row>
    <row r="47" spans="1:11">
      <c r="A47" s="103" t="s">
        <v>1162</v>
      </c>
      <c r="B47" s="2585"/>
      <c r="C47" s="2585"/>
      <c r="D47" s="2585"/>
      <c r="E47" s="2589"/>
      <c r="F47" s="2585"/>
      <c r="G47" s="2585"/>
      <c r="H47" s="2585"/>
      <c r="I47" s="2585"/>
      <c r="J47" s="1631"/>
      <c r="K47" s="2585"/>
    </row>
    <row r="48" spans="1:11">
      <c r="A48" s="76" t="str">
        <f>"AS OF " &amp;RIGHT(TESTYR,(LEN(TESTYR)-16))</f>
        <v>AS OF NOVEMBER 30, 2017</v>
      </c>
      <c r="B48" s="2585"/>
      <c r="C48" s="2585"/>
      <c r="D48" s="2585"/>
      <c r="E48" s="2589"/>
      <c r="F48" s="2585"/>
      <c r="G48" s="2585"/>
      <c r="H48" s="2585"/>
      <c r="I48" s="2585"/>
      <c r="J48" s="1631"/>
      <c r="K48" s="2585"/>
    </row>
    <row r="49" spans="1:11">
      <c r="A49" s="2585"/>
      <c r="B49" s="2585"/>
      <c r="C49" s="2585"/>
      <c r="D49" s="2585"/>
      <c r="E49" s="2589"/>
      <c r="F49" s="2585"/>
      <c r="G49" s="2585"/>
      <c r="H49" s="2585"/>
      <c r="I49" s="2585"/>
      <c r="J49" s="1631"/>
      <c r="K49" s="2585"/>
    </row>
    <row r="50" spans="1:11">
      <c r="A50" s="103" t="s">
        <v>340</v>
      </c>
      <c r="B50" s="2585"/>
      <c r="C50" s="2585"/>
      <c r="D50" s="2585"/>
      <c r="E50" s="2589"/>
      <c r="F50" s="2585"/>
      <c r="G50" s="2585"/>
      <c r="H50" s="2585"/>
      <c r="I50" s="2585"/>
      <c r="J50" s="1631"/>
      <c r="K50" s="2585"/>
    </row>
    <row r="51" spans="1:11">
      <c r="A51" s="2585"/>
      <c r="B51" s="2585"/>
      <c r="C51" s="2585"/>
      <c r="D51" s="2585"/>
      <c r="E51" s="2589"/>
      <c r="F51" s="2585"/>
      <c r="G51" s="2585"/>
      <c r="H51" s="2585"/>
      <c r="I51" s="2585"/>
      <c r="J51" s="1631"/>
      <c r="K51" s="2585"/>
    </row>
    <row r="52" spans="1:11">
      <c r="A52" s="2569" t="s">
        <v>1799</v>
      </c>
      <c r="B52" s="2585"/>
      <c r="C52" s="2585"/>
      <c r="D52" s="2585"/>
      <c r="E52" s="2589"/>
      <c r="F52" s="2585"/>
      <c r="G52" s="2585"/>
      <c r="H52" s="2585"/>
      <c r="I52" s="2585"/>
      <c r="J52" s="1631"/>
      <c r="K52" s="2585"/>
    </row>
    <row r="53" spans="1:11">
      <c r="A53" s="1541"/>
      <c r="B53" s="1541"/>
      <c r="C53" s="1541"/>
      <c r="D53" s="1541"/>
      <c r="E53" s="1541"/>
      <c r="F53" s="1541"/>
      <c r="G53" s="1541"/>
      <c r="H53" s="1541"/>
      <c r="I53" s="1541"/>
      <c r="J53" s="1631"/>
      <c r="K53" s="1541"/>
    </row>
    <row r="54" spans="1:11">
      <c r="A54" s="1506" t="str">
        <f>Data</f>
        <v>DATA: "X" BASE PERIOD   FORECASTED PERIOD</v>
      </c>
      <c r="B54" s="1541"/>
      <c r="C54" s="1541"/>
      <c r="D54" s="1541"/>
      <c r="E54" s="1541"/>
      <c r="F54" s="1541"/>
      <c r="G54" s="1541"/>
      <c r="H54" s="1506" t="s">
        <v>1163</v>
      </c>
      <c r="I54" s="1541"/>
      <c r="J54" s="1631"/>
      <c r="K54" s="1541"/>
    </row>
    <row r="55" spans="1:11">
      <c r="A55" s="1506" t="str">
        <f>Type</f>
        <v xml:space="preserve">TYPE OF FILING:  "X" ORIGINAL   UPDATED    REVISED  </v>
      </c>
      <c r="B55" s="1541"/>
      <c r="C55" s="1541"/>
      <c r="D55" s="1541"/>
      <c r="E55" s="1541"/>
      <c r="F55" s="1541"/>
      <c r="G55" s="1541"/>
      <c r="H55" s="1506" t="s">
        <v>1910</v>
      </c>
      <c r="I55" s="1541"/>
      <c r="J55" s="1631"/>
      <c r="K55" s="1541"/>
    </row>
    <row r="56" spans="1:11">
      <c r="A56" s="1506" t="s">
        <v>427</v>
      </c>
      <c r="B56" s="1541"/>
      <c r="C56" s="1541"/>
      <c r="D56" s="1541"/>
      <c r="E56" s="1541"/>
      <c r="F56" s="1541"/>
      <c r="G56" s="1541"/>
      <c r="H56" s="2586" t="s">
        <v>622</v>
      </c>
      <c r="I56" s="1541"/>
      <c r="J56" s="1631"/>
      <c r="K56" s="1541"/>
    </row>
    <row r="57" spans="1:11">
      <c r="A57" s="1541"/>
      <c r="B57" s="1541"/>
      <c r="C57" s="1541"/>
      <c r="D57" s="1541"/>
      <c r="E57" s="1541"/>
      <c r="F57" s="1541"/>
      <c r="G57" s="1541"/>
      <c r="H57" s="2586" t="str">
        <f>_WIT7</f>
        <v>R. H. PRATT / C. S. LEE</v>
      </c>
      <c r="I57" s="1541"/>
      <c r="J57" s="1631"/>
      <c r="K57" s="1541"/>
    </row>
    <row r="58" spans="1:11">
      <c r="A58" s="1541"/>
      <c r="B58" s="1541"/>
      <c r="C58" s="1541"/>
      <c r="D58" s="1541"/>
      <c r="E58" s="1541"/>
      <c r="F58" s="1541"/>
      <c r="G58" s="1541"/>
      <c r="H58" s="1541"/>
      <c r="I58" s="1541"/>
      <c r="J58" s="1541"/>
      <c r="K58" s="1541"/>
    </row>
    <row r="59" spans="1:11">
      <c r="A59" s="1541"/>
      <c r="B59" s="1541"/>
      <c r="C59" s="1541"/>
      <c r="D59" s="1541"/>
      <c r="E59" s="1539"/>
      <c r="F59" s="1538"/>
      <c r="G59" s="1539"/>
      <c r="H59" s="1539"/>
      <c r="I59" s="1539"/>
      <c r="J59" s="1541"/>
      <c r="K59" s="1541"/>
    </row>
    <row r="60" spans="1:11">
      <c r="A60" s="1621"/>
      <c r="B60" s="2681"/>
      <c r="C60" s="2680"/>
      <c r="D60" s="1621"/>
      <c r="E60" s="1622"/>
      <c r="F60" s="1623"/>
      <c r="G60" s="1622"/>
      <c r="H60" s="1622"/>
      <c r="I60" s="1622"/>
      <c r="J60" s="1631"/>
      <c r="K60" s="1631"/>
    </row>
    <row r="61" spans="1:11">
      <c r="A61" s="89"/>
      <c r="B61" s="90" t="s">
        <v>943</v>
      </c>
      <c r="C61" s="90" t="s">
        <v>1750</v>
      </c>
      <c r="D61" s="89"/>
      <c r="E61" s="78"/>
      <c r="F61" s="91"/>
      <c r="G61" s="92"/>
      <c r="H61" s="92"/>
      <c r="I61" s="92"/>
      <c r="J61" s="1631"/>
      <c r="K61" s="1631"/>
    </row>
    <row r="62" spans="1:11">
      <c r="A62" s="1505" t="s">
        <v>1240</v>
      </c>
      <c r="B62" s="1505" t="s">
        <v>1164</v>
      </c>
      <c r="C62" s="1505" t="s">
        <v>1164</v>
      </c>
      <c r="D62" s="1541"/>
      <c r="E62" s="90" t="s">
        <v>1117</v>
      </c>
      <c r="F62" s="2630" t="s">
        <v>802</v>
      </c>
      <c r="G62" s="2581" t="s">
        <v>802</v>
      </c>
      <c r="H62" s="1539"/>
      <c r="I62" s="2581" t="s">
        <v>574</v>
      </c>
      <c r="J62" s="1631"/>
      <c r="K62" s="1631"/>
    </row>
    <row r="63" spans="1:11">
      <c r="A63" s="1505" t="s">
        <v>1241</v>
      </c>
      <c r="B63" s="1505" t="s">
        <v>1241</v>
      </c>
      <c r="C63" s="1505" t="s">
        <v>1241</v>
      </c>
      <c r="D63" s="1505" t="s">
        <v>1165</v>
      </c>
      <c r="E63" s="90" t="s">
        <v>1120</v>
      </c>
      <c r="F63" s="2631" t="s">
        <v>363</v>
      </c>
      <c r="G63" s="2632" t="s">
        <v>1929</v>
      </c>
      <c r="H63" s="2632" t="s">
        <v>573</v>
      </c>
      <c r="I63" s="2632" t="s">
        <v>1449</v>
      </c>
      <c r="J63" s="1631"/>
      <c r="K63" s="1631"/>
    </row>
    <row r="64" spans="1:11">
      <c r="A64" s="1505"/>
      <c r="B64" s="1505"/>
      <c r="C64" s="1505"/>
      <c r="D64" s="1505"/>
      <c r="E64" s="2621"/>
      <c r="F64" s="2633"/>
      <c r="G64" s="2634"/>
      <c r="H64" s="2634"/>
      <c r="I64" s="2634"/>
      <c r="J64" s="1631"/>
      <c r="K64" s="1631"/>
    </row>
    <row r="65" spans="1:11">
      <c r="A65" s="1621"/>
      <c r="B65" s="1621"/>
      <c r="C65" s="1621"/>
      <c r="D65" s="1621"/>
      <c r="E65" s="2581" t="s">
        <v>1705</v>
      </c>
      <c r="F65" s="2629"/>
      <c r="G65" s="2581" t="s">
        <v>1705</v>
      </c>
      <c r="H65" s="2581" t="s">
        <v>1705</v>
      </c>
      <c r="I65" s="2581" t="s">
        <v>1705</v>
      </c>
      <c r="J65" s="1631"/>
      <c r="K65" s="1631"/>
    </row>
    <row r="66" spans="1:11">
      <c r="A66" s="89"/>
      <c r="B66" s="89"/>
      <c r="C66" s="89"/>
      <c r="D66" s="89"/>
      <c r="E66" s="89"/>
      <c r="F66" s="93"/>
      <c r="G66" s="89"/>
      <c r="H66" s="89"/>
      <c r="I66" s="89"/>
      <c r="J66" s="1631"/>
      <c r="K66" s="1631"/>
    </row>
    <row r="67" spans="1:11">
      <c r="A67" s="1505" t="s">
        <v>1166</v>
      </c>
      <c r="B67" s="1505">
        <v>340</v>
      </c>
      <c r="C67" s="1505">
        <v>3400</v>
      </c>
      <c r="D67" s="1506" t="s">
        <v>849</v>
      </c>
      <c r="E67" s="94">
        <f>'SCH B-2.3'!K67</f>
        <v>2258588</v>
      </c>
      <c r="F67" s="1616">
        <v>1</v>
      </c>
      <c r="G67" s="1539">
        <f t="shared" ref="G67:G79" si="2">ROUND((E67*F67),0)</f>
        <v>2258588</v>
      </c>
      <c r="H67" s="89"/>
      <c r="I67" s="1539">
        <f t="shared" ref="I67:I79" si="3">G67+H67</f>
        <v>2258588</v>
      </c>
      <c r="J67" s="1631"/>
      <c r="K67" s="1631"/>
    </row>
    <row r="68" spans="1:11">
      <c r="A68" s="1505" t="s">
        <v>1167</v>
      </c>
      <c r="B68" s="1505">
        <v>340</v>
      </c>
      <c r="C68" s="1505">
        <v>3401</v>
      </c>
      <c r="D68" s="1506" t="s">
        <v>1168</v>
      </c>
      <c r="E68" s="94">
        <f>'SCH B-2.3'!K68</f>
        <v>651684</v>
      </c>
      <c r="F68" s="1616">
        <v>1</v>
      </c>
      <c r="G68" s="1539">
        <f t="shared" si="2"/>
        <v>651684</v>
      </c>
      <c r="H68" s="89"/>
      <c r="I68" s="1539">
        <f t="shared" si="3"/>
        <v>651684</v>
      </c>
      <c r="J68" s="1631"/>
      <c r="K68" s="1631"/>
    </row>
    <row r="69" spans="1:11">
      <c r="A69" s="1505" t="s">
        <v>1169</v>
      </c>
      <c r="B69" s="1505">
        <v>341</v>
      </c>
      <c r="C69" s="1505">
        <v>3410</v>
      </c>
      <c r="D69" s="1506" t="s">
        <v>1170</v>
      </c>
      <c r="E69" s="94">
        <f>'SCH B-2.3'!K69</f>
        <v>32162550</v>
      </c>
      <c r="F69" s="1616">
        <v>1</v>
      </c>
      <c r="G69" s="1539">
        <f t="shared" si="2"/>
        <v>32162550</v>
      </c>
      <c r="H69" s="89"/>
      <c r="I69" s="1539">
        <f t="shared" si="3"/>
        <v>32162550</v>
      </c>
      <c r="J69" s="1631"/>
      <c r="K69" s="1631"/>
    </row>
    <row r="70" spans="1:11">
      <c r="A70" s="1505" t="s">
        <v>1171</v>
      </c>
      <c r="B70" s="1505">
        <v>341</v>
      </c>
      <c r="C70" s="1505">
        <v>3410</v>
      </c>
      <c r="D70" s="1506" t="s">
        <v>3337</v>
      </c>
      <c r="E70" s="94">
        <f>'SCH B-2.3'!K70</f>
        <v>3958749</v>
      </c>
      <c r="F70" s="1616">
        <v>1</v>
      </c>
      <c r="G70" s="1539">
        <f t="shared" si="2"/>
        <v>3958749</v>
      </c>
      <c r="H70" s="89"/>
      <c r="I70" s="1539">
        <f t="shared" si="3"/>
        <v>3958749</v>
      </c>
      <c r="J70" s="1631"/>
      <c r="K70" s="1631"/>
    </row>
    <row r="71" spans="1:11">
      <c r="A71" s="1505" t="s">
        <v>977</v>
      </c>
      <c r="B71" s="1505">
        <v>342</v>
      </c>
      <c r="C71" s="1505">
        <v>3420</v>
      </c>
      <c r="D71" s="1506" t="s">
        <v>341</v>
      </c>
      <c r="E71" s="94">
        <f>'SCH B-2.3'!K71</f>
        <v>15756166</v>
      </c>
      <c r="F71" s="1616">
        <v>1</v>
      </c>
      <c r="G71" s="1539">
        <f t="shared" si="2"/>
        <v>15756166</v>
      </c>
      <c r="H71" s="89"/>
      <c r="I71" s="1539">
        <f t="shared" si="3"/>
        <v>15756166</v>
      </c>
      <c r="J71" s="1631"/>
      <c r="K71" s="1631"/>
    </row>
    <row r="72" spans="1:11">
      <c r="A72" s="1505" t="s">
        <v>1596</v>
      </c>
      <c r="B72" s="1505">
        <v>344</v>
      </c>
      <c r="C72" s="1505">
        <v>3440</v>
      </c>
      <c r="D72" s="1506" t="s">
        <v>1717</v>
      </c>
      <c r="E72" s="94">
        <f>'SCH B-2.3'!K72</f>
        <v>205583571</v>
      </c>
      <c r="F72" s="1616">
        <v>1</v>
      </c>
      <c r="G72" s="1539">
        <f t="shared" si="2"/>
        <v>205583571</v>
      </c>
      <c r="H72" s="89"/>
      <c r="I72" s="1539">
        <f t="shared" si="3"/>
        <v>205583571</v>
      </c>
      <c r="J72" s="1631"/>
      <c r="K72" s="1631"/>
    </row>
    <row r="73" spans="1:11">
      <c r="A73" s="1505" t="s">
        <v>978</v>
      </c>
      <c r="B73" s="1505">
        <v>344</v>
      </c>
      <c r="C73" s="1505">
        <v>3440</v>
      </c>
      <c r="D73" s="1506" t="s">
        <v>3338</v>
      </c>
      <c r="E73" s="94">
        <f>'SCH B-2.3'!K73</f>
        <v>10451088</v>
      </c>
      <c r="F73" s="1616">
        <v>1</v>
      </c>
      <c r="G73" s="1539">
        <f t="shared" si="2"/>
        <v>10451088</v>
      </c>
      <c r="H73" s="89"/>
      <c r="I73" s="1539">
        <f t="shared" si="3"/>
        <v>10451088</v>
      </c>
      <c r="J73" s="1631"/>
      <c r="K73" s="1631"/>
    </row>
    <row r="74" spans="1:11">
      <c r="A74" s="1505" t="s">
        <v>979</v>
      </c>
      <c r="B74" s="1505">
        <v>344</v>
      </c>
      <c r="C74" s="1505" t="s">
        <v>2707</v>
      </c>
      <c r="D74" s="1506" t="s">
        <v>1717</v>
      </c>
      <c r="E74" s="94">
        <f>'SCH B-2.3'!K74</f>
        <v>122710</v>
      </c>
      <c r="F74" s="1616">
        <v>1</v>
      </c>
      <c r="G74" s="1539">
        <f t="shared" si="2"/>
        <v>122710</v>
      </c>
      <c r="H74" s="89"/>
      <c r="I74" s="1539">
        <f t="shared" si="3"/>
        <v>122710</v>
      </c>
      <c r="J74" s="1631"/>
      <c r="K74" s="1631"/>
    </row>
    <row r="75" spans="1:11">
      <c r="A75" s="1505" t="s">
        <v>980</v>
      </c>
      <c r="B75" s="1505">
        <v>345</v>
      </c>
      <c r="C75" s="1505">
        <v>3450</v>
      </c>
      <c r="D75" s="1506" t="s">
        <v>337</v>
      </c>
      <c r="E75" s="94">
        <f>'SCH B-2.3'!K75</f>
        <v>20983988</v>
      </c>
      <c r="F75" s="1616">
        <v>1</v>
      </c>
      <c r="G75" s="1539">
        <f t="shared" si="2"/>
        <v>20983988</v>
      </c>
      <c r="H75" s="89"/>
      <c r="I75" s="1539">
        <f t="shared" si="3"/>
        <v>20983988</v>
      </c>
      <c r="J75" s="1631"/>
      <c r="K75" s="1631"/>
    </row>
    <row r="76" spans="1:11">
      <c r="A76" s="1505" t="s">
        <v>850</v>
      </c>
      <c r="B76" s="1505">
        <v>345</v>
      </c>
      <c r="C76" s="1505">
        <v>3450</v>
      </c>
      <c r="D76" s="1506" t="s">
        <v>3339</v>
      </c>
      <c r="E76" s="94">
        <f>'SCH B-2.3'!K76</f>
        <v>582196</v>
      </c>
      <c r="F76" s="1616">
        <v>1</v>
      </c>
      <c r="G76" s="1539">
        <f t="shared" si="2"/>
        <v>582196</v>
      </c>
      <c r="H76" s="89"/>
      <c r="I76" s="1539">
        <f t="shared" si="3"/>
        <v>582196</v>
      </c>
      <c r="J76" s="1631"/>
      <c r="K76" s="1631"/>
    </row>
    <row r="77" spans="1:11">
      <c r="A77" s="1505" t="s">
        <v>851</v>
      </c>
      <c r="B77" s="1505">
        <v>346</v>
      </c>
      <c r="C77" s="1505">
        <v>3460</v>
      </c>
      <c r="D77" s="1506" t="s">
        <v>1718</v>
      </c>
      <c r="E77" s="94">
        <f>'SCH B-2.3'!K77</f>
        <v>3933098</v>
      </c>
      <c r="F77" s="1616">
        <v>1</v>
      </c>
      <c r="G77" s="1539">
        <f t="shared" si="2"/>
        <v>3933098</v>
      </c>
      <c r="H77" s="89"/>
      <c r="I77" s="1539">
        <f t="shared" si="3"/>
        <v>3933098</v>
      </c>
      <c r="J77" s="1631"/>
      <c r="K77" s="1631"/>
    </row>
    <row r="78" spans="1:11">
      <c r="A78" s="1505" t="s">
        <v>852</v>
      </c>
      <c r="B78" s="1505">
        <v>346</v>
      </c>
      <c r="C78" s="1505">
        <v>3460</v>
      </c>
      <c r="D78" s="1506" t="s">
        <v>3340</v>
      </c>
      <c r="E78" s="94">
        <f>'SCH B-2.3'!K78</f>
        <v>601418</v>
      </c>
      <c r="F78" s="1616">
        <v>1</v>
      </c>
      <c r="G78" s="1539">
        <f t="shared" si="2"/>
        <v>601418</v>
      </c>
      <c r="H78" s="89"/>
      <c r="I78" s="1539">
        <f t="shared" si="3"/>
        <v>601418</v>
      </c>
      <c r="J78" s="1631"/>
      <c r="K78" s="1631"/>
    </row>
    <row r="79" spans="1:11">
      <c r="A79" s="1505" t="s">
        <v>853</v>
      </c>
      <c r="B79" s="1506"/>
      <c r="C79" s="1506"/>
      <c r="D79" s="1506" t="s">
        <v>1483</v>
      </c>
      <c r="E79" s="94">
        <f>'SCH B-2.3'!K79</f>
        <v>0</v>
      </c>
      <c r="F79" s="1616">
        <v>1</v>
      </c>
      <c r="G79" s="1539">
        <f t="shared" si="2"/>
        <v>0</v>
      </c>
      <c r="H79" s="89"/>
      <c r="I79" s="1539">
        <f t="shared" si="3"/>
        <v>0</v>
      </c>
      <c r="J79" s="1631"/>
      <c r="K79" s="1631"/>
    </row>
    <row r="80" spans="1:11">
      <c r="A80" s="89"/>
      <c r="B80" s="89"/>
      <c r="C80" s="89"/>
      <c r="D80" s="89"/>
      <c r="E80" s="89"/>
      <c r="F80" s="93"/>
      <c r="G80" s="1539"/>
      <c r="H80" s="89"/>
      <c r="I80" s="1539"/>
      <c r="J80" s="1631"/>
      <c r="K80" s="1631"/>
    </row>
    <row r="81" spans="1:11">
      <c r="A81" s="1541"/>
      <c r="B81" s="1541"/>
      <c r="C81" s="1541"/>
      <c r="D81" s="1541"/>
      <c r="E81" s="1541"/>
      <c r="F81" s="2629"/>
      <c r="G81" s="1541"/>
      <c r="H81" s="1541"/>
      <c r="I81" s="1541"/>
      <c r="J81" s="1631"/>
      <c r="K81" s="1631"/>
    </row>
    <row r="82" spans="1:11">
      <c r="A82" s="1621"/>
      <c r="B82" s="1621"/>
      <c r="C82" s="1621"/>
      <c r="D82" s="1621"/>
      <c r="E82" s="1621"/>
      <c r="F82" s="2677"/>
      <c r="G82" s="1621"/>
      <c r="H82" s="1621"/>
      <c r="I82" s="1621"/>
      <c r="J82" s="1631"/>
      <c r="K82" s="1631"/>
    </row>
    <row r="83" spans="1:11">
      <c r="A83" s="1505">
        <v>14</v>
      </c>
      <c r="B83" s="1541"/>
      <c r="C83" s="1541"/>
      <c r="D83" s="1506" t="s">
        <v>778</v>
      </c>
      <c r="E83" s="1539">
        <f>SUM(E66:E80)</f>
        <v>297045806</v>
      </c>
      <c r="F83" s="1538"/>
      <c r="G83" s="1539">
        <f>SUM(G66:G80)</f>
        <v>297045806</v>
      </c>
      <c r="H83" s="1539">
        <f>SUM(H66:H80)</f>
        <v>0</v>
      </c>
      <c r="I83" s="1539">
        <f>SUM(I66:I80)</f>
        <v>297045806</v>
      </c>
      <c r="J83" s="1631"/>
      <c r="K83" s="2682" t="str">
        <f>IF(E83='SCH B-2.3'!K83,"BALANCED","ERROR")</f>
        <v>BALANCED</v>
      </c>
    </row>
    <row r="84" spans="1:11">
      <c r="A84" s="2587"/>
      <c r="B84" s="2587"/>
      <c r="C84" s="2587"/>
      <c r="D84" s="2587"/>
      <c r="E84" s="2611"/>
      <c r="F84" s="2637"/>
      <c r="G84" s="2611"/>
      <c r="H84" s="2611"/>
      <c r="I84" s="2611"/>
      <c r="J84" s="1631"/>
      <c r="K84" s="1631"/>
    </row>
    <row r="85" spans="1:11">
      <c r="A85" s="1621"/>
      <c r="B85" s="1621"/>
      <c r="C85" s="1621"/>
      <c r="D85" s="1621"/>
      <c r="E85" s="1621"/>
      <c r="F85" s="2677"/>
      <c r="G85" s="1621"/>
      <c r="H85" s="1621"/>
      <c r="I85" s="1621"/>
      <c r="J85" s="1631"/>
      <c r="K85" s="1631"/>
    </row>
    <row r="86" spans="1:11">
      <c r="A86" s="103" t="str">
        <f>COMPANY</f>
        <v>DUKE ENERGY KENTUCKY, INC.</v>
      </c>
      <c r="B86" s="2585"/>
      <c r="C86" s="2585"/>
      <c r="D86" s="103"/>
      <c r="E86" s="2585"/>
      <c r="F86" s="2628"/>
      <c r="G86" s="2585"/>
      <c r="H86" s="2585"/>
      <c r="I86" s="2585"/>
      <c r="J86" s="1631"/>
      <c r="K86" s="1631"/>
    </row>
    <row r="87" spans="1:11">
      <c r="A87" s="103" t="str">
        <f>CASE</f>
        <v>CASE NO. 2017-00321</v>
      </c>
      <c r="B87" s="2585"/>
      <c r="C87" s="2585"/>
      <c r="D87" s="103"/>
      <c r="E87" s="2585"/>
      <c r="F87" s="2628"/>
      <c r="G87" s="2585"/>
      <c r="H87" s="2585"/>
      <c r="I87" s="2585"/>
      <c r="J87" s="1631"/>
      <c r="K87" s="1631"/>
    </row>
    <row r="88" spans="1:11">
      <c r="A88" s="103" t="s">
        <v>1162</v>
      </c>
      <c r="B88" s="2585"/>
      <c r="C88" s="2585"/>
      <c r="D88" s="103"/>
      <c r="E88" s="2585"/>
      <c r="F88" s="2628"/>
      <c r="G88" s="2585"/>
      <c r="H88" s="2585"/>
      <c r="I88" s="2585"/>
      <c r="J88" s="1631"/>
      <c r="K88" s="1631"/>
    </row>
    <row r="89" spans="1:11">
      <c r="A89" s="76" t="str">
        <f>"AS OF " &amp;RIGHT(TESTYR,(LEN(TESTYR)-16))</f>
        <v>AS OF NOVEMBER 30, 2017</v>
      </c>
      <c r="B89" s="2585"/>
      <c r="C89" s="2585"/>
      <c r="D89" s="103"/>
      <c r="E89" s="2585"/>
      <c r="F89" s="2628"/>
      <c r="G89" s="2585"/>
      <c r="H89" s="2585"/>
      <c r="I89" s="2585"/>
      <c r="J89" s="1631"/>
      <c r="K89" s="1631"/>
    </row>
    <row r="90" spans="1:11">
      <c r="A90" s="2585"/>
      <c r="B90" s="2585"/>
      <c r="C90" s="2585"/>
      <c r="D90" s="2585"/>
      <c r="E90" s="2585"/>
      <c r="F90" s="2628"/>
      <c r="G90" s="2585"/>
      <c r="H90" s="2585"/>
      <c r="I90" s="2585"/>
      <c r="J90" s="1631"/>
      <c r="K90" s="1631"/>
    </row>
    <row r="91" spans="1:11">
      <c r="A91" s="103" t="s">
        <v>1447</v>
      </c>
      <c r="B91" s="2585"/>
      <c r="C91" s="2585"/>
      <c r="D91" s="103"/>
      <c r="E91" s="2585"/>
      <c r="F91" s="2628"/>
      <c r="G91" s="2585"/>
      <c r="H91" s="2585"/>
      <c r="I91" s="2585"/>
      <c r="J91" s="1631"/>
      <c r="K91" s="1631"/>
    </row>
    <row r="92" spans="1:11">
      <c r="A92" s="2569" t="s">
        <v>1799</v>
      </c>
      <c r="B92" s="2585"/>
      <c r="C92" s="2585"/>
      <c r="D92" s="103"/>
      <c r="E92" s="2585"/>
      <c r="F92" s="2628"/>
      <c r="G92" s="2585"/>
      <c r="H92" s="2585"/>
      <c r="I92" s="2585"/>
      <c r="J92" s="1631"/>
      <c r="K92" s="1631"/>
    </row>
    <row r="93" spans="1:11">
      <c r="A93" s="2638"/>
      <c r="B93" s="1541"/>
      <c r="C93" s="1541"/>
      <c r="D93" s="1541"/>
      <c r="E93" s="1541"/>
      <c r="F93" s="2629"/>
      <c r="G93" s="1541"/>
      <c r="H93" s="1541"/>
      <c r="I93" s="1541"/>
      <c r="J93" s="1631"/>
      <c r="K93" s="1631"/>
    </row>
    <row r="94" spans="1:11">
      <c r="A94" s="2638"/>
      <c r="B94" s="1541"/>
      <c r="C94" s="1541"/>
      <c r="D94" s="1541"/>
      <c r="E94" s="1541"/>
      <c r="F94" s="2629"/>
      <c r="G94" s="1541"/>
      <c r="H94" s="2619" t="str">
        <f>H10</f>
        <v>SCHEDULE B-2.1</v>
      </c>
      <c r="I94" s="1541"/>
      <c r="J94" s="1631"/>
      <c r="K94" s="1631"/>
    </row>
    <row r="95" spans="1:11">
      <c r="A95" s="1506" t="str">
        <f>Data</f>
        <v>DATA: "X" BASE PERIOD   FORECASTED PERIOD</v>
      </c>
      <c r="B95" s="1541"/>
      <c r="C95" s="1541"/>
      <c r="D95" s="1541"/>
      <c r="E95" s="1541"/>
      <c r="F95" s="2629"/>
      <c r="G95" s="1541"/>
      <c r="H95" s="2619" t="s">
        <v>1909</v>
      </c>
      <c r="I95" s="1541"/>
      <c r="J95" s="1631"/>
      <c r="K95" s="1631"/>
    </row>
    <row r="96" spans="1:11">
      <c r="A96" s="1506" t="str">
        <f>Type</f>
        <v xml:space="preserve">TYPE OF FILING:  "X" ORIGINAL   UPDATED    REVISED  </v>
      </c>
      <c r="B96" s="1541"/>
      <c r="C96" s="1541"/>
      <c r="D96" s="1541"/>
      <c r="E96" s="1541"/>
      <c r="F96" s="2629"/>
      <c r="G96" s="1541"/>
      <c r="H96" s="2619" t="s">
        <v>622</v>
      </c>
      <c r="I96" s="1541"/>
      <c r="J96" s="1631"/>
      <c r="K96" s="1631"/>
    </row>
    <row r="97" spans="1:11">
      <c r="A97" s="1506" t="s">
        <v>427</v>
      </c>
      <c r="B97" s="1541"/>
      <c r="C97" s="1541"/>
      <c r="D97" s="1541"/>
      <c r="E97" s="1541"/>
      <c r="F97" s="2629"/>
      <c r="G97" s="1541"/>
      <c r="H97" s="2586" t="str">
        <f>_WIT7</f>
        <v>R. H. PRATT / C. S. LEE</v>
      </c>
      <c r="I97" s="1541"/>
      <c r="J97" s="1631"/>
      <c r="K97" s="1631"/>
    </row>
    <row r="98" spans="1:11">
      <c r="A98" s="1541"/>
      <c r="B98" s="1541"/>
      <c r="C98" s="1541"/>
      <c r="D98" s="1541"/>
      <c r="E98" s="1541"/>
      <c r="F98" s="2629"/>
      <c r="G98" s="1541"/>
      <c r="H98" s="1541"/>
      <c r="I98" s="1541"/>
      <c r="J98" s="1631"/>
      <c r="K98" s="1631"/>
    </row>
    <row r="99" spans="1:11">
      <c r="A99" s="1541"/>
      <c r="B99" s="1541"/>
      <c r="C99" s="1541"/>
      <c r="D99" s="1541"/>
      <c r="E99" s="1541"/>
      <c r="F99" s="2629"/>
      <c r="G99" s="1541"/>
      <c r="H99" s="1541"/>
      <c r="I99" s="1541"/>
      <c r="J99" s="1631"/>
      <c r="K99" s="1631"/>
    </row>
    <row r="100" spans="1:11">
      <c r="A100" s="1541"/>
      <c r="B100" s="1541"/>
      <c r="C100" s="1541"/>
      <c r="D100" s="1541"/>
      <c r="E100" s="1541"/>
      <c r="F100" s="2629"/>
      <c r="G100" s="1541"/>
      <c r="H100" s="1541"/>
      <c r="I100" s="1541"/>
      <c r="J100" s="1631"/>
      <c r="K100" s="1631"/>
    </row>
    <row r="101" spans="1:11">
      <c r="A101" s="1621"/>
      <c r="B101" s="2679"/>
      <c r="C101" s="2678"/>
      <c r="D101" s="1621"/>
      <c r="E101" s="1621"/>
      <c r="F101" s="2677"/>
      <c r="G101" s="1621"/>
      <c r="H101" s="1621"/>
      <c r="I101" s="1621"/>
      <c r="J101" s="1631"/>
      <c r="K101" s="1631"/>
    </row>
    <row r="102" spans="1:11">
      <c r="A102" s="89"/>
      <c r="B102" s="95" t="s">
        <v>943</v>
      </c>
      <c r="C102" s="95" t="s">
        <v>1750</v>
      </c>
      <c r="D102" s="89"/>
      <c r="E102" s="78"/>
      <c r="F102" s="93"/>
      <c r="G102" s="89"/>
      <c r="H102" s="89"/>
      <c r="I102" s="89"/>
      <c r="J102" s="1631"/>
      <c r="K102" s="1631"/>
    </row>
    <row r="103" spans="1:11">
      <c r="A103" s="1505" t="s">
        <v>1240</v>
      </c>
      <c r="B103" s="1505" t="s">
        <v>1164</v>
      </c>
      <c r="C103" s="1505" t="s">
        <v>1164</v>
      </c>
      <c r="D103" s="1541"/>
      <c r="E103" s="90" t="s">
        <v>1117</v>
      </c>
      <c r="F103" s="2630" t="s">
        <v>802</v>
      </c>
      <c r="G103" s="1505" t="s">
        <v>802</v>
      </c>
      <c r="H103" s="1541"/>
      <c r="I103" s="1505" t="s">
        <v>574</v>
      </c>
      <c r="J103" s="1631"/>
      <c r="K103" s="1631"/>
    </row>
    <row r="104" spans="1:11">
      <c r="A104" s="1505" t="s">
        <v>1241</v>
      </c>
      <c r="B104" s="1505" t="s">
        <v>1241</v>
      </c>
      <c r="C104" s="1505" t="s">
        <v>1241</v>
      </c>
      <c r="D104" s="1505" t="s">
        <v>1165</v>
      </c>
      <c r="E104" s="90" t="s">
        <v>1120</v>
      </c>
      <c r="F104" s="2631" t="s">
        <v>363</v>
      </c>
      <c r="G104" s="90" t="s">
        <v>1929</v>
      </c>
      <c r="H104" s="90" t="s">
        <v>573</v>
      </c>
      <c r="I104" s="90" t="s">
        <v>1449</v>
      </c>
      <c r="J104" s="1631"/>
      <c r="K104" s="1631"/>
    </row>
    <row r="105" spans="1:11">
      <c r="A105" s="1505"/>
      <c r="B105" s="1505"/>
      <c r="C105" s="1505"/>
      <c r="D105" s="1505"/>
      <c r="E105" s="2621"/>
      <c r="F105" s="2633"/>
      <c r="G105" s="2621"/>
      <c r="H105" s="2621"/>
      <c r="I105" s="2621"/>
      <c r="J105" s="1631"/>
      <c r="K105" s="1631"/>
    </row>
    <row r="106" spans="1:11">
      <c r="A106" s="1621"/>
      <c r="B106" s="1621"/>
      <c r="C106" s="1621"/>
      <c r="D106" s="1621"/>
      <c r="E106" s="2581" t="s">
        <v>1705</v>
      </c>
      <c r="F106" s="2629"/>
      <c r="G106" s="1505" t="s">
        <v>1705</v>
      </c>
      <c r="H106" s="1505" t="s">
        <v>1705</v>
      </c>
      <c r="I106" s="1505" t="s">
        <v>1705</v>
      </c>
      <c r="J106" s="1631"/>
      <c r="K106" s="1631"/>
    </row>
    <row r="107" spans="1:11">
      <c r="A107" s="1505" t="s">
        <v>529</v>
      </c>
      <c r="B107" s="1541"/>
      <c r="C107" s="1541"/>
      <c r="D107" s="1541"/>
      <c r="E107" s="1631"/>
      <c r="F107" s="2635"/>
      <c r="G107" s="1631"/>
      <c r="H107" s="1631"/>
      <c r="I107" s="1631"/>
      <c r="J107" s="1631"/>
      <c r="K107" s="1631"/>
    </row>
    <row r="108" spans="1:11">
      <c r="A108" s="1505">
        <v>1</v>
      </c>
      <c r="B108" s="321">
        <v>350</v>
      </c>
      <c r="C108" s="321">
        <v>3500</v>
      </c>
      <c r="D108" s="315" t="s">
        <v>1595</v>
      </c>
      <c r="E108" s="96">
        <f>'SCH B-2.3'!K108</f>
        <v>246667</v>
      </c>
      <c r="F108" s="1616">
        <v>1</v>
      </c>
      <c r="G108" s="1539">
        <f t="shared" ref="G108:G118" si="4">ROUND((E108*F108),0)</f>
        <v>246667</v>
      </c>
      <c r="H108" s="2639"/>
      <c r="I108" s="1539">
        <f t="shared" ref="I108:I118" si="5">G108+H108</f>
        <v>246667</v>
      </c>
      <c r="J108" s="1631"/>
      <c r="K108" s="1631"/>
    </row>
    <row r="109" spans="1:11">
      <c r="A109" s="1505">
        <v>2</v>
      </c>
      <c r="B109" s="321">
        <v>350</v>
      </c>
      <c r="C109" s="321">
        <v>3501</v>
      </c>
      <c r="D109" s="315" t="s">
        <v>1168</v>
      </c>
      <c r="E109" s="96">
        <f>'SCH B-2.3'!K109</f>
        <v>1092199</v>
      </c>
      <c r="F109" s="1616">
        <v>1</v>
      </c>
      <c r="G109" s="1539">
        <f t="shared" si="4"/>
        <v>1092199</v>
      </c>
      <c r="H109" s="2639"/>
      <c r="I109" s="1539">
        <f t="shared" si="5"/>
        <v>1092199</v>
      </c>
      <c r="J109" s="1631"/>
      <c r="K109" s="1631"/>
    </row>
    <row r="110" spans="1:11">
      <c r="A110" s="1505">
        <v>3</v>
      </c>
      <c r="B110" s="321">
        <v>352</v>
      </c>
      <c r="C110" s="321">
        <v>3520</v>
      </c>
      <c r="D110" s="315" t="s">
        <v>1170</v>
      </c>
      <c r="E110" s="96">
        <f>'SCH B-2.3'!K110</f>
        <v>1470865</v>
      </c>
      <c r="F110" s="1616">
        <v>1</v>
      </c>
      <c r="G110" s="1539">
        <f t="shared" si="4"/>
        <v>1470865</v>
      </c>
      <c r="H110" s="2639"/>
      <c r="I110" s="1539">
        <f t="shared" si="5"/>
        <v>1470865</v>
      </c>
      <c r="J110" s="1631"/>
      <c r="K110" s="1631"/>
    </row>
    <row r="111" spans="1:11">
      <c r="A111" s="1505">
        <v>4</v>
      </c>
      <c r="B111" s="321">
        <v>353</v>
      </c>
      <c r="C111" s="321">
        <v>3530</v>
      </c>
      <c r="D111" s="315" t="s">
        <v>1721</v>
      </c>
      <c r="E111" s="96">
        <f>'SCH B-2.3'!K111</f>
        <v>17168426</v>
      </c>
      <c r="F111" s="1616">
        <v>1</v>
      </c>
      <c r="G111" s="1539">
        <f t="shared" si="4"/>
        <v>17168426</v>
      </c>
      <c r="H111" s="2639"/>
      <c r="I111" s="1539">
        <f t="shared" si="5"/>
        <v>17168426</v>
      </c>
      <c r="J111" s="1631"/>
      <c r="K111" s="1631"/>
    </row>
    <row r="112" spans="1:11">
      <c r="A112" s="1505">
        <v>5</v>
      </c>
      <c r="B112" s="321">
        <v>353</v>
      </c>
      <c r="C112" s="321">
        <v>3531</v>
      </c>
      <c r="D112" s="315" t="s">
        <v>2926</v>
      </c>
      <c r="E112" s="96">
        <f>'SCH B-2.3'!K112</f>
        <v>9373634</v>
      </c>
      <c r="F112" s="1616">
        <v>1</v>
      </c>
      <c r="G112" s="1539">
        <f t="shared" si="4"/>
        <v>9373634</v>
      </c>
      <c r="H112" s="2639"/>
      <c r="I112" s="1539">
        <f t="shared" si="5"/>
        <v>9373634</v>
      </c>
      <c r="J112" s="1631"/>
      <c r="K112" s="1631"/>
    </row>
    <row r="113" spans="1:11">
      <c r="A113" s="1505">
        <v>6</v>
      </c>
      <c r="B113" s="321">
        <v>353</v>
      </c>
      <c r="C113" s="321">
        <v>3532</v>
      </c>
      <c r="D113" s="315" t="s">
        <v>2927</v>
      </c>
      <c r="E113" s="96">
        <f>'SCH B-2.3'!K113</f>
        <v>5937978</v>
      </c>
      <c r="F113" s="1616">
        <v>1</v>
      </c>
      <c r="G113" s="1539">
        <f t="shared" si="4"/>
        <v>5937978</v>
      </c>
      <c r="H113" s="2639"/>
      <c r="I113" s="1539">
        <f t="shared" si="5"/>
        <v>5937978</v>
      </c>
      <c r="J113" s="1631"/>
      <c r="K113" s="1631"/>
    </row>
    <row r="114" spans="1:11">
      <c r="A114" s="1505">
        <v>7</v>
      </c>
      <c r="B114" s="321">
        <v>353</v>
      </c>
      <c r="C114" s="321">
        <v>3534</v>
      </c>
      <c r="D114" s="315" t="s">
        <v>2928</v>
      </c>
      <c r="E114" s="96">
        <f>'SCH B-2.3'!K114</f>
        <v>7057290</v>
      </c>
      <c r="F114" s="1616">
        <v>1</v>
      </c>
      <c r="G114" s="1539">
        <f t="shared" si="4"/>
        <v>7057290</v>
      </c>
      <c r="H114" s="2639"/>
      <c r="I114" s="1539">
        <f t="shared" si="5"/>
        <v>7057290</v>
      </c>
      <c r="J114" s="1631"/>
      <c r="K114" s="1631"/>
    </row>
    <row r="115" spans="1:11">
      <c r="A115" s="1505">
        <v>8</v>
      </c>
      <c r="B115" s="321">
        <v>355</v>
      </c>
      <c r="C115" s="321">
        <v>3550</v>
      </c>
      <c r="D115" s="315" t="s">
        <v>1722</v>
      </c>
      <c r="E115" s="96">
        <f>'SCH B-2.3'!K115</f>
        <v>7529956</v>
      </c>
      <c r="F115" s="1616">
        <v>1</v>
      </c>
      <c r="G115" s="1539">
        <f t="shared" si="4"/>
        <v>7529956</v>
      </c>
      <c r="H115" s="2639"/>
      <c r="I115" s="1539">
        <f t="shared" si="5"/>
        <v>7529956</v>
      </c>
      <c r="J115" s="1631"/>
      <c r="K115" s="1631"/>
    </row>
    <row r="116" spans="1:11">
      <c r="A116" s="1505">
        <v>9</v>
      </c>
      <c r="B116" s="321">
        <v>356</v>
      </c>
      <c r="C116" s="321">
        <v>3560</v>
      </c>
      <c r="D116" s="315" t="s">
        <v>1723</v>
      </c>
      <c r="E116" s="96">
        <f>'SCH B-2.3'!K116</f>
        <v>5841843</v>
      </c>
      <c r="F116" s="1616">
        <v>1</v>
      </c>
      <c r="G116" s="1539">
        <f t="shared" si="4"/>
        <v>5841843</v>
      </c>
      <c r="H116" s="2639"/>
      <c r="I116" s="1539">
        <f t="shared" si="5"/>
        <v>5841843</v>
      </c>
      <c r="J116" s="1631"/>
      <c r="K116" s="1631"/>
    </row>
    <row r="117" spans="1:11">
      <c r="A117" s="1505">
        <v>10</v>
      </c>
      <c r="B117" s="321">
        <v>356</v>
      </c>
      <c r="C117" s="321">
        <v>3561</v>
      </c>
      <c r="D117" s="315" t="s">
        <v>2751</v>
      </c>
      <c r="E117" s="96">
        <f>'SCH B-2.3'!K117</f>
        <v>296574</v>
      </c>
      <c r="F117" s="1616">
        <v>1</v>
      </c>
      <c r="G117" s="1539">
        <f t="shared" si="4"/>
        <v>296574</v>
      </c>
      <c r="H117" s="2639"/>
      <c r="I117" s="1539">
        <f t="shared" si="5"/>
        <v>296574</v>
      </c>
      <c r="J117" s="1631"/>
      <c r="K117" s="1631"/>
    </row>
    <row r="118" spans="1:11">
      <c r="A118" s="1505">
        <v>11</v>
      </c>
      <c r="B118" s="315"/>
      <c r="C118" s="315"/>
      <c r="D118" s="315" t="s">
        <v>1483</v>
      </c>
      <c r="E118" s="96">
        <f>'SCH B-2.3'!K118</f>
        <v>5742038</v>
      </c>
      <c r="F118" s="1616">
        <v>1</v>
      </c>
      <c r="G118" s="1539">
        <f t="shared" si="4"/>
        <v>5742038</v>
      </c>
      <c r="H118" s="2639"/>
      <c r="I118" s="1539">
        <f t="shared" si="5"/>
        <v>5742038</v>
      </c>
      <c r="J118" s="1631"/>
      <c r="K118" s="1631"/>
    </row>
    <row r="119" spans="1:11">
      <c r="A119" s="1505"/>
      <c r="B119" s="315"/>
      <c r="C119" s="315"/>
      <c r="D119" s="315"/>
      <c r="E119" s="96"/>
      <c r="F119" s="1538"/>
      <c r="G119" s="1539"/>
      <c r="H119" s="2639"/>
      <c r="I119" s="1539"/>
      <c r="J119" s="1631"/>
      <c r="K119" s="1631"/>
    </row>
    <row r="120" spans="1:11">
      <c r="A120" s="1541"/>
      <c r="B120" s="1541"/>
      <c r="C120" s="1541"/>
      <c r="D120" s="1541"/>
      <c r="E120" s="1539"/>
      <c r="F120" s="1538"/>
      <c r="G120" s="1539"/>
      <c r="H120" s="1539"/>
      <c r="I120" s="1539"/>
      <c r="J120" s="1631"/>
      <c r="K120" s="1631"/>
    </row>
    <row r="121" spans="1:11">
      <c r="A121" s="1621"/>
      <c r="B121" s="1621"/>
      <c r="C121" s="1621"/>
      <c r="D121" s="1621"/>
      <c r="E121" s="1622"/>
      <c r="F121" s="1623"/>
      <c r="G121" s="1622"/>
      <c r="H121" s="1622"/>
      <c r="I121" s="1622"/>
      <c r="J121" s="1631"/>
      <c r="K121" s="1631"/>
    </row>
    <row r="122" spans="1:11">
      <c r="A122" s="1505">
        <v>12</v>
      </c>
      <c r="B122" s="1541"/>
      <c r="C122" s="1541"/>
      <c r="D122" s="1506" t="s">
        <v>1446</v>
      </c>
      <c r="E122" s="1539">
        <f>SUM(E108:E118)</f>
        <v>61757470</v>
      </c>
      <c r="F122" s="1538"/>
      <c r="G122" s="1539">
        <f>SUM(G108:G118)</f>
        <v>61757470</v>
      </c>
      <c r="H122" s="1539">
        <f>SUM(H108:H118)</f>
        <v>0</v>
      </c>
      <c r="I122" s="1539">
        <f>SUM(I108:I118)</f>
        <v>61757470</v>
      </c>
      <c r="J122" s="1631"/>
      <c r="K122" s="2682" t="str">
        <f>IF(E122='SCH B-2.3'!K122,"BALANCED","ERROR")</f>
        <v>BALANCED</v>
      </c>
    </row>
    <row r="123" spans="1:11">
      <c r="A123" s="2587"/>
      <c r="B123" s="2587"/>
      <c r="C123" s="2587"/>
      <c r="D123" s="2587"/>
      <c r="E123" s="2611"/>
      <c r="F123" s="2637"/>
      <c r="G123" s="2611"/>
      <c r="H123" s="2611"/>
      <c r="I123" s="2611"/>
      <c r="J123" s="1631"/>
      <c r="K123" s="1631"/>
    </row>
    <row r="124" spans="1:11">
      <c r="A124" s="1541"/>
      <c r="B124" s="1541"/>
      <c r="C124" s="1541"/>
      <c r="D124" s="1541"/>
      <c r="E124" s="1539"/>
      <c r="F124" s="1538"/>
      <c r="G124" s="1539"/>
      <c r="H124" s="1539"/>
      <c r="I124" s="1539"/>
      <c r="J124" s="1631"/>
      <c r="K124" s="1631"/>
    </row>
    <row r="125" spans="1:11">
      <c r="A125" s="103" t="str">
        <f>A1</f>
        <v>DUKE ENERGY KENTUCKY, INC.</v>
      </c>
      <c r="B125" s="2585"/>
      <c r="C125" s="2585"/>
      <c r="D125" s="103"/>
      <c r="E125" s="2585"/>
      <c r="F125" s="2628"/>
      <c r="G125" s="2585"/>
      <c r="H125" s="2585"/>
      <c r="I125" s="2585"/>
      <c r="J125" s="1631"/>
      <c r="K125" s="1631"/>
    </row>
    <row r="126" spans="1:11">
      <c r="A126" s="103" t="str">
        <f>A2</f>
        <v>CASE NO. 2017-00321</v>
      </c>
      <c r="B126" s="2585"/>
      <c r="C126" s="2585"/>
      <c r="D126" s="103"/>
      <c r="E126" s="2585"/>
      <c r="F126" s="2628"/>
      <c r="G126" s="2585"/>
      <c r="H126" s="2585"/>
      <c r="I126" s="2585"/>
      <c r="J126" s="1631"/>
      <c r="K126" s="1631"/>
    </row>
    <row r="127" spans="1:11">
      <c r="A127" s="103" t="str">
        <f>A3</f>
        <v>PLANT IN SERVICE BY ACCOUNTS AND SUBACCOUNTS</v>
      </c>
      <c r="B127" s="2585"/>
      <c r="C127" s="2585"/>
      <c r="D127" s="103"/>
      <c r="E127" s="2585"/>
      <c r="F127" s="2628"/>
      <c r="G127" s="2585"/>
      <c r="H127" s="2585"/>
      <c r="I127" s="2585"/>
      <c r="J127" s="1631"/>
      <c r="K127" s="1631"/>
    </row>
    <row r="128" spans="1:11">
      <c r="A128" s="103" t="str">
        <f>A4</f>
        <v>AS OF NOVEMBER 30, 2017</v>
      </c>
      <c r="B128" s="2585"/>
      <c r="C128" s="2585"/>
      <c r="D128" s="103"/>
      <c r="E128" s="2585"/>
      <c r="F128" s="2628"/>
      <c r="G128" s="2585"/>
      <c r="H128" s="2585"/>
      <c r="I128" s="2585"/>
      <c r="J128" s="1631"/>
      <c r="K128" s="1631"/>
    </row>
    <row r="129" spans="1:11">
      <c r="A129" s="2585"/>
      <c r="B129" s="2585"/>
      <c r="C129" s="2585"/>
      <c r="D129" s="2585"/>
      <c r="E129" s="2585"/>
      <c r="F129" s="2628"/>
      <c r="G129" s="2585"/>
      <c r="H129" s="2585"/>
      <c r="I129" s="2585"/>
      <c r="J129" s="1631"/>
      <c r="K129" s="1631"/>
    </row>
    <row r="130" spans="1:11">
      <c r="A130" s="103" t="s">
        <v>1172</v>
      </c>
      <c r="B130" s="2585"/>
      <c r="C130" s="2585"/>
      <c r="D130" s="103"/>
      <c r="E130" s="2585"/>
      <c r="F130" s="2628"/>
      <c r="G130" s="2585"/>
      <c r="H130" s="2585"/>
      <c r="I130" s="2585"/>
      <c r="J130" s="1631"/>
      <c r="K130" s="1631"/>
    </row>
    <row r="131" spans="1:11">
      <c r="A131" s="2569" t="s">
        <v>1799</v>
      </c>
      <c r="B131" s="2585"/>
      <c r="C131" s="2585"/>
      <c r="D131" s="103"/>
      <c r="E131" s="2585"/>
      <c r="F131" s="2628"/>
      <c r="G131" s="2585"/>
      <c r="H131" s="2585"/>
      <c r="I131" s="2585"/>
      <c r="J131" s="1631"/>
      <c r="K131" s="1631"/>
    </row>
    <row r="132" spans="1:11">
      <c r="A132" s="2638"/>
      <c r="B132" s="1541"/>
      <c r="C132" s="1541"/>
      <c r="D132" s="1541"/>
      <c r="E132" s="1541"/>
      <c r="F132" s="2629"/>
      <c r="G132" s="1541"/>
      <c r="H132" s="1541"/>
      <c r="I132" s="1541"/>
      <c r="J132" s="1631"/>
      <c r="K132" s="1631"/>
    </row>
    <row r="133" spans="1:11">
      <c r="A133" s="2638"/>
      <c r="B133" s="1541"/>
      <c r="C133" s="1541"/>
      <c r="D133" s="1541"/>
      <c r="E133" s="1541"/>
      <c r="F133" s="2629"/>
      <c r="G133" s="1541"/>
      <c r="H133" s="2619" t="str">
        <f>H10</f>
        <v>SCHEDULE B-2.1</v>
      </c>
      <c r="I133" s="1541"/>
      <c r="J133" s="1631"/>
      <c r="K133" s="1631"/>
    </row>
    <row r="134" spans="1:11">
      <c r="A134" s="1506" t="str">
        <f>A10</f>
        <v>DATA: "X" BASE PERIOD   FORECASTED PERIOD</v>
      </c>
      <c r="B134" s="1541"/>
      <c r="C134" s="1541"/>
      <c r="D134" s="1541"/>
      <c r="E134" s="1541"/>
      <c r="F134" s="2629"/>
      <c r="G134" s="1541"/>
      <c r="H134" s="2619" t="s">
        <v>1908</v>
      </c>
      <c r="I134" s="1541"/>
      <c r="J134" s="1631"/>
      <c r="K134" s="1631"/>
    </row>
    <row r="135" spans="1:11">
      <c r="A135" s="1506" t="str">
        <f>A11</f>
        <v xml:space="preserve">TYPE OF FILING:  "X" ORIGINAL   UPDATED    REVISED  </v>
      </c>
      <c r="B135" s="1541"/>
      <c r="C135" s="1541"/>
      <c r="D135" s="1541"/>
      <c r="E135" s="1541"/>
      <c r="F135" s="2629"/>
      <c r="G135" s="1541"/>
      <c r="H135" s="2619" t="s">
        <v>622</v>
      </c>
      <c r="I135" s="1541"/>
      <c r="J135" s="1631"/>
      <c r="K135" s="1631"/>
    </row>
    <row r="136" spans="1:11">
      <c r="A136" s="1506" t="str">
        <f>A12</f>
        <v>WORK PAPER REFERENCE NO(S).: SCHEDULE B-2.2, SCHEDULE B-2.3</v>
      </c>
      <c r="B136" s="1541"/>
      <c r="C136" s="1541"/>
      <c r="D136" s="1541"/>
      <c r="E136" s="1541"/>
      <c r="F136" s="2629"/>
      <c r="G136" s="1541"/>
      <c r="H136" s="2586" t="str">
        <f>H13</f>
        <v>R. H. PRATT / C. S. LEE</v>
      </c>
      <c r="I136" s="1541"/>
      <c r="J136" s="1631"/>
      <c r="K136" s="1631"/>
    </row>
    <row r="137" spans="1:11">
      <c r="A137" s="1541"/>
      <c r="B137" s="1541"/>
      <c r="C137" s="1541"/>
      <c r="D137" s="1541"/>
      <c r="E137" s="1541"/>
      <c r="F137" s="2629"/>
      <c r="G137" s="1541"/>
      <c r="H137" s="1541"/>
      <c r="I137" s="1541"/>
      <c r="J137" s="1631"/>
      <c r="K137" s="1631"/>
    </row>
    <row r="138" spans="1:11">
      <c r="A138" s="1541"/>
      <c r="B138" s="1541"/>
      <c r="C138" s="1541"/>
      <c r="D138" s="1541"/>
      <c r="E138" s="1541"/>
      <c r="F138" s="2629"/>
      <c r="G138" s="1541"/>
      <c r="H138" s="1541"/>
      <c r="I138" s="1541"/>
      <c r="J138" s="1631"/>
      <c r="K138" s="1631"/>
    </row>
    <row r="139" spans="1:11">
      <c r="A139" s="1541"/>
      <c r="B139" s="1541"/>
      <c r="C139" s="1541"/>
      <c r="D139" s="1541"/>
      <c r="E139" s="1541"/>
      <c r="F139" s="2629"/>
      <c r="G139" s="1541"/>
      <c r="H139" s="1541"/>
      <c r="I139" s="1541"/>
      <c r="J139" s="1631"/>
      <c r="K139" s="1631"/>
    </row>
    <row r="140" spans="1:11">
      <c r="A140" s="1621"/>
      <c r="B140" s="2679"/>
      <c r="C140" s="2678"/>
      <c r="D140" s="1621"/>
      <c r="E140" s="1621"/>
      <c r="F140" s="2677"/>
      <c r="G140" s="1621"/>
      <c r="H140" s="1621"/>
      <c r="I140" s="1621"/>
      <c r="J140" s="1631"/>
      <c r="K140" s="1631"/>
    </row>
    <row r="141" spans="1:11">
      <c r="A141" s="89"/>
      <c r="B141" s="95" t="s">
        <v>943</v>
      </c>
      <c r="C141" s="95" t="s">
        <v>1750</v>
      </c>
      <c r="D141" s="89"/>
      <c r="E141" s="78"/>
      <c r="F141" s="93"/>
      <c r="G141" s="89"/>
      <c r="H141" s="89"/>
      <c r="I141" s="89"/>
      <c r="J141" s="1631"/>
      <c r="K141" s="1631"/>
    </row>
    <row r="142" spans="1:11">
      <c r="A142" s="1505" t="s">
        <v>1240</v>
      </c>
      <c r="B142" s="1505" t="s">
        <v>1164</v>
      </c>
      <c r="C142" s="1505" t="s">
        <v>1164</v>
      </c>
      <c r="D142" s="1541"/>
      <c r="E142" s="90" t="s">
        <v>1117</v>
      </c>
      <c r="F142" s="2630" t="s">
        <v>802</v>
      </c>
      <c r="G142" s="1505" t="s">
        <v>802</v>
      </c>
      <c r="H142" s="1541"/>
      <c r="I142" s="1505" t="s">
        <v>574</v>
      </c>
      <c r="J142" s="1631"/>
      <c r="K142" s="1631"/>
    </row>
    <row r="143" spans="1:11">
      <c r="A143" s="1505" t="s">
        <v>1241</v>
      </c>
      <c r="B143" s="1505" t="s">
        <v>1241</v>
      </c>
      <c r="C143" s="1505" t="s">
        <v>1241</v>
      </c>
      <c r="D143" s="1505" t="s">
        <v>1165</v>
      </c>
      <c r="E143" s="90" t="s">
        <v>1120</v>
      </c>
      <c r="F143" s="2631" t="s">
        <v>363</v>
      </c>
      <c r="G143" s="90" t="s">
        <v>1929</v>
      </c>
      <c r="H143" s="90" t="s">
        <v>573</v>
      </c>
      <c r="I143" s="90" t="s">
        <v>1449</v>
      </c>
      <c r="J143" s="1631"/>
      <c r="K143" s="1631"/>
    </row>
    <row r="144" spans="1:11">
      <c r="A144" s="1505"/>
      <c r="B144" s="1505"/>
      <c r="C144" s="1505"/>
      <c r="D144" s="1505"/>
      <c r="E144" s="2621"/>
      <c r="F144" s="2633"/>
      <c r="G144" s="2621"/>
      <c r="H144" s="2621"/>
      <c r="I144" s="2621"/>
      <c r="J144" s="1631"/>
      <c r="K144" s="1631"/>
    </row>
    <row r="145" spans="1:11">
      <c r="A145" s="1621"/>
      <c r="B145" s="1621"/>
      <c r="C145" s="1621"/>
      <c r="D145" s="1621"/>
      <c r="E145" s="2581" t="s">
        <v>1705</v>
      </c>
      <c r="F145" s="2629"/>
      <c r="G145" s="1505" t="s">
        <v>1705</v>
      </c>
      <c r="H145" s="1505" t="s">
        <v>1705</v>
      </c>
      <c r="I145" s="1505" t="s">
        <v>1705</v>
      </c>
      <c r="J145" s="1631"/>
      <c r="K145" s="1631"/>
    </row>
    <row r="146" spans="1:11">
      <c r="A146" s="1505" t="s">
        <v>529</v>
      </c>
      <c r="B146" s="1541"/>
      <c r="C146" s="1541"/>
      <c r="D146" s="1541"/>
      <c r="E146" s="1631"/>
      <c r="F146" s="2635"/>
      <c r="G146" s="1631"/>
      <c r="H146" s="1631"/>
      <c r="I146" s="1631"/>
      <c r="J146" s="1631"/>
      <c r="K146" s="1631"/>
    </row>
    <row r="147" spans="1:11">
      <c r="A147" s="1505">
        <v>1</v>
      </c>
      <c r="B147" s="1505">
        <v>360</v>
      </c>
      <c r="C147" s="1505">
        <v>3600</v>
      </c>
      <c r="D147" s="1506" t="s">
        <v>849</v>
      </c>
      <c r="E147" s="96">
        <f>'SCH B-2.3'!K147</f>
        <v>6821750</v>
      </c>
      <c r="F147" s="1616">
        <v>1</v>
      </c>
      <c r="G147" s="1539">
        <f t="shared" ref="G147:G171" si="6">ROUND((E147*F147),0)</f>
        <v>6821750</v>
      </c>
      <c r="H147" s="2639"/>
      <c r="I147" s="1539">
        <f t="shared" ref="I147:I171" si="7">G147+H147</f>
        <v>6821750</v>
      </c>
      <c r="J147" s="1631"/>
      <c r="K147" s="1631"/>
    </row>
    <row r="148" spans="1:11">
      <c r="A148" s="1505">
        <v>2</v>
      </c>
      <c r="B148" s="1505">
        <v>360</v>
      </c>
      <c r="C148" s="1505">
        <v>3601</v>
      </c>
      <c r="D148" s="1506" t="s">
        <v>1168</v>
      </c>
      <c r="E148" s="96">
        <f>'SCH B-2.3'!K148</f>
        <v>6441140</v>
      </c>
      <c r="F148" s="1616">
        <v>1</v>
      </c>
      <c r="G148" s="1539">
        <f t="shared" si="6"/>
        <v>6441140</v>
      </c>
      <c r="H148" s="2639"/>
      <c r="I148" s="1539">
        <f t="shared" si="7"/>
        <v>6441140</v>
      </c>
      <c r="J148" s="1631"/>
      <c r="K148" s="1631"/>
    </row>
    <row r="149" spans="1:11">
      <c r="A149" s="1505">
        <v>3</v>
      </c>
      <c r="B149" s="1505">
        <v>361</v>
      </c>
      <c r="C149" s="1505">
        <v>3610</v>
      </c>
      <c r="D149" s="1506" t="s">
        <v>1170</v>
      </c>
      <c r="E149" s="96">
        <f>'SCH B-2.3'!K149</f>
        <v>1402409</v>
      </c>
      <c r="F149" s="1616">
        <v>1</v>
      </c>
      <c r="G149" s="1539">
        <f t="shared" si="6"/>
        <v>1402409</v>
      </c>
      <c r="H149" s="2639"/>
      <c r="I149" s="1539">
        <f t="shared" si="7"/>
        <v>1402409</v>
      </c>
      <c r="J149" s="1631"/>
      <c r="K149" s="1631"/>
    </row>
    <row r="150" spans="1:11">
      <c r="A150" s="1505">
        <v>4</v>
      </c>
      <c r="B150" s="1505">
        <v>362</v>
      </c>
      <c r="C150" s="1505">
        <v>3620</v>
      </c>
      <c r="D150" s="1506" t="s">
        <v>1721</v>
      </c>
      <c r="E150" s="96">
        <f>'SCH B-2.3'!K150</f>
        <v>37395698</v>
      </c>
      <c r="F150" s="1616">
        <v>1</v>
      </c>
      <c r="G150" s="1539">
        <f t="shared" si="6"/>
        <v>37395698</v>
      </c>
      <c r="H150" s="2639"/>
      <c r="I150" s="1539">
        <f t="shared" si="7"/>
        <v>37395698</v>
      </c>
      <c r="J150" s="1631"/>
      <c r="K150" s="1631"/>
    </row>
    <row r="151" spans="1:11">
      <c r="A151" s="1505">
        <v>5</v>
      </c>
      <c r="B151" s="1505">
        <v>362</v>
      </c>
      <c r="C151" s="1505">
        <v>3622</v>
      </c>
      <c r="D151" s="1506" t="s">
        <v>2927</v>
      </c>
      <c r="E151" s="96">
        <f>'SCH B-2.3'!K151</f>
        <v>25229057</v>
      </c>
      <c r="F151" s="1616">
        <v>1</v>
      </c>
      <c r="G151" s="1539">
        <f t="shared" si="6"/>
        <v>25229057</v>
      </c>
      <c r="H151" s="2639"/>
      <c r="I151" s="1539">
        <f t="shared" si="7"/>
        <v>25229057</v>
      </c>
      <c r="J151" s="1631"/>
      <c r="K151" s="1631"/>
    </row>
    <row r="152" spans="1:11">
      <c r="A152" s="1505">
        <v>6</v>
      </c>
      <c r="B152" s="1505">
        <v>364</v>
      </c>
      <c r="C152" s="1505">
        <v>3640</v>
      </c>
      <c r="D152" s="1506" t="s">
        <v>1724</v>
      </c>
      <c r="E152" s="96">
        <f>'SCH B-2.3'!K152</f>
        <v>57115882</v>
      </c>
      <c r="F152" s="1616">
        <v>1</v>
      </c>
      <c r="G152" s="1539">
        <f t="shared" si="6"/>
        <v>57115882</v>
      </c>
      <c r="H152" s="2639"/>
      <c r="I152" s="1539">
        <f t="shared" si="7"/>
        <v>57115882</v>
      </c>
      <c r="J152" s="1631"/>
      <c r="K152" s="1631"/>
    </row>
    <row r="153" spans="1:11">
      <c r="A153" s="1505">
        <v>7</v>
      </c>
      <c r="B153" s="1505">
        <v>365</v>
      </c>
      <c r="C153" s="1505">
        <v>3650</v>
      </c>
      <c r="D153" s="1506" t="s">
        <v>1723</v>
      </c>
      <c r="E153" s="96">
        <f>'SCH B-2.3'!K153</f>
        <v>116315018</v>
      </c>
      <c r="F153" s="1616">
        <v>1</v>
      </c>
      <c r="G153" s="1539">
        <f t="shared" si="6"/>
        <v>116315018</v>
      </c>
      <c r="H153" s="2639"/>
      <c r="I153" s="1539">
        <f t="shared" si="7"/>
        <v>116315018</v>
      </c>
      <c r="J153" s="1631"/>
      <c r="K153" s="1631"/>
    </row>
    <row r="154" spans="1:11">
      <c r="A154" s="1505">
        <v>8</v>
      </c>
      <c r="B154" s="1505">
        <v>365</v>
      </c>
      <c r="C154" s="1505">
        <v>3651</v>
      </c>
      <c r="D154" s="1506" t="s">
        <v>2751</v>
      </c>
      <c r="E154" s="96">
        <f>'SCH B-2.3'!K154</f>
        <v>1864393</v>
      </c>
      <c r="F154" s="1616">
        <v>1</v>
      </c>
      <c r="G154" s="1539">
        <f t="shared" si="6"/>
        <v>1864393</v>
      </c>
      <c r="H154" s="2639"/>
      <c r="I154" s="1539">
        <f t="shared" si="7"/>
        <v>1864393</v>
      </c>
      <c r="J154" s="1631"/>
      <c r="K154" s="1631"/>
    </row>
    <row r="155" spans="1:11">
      <c r="A155" s="1505">
        <v>9</v>
      </c>
      <c r="B155" s="1505">
        <v>366</v>
      </c>
      <c r="C155" s="1505">
        <v>3660</v>
      </c>
      <c r="D155" s="1506" t="s">
        <v>1725</v>
      </c>
      <c r="E155" s="96">
        <f>'SCH B-2.3'!K155</f>
        <v>19191988</v>
      </c>
      <c r="F155" s="1616">
        <v>1</v>
      </c>
      <c r="G155" s="1539">
        <f t="shared" si="6"/>
        <v>19191988</v>
      </c>
      <c r="H155" s="2639"/>
      <c r="I155" s="1539">
        <f t="shared" si="7"/>
        <v>19191988</v>
      </c>
      <c r="J155" s="1631"/>
      <c r="K155" s="1631"/>
    </row>
    <row r="156" spans="1:11">
      <c r="A156" s="1505">
        <v>10</v>
      </c>
      <c r="B156" s="1505">
        <v>367</v>
      </c>
      <c r="C156" s="1505">
        <v>3670</v>
      </c>
      <c r="D156" s="1506" t="s">
        <v>638</v>
      </c>
      <c r="E156" s="96">
        <f>'SCH B-2.3'!K156</f>
        <v>59755437</v>
      </c>
      <c r="F156" s="1616">
        <v>1</v>
      </c>
      <c r="G156" s="1539">
        <f t="shared" si="6"/>
        <v>59755437</v>
      </c>
      <c r="H156" s="2639"/>
      <c r="I156" s="1539">
        <f t="shared" si="7"/>
        <v>59755437</v>
      </c>
      <c r="J156" s="1631"/>
      <c r="K156" s="1631"/>
    </row>
    <row r="157" spans="1:11">
      <c r="A157" s="1505">
        <v>11</v>
      </c>
      <c r="B157" s="1505">
        <v>368</v>
      </c>
      <c r="C157" s="1505">
        <v>3680</v>
      </c>
      <c r="D157" s="1506" t="s">
        <v>639</v>
      </c>
      <c r="E157" s="96">
        <f>'SCH B-2.3'!K157</f>
        <v>56217572</v>
      </c>
      <c r="F157" s="1616">
        <v>1</v>
      </c>
      <c r="G157" s="1539">
        <f t="shared" si="6"/>
        <v>56217572</v>
      </c>
      <c r="H157" s="2639"/>
      <c r="I157" s="1539">
        <f t="shared" si="7"/>
        <v>56217572</v>
      </c>
      <c r="J157" s="1631"/>
      <c r="K157" s="1631"/>
    </row>
    <row r="158" spans="1:11">
      <c r="A158" s="1505">
        <v>12</v>
      </c>
      <c r="B158" s="1505">
        <v>368</v>
      </c>
      <c r="C158" s="1505">
        <v>3682</v>
      </c>
      <c r="D158" s="1506" t="s">
        <v>640</v>
      </c>
      <c r="E158" s="96">
        <f>'SCH B-2.3'!K158</f>
        <v>273661</v>
      </c>
      <c r="F158" s="1616">
        <v>1</v>
      </c>
      <c r="G158" s="1539">
        <f t="shared" si="6"/>
        <v>273661</v>
      </c>
      <c r="H158" s="2639"/>
      <c r="I158" s="1539">
        <f t="shared" si="7"/>
        <v>273661</v>
      </c>
      <c r="J158" s="1631"/>
      <c r="K158" s="1631"/>
    </row>
    <row r="159" spans="1:11">
      <c r="A159" s="1505">
        <v>13</v>
      </c>
      <c r="B159" s="1505">
        <v>369</v>
      </c>
      <c r="C159" s="1505">
        <v>3691</v>
      </c>
      <c r="D159" s="1506" t="s">
        <v>641</v>
      </c>
      <c r="E159" s="96">
        <f>'SCH B-2.3'!K159</f>
        <v>2393707</v>
      </c>
      <c r="F159" s="1616">
        <v>1</v>
      </c>
      <c r="G159" s="1539">
        <f t="shared" si="6"/>
        <v>2393707</v>
      </c>
      <c r="H159" s="2639"/>
      <c r="I159" s="1539">
        <f t="shared" si="7"/>
        <v>2393707</v>
      </c>
      <c r="J159" s="1631"/>
      <c r="K159" s="1631"/>
    </row>
    <row r="160" spans="1:11">
      <c r="A160" s="1505">
        <v>14</v>
      </c>
      <c r="B160" s="1505">
        <v>369</v>
      </c>
      <c r="C160" s="1505">
        <v>3692</v>
      </c>
      <c r="D160" s="1506" t="s">
        <v>642</v>
      </c>
      <c r="E160" s="96">
        <f>'SCH B-2.3'!K160</f>
        <v>15833643</v>
      </c>
      <c r="F160" s="1616">
        <v>1</v>
      </c>
      <c r="G160" s="1539">
        <f t="shared" si="6"/>
        <v>15833643</v>
      </c>
      <c r="H160" s="2639"/>
      <c r="I160" s="1539">
        <f t="shared" si="7"/>
        <v>15833643</v>
      </c>
      <c r="J160" s="1631"/>
      <c r="K160" s="1631"/>
    </row>
    <row r="161" spans="1:11">
      <c r="A161" s="1505">
        <v>15</v>
      </c>
      <c r="B161" s="1505">
        <v>370</v>
      </c>
      <c r="C161" s="1505">
        <v>3700</v>
      </c>
      <c r="D161" s="1506" t="s">
        <v>2539</v>
      </c>
      <c r="E161" s="96">
        <f>'SCH B-2.3'!K161</f>
        <v>9086835</v>
      </c>
      <c r="F161" s="1616">
        <v>1</v>
      </c>
      <c r="G161" s="1539">
        <f t="shared" si="6"/>
        <v>9086835</v>
      </c>
      <c r="H161" s="2639">
        <f>'SCH B-2.2'!G26</f>
        <v>-7980829</v>
      </c>
      <c r="I161" s="1539">
        <f t="shared" si="7"/>
        <v>1106006</v>
      </c>
      <c r="J161" s="1631"/>
      <c r="K161" s="1631"/>
    </row>
    <row r="162" spans="1:11">
      <c r="A162" s="1505">
        <v>16</v>
      </c>
      <c r="B162" s="1505">
        <v>370</v>
      </c>
      <c r="C162" s="1505">
        <v>3700</v>
      </c>
      <c r="D162" s="1506" t="s">
        <v>2749</v>
      </c>
      <c r="E162" s="96">
        <f>'SCH B-2.3'!K162</f>
        <v>714387</v>
      </c>
      <c r="F162" s="1616">
        <v>1</v>
      </c>
      <c r="G162" s="1539">
        <f t="shared" si="6"/>
        <v>714387</v>
      </c>
      <c r="H162" s="2639"/>
      <c r="I162" s="1539">
        <f t="shared" si="7"/>
        <v>714387</v>
      </c>
      <c r="J162" s="1631"/>
      <c r="K162" s="1631"/>
    </row>
    <row r="163" spans="1:11">
      <c r="A163" s="1505">
        <v>17</v>
      </c>
      <c r="B163" s="1505">
        <v>370</v>
      </c>
      <c r="C163" s="1505">
        <v>3701</v>
      </c>
      <c r="D163" s="1506" t="s">
        <v>376</v>
      </c>
      <c r="E163" s="96">
        <f>'SCH B-2.3'!K163</f>
        <v>2619513</v>
      </c>
      <c r="F163" s="1616">
        <v>1</v>
      </c>
      <c r="G163" s="1539">
        <f t="shared" si="6"/>
        <v>2619513</v>
      </c>
      <c r="H163" s="2639">
        <f>'SCH B-2.2'!G27</f>
        <v>-2619513</v>
      </c>
      <c r="I163" s="1539">
        <f t="shared" si="7"/>
        <v>0</v>
      </c>
      <c r="J163" s="1631"/>
      <c r="K163" s="1631"/>
    </row>
    <row r="164" spans="1:11">
      <c r="A164" s="1505">
        <v>18</v>
      </c>
      <c r="B164" s="1505">
        <v>370</v>
      </c>
      <c r="C164" s="1505">
        <v>3702</v>
      </c>
      <c r="D164" s="1506" t="s">
        <v>2748</v>
      </c>
      <c r="E164" s="96">
        <f>'SCH B-2.3'!K164</f>
        <v>5118529</v>
      </c>
      <c r="F164" s="1616">
        <v>1</v>
      </c>
      <c r="G164" s="1539">
        <f t="shared" si="6"/>
        <v>5118529</v>
      </c>
      <c r="H164" s="2639"/>
      <c r="I164" s="1539">
        <f t="shared" si="7"/>
        <v>5118529</v>
      </c>
      <c r="J164" s="1631"/>
      <c r="K164" s="1631"/>
    </row>
    <row r="165" spans="1:11">
      <c r="A165" s="1505">
        <v>19</v>
      </c>
      <c r="B165" s="1505">
        <v>371</v>
      </c>
      <c r="C165" s="1505" t="s">
        <v>2297</v>
      </c>
      <c r="D165" s="1506" t="s">
        <v>2298</v>
      </c>
      <c r="E165" s="96">
        <f>'SCH B-2.3'!K165</f>
        <v>421102</v>
      </c>
      <c r="F165" s="1616">
        <v>1</v>
      </c>
      <c r="G165" s="1539">
        <f t="shared" si="6"/>
        <v>421102</v>
      </c>
      <c r="H165" s="2639"/>
      <c r="I165" s="1539">
        <f t="shared" si="7"/>
        <v>421102</v>
      </c>
      <c r="J165" s="1631"/>
      <c r="K165" s="1631"/>
    </row>
    <row r="166" spans="1:11">
      <c r="A166" s="1505">
        <v>20</v>
      </c>
      <c r="B166" s="1505">
        <v>372</v>
      </c>
      <c r="C166" s="1505">
        <v>3720</v>
      </c>
      <c r="D166" s="1506" t="s">
        <v>643</v>
      </c>
      <c r="E166" s="96">
        <f>'SCH B-2.3'!K166</f>
        <v>9647</v>
      </c>
      <c r="F166" s="1616">
        <v>1</v>
      </c>
      <c r="G166" s="1539">
        <f t="shared" si="6"/>
        <v>9647</v>
      </c>
      <c r="H166" s="2639"/>
      <c r="I166" s="1539">
        <f t="shared" si="7"/>
        <v>9647</v>
      </c>
      <c r="J166" s="1631"/>
      <c r="K166" s="1631"/>
    </row>
    <row r="167" spans="1:11">
      <c r="A167" s="1505">
        <v>21</v>
      </c>
      <c r="B167" s="1505">
        <v>373</v>
      </c>
      <c r="C167" s="1505">
        <v>3731</v>
      </c>
      <c r="D167" s="1506" t="s">
        <v>771</v>
      </c>
      <c r="E167" s="96">
        <f>'SCH B-2.3'!K167</f>
        <v>2676279</v>
      </c>
      <c r="F167" s="1616">
        <v>1</v>
      </c>
      <c r="G167" s="1539">
        <f t="shared" si="6"/>
        <v>2676279</v>
      </c>
      <c r="H167" s="1539"/>
      <c r="I167" s="1539">
        <f t="shared" si="7"/>
        <v>2676279</v>
      </c>
      <c r="J167" s="1631"/>
      <c r="K167" s="1631"/>
    </row>
    <row r="168" spans="1:11">
      <c r="A168" s="1505">
        <v>22</v>
      </c>
      <c r="B168" s="1505">
        <v>373</v>
      </c>
      <c r="C168" s="1505">
        <v>3732</v>
      </c>
      <c r="D168" s="1506" t="s">
        <v>772</v>
      </c>
      <c r="E168" s="96">
        <f>'SCH B-2.3'!K168</f>
        <v>3360750</v>
      </c>
      <c r="F168" s="1616">
        <v>1</v>
      </c>
      <c r="G168" s="1539">
        <f t="shared" si="6"/>
        <v>3360750</v>
      </c>
      <c r="H168" s="1539"/>
      <c r="I168" s="1539">
        <f t="shared" si="7"/>
        <v>3360750</v>
      </c>
      <c r="J168" s="1631"/>
      <c r="K168" s="1631"/>
    </row>
    <row r="169" spans="1:11">
      <c r="A169" s="1505">
        <v>23</v>
      </c>
      <c r="B169" s="1505">
        <v>373</v>
      </c>
      <c r="C169" s="1505">
        <v>3733</v>
      </c>
      <c r="D169" s="1506" t="s">
        <v>773</v>
      </c>
      <c r="E169" s="96">
        <f>'SCH B-2.3'!K169</f>
        <v>1593747</v>
      </c>
      <c r="F169" s="1616">
        <v>1</v>
      </c>
      <c r="G169" s="1539">
        <f t="shared" si="6"/>
        <v>1593747</v>
      </c>
      <c r="H169" s="1539">
        <f>'SCH B-2.2'!G24</f>
        <v>-1593747</v>
      </c>
      <c r="I169" s="1539">
        <f t="shared" si="7"/>
        <v>0</v>
      </c>
      <c r="J169" s="1631"/>
      <c r="K169" s="1631"/>
    </row>
    <row r="170" spans="1:11">
      <c r="A170" s="1505">
        <v>24</v>
      </c>
      <c r="B170" s="1505">
        <v>373</v>
      </c>
      <c r="C170" s="1505">
        <v>3734</v>
      </c>
      <c r="D170" s="1506" t="s">
        <v>2288</v>
      </c>
      <c r="E170" s="96">
        <f>'SCH B-2.3'!K170</f>
        <v>2352213</v>
      </c>
      <c r="F170" s="1616">
        <v>1</v>
      </c>
      <c r="G170" s="1539">
        <f t="shared" si="6"/>
        <v>2352213</v>
      </c>
      <c r="H170" s="1539">
        <f>'SCH B-2.2'!G25</f>
        <v>-2352213</v>
      </c>
      <c r="I170" s="1539">
        <f t="shared" si="7"/>
        <v>0</v>
      </c>
      <c r="J170" s="1631"/>
      <c r="K170" s="1631"/>
    </row>
    <row r="171" spans="1:11">
      <c r="A171" s="1505">
        <v>25</v>
      </c>
      <c r="B171" s="1506"/>
      <c r="C171" s="1506"/>
      <c r="D171" s="1506" t="s">
        <v>1483</v>
      </c>
      <c r="E171" s="96">
        <f>'SCH B-2.3'!K171</f>
        <v>12913092</v>
      </c>
      <c r="F171" s="1616">
        <v>1</v>
      </c>
      <c r="G171" s="1539">
        <f t="shared" si="6"/>
        <v>12913092</v>
      </c>
      <c r="H171" s="2639"/>
      <c r="I171" s="1539">
        <f t="shared" si="7"/>
        <v>12913092</v>
      </c>
      <c r="J171" s="1631"/>
      <c r="K171" s="1631"/>
    </row>
    <row r="172" spans="1:11">
      <c r="A172" s="1505"/>
      <c r="B172" s="1506"/>
      <c r="C172" s="1506"/>
      <c r="D172" s="1506"/>
      <c r="E172" s="96"/>
      <c r="F172" s="1538"/>
      <c r="G172" s="1539"/>
      <c r="H172" s="2619"/>
      <c r="I172" s="1539"/>
      <c r="J172" s="1631"/>
      <c r="K172" s="1631"/>
    </row>
    <row r="173" spans="1:11">
      <c r="A173" s="1541"/>
      <c r="B173" s="1541"/>
      <c r="C173" s="1541"/>
      <c r="D173" s="1541"/>
      <c r="E173" s="1539"/>
      <c r="F173" s="1538"/>
      <c r="G173" s="1539"/>
      <c r="H173" s="1539"/>
      <c r="I173" s="1539"/>
      <c r="J173" s="1631"/>
      <c r="K173" s="1631"/>
    </row>
    <row r="174" spans="1:11">
      <c r="A174" s="1621"/>
      <c r="B174" s="1621"/>
      <c r="C174" s="1621"/>
      <c r="D174" s="1621"/>
      <c r="E174" s="1622"/>
      <c r="F174" s="1623"/>
      <c r="G174" s="1622"/>
      <c r="H174" s="1622"/>
      <c r="I174" s="1622"/>
      <c r="J174" s="1631"/>
      <c r="K174" s="1631"/>
    </row>
    <row r="175" spans="1:11">
      <c r="A175" s="1505">
        <v>26</v>
      </c>
      <c r="B175" s="1541"/>
      <c r="C175" s="1541"/>
      <c r="D175" s="1506" t="s">
        <v>1271</v>
      </c>
      <c r="E175" s="1539">
        <f>SUM(E147:E171)</f>
        <v>447117449</v>
      </c>
      <c r="F175" s="1538"/>
      <c r="G175" s="1539">
        <f>SUM(G147:G171)</f>
        <v>447117449</v>
      </c>
      <c r="H175" s="1539">
        <f>SUM(H147:H171)</f>
        <v>-14546302</v>
      </c>
      <c r="I175" s="1539">
        <f>SUM(I147:I171)</f>
        <v>432571147</v>
      </c>
      <c r="J175" s="1631"/>
      <c r="K175" s="2682" t="str">
        <f>IF(E175='SCH B-2.3'!K175,"BALANCED","ERROR")</f>
        <v>BALANCED</v>
      </c>
    </row>
    <row r="176" spans="1:11">
      <c r="A176" s="1541"/>
      <c r="B176" s="1541"/>
      <c r="C176" s="1541"/>
      <c r="D176" s="1541"/>
      <c r="E176" s="1539"/>
      <c r="F176" s="1538"/>
      <c r="G176" s="1539"/>
      <c r="H176" s="1539"/>
      <c r="I176" s="1539"/>
      <c r="J176" s="1631"/>
      <c r="K176" s="1631"/>
    </row>
    <row r="177" spans="1:11">
      <c r="A177" s="1621"/>
      <c r="B177" s="1621"/>
      <c r="C177" s="1621"/>
      <c r="D177" s="1621"/>
      <c r="E177" s="1622"/>
      <c r="F177" s="1623"/>
      <c r="G177" s="1622"/>
      <c r="H177" s="1622"/>
      <c r="I177" s="1622"/>
      <c r="J177" s="1631"/>
      <c r="K177" s="1631"/>
    </row>
    <row r="178" spans="1:11">
      <c r="A178" s="1541"/>
      <c r="B178" s="1541"/>
      <c r="C178" s="1541"/>
      <c r="D178" s="1541"/>
      <c r="E178" s="1539"/>
      <c r="F178" s="1538"/>
      <c r="G178" s="1539"/>
      <c r="H178" s="1539"/>
      <c r="I178" s="1539"/>
      <c r="J178" s="1631"/>
      <c r="K178" s="1631"/>
    </row>
    <row r="179" spans="1:11">
      <c r="A179" s="103" t="str">
        <f>A1</f>
        <v>DUKE ENERGY KENTUCKY, INC.</v>
      </c>
      <c r="B179" s="2585"/>
      <c r="C179" s="2585"/>
      <c r="D179" s="103"/>
      <c r="E179" s="2585"/>
      <c r="F179" s="2628"/>
      <c r="G179" s="2585"/>
      <c r="H179" s="2585"/>
      <c r="I179" s="2585"/>
      <c r="J179" s="1631"/>
      <c r="K179" s="1631"/>
    </row>
    <row r="180" spans="1:11">
      <c r="A180" s="103" t="str">
        <f>A2</f>
        <v>CASE NO. 2017-00321</v>
      </c>
      <c r="B180" s="2585"/>
      <c r="C180" s="2585"/>
      <c r="D180" s="103"/>
      <c r="E180" s="2585"/>
      <c r="F180" s="2628"/>
      <c r="G180" s="2585"/>
      <c r="H180" s="2585"/>
      <c r="I180" s="2585"/>
      <c r="J180" s="1631"/>
      <c r="K180" s="1631"/>
    </row>
    <row r="181" spans="1:11">
      <c r="A181" s="103" t="str">
        <f>A3</f>
        <v>PLANT IN SERVICE BY ACCOUNTS AND SUBACCOUNTS</v>
      </c>
      <c r="B181" s="2585"/>
      <c r="C181" s="2585"/>
      <c r="D181" s="103"/>
      <c r="E181" s="2585"/>
      <c r="F181" s="2628"/>
      <c r="G181" s="2585"/>
      <c r="H181" s="2585"/>
      <c r="I181" s="2585"/>
      <c r="J181" s="1631"/>
      <c r="K181" s="1631"/>
    </row>
    <row r="182" spans="1:11">
      <c r="A182" s="103" t="str">
        <f>A4</f>
        <v>AS OF NOVEMBER 30, 2017</v>
      </c>
      <c r="B182" s="2585"/>
      <c r="C182" s="2585"/>
      <c r="D182" s="103"/>
      <c r="E182" s="2585"/>
      <c r="F182" s="2628"/>
      <c r="G182" s="2585"/>
      <c r="H182" s="2585"/>
      <c r="I182" s="2585"/>
      <c r="J182" s="1631"/>
      <c r="K182" s="1631"/>
    </row>
    <row r="183" spans="1:11">
      <c r="A183" s="2585"/>
      <c r="B183" s="2585"/>
      <c r="C183" s="2585"/>
      <c r="D183" s="2585"/>
      <c r="E183" s="2585"/>
      <c r="F183" s="2628"/>
      <c r="G183" s="2585"/>
      <c r="H183" s="2585"/>
      <c r="I183" s="2585"/>
      <c r="J183" s="1631"/>
      <c r="K183" s="1631"/>
    </row>
    <row r="184" spans="1:11">
      <c r="A184" s="103" t="s">
        <v>1272</v>
      </c>
      <c r="B184" s="2585"/>
      <c r="C184" s="2585"/>
      <c r="D184" s="103"/>
      <c r="E184" s="2585"/>
      <c r="F184" s="2628"/>
      <c r="G184" s="2585"/>
      <c r="H184" s="2585"/>
      <c r="I184" s="2585"/>
      <c r="J184" s="1631"/>
      <c r="K184" s="1631"/>
    </row>
    <row r="185" spans="1:11">
      <c r="A185" s="2569" t="s">
        <v>1799</v>
      </c>
      <c r="B185" s="2585"/>
      <c r="C185" s="2585"/>
      <c r="D185" s="103"/>
      <c r="E185" s="2585"/>
      <c r="F185" s="2628"/>
      <c r="G185" s="2585"/>
      <c r="H185" s="2585"/>
      <c r="I185" s="2585"/>
      <c r="J185" s="1631"/>
      <c r="K185" s="1631"/>
    </row>
    <row r="186" spans="1:11">
      <c r="A186" s="2638"/>
      <c r="B186" s="1541"/>
      <c r="C186" s="1541"/>
      <c r="D186" s="1541"/>
      <c r="E186" s="1541"/>
      <c r="F186" s="2629"/>
      <c r="G186" s="1541"/>
      <c r="H186" s="1541"/>
      <c r="I186" s="1541"/>
      <c r="J186" s="1631"/>
      <c r="K186" s="1631"/>
    </row>
    <row r="187" spans="1:11">
      <c r="A187" s="1506" t="str">
        <f>A10</f>
        <v>DATA: "X" BASE PERIOD   FORECASTED PERIOD</v>
      </c>
      <c r="B187" s="1541"/>
      <c r="C187" s="1541"/>
      <c r="D187" s="1541"/>
      <c r="E187" s="1541"/>
      <c r="F187" s="2629"/>
      <c r="G187" s="1541"/>
      <c r="H187" s="2619" t="str">
        <f>H10</f>
        <v>SCHEDULE B-2.1</v>
      </c>
      <c r="I187" s="1541"/>
      <c r="J187" s="1631"/>
      <c r="K187" s="1631"/>
    </row>
    <row r="188" spans="1:11">
      <c r="A188" s="1506" t="str">
        <f>A11</f>
        <v xml:space="preserve">TYPE OF FILING:  "X" ORIGINAL   UPDATED    REVISED  </v>
      </c>
      <c r="B188" s="1541"/>
      <c r="C188" s="1541"/>
      <c r="D188" s="1541"/>
      <c r="E188" s="1541"/>
      <c r="F188" s="2629"/>
      <c r="G188" s="1541"/>
      <c r="H188" s="2619" t="s">
        <v>1907</v>
      </c>
      <c r="I188" s="1541"/>
      <c r="J188" s="1631"/>
      <c r="K188" s="1631"/>
    </row>
    <row r="189" spans="1:11">
      <c r="A189" s="1506" t="str">
        <f>A12</f>
        <v>WORK PAPER REFERENCE NO(S).: SCHEDULE B-2.2, SCHEDULE B-2.3</v>
      </c>
      <c r="B189" s="1541"/>
      <c r="C189" s="1541"/>
      <c r="D189" s="1541"/>
      <c r="E189" s="1541"/>
      <c r="F189" s="2629"/>
      <c r="G189" s="1541"/>
      <c r="H189" s="2619" t="s">
        <v>622</v>
      </c>
      <c r="I189" s="1541"/>
      <c r="J189" s="1631"/>
      <c r="K189" s="1631"/>
    </row>
    <row r="190" spans="1:11">
      <c r="A190" s="1541"/>
      <c r="B190" s="1541"/>
      <c r="C190" s="1541"/>
      <c r="D190" s="1541"/>
      <c r="E190" s="1541"/>
      <c r="F190" s="2629"/>
      <c r="G190" s="1541"/>
      <c r="H190" s="2586" t="str">
        <f>H13</f>
        <v>R. H. PRATT / C. S. LEE</v>
      </c>
      <c r="I190" s="1541"/>
      <c r="J190" s="1631"/>
      <c r="K190" s="1631"/>
    </row>
    <row r="191" spans="1:11">
      <c r="A191" s="1541"/>
      <c r="B191" s="1541"/>
      <c r="C191" s="1541"/>
      <c r="D191" s="1541"/>
      <c r="E191" s="1541"/>
      <c r="F191" s="2629"/>
      <c r="G191" s="1541"/>
      <c r="H191" s="1541"/>
      <c r="I191" s="1541"/>
      <c r="J191" s="1631"/>
      <c r="K191" s="1631"/>
    </row>
    <row r="192" spans="1:11">
      <c r="A192" s="1541"/>
      <c r="B192" s="1541"/>
      <c r="C192" s="1541"/>
      <c r="D192" s="1541"/>
      <c r="E192" s="1541"/>
      <c r="F192" s="2629"/>
      <c r="G192" s="1541"/>
      <c r="H192" s="1541"/>
      <c r="I192" s="1541"/>
      <c r="J192" s="1631"/>
      <c r="K192" s="1631"/>
    </row>
    <row r="193" spans="1:11">
      <c r="A193" s="1541"/>
      <c r="B193" s="2587"/>
      <c r="C193" s="1541"/>
      <c r="D193" s="1541"/>
      <c r="E193" s="1541"/>
      <c r="F193" s="2629"/>
      <c r="G193" s="1541"/>
      <c r="H193" s="1541"/>
      <c r="I193" s="1541"/>
      <c r="J193" s="1631"/>
      <c r="K193" s="1631"/>
    </row>
    <row r="194" spans="1:11">
      <c r="A194" s="1621"/>
      <c r="B194" s="95"/>
      <c r="C194" s="2678"/>
      <c r="D194" s="1621"/>
      <c r="E194" s="1621"/>
      <c r="F194" s="2677"/>
      <c r="G194" s="1621"/>
      <c r="H194" s="1621"/>
      <c r="I194" s="1621"/>
      <c r="J194" s="1631"/>
      <c r="K194" s="1631"/>
    </row>
    <row r="195" spans="1:11">
      <c r="A195" s="89"/>
      <c r="B195" s="95" t="s">
        <v>943</v>
      </c>
      <c r="C195" s="95" t="s">
        <v>1750</v>
      </c>
      <c r="D195" s="89"/>
      <c r="E195" s="78"/>
      <c r="F195" s="93"/>
      <c r="G195" s="89"/>
      <c r="H195" s="89"/>
      <c r="I195" s="89"/>
      <c r="J195" s="1631"/>
      <c r="K195" s="1631"/>
    </row>
    <row r="196" spans="1:11">
      <c r="A196" s="1505" t="s">
        <v>1240</v>
      </c>
      <c r="B196" s="1505" t="s">
        <v>1164</v>
      </c>
      <c r="C196" s="1505" t="s">
        <v>1164</v>
      </c>
      <c r="D196" s="1541"/>
      <c r="E196" s="90" t="s">
        <v>1117</v>
      </c>
      <c r="F196" s="2630" t="s">
        <v>802</v>
      </c>
      <c r="G196" s="1505" t="s">
        <v>802</v>
      </c>
      <c r="H196" s="1541"/>
      <c r="I196" s="1505" t="s">
        <v>574</v>
      </c>
      <c r="J196" s="1631"/>
      <c r="K196" s="1631"/>
    </row>
    <row r="197" spans="1:11">
      <c r="A197" s="1505" t="s">
        <v>1241</v>
      </c>
      <c r="B197" s="1505" t="s">
        <v>1241</v>
      </c>
      <c r="C197" s="1505" t="s">
        <v>1241</v>
      </c>
      <c r="D197" s="1505" t="s">
        <v>1165</v>
      </c>
      <c r="E197" s="90" t="s">
        <v>1120</v>
      </c>
      <c r="F197" s="2631" t="s">
        <v>363</v>
      </c>
      <c r="G197" s="90" t="s">
        <v>1929</v>
      </c>
      <c r="H197" s="90" t="s">
        <v>573</v>
      </c>
      <c r="I197" s="90" t="s">
        <v>1449</v>
      </c>
      <c r="J197" s="1631"/>
      <c r="K197" s="1631"/>
    </row>
    <row r="198" spans="1:11">
      <c r="A198" s="1505"/>
      <c r="B198" s="1505"/>
      <c r="C198" s="1505"/>
      <c r="D198" s="1505"/>
      <c r="E198" s="2621"/>
      <c r="F198" s="2633"/>
      <c r="G198" s="2621"/>
      <c r="H198" s="2621"/>
      <c r="I198" s="2621"/>
      <c r="J198" s="1631"/>
      <c r="K198" s="1631"/>
    </row>
    <row r="199" spans="1:11">
      <c r="A199" s="1621"/>
      <c r="B199" s="1621"/>
      <c r="C199" s="1621"/>
      <c r="D199" s="1621"/>
      <c r="E199" s="2581" t="s">
        <v>1705</v>
      </c>
      <c r="F199" s="2629"/>
      <c r="G199" s="1505" t="s">
        <v>1705</v>
      </c>
      <c r="H199" s="1505" t="s">
        <v>1705</v>
      </c>
      <c r="I199" s="1505" t="s">
        <v>1705</v>
      </c>
      <c r="J199" s="1631"/>
      <c r="K199" s="1631"/>
    </row>
    <row r="200" spans="1:11">
      <c r="A200" s="1541"/>
      <c r="B200" s="1541"/>
      <c r="C200" s="1541"/>
      <c r="D200" s="1541"/>
      <c r="E200" s="1631"/>
      <c r="F200" s="2635"/>
      <c r="G200" s="1631"/>
      <c r="H200" s="1631"/>
      <c r="I200" s="1631"/>
      <c r="J200" s="1631"/>
      <c r="K200" s="1631"/>
    </row>
    <row r="201" spans="1:11">
      <c r="A201" s="1505">
        <v>1</v>
      </c>
      <c r="B201" s="1505">
        <v>303</v>
      </c>
      <c r="C201" s="1505">
        <v>3030</v>
      </c>
      <c r="D201" s="1506" t="s">
        <v>1273</v>
      </c>
      <c r="E201" s="1539">
        <f>'SCH B-2.3'!K201</f>
        <v>12504384</v>
      </c>
      <c r="F201" s="1616">
        <v>1</v>
      </c>
      <c r="G201" s="1539">
        <f t="shared" ref="G201:G210" si="8">ROUND(E201*F201,0)</f>
        <v>12504384</v>
      </c>
      <c r="H201" s="1505"/>
      <c r="I201" s="1539">
        <f t="shared" ref="I201:I210" si="9">G201+H201</f>
        <v>12504384</v>
      </c>
      <c r="J201" s="1631"/>
      <c r="K201" s="1631"/>
    </row>
    <row r="202" spans="1:11">
      <c r="A202" s="1505">
        <v>2</v>
      </c>
      <c r="B202" s="1505">
        <v>390</v>
      </c>
      <c r="C202" s="1505">
        <v>3900</v>
      </c>
      <c r="D202" s="1506" t="s">
        <v>1170</v>
      </c>
      <c r="E202" s="1539">
        <f>'SCH B-2.3'!K202</f>
        <v>144984</v>
      </c>
      <c r="F202" s="1616">
        <v>1</v>
      </c>
      <c r="G202" s="1539">
        <f t="shared" si="8"/>
        <v>144984</v>
      </c>
      <c r="H202" s="1539"/>
      <c r="I202" s="1539">
        <f t="shared" si="9"/>
        <v>144984</v>
      </c>
      <c r="J202" s="1631"/>
      <c r="K202" s="1631"/>
    </row>
    <row r="203" spans="1:11">
      <c r="A203" s="1505">
        <v>3</v>
      </c>
      <c r="B203" s="1505">
        <v>391</v>
      </c>
      <c r="C203" s="1505">
        <v>3910</v>
      </c>
      <c r="D203" s="1506" t="s">
        <v>1274</v>
      </c>
      <c r="E203" s="1539">
        <f>'SCH B-2.3'!K203</f>
        <v>15317</v>
      </c>
      <c r="F203" s="1616">
        <v>1</v>
      </c>
      <c r="G203" s="1539">
        <f t="shared" si="8"/>
        <v>15317</v>
      </c>
      <c r="H203" s="2619"/>
      <c r="I203" s="1539">
        <f t="shared" si="9"/>
        <v>15317</v>
      </c>
      <c r="J203" s="1631"/>
      <c r="K203" s="1631"/>
    </row>
    <row r="204" spans="1:11">
      <c r="A204" s="1505">
        <v>4</v>
      </c>
      <c r="B204" s="1505">
        <v>391</v>
      </c>
      <c r="C204" s="1505">
        <v>3911</v>
      </c>
      <c r="D204" s="1506" t="s">
        <v>2289</v>
      </c>
      <c r="E204" s="1539">
        <f>'SCH B-2.3'!K204</f>
        <v>2474271</v>
      </c>
      <c r="F204" s="1616">
        <v>1</v>
      </c>
      <c r="G204" s="1539">
        <f t="shared" si="8"/>
        <v>2474271</v>
      </c>
      <c r="H204" s="2619"/>
      <c r="I204" s="1539">
        <f t="shared" si="9"/>
        <v>2474271</v>
      </c>
      <c r="J204" s="1631"/>
      <c r="K204" s="1631"/>
    </row>
    <row r="205" spans="1:11">
      <c r="A205" s="1505">
        <v>5</v>
      </c>
      <c r="B205" s="1505">
        <v>392</v>
      </c>
      <c r="C205" s="1505">
        <v>3920</v>
      </c>
      <c r="D205" s="1506" t="s">
        <v>2750</v>
      </c>
      <c r="E205" s="1539">
        <f>'SCH B-2.3'!K205</f>
        <v>218720</v>
      </c>
      <c r="F205" s="1616">
        <v>1</v>
      </c>
      <c r="G205" s="1539">
        <f t="shared" si="8"/>
        <v>218720</v>
      </c>
      <c r="H205" s="2619"/>
      <c r="I205" s="1539">
        <f t="shared" si="9"/>
        <v>218720</v>
      </c>
      <c r="J205" s="1631"/>
      <c r="K205" s="1631"/>
    </row>
    <row r="206" spans="1:11">
      <c r="A206" s="1505">
        <v>6</v>
      </c>
      <c r="B206" s="1505">
        <v>392</v>
      </c>
      <c r="C206" s="1505">
        <v>3921</v>
      </c>
      <c r="D206" s="1506" t="s">
        <v>1275</v>
      </c>
      <c r="E206" s="1539">
        <f>'SCH B-2.3'!K206</f>
        <v>201060</v>
      </c>
      <c r="F206" s="1616">
        <v>1</v>
      </c>
      <c r="G206" s="1539">
        <f t="shared" si="8"/>
        <v>201060</v>
      </c>
      <c r="H206" s="1539"/>
      <c r="I206" s="1539">
        <f t="shared" si="9"/>
        <v>201060</v>
      </c>
      <c r="J206" s="1631"/>
      <c r="K206" s="1631"/>
    </row>
    <row r="207" spans="1:11">
      <c r="A207" s="1505">
        <v>7</v>
      </c>
      <c r="B207" s="1505">
        <v>394</v>
      </c>
      <c r="C207" s="1505">
        <v>3940</v>
      </c>
      <c r="D207" s="1506" t="s">
        <v>774</v>
      </c>
      <c r="E207" s="1539">
        <f>'SCH B-2.3'!K207</f>
        <v>2074710</v>
      </c>
      <c r="F207" s="1616">
        <v>1</v>
      </c>
      <c r="G207" s="1539">
        <f t="shared" si="8"/>
        <v>2074710</v>
      </c>
      <c r="H207" s="2619"/>
      <c r="I207" s="1539">
        <f t="shared" si="9"/>
        <v>2074710</v>
      </c>
      <c r="J207" s="1631"/>
      <c r="K207" s="1631"/>
    </row>
    <row r="208" spans="1:11">
      <c r="A208" s="1505">
        <v>8</v>
      </c>
      <c r="B208" s="1505">
        <v>396</v>
      </c>
      <c r="C208" s="1505">
        <v>3960</v>
      </c>
      <c r="D208" s="1506" t="s">
        <v>1277</v>
      </c>
      <c r="E208" s="1539">
        <f>'SCH B-2.3'!K208</f>
        <v>11770</v>
      </c>
      <c r="F208" s="1616">
        <v>1</v>
      </c>
      <c r="G208" s="1539">
        <f t="shared" si="8"/>
        <v>11770</v>
      </c>
      <c r="H208" s="1539"/>
      <c r="I208" s="1539">
        <f t="shared" si="9"/>
        <v>11770</v>
      </c>
      <c r="J208" s="1631"/>
      <c r="K208" s="1631"/>
    </row>
    <row r="209" spans="1:11">
      <c r="A209" s="1505">
        <v>9</v>
      </c>
      <c r="B209" s="1505">
        <v>397</v>
      </c>
      <c r="C209" s="1505">
        <v>3970</v>
      </c>
      <c r="D209" s="1506" t="s">
        <v>1330</v>
      </c>
      <c r="E209" s="1539">
        <f>'SCH B-2.3'!K209</f>
        <v>2909712</v>
      </c>
      <c r="F209" s="1616">
        <v>1</v>
      </c>
      <c r="G209" s="1539">
        <f t="shared" si="8"/>
        <v>2909712</v>
      </c>
      <c r="H209" s="1539"/>
      <c r="I209" s="1539">
        <f t="shared" si="9"/>
        <v>2909712</v>
      </c>
      <c r="J209" s="1631"/>
      <c r="K209" s="1631"/>
    </row>
    <row r="210" spans="1:11">
      <c r="A210" s="1505">
        <v>10</v>
      </c>
      <c r="B210" s="1506"/>
      <c r="C210" s="1506"/>
      <c r="D210" s="1506" t="s">
        <v>1483</v>
      </c>
      <c r="E210" s="1539">
        <f>'SCH B-2.3'!K210</f>
        <v>1807792</v>
      </c>
      <c r="F210" s="1616">
        <v>1</v>
      </c>
      <c r="G210" s="1539">
        <f t="shared" si="8"/>
        <v>1807792</v>
      </c>
      <c r="H210" s="1539"/>
      <c r="I210" s="1539">
        <f t="shared" si="9"/>
        <v>1807792</v>
      </c>
      <c r="J210" s="1631"/>
      <c r="K210" s="1631"/>
    </row>
    <row r="211" spans="1:11">
      <c r="A211" s="1541"/>
      <c r="B211" s="1541"/>
      <c r="C211" s="1541"/>
      <c r="D211" s="1541"/>
      <c r="E211" s="1539"/>
      <c r="F211" s="1538"/>
      <c r="G211" s="1539"/>
      <c r="H211" s="1539"/>
      <c r="I211" s="1539"/>
      <c r="J211" s="1631"/>
      <c r="K211" s="1631"/>
    </row>
    <row r="212" spans="1:11">
      <c r="A212" s="1541"/>
      <c r="B212" s="1541"/>
      <c r="C212" s="1541"/>
      <c r="D212" s="1541"/>
      <c r="E212" s="1539"/>
      <c r="F212" s="1538"/>
      <c r="G212" s="1539"/>
      <c r="H212" s="1539"/>
      <c r="I212" s="1539"/>
      <c r="J212" s="1631"/>
      <c r="K212" s="1631"/>
    </row>
    <row r="213" spans="1:11">
      <c r="A213" s="1621"/>
      <c r="B213" s="1621"/>
      <c r="C213" s="1621"/>
      <c r="D213" s="1621"/>
      <c r="E213" s="1622"/>
      <c r="F213" s="1623"/>
      <c r="G213" s="1622"/>
      <c r="H213" s="1622"/>
      <c r="I213" s="1622"/>
      <c r="J213" s="1631"/>
      <c r="K213" s="1631"/>
    </row>
    <row r="214" spans="1:11">
      <c r="A214" s="1505">
        <v>11</v>
      </c>
      <c r="B214" s="1541"/>
      <c r="C214" s="1541"/>
      <c r="D214" s="1506" t="s">
        <v>1279</v>
      </c>
      <c r="E214" s="1539">
        <f>SUM(E201:E211)</f>
        <v>22362720</v>
      </c>
      <c r="F214" s="1538"/>
      <c r="G214" s="1539">
        <f>SUM(G201:G211)</f>
        <v>22362720</v>
      </c>
      <c r="H214" s="1539">
        <f>SUM(H201:H211)</f>
        <v>0</v>
      </c>
      <c r="I214" s="1539">
        <f>SUM(I201:I211)</f>
        <v>22362720</v>
      </c>
      <c r="J214" s="1631"/>
      <c r="K214" s="2682" t="str">
        <f>IF(E214='SCH B-2.3'!K214,"BALANCED","ERROR")</f>
        <v>BALANCED</v>
      </c>
    </row>
    <row r="215" spans="1:11">
      <c r="A215" s="1541"/>
      <c r="B215" s="1541"/>
      <c r="C215" s="1541"/>
      <c r="D215" s="1541"/>
      <c r="E215" s="1539"/>
      <c r="F215" s="1538"/>
      <c r="G215" s="1539"/>
      <c r="H215" s="1539"/>
      <c r="I215" s="1539"/>
      <c r="J215" s="1631"/>
      <c r="K215" s="1631"/>
    </row>
    <row r="216" spans="1:11">
      <c r="A216" s="1621"/>
      <c r="B216" s="1621"/>
      <c r="C216" s="1621"/>
      <c r="D216" s="1621"/>
      <c r="E216" s="1622"/>
      <c r="F216" s="1623"/>
      <c r="G216" s="1622"/>
      <c r="H216" s="1622"/>
      <c r="I216" s="1622"/>
      <c r="J216" s="1631"/>
      <c r="K216" s="1631"/>
    </row>
    <row r="217" spans="1:11">
      <c r="A217" s="1505">
        <v>12</v>
      </c>
      <c r="B217" s="1541"/>
      <c r="C217" s="1541"/>
      <c r="D217" s="1506" t="s">
        <v>56</v>
      </c>
      <c r="E217" s="1539">
        <f>E42+E83+E122+E175+E214</f>
        <v>1574630231</v>
      </c>
      <c r="F217" s="2629"/>
      <c r="G217" s="1539">
        <f>G42+G83+G122+G175+G214</f>
        <v>1574630231</v>
      </c>
      <c r="H217" s="1539">
        <f>H42+H83+H122+H175+H214</f>
        <v>-61132540</v>
      </c>
      <c r="I217" s="1539">
        <f>I42+I83+I122+I175+I214</f>
        <v>1513497691</v>
      </c>
      <c r="J217" s="1631"/>
      <c r="K217" s="2682" t="str">
        <f>IF(E217='SCH B-2.3'!K217,"BALANCED","ERROR")</f>
        <v>BALANCED</v>
      </c>
    </row>
    <row r="218" spans="1:11">
      <c r="A218" s="1541"/>
      <c r="B218" s="1541"/>
      <c r="C218" s="1541"/>
      <c r="D218" s="1541"/>
      <c r="E218" s="1541"/>
      <c r="F218" s="2629"/>
      <c r="G218" s="1541"/>
      <c r="H218" s="1541"/>
      <c r="I218" s="1541"/>
      <c r="J218" s="1631"/>
      <c r="K218" s="1631"/>
    </row>
    <row r="219" spans="1:11">
      <c r="A219" s="1621"/>
      <c r="B219" s="1621"/>
      <c r="C219" s="1621"/>
      <c r="D219" s="1621"/>
      <c r="E219" s="1621"/>
      <c r="F219" s="2677"/>
      <c r="G219" s="1621"/>
      <c r="H219" s="1621"/>
      <c r="I219" s="1621"/>
      <c r="J219" s="1631"/>
      <c r="K219" s="1631"/>
    </row>
    <row r="220" spans="1:11">
      <c r="A220" s="1541"/>
      <c r="B220" s="1541"/>
      <c r="C220" s="1541"/>
      <c r="D220" s="1541"/>
      <c r="E220" s="1541"/>
      <c r="F220" s="2629"/>
      <c r="G220" s="1541"/>
      <c r="H220" s="1541"/>
      <c r="I220" s="1541"/>
      <c r="J220" s="1631"/>
      <c r="K220" s="1631"/>
    </row>
    <row r="221" spans="1:11">
      <c r="A221" s="103" t="str">
        <f>A1</f>
        <v>DUKE ENERGY KENTUCKY, INC.</v>
      </c>
      <c r="B221" s="2585"/>
      <c r="C221" s="2585"/>
      <c r="D221" s="103"/>
      <c r="E221" s="2585"/>
      <c r="F221" s="2628"/>
      <c r="G221" s="2585"/>
      <c r="H221" s="2585"/>
      <c r="I221" s="2585"/>
      <c r="J221" s="1631"/>
      <c r="K221" s="1631"/>
    </row>
    <row r="222" spans="1:11">
      <c r="A222" s="103" t="str">
        <f>A2</f>
        <v>CASE NO. 2017-00321</v>
      </c>
      <c r="B222" s="2585"/>
      <c r="C222" s="2585"/>
      <c r="D222" s="103"/>
      <c r="E222" s="2585"/>
      <c r="F222" s="2628"/>
      <c r="G222" s="2585"/>
      <c r="H222" s="2585"/>
      <c r="I222" s="2585"/>
      <c r="J222" s="1631"/>
      <c r="K222" s="1631"/>
    </row>
    <row r="223" spans="1:11">
      <c r="A223" s="103" t="str">
        <f>A3</f>
        <v>PLANT IN SERVICE BY ACCOUNTS AND SUBACCOUNTS</v>
      </c>
      <c r="B223" s="2585"/>
      <c r="C223" s="2585"/>
      <c r="D223" s="103"/>
      <c r="E223" s="2585"/>
      <c r="F223" s="2628"/>
      <c r="G223" s="2585"/>
      <c r="H223" s="2585"/>
      <c r="I223" s="2585"/>
      <c r="J223" s="1631"/>
      <c r="K223" s="1631"/>
    </row>
    <row r="224" spans="1:11">
      <c r="A224" s="103" t="str">
        <f>A4</f>
        <v>AS OF NOVEMBER 30, 2017</v>
      </c>
      <c r="B224" s="2585"/>
      <c r="C224" s="2585"/>
      <c r="D224" s="103"/>
      <c r="E224" s="2585"/>
      <c r="F224" s="2628"/>
      <c r="G224" s="2585"/>
      <c r="H224" s="2585"/>
      <c r="I224" s="2585"/>
      <c r="J224" s="1631"/>
      <c r="K224" s="1631"/>
    </row>
    <row r="225" spans="1:11">
      <c r="A225" s="2585"/>
      <c r="B225" s="2585"/>
      <c r="C225" s="2585"/>
      <c r="D225" s="2585"/>
      <c r="E225" s="2585"/>
      <c r="F225" s="2628"/>
      <c r="G225" s="2585"/>
      <c r="H225" s="2585"/>
      <c r="I225" s="2585"/>
      <c r="J225" s="1631"/>
      <c r="K225" s="1631"/>
    </row>
    <row r="226" spans="1:11">
      <c r="A226" s="103" t="s">
        <v>1280</v>
      </c>
      <c r="B226" s="2585"/>
      <c r="C226" s="2585"/>
      <c r="D226" s="103"/>
      <c r="E226" s="2585"/>
      <c r="F226" s="2628"/>
      <c r="G226" s="2585"/>
      <c r="H226" s="2585"/>
      <c r="I226" s="2585"/>
      <c r="J226" s="1631"/>
      <c r="K226" s="1631"/>
    </row>
    <row r="227" spans="1:11">
      <c r="A227" s="2569" t="s">
        <v>1799</v>
      </c>
      <c r="B227" s="2585"/>
      <c r="C227" s="2585"/>
      <c r="D227" s="103"/>
      <c r="E227" s="2585"/>
      <c r="F227" s="2628"/>
      <c r="G227" s="2585"/>
      <c r="H227" s="2585"/>
      <c r="I227" s="2585"/>
      <c r="J227" s="1631"/>
      <c r="K227" s="1631"/>
    </row>
    <row r="228" spans="1:11">
      <c r="A228" s="2638"/>
      <c r="B228" s="1541"/>
      <c r="C228" s="1541"/>
      <c r="D228" s="1541"/>
      <c r="E228" s="1541"/>
      <c r="F228" s="2629"/>
      <c r="G228" s="1541"/>
      <c r="H228" s="1541"/>
      <c r="I228" s="1541"/>
      <c r="J228" s="1631"/>
      <c r="K228" s="1631"/>
    </row>
    <row r="229" spans="1:11">
      <c r="A229" s="1506" t="str">
        <f>A10</f>
        <v>DATA: "X" BASE PERIOD   FORECASTED PERIOD</v>
      </c>
      <c r="B229" s="1541"/>
      <c r="C229" s="1541"/>
      <c r="D229" s="1541"/>
      <c r="E229" s="1541"/>
      <c r="F229" s="2629"/>
      <c r="G229" s="1541"/>
      <c r="H229" s="2619" t="str">
        <f>H10</f>
        <v>SCHEDULE B-2.1</v>
      </c>
      <c r="I229" s="1541"/>
      <c r="J229" s="1631"/>
      <c r="K229" s="1631"/>
    </row>
    <row r="230" spans="1:11">
      <c r="A230" s="1506" t="str">
        <f>A11</f>
        <v xml:space="preserve">TYPE OF FILING:  "X" ORIGINAL   UPDATED    REVISED  </v>
      </c>
      <c r="B230" s="1541"/>
      <c r="C230" s="1541"/>
      <c r="D230" s="1541"/>
      <c r="E230" s="1541"/>
      <c r="F230" s="2629"/>
      <c r="G230" s="1541"/>
      <c r="H230" s="1506" t="s">
        <v>1906</v>
      </c>
      <c r="I230" s="1541"/>
      <c r="J230" s="1631"/>
      <c r="K230" s="1631"/>
    </row>
    <row r="231" spans="1:11">
      <c r="A231" s="1506" t="str">
        <f>A12</f>
        <v>WORK PAPER REFERENCE NO(S).: SCHEDULE B-2.2, SCHEDULE B-2.3</v>
      </c>
      <c r="B231" s="1541"/>
      <c r="C231" s="1541"/>
      <c r="D231" s="1541"/>
      <c r="E231" s="1541"/>
      <c r="F231" s="2629"/>
      <c r="G231" s="1541"/>
      <c r="H231" s="2619" t="s">
        <v>622</v>
      </c>
      <c r="I231" s="1541"/>
      <c r="J231" s="1631"/>
      <c r="K231" s="1631"/>
    </row>
    <row r="232" spans="1:11">
      <c r="A232" s="1541"/>
      <c r="B232" s="1541"/>
      <c r="C232" s="1541"/>
      <c r="D232" s="1541"/>
      <c r="E232" s="1541"/>
      <c r="F232" s="2629"/>
      <c r="G232" s="1541"/>
      <c r="H232" s="2586" t="str">
        <f>H13</f>
        <v>R. H. PRATT / C. S. LEE</v>
      </c>
      <c r="I232" s="1541"/>
      <c r="J232" s="1631"/>
      <c r="K232" s="1631"/>
    </row>
    <row r="233" spans="1:11">
      <c r="A233" s="1541"/>
      <c r="B233" s="1541"/>
      <c r="C233" s="1541"/>
      <c r="D233" s="1541"/>
      <c r="E233" s="1541"/>
      <c r="F233" s="2629"/>
      <c r="G233" s="1541"/>
      <c r="H233" s="1541"/>
      <c r="I233" s="1541"/>
      <c r="J233" s="1631"/>
      <c r="K233" s="1631"/>
    </row>
    <row r="234" spans="1:11">
      <c r="A234" s="1541"/>
      <c r="B234" s="1541"/>
      <c r="C234" s="1541"/>
      <c r="D234" s="1541"/>
      <c r="E234" s="1541"/>
      <c r="F234" s="2629"/>
      <c r="G234" s="1541"/>
      <c r="H234" s="1541"/>
      <c r="I234" s="1541"/>
      <c r="J234" s="1631"/>
      <c r="K234" s="1631"/>
    </row>
    <row r="235" spans="1:11">
      <c r="A235" s="1541"/>
      <c r="B235" s="1541"/>
      <c r="C235" s="1541"/>
      <c r="D235" s="1541"/>
      <c r="E235" s="1541"/>
      <c r="F235" s="2629"/>
      <c r="G235" s="1541"/>
      <c r="H235" s="1541"/>
      <c r="I235" s="1541"/>
      <c r="J235" s="1631"/>
      <c r="K235" s="1631"/>
    </row>
    <row r="236" spans="1:11">
      <c r="A236" s="1621"/>
      <c r="B236" s="2679"/>
      <c r="C236" s="2678"/>
      <c r="D236" s="1621"/>
      <c r="E236" s="1621"/>
      <c r="F236" s="2677"/>
      <c r="G236" s="1621"/>
      <c r="H236" s="1621"/>
      <c r="I236" s="1621"/>
      <c r="J236" s="1631"/>
      <c r="K236" s="1631"/>
    </row>
    <row r="237" spans="1:11">
      <c r="A237" s="89"/>
      <c r="B237" s="90" t="s">
        <v>943</v>
      </c>
      <c r="C237" s="90" t="s">
        <v>1750</v>
      </c>
      <c r="D237" s="89"/>
      <c r="E237" s="78"/>
      <c r="F237" s="93"/>
      <c r="G237" s="89"/>
      <c r="H237" s="89"/>
      <c r="I237" s="89"/>
      <c r="J237" s="1631"/>
      <c r="K237" s="1631"/>
    </row>
    <row r="238" spans="1:11">
      <c r="A238" s="1505" t="s">
        <v>1240</v>
      </c>
      <c r="B238" s="1505" t="s">
        <v>1164</v>
      </c>
      <c r="C238" s="1505" t="s">
        <v>1164</v>
      </c>
      <c r="D238" s="1541"/>
      <c r="E238" s="90" t="s">
        <v>1117</v>
      </c>
      <c r="F238" s="2630" t="s">
        <v>802</v>
      </c>
      <c r="G238" s="1505" t="s">
        <v>802</v>
      </c>
      <c r="H238" s="1541"/>
      <c r="I238" s="1505" t="s">
        <v>574</v>
      </c>
      <c r="J238" s="1631"/>
      <c r="K238" s="1631"/>
    </row>
    <row r="239" spans="1:11">
      <c r="A239" s="1505" t="s">
        <v>1241</v>
      </c>
      <c r="B239" s="1505" t="s">
        <v>1241</v>
      </c>
      <c r="C239" s="1505" t="s">
        <v>1241</v>
      </c>
      <c r="D239" s="1505" t="s">
        <v>1165</v>
      </c>
      <c r="E239" s="90" t="s">
        <v>1120</v>
      </c>
      <c r="F239" s="2631" t="s">
        <v>363</v>
      </c>
      <c r="G239" s="90" t="s">
        <v>1929</v>
      </c>
      <c r="H239" s="90" t="s">
        <v>573</v>
      </c>
      <c r="I239" s="90" t="s">
        <v>1449</v>
      </c>
      <c r="J239" s="1631"/>
      <c r="K239" s="1631"/>
    </row>
    <row r="240" spans="1:11">
      <c r="A240" s="1505"/>
      <c r="B240" s="1505"/>
      <c r="C240" s="1505"/>
      <c r="D240" s="1505"/>
      <c r="E240" s="2621"/>
      <c r="F240" s="2633"/>
      <c r="G240" s="2621"/>
      <c r="H240" s="2621"/>
      <c r="I240" s="2621"/>
      <c r="J240" s="1631"/>
      <c r="K240" s="1631"/>
    </row>
    <row r="241" spans="1:11">
      <c r="A241" s="1621"/>
      <c r="B241" s="1621"/>
      <c r="C241" s="1621"/>
      <c r="D241" s="1621"/>
      <c r="E241" s="2581" t="s">
        <v>1705</v>
      </c>
      <c r="F241" s="2629"/>
      <c r="G241" s="1505" t="s">
        <v>1705</v>
      </c>
      <c r="H241" s="1505" t="s">
        <v>1705</v>
      </c>
      <c r="I241" s="1505" t="s">
        <v>1705</v>
      </c>
      <c r="J241" s="1631"/>
      <c r="K241" s="1631"/>
    </row>
    <row r="242" spans="1:11">
      <c r="A242" s="1541"/>
      <c r="B242" s="1541"/>
      <c r="C242" s="1541"/>
      <c r="D242" s="1541"/>
      <c r="E242" s="1631"/>
      <c r="F242" s="2635"/>
      <c r="G242" s="1631"/>
      <c r="H242" s="1631"/>
      <c r="I242" s="1631"/>
      <c r="J242" s="1631"/>
      <c r="K242" s="1631"/>
    </row>
    <row r="243" spans="1:11">
      <c r="A243" s="1505" t="s">
        <v>1166</v>
      </c>
      <c r="B243" s="1541"/>
      <c r="C243" s="1505">
        <v>1030</v>
      </c>
      <c r="D243" s="1506" t="s">
        <v>1273</v>
      </c>
      <c r="E243" s="1539">
        <f>'SCH B-2.3'!K243</f>
        <v>22332073</v>
      </c>
      <c r="F243" s="1616">
        <v>1</v>
      </c>
      <c r="G243" s="1539">
        <f t="shared" ref="G243:G252" si="10">ROUND(E243*F243,0)</f>
        <v>22332073</v>
      </c>
      <c r="H243" s="1541"/>
      <c r="I243" s="1539">
        <f t="shared" ref="I243:I252" si="11">G243+H243</f>
        <v>22332073</v>
      </c>
      <c r="J243" s="1631"/>
      <c r="K243" s="1631"/>
    </row>
    <row r="244" spans="1:11">
      <c r="A244" s="1505">
        <v>2</v>
      </c>
      <c r="B244" s="1541"/>
      <c r="C244" s="1505">
        <v>1701</v>
      </c>
      <c r="D244" s="1506" t="s">
        <v>2290</v>
      </c>
      <c r="E244" s="1539">
        <f>'SCH B-2.3'!K244</f>
        <v>0</v>
      </c>
      <c r="F244" s="1616">
        <v>1</v>
      </c>
      <c r="G244" s="1539">
        <f t="shared" si="10"/>
        <v>0</v>
      </c>
      <c r="H244" s="1539"/>
      <c r="I244" s="1539">
        <f t="shared" si="11"/>
        <v>0</v>
      </c>
      <c r="J244" s="1631"/>
      <c r="K244" s="1631"/>
    </row>
    <row r="245" spans="1:11">
      <c r="A245" s="1505">
        <v>3</v>
      </c>
      <c r="B245" s="1541"/>
      <c r="C245" s="1505">
        <v>1890</v>
      </c>
      <c r="D245" s="1506" t="s">
        <v>849</v>
      </c>
      <c r="E245" s="1539">
        <f>'SCH B-2.3'!K245</f>
        <v>154248</v>
      </c>
      <c r="F245" s="1616">
        <v>1</v>
      </c>
      <c r="G245" s="1539">
        <f t="shared" si="10"/>
        <v>154248</v>
      </c>
      <c r="H245" s="1539"/>
      <c r="I245" s="1539">
        <f t="shared" si="11"/>
        <v>154248</v>
      </c>
      <c r="J245" s="1631"/>
      <c r="K245" s="1631"/>
    </row>
    <row r="246" spans="1:11">
      <c r="A246" s="1505">
        <v>4</v>
      </c>
      <c r="B246" s="1541"/>
      <c r="C246" s="1505">
        <v>1900</v>
      </c>
      <c r="D246" s="1506" t="s">
        <v>1170</v>
      </c>
      <c r="E246" s="1539">
        <f>'SCH B-2.3'!K246</f>
        <v>11321610</v>
      </c>
      <c r="F246" s="1616">
        <v>1</v>
      </c>
      <c r="G246" s="1539">
        <f t="shared" si="10"/>
        <v>11321610</v>
      </c>
      <c r="H246" s="1539"/>
      <c r="I246" s="1539">
        <f t="shared" si="11"/>
        <v>11321610</v>
      </c>
      <c r="J246" s="1631"/>
      <c r="K246" s="1631"/>
    </row>
    <row r="247" spans="1:11">
      <c r="A247" s="1505">
        <v>5</v>
      </c>
      <c r="B247" s="1541"/>
      <c r="C247" s="1505">
        <v>1910</v>
      </c>
      <c r="D247" s="1506" t="s">
        <v>1274</v>
      </c>
      <c r="E247" s="1539">
        <f>'SCH B-2.3'!K247</f>
        <v>719196</v>
      </c>
      <c r="F247" s="1616">
        <v>1</v>
      </c>
      <c r="G247" s="1539">
        <f t="shared" si="10"/>
        <v>719196</v>
      </c>
      <c r="H247" s="1539"/>
      <c r="I247" s="1539">
        <f t="shared" si="11"/>
        <v>719196</v>
      </c>
      <c r="J247" s="1631"/>
      <c r="K247" s="1631"/>
    </row>
    <row r="248" spans="1:11">
      <c r="A248" s="1505">
        <v>6</v>
      </c>
      <c r="B248" s="1541"/>
      <c r="C248" s="1505">
        <v>1911</v>
      </c>
      <c r="D248" s="1506" t="s">
        <v>776</v>
      </c>
      <c r="E248" s="1539">
        <f>'SCH B-2.3'!K248</f>
        <v>801805</v>
      </c>
      <c r="F248" s="1616">
        <v>1</v>
      </c>
      <c r="G248" s="1539">
        <f t="shared" si="10"/>
        <v>801805</v>
      </c>
      <c r="H248" s="1539"/>
      <c r="I248" s="1539">
        <f t="shared" si="11"/>
        <v>801805</v>
      </c>
      <c r="J248" s="1631"/>
      <c r="K248" s="1631"/>
    </row>
    <row r="249" spans="1:11">
      <c r="A249" s="1505">
        <v>7</v>
      </c>
      <c r="B249" s="1541"/>
      <c r="C249" s="1505">
        <v>1940</v>
      </c>
      <c r="D249" s="1506" t="s">
        <v>1276</v>
      </c>
      <c r="E249" s="1539">
        <f>'SCH B-2.3'!K249</f>
        <v>123493</v>
      </c>
      <c r="F249" s="1616">
        <v>1</v>
      </c>
      <c r="G249" s="1539">
        <f t="shared" si="10"/>
        <v>123493</v>
      </c>
      <c r="H249" s="1539"/>
      <c r="I249" s="1539">
        <f t="shared" si="11"/>
        <v>123493</v>
      </c>
      <c r="J249" s="1631"/>
      <c r="K249" s="1631"/>
    </row>
    <row r="250" spans="1:11">
      <c r="A250" s="1505">
        <v>8</v>
      </c>
      <c r="B250" s="1541"/>
      <c r="C250" s="1505">
        <v>1970</v>
      </c>
      <c r="D250" s="1506" t="s">
        <v>1330</v>
      </c>
      <c r="E250" s="1539">
        <f>'SCH B-2.3'!K250</f>
        <v>7719786</v>
      </c>
      <c r="F250" s="1616">
        <v>1</v>
      </c>
      <c r="G250" s="1539">
        <f t="shared" si="10"/>
        <v>7719786</v>
      </c>
      <c r="H250" s="1539"/>
      <c r="I250" s="1539">
        <f t="shared" si="11"/>
        <v>7719786</v>
      </c>
      <c r="J250" s="1631"/>
      <c r="K250" s="1631"/>
    </row>
    <row r="251" spans="1:11">
      <c r="A251" s="1505">
        <v>9</v>
      </c>
      <c r="B251" s="1541"/>
      <c r="C251" s="1505">
        <v>1980</v>
      </c>
      <c r="D251" s="1506" t="s">
        <v>1278</v>
      </c>
      <c r="E251" s="1539">
        <f>'SCH B-2.3'!K251</f>
        <v>41504</v>
      </c>
      <c r="F251" s="1616">
        <v>1</v>
      </c>
      <c r="G251" s="1539">
        <f t="shared" si="10"/>
        <v>41504</v>
      </c>
      <c r="H251" s="1539"/>
      <c r="I251" s="1539">
        <f t="shared" si="11"/>
        <v>41504</v>
      </c>
      <c r="J251" s="1631"/>
      <c r="K251" s="1631"/>
    </row>
    <row r="252" spans="1:11">
      <c r="A252" s="1505">
        <v>10</v>
      </c>
      <c r="B252" s="1541"/>
      <c r="C252" s="1506"/>
      <c r="D252" s="1506" t="s">
        <v>1483</v>
      </c>
      <c r="E252" s="1539">
        <f>'SCH B-2.3'!K252</f>
        <v>0</v>
      </c>
      <c r="F252" s="1616">
        <v>1</v>
      </c>
      <c r="G252" s="1539">
        <f t="shared" si="10"/>
        <v>0</v>
      </c>
      <c r="H252" s="1539"/>
      <c r="I252" s="1539">
        <f t="shared" si="11"/>
        <v>0</v>
      </c>
      <c r="J252" s="1631"/>
      <c r="K252" s="1631"/>
    </row>
    <row r="253" spans="1:11">
      <c r="A253" s="1505"/>
      <c r="B253" s="1541"/>
      <c r="C253" s="1506"/>
      <c r="D253" s="1506"/>
      <c r="E253" s="1539"/>
      <c r="F253" s="1538"/>
      <c r="G253" s="1539"/>
      <c r="H253" s="1539"/>
      <c r="I253" s="1539"/>
      <c r="J253" s="1631"/>
      <c r="K253" s="1631"/>
    </row>
    <row r="254" spans="1:11">
      <c r="A254" s="1541"/>
      <c r="B254" s="1541"/>
      <c r="C254" s="1541"/>
      <c r="D254" s="1541"/>
      <c r="E254" s="1541"/>
      <c r="F254" s="2629"/>
      <c r="G254" s="1541"/>
      <c r="H254" s="1541"/>
      <c r="I254" s="1541"/>
      <c r="J254" s="1631"/>
      <c r="K254" s="1631"/>
    </row>
    <row r="255" spans="1:11">
      <c r="A255" s="1621"/>
      <c r="B255" s="1621"/>
      <c r="C255" s="1621"/>
      <c r="D255" s="1621"/>
      <c r="E255" s="1622"/>
      <c r="F255" s="1623"/>
      <c r="G255" s="1622"/>
      <c r="H255" s="1622"/>
      <c r="I255" s="1622"/>
      <c r="J255" s="1631"/>
      <c r="K255" s="1631"/>
    </row>
    <row r="256" spans="1:11">
      <c r="A256" s="1505">
        <v>11</v>
      </c>
      <c r="B256" s="1541"/>
      <c r="C256" s="1541"/>
      <c r="D256" s="1506" t="s">
        <v>1476</v>
      </c>
      <c r="E256" s="1539">
        <f>SUM(E243:E254)</f>
        <v>43213715</v>
      </c>
      <c r="F256" s="1538"/>
      <c r="G256" s="1539">
        <f>SUM(G243:G254)</f>
        <v>43213715</v>
      </c>
      <c r="H256" s="1539">
        <f>SUM(H243:H254)</f>
        <v>0</v>
      </c>
      <c r="I256" s="1539">
        <f>SUM(I243:I254)</f>
        <v>43213715</v>
      </c>
      <c r="J256" s="1631"/>
      <c r="K256" s="2682" t="str">
        <f>IF(E256='SCH B-2.3'!K256,"BALANCED","ERROR")</f>
        <v>BALANCED</v>
      </c>
    </row>
    <row r="257" spans="1:11">
      <c r="A257" s="1541"/>
      <c r="B257" s="1541"/>
      <c r="C257" s="1541"/>
      <c r="D257" s="1541"/>
      <c r="E257" s="1541"/>
      <c r="F257" s="2629"/>
      <c r="G257" s="1541"/>
      <c r="H257" s="1541"/>
      <c r="I257" s="1541"/>
      <c r="J257" s="1631"/>
      <c r="K257" s="1631"/>
    </row>
    <row r="258" spans="1:11">
      <c r="A258" s="1621"/>
      <c r="B258" s="1621"/>
      <c r="C258" s="1621"/>
      <c r="D258" s="1621"/>
      <c r="E258" s="1622"/>
      <c r="F258" s="1623"/>
      <c r="G258" s="1622"/>
      <c r="H258" s="1622"/>
      <c r="I258" s="1622"/>
      <c r="J258" s="1631"/>
      <c r="K258" s="1631"/>
    </row>
    <row r="259" spans="1:11">
      <c r="A259" s="1505">
        <v>12</v>
      </c>
      <c r="B259" s="1541"/>
      <c r="C259" s="1616">
        <v>0.72819999999999996</v>
      </c>
      <c r="D259" s="1506" t="s">
        <v>30</v>
      </c>
      <c r="E259" s="1539">
        <f>ROUND(E256*CommonE,0)</f>
        <v>31468227</v>
      </c>
      <c r="F259" s="1539"/>
      <c r="G259" s="1539">
        <f>ROUND(G256*CommonE,0)</f>
        <v>31468227</v>
      </c>
      <c r="H259" s="1539">
        <f>ROUND(H256*CommonE,0)</f>
        <v>0</v>
      </c>
      <c r="I259" s="1539">
        <f>ROUND(I256*CommonE,0)</f>
        <v>31468227</v>
      </c>
      <c r="J259" s="1631"/>
      <c r="K259" s="2682" t="str">
        <f>IF(E259='SCH B-2.3'!K259,"BALANCED","ERROR")</f>
        <v>BALANCED</v>
      </c>
    </row>
    <row r="260" spans="1:11">
      <c r="A260" s="1541"/>
      <c r="B260" s="1541"/>
      <c r="C260" s="1541"/>
      <c r="D260" s="1541"/>
      <c r="E260" s="1541"/>
      <c r="F260" s="2629"/>
      <c r="G260" s="1541"/>
      <c r="H260" s="1541"/>
      <c r="I260" s="1541"/>
      <c r="J260" s="1631"/>
      <c r="K260" s="1631"/>
    </row>
    <row r="261" spans="1:11">
      <c r="A261" s="1621"/>
      <c r="B261" s="1621"/>
      <c r="C261" s="1621"/>
      <c r="D261" s="1621"/>
      <c r="E261" s="1622"/>
      <c r="F261" s="1623"/>
      <c r="G261" s="1622"/>
      <c r="H261" s="1622"/>
      <c r="I261" s="1622"/>
      <c r="J261" s="1631"/>
      <c r="K261" s="1631"/>
    </row>
    <row r="262" spans="1:11">
      <c r="A262" s="1505">
        <v>13</v>
      </c>
      <c r="B262" s="1541"/>
      <c r="C262" s="1541"/>
      <c r="D262" s="1506" t="s">
        <v>57</v>
      </c>
      <c r="E262" s="1539">
        <f>E217+E259</f>
        <v>1606098458</v>
      </c>
      <c r="F262" s="1538"/>
      <c r="G262" s="1539">
        <f>G217+G259</f>
        <v>1606098458</v>
      </c>
      <c r="H262" s="1539">
        <f>H217+H259</f>
        <v>-61132540</v>
      </c>
      <c r="I262" s="1539">
        <f>I217+I259</f>
        <v>1544965918</v>
      </c>
      <c r="J262" s="1631"/>
      <c r="K262" s="2682" t="str">
        <f>IF(E262='SCH B-2.3'!K262,"BALANCED","ERROR")</f>
        <v>BALANCED</v>
      </c>
    </row>
    <row r="263" spans="1:11">
      <c r="A263" s="1541"/>
      <c r="B263" s="1541"/>
      <c r="C263" s="1541"/>
      <c r="D263" s="1541"/>
      <c r="E263" s="1541"/>
      <c r="F263" s="2629"/>
      <c r="G263" s="1541"/>
      <c r="H263" s="1541"/>
      <c r="I263" s="1541"/>
      <c r="J263" s="1631"/>
      <c r="K263" s="1631"/>
    </row>
    <row r="264" spans="1:11">
      <c r="A264" s="1621"/>
      <c r="B264" s="1621"/>
      <c r="C264" s="1621"/>
      <c r="D264" s="1621"/>
      <c r="E264" s="1622"/>
      <c r="F264" s="1623"/>
      <c r="G264" s="1622"/>
      <c r="H264" s="1622"/>
      <c r="I264" s="1622"/>
      <c r="J264" s="1631"/>
      <c r="K264" s="1631"/>
    </row>
    <row r="265" spans="1:11">
      <c r="A265" s="1541"/>
      <c r="B265" s="1541"/>
      <c r="C265" s="1541"/>
      <c r="D265" s="1541"/>
      <c r="E265" s="1539"/>
      <c r="F265" s="1538"/>
      <c r="G265" s="1539"/>
      <c r="H265" s="1539"/>
      <c r="I265" s="1539"/>
      <c r="J265" s="1631"/>
      <c r="K265" s="1631"/>
    </row>
    <row r="266" spans="1:11">
      <c r="A266" s="103" t="str">
        <f>COMPANY</f>
        <v>DUKE ENERGY KENTUCKY, INC.</v>
      </c>
      <c r="B266" s="2585"/>
      <c r="C266" s="2585"/>
      <c r="D266" s="2589"/>
      <c r="E266" s="2585"/>
      <c r="F266" s="2626"/>
      <c r="G266" s="2627"/>
      <c r="H266" s="2627"/>
      <c r="I266" s="2627"/>
      <c r="J266" s="1631"/>
      <c r="K266" s="1631"/>
    </row>
    <row r="267" spans="1:11">
      <c r="A267" s="103" t="str">
        <f>CASE</f>
        <v>CASE NO. 2017-00321</v>
      </c>
      <c r="B267" s="2585"/>
      <c r="C267" s="2585"/>
      <c r="D267" s="2589"/>
      <c r="E267" s="2585"/>
      <c r="F267" s="2628"/>
      <c r="G267" s="2627"/>
      <c r="H267" s="2627"/>
      <c r="I267" s="2627"/>
      <c r="J267" s="1631"/>
      <c r="K267" s="1631"/>
    </row>
    <row r="268" spans="1:11">
      <c r="A268" s="103" t="s">
        <v>1162</v>
      </c>
      <c r="B268" s="2585"/>
      <c r="C268" s="2585"/>
      <c r="D268" s="2589"/>
      <c r="E268" s="2585"/>
      <c r="F268" s="2626"/>
      <c r="G268" s="2627"/>
      <c r="H268" s="2627"/>
      <c r="I268" s="2627"/>
      <c r="J268" s="1631"/>
      <c r="K268" s="1631"/>
    </row>
    <row r="269" spans="1:11">
      <c r="A269" s="76" t="str">
        <f>"AS OF " &amp;RIGHT(Forecast,(LEN(Forecast)-16))</f>
        <v>AS OF MARCH 31, 2019</v>
      </c>
      <c r="B269" s="2585"/>
      <c r="C269" s="2585"/>
      <c r="D269" s="2589"/>
      <c r="E269" s="2585"/>
      <c r="F269" s="2626"/>
      <c r="G269" s="2627"/>
      <c r="H269" s="2627"/>
      <c r="I269" s="2627"/>
      <c r="J269" s="1631"/>
      <c r="K269" s="1631"/>
    </row>
    <row r="270" spans="1:11">
      <c r="A270" s="2585"/>
      <c r="B270" s="2585"/>
      <c r="C270" s="2585"/>
      <c r="D270" s="2589"/>
      <c r="E270" s="2585"/>
      <c r="F270" s="2626"/>
      <c r="G270" s="2627"/>
      <c r="H270" s="2627"/>
      <c r="I270" s="2627"/>
      <c r="J270" s="1631"/>
      <c r="K270" s="1631"/>
    </row>
    <row r="271" spans="1:11">
      <c r="A271" s="103" t="s">
        <v>333</v>
      </c>
      <c r="B271" s="2585"/>
      <c r="C271" s="2585"/>
      <c r="D271" s="2589"/>
      <c r="E271" s="2585"/>
      <c r="F271" s="2626"/>
      <c r="G271" s="2627"/>
      <c r="H271" s="2627"/>
      <c r="I271" s="2627"/>
      <c r="J271" s="1631"/>
      <c r="K271" s="1631"/>
    </row>
    <row r="272" spans="1:11">
      <c r="A272" s="2569" t="s">
        <v>1799</v>
      </c>
      <c r="B272" s="2585"/>
      <c r="C272" s="2585"/>
      <c r="D272" s="2589"/>
      <c r="E272" s="2585"/>
      <c r="F272" s="2626"/>
      <c r="G272" s="2627"/>
      <c r="H272" s="2627"/>
      <c r="I272" s="2627"/>
      <c r="J272" s="1631"/>
      <c r="K272" s="1631"/>
    </row>
    <row r="273" spans="1:11">
      <c r="A273" s="1541"/>
      <c r="B273" s="1541"/>
      <c r="C273" s="1541"/>
      <c r="D273" s="1541"/>
      <c r="E273" s="1541"/>
      <c r="F273" s="1538"/>
      <c r="G273" s="1539"/>
      <c r="H273" s="1539"/>
      <c r="I273" s="1539"/>
      <c r="J273" s="1631"/>
      <c r="K273" s="1631"/>
    </row>
    <row r="274" spans="1:11">
      <c r="A274" s="1541"/>
      <c r="B274" s="1541"/>
      <c r="C274" s="1541"/>
      <c r="D274" s="1541"/>
      <c r="E274" s="1541"/>
      <c r="F274" s="2629"/>
      <c r="G274" s="1541"/>
      <c r="H274" s="1541"/>
      <c r="I274" s="1541"/>
      <c r="J274" s="1631"/>
      <c r="K274" s="1631"/>
    </row>
    <row r="275" spans="1:11">
      <c r="A275" s="1506" t="str">
        <f>DataF</f>
        <v>DATA:  BASE PERIOD  "X" FORECASTED PERIOD</v>
      </c>
      <c r="B275" s="1541"/>
      <c r="C275" s="1541"/>
      <c r="D275" s="1541"/>
      <c r="E275" s="1539"/>
      <c r="F275" s="1538"/>
      <c r="G275" s="1539"/>
      <c r="H275" s="2619" t="s">
        <v>1163</v>
      </c>
      <c r="I275" s="1539"/>
      <c r="J275" s="1631"/>
      <c r="K275" s="1631"/>
    </row>
    <row r="276" spans="1:11">
      <c r="A276" s="1506" t="str">
        <f>Type</f>
        <v xml:space="preserve">TYPE OF FILING:  "X" ORIGINAL   UPDATED    REVISED  </v>
      </c>
      <c r="B276" s="1541"/>
      <c r="C276" s="1541"/>
      <c r="D276" s="1541"/>
      <c r="E276" s="1539"/>
      <c r="F276" s="1538"/>
      <c r="G276" s="1539"/>
      <c r="H276" s="2619" t="s">
        <v>783</v>
      </c>
      <c r="I276" s="1539"/>
      <c r="J276" s="1631"/>
      <c r="K276" s="1631"/>
    </row>
    <row r="277" spans="1:11">
      <c r="A277" s="1506" t="s">
        <v>427</v>
      </c>
      <c r="B277" s="1541"/>
      <c r="C277" s="1541"/>
      <c r="D277" s="1541"/>
      <c r="E277" s="1539"/>
      <c r="F277" s="1538"/>
      <c r="G277" s="1539"/>
      <c r="H277" s="2619" t="s">
        <v>622</v>
      </c>
      <c r="I277" s="1539"/>
      <c r="J277" s="1631"/>
      <c r="K277" s="1631"/>
    </row>
    <row r="278" spans="1:11">
      <c r="A278" s="1541"/>
      <c r="B278" s="1541"/>
      <c r="C278" s="1541"/>
      <c r="D278" s="1541"/>
      <c r="E278" s="1539"/>
      <c r="F278" s="1538"/>
      <c r="G278" s="1539"/>
      <c r="H278" s="2586" t="str">
        <f>_WIT7</f>
        <v>R. H. PRATT / C. S. LEE</v>
      </c>
      <c r="I278" s="1539"/>
      <c r="J278" s="1631"/>
      <c r="K278" s="1631"/>
    </row>
    <row r="279" spans="1:11">
      <c r="A279" s="1541"/>
      <c r="B279" s="1541"/>
      <c r="C279" s="1541"/>
      <c r="D279" s="1541"/>
      <c r="E279" s="1539"/>
      <c r="F279" s="1538"/>
      <c r="G279" s="1539"/>
      <c r="H279" s="1539"/>
      <c r="I279" s="1539"/>
      <c r="J279" s="1631"/>
      <c r="K279" s="1631"/>
    </row>
    <row r="280" spans="1:11">
      <c r="A280" s="1541"/>
      <c r="B280" s="1541"/>
      <c r="C280" s="1541"/>
      <c r="D280" s="1541"/>
      <c r="E280" s="1539"/>
      <c r="F280" s="1538"/>
      <c r="G280" s="1539"/>
      <c r="H280" s="1539"/>
      <c r="I280" s="1539"/>
      <c r="J280" s="1631"/>
      <c r="K280" s="1631"/>
    </row>
    <row r="281" spans="1:11">
      <c r="A281" s="1621"/>
      <c r="B281" s="2681"/>
      <c r="C281" s="2680"/>
      <c r="D281" s="1621"/>
      <c r="E281" s="1622"/>
      <c r="F281" s="1623"/>
      <c r="G281" s="1622"/>
      <c r="H281" s="1622"/>
      <c r="I281" s="2676" t="s">
        <v>1967</v>
      </c>
      <c r="J281" s="1631"/>
      <c r="K281" s="1631"/>
    </row>
    <row r="282" spans="1:11">
      <c r="A282" s="89"/>
      <c r="B282" s="90" t="s">
        <v>943</v>
      </c>
      <c r="C282" s="90" t="s">
        <v>1750</v>
      </c>
      <c r="D282" s="89"/>
      <c r="E282" s="78" t="s">
        <v>1967</v>
      </c>
      <c r="F282" s="91"/>
      <c r="G282" s="92"/>
      <c r="H282" s="77" t="s">
        <v>1967</v>
      </c>
      <c r="I282" s="77" t="s">
        <v>873</v>
      </c>
      <c r="J282" s="1631"/>
      <c r="K282" s="1631"/>
    </row>
    <row r="283" spans="1:11">
      <c r="A283" s="1505" t="s">
        <v>1240</v>
      </c>
      <c r="B283" s="1505" t="s">
        <v>1164</v>
      </c>
      <c r="C283" s="1505" t="s">
        <v>1164</v>
      </c>
      <c r="D283" s="1541"/>
      <c r="E283" s="90" t="s">
        <v>873</v>
      </c>
      <c r="F283" s="2630" t="s">
        <v>802</v>
      </c>
      <c r="G283" s="2581" t="s">
        <v>802</v>
      </c>
      <c r="H283" s="2581" t="s">
        <v>873</v>
      </c>
      <c r="I283" s="2581" t="s">
        <v>574</v>
      </c>
      <c r="J283" s="1631"/>
      <c r="K283" s="1631"/>
    </row>
    <row r="284" spans="1:11">
      <c r="A284" s="1505" t="s">
        <v>1241</v>
      </c>
      <c r="B284" s="1505" t="s">
        <v>1241</v>
      </c>
      <c r="C284" s="1505" t="s">
        <v>1241</v>
      </c>
      <c r="D284" s="1505" t="s">
        <v>1165</v>
      </c>
      <c r="E284" s="90" t="s">
        <v>207</v>
      </c>
      <c r="F284" s="2631" t="s">
        <v>363</v>
      </c>
      <c r="G284" s="2632" t="s">
        <v>1929</v>
      </c>
      <c r="H284" s="2632" t="s">
        <v>573</v>
      </c>
      <c r="I284" s="2632" t="s">
        <v>1449</v>
      </c>
      <c r="J284" s="1631"/>
      <c r="K284" s="1631"/>
    </row>
    <row r="285" spans="1:11">
      <c r="A285" s="1505"/>
      <c r="B285" s="1505"/>
      <c r="C285" s="1505"/>
      <c r="D285" s="1505"/>
      <c r="E285" s="2621"/>
      <c r="F285" s="2633"/>
      <c r="G285" s="2634"/>
      <c r="H285" s="2634"/>
      <c r="I285" s="2634"/>
      <c r="J285" s="1631"/>
      <c r="K285" s="1631"/>
    </row>
    <row r="286" spans="1:11">
      <c r="A286" s="1621"/>
      <c r="B286" s="1621"/>
      <c r="C286" s="1621"/>
      <c r="D286" s="1621"/>
      <c r="E286" s="2581" t="s">
        <v>1705</v>
      </c>
      <c r="F286" s="2629"/>
      <c r="G286" s="2581" t="s">
        <v>1705</v>
      </c>
      <c r="H286" s="2581" t="s">
        <v>1705</v>
      </c>
      <c r="I286" s="2581" t="s">
        <v>1705</v>
      </c>
      <c r="J286" s="1631"/>
      <c r="K286" s="1631"/>
    </row>
    <row r="287" spans="1:11">
      <c r="A287" s="1505" t="s">
        <v>529</v>
      </c>
      <c r="B287" s="1541"/>
      <c r="C287" s="1541"/>
      <c r="D287" s="1541"/>
      <c r="E287" s="1631"/>
      <c r="F287" s="2635"/>
      <c r="G287" s="1631"/>
      <c r="H287" s="1631"/>
      <c r="I287" s="1631"/>
      <c r="J287" s="1631"/>
      <c r="K287" s="1631"/>
    </row>
    <row r="288" spans="1:11">
      <c r="A288" s="1505" t="s">
        <v>1166</v>
      </c>
      <c r="B288" s="1505">
        <v>310</v>
      </c>
      <c r="C288" s="1505">
        <v>3100</v>
      </c>
      <c r="D288" s="1506" t="s">
        <v>849</v>
      </c>
      <c r="E288" s="96">
        <f>'SCH B-2.3'!L288</f>
        <v>7047301</v>
      </c>
      <c r="F288" s="1616">
        <v>1</v>
      </c>
      <c r="G288" s="1539">
        <f t="shared" ref="G288:G303" si="12">ROUND((E288*F288),0)</f>
        <v>7047301</v>
      </c>
      <c r="H288" s="1539"/>
      <c r="I288" s="1539">
        <f t="shared" ref="I288:I303" si="13">G288+H288</f>
        <v>7047301</v>
      </c>
      <c r="J288" s="1631"/>
      <c r="K288" s="1631"/>
    </row>
    <row r="289" spans="1:11">
      <c r="A289" s="1505" t="s">
        <v>1167</v>
      </c>
      <c r="B289" s="1505">
        <v>311</v>
      </c>
      <c r="C289" s="1505">
        <v>3110</v>
      </c>
      <c r="D289" s="1506" t="s">
        <v>1170</v>
      </c>
      <c r="E289" s="96">
        <f>'SCH B-2.3'!L289</f>
        <v>52961753</v>
      </c>
      <c r="F289" s="1616">
        <v>1</v>
      </c>
      <c r="G289" s="1539">
        <f t="shared" si="12"/>
        <v>52961753</v>
      </c>
      <c r="H289" s="1539"/>
      <c r="I289" s="1539">
        <f t="shared" si="13"/>
        <v>52961753</v>
      </c>
      <c r="J289" s="1631"/>
      <c r="K289" s="1631"/>
    </row>
    <row r="290" spans="1:11">
      <c r="A290" s="1505" t="s">
        <v>1169</v>
      </c>
      <c r="B290" s="1505">
        <v>311</v>
      </c>
      <c r="C290" s="1505" t="s">
        <v>2291</v>
      </c>
      <c r="D290" s="1506" t="s">
        <v>1170</v>
      </c>
      <c r="E290" s="96">
        <f>'SCH B-2.3'!L290</f>
        <v>18409562</v>
      </c>
      <c r="F290" s="1616">
        <v>1</v>
      </c>
      <c r="G290" s="1539">
        <f t="shared" si="12"/>
        <v>18409562</v>
      </c>
      <c r="H290" s="1539"/>
      <c r="I290" s="1539">
        <f t="shared" si="13"/>
        <v>18409562</v>
      </c>
      <c r="J290" s="1631"/>
      <c r="K290" s="1631"/>
    </row>
    <row r="291" spans="1:11">
      <c r="A291" s="1505" t="s">
        <v>1171</v>
      </c>
      <c r="B291" s="1505">
        <v>312</v>
      </c>
      <c r="C291" s="1505">
        <v>3120</v>
      </c>
      <c r="D291" s="1506" t="s">
        <v>334</v>
      </c>
      <c r="E291" s="96">
        <f>'SCH B-2.3'!L291</f>
        <v>200625191</v>
      </c>
      <c r="F291" s="1616">
        <v>1</v>
      </c>
      <c r="G291" s="1539">
        <f t="shared" si="12"/>
        <v>200625191</v>
      </c>
      <c r="H291" s="1539"/>
      <c r="I291" s="1539">
        <f t="shared" si="13"/>
        <v>200625191</v>
      </c>
      <c r="J291" s="1631"/>
      <c r="K291" s="1631"/>
    </row>
    <row r="292" spans="1:11">
      <c r="A292" s="1505" t="s">
        <v>977</v>
      </c>
      <c r="B292" s="1505">
        <v>312</v>
      </c>
      <c r="C292" s="1505" t="s">
        <v>2292</v>
      </c>
      <c r="D292" s="1506" t="s">
        <v>334</v>
      </c>
      <c r="E292" s="96">
        <f>'SCH B-2.3'!L292</f>
        <v>242407848</v>
      </c>
      <c r="F292" s="1616">
        <v>1</v>
      </c>
      <c r="G292" s="1539">
        <f t="shared" si="12"/>
        <v>242407848</v>
      </c>
      <c r="H292" s="1539"/>
      <c r="I292" s="1539">
        <f t="shared" si="13"/>
        <v>242407848</v>
      </c>
      <c r="J292" s="1631"/>
      <c r="K292" s="1631"/>
    </row>
    <row r="293" spans="1:11">
      <c r="A293" s="1505" t="s">
        <v>1596</v>
      </c>
      <c r="B293" s="1505"/>
      <c r="C293" s="1505"/>
      <c r="D293" s="1506" t="s">
        <v>3278</v>
      </c>
      <c r="E293" s="96">
        <f>'SCH B-2.3'!L293</f>
        <v>0</v>
      </c>
      <c r="F293" s="1616">
        <v>1</v>
      </c>
      <c r="G293" s="1539">
        <f t="shared" si="12"/>
        <v>0</v>
      </c>
      <c r="H293" s="1539">
        <f>'SCH B-2.2'!G64</f>
        <v>11284211</v>
      </c>
      <c r="I293" s="1539">
        <f t="shared" si="13"/>
        <v>11284211</v>
      </c>
      <c r="J293" s="1631"/>
      <c r="K293" s="1631"/>
    </row>
    <row r="294" spans="1:11">
      <c r="A294" s="1505" t="s">
        <v>978</v>
      </c>
      <c r="B294" s="1505">
        <v>312</v>
      </c>
      <c r="C294" s="1505" t="s">
        <v>2293</v>
      </c>
      <c r="D294" s="1506" t="s">
        <v>335</v>
      </c>
      <c r="E294" s="96">
        <f>'SCH B-2.3'!L294</f>
        <v>5420680</v>
      </c>
      <c r="F294" s="1616">
        <v>1</v>
      </c>
      <c r="G294" s="1539">
        <f t="shared" si="12"/>
        <v>5420680</v>
      </c>
      <c r="H294" s="1539"/>
      <c r="I294" s="1539">
        <f t="shared" si="13"/>
        <v>5420680</v>
      </c>
      <c r="J294" s="1631"/>
      <c r="K294" s="1631"/>
    </row>
    <row r="295" spans="1:11">
      <c r="A295" s="1505" t="s">
        <v>979</v>
      </c>
      <c r="B295" s="1505">
        <v>314</v>
      </c>
      <c r="C295" s="1505">
        <v>3140</v>
      </c>
      <c r="D295" s="1506" t="s">
        <v>336</v>
      </c>
      <c r="E295" s="96">
        <f>'SCH B-2.3'!L295</f>
        <v>89138655</v>
      </c>
      <c r="F295" s="1616">
        <v>1</v>
      </c>
      <c r="G295" s="1539">
        <f t="shared" si="12"/>
        <v>89138655</v>
      </c>
      <c r="H295" s="1539"/>
      <c r="I295" s="1539">
        <f t="shared" si="13"/>
        <v>89138655</v>
      </c>
      <c r="J295" s="1631"/>
      <c r="K295" s="1631"/>
    </row>
    <row r="296" spans="1:11">
      <c r="A296" s="1505" t="s">
        <v>980</v>
      </c>
      <c r="B296" s="1505">
        <v>314</v>
      </c>
      <c r="C296" s="1505" t="s">
        <v>2294</v>
      </c>
      <c r="D296" s="1506" t="s">
        <v>336</v>
      </c>
      <c r="E296" s="96">
        <f>'SCH B-2.3'!L296</f>
        <v>10590194</v>
      </c>
      <c r="F296" s="1616">
        <v>1</v>
      </c>
      <c r="G296" s="1539">
        <f t="shared" si="12"/>
        <v>10590194</v>
      </c>
      <c r="H296" s="1539"/>
      <c r="I296" s="1539">
        <f t="shared" si="13"/>
        <v>10590194</v>
      </c>
      <c r="J296" s="1631"/>
      <c r="K296" s="1631"/>
    </row>
    <row r="297" spans="1:11">
      <c r="A297" s="1505" t="s">
        <v>850</v>
      </c>
      <c r="B297" s="1505">
        <v>315</v>
      </c>
      <c r="C297" s="1505">
        <v>3150</v>
      </c>
      <c r="D297" s="1506" t="s">
        <v>337</v>
      </c>
      <c r="E297" s="96">
        <f>'SCH B-2.3'!L297</f>
        <v>29007957</v>
      </c>
      <c r="F297" s="1616">
        <v>1</v>
      </c>
      <c r="G297" s="1539">
        <f t="shared" si="12"/>
        <v>29007957</v>
      </c>
      <c r="H297" s="1539"/>
      <c r="I297" s="1539">
        <f t="shared" si="13"/>
        <v>29007957</v>
      </c>
      <c r="J297" s="1631"/>
      <c r="K297" s="1631"/>
    </row>
    <row r="298" spans="1:11">
      <c r="A298" s="1505" t="s">
        <v>851</v>
      </c>
      <c r="B298" s="1505">
        <v>315</v>
      </c>
      <c r="C298" s="1505" t="s">
        <v>2295</v>
      </c>
      <c r="D298" s="1506" t="s">
        <v>337</v>
      </c>
      <c r="E298" s="96">
        <f>'SCH B-2.3'!L298</f>
        <v>16979176</v>
      </c>
      <c r="F298" s="1616">
        <v>1</v>
      </c>
      <c r="G298" s="1539">
        <f t="shared" si="12"/>
        <v>16979176</v>
      </c>
      <c r="H298" s="1539"/>
      <c r="I298" s="1539">
        <f t="shared" si="13"/>
        <v>16979176</v>
      </c>
      <c r="J298" s="1631"/>
      <c r="K298" s="1631"/>
    </row>
    <row r="299" spans="1:11">
      <c r="A299" s="1505" t="s">
        <v>852</v>
      </c>
      <c r="B299" s="1505">
        <v>316</v>
      </c>
      <c r="C299" s="1505">
        <v>3160</v>
      </c>
      <c r="D299" s="1506" t="s">
        <v>338</v>
      </c>
      <c r="E299" s="96">
        <f>'SCH B-2.3'!L299</f>
        <v>14453902</v>
      </c>
      <c r="F299" s="1616">
        <v>1</v>
      </c>
      <c r="G299" s="1539">
        <f t="shared" si="12"/>
        <v>14453902</v>
      </c>
      <c r="H299" s="1539"/>
      <c r="I299" s="1539">
        <f t="shared" si="13"/>
        <v>14453902</v>
      </c>
      <c r="J299" s="1631"/>
      <c r="K299" s="1631"/>
    </row>
    <row r="300" spans="1:11">
      <c r="A300" s="1505" t="s">
        <v>853</v>
      </c>
      <c r="B300" s="1505">
        <v>317</v>
      </c>
      <c r="C300" s="1505" t="s">
        <v>2296</v>
      </c>
      <c r="D300" s="1506" t="s">
        <v>338</v>
      </c>
      <c r="E300" s="96">
        <f>'SCH B-2.3'!L300</f>
        <v>5796351</v>
      </c>
      <c r="F300" s="1616">
        <v>1</v>
      </c>
      <c r="G300" s="1539">
        <f t="shared" si="12"/>
        <v>5796351</v>
      </c>
      <c r="H300" s="1539"/>
      <c r="I300" s="1539">
        <f t="shared" si="13"/>
        <v>5796351</v>
      </c>
      <c r="J300" s="1631"/>
      <c r="K300" s="1631"/>
    </row>
    <row r="301" spans="1:11">
      <c r="A301" s="1505" t="s">
        <v>854</v>
      </c>
      <c r="B301" s="1505">
        <v>317</v>
      </c>
      <c r="C301" s="1505" t="s">
        <v>2753</v>
      </c>
      <c r="D301" s="1506" t="s">
        <v>2747</v>
      </c>
      <c r="E301" s="96">
        <f>'SCH B-2.3'!L301</f>
        <v>46586238</v>
      </c>
      <c r="F301" s="1616">
        <v>1</v>
      </c>
      <c r="G301" s="1539">
        <f t="shared" si="12"/>
        <v>46586238</v>
      </c>
      <c r="H301" s="1539">
        <f>'SCH B-2.2'!G63</f>
        <v>-46586238</v>
      </c>
      <c r="I301" s="1539">
        <f t="shared" si="13"/>
        <v>0</v>
      </c>
      <c r="J301" s="1631"/>
      <c r="K301" s="1631"/>
    </row>
    <row r="302" spans="1:11">
      <c r="A302" s="1505" t="s">
        <v>855</v>
      </c>
      <c r="B302" s="1505"/>
      <c r="C302" s="1505"/>
      <c r="D302" s="1506" t="s">
        <v>1483</v>
      </c>
      <c r="E302" s="96">
        <f>'SCH B-2.3'!L302</f>
        <v>82239531</v>
      </c>
      <c r="F302" s="1616">
        <v>1</v>
      </c>
      <c r="G302" s="1539">
        <f t="shared" si="12"/>
        <v>82239531</v>
      </c>
      <c r="H302" s="1539"/>
      <c r="I302" s="1539">
        <f t="shared" si="13"/>
        <v>82239531</v>
      </c>
      <c r="J302" s="1631"/>
      <c r="K302" s="1631"/>
    </row>
    <row r="303" spans="1:11">
      <c r="A303" s="1505" t="s">
        <v>2904</v>
      </c>
      <c r="B303" s="1506"/>
      <c r="C303" s="1505" t="s">
        <v>3103</v>
      </c>
      <c r="D303" s="1506" t="s">
        <v>1483</v>
      </c>
      <c r="E303" s="96">
        <f>'SCH B-2.3'!L303</f>
        <v>13268572</v>
      </c>
      <c r="F303" s="1616">
        <v>1</v>
      </c>
      <c r="G303" s="1539">
        <f t="shared" si="12"/>
        <v>13268572</v>
      </c>
      <c r="H303" s="1539"/>
      <c r="I303" s="1539">
        <f t="shared" si="13"/>
        <v>13268572</v>
      </c>
      <c r="J303" s="1631"/>
      <c r="K303" s="1631"/>
    </row>
    <row r="304" spans="1:11">
      <c r="A304" s="1505"/>
      <c r="B304" s="1506"/>
      <c r="C304" s="1506"/>
      <c r="D304" s="1506"/>
      <c r="E304" s="2636"/>
      <c r="F304" s="1538"/>
      <c r="G304" s="1539"/>
      <c r="H304" s="1539"/>
      <c r="I304" s="1539"/>
      <c r="J304" s="1631"/>
      <c r="K304" s="1631"/>
    </row>
    <row r="305" spans="1:11">
      <c r="A305" s="1541"/>
      <c r="B305" s="1541"/>
      <c r="C305" s="1541"/>
      <c r="D305" s="1541"/>
      <c r="E305" s="1541"/>
      <c r="F305" s="2629"/>
      <c r="G305" s="1541"/>
      <c r="H305" s="1541"/>
      <c r="I305" s="1541"/>
      <c r="J305" s="1631"/>
      <c r="K305" s="1631"/>
    </row>
    <row r="306" spans="1:11">
      <c r="A306" s="1621"/>
      <c r="B306" s="1621"/>
      <c r="C306" s="1621"/>
      <c r="D306" s="1621"/>
      <c r="E306" s="1621"/>
      <c r="F306" s="2677"/>
      <c r="G306" s="1621"/>
      <c r="H306" s="1621"/>
      <c r="I306" s="1621"/>
      <c r="J306" s="1631"/>
      <c r="K306" s="1631"/>
    </row>
    <row r="307" spans="1:11">
      <c r="A307" s="1505">
        <v>17</v>
      </c>
      <c r="B307" s="1541"/>
      <c r="C307" s="1541"/>
      <c r="D307" s="1506" t="s">
        <v>1445</v>
      </c>
      <c r="E307" s="1539">
        <f>SUM(E288:E303)</f>
        <v>834932911</v>
      </c>
      <c r="F307" s="1538"/>
      <c r="G307" s="1539">
        <f>SUM(G288:G303)</f>
        <v>834932911</v>
      </c>
      <c r="H307" s="1539">
        <f>SUM(H288:H303)</f>
        <v>-35302027</v>
      </c>
      <c r="I307" s="1539">
        <f>SUM(I288:I303)</f>
        <v>799630884</v>
      </c>
      <c r="J307" s="1631"/>
      <c r="K307" s="2682" t="str">
        <f>IF(E307='SCH B-2.3'!L306,"BALANCED","ERROR")</f>
        <v>BALANCED</v>
      </c>
    </row>
    <row r="308" spans="1:11">
      <c r="A308" s="1541"/>
      <c r="B308" s="1541"/>
      <c r="C308" s="1541"/>
      <c r="D308" s="1541"/>
      <c r="E308" s="1539"/>
      <c r="F308" s="1538"/>
      <c r="G308" s="1539"/>
      <c r="H308" s="1539"/>
      <c r="I308" s="1539"/>
      <c r="J308" s="1631"/>
      <c r="K308" s="1631"/>
    </row>
    <row r="309" spans="1:11">
      <c r="A309" s="1621"/>
      <c r="B309" s="1621"/>
      <c r="C309" s="1621"/>
      <c r="D309" s="1621"/>
      <c r="E309" s="1621"/>
      <c r="F309" s="2677"/>
      <c r="G309" s="1621"/>
      <c r="H309" s="1621"/>
      <c r="I309" s="1621"/>
      <c r="J309" s="1631"/>
      <c r="K309" s="1631"/>
    </row>
    <row r="310" spans="1:11">
      <c r="A310" s="103" t="str">
        <f>COMPANY</f>
        <v>DUKE ENERGY KENTUCKY, INC.</v>
      </c>
      <c r="B310" s="2585"/>
      <c r="C310" s="2585"/>
      <c r="D310" s="2585"/>
      <c r="E310" s="2589"/>
      <c r="F310" s="2585"/>
      <c r="G310" s="2585"/>
      <c r="H310" s="2585"/>
      <c r="I310" s="2585"/>
      <c r="J310" s="1631"/>
      <c r="K310" s="1631"/>
    </row>
    <row r="311" spans="1:11">
      <c r="A311" s="103" t="str">
        <f>CASE</f>
        <v>CASE NO. 2017-00321</v>
      </c>
      <c r="B311" s="2585"/>
      <c r="C311" s="2585"/>
      <c r="D311" s="2585"/>
      <c r="E311" s="2589"/>
      <c r="F311" s="2585"/>
      <c r="G311" s="2585"/>
      <c r="H311" s="2585"/>
      <c r="I311" s="2585"/>
      <c r="J311" s="1631"/>
      <c r="K311" s="1631"/>
    </row>
    <row r="312" spans="1:11">
      <c r="A312" s="103" t="s">
        <v>1162</v>
      </c>
      <c r="B312" s="2585"/>
      <c r="C312" s="2585"/>
      <c r="D312" s="2585"/>
      <c r="E312" s="2589"/>
      <c r="F312" s="2585"/>
      <c r="G312" s="2585"/>
      <c r="H312" s="2585"/>
      <c r="I312" s="2585"/>
      <c r="J312" s="1631"/>
      <c r="K312" s="1631"/>
    </row>
    <row r="313" spans="1:11">
      <c r="A313" s="76" t="str">
        <f>"AS OF " &amp;RIGHT(Forecast,(LEN(Forecast)-16))</f>
        <v>AS OF MARCH 31, 2019</v>
      </c>
      <c r="B313" s="2585"/>
      <c r="C313" s="2585"/>
      <c r="D313" s="2585"/>
      <c r="E313" s="2589"/>
      <c r="F313" s="2585"/>
      <c r="G313" s="2585"/>
      <c r="H313" s="2585"/>
      <c r="I313" s="2585"/>
      <c r="J313" s="1631"/>
      <c r="K313" s="1631"/>
    </row>
    <row r="314" spans="1:11">
      <c r="A314" s="2585"/>
      <c r="B314" s="2585"/>
      <c r="C314" s="2585"/>
      <c r="D314" s="2585"/>
      <c r="E314" s="2589"/>
      <c r="F314" s="2585"/>
      <c r="G314" s="2585"/>
      <c r="H314" s="2585"/>
      <c r="I314" s="2585"/>
      <c r="J314" s="1631"/>
      <c r="K314" s="1631"/>
    </row>
    <row r="315" spans="1:11">
      <c r="A315" s="103" t="s">
        <v>340</v>
      </c>
      <c r="B315" s="2585"/>
      <c r="C315" s="2585"/>
      <c r="D315" s="2585"/>
      <c r="E315" s="2589"/>
      <c r="F315" s="2585"/>
      <c r="G315" s="2585"/>
      <c r="H315" s="2585"/>
      <c r="I315" s="2585"/>
      <c r="J315" s="1631"/>
      <c r="K315" s="1631"/>
    </row>
    <row r="316" spans="1:11">
      <c r="A316" s="2585"/>
      <c r="B316" s="2585"/>
      <c r="C316" s="2585"/>
      <c r="D316" s="2585"/>
      <c r="E316" s="2589"/>
      <c r="F316" s="2585"/>
      <c r="G316" s="2585"/>
      <c r="H316" s="2585"/>
      <c r="I316" s="2585"/>
      <c r="J316" s="1631"/>
      <c r="K316" s="1631"/>
    </row>
    <row r="317" spans="1:11">
      <c r="A317" s="2569" t="s">
        <v>1799</v>
      </c>
      <c r="B317" s="2585"/>
      <c r="C317" s="2585"/>
      <c r="D317" s="2585"/>
      <c r="E317" s="2589"/>
      <c r="F317" s="2585"/>
      <c r="G317" s="2585"/>
      <c r="H317" s="2585"/>
      <c r="I317" s="2585"/>
      <c r="J317" s="1631"/>
      <c r="K317" s="1631"/>
    </row>
    <row r="318" spans="1:11">
      <c r="A318" s="1541"/>
      <c r="B318" s="1541"/>
      <c r="C318" s="1541"/>
      <c r="D318" s="1541"/>
      <c r="E318" s="1541"/>
      <c r="F318" s="1541"/>
      <c r="G318" s="1541"/>
      <c r="H318" s="1541"/>
      <c r="I318" s="1541"/>
      <c r="J318" s="1631"/>
      <c r="K318" s="1631"/>
    </row>
    <row r="319" spans="1:11">
      <c r="A319" s="1506" t="str">
        <f>DataF</f>
        <v>DATA:  BASE PERIOD  "X" FORECASTED PERIOD</v>
      </c>
      <c r="B319" s="1541"/>
      <c r="C319" s="1541"/>
      <c r="D319" s="1541"/>
      <c r="E319" s="1541"/>
      <c r="F319" s="1541"/>
      <c r="G319" s="1541"/>
      <c r="H319" s="2619" t="s">
        <v>1163</v>
      </c>
      <c r="I319" s="1541"/>
      <c r="J319" s="1631"/>
      <c r="K319" s="1631"/>
    </row>
    <row r="320" spans="1:11">
      <c r="A320" s="1506" t="str">
        <f>Type</f>
        <v xml:space="preserve">TYPE OF FILING:  "X" ORIGINAL   UPDATED    REVISED  </v>
      </c>
      <c r="B320" s="1541"/>
      <c r="C320" s="1541"/>
      <c r="D320" s="1541"/>
      <c r="E320" s="1541"/>
      <c r="F320" s="1541"/>
      <c r="G320" s="1541"/>
      <c r="H320" s="2619" t="s">
        <v>1901</v>
      </c>
      <c r="I320" s="1541"/>
      <c r="J320" s="1631"/>
      <c r="K320" s="1631"/>
    </row>
    <row r="321" spans="1:11">
      <c r="A321" s="1506" t="s">
        <v>427</v>
      </c>
      <c r="B321" s="1541"/>
      <c r="C321" s="1541"/>
      <c r="D321" s="1541"/>
      <c r="E321" s="1541"/>
      <c r="F321" s="1541"/>
      <c r="G321" s="1541"/>
      <c r="H321" s="2619" t="s">
        <v>622</v>
      </c>
      <c r="I321" s="1541"/>
      <c r="J321" s="1631"/>
      <c r="K321" s="1631"/>
    </row>
    <row r="322" spans="1:11">
      <c r="A322" s="1541"/>
      <c r="B322" s="1541"/>
      <c r="C322" s="1541"/>
      <c r="D322" s="1541"/>
      <c r="E322" s="1541"/>
      <c r="F322" s="1541"/>
      <c r="G322" s="1541"/>
      <c r="H322" s="2586" t="str">
        <f>_WIT7</f>
        <v>R. H. PRATT / C. S. LEE</v>
      </c>
      <c r="I322" s="1541"/>
      <c r="J322" s="1631"/>
      <c r="K322" s="1631"/>
    </row>
    <row r="323" spans="1:11">
      <c r="A323" s="1541"/>
      <c r="B323" s="1541"/>
      <c r="C323" s="1541"/>
      <c r="D323" s="1541"/>
      <c r="E323" s="1541"/>
      <c r="F323" s="1541"/>
      <c r="G323" s="1541"/>
      <c r="H323" s="1541"/>
      <c r="I323" s="1541"/>
      <c r="J323" s="1631"/>
      <c r="K323" s="1631"/>
    </row>
    <row r="324" spans="1:11">
      <c r="A324" s="1541"/>
      <c r="B324" s="1541"/>
      <c r="C324" s="1541"/>
      <c r="D324" s="1541"/>
      <c r="E324" s="1539"/>
      <c r="F324" s="1538"/>
      <c r="G324" s="1539"/>
      <c r="H324" s="1539"/>
      <c r="I324" s="1539"/>
      <c r="J324" s="1631"/>
      <c r="K324" s="1631"/>
    </row>
    <row r="325" spans="1:11">
      <c r="A325" s="1621"/>
      <c r="B325" s="2681"/>
      <c r="C325" s="2680"/>
      <c r="D325" s="1621"/>
      <c r="E325" s="1622"/>
      <c r="F325" s="1623"/>
      <c r="G325" s="1622"/>
      <c r="H325" s="1622"/>
      <c r="I325" s="1622"/>
      <c r="J325" s="1631"/>
      <c r="K325" s="1631"/>
    </row>
    <row r="326" spans="1:11">
      <c r="A326" s="89"/>
      <c r="B326" s="90" t="s">
        <v>943</v>
      </c>
      <c r="C326" s="90" t="s">
        <v>1750</v>
      </c>
      <c r="D326" s="89"/>
      <c r="E326" s="78" t="s">
        <v>1967</v>
      </c>
      <c r="F326" s="91"/>
      <c r="G326" s="92"/>
      <c r="H326" s="92"/>
      <c r="I326" s="92"/>
      <c r="J326" s="1631"/>
      <c r="K326" s="1631"/>
    </row>
    <row r="327" spans="1:11">
      <c r="A327" s="1505" t="s">
        <v>1240</v>
      </c>
      <c r="B327" s="1505" t="s">
        <v>1164</v>
      </c>
      <c r="C327" s="1505" t="s">
        <v>1164</v>
      </c>
      <c r="D327" s="1541"/>
      <c r="E327" s="90" t="s">
        <v>873</v>
      </c>
      <c r="F327" s="2630" t="s">
        <v>802</v>
      </c>
      <c r="G327" s="2581" t="s">
        <v>802</v>
      </c>
      <c r="H327" s="1539"/>
      <c r="I327" s="2581" t="s">
        <v>574</v>
      </c>
      <c r="J327" s="1631"/>
      <c r="K327" s="1631"/>
    </row>
    <row r="328" spans="1:11">
      <c r="A328" s="1505" t="s">
        <v>1241</v>
      </c>
      <c r="B328" s="1505" t="s">
        <v>1241</v>
      </c>
      <c r="C328" s="1505" t="s">
        <v>1241</v>
      </c>
      <c r="D328" s="1505" t="s">
        <v>1165</v>
      </c>
      <c r="E328" s="90" t="s">
        <v>207</v>
      </c>
      <c r="F328" s="2631" t="s">
        <v>363</v>
      </c>
      <c r="G328" s="2632" t="s">
        <v>1929</v>
      </c>
      <c r="H328" s="2632" t="s">
        <v>573</v>
      </c>
      <c r="I328" s="2632" t="s">
        <v>1449</v>
      </c>
      <c r="J328" s="1631"/>
      <c r="K328" s="1631"/>
    </row>
    <row r="329" spans="1:11">
      <c r="A329" s="1505"/>
      <c r="B329" s="1505"/>
      <c r="C329" s="1505"/>
      <c r="D329" s="1505"/>
      <c r="E329" s="2621"/>
      <c r="F329" s="2633"/>
      <c r="G329" s="2634"/>
      <c r="H329" s="2634"/>
      <c r="I329" s="2634"/>
      <c r="J329" s="1631"/>
      <c r="K329" s="1631"/>
    </row>
    <row r="330" spans="1:11">
      <c r="A330" s="1621"/>
      <c r="B330" s="1621"/>
      <c r="C330" s="1621"/>
      <c r="D330" s="1621"/>
      <c r="E330" s="2581" t="s">
        <v>1705</v>
      </c>
      <c r="F330" s="2629"/>
      <c r="G330" s="2581" t="s">
        <v>1705</v>
      </c>
      <c r="H330" s="2581" t="s">
        <v>1705</v>
      </c>
      <c r="I330" s="2581" t="s">
        <v>1705</v>
      </c>
      <c r="J330" s="1631"/>
      <c r="K330" s="1631"/>
    </row>
    <row r="331" spans="1:11">
      <c r="A331" s="89"/>
      <c r="B331" s="89"/>
      <c r="C331" s="89"/>
      <c r="D331" s="89"/>
      <c r="E331" s="89"/>
      <c r="F331" s="93"/>
      <c r="G331" s="89"/>
      <c r="H331" s="89"/>
      <c r="I331" s="89"/>
      <c r="J331" s="1631"/>
      <c r="K331" s="1631"/>
    </row>
    <row r="332" spans="1:11">
      <c r="A332" s="1505" t="s">
        <v>1166</v>
      </c>
      <c r="B332" s="1505">
        <v>340</v>
      </c>
      <c r="C332" s="1505">
        <v>3400</v>
      </c>
      <c r="D332" s="1506" t="s">
        <v>849</v>
      </c>
      <c r="E332" s="94">
        <f>'SCH B-2.3'!L331</f>
        <v>2258588</v>
      </c>
      <c r="F332" s="1616">
        <v>1</v>
      </c>
      <c r="G332" s="1539">
        <f t="shared" ref="G332:G344" si="14">ROUND((E332*F332),0)</f>
        <v>2258588</v>
      </c>
      <c r="H332" s="89"/>
      <c r="I332" s="1539">
        <f t="shared" ref="I332:I344" si="15">G332+H332</f>
        <v>2258588</v>
      </c>
      <c r="J332" s="1631"/>
      <c r="K332" s="1631"/>
    </row>
    <row r="333" spans="1:11">
      <c r="A333" s="1505" t="s">
        <v>1167</v>
      </c>
      <c r="B333" s="1505">
        <v>340</v>
      </c>
      <c r="C333" s="1505">
        <v>3401</v>
      </c>
      <c r="D333" s="1506" t="s">
        <v>1168</v>
      </c>
      <c r="E333" s="94">
        <f>'SCH B-2.3'!L332</f>
        <v>651684</v>
      </c>
      <c r="F333" s="1616">
        <v>1</v>
      </c>
      <c r="G333" s="1539">
        <f t="shared" si="14"/>
        <v>651684</v>
      </c>
      <c r="H333" s="89"/>
      <c r="I333" s="1539">
        <f t="shared" si="15"/>
        <v>651684</v>
      </c>
      <c r="J333" s="1631"/>
      <c r="K333" s="1631"/>
    </row>
    <row r="334" spans="1:11">
      <c r="A334" s="1505" t="s">
        <v>1169</v>
      </c>
      <c r="B334" s="1505">
        <v>341</v>
      </c>
      <c r="C334" s="1505">
        <v>3410</v>
      </c>
      <c r="D334" s="1506" t="s">
        <v>1170</v>
      </c>
      <c r="E334" s="94">
        <f>'SCH B-2.3'!L333</f>
        <v>32107779</v>
      </c>
      <c r="F334" s="1616">
        <v>1</v>
      </c>
      <c r="G334" s="1539">
        <f t="shared" si="14"/>
        <v>32107779</v>
      </c>
      <c r="H334" s="89"/>
      <c r="I334" s="1539">
        <f t="shared" si="15"/>
        <v>32107779</v>
      </c>
      <c r="J334" s="1631"/>
      <c r="K334" s="1631"/>
    </row>
    <row r="335" spans="1:11">
      <c r="A335" s="1505" t="s">
        <v>1171</v>
      </c>
      <c r="B335" s="1505">
        <v>341</v>
      </c>
      <c r="C335" s="1505">
        <v>3410</v>
      </c>
      <c r="D335" s="1506" t="s">
        <v>3337</v>
      </c>
      <c r="E335" s="94">
        <f>'SCH B-2.3'!L334</f>
        <v>3958749</v>
      </c>
      <c r="F335" s="1616">
        <v>1</v>
      </c>
      <c r="G335" s="1539">
        <f t="shared" si="14"/>
        <v>3958749</v>
      </c>
      <c r="H335" s="89"/>
      <c r="I335" s="1539">
        <f t="shared" si="15"/>
        <v>3958749</v>
      </c>
      <c r="J335" s="1631"/>
      <c r="K335" s="1631"/>
    </row>
    <row r="336" spans="1:11">
      <c r="A336" s="1505" t="s">
        <v>977</v>
      </c>
      <c r="B336" s="1505">
        <v>342</v>
      </c>
      <c r="C336" s="1505">
        <v>3420</v>
      </c>
      <c r="D336" s="1506" t="s">
        <v>341</v>
      </c>
      <c r="E336" s="94">
        <f>'SCH B-2.3'!L335</f>
        <v>15706122</v>
      </c>
      <c r="F336" s="1616">
        <v>1</v>
      </c>
      <c r="G336" s="1539">
        <f t="shared" si="14"/>
        <v>15706122</v>
      </c>
      <c r="H336" s="89"/>
      <c r="I336" s="1539">
        <f t="shared" si="15"/>
        <v>15706122</v>
      </c>
      <c r="J336" s="1631"/>
      <c r="K336" s="1631"/>
    </row>
    <row r="337" spans="1:11">
      <c r="A337" s="1505" t="s">
        <v>1596</v>
      </c>
      <c r="B337" s="1505">
        <v>344</v>
      </c>
      <c r="C337" s="1505">
        <v>3440</v>
      </c>
      <c r="D337" s="1506" t="s">
        <v>1717</v>
      </c>
      <c r="E337" s="94">
        <f>'SCH B-2.3'!L336</f>
        <v>206269908</v>
      </c>
      <c r="F337" s="1616">
        <v>1</v>
      </c>
      <c r="G337" s="1539">
        <f t="shared" si="14"/>
        <v>206269908</v>
      </c>
      <c r="H337" s="89"/>
      <c r="I337" s="1539">
        <f t="shared" si="15"/>
        <v>206269908</v>
      </c>
      <c r="J337" s="1631"/>
      <c r="K337" s="1631"/>
    </row>
    <row r="338" spans="1:11">
      <c r="A338" s="1505" t="s">
        <v>978</v>
      </c>
      <c r="B338" s="1505">
        <v>344</v>
      </c>
      <c r="C338" s="1505">
        <v>3440</v>
      </c>
      <c r="D338" s="1506" t="s">
        <v>3338</v>
      </c>
      <c r="E338" s="94">
        <f>'SCH B-2.3'!L337</f>
        <v>10451088</v>
      </c>
      <c r="F338" s="1616">
        <v>1</v>
      </c>
      <c r="G338" s="1539">
        <f t="shared" si="14"/>
        <v>10451088</v>
      </c>
      <c r="H338" s="89"/>
      <c r="I338" s="1539">
        <f t="shared" si="15"/>
        <v>10451088</v>
      </c>
      <c r="J338" s="1631"/>
      <c r="K338" s="1631"/>
    </row>
    <row r="339" spans="1:11">
      <c r="A339" s="1505" t="s">
        <v>979</v>
      </c>
      <c r="B339" s="1505">
        <v>344</v>
      </c>
      <c r="C339" s="1505" t="s">
        <v>2707</v>
      </c>
      <c r="D339" s="1506" t="s">
        <v>1717</v>
      </c>
      <c r="E339" s="94">
        <f>'SCH B-2.3'!L338</f>
        <v>14573894</v>
      </c>
      <c r="F339" s="1616">
        <v>1</v>
      </c>
      <c r="G339" s="1539">
        <f t="shared" si="14"/>
        <v>14573894</v>
      </c>
      <c r="H339" s="89"/>
      <c r="I339" s="1539">
        <f t="shared" si="15"/>
        <v>14573894</v>
      </c>
      <c r="J339" s="1631"/>
      <c r="K339" s="1631"/>
    </row>
    <row r="340" spans="1:11">
      <c r="A340" s="1505" t="s">
        <v>980</v>
      </c>
      <c r="B340" s="1505">
        <v>345</v>
      </c>
      <c r="C340" s="1505">
        <v>3450</v>
      </c>
      <c r="D340" s="1506" t="s">
        <v>337</v>
      </c>
      <c r="E340" s="94">
        <f>'SCH B-2.3'!L339</f>
        <v>21204320</v>
      </c>
      <c r="F340" s="1616">
        <v>1</v>
      </c>
      <c r="G340" s="1539">
        <f t="shared" si="14"/>
        <v>21204320</v>
      </c>
      <c r="H340" s="89"/>
      <c r="I340" s="1539">
        <f t="shared" si="15"/>
        <v>21204320</v>
      </c>
      <c r="J340" s="1631"/>
      <c r="K340" s="1631"/>
    </row>
    <row r="341" spans="1:11">
      <c r="A341" s="1505" t="s">
        <v>850</v>
      </c>
      <c r="B341" s="1505">
        <v>345</v>
      </c>
      <c r="C341" s="1505">
        <v>3450</v>
      </c>
      <c r="D341" s="1506" t="s">
        <v>3339</v>
      </c>
      <c r="E341" s="94">
        <f>'SCH B-2.3'!L340</f>
        <v>456133</v>
      </c>
      <c r="F341" s="1616">
        <v>1</v>
      </c>
      <c r="G341" s="1539">
        <f t="shared" si="14"/>
        <v>456133</v>
      </c>
      <c r="H341" s="89"/>
      <c r="I341" s="1539">
        <f t="shared" si="15"/>
        <v>456133</v>
      </c>
      <c r="J341" s="1631"/>
      <c r="K341" s="1631"/>
    </row>
    <row r="342" spans="1:11">
      <c r="A342" s="1505" t="s">
        <v>851</v>
      </c>
      <c r="B342" s="1505">
        <v>346</v>
      </c>
      <c r="C342" s="1505">
        <v>3460</v>
      </c>
      <c r="D342" s="1506" t="s">
        <v>1718</v>
      </c>
      <c r="E342" s="94">
        <f>'SCH B-2.3'!L341</f>
        <v>4040664</v>
      </c>
      <c r="F342" s="1616">
        <v>1</v>
      </c>
      <c r="G342" s="1539">
        <f t="shared" si="14"/>
        <v>4040664</v>
      </c>
      <c r="H342" s="89"/>
      <c r="I342" s="1539">
        <f t="shared" si="15"/>
        <v>4040664</v>
      </c>
      <c r="J342" s="1631"/>
      <c r="K342" s="1631"/>
    </row>
    <row r="343" spans="1:11">
      <c r="A343" s="1505" t="s">
        <v>852</v>
      </c>
      <c r="B343" s="1505">
        <v>346</v>
      </c>
      <c r="C343" s="1505">
        <v>3460</v>
      </c>
      <c r="D343" s="1506" t="s">
        <v>3340</v>
      </c>
      <c r="E343" s="94">
        <f>'SCH B-2.3'!L342</f>
        <v>601418</v>
      </c>
      <c r="F343" s="1616">
        <v>1</v>
      </c>
      <c r="G343" s="1539">
        <f t="shared" si="14"/>
        <v>601418</v>
      </c>
      <c r="H343" s="89"/>
      <c r="I343" s="1539">
        <f t="shared" si="15"/>
        <v>601418</v>
      </c>
      <c r="J343" s="1631"/>
      <c r="K343" s="1631"/>
    </row>
    <row r="344" spans="1:11">
      <c r="A344" s="1505" t="s">
        <v>853</v>
      </c>
      <c r="B344" s="1506"/>
      <c r="C344" s="1506"/>
      <c r="D344" s="1506" t="s">
        <v>1483</v>
      </c>
      <c r="E344" s="94">
        <f>'SCH B-2.3'!L343</f>
        <v>21866881</v>
      </c>
      <c r="F344" s="1616">
        <v>1</v>
      </c>
      <c r="G344" s="1539">
        <f t="shared" si="14"/>
        <v>21866881</v>
      </c>
      <c r="H344" s="89"/>
      <c r="I344" s="1539">
        <f t="shared" si="15"/>
        <v>21866881</v>
      </c>
      <c r="J344" s="1631"/>
      <c r="K344" s="1631"/>
    </row>
    <row r="345" spans="1:11">
      <c r="A345" s="89"/>
      <c r="B345" s="89"/>
      <c r="C345" s="89"/>
      <c r="D345" s="89"/>
      <c r="E345" s="89"/>
      <c r="F345" s="93"/>
      <c r="G345" s="89"/>
      <c r="H345" s="89"/>
      <c r="I345" s="89"/>
      <c r="J345" s="1631"/>
      <c r="K345" s="1631"/>
    </row>
    <row r="346" spans="1:11">
      <c r="A346" s="1541"/>
      <c r="B346" s="1541"/>
      <c r="C346" s="1541"/>
      <c r="D346" s="1541"/>
      <c r="E346" s="1541"/>
      <c r="F346" s="2629"/>
      <c r="G346" s="1541"/>
      <c r="H346" s="1541"/>
      <c r="I346" s="1541"/>
      <c r="J346" s="1631"/>
      <c r="K346" s="1631"/>
    </row>
    <row r="347" spans="1:11">
      <c r="A347" s="1621"/>
      <c r="B347" s="1621"/>
      <c r="C347" s="1621"/>
      <c r="D347" s="1621"/>
      <c r="E347" s="1621"/>
      <c r="F347" s="2677"/>
      <c r="G347" s="1621"/>
      <c r="H347" s="1621"/>
      <c r="I347" s="1621"/>
      <c r="J347" s="1631"/>
      <c r="K347" s="1631"/>
    </row>
    <row r="348" spans="1:11">
      <c r="A348" s="1505">
        <v>14</v>
      </c>
      <c r="B348" s="1541"/>
      <c r="C348" s="1541"/>
      <c r="D348" s="1506" t="s">
        <v>778</v>
      </c>
      <c r="E348" s="1539">
        <f>SUM(E331:E345)</f>
        <v>334147228</v>
      </c>
      <c r="F348" s="1538"/>
      <c r="G348" s="1539">
        <f>SUM(G331:G345)</f>
        <v>334147228</v>
      </c>
      <c r="H348" s="1539">
        <f>SUM(H331:H345)</f>
        <v>0</v>
      </c>
      <c r="I348" s="1539">
        <f>SUM(I331:I345)</f>
        <v>334147228</v>
      </c>
      <c r="J348" s="1631"/>
      <c r="K348" s="2682" t="str">
        <f>IF(E348='SCH B-2.3'!L347,"BALANCED","ERROR")</f>
        <v>BALANCED</v>
      </c>
    </row>
    <row r="349" spans="1:11">
      <c r="A349" s="2587"/>
      <c r="B349" s="2587"/>
      <c r="C349" s="2587"/>
      <c r="D349" s="2587"/>
      <c r="E349" s="2611"/>
      <c r="F349" s="2637"/>
      <c r="G349" s="2611"/>
      <c r="H349" s="2611"/>
      <c r="I349" s="2611"/>
      <c r="J349" s="1631"/>
      <c r="K349" s="1631"/>
    </row>
    <row r="350" spans="1:11">
      <c r="A350" s="1541"/>
      <c r="B350" s="1541"/>
      <c r="C350" s="1541"/>
      <c r="D350" s="1541"/>
      <c r="E350" s="1539"/>
      <c r="F350" s="1538"/>
      <c r="G350" s="1539"/>
      <c r="H350" s="1539"/>
      <c r="I350" s="1539"/>
      <c r="J350" s="1631"/>
      <c r="K350" s="1631"/>
    </row>
    <row r="351" spans="1:11">
      <c r="A351" s="103" t="str">
        <f>COMPANY</f>
        <v>DUKE ENERGY KENTUCKY, INC.</v>
      </c>
      <c r="B351" s="2585"/>
      <c r="C351" s="2585"/>
      <c r="D351" s="103"/>
      <c r="E351" s="2585"/>
      <c r="F351" s="2628"/>
      <c r="G351" s="2585"/>
      <c r="H351" s="2585"/>
      <c r="I351" s="2585"/>
      <c r="J351" s="1631"/>
      <c r="K351" s="1631"/>
    </row>
    <row r="352" spans="1:11">
      <c r="A352" s="103" t="str">
        <f>CASE</f>
        <v>CASE NO. 2017-00321</v>
      </c>
      <c r="B352" s="2585"/>
      <c r="C352" s="2585"/>
      <c r="D352" s="103"/>
      <c r="E352" s="2585"/>
      <c r="F352" s="2628"/>
      <c r="G352" s="2585"/>
      <c r="H352" s="2585"/>
      <c r="I352" s="2585"/>
      <c r="J352" s="1631"/>
      <c r="K352" s="1631"/>
    </row>
    <row r="353" spans="1:11">
      <c r="A353" s="103" t="s">
        <v>1162</v>
      </c>
      <c r="B353" s="2585"/>
      <c r="C353" s="2585"/>
      <c r="D353" s="103"/>
      <c r="E353" s="2585"/>
      <c r="F353" s="2628"/>
      <c r="G353" s="2585"/>
      <c r="H353" s="2585"/>
      <c r="I353" s="2585"/>
      <c r="J353" s="1631"/>
      <c r="K353" s="1631"/>
    </row>
    <row r="354" spans="1:11">
      <c r="A354" s="76" t="str">
        <f>"AS OF " &amp;RIGHT(TESTYR,(LEN(TESTYR)-16))</f>
        <v>AS OF NOVEMBER 30, 2017</v>
      </c>
      <c r="B354" s="2585"/>
      <c r="C354" s="2585"/>
      <c r="D354" s="103"/>
      <c r="E354" s="2585"/>
      <c r="F354" s="2628"/>
      <c r="G354" s="2585"/>
      <c r="H354" s="2585"/>
      <c r="I354" s="2585"/>
      <c r="J354" s="1631"/>
      <c r="K354" s="1631"/>
    </row>
    <row r="355" spans="1:11">
      <c r="A355" s="2585"/>
      <c r="B355" s="2585"/>
      <c r="C355" s="2585"/>
      <c r="D355" s="2585"/>
      <c r="E355" s="2585"/>
      <c r="F355" s="2628"/>
      <c r="G355" s="2585"/>
      <c r="H355" s="2585"/>
      <c r="I355" s="2585"/>
      <c r="J355" s="1631"/>
      <c r="K355" s="1631"/>
    </row>
    <row r="356" spans="1:11">
      <c r="A356" s="103" t="s">
        <v>1447</v>
      </c>
      <c r="B356" s="2585"/>
      <c r="C356" s="2585"/>
      <c r="D356" s="103"/>
      <c r="E356" s="2585"/>
      <c r="F356" s="2628"/>
      <c r="G356" s="2585"/>
      <c r="H356" s="2585"/>
      <c r="I356" s="2585"/>
      <c r="J356" s="1631"/>
      <c r="K356" s="1631"/>
    </row>
    <row r="357" spans="1:11">
      <c r="A357" s="2569" t="s">
        <v>1799</v>
      </c>
      <c r="B357" s="2585"/>
      <c r="C357" s="2585"/>
      <c r="D357" s="103"/>
      <c r="E357" s="2585"/>
      <c r="F357" s="2628"/>
      <c r="G357" s="2585"/>
      <c r="H357" s="2585"/>
      <c r="I357" s="2585"/>
      <c r="J357" s="1631"/>
      <c r="K357" s="1631"/>
    </row>
    <row r="358" spans="1:11">
      <c r="A358" s="2638"/>
      <c r="B358" s="1541"/>
      <c r="C358" s="1541"/>
      <c r="D358" s="1541"/>
      <c r="E358" s="1541"/>
      <c r="F358" s="2629"/>
      <c r="G358" s="1541"/>
      <c r="H358" s="1541"/>
      <c r="I358" s="1541"/>
      <c r="J358" s="1631"/>
      <c r="K358" s="1631"/>
    </row>
    <row r="359" spans="1:11">
      <c r="A359" s="2638"/>
      <c r="B359" s="1541"/>
      <c r="C359" s="1541"/>
      <c r="D359" s="1541"/>
      <c r="E359" s="1541"/>
      <c r="F359" s="2629"/>
      <c r="G359" s="1541"/>
      <c r="H359" s="2619" t="str">
        <f>H10</f>
        <v>SCHEDULE B-2.1</v>
      </c>
      <c r="I359" s="1541"/>
      <c r="J359" s="1631"/>
      <c r="K359" s="1631"/>
    </row>
    <row r="360" spans="1:11">
      <c r="A360" s="1506" t="str">
        <f>DataF</f>
        <v>DATA:  BASE PERIOD  "X" FORECASTED PERIOD</v>
      </c>
      <c r="B360" s="1541"/>
      <c r="C360" s="1541"/>
      <c r="D360" s="1541"/>
      <c r="E360" s="1541"/>
      <c r="F360" s="2629"/>
      <c r="G360" s="1541"/>
      <c r="H360" s="2619" t="s">
        <v>1902</v>
      </c>
      <c r="I360" s="1541"/>
      <c r="J360" s="1631"/>
      <c r="K360" s="1631"/>
    </row>
    <row r="361" spans="1:11">
      <c r="A361" s="1506" t="str">
        <f>Type</f>
        <v xml:space="preserve">TYPE OF FILING:  "X" ORIGINAL   UPDATED    REVISED  </v>
      </c>
      <c r="B361" s="1541"/>
      <c r="C361" s="1541"/>
      <c r="D361" s="1541"/>
      <c r="E361" s="1541"/>
      <c r="F361" s="2629"/>
      <c r="G361" s="1541"/>
      <c r="H361" s="2619" t="s">
        <v>622</v>
      </c>
      <c r="I361" s="1541"/>
      <c r="J361" s="1631"/>
      <c r="K361" s="1631"/>
    </row>
    <row r="362" spans="1:11">
      <c r="A362" s="1506" t="s">
        <v>427</v>
      </c>
      <c r="B362" s="1541"/>
      <c r="C362" s="1541"/>
      <c r="D362" s="1541"/>
      <c r="E362" s="1541"/>
      <c r="F362" s="2629"/>
      <c r="G362" s="1541"/>
      <c r="H362" s="2586" t="str">
        <f>_WIT7</f>
        <v>R. H. PRATT / C. S. LEE</v>
      </c>
      <c r="I362" s="1541"/>
      <c r="J362" s="1631"/>
      <c r="K362" s="1631"/>
    </row>
    <row r="363" spans="1:11">
      <c r="A363" s="1541"/>
      <c r="B363" s="1541"/>
      <c r="C363" s="1541"/>
      <c r="D363" s="1541"/>
      <c r="E363" s="1541"/>
      <c r="F363" s="2629"/>
      <c r="G363" s="1541"/>
      <c r="H363" s="1541"/>
      <c r="I363" s="1541"/>
      <c r="J363" s="1631"/>
      <c r="K363" s="1631"/>
    </row>
    <row r="364" spans="1:11">
      <c r="A364" s="1541"/>
      <c r="B364" s="1541"/>
      <c r="C364" s="1541"/>
      <c r="D364" s="1541"/>
      <c r="E364" s="1541"/>
      <c r="F364" s="2629"/>
      <c r="G364" s="1541"/>
      <c r="H364" s="1541"/>
      <c r="I364" s="1541"/>
      <c r="J364" s="1631"/>
      <c r="K364" s="1631"/>
    </row>
    <row r="365" spans="1:11">
      <c r="A365" s="1541"/>
      <c r="B365" s="1541"/>
      <c r="C365" s="1541"/>
      <c r="D365" s="1541"/>
      <c r="E365" s="1541"/>
      <c r="F365" s="2629"/>
      <c r="G365" s="1541"/>
      <c r="H365" s="1541"/>
      <c r="I365" s="1541"/>
      <c r="J365" s="1631"/>
      <c r="K365" s="1631"/>
    </row>
    <row r="366" spans="1:11">
      <c r="A366" s="1621"/>
      <c r="B366" s="2679"/>
      <c r="C366" s="2678"/>
      <c r="D366" s="1621"/>
      <c r="E366" s="1621"/>
      <c r="F366" s="2677"/>
      <c r="G366" s="1621"/>
      <c r="H366" s="1622"/>
      <c r="I366" s="2676" t="s">
        <v>1967</v>
      </c>
      <c r="J366" s="1631"/>
      <c r="K366" s="1631"/>
    </row>
    <row r="367" spans="1:11">
      <c r="A367" s="89"/>
      <c r="B367" s="95" t="s">
        <v>943</v>
      </c>
      <c r="C367" s="95" t="s">
        <v>1750</v>
      </c>
      <c r="D367" s="89"/>
      <c r="E367" s="78" t="s">
        <v>1967</v>
      </c>
      <c r="F367" s="93"/>
      <c r="G367" s="89"/>
      <c r="H367" s="77" t="s">
        <v>1967</v>
      </c>
      <c r="I367" s="77" t="s">
        <v>873</v>
      </c>
      <c r="J367" s="1631"/>
      <c r="K367" s="1631"/>
    </row>
    <row r="368" spans="1:11">
      <c r="A368" s="1505" t="s">
        <v>1240</v>
      </c>
      <c r="B368" s="1505" t="s">
        <v>1164</v>
      </c>
      <c r="C368" s="1505" t="s">
        <v>1164</v>
      </c>
      <c r="D368" s="1541"/>
      <c r="E368" s="90" t="s">
        <v>873</v>
      </c>
      <c r="F368" s="2630" t="s">
        <v>802</v>
      </c>
      <c r="G368" s="1505" t="s">
        <v>802</v>
      </c>
      <c r="H368" s="2581" t="s">
        <v>873</v>
      </c>
      <c r="I368" s="2581" t="s">
        <v>574</v>
      </c>
      <c r="J368" s="1631"/>
      <c r="K368" s="1631"/>
    </row>
    <row r="369" spans="1:11">
      <c r="A369" s="1505" t="s">
        <v>1241</v>
      </c>
      <c r="B369" s="1505" t="s">
        <v>1241</v>
      </c>
      <c r="C369" s="1505" t="s">
        <v>1241</v>
      </c>
      <c r="D369" s="1505" t="s">
        <v>1165</v>
      </c>
      <c r="E369" s="90" t="s">
        <v>207</v>
      </c>
      <c r="F369" s="2631" t="s">
        <v>363</v>
      </c>
      <c r="G369" s="90" t="s">
        <v>1929</v>
      </c>
      <c r="H369" s="2632" t="s">
        <v>573</v>
      </c>
      <c r="I369" s="2632" t="s">
        <v>1449</v>
      </c>
      <c r="J369" s="1631"/>
      <c r="K369" s="1631"/>
    </row>
    <row r="370" spans="1:11">
      <c r="A370" s="1505"/>
      <c r="B370" s="1505"/>
      <c r="C370" s="1505"/>
      <c r="D370" s="1505"/>
      <c r="E370" s="2621"/>
      <c r="F370" s="2633"/>
      <c r="G370" s="2621"/>
      <c r="H370" s="2634"/>
      <c r="I370" s="2634"/>
      <c r="J370" s="1631"/>
      <c r="K370" s="1631"/>
    </row>
    <row r="371" spans="1:11">
      <c r="A371" s="1621"/>
      <c r="B371" s="1621"/>
      <c r="C371" s="1621"/>
      <c r="D371" s="1621"/>
      <c r="E371" s="2581" t="s">
        <v>1705</v>
      </c>
      <c r="F371" s="2629"/>
      <c r="G371" s="1505" t="s">
        <v>1705</v>
      </c>
      <c r="H371" s="1505" t="s">
        <v>1705</v>
      </c>
      <c r="I371" s="1505" t="s">
        <v>1705</v>
      </c>
      <c r="J371" s="1631"/>
      <c r="K371" s="1631"/>
    </row>
    <row r="372" spans="1:11">
      <c r="A372" s="1505" t="s">
        <v>529</v>
      </c>
      <c r="B372" s="1541"/>
      <c r="C372" s="1541"/>
      <c r="D372" s="1541"/>
      <c r="E372" s="1631"/>
      <c r="F372" s="2635"/>
      <c r="G372" s="1631"/>
      <c r="H372" s="1631"/>
      <c r="I372" s="1631"/>
      <c r="J372" s="1631"/>
      <c r="K372" s="1631"/>
    </row>
    <row r="373" spans="1:11">
      <c r="A373" s="1505">
        <v>1</v>
      </c>
      <c r="B373" s="321">
        <v>350</v>
      </c>
      <c r="C373" s="321">
        <v>3500</v>
      </c>
      <c r="D373" s="315" t="s">
        <v>1595</v>
      </c>
      <c r="E373" s="1539">
        <f>'SCH B-2.3'!L372</f>
        <v>246667</v>
      </c>
      <c r="F373" s="1616">
        <v>1</v>
      </c>
      <c r="G373" s="1539">
        <f t="shared" ref="G373:G383" si="16">ROUND((E373*F373),0)</f>
        <v>246667</v>
      </c>
      <c r="H373" s="2639"/>
      <c r="I373" s="1539">
        <f t="shared" ref="I373:I383" si="17">G373+H373</f>
        <v>246667</v>
      </c>
      <c r="J373" s="1631"/>
      <c r="K373" s="1631"/>
    </row>
    <row r="374" spans="1:11">
      <c r="A374" s="1505">
        <v>2</v>
      </c>
      <c r="B374" s="321">
        <v>350</v>
      </c>
      <c r="C374" s="321">
        <v>3501</v>
      </c>
      <c r="D374" s="315" t="s">
        <v>1168</v>
      </c>
      <c r="E374" s="1539">
        <f>'SCH B-2.3'!L373</f>
        <v>1092199</v>
      </c>
      <c r="F374" s="1616">
        <v>1</v>
      </c>
      <c r="G374" s="1539">
        <f t="shared" si="16"/>
        <v>1092199</v>
      </c>
      <c r="H374" s="2639"/>
      <c r="I374" s="1539">
        <f t="shared" si="17"/>
        <v>1092199</v>
      </c>
      <c r="J374" s="1631"/>
      <c r="K374" s="1631"/>
    </row>
    <row r="375" spans="1:11">
      <c r="A375" s="1505">
        <v>3</v>
      </c>
      <c r="B375" s="321">
        <v>352</v>
      </c>
      <c r="C375" s="321">
        <v>3520</v>
      </c>
      <c r="D375" s="315" t="s">
        <v>1170</v>
      </c>
      <c r="E375" s="1539">
        <f>'SCH B-2.3'!L374</f>
        <v>1454732</v>
      </c>
      <c r="F375" s="1616">
        <v>1</v>
      </c>
      <c r="G375" s="1539">
        <f t="shared" si="16"/>
        <v>1454732</v>
      </c>
      <c r="H375" s="2639"/>
      <c r="I375" s="1539">
        <f t="shared" si="17"/>
        <v>1454732</v>
      </c>
      <c r="J375" s="1631"/>
      <c r="K375" s="1631"/>
    </row>
    <row r="376" spans="1:11">
      <c r="A376" s="1505">
        <v>4</v>
      </c>
      <c r="B376" s="321">
        <v>353</v>
      </c>
      <c r="C376" s="321">
        <v>3530</v>
      </c>
      <c r="D376" s="315" t="s">
        <v>1721</v>
      </c>
      <c r="E376" s="1539">
        <f>'SCH B-2.3'!L375</f>
        <v>17084779</v>
      </c>
      <c r="F376" s="1616">
        <v>1</v>
      </c>
      <c r="G376" s="1539">
        <f t="shared" si="16"/>
        <v>17084779</v>
      </c>
      <c r="H376" s="2639"/>
      <c r="I376" s="1539">
        <f t="shared" si="17"/>
        <v>17084779</v>
      </c>
      <c r="J376" s="1631"/>
      <c r="K376" s="1631"/>
    </row>
    <row r="377" spans="1:11">
      <c r="A377" s="1505">
        <v>5</v>
      </c>
      <c r="B377" s="321">
        <v>353</v>
      </c>
      <c r="C377" s="321">
        <v>3531</v>
      </c>
      <c r="D377" s="315" t="s">
        <v>2926</v>
      </c>
      <c r="E377" s="1539">
        <f>'SCH B-2.3'!L376</f>
        <v>9373634</v>
      </c>
      <c r="F377" s="1616">
        <v>1</v>
      </c>
      <c r="G377" s="1539">
        <f t="shared" si="16"/>
        <v>9373634</v>
      </c>
      <c r="H377" s="2639"/>
      <c r="I377" s="1539">
        <f t="shared" si="17"/>
        <v>9373634</v>
      </c>
      <c r="J377" s="1631"/>
      <c r="K377" s="1631"/>
    </row>
    <row r="378" spans="1:11">
      <c r="A378" s="1505">
        <v>6</v>
      </c>
      <c r="B378" s="321">
        <v>353</v>
      </c>
      <c r="C378" s="321">
        <v>3532</v>
      </c>
      <c r="D378" s="315" t="s">
        <v>2927</v>
      </c>
      <c r="E378" s="1539">
        <f>'SCH B-2.3'!L377</f>
        <v>5891325</v>
      </c>
      <c r="F378" s="1616">
        <v>1</v>
      </c>
      <c r="G378" s="1539">
        <f t="shared" si="16"/>
        <v>5891325</v>
      </c>
      <c r="H378" s="2639"/>
      <c r="I378" s="1539">
        <f t="shared" si="17"/>
        <v>5891325</v>
      </c>
      <c r="J378" s="1631"/>
      <c r="K378" s="1631"/>
    </row>
    <row r="379" spans="1:11">
      <c r="A379" s="1505">
        <v>7</v>
      </c>
      <c r="B379" s="321">
        <v>353</v>
      </c>
      <c r="C379" s="321">
        <v>3534</v>
      </c>
      <c r="D379" s="315" t="s">
        <v>2928</v>
      </c>
      <c r="E379" s="1539">
        <f>'SCH B-2.3'!L378</f>
        <v>7057290</v>
      </c>
      <c r="F379" s="1616">
        <v>1</v>
      </c>
      <c r="G379" s="1539">
        <f t="shared" si="16"/>
        <v>7057290</v>
      </c>
      <c r="H379" s="2639"/>
      <c r="I379" s="1539">
        <f t="shared" si="17"/>
        <v>7057290</v>
      </c>
      <c r="J379" s="1631"/>
      <c r="K379" s="1631"/>
    </row>
    <row r="380" spans="1:11">
      <c r="A380" s="1505">
        <v>8</v>
      </c>
      <c r="B380" s="321">
        <v>355</v>
      </c>
      <c r="C380" s="321">
        <v>3550</v>
      </c>
      <c r="D380" s="315" t="s">
        <v>1722</v>
      </c>
      <c r="E380" s="1539">
        <f>'SCH B-2.3'!L379</f>
        <v>7523996</v>
      </c>
      <c r="F380" s="1616">
        <v>1</v>
      </c>
      <c r="G380" s="1539">
        <f t="shared" si="16"/>
        <v>7523996</v>
      </c>
      <c r="H380" s="2639"/>
      <c r="I380" s="1539">
        <f t="shared" si="17"/>
        <v>7523996</v>
      </c>
      <c r="J380" s="1631"/>
      <c r="K380" s="1631"/>
    </row>
    <row r="381" spans="1:11">
      <c r="A381" s="1505">
        <v>9</v>
      </c>
      <c r="B381" s="321">
        <v>356</v>
      </c>
      <c r="C381" s="321">
        <v>3560</v>
      </c>
      <c r="D381" s="315" t="s">
        <v>1723</v>
      </c>
      <c r="E381" s="1539">
        <f>'SCH B-2.3'!L380</f>
        <v>5837424</v>
      </c>
      <c r="F381" s="1616">
        <v>1</v>
      </c>
      <c r="G381" s="1539">
        <f t="shared" si="16"/>
        <v>5837424</v>
      </c>
      <c r="H381" s="2639"/>
      <c r="I381" s="1539">
        <f t="shared" si="17"/>
        <v>5837424</v>
      </c>
      <c r="J381" s="1631"/>
      <c r="K381" s="1631"/>
    </row>
    <row r="382" spans="1:11">
      <c r="A382" s="1505">
        <v>10</v>
      </c>
      <c r="B382" s="321">
        <v>356</v>
      </c>
      <c r="C382" s="321">
        <v>3561</v>
      </c>
      <c r="D382" s="315" t="s">
        <v>2751</v>
      </c>
      <c r="E382" s="1539">
        <f>'SCH B-2.3'!L381</f>
        <v>296574</v>
      </c>
      <c r="F382" s="1616">
        <v>1</v>
      </c>
      <c r="G382" s="1539">
        <f t="shared" si="16"/>
        <v>296574</v>
      </c>
      <c r="H382" s="2639"/>
      <c r="I382" s="1539">
        <f t="shared" si="17"/>
        <v>296574</v>
      </c>
      <c r="J382" s="1631"/>
      <c r="K382" s="1631"/>
    </row>
    <row r="383" spans="1:11">
      <c r="A383" s="1505">
        <v>11</v>
      </c>
      <c r="B383" s="315"/>
      <c r="C383" s="315"/>
      <c r="D383" s="315" t="s">
        <v>1483</v>
      </c>
      <c r="E383" s="1539">
        <f>'SCH B-2.3'!L382</f>
        <v>9890615</v>
      </c>
      <c r="F383" s="1616">
        <v>1</v>
      </c>
      <c r="G383" s="1539">
        <f t="shared" si="16"/>
        <v>9890615</v>
      </c>
      <c r="H383" s="2639"/>
      <c r="I383" s="1539">
        <f t="shared" si="17"/>
        <v>9890615</v>
      </c>
      <c r="J383" s="1631"/>
      <c r="K383" s="1631"/>
    </row>
    <row r="384" spans="1:11">
      <c r="A384" s="1505"/>
      <c r="B384" s="315"/>
      <c r="C384" s="315"/>
      <c r="D384" s="315"/>
      <c r="E384" s="1539"/>
      <c r="F384" s="1538"/>
      <c r="G384" s="1539"/>
      <c r="H384" s="2639"/>
      <c r="I384" s="1539"/>
      <c r="J384" s="1631"/>
      <c r="K384" s="1631"/>
    </row>
    <row r="385" spans="1:11">
      <c r="A385" s="1541"/>
      <c r="B385" s="1541"/>
      <c r="C385" s="1541"/>
      <c r="D385" s="1541"/>
      <c r="E385" s="1539"/>
      <c r="F385" s="1538"/>
      <c r="G385" s="1539"/>
      <c r="H385" s="1539"/>
      <c r="I385" s="1539"/>
      <c r="J385" s="1631"/>
      <c r="K385" s="1631"/>
    </row>
    <row r="386" spans="1:11">
      <c r="A386" s="1621"/>
      <c r="B386" s="1621"/>
      <c r="C386" s="1621"/>
      <c r="D386" s="1621"/>
      <c r="E386" s="1622"/>
      <c r="F386" s="1623"/>
      <c r="G386" s="1622"/>
      <c r="H386" s="1622"/>
      <c r="I386" s="1622"/>
      <c r="J386" s="1631"/>
      <c r="K386" s="1631"/>
    </row>
    <row r="387" spans="1:11">
      <c r="A387" s="1505">
        <v>12</v>
      </c>
      <c r="B387" s="1541"/>
      <c r="C387" s="1541"/>
      <c r="D387" s="1506" t="s">
        <v>1446</v>
      </c>
      <c r="E387" s="1539">
        <f>SUM(E373:E383)</f>
        <v>65749235</v>
      </c>
      <c r="F387" s="1538"/>
      <c r="G387" s="1539">
        <f>SUM(G373:G383)</f>
        <v>65749235</v>
      </c>
      <c r="H387" s="1539">
        <f>SUM(H373:H383)</f>
        <v>0</v>
      </c>
      <c r="I387" s="1539">
        <f>SUM(I373:I383)</f>
        <v>65749235</v>
      </c>
      <c r="J387" s="1631"/>
      <c r="K387" s="2682" t="str">
        <f>IF(E387='SCH B-2.3'!L386,"BALANCED","ERROR")</f>
        <v>BALANCED</v>
      </c>
    </row>
    <row r="388" spans="1:11">
      <c r="A388" s="1541"/>
      <c r="B388" s="1541"/>
      <c r="C388" s="1541"/>
      <c r="D388" s="1541"/>
      <c r="E388" s="1539"/>
      <c r="F388" s="1538"/>
      <c r="G388" s="1539"/>
      <c r="H388" s="1539"/>
      <c r="I388" s="1539"/>
      <c r="J388" s="1631"/>
      <c r="K388" s="1631"/>
    </row>
    <row r="389" spans="1:11">
      <c r="A389" s="1621"/>
      <c r="B389" s="1621"/>
      <c r="C389" s="1621"/>
      <c r="D389" s="1621"/>
      <c r="E389" s="1622"/>
      <c r="F389" s="1623"/>
      <c r="G389" s="1622"/>
      <c r="H389" s="1622"/>
      <c r="I389" s="1622"/>
      <c r="J389" s="1631"/>
      <c r="K389" s="1631"/>
    </row>
    <row r="390" spans="1:11">
      <c r="A390" s="103" t="str">
        <f>A266</f>
        <v>DUKE ENERGY KENTUCKY, INC.</v>
      </c>
      <c r="B390" s="2585"/>
      <c r="C390" s="2585"/>
      <c r="D390" s="103"/>
      <c r="E390" s="2585"/>
      <c r="F390" s="2628"/>
      <c r="G390" s="2585"/>
      <c r="H390" s="2585"/>
      <c r="I390" s="2585"/>
      <c r="J390" s="1631"/>
      <c r="K390" s="1631"/>
    </row>
    <row r="391" spans="1:11">
      <c r="A391" s="103" t="str">
        <f>A267</f>
        <v>CASE NO. 2017-00321</v>
      </c>
      <c r="B391" s="2585"/>
      <c r="C391" s="2585"/>
      <c r="D391" s="103"/>
      <c r="E391" s="2585"/>
      <c r="F391" s="2628"/>
      <c r="G391" s="2585"/>
      <c r="H391" s="2585"/>
      <c r="I391" s="2585"/>
      <c r="J391" s="1631"/>
      <c r="K391" s="1631"/>
    </row>
    <row r="392" spans="1:11">
      <c r="A392" s="103" t="str">
        <f>A268</f>
        <v>PLANT IN SERVICE BY ACCOUNTS AND SUBACCOUNTS</v>
      </c>
      <c r="B392" s="2585"/>
      <c r="C392" s="2585"/>
      <c r="D392" s="103"/>
      <c r="E392" s="2585"/>
      <c r="F392" s="2628"/>
      <c r="G392" s="2585"/>
      <c r="H392" s="2585"/>
      <c r="I392" s="2585"/>
      <c r="J392" s="1631"/>
      <c r="K392" s="1631"/>
    </row>
    <row r="393" spans="1:11">
      <c r="A393" s="76" t="str">
        <f>"AS OF " &amp;RIGHT(Forecast,(LEN(Forecast)-16))</f>
        <v>AS OF MARCH 31, 2019</v>
      </c>
      <c r="B393" s="2585"/>
      <c r="C393" s="2585"/>
      <c r="D393" s="103"/>
      <c r="E393" s="2585"/>
      <c r="F393" s="2628"/>
      <c r="G393" s="2585"/>
      <c r="H393" s="2585"/>
      <c r="I393" s="2585"/>
      <c r="J393" s="1631"/>
      <c r="K393" s="1631"/>
    </row>
    <row r="394" spans="1:11">
      <c r="A394" s="2585"/>
      <c r="B394" s="2585"/>
      <c r="C394" s="2585"/>
      <c r="D394" s="2585"/>
      <c r="E394" s="2585"/>
      <c r="F394" s="2628"/>
      <c r="G394" s="2585"/>
      <c r="H394" s="2585"/>
      <c r="I394" s="2585"/>
      <c r="J394" s="1631"/>
      <c r="K394" s="1631"/>
    </row>
    <row r="395" spans="1:11">
      <c r="A395" s="103" t="s">
        <v>1172</v>
      </c>
      <c r="B395" s="2585"/>
      <c r="C395" s="2585"/>
      <c r="D395" s="103"/>
      <c r="E395" s="2585"/>
      <c r="F395" s="2628"/>
      <c r="G395" s="2585"/>
      <c r="H395" s="2585"/>
      <c r="I395" s="2585"/>
      <c r="J395" s="1631"/>
      <c r="K395" s="1631"/>
    </row>
    <row r="396" spans="1:11">
      <c r="A396" s="2569" t="s">
        <v>1799</v>
      </c>
      <c r="B396" s="2585"/>
      <c r="C396" s="2585"/>
      <c r="D396" s="103"/>
      <c r="E396" s="2585"/>
      <c r="F396" s="2628"/>
      <c r="G396" s="2585"/>
      <c r="H396" s="2585"/>
      <c r="I396" s="2585"/>
      <c r="J396" s="1631"/>
      <c r="K396" s="1631"/>
    </row>
    <row r="397" spans="1:11">
      <c r="A397" s="2638"/>
      <c r="B397" s="1541"/>
      <c r="C397" s="1541"/>
      <c r="D397" s="1541"/>
      <c r="E397" s="1541"/>
      <c r="F397" s="2629"/>
      <c r="G397" s="1541"/>
      <c r="H397" s="1541"/>
      <c r="I397" s="1541"/>
      <c r="J397" s="1631"/>
      <c r="K397" s="1631"/>
    </row>
    <row r="398" spans="1:11">
      <c r="A398" s="2638"/>
      <c r="B398" s="1541"/>
      <c r="C398" s="1541"/>
      <c r="D398" s="1541"/>
      <c r="E398" s="1541"/>
      <c r="F398" s="2629"/>
      <c r="G398" s="1541"/>
      <c r="H398" s="2619" t="str">
        <f>H275</f>
        <v>SCHEDULE B-2.1</v>
      </c>
      <c r="I398" s="1541"/>
      <c r="J398" s="1631"/>
      <c r="K398" s="1631"/>
    </row>
    <row r="399" spans="1:11">
      <c r="A399" s="1506" t="str">
        <f>A275</f>
        <v>DATA:  BASE PERIOD  "X" FORECASTED PERIOD</v>
      </c>
      <c r="B399" s="1541"/>
      <c r="C399" s="1541"/>
      <c r="D399" s="1541"/>
      <c r="E399" s="1541"/>
      <c r="F399" s="2629"/>
      <c r="G399" s="1541"/>
      <c r="H399" s="2619" t="s">
        <v>1903</v>
      </c>
      <c r="I399" s="1541"/>
      <c r="J399" s="1631"/>
      <c r="K399" s="1631"/>
    </row>
    <row r="400" spans="1:11">
      <c r="A400" s="1506" t="str">
        <f>A276</f>
        <v xml:space="preserve">TYPE OF FILING:  "X" ORIGINAL   UPDATED    REVISED  </v>
      </c>
      <c r="B400" s="1541"/>
      <c r="C400" s="1541"/>
      <c r="D400" s="1541"/>
      <c r="E400" s="1541"/>
      <c r="F400" s="2629"/>
      <c r="G400" s="1541"/>
      <c r="H400" s="2619" t="s">
        <v>622</v>
      </c>
      <c r="I400" s="1541"/>
      <c r="J400" s="1631"/>
      <c r="K400" s="1631"/>
    </row>
    <row r="401" spans="1:12">
      <c r="A401" s="1506" t="str">
        <f>A277</f>
        <v>WORK PAPER REFERENCE NO(S).: SCHEDULE B-2.2, SCHEDULE B-2.3</v>
      </c>
      <c r="B401" s="1541"/>
      <c r="C401" s="1541"/>
      <c r="D401" s="1541"/>
      <c r="E401" s="1541"/>
      <c r="F401" s="2629"/>
      <c r="G401" s="1541"/>
      <c r="H401" s="2586" t="str">
        <f>H278</f>
        <v>R. H. PRATT / C. S. LEE</v>
      </c>
      <c r="I401" s="1541"/>
      <c r="J401" s="1631"/>
      <c r="K401" s="1631"/>
    </row>
    <row r="402" spans="1:12">
      <c r="A402" s="1541"/>
      <c r="B402" s="1541"/>
      <c r="C402" s="1541"/>
      <c r="D402" s="1541"/>
      <c r="E402" s="1541"/>
      <c r="F402" s="2629"/>
      <c r="G402" s="1541"/>
      <c r="H402" s="1541"/>
      <c r="I402" s="1541"/>
      <c r="J402" s="1631"/>
      <c r="K402" s="1631"/>
    </row>
    <row r="403" spans="1:12">
      <c r="A403" s="1541"/>
      <c r="B403" s="1541"/>
      <c r="C403" s="1541"/>
      <c r="D403" s="1541"/>
      <c r="E403" s="1541"/>
      <c r="F403" s="2629"/>
      <c r="G403" s="1541"/>
      <c r="H403" s="1541"/>
      <c r="I403" s="1541"/>
      <c r="J403" s="1631"/>
      <c r="K403" s="1631"/>
    </row>
    <row r="404" spans="1:12">
      <c r="A404" s="1541"/>
      <c r="B404" s="1541"/>
      <c r="C404" s="1541"/>
      <c r="D404" s="1541"/>
      <c r="E404" s="1541"/>
      <c r="F404" s="2629"/>
      <c r="G404" s="1541"/>
      <c r="H404" s="1541"/>
      <c r="I404" s="1541"/>
      <c r="J404" s="1631"/>
      <c r="K404" s="1631"/>
    </row>
    <row r="405" spans="1:12">
      <c r="A405" s="1621"/>
      <c r="B405" s="2679"/>
      <c r="C405" s="2678"/>
      <c r="D405" s="1621"/>
      <c r="E405" s="1621"/>
      <c r="F405" s="2677"/>
      <c r="G405" s="1621"/>
      <c r="H405" s="1622"/>
      <c r="I405" s="2676" t="s">
        <v>1967</v>
      </c>
      <c r="J405" s="1631"/>
      <c r="K405" s="1631"/>
    </row>
    <row r="406" spans="1:12">
      <c r="A406" s="89"/>
      <c r="B406" s="95" t="s">
        <v>943</v>
      </c>
      <c r="C406" s="95" t="s">
        <v>1750</v>
      </c>
      <c r="D406" s="89"/>
      <c r="E406" s="78" t="s">
        <v>1967</v>
      </c>
      <c r="F406" s="93"/>
      <c r="G406" s="89"/>
      <c r="H406" s="77" t="s">
        <v>1967</v>
      </c>
      <c r="I406" s="77" t="s">
        <v>873</v>
      </c>
      <c r="J406" s="1631"/>
      <c r="K406" s="1631"/>
    </row>
    <row r="407" spans="1:12">
      <c r="A407" s="1505" t="s">
        <v>1240</v>
      </c>
      <c r="B407" s="1505" t="s">
        <v>1164</v>
      </c>
      <c r="C407" s="1505" t="s">
        <v>1164</v>
      </c>
      <c r="D407" s="1541"/>
      <c r="E407" s="90" t="s">
        <v>873</v>
      </c>
      <c r="F407" s="2630" t="s">
        <v>802</v>
      </c>
      <c r="G407" s="1505" t="s">
        <v>802</v>
      </c>
      <c r="H407" s="2581" t="s">
        <v>873</v>
      </c>
      <c r="I407" s="2581" t="s">
        <v>574</v>
      </c>
      <c r="J407" s="1631"/>
      <c r="K407" s="1631"/>
    </row>
    <row r="408" spans="1:12">
      <c r="A408" s="1505" t="s">
        <v>1241</v>
      </c>
      <c r="B408" s="1505" t="s">
        <v>1241</v>
      </c>
      <c r="C408" s="1505" t="s">
        <v>1241</v>
      </c>
      <c r="D408" s="1505" t="s">
        <v>1165</v>
      </c>
      <c r="E408" s="90" t="s">
        <v>207</v>
      </c>
      <c r="F408" s="2631" t="s">
        <v>363</v>
      </c>
      <c r="G408" s="90" t="s">
        <v>1929</v>
      </c>
      <c r="H408" s="2632" t="s">
        <v>573</v>
      </c>
      <c r="I408" s="2632" t="s">
        <v>1449</v>
      </c>
      <c r="J408" s="1631"/>
      <c r="K408" s="1631"/>
    </row>
    <row r="409" spans="1:12">
      <c r="A409" s="1505"/>
      <c r="B409" s="1505"/>
      <c r="C409" s="1505"/>
      <c r="D409" s="1505"/>
      <c r="E409" s="2621"/>
      <c r="F409" s="2633"/>
      <c r="G409" s="2621"/>
      <c r="H409" s="2634"/>
      <c r="I409" s="2634"/>
      <c r="J409" s="1631"/>
      <c r="K409" s="1631"/>
    </row>
    <row r="410" spans="1:12">
      <c r="A410" s="1621"/>
      <c r="B410" s="1621"/>
      <c r="C410" s="1621"/>
      <c r="D410" s="1621"/>
      <c r="E410" s="2581" t="s">
        <v>1705</v>
      </c>
      <c r="F410" s="2629"/>
      <c r="G410" s="1505" t="s">
        <v>1705</v>
      </c>
      <c r="H410" s="1505" t="s">
        <v>1705</v>
      </c>
      <c r="I410" s="1505" t="s">
        <v>1705</v>
      </c>
      <c r="J410" s="1631"/>
      <c r="K410" s="1631"/>
    </row>
    <row r="411" spans="1:12">
      <c r="A411" s="1505" t="s">
        <v>529</v>
      </c>
      <c r="B411" s="1541"/>
      <c r="C411" s="1541"/>
      <c r="D411" s="1541"/>
      <c r="E411" s="1631"/>
      <c r="F411" s="2635"/>
      <c r="G411" s="1631"/>
      <c r="H411" s="1631"/>
      <c r="I411" s="1631"/>
      <c r="J411" s="1631"/>
      <c r="K411" s="1631"/>
    </row>
    <row r="412" spans="1:12">
      <c r="A412" s="1505">
        <v>1</v>
      </c>
      <c r="B412" s="1505">
        <v>360</v>
      </c>
      <c r="C412" s="1505">
        <v>3600</v>
      </c>
      <c r="D412" s="1506" t="s">
        <v>849</v>
      </c>
      <c r="E412" s="1539">
        <f>'SCH B-2.3'!L411</f>
        <v>6821750</v>
      </c>
      <c r="F412" s="1616">
        <v>1</v>
      </c>
      <c r="G412" s="1539">
        <f t="shared" ref="G412:G436" si="18">ROUND((E412*F412),0)</f>
        <v>6821750</v>
      </c>
      <c r="H412" s="2639"/>
      <c r="I412" s="1539">
        <f t="shared" ref="I412:I436" si="19">G412+H412</f>
        <v>6821750</v>
      </c>
      <c r="J412" s="1631"/>
      <c r="K412" s="1631"/>
      <c r="L412" s="1347"/>
    </row>
    <row r="413" spans="1:12">
      <c r="A413" s="1505">
        <v>2</v>
      </c>
      <c r="B413" s="1505">
        <v>360</v>
      </c>
      <c r="C413" s="1505">
        <v>3601</v>
      </c>
      <c r="D413" s="1506" t="s">
        <v>1168</v>
      </c>
      <c r="E413" s="1539">
        <f>'SCH B-2.3'!L412</f>
        <v>6441140</v>
      </c>
      <c r="F413" s="1616">
        <v>1</v>
      </c>
      <c r="G413" s="1539">
        <f t="shared" si="18"/>
        <v>6441140</v>
      </c>
      <c r="H413" s="2639"/>
      <c r="I413" s="1539">
        <f t="shared" si="19"/>
        <v>6441140</v>
      </c>
      <c r="J413" s="1631"/>
      <c r="K413" s="1631"/>
      <c r="L413" s="1347"/>
    </row>
    <row r="414" spans="1:12">
      <c r="A414" s="1505">
        <v>3</v>
      </c>
      <c r="B414" s="1505">
        <v>361</v>
      </c>
      <c r="C414" s="1505">
        <v>3610</v>
      </c>
      <c r="D414" s="1506" t="s">
        <v>1170</v>
      </c>
      <c r="E414" s="1539">
        <f>'SCH B-2.3'!L413</f>
        <v>1381960</v>
      </c>
      <c r="F414" s="1616">
        <v>1</v>
      </c>
      <c r="G414" s="1539">
        <f t="shared" si="18"/>
        <v>1381960</v>
      </c>
      <c r="H414" s="2639"/>
      <c r="I414" s="1539">
        <f t="shared" si="19"/>
        <v>1381960</v>
      </c>
      <c r="J414" s="1631"/>
      <c r="K414" s="1631"/>
      <c r="L414" s="1347"/>
    </row>
    <row r="415" spans="1:12">
      <c r="A415" s="1505">
        <v>4</v>
      </c>
      <c r="B415" s="1505">
        <v>362</v>
      </c>
      <c r="C415" s="1505">
        <v>3620</v>
      </c>
      <c r="D415" s="1506" t="s">
        <v>1721</v>
      </c>
      <c r="E415" s="1539">
        <f>'SCH B-2.3'!L414</f>
        <v>37037167</v>
      </c>
      <c r="F415" s="1616">
        <v>1</v>
      </c>
      <c r="G415" s="1539">
        <f t="shared" si="18"/>
        <v>37037167</v>
      </c>
      <c r="H415" s="2639"/>
      <c r="I415" s="1539">
        <f t="shared" si="19"/>
        <v>37037167</v>
      </c>
      <c r="J415" s="1631"/>
      <c r="K415" s="1631"/>
      <c r="L415" s="1347"/>
    </row>
    <row r="416" spans="1:12">
      <c r="A416" s="1505">
        <v>5</v>
      </c>
      <c r="B416" s="1505">
        <v>362</v>
      </c>
      <c r="C416" s="1505">
        <v>3622</v>
      </c>
      <c r="D416" s="1506" t="s">
        <v>2927</v>
      </c>
      <c r="E416" s="1539">
        <f>'SCH B-2.3'!L415</f>
        <v>25188158</v>
      </c>
      <c r="F416" s="1616">
        <v>1</v>
      </c>
      <c r="G416" s="1539">
        <f t="shared" si="18"/>
        <v>25188158</v>
      </c>
      <c r="H416" s="2639"/>
      <c r="I416" s="1539">
        <f t="shared" si="19"/>
        <v>25188158</v>
      </c>
      <c r="J416" s="1631"/>
      <c r="K416" s="1631"/>
      <c r="L416" s="1347"/>
    </row>
    <row r="417" spans="1:12">
      <c r="A417" s="1505">
        <v>6</v>
      </c>
      <c r="B417" s="1505">
        <v>364</v>
      </c>
      <c r="C417" s="1505">
        <v>3640</v>
      </c>
      <c r="D417" s="1506" t="s">
        <v>1724</v>
      </c>
      <c r="E417" s="1539">
        <f>'SCH B-2.3'!L416</f>
        <v>56761153</v>
      </c>
      <c r="F417" s="1616">
        <v>1</v>
      </c>
      <c r="G417" s="1539">
        <f t="shared" si="18"/>
        <v>56761153</v>
      </c>
      <c r="H417" s="2639"/>
      <c r="I417" s="1539">
        <f t="shared" si="19"/>
        <v>56761153</v>
      </c>
      <c r="J417" s="1631"/>
      <c r="K417" s="1631"/>
      <c r="L417" s="1347"/>
    </row>
    <row r="418" spans="1:12">
      <c r="A418" s="1505">
        <v>7</v>
      </c>
      <c r="B418" s="1505">
        <v>365</v>
      </c>
      <c r="C418" s="1505">
        <v>3650</v>
      </c>
      <c r="D418" s="1506" t="s">
        <v>1723</v>
      </c>
      <c r="E418" s="1539">
        <f>'SCH B-2.3'!L417</f>
        <v>113759469</v>
      </c>
      <c r="F418" s="1616">
        <v>1</v>
      </c>
      <c r="G418" s="1539">
        <f t="shared" si="18"/>
        <v>113759469</v>
      </c>
      <c r="H418" s="2639"/>
      <c r="I418" s="1539">
        <f t="shared" si="19"/>
        <v>113759469</v>
      </c>
      <c r="J418" s="1631"/>
      <c r="K418" s="1631"/>
      <c r="L418" s="1347"/>
    </row>
    <row r="419" spans="1:12">
      <c r="A419" s="1505">
        <v>8</v>
      </c>
      <c r="B419" s="1505">
        <v>365</v>
      </c>
      <c r="C419" s="1505">
        <v>3651</v>
      </c>
      <c r="D419" s="1506" t="s">
        <v>2751</v>
      </c>
      <c r="E419" s="1539">
        <f>'SCH B-2.3'!L418</f>
        <v>1864393</v>
      </c>
      <c r="F419" s="1616">
        <v>1</v>
      </c>
      <c r="G419" s="1539">
        <f t="shared" si="18"/>
        <v>1864393</v>
      </c>
      <c r="H419" s="2639"/>
      <c r="I419" s="1539">
        <f t="shared" si="19"/>
        <v>1864393</v>
      </c>
      <c r="J419" s="1631"/>
      <c r="K419" s="1631"/>
      <c r="L419" s="1347"/>
    </row>
    <row r="420" spans="1:12">
      <c r="A420" s="1505">
        <v>9</v>
      </c>
      <c r="B420" s="1505">
        <v>366</v>
      </c>
      <c r="C420" s="1505">
        <v>3660</v>
      </c>
      <c r="D420" s="1506" t="s">
        <v>1725</v>
      </c>
      <c r="E420" s="1539">
        <f>'SCH B-2.3'!L419</f>
        <v>19177499</v>
      </c>
      <c r="F420" s="1616">
        <v>1</v>
      </c>
      <c r="G420" s="1539">
        <f t="shared" si="18"/>
        <v>19177499</v>
      </c>
      <c r="H420" s="2639"/>
      <c r="I420" s="1539">
        <f t="shared" si="19"/>
        <v>19177499</v>
      </c>
      <c r="J420" s="1631"/>
      <c r="K420" s="1631"/>
      <c r="L420" s="1347"/>
    </row>
    <row r="421" spans="1:12">
      <c r="A421" s="1505">
        <v>10</v>
      </c>
      <c r="B421" s="1505">
        <v>367</v>
      </c>
      <c r="C421" s="1505">
        <v>3670</v>
      </c>
      <c r="D421" s="1506" t="s">
        <v>638</v>
      </c>
      <c r="E421" s="1539">
        <f>'SCH B-2.3'!L420</f>
        <v>59568516</v>
      </c>
      <c r="F421" s="1616">
        <v>1</v>
      </c>
      <c r="G421" s="1539">
        <f t="shared" si="18"/>
        <v>59568516</v>
      </c>
      <c r="H421" s="2639"/>
      <c r="I421" s="1539">
        <f t="shared" si="19"/>
        <v>59568516</v>
      </c>
      <c r="J421" s="1631"/>
      <c r="K421" s="1631"/>
      <c r="L421" s="1347"/>
    </row>
    <row r="422" spans="1:12">
      <c r="A422" s="1505">
        <v>11</v>
      </c>
      <c r="B422" s="1505">
        <v>368</v>
      </c>
      <c r="C422" s="1505">
        <v>3680</v>
      </c>
      <c r="D422" s="1506" t="s">
        <v>639</v>
      </c>
      <c r="E422" s="1539">
        <f>'SCH B-2.3'!L421</f>
        <v>55367127</v>
      </c>
      <c r="F422" s="1616">
        <v>1</v>
      </c>
      <c r="G422" s="1539">
        <f t="shared" si="18"/>
        <v>55367127</v>
      </c>
      <c r="H422" s="2639"/>
      <c r="I422" s="1539">
        <f t="shared" si="19"/>
        <v>55367127</v>
      </c>
      <c r="J422" s="1631"/>
      <c r="K422" s="1631"/>
      <c r="L422" s="1347"/>
    </row>
    <row r="423" spans="1:12">
      <c r="A423" s="1505">
        <v>12</v>
      </c>
      <c r="B423" s="1505">
        <v>368</v>
      </c>
      <c r="C423" s="1505">
        <v>3682</v>
      </c>
      <c r="D423" s="1506" t="s">
        <v>640</v>
      </c>
      <c r="E423" s="1539">
        <f>'SCH B-2.3'!L422</f>
        <v>273661</v>
      </c>
      <c r="F423" s="1616">
        <v>1</v>
      </c>
      <c r="G423" s="1539">
        <f t="shared" si="18"/>
        <v>273661</v>
      </c>
      <c r="H423" s="2639"/>
      <c r="I423" s="1539">
        <f t="shared" si="19"/>
        <v>273661</v>
      </c>
      <c r="J423" s="1631"/>
      <c r="K423" s="1631"/>
      <c r="L423" s="1347"/>
    </row>
    <row r="424" spans="1:12">
      <c r="A424" s="1505">
        <v>13</v>
      </c>
      <c r="B424" s="1505">
        <v>369</v>
      </c>
      <c r="C424" s="1505">
        <v>3691</v>
      </c>
      <c r="D424" s="1506" t="s">
        <v>641</v>
      </c>
      <c r="E424" s="1539">
        <f>'SCH B-2.3'!L423</f>
        <v>2393707</v>
      </c>
      <c r="F424" s="1616">
        <v>1</v>
      </c>
      <c r="G424" s="1539">
        <f t="shared" si="18"/>
        <v>2393707</v>
      </c>
      <c r="H424" s="2639"/>
      <c r="I424" s="1539">
        <f t="shared" si="19"/>
        <v>2393707</v>
      </c>
      <c r="J424" s="1631"/>
      <c r="K424" s="1631"/>
      <c r="L424" s="1347"/>
    </row>
    <row r="425" spans="1:12">
      <c r="A425" s="1505">
        <v>14</v>
      </c>
      <c r="B425" s="1505">
        <v>369</v>
      </c>
      <c r="C425" s="1505">
        <v>3692</v>
      </c>
      <c r="D425" s="1506" t="s">
        <v>642</v>
      </c>
      <c r="E425" s="1539">
        <f>'SCH B-2.3'!L424</f>
        <v>15791511</v>
      </c>
      <c r="F425" s="1616">
        <v>1</v>
      </c>
      <c r="G425" s="1539">
        <f t="shared" si="18"/>
        <v>15791511</v>
      </c>
      <c r="H425" s="2639"/>
      <c r="I425" s="1539">
        <f t="shared" si="19"/>
        <v>15791511</v>
      </c>
      <c r="J425" s="1631"/>
      <c r="K425" s="1631"/>
      <c r="L425" s="1347"/>
    </row>
    <row r="426" spans="1:12">
      <c r="A426" s="1505">
        <v>15</v>
      </c>
      <c r="B426" s="1505">
        <v>370</v>
      </c>
      <c r="C426" s="1505">
        <v>3700</v>
      </c>
      <c r="D426" s="1506" t="s">
        <v>2539</v>
      </c>
      <c r="E426" s="1539">
        <f>'SCH B-2.3'!L425</f>
        <v>8130957</v>
      </c>
      <c r="F426" s="1616">
        <v>1</v>
      </c>
      <c r="G426" s="1539">
        <f t="shared" si="18"/>
        <v>8130957</v>
      </c>
      <c r="H426" s="2639">
        <f>'SCH B-2.2'!G67</f>
        <v>-7024951</v>
      </c>
      <c r="I426" s="1539">
        <f t="shared" si="19"/>
        <v>1106006</v>
      </c>
      <c r="J426" s="1631"/>
      <c r="K426" s="1631"/>
      <c r="L426" s="1347"/>
    </row>
    <row r="427" spans="1:12">
      <c r="A427" s="1505">
        <v>16</v>
      </c>
      <c r="B427" s="1505">
        <v>370</v>
      </c>
      <c r="C427" s="1505">
        <v>3700</v>
      </c>
      <c r="D427" s="1506" t="s">
        <v>2749</v>
      </c>
      <c r="E427" s="1539">
        <f>'SCH B-2.3'!L426</f>
        <v>713359</v>
      </c>
      <c r="F427" s="1616">
        <v>1</v>
      </c>
      <c r="G427" s="1539">
        <f t="shared" si="18"/>
        <v>713359</v>
      </c>
      <c r="H427" s="2639"/>
      <c r="I427" s="1539">
        <f t="shared" si="19"/>
        <v>713359</v>
      </c>
      <c r="J427" s="1631"/>
      <c r="K427" s="1631"/>
      <c r="L427" s="1347"/>
    </row>
    <row r="428" spans="1:12">
      <c r="A428" s="1505">
        <v>17</v>
      </c>
      <c r="B428" s="1505">
        <v>370</v>
      </c>
      <c r="C428" s="1505">
        <v>3701</v>
      </c>
      <c r="D428" s="1506" t="s">
        <v>376</v>
      </c>
      <c r="E428" s="1539">
        <f>'SCH B-2.3'!L427</f>
        <v>2611703</v>
      </c>
      <c r="F428" s="1616">
        <v>1</v>
      </c>
      <c r="G428" s="1539">
        <f t="shared" si="18"/>
        <v>2611703</v>
      </c>
      <c r="H428" s="2639">
        <f>'SCH B-2.2'!G68</f>
        <v>-2611703</v>
      </c>
      <c r="I428" s="1539">
        <f t="shared" si="19"/>
        <v>0</v>
      </c>
      <c r="J428" s="1631"/>
      <c r="K428" s="1631"/>
      <c r="L428" s="1347"/>
    </row>
    <row r="429" spans="1:12">
      <c r="A429" s="1505">
        <v>18</v>
      </c>
      <c r="B429" s="1505">
        <v>370</v>
      </c>
      <c r="C429" s="1505">
        <v>3702</v>
      </c>
      <c r="D429" s="1506" t="s">
        <v>2748</v>
      </c>
      <c r="E429" s="1539">
        <f>'SCH B-2.3'!L428</f>
        <v>22410553</v>
      </c>
      <c r="F429" s="1616">
        <v>1</v>
      </c>
      <c r="G429" s="1539">
        <f t="shared" si="18"/>
        <v>22410553</v>
      </c>
      <c r="H429" s="2639"/>
      <c r="I429" s="1539">
        <f t="shared" si="19"/>
        <v>22410553</v>
      </c>
      <c r="J429" s="1631"/>
      <c r="K429" s="1631"/>
      <c r="L429" s="1347"/>
    </row>
    <row r="430" spans="1:12">
      <c r="A430" s="1505">
        <v>19</v>
      </c>
      <c r="B430" s="1505">
        <v>371</v>
      </c>
      <c r="C430" s="1505" t="s">
        <v>2297</v>
      </c>
      <c r="D430" s="1506" t="s">
        <v>2298</v>
      </c>
      <c r="E430" s="1539">
        <f>'SCH B-2.3'!L429</f>
        <v>421102</v>
      </c>
      <c r="F430" s="1616">
        <v>1</v>
      </c>
      <c r="G430" s="1539">
        <f t="shared" si="18"/>
        <v>421102</v>
      </c>
      <c r="H430" s="2639"/>
      <c r="I430" s="1539">
        <f t="shared" si="19"/>
        <v>421102</v>
      </c>
      <c r="J430" s="1631"/>
      <c r="K430" s="1631"/>
      <c r="L430" s="1347"/>
    </row>
    <row r="431" spans="1:12">
      <c r="A431" s="1505">
        <v>20</v>
      </c>
      <c r="B431" s="1505">
        <v>372</v>
      </c>
      <c r="C431" s="1505">
        <v>3720</v>
      </c>
      <c r="D431" s="1506" t="s">
        <v>643</v>
      </c>
      <c r="E431" s="1539">
        <f>'SCH B-2.3'!L430</f>
        <v>9647</v>
      </c>
      <c r="F431" s="1616">
        <v>1</v>
      </c>
      <c r="G431" s="1539">
        <f t="shared" si="18"/>
        <v>9647</v>
      </c>
      <c r="H431" s="2639"/>
      <c r="I431" s="1539">
        <f t="shared" si="19"/>
        <v>9647</v>
      </c>
      <c r="J431" s="1631"/>
      <c r="K431" s="1631"/>
      <c r="L431" s="1347"/>
    </row>
    <row r="432" spans="1:12">
      <c r="A432" s="1505">
        <v>21</v>
      </c>
      <c r="B432" s="1505">
        <v>373</v>
      </c>
      <c r="C432" s="1505">
        <v>3731</v>
      </c>
      <c r="D432" s="1506" t="s">
        <v>771</v>
      </c>
      <c r="E432" s="1539">
        <f>'SCH B-2.3'!L431</f>
        <v>2640930</v>
      </c>
      <c r="F432" s="1616">
        <v>1</v>
      </c>
      <c r="G432" s="1539">
        <f t="shared" si="18"/>
        <v>2640930</v>
      </c>
      <c r="H432" s="2639"/>
      <c r="I432" s="1539">
        <f t="shared" si="19"/>
        <v>2640930</v>
      </c>
      <c r="J432" s="1631"/>
      <c r="K432" s="1631"/>
      <c r="L432" s="1347"/>
    </row>
    <row r="433" spans="1:12">
      <c r="A433" s="1505">
        <v>22</v>
      </c>
      <c r="B433" s="1505">
        <v>373</v>
      </c>
      <c r="C433" s="1505">
        <v>3732</v>
      </c>
      <c r="D433" s="1506" t="s">
        <v>772</v>
      </c>
      <c r="E433" s="1539">
        <f>'SCH B-2.3'!L432</f>
        <v>3358901</v>
      </c>
      <c r="F433" s="1616">
        <v>1</v>
      </c>
      <c r="G433" s="1539">
        <f t="shared" si="18"/>
        <v>3358901</v>
      </c>
      <c r="H433" s="2639"/>
      <c r="I433" s="1539">
        <f t="shared" si="19"/>
        <v>3358901</v>
      </c>
      <c r="J433" s="1631"/>
      <c r="K433" s="1631"/>
      <c r="L433" s="1347"/>
    </row>
    <row r="434" spans="1:12">
      <c r="A434" s="1505">
        <v>23</v>
      </c>
      <c r="B434" s="1505">
        <v>373</v>
      </c>
      <c r="C434" s="1505">
        <v>3733</v>
      </c>
      <c r="D434" s="1506" t="s">
        <v>773</v>
      </c>
      <c r="E434" s="1539">
        <f>'SCH B-2.3'!L433</f>
        <v>1587787</v>
      </c>
      <c r="F434" s="1616">
        <v>1</v>
      </c>
      <c r="G434" s="1539">
        <f t="shared" si="18"/>
        <v>1587787</v>
      </c>
      <c r="H434" s="2639">
        <f>'SCH B-2.2'!G65</f>
        <v>-1587787</v>
      </c>
      <c r="I434" s="1539">
        <f t="shared" si="19"/>
        <v>0</v>
      </c>
      <c r="J434" s="1631"/>
      <c r="K434" s="1631"/>
      <c r="L434" s="1347"/>
    </row>
    <row r="435" spans="1:12">
      <c r="A435" s="1505">
        <v>24</v>
      </c>
      <c r="B435" s="1505">
        <v>373</v>
      </c>
      <c r="C435" s="1505">
        <v>3734</v>
      </c>
      <c r="D435" s="1506" t="s">
        <v>2288</v>
      </c>
      <c r="E435" s="1539">
        <f>'SCH B-2.3'!L434</f>
        <v>2362797</v>
      </c>
      <c r="F435" s="1616">
        <v>1</v>
      </c>
      <c r="G435" s="1539">
        <f t="shared" si="18"/>
        <v>2362797</v>
      </c>
      <c r="H435" s="2639">
        <f>'SCH B-2.2'!G66</f>
        <v>-2362797</v>
      </c>
      <c r="I435" s="1539">
        <f t="shared" si="19"/>
        <v>0</v>
      </c>
      <c r="J435" s="1631"/>
      <c r="K435" s="1631"/>
      <c r="L435" s="1347"/>
    </row>
    <row r="436" spans="1:12">
      <c r="A436" s="1505">
        <v>25</v>
      </c>
      <c r="B436" s="1506"/>
      <c r="C436" s="1506"/>
      <c r="D436" s="1506" t="s">
        <v>1483</v>
      </c>
      <c r="E436" s="1539">
        <f>'SCH B-2.3'!L435</f>
        <v>38933705</v>
      </c>
      <c r="F436" s="1616">
        <v>1</v>
      </c>
      <c r="G436" s="1539">
        <f t="shared" si="18"/>
        <v>38933705</v>
      </c>
      <c r="H436" s="2639"/>
      <c r="I436" s="1539">
        <f t="shared" si="19"/>
        <v>38933705</v>
      </c>
      <c r="J436" s="1631"/>
      <c r="K436" s="1631"/>
      <c r="L436" s="1347"/>
    </row>
    <row r="437" spans="1:12">
      <c r="A437" s="1505"/>
      <c r="B437" s="1506"/>
      <c r="C437" s="1506"/>
      <c r="D437" s="1506"/>
      <c r="E437" s="1539"/>
      <c r="F437" s="1616"/>
      <c r="G437" s="1539"/>
      <c r="H437" s="2619"/>
      <c r="I437" s="1539"/>
      <c r="J437" s="1631"/>
      <c r="K437" s="1631"/>
    </row>
    <row r="438" spans="1:12">
      <c r="A438" s="1541"/>
      <c r="B438" s="1541"/>
      <c r="C438" s="1541"/>
      <c r="D438" s="1541"/>
      <c r="E438" s="1539"/>
      <c r="F438" s="1538"/>
      <c r="G438" s="1539"/>
      <c r="H438" s="1539"/>
      <c r="I438" s="1539"/>
      <c r="J438" s="1631"/>
      <c r="K438" s="1631"/>
    </row>
    <row r="439" spans="1:12">
      <c r="A439" s="1621"/>
      <c r="B439" s="1621"/>
      <c r="C439" s="1621"/>
      <c r="D439" s="1621"/>
      <c r="E439" s="1622"/>
      <c r="F439" s="1623"/>
      <c r="G439" s="1622"/>
      <c r="H439" s="1622"/>
      <c r="I439" s="1622"/>
      <c r="J439" s="1631"/>
      <c r="K439" s="1631"/>
    </row>
    <row r="440" spans="1:12">
      <c r="A440" s="1505">
        <v>26</v>
      </c>
      <c r="B440" s="1541"/>
      <c r="C440" s="1541"/>
      <c r="D440" s="1506" t="s">
        <v>1271</v>
      </c>
      <c r="E440" s="1539">
        <f>SUM(E412:E436)</f>
        <v>485008652</v>
      </c>
      <c r="F440" s="1538"/>
      <c r="G440" s="1539">
        <f>SUM(G412:G436)</f>
        <v>485008652</v>
      </c>
      <c r="H440" s="1539">
        <f>SUM(H412:H436)</f>
        <v>-13587238</v>
      </c>
      <c r="I440" s="1539">
        <f>SUM(I412:I436)</f>
        <v>471421414</v>
      </c>
      <c r="J440" s="1631"/>
      <c r="K440" s="2682" t="str">
        <f>IF(E440='SCH B-2.3'!L439,"BALANCED","ERROR")</f>
        <v>BALANCED</v>
      </c>
    </row>
    <row r="441" spans="1:12">
      <c r="A441" s="1541"/>
      <c r="B441" s="1541"/>
      <c r="C441" s="1541"/>
      <c r="D441" s="1541"/>
      <c r="E441" s="1539"/>
      <c r="F441" s="1538"/>
      <c r="G441" s="1539"/>
      <c r="H441" s="1539"/>
      <c r="I441" s="1539"/>
      <c r="J441" s="1631"/>
      <c r="K441" s="1631"/>
    </row>
    <row r="442" spans="1:12">
      <c r="A442" s="1621"/>
      <c r="B442" s="1621"/>
      <c r="C442" s="1621"/>
      <c r="D442" s="1621"/>
      <c r="E442" s="1622"/>
      <c r="F442" s="1623"/>
      <c r="G442" s="1622"/>
      <c r="H442" s="1622"/>
      <c r="I442" s="1622"/>
      <c r="J442" s="1631"/>
      <c r="K442" s="1631"/>
    </row>
    <row r="443" spans="1:12">
      <c r="A443" s="1541"/>
      <c r="B443" s="1541"/>
      <c r="C443" s="1541"/>
      <c r="D443" s="1541"/>
      <c r="E443" s="1539"/>
      <c r="F443" s="1538"/>
      <c r="G443" s="1539"/>
      <c r="H443" s="1539"/>
      <c r="I443" s="1539"/>
      <c r="J443" s="1631"/>
      <c r="K443" s="1631"/>
    </row>
    <row r="444" spans="1:12">
      <c r="A444" s="103" t="str">
        <f>A266</f>
        <v>DUKE ENERGY KENTUCKY, INC.</v>
      </c>
      <c r="B444" s="2585"/>
      <c r="C444" s="2585"/>
      <c r="D444" s="103"/>
      <c r="E444" s="2585"/>
      <c r="F444" s="2628"/>
      <c r="G444" s="2585"/>
      <c r="H444" s="2585"/>
      <c r="I444" s="2585"/>
      <c r="J444" s="1631"/>
      <c r="K444" s="1631"/>
    </row>
    <row r="445" spans="1:12">
      <c r="A445" s="103" t="str">
        <f>A267</f>
        <v>CASE NO. 2017-00321</v>
      </c>
      <c r="B445" s="2585"/>
      <c r="C445" s="2585"/>
      <c r="D445" s="103"/>
      <c r="E445" s="2585"/>
      <c r="F445" s="2628"/>
      <c r="G445" s="2585"/>
      <c r="H445" s="2585"/>
      <c r="I445" s="2585"/>
      <c r="J445" s="1631"/>
      <c r="K445" s="1631"/>
    </row>
    <row r="446" spans="1:12">
      <c r="A446" s="103" t="str">
        <f>A268</f>
        <v>PLANT IN SERVICE BY ACCOUNTS AND SUBACCOUNTS</v>
      </c>
      <c r="B446" s="2585"/>
      <c r="C446" s="2585"/>
      <c r="D446" s="103"/>
      <c r="E446" s="2585"/>
      <c r="F446" s="2628"/>
      <c r="G446" s="2585"/>
      <c r="H446" s="2585"/>
      <c r="I446" s="2585"/>
      <c r="J446" s="1631"/>
      <c r="K446" s="1631"/>
    </row>
    <row r="447" spans="1:12">
      <c r="A447" s="76" t="str">
        <f>"AS OF " &amp;RIGHT(Forecast,(LEN(Forecast)-16))</f>
        <v>AS OF MARCH 31, 2019</v>
      </c>
      <c r="B447" s="2585"/>
      <c r="C447" s="2585"/>
      <c r="D447" s="103"/>
      <c r="E447" s="2585"/>
      <c r="F447" s="2628"/>
      <c r="G447" s="2585"/>
      <c r="H447" s="2585"/>
      <c r="I447" s="2585"/>
      <c r="J447" s="1631"/>
      <c r="K447" s="1631"/>
    </row>
    <row r="448" spans="1:12">
      <c r="A448" s="2585"/>
      <c r="B448" s="2585"/>
      <c r="C448" s="2585"/>
      <c r="D448" s="2585"/>
      <c r="E448" s="2585"/>
      <c r="F448" s="2628"/>
      <c r="G448" s="2585"/>
      <c r="H448" s="2585"/>
      <c r="I448" s="2585"/>
      <c r="J448" s="1631"/>
      <c r="K448" s="1631"/>
    </row>
    <row r="449" spans="1:11">
      <c r="A449" s="103" t="s">
        <v>1272</v>
      </c>
      <c r="B449" s="2585"/>
      <c r="C449" s="2585"/>
      <c r="D449" s="103"/>
      <c r="E449" s="2585"/>
      <c r="F449" s="2628"/>
      <c r="G449" s="2585"/>
      <c r="H449" s="2585"/>
      <c r="I449" s="2585"/>
      <c r="J449" s="1631"/>
      <c r="K449" s="1631"/>
    </row>
    <row r="450" spans="1:11">
      <c r="A450" s="2569" t="s">
        <v>1799</v>
      </c>
      <c r="B450" s="2585"/>
      <c r="C450" s="2585"/>
      <c r="D450" s="103"/>
      <c r="E450" s="2585"/>
      <c r="F450" s="2628"/>
      <c r="G450" s="2585"/>
      <c r="H450" s="2585"/>
      <c r="I450" s="2585"/>
      <c r="J450" s="1631"/>
      <c r="K450" s="1631"/>
    </row>
    <row r="451" spans="1:11">
      <c r="A451" s="2638"/>
      <c r="B451" s="1541"/>
      <c r="C451" s="1541"/>
      <c r="D451" s="1541"/>
      <c r="E451" s="1541"/>
      <c r="F451" s="2629"/>
      <c r="G451" s="1541"/>
      <c r="H451" s="1541"/>
      <c r="I451" s="1541"/>
      <c r="J451" s="1631"/>
      <c r="K451" s="1631"/>
    </row>
    <row r="452" spans="1:11">
      <c r="A452" s="1506" t="str">
        <f>A275</f>
        <v>DATA:  BASE PERIOD  "X" FORECASTED PERIOD</v>
      </c>
      <c r="B452" s="1541"/>
      <c r="C452" s="1541"/>
      <c r="D452" s="1541"/>
      <c r="E452" s="1541"/>
      <c r="F452" s="2629"/>
      <c r="G452" s="1541"/>
      <c r="H452" s="2619" t="str">
        <f>H275</f>
        <v>SCHEDULE B-2.1</v>
      </c>
      <c r="I452" s="1541"/>
      <c r="J452" s="1631"/>
      <c r="K452" s="1631"/>
    </row>
    <row r="453" spans="1:11">
      <c r="A453" s="1506" t="str">
        <f>A276</f>
        <v xml:space="preserve">TYPE OF FILING:  "X" ORIGINAL   UPDATED    REVISED  </v>
      </c>
      <c r="B453" s="1541"/>
      <c r="C453" s="1541"/>
      <c r="D453" s="1541"/>
      <c r="E453" s="1541"/>
      <c r="F453" s="2629"/>
      <c r="G453" s="1541"/>
      <c r="H453" s="2619" t="s">
        <v>1904</v>
      </c>
      <c r="I453" s="1541"/>
      <c r="J453" s="1631"/>
      <c r="K453" s="1631"/>
    </row>
    <row r="454" spans="1:11">
      <c r="A454" s="1506" t="str">
        <f>A277</f>
        <v>WORK PAPER REFERENCE NO(S).: SCHEDULE B-2.2, SCHEDULE B-2.3</v>
      </c>
      <c r="B454" s="1541"/>
      <c r="C454" s="1541"/>
      <c r="D454" s="1541"/>
      <c r="E454" s="1541"/>
      <c r="F454" s="2629"/>
      <c r="G454" s="1541"/>
      <c r="H454" s="2619" t="s">
        <v>622</v>
      </c>
      <c r="I454" s="1541"/>
      <c r="J454" s="1631"/>
      <c r="K454" s="1631"/>
    </row>
    <row r="455" spans="1:11">
      <c r="A455" s="1541"/>
      <c r="B455" s="1541"/>
      <c r="C455" s="1541"/>
      <c r="D455" s="1541"/>
      <c r="E455" s="1541"/>
      <c r="F455" s="2629"/>
      <c r="G455" s="1541"/>
      <c r="H455" s="2586" t="str">
        <f>H278</f>
        <v>R. H. PRATT / C. S. LEE</v>
      </c>
      <c r="I455" s="1541"/>
      <c r="J455" s="1631"/>
      <c r="K455" s="1631"/>
    </row>
    <row r="456" spans="1:11">
      <c r="A456" s="1541"/>
      <c r="B456" s="1541"/>
      <c r="C456" s="1541"/>
      <c r="D456" s="1541"/>
      <c r="E456" s="1541"/>
      <c r="F456" s="2629"/>
      <c r="G456" s="1541"/>
      <c r="H456" s="1541"/>
      <c r="I456" s="1541"/>
      <c r="J456" s="1631"/>
      <c r="K456" s="1631"/>
    </row>
    <row r="457" spans="1:11">
      <c r="A457" s="1541"/>
      <c r="B457" s="1541"/>
      <c r="C457" s="1541"/>
      <c r="D457" s="1541"/>
      <c r="E457" s="1541"/>
      <c r="F457" s="2629"/>
      <c r="G457" s="1541"/>
      <c r="H457" s="1541"/>
      <c r="I457" s="1541"/>
      <c r="J457" s="1631"/>
      <c r="K457" s="1631"/>
    </row>
    <row r="458" spans="1:11">
      <c r="A458" s="1541"/>
      <c r="B458" s="2587"/>
      <c r="C458" s="1541"/>
      <c r="D458" s="1541"/>
      <c r="E458" s="1541"/>
      <c r="F458" s="2629"/>
      <c r="G458" s="1541"/>
      <c r="H458" s="1541"/>
      <c r="I458" s="1541"/>
      <c r="J458" s="1631"/>
      <c r="K458" s="1631"/>
    </row>
    <row r="459" spans="1:11">
      <c r="A459" s="1621"/>
      <c r="B459" s="95"/>
      <c r="C459" s="2678"/>
      <c r="D459" s="1621"/>
      <c r="E459" s="1621"/>
      <c r="F459" s="2677"/>
      <c r="G459" s="1621"/>
      <c r="H459" s="1622"/>
      <c r="I459" s="2676" t="s">
        <v>1967</v>
      </c>
      <c r="J459" s="1631"/>
      <c r="K459" s="1631"/>
    </row>
    <row r="460" spans="1:11">
      <c r="A460" s="89"/>
      <c r="B460" s="95" t="s">
        <v>943</v>
      </c>
      <c r="C460" s="95" t="s">
        <v>1750</v>
      </c>
      <c r="D460" s="89"/>
      <c r="E460" s="78" t="s">
        <v>1967</v>
      </c>
      <c r="F460" s="93"/>
      <c r="G460" s="89"/>
      <c r="H460" s="77" t="s">
        <v>1967</v>
      </c>
      <c r="I460" s="77" t="s">
        <v>873</v>
      </c>
      <c r="J460" s="1631"/>
      <c r="K460" s="1631"/>
    </row>
    <row r="461" spans="1:11">
      <c r="A461" s="1505" t="s">
        <v>1240</v>
      </c>
      <c r="B461" s="1505" t="s">
        <v>1164</v>
      </c>
      <c r="C461" s="1505" t="s">
        <v>1164</v>
      </c>
      <c r="D461" s="1541"/>
      <c r="E461" s="90" t="s">
        <v>873</v>
      </c>
      <c r="F461" s="2630" t="s">
        <v>802</v>
      </c>
      <c r="G461" s="1505" t="s">
        <v>802</v>
      </c>
      <c r="H461" s="2581" t="s">
        <v>873</v>
      </c>
      <c r="I461" s="2581" t="s">
        <v>574</v>
      </c>
      <c r="J461" s="1631"/>
      <c r="K461" s="1631"/>
    </row>
    <row r="462" spans="1:11">
      <c r="A462" s="1505" t="s">
        <v>1241</v>
      </c>
      <c r="B462" s="1505" t="s">
        <v>1241</v>
      </c>
      <c r="C462" s="1505" t="s">
        <v>1241</v>
      </c>
      <c r="D462" s="1505" t="s">
        <v>1165</v>
      </c>
      <c r="E462" s="90" t="s">
        <v>207</v>
      </c>
      <c r="F462" s="2631" t="s">
        <v>363</v>
      </c>
      <c r="G462" s="90" t="s">
        <v>1929</v>
      </c>
      <c r="H462" s="2632" t="s">
        <v>573</v>
      </c>
      <c r="I462" s="2632" t="s">
        <v>1449</v>
      </c>
      <c r="J462" s="1631"/>
      <c r="K462" s="1631"/>
    </row>
    <row r="463" spans="1:11">
      <c r="A463" s="1505"/>
      <c r="B463" s="1505"/>
      <c r="C463" s="1505"/>
      <c r="D463" s="1505"/>
      <c r="E463" s="2621"/>
      <c r="F463" s="2633"/>
      <c r="G463" s="2621"/>
      <c r="H463" s="2634"/>
      <c r="I463" s="2634"/>
      <c r="J463" s="1631"/>
      <c r="K463" s="1631"/>
    </row>
    <row r="464" spans="1:11">
      <c r="A464" s="1621"/>
      <c r="B464" s="1621"/>
      <c r="C464" s="1621"/>
      <c r="D464" s="1621"/>
      <c r="E464" s="2581" t="s">
        <v>1705</v>
      </c>
      <c r="F464" s="2629"/>
      <c r="G464" s="1505" t="s">
        <v>1705</v>
      </c>
      <c r="H464" s="1505" t="s">
        <v>1705</v>
      </c>
      <c r="I464" s="1505" t="s">
        <v>1705</v>
      </c>
      <c r="J464" s="1631"/>
      <c r="K464" s="1631"/>
    </row>
    <row r="465" spans="1:11">
      <c r="A465" s="1541"/>
      <c r="B465" s="1541"/>
      <c r="C465" s="1541"/>
      <c r="D465" s="1541"/>
      <c r="E465" s="1631"/>
      <c r="F465" s="2635"/>
      <c r="G465" s="1631"/>
      <c r="H465" s="1631"/>
      <c r="I465" s="1631"/>
      <c r="J465" s="1631"/>
      <c r="K465" s="1631"/>
    </row>
    <row r="466" spans="1:11">
      <c r="A466" s="1505" t="s">
        <v>1166</v>
      </c>
      <c r="B466" s="1505">
        <v>303</v>
      </c>
      <c r="C466" s="1505">
        <v>3030</v>
      </c>
      <c r="D466" s="1506" t="s">
        <v>1273</v>
      </c>
      <c r="E466" s="1539">
        <f>'SCH B-2.3'!L465</f>
        <v>12504384</v>
      </c>
      <c r="F466" s="1616">
        <v>1</v>
      </c>
      <c r="G466" s="1539">
        <f t="shared" ref="G466:G475" si="20">ROUND(E466*F466,0)</f>
        <v>12504384</v>
      </c>
      <c r="H466" s="1505"/>
      <c r="I466" s="1539">
        <f t="shared" ref="I466:I475" si="21">G466+H466</f>
        <v>12504384</v>
      </c>
      <c r="J466" s="1631"/>
      <c r="K466" s="1631"/>
    </row>
    <row r="467" spans="1:11">
      <c r="A467" s="1505">
        <v>2</v>
      </c>
      <c r="B467" s="1505">
        <v>390</v>
      </c>
      <c r="C467" s="1505">
        <v>3900</v>
      </c>
      <c r="D467" s="1506" t="s">
        <v>1170</v>
      </c>
      <c r="E467" s="1539">
        <f>'SCH B-2.3'!L466</f>
        <v>144984</v>
      </c>
      <c r="F467" s="1616">
        <v>1</v>
      </c>
      <c r="G467" s="1539">
        <f t="shared" si="20"/>
        <v>144984</v>
      </c>
      <c r="H467" s="1539"/>
      <c r="I467" s="1539">
        <f t="shared" si="21"/>
        <v>144984</v>
      </c>
      <c r="J467" s="1631"/>
      <c r="K467" s="1631"/>
    </row>
    <row r="468" spans="1:11">
      <c r="A468" s="1505">
        <v>3</v>
      </c>
      <c r="B468" s="1505">
        <v>391</v>
      </c>
      <c r="C468" s="1505">
        <v>3910</v>
      </c>
      <c r="D468" s="1506" t="s">
        <v>1274</v>
      </c>
      <c r="E468" s="1539">
        <f>'SCH B-2.3'!L467</f>
        <v>15317</v>
      </c>
      <c r="F468" s="1616">
        <v>1</v>
      </c>
      <c r="G468" s="1539">
        <f t="shared" si="20"/>
        <v>15317</v>
      </c>
      <c r="H468" s="2619"/>
      <c r="I468" s="1539">
        <f t="shared" si="21"/>
        <v>15317</v>
      </c>
      <c r="J468" s="1631"/>
      <c r="K468" s="1631"/>
    </row>
    <row r="469" spans="1:11">
      <c r="A469" s="1505">
        <v>4</v>
      </c>
      <c r="B469" s="1505">
        <v>391</v>
      </c>
      <c r="C469" s="1505">
        <v>3911</v>
      </c>
      <c r="D469" s="1506" t="s">
        <v>2289</v>
      </c>
      <c r="E469" s="1539">
        <f>'SCH B-2.3'!L468</f>
        <v>2474271</v>
      </c>
      <c r="F469" s="1616">
        <v>1</v>
      </c>
      <c r="G469" s="1539">
        <f t="shared" si="20"/>
        <v>2474271</v>
      </c>
      <c r="H469" s="2619"/>
      <c r="I469" s="1539">
        <f t="shared" si="21"/>
        <v>2474271</v>
      </c>
      <c r="J469" s="1631"/>
      <c r="K469" s="1631"/>
    </row>
    <row r="470" spans="1:11">
      <c r="A470" s="1505">
        <v>5</v>
      </c>
      <c r="B470" s="1505">
        <v>392</v>
      </c>
      <c r="C470" s="1505">
        <v>3920</v>
      </c>
      <c r="D470" s="1506" t="s">
        <v>2750</v>
      </c>
      <c r="E470" s="1539">
        <f>'SCH B-2.3'!L469</f>
        <v>218720</v>
      </c>
      <c r="F470" s="1616">
        <v>1</v>
      </c>
      <c r="G470" s="1539">
        <f t="shared" si="20"/>
        <v>218720</v>
      </c>
      <c r="H470" s="2619"/>
      <c r="I470" s="1539">
        <f t="shared" si="21"/>
        <v>218720</v>
      </c>
      <c r="J470" s="1631"/>
      <c r="K470" s="1631"/>
    </row>
    <row r="471" spans="1:11">
      <c r="A471" s="1505">
        <v>6</v>
      </c>
      <c r="B471" s="1505">
        <v>392</v>
      </c>
      <c r="C471" s="1505">
        <v>3921</v>
      </c>
      <c r="D471" s="1506" t="s">
        <v>1275</v>
      </c>
      <c r="E471" s="1539">
        <f>'SCH B-2.3'!L470</f>
        <v>201060</v>
      </c>
      <c r="F471" s="1616">
        <v>1</v>
      </c>
      <c r="G471" s="1539">
        <f t="shared" si="20"/>
        <v>201060</v>
      </c>
      <c r="H471" s="1539"/>
      <c r="I471" s="1539">
        <f t="shared" si="21"/>
        <v>201060</v>
      </c>
      <c r="J471" s="1631"/>
      <c r="K471" s="1631"/>
    </row>
    <row r="472" spans="1:11">
      <c r="A472" s="1505">
        <v>7</v>
      </c>
      <c r="B472" s="1505">
        <v>394</v>
      </c>
      <c r="C472" s="1505">
        <v>3940</v>
      </c>
      <c r="D472" s="1506" t="s">
        <v>774</v>
      </c>
      <c r="E472" s="1539">
        <f>'SCH B-2.3'!L471</f>
        <v>2071113</v>
      </c>
      <c r="F472" s="1616">
        <v>1</v>
      </c>
      <c r="G472" s="1539">
        <f t="shared" si="20"/>
        <v>2071113</v>
      </c>
      <c r="H472" s="2619"/>
      <c r="I472" s="1539">
        <f t="shared" si="21"/>
        <v>2071113</v>
      </c>
      <c r="J472" s="1631"/>
      <c r="K472" s="1631"/>
    </row>
    <row r="473" spans="1:11">
      <c r="A473" s="1505">
        <v>8</v>
      </c>
      <c r="B473" s="1505">
        <v>396</v>
      </c>
      <c r="C473" s="1505">
        <v>3960</v>
      </c>
      <c r="D473" s="1506" t="s">
        <v>1277</v>
      </c>
      <c r="E473" s="1539">
        <f>'SCH B-2.3'!L472</f>
        <v>11770</v>
      </c>
      <c r="F473" s="1616">
        <v>1</v>
      </c>
      <c r="G473" s="1539">
        <f t="shared" si="20"/>
        <v>11770</v>
      </c>
      <c r="H473" s="1539"/>
      <c r="I473" s="1539">
        <f t="shared" si="21"/>
        <v>11770</v>
      </c>
      <c r="J473" s="1631"/>
      <c r="K473" s="1631"/>
    </row>
    <row r="474" spans="1:11">
      <c r="A474" s="1505">
        <v>9</v>
      </c>
      <c r="B474" s="1505">
        <v>397</v>
      </c>
      <c r="C474" s="1505">
        <v>3970</v>
      </c>
      <c r="D474" s="1506" t="s">
        <v>1330</v>
      </c>
      <c r="E474" s="1539">
        <f>'SCH B-2.3'!L473</f>
        <v>2885563</v>
      </c>
      <c r="F474" s="1616">
        <v>1</v>
      </c>
      <c r="G474" s="1539">
        <f t="shared" si="20"/>
        <v>2885563</v>
      </c>
      <c r="H474" s="1539"/>
      <c r="I474" s="1539">
        <f t="shared" si="21"/>
        <v>2885563</v>
      </c>
      <c r="J474" s="1631"/>
      <c r="K474" s="1631"/>
    </row>
    <row r="475" spans="1:11">
      <c r="A475" s="1505">
        <v>10</v>
      </c>
      <c r="B475" s="1506"/>
      <c r="C475" s="1506"/>
      <c r="D475" s="1506" t="s">
        <v>1483</v>
      </c>
      <c r="E475" s="1539">
        <f>'SCH B-2.3'!L474</f>
        <v>8026935</v>
      </c>
      <c r="F475" s="1616">
        <v>1</v>
      </c>
      <c r="G475" s="1539">
        <f t="shared" si="20"/>
        <v>8026935</v>
      </c>
      <c r="H475" s="1539"/>
      <c r="I475" s="1539">
        <f t="shared" si="21"/>
        <v>8026935</v>
      </c>
      <c r="J475" s="1631"/>
      <c r="K475" s="1631"/>
    </row>
    <row r="476" spans="1:11">
      <c r="A476" s="1541"/>
      <c r="B476" s="1541"/>
      <c r="C476" s="1541"/>
      <c r="D476" s="1541"/>
      <c r="E476" s="1539"/>
      <c r="F476" s="1616"/>
      <c r="G476" s="1539"/>
      <c r="H476" s="1539"/>
      <c r="I476" s="1539"/>
      <c r="J476" s="1631"/>
      <c r="K476" s="1631"/>
    </row>
    <row r="477" spans="1:11">
      <c r="A477" s="1541"/>
      <c r="B477" s="1541"/>
      <c r="C477" s="1541"/>
      <c r="D477" s="1541"/>
      <c r="E477" s="1539"/>
      <c r="F477" s="1538"/>
      <c r="G477" s="1539"/>
      <c r="H477" s="1539"/>
      <c r="I477" s="1539"/>
      <c r="J477" s="1631"/>
      <c r="K477" s="1631"/>
    </row>
    <row r="478" spans="1:11">
      <c r="A478" s="1621"/>
      <c r="B478" s="1621"/>
      <c r="C478" s="1621"/>
      <c r="D478" s="1621"/>
      <c r="E478" s="1622"/>
      <c r="F478" s="1623"/>
      <c r="G478" s="1622"/>
      <c r="H478" s="1622"/>
      <c r="I478" s="1622"/>
      <c r="J478" s="1631"/>
      <c r="K478" s="1631"/>
    </row>
    <row r="479" spans="1:11">
      <c r="A479" s="1505">
        <v>11</v>
      </c>
      <c r="B479" s="1541"/>
      <c r="C479" s="1541"/>
      <c r="D479" s="1506" t="s">
        <v>1279</v>
      </c>
      <c r="E479" s="1539">
        <f>SUM(E466:E475)</f>
        <v>28554117</v>
      </c>
      <c r="F479" s="1538"/>
      <c r="G479" s="1539">
        <f>SUM(G466:G475)</f>
        <v>28554117</v>
      </c>
      <c r="H479" s="1539">
        <f>SUM(H466:H475)</f>
        <v>0</v>
      </c>
      <c r="I479" s="1539">
        <f>SUM(I466:I475)</f>
        <v>28554117</v>
      </c>
      <c r="J479" s="1631"/>
      <c r="K479" s="2682" t="str">
        <f>IF(E479='SCH B-2.3'!L478,"BALANCED","ERROR")</f>
        <v>BALANCED</v>
      </c>
    </row>
    <row r="480" spans="1:11">
      <c r="A480" s="1541"/>
      <c r="B480" s="1541"/>
      <c r="C480" s="1541"/>
      <c r="D480" s="1541"/>
      <c r="E480" s="1539"/>
      <c r="F480" s="1538"/>
      <c r="G480" s="1539"/>
      <c r="H480" s="1539"/>
      <c r="I480" s="1539"/>
      <c r="J480" s="1631"/>
      <c r="K480" s="1631"/>
    </row>
    <row r="481" spans="1:11">
      <c r="A481" s="1621"/>
      <c r="B481" s="1621"/>
      <c r="C481" s="1621"/>
      <c r="D481" s="1621"/>
      <c r="E481" s="1622"/>
      <c r="F481" s="1623"/>
      <c r="G481" s="1622"/>
      <c r="H481" s="1622"/>
      <c r="I481" s="1622"/>
      <c r="J481" s="1631"/>
      <c r="K481" s="1631"/>
    </row>
    <row r="482" spans="1:11">
      <c r="A482" s="1505">
        <v>12</v>
      </c>
      <c r="B482" s="1541"/>
      <c r="C482" s="1541"/>
      <c r="D482" s="1506" t="s">
        <v>56</v>
      </c>
      <c r="E482" s="1539">
        <f>E307+E348+E387+E440+E479</f>
        <v>1748392143</v>
      </c>
      <c r="F482" s="2629"/>
      <c r="G482" s="1539">
        <f>G307+G348+G387+G440+G479</f>
        <v>1748392143</v>
      </c>
      <c r="H482" s="1539">
        <f>H307+H348+H387+H440+H479</f>
        <v>-48889265</v>
      </c>
      <c r="I482" s="1539">
        <f>I307+I348+I387+I440+I479</f>
        <v>1699502878</v>
      </c>
      <c r="J482" s="1631"/>
      <c r="K482" s="2682" t="str">
        <f>IF(E482='SCH B-2.3'!L481,"BALANCED","ERROR")</f>
        <v>BALANCED</v>
      </c>
    </row>
    <row r="483" spans="1:11">
      <c r="A483" s="1541"/>
      <c r="B483" s="1541"/>
      <c r="C483" s="1541"/>
      <c r="D483" s="1541"/>
      <c r="E483" s="1541"/>
      <c r="F483" s="2629"/>
      <c r="G483" s="1541"/>
      <c r="H483" s="1541"/>
      <c r="I483" s="1541"/>
      <c r="J483" s="1631"/>
      <c r="K483" s="1631"/>
    </row>
    <row r="484" spans="1:11">
      <c r="A484" s="1621"/>
      <c r="B484" s="1621"/>
      <c r="C484" s="1621"/>
      <c r="D484" s="1621"/>
      <c r="E484" s="1621"/>
      <c r="F484" s="2677"/>
      <c r="G484" s="1621"/>
      <c r="H484" s="1621"/>
      <c r="I484" s="1621"/>
      <c r="J484" s="1631"/>
      <c r="K484" s="1631"/>
    </row>
    <row r="485" spans="1:11">
      <c r="A485" s="1541"/>
      <c r="B485" s="1541"/>
      <c r="C485" s="1541"/>
      <c r="D485" s="1541"/>
      <c r="E485" s="1541"/>
      <c r="F485" s="2629"/>
      <c r="G485" s="1541"/>
      <c r="H485" s="1541"/>
      <c r="I485" s="1541"/>
      <c r="J485" s="1631"/>
      <c r="K485" s="1631"/>
    </row>
    <row r="486" spans="1:11">
      <c r="A486" s="103" t="str">
        <f>A266</f>
        <v>DUKE ENERGY KENTUCKY, INC.</v>
      </c>
      <c r="B486" s="2585"/>
      <c r="C486" s="2585"/>
      <c r="D486" s="103"/>
      <c r="E486" s="2585"/>
      <c r="F486" s="2628"/>
      <c r="G486" s="2585"/>
      <c r="H486" s="2585"/>
      <c r="I486" s="2585"/>
      <c r="J486" s="1631"/>
      <c r="K486" s="1631"/>
    </row>
    <row r="487" spans="1:11">
      <c r="A487" s="103" t="str">
        <f>A267</f>
        <v>CASE NO. 2017-00321</v>
      </c>
      <c r="B487" s="2585"/>
      <c r="C487" s="2585"/>
      <c r="D487" s="103"/>
      <c r="E487" s="2585"/>
      <c r="F487" s="2628"/>
      <c r="G487" s="2585"/>
      <c r="H487" s="2585"/>
      <c r="I487" s="2585"/>
      <c r="J487" s="1631"/>
      <c r="K487" s="1631"/>
    </row>
    <row r="488" spans="1:11">
      <c r="A488" s="103" t="str">
        <f>A268</f>
        <v>PLANT IN SERVICE BY ACCOUNTS AND SUBACCOUNTS</v>
      </c>
      <c r="B488" s="2585"/>
      <c r="C488" s="2585"/>
      <c r="D488" s="103"/>
      <c r="E488" s="2585"/>
      <c r="F488" s="2628"/>
      <c r="G488" s="2585"/>
      <c r="H488" s="2585"/>
      <c r="I488" s="2585"/>
      <c r="J488" s="1631"/>
      <c r="K488" s="1631"/>
    </row>
    <row r="489" spans="1:11">
      <c r="A489" s="76" t="str">
        <f>"AS OF " &amp;RIGHT(Forecast,(LEN(Forecast)-16))</f>
        <v>AS OF MARCH 31, 2019</v>
      </c>
      <c r="B489" s="2585"/>
      <c r="C489" s="2585"/>
      <c r="D489" s="103"/>
      <c r="E489" s="2585"/>
      <c r="F489" s="2628"/>
      <c r="G489" s="2585"/>
      <c r="H489" s="2585"/>
      <c r="I489" s="2585"/>
      <c r="J489" s="1631"/>
      <c r="K489" s="1631"/>
    </row>
    <row r="490" spans="1:11">
      <c r="A490" s="2585"/>
      <c r="B490" s="2585"/>
      <c r="C490" s="2585"/>
      <c r="D490" s="2585"/>
      <c r="E490" s="2585"/>
      <c r="F490" s="2628"/>
      <c r="G490" s="2585"/>
      <c r="H490" s="2585"/>
      <c r="I490" s="2585"/>
      <c r="J490" s="1631"/>
      <c r="K490" s="1631"/>
    </row>
    <row r="491" spans="1:11">
      <c r="A491" s="103" t="s">
        <v>1280</v>
      </c>
      <c r="B491" s="2585"/>
      <c r="C491" s="2585"/>
      <c r="D491" s="103"/>
      <c r="E491" s="2585"/>
      <c r="F491" s="2628"/>
      <c r="G491" s="2585"/>
      <c r="H491" s="2585"/>
      <c r="I491" s="2585"/>
      <c r="J491" s="1631"/>
      <c r="K491" s="1631"/>
    </row>
    <row r="492" spans="1:11">
      <c r="A492" s="2569" t="s">
        <v>1799</v>
      </c>
      <c r="B492" s="2585"/>
      <c r="C492" s="2585"/>
      <c r="D492" s="103"/>
      <c r="E492" s="2585"/>
      <c r="F492" s="2628"/>
      <c r="G492" s="2585"/>
      <c r="H492" s="2585"/>
      <c r="I492" s="2585"/>
      <c r="J492" s="1631"/>
      <c r="K492" s="1631"/>
    </row>
    <row r="493" spans="1:11">
      <c r="A493" s="2638"/>
      <c r="B493" s="1541"/>
      <c r="C493" s="1541"/>
      <c r="D493" s="1541"/>
      <c r="E493" s="1541"/>
      <c r="F493" s="2629"/>
      <c r="G493" s="1541"/>
      <c r="H493" s="1541"/>
      <c r="I493" s="1541"/>
      <c r="J493" s="1631"/>
      <c r="K493" s="1631"/>
    </row>
    <row r="494" spans="1:11">
      <c r="A494" s="1506" t="str">
        <f>A275</f>
        <v>DATA:  BASE PERIOD  "X" FORECASTED PERIOD</v>
      </c>
      <c r="B494" s="1541"/>
      <c r="C494" s="1541"/>
      <c r="D494" s="1541"/>
      <c r="E494" s="1541"/>
      <c r="F494" s="2629"/>
      <c r="G494" s="1541"/>
      <c r="H494" s="2619" t="str">
        <f>H275</f>
        <v>SCHEDULE B-2.1</v>
      </c>
      <c r="I494" s="1541"/>
      <c r="J494" s="1631"/>
      <c r="K494" s="1631"/>
    </row>
    <row r="495" spans="1:11">
      <c r="A495" s="1506" t="str">
        <f>A276</f>
        <v xml:space="preserve">TYPE OF FILING:  "X" ORIGINAL   UPDATED    REVISED  </v>
      </c>
      <c r="B495" s="1541"/>
      <c r="C495" s="1541"/>
      <c r="D495" s="1541"/>
      <c r="E495" s="1541"/>
      <c r="F495" s="2629"/>
      <c r="G495" s="1541"/>
      <c r="H495" s="1506" t="s">
        <v>1905</v>
      </c>
      <c r="I495" s="1541"/>
      <c r="J495" s="1631"/>
      <c r="K495" s="1631"/>
    </row>
    <row r="496" spans="1:11">
      <c r="A496" s="1506" t="str">
        <f>A277</f>
        <v>WORK PAPER REFERENCE NO(S).: SCHEDULE B-2.2, SCHEDULE B-2.3</v>
      </c>
      <c r="B496" s="1541"/>
      <c r="C496" s="1541"/>
      <c r="D496" s="1541"/>
      <c r="E496" s="1541"/>
      <c r="F496" s="2629"/>
      <c r="G496" s="1541"/>
      <c r="H496" s="2619" t="s">
        <v>622</v>
      </c>
      <c r="I496" s="1541"/>
      <c r="J496" s="1631"/>
      <c r="K496" s="1631"/>
    </row>
    <row r="497" spans="1:11">
      <c r="A497" s="1541"/>
      <c r="B497" s="1541"/>
      <c r="C497" s="1541"/>
      <c r="D497" s="1541"/>
      <c r="E497" s="1541"/>
      <c r="F497" s="2629"/>
      <c r="G497" s="1541"/>
      <c r="H497" s="2586" t="str">
        <f>H278</f>
        <v>R. H. PRATT / C. S. LEE</v>
      </c>
      <c r="I497" s="1541"/>
      <c r="J497" s="1631"/>
      <c r="K497" s="1631"/>
    </row>
    <row r="498" spans="1:11">
      <c r="A498" s="1541"/>
      <c r="B498" s="1541"/>
      <c r="C498" s="1541"/>
      <c r="D498" s="1541"/>
      <c r="E498" s="1541"/>
      <c r="F498" s="2629"/>
      <c r="G498" s="1541"/>
      <c r="H498" s="1541"/>
      <c r="I498" s="1541"/>
      <c r="J498" s="1631"/>
      <c r="K498" s="1631"/>
    </row>
    <row r="499" spans="1:11">
      <c r="A499" s="1541"/>
      <c r="B499" s="1541"/>
      <c r="C499" s="1541"/>
      <c r="D499" s="1541"/>
      <c r="E499" s="1541"/>
      <c r="F499" s="2629"/>
      <c r="G499" s="1541"/>
      <c r="H499" s="1541"/>
      <c r="I499" s="1541"/>
      <c r="J499" s="1631"/>
      <c r="K499" s="1631"/>
    </row>
    <row r="500" spans="1:11">
      <c r="A500" s="1541"/>
      <c r="B500" s="1541"/>
      <c r="C500" s="1541"/>
      <c r="D500" s="1541"/>
      <c r="E500" s="1541"/>
      <c r="F500" s="2629"/>
      <c r="G500" s="1541"/>
      <c r="H500" s="1541"/>
      <c r="I500" s="1541"/>
      <c r="J500" s="1631"/>
      <c r="K500" s="1631"/>
    </row>
    <row r="501" spans="1:11">
      <c r="A501" s="1621"/>
      <c r="B501" s="2679"/>
      <c r="C501" s="2678"/>
      <c r="D501" s="1621"/>
      <c r="E501" s="1621"/>
      <c r="F501" s="2677"/>
      <c r="G501" s="1621"/>
      <c r="H501" s="1622"/>
      <c r="I501" s="2676" t="s">
        <v>1967</v>
      </c>
      <c r="J501" s="1631"/>
      <c r="K501" s="1631"/>
    </row>
    <row r="502" spans="1:11">
      <c r="A502" s="89"/>
      <c r="B502" s="90" t="s">
        <v>943</v>
      </c>
      <c r="C502" s="90" t="s">
        <v>1750</v>
      </c>
      <c r="D502" s="89"/>
      <c r="E502" s="78" t="s">
        <v>1967</v>
      </c>
      <c r="F502" s="93"/>
      <c r="G502" s="89"/>
      <c r="H502" s="77" t="s">
        <v>1967</v>
      </c>
      <c r="I502" s="77" t="s">
        <v>873</v>
      </c>
      <c r="J502" s="1631"/>
      <c r="K502" s="1631"/>
    </row>
    <row r="503" spans="1:11">
      <c r="A503" s="1505" t="s">
        <v>1240</v>
      </c>
      <c r="B503" s="1505" t="s">
        <v>1164</v>
      </c>
      <c r="C503" s="1505" t="s">
        <v>1164</v>
      </c>
      <c r="D503" s="1541"/>
      <c r="E503" s="90" t="s">
        <v>873</v>
      </c>
      <c r="F503" s="2630" t="s">
        <v>802</v>
      </c>
      <c r="G503" s="1505" t="s">
        <v>802</v>
      </c>
      <c r="H503" s="2581" t="s">
        <v>873</v>
      </c>
      <c r="I503" s="2581" t="s">
        <v>574</v>
      </c>
      <c r="J503" s="1631"/>
      <c r="K503" s="1631"/>
    </row>
    <row r="504" spans="1:11">
      <c r="A504" s="1505" t="s">
        <v>1241</v>
      </c>
      <c r="B504" s="1505" t="s">
        <v>1241</v>
      </c>
      <c r="C504" s="1505" t="s">
        <v>1241</v>
      </c>
      <c r="D504" s="1505" t="s">
        <v>1165</v>
      </c>
      <c r="E504" s="90" t="s">
        <v>207</v>
      </c>
      <c r="F504" s="2631" t="s">
        <v>363</v>
      </c>
      <c r="G504" s="90" t="s">
        <v>1929</v>
      </c>
      <c r="H504" s="2632" t="s">
        <v>573</v>
      </c>
      <c r="I504" s="2632" t="s">
        <v>1449</v>
      </c>
      <c r="J504" s="1631"/>
      <c r="K504" s="1631"/>
    </row>
    <row r="505" spans="1:11">
      <c r="A505" s="1505"/>
      <c r="B505" s="1505"/>
      <c r="C505" s="1505"/>
      <c r="D505" s="1505"/>
      <c r="E505" s="2621"/>
      <c r="F505" s="2633"/>
      <c r="G505" s="2621"/>
      <c r="H505" s="2634"/>
      <c r="I505" s="2634"/>
      <c r="J505" s="1631"/>
      <c r="K505" s="1631"/>
    </row>
    <row r="506" spans="1:11">
      <c r="A506" s="1621"/>
      <c r="B506" s="1621"/>
      <c r="C506" s="1621"/>
      <c r="D506" s="1621"/>
      <c r="E506" s="2581" t="s">
        <v>1705</v>
      </c>
      <c r="F506" s="2629"/>
      <c r="G506" s="1505" t="s">
        <v>1705</v>
      </c>
      <c r="H506" s="1505" t="s">
        <v>1705</v>
      </c>
      <c r="I506" s="1505" t="s">
        <v>1705</v>
      </c>
      <c r="J506" s="1631"/>
      <c r="K506" s="1631"/>
    </row>
    <row r="507" spans="1:11">
      <c r="A507" s="1541"/>
      <c r="B507" s="1541"/>
      <c r="C507" s="1541"/>
      <c r="D507" s="1541"/>
      <c r="E507" s="1631"/>
      <c r="F507" s="2635"/>
      <c r="G507" s="1631"/>
      <c r="H507" s="1631"/>
      <c r="I507" s="1631"/>
      <c r="J507" s="1631"/>
      <c r="K507" s="1631"/>
    </row>
    <row r="508" spans="1:11">
      <c r="A508" s="1505" t="s">
        <v>1166</v>
      </c>
      <c r="B508" s="1541"/>
      <c r="C508" s="1505">
        <v>1030</v>
      </c>
      <c r="D508" s="1506" t="s">
        <v>775</v>
      </c>
      <c r="E508" s="1539">
        <f>'SCH B-2.3'!L507</f>
        <v>22332073</v>
      </c>
      <c r="F508" s="1616">
        <v>1</v>
      </c>
      <c r="G508" s="1539">
        <f t="shared" ref="G508:G517" si="22">ROUND(E508*F508,0)</f>
        <v>22332073</v>
      </c>
      <c r="H508" s="1541"/>
      <c r="I508" s="1539">
        <f t="shared" ref="I508:I517" si="23">G508+H508</f>
        <v>22332073</v>
      </c>
      <c r="J508" s="1631"/>
      <c r="K508" s="1631"/>
    </row>
    <row r="509" spans="1:11">
      <c r="A509" s="1505">
        <v>2</v>
      </c>
      <c r="B509" s="1541"/>
      <c r="C509" s="1505">
        <v>1701</v>
      </c>
      <c r="D509" s="1506" t="s">
        <v>2290</v>
      </c>
      <c r="E509" s="1539">
        <f>'SCH B-2.3'!L508</f>
        <v>0</v>
      </c>
      <c r="F509" s="1616">
        <v>1</v>
      </c>
      <c r="G509" s="1539">
        <f t="shared" si="22"/>
        <v>0</v>
      </c>
      <c r="H509" s="1539"/>
      <c r="I509" s="1539">
        <f t="shared" si="23"/>
        <v>0</v>
      </c>
      <c r="J509" s="1631"/>
      <c r="K509" s="1631"/>
    </row>
    <row r="510" spans="1:11">
      <c r="A510" s="1505">
        <v>3</v>
      </c>
      <c r="B510" s="1541"/>
      <c r="C510" s="1505">
        <v>1890</v>
      </c>
      <c r="D510" s="1506" t="s">
        <v>849</v>
      </c>
      <c r="E510" s="1539">
        <f>'SCH B-2.3'!L509</f>
        <v>154248</v>
      </c>
      <c r="F510" s="1616">
        <v>1</v>
      </c>
      <c r="G510" s="1539">
        <f t="shared" si="22"/>
        <v>154248</v>
      </c>
      <c r="H510" s="1539"/>
      <c r="I510" s="1539">
        <f t="shared" si="23"/>
        <v>154248</v>
      </c>
      <c r="J510" s="1631"/>
      <c r="K510" s="1631"/>
    </row>
    <row r="511" spans="1:11">
      <c r="A511" s="1505">
        <v>4</v>
      </c>
      <c r="B511" s="1541"/>
      <c r="C511" s="1505">
        <v>1900</v>
      </c>
      <c r="D511" s="1506" t="s">
        <v>1170</v>
      </c>
      <c r="E511" s="1539">
        <f>'SCH B-2.3'!L510</f>
        <v>11174046</v>
      </c>
      <c r="F511" s="1616">
        <v>1</v>
      </c>
      <c r="G511" s="1539">
        <f t="shared" si="22"/>
        <v>11174046</v>
      </c>
      <c r="H511" s="1539"/>
      <c r="I511" s="1539">
        <f t="shared" si="23"/>
        <v>11174046</v>
      </c>
      <c r="J511" s="1631"/>
      <c r="K511" s="1631"/>
    </row>
    <row r="512" spans="1:11">
      <c r="A512" s="1505">
        <v>5</v>
      </c>
      <c r="B512" s="1541"/>
      <c r="C512" s="1505">
        <v>1910</v>
      </c>
      <c r="D512" s="1506" t="s">
        <v>1274</v>
      </c>
      <c r="E512" s="1539">
        <f>'SCH B-2.3'!L511</f>
        <v>719196</v>
      </c>
      <c r="F512" s="1616">
        <v>1</v>
      </c>
      <c r="G512" s="1539">
        <f t="shared" si="22"/>
        <v>719196</v>
      </c>
      <c r="H512" s="1539"/>
      <c r="I512" s="1539">
        <f t="shared" si="23"/>
        <v>719196</v>
      </c>
      <c r="J512" s="1631"/>
      <c r="K512" s="1631"/>
    </row>
    <row r="513" spans="1:11">
      <c r="A513" s="1505">
        <v>6</v>
      </c>
      <c r="B513" s="1541"/>
      <c r="C513" s="1505">
        <v>1911</v>
      </c>
      <c r="D513" s="1506" t="s">
        <v>776</v>
      </c>
      <c r="E513" s="1539">
        <f>'SCH B-2.3'!L512</f>
        <v>792659</v>
      </c>
      <c r="F513" s="1616">
        <v>1</v>
      </c>
      <c r="G513" s="1539">
        <f t="shared" si="22"/>
        <v>792659</v>
      </c>
      <c r="H513" s="1539"/>
      <c r="I513" s="1539">
        <f t="shared" si="23"/>
        <v>792659</v>
      </c>
      <c r="J513" s="1631"/>
      <c r="K513" s="1631"/>
    </row>
    <row r="514" spans="1:11">
      <c r="A514" s="1505">
        <v>7</v>
      </c>
      <c r="B514" s="1541"/>
      <c r="C514" s="1505">
        <v>1940</v>
      </c>
      <c r="D514" s="1506" t="s">
        <v>1276</v>
      </c>
      <c r="E514" s="1539">
        <f>'SCH B-2.3'!L513</f>
        <v>117019</v>
      </c>
      <c r="F514" s="1616">
        <v>1</v>
      </c>
      <c r="G514" s="1539">
        <f t="shared" si="22"/>
        <v>117019</v>
      </c>
      <c r="H514" s="1539"/>
      <c r="I514" s="1539">
        <f t="shared" si="23"/>
        <v>117019</v>
      </c>
      <c r="J514" s="1631"/>
      <c r="K514" s="1631"/>
    </row>
    <row r="515" spans="1:11">
      <c r="A515" s="1505">
        <v>8</v>
      </c>
      <c r="B515" s="1541"/>
      <c r="C515" s="1505">
        <v>1970</v>
      </c>
      <c r="D515" s="1506" t="s">
        <v>1330</v>
      </c>
      <c r="E515" s="1539">
        <f>'SCH B-2.3'!L514</f>
        <v>7708586</v>
      </c>
      <c r="F515" s="1616">
        <v>1</v>
      </c>
      <c r="G515" s="1539">
        <f t="shared" si="22"/>
        <v>7708586</v>
      </c>
      <c r="H515" s="1539"/>
      <c r="I515" s="1539">
        <f t="shared" si="23"/>
        <v>7708586</v>
      </c>
      <c r="J515" s="1631"/>
      <c r="K515" s="1631"/>
    </row>
    <row r="516" spans="1:11">
      <c r="A516" s="1505">
        <v>9</v>
      </c>
      <c r="B516" s="1541"/>
      <c r="C516" s="1505">
        <v>1980</v>
      </c>
      <c r="D516" s="1506" t="s">
        <v>1278</v>
      </c>
      <c r="E516" s="1539">
        <f>'SCH B-2.3'!L515</f>
        <v>41504</v>
      </c>
      <c r="F516" s="1616">
        <v>1</v>
      </c>
      <c r="G516" s="1539">
        <f t="shared" si="22"/>
        <v>41504</v>
      </c>
      <c r="H516" s="1539"/>
      <c r="I516" s="1539">
        <f t="shared" si="23"/>
        <v>41504</v>
      </c>
      <c r="J516" s="1631"/>
      <c r="K516" s="1631"/>
    </row>
    <row r="517" spans="1:11">
      <c r="A517" s="1505">
        <v>10</v>
      </c>
      <c r="B517" s="1541"/>
      <c r="C517" s="1506"/>
      <c r="D517" s="1506" t="s">
        <v>1483</v>
      </c>
      <c r="E517" s="1539">
        <f>'SCH B-2.3'!L516</f>
        <v>0</v>
      </c>
      <c r="F517" s="1616">
        <v>1</v>
      </c>
      <c r="G517" s="1539">
        <f t="shared" si="22"/>
        <v>0</v>
      </c>
      <c r="H517" s="1539"/>
      <c r="I517" s="1539">
        <f t="shared" si="23"/>
        <v>0</v>
      </c>
      <c r="J517" s="1631"/>
      <c r="K517" s="1631"/>
    </row>
    <row r="518" spans="1:11">
      <c r="A518" s="1505"/>
      <c r="B518" s="1541"/>
      <c r="C518" s="1506"/>
      <c r="D518" s="1506"/>
      <c r="E518" s="1539"/>
      <c r="F518" s="1538"/>
      <c r="G518" s="1539"/>
      <c r="H518" s="1539"/>
      <c r="I518" s="1539"/>
      <c r="J518" s="1631"/>
      <c r="K518" s="1631"/>
    </row>
    <row r="519" spans="1:11">
      <c r="A519" s="1541"/>
      <c r="B519" s="1541"/>
      <c r="C519" s="1541"/>
      <c r="D519" s="1541"/>
      <c r="E519" s="1541"/>
      <c r="F519" s="2629"/>
      <c r="G519" s="1541"/>
      <c r="H519" s="1541"/>
      <c r="I519" s="1541"/>
      <c r="J519" s="1631"/>
      <c r="K519" s="1631"/>
    </row>
    <row r="520" spans="1:11">
      <c r="A520" s="1621"/>
      <c r="B520" s="1621"/>
      <c r="C520" s="1621"/>
      <c r="D520" s="1621"/>
      <c r="E520" s="1622"/>
      <c r="F520" s="1623"/>
      <c r="G520" s="1622"/>
      <c r="H520" s="1622"/>
      <c r="I520" s="1622"/>
      <c r="J520" s="1631"/>
      <c r="K520" s="1631"/>
    </row>
    <row r="521" spans="1:11">
      <c r="A521" s="1505">
        <v>11</v>
      </c>
      <c r="B521" s="1541"/>
      <c r="C521" s="1541"/>
      <c r="D521" s="1506" t="s">
        <v>1476</v>
      </c>
      <c r="E521" s="1539">
        <f>SUM(E508:E519)</f>
        <v>43039331</v>
      </c>
      <c r="F521" s="1538"/>
      <c r="G521" s="1539">
        <f>SUM(G508:G519)</f>
        <v>43039331</v>
      </c>
      <c r="H521" s="1539">
        <f>SUM(H508:H519)</f>
        <v>0</v>
      </c>
      <c r="I521" s="1539">
        <f>SUM(I508:I519)</f>
        <v>43039331</v>
      </c>
      <c r="J521" s="1631"/>
      <c r="K521" s="2682" t="str">
        <f>IF(E521='SCH B-2.3'!L520,"BALANCED","ERROR")</f>
        <v>BALANCED</v>
      </c>
    </row>
    <row r="522" spans="1:11">
      <c r="A522" s="1541"/>
      <c r="B522" s="1541"/>
      <c r="C522" s="1541"/>
      <c r="D522" s="1541"/>
      <c r="E522" s="1541"/>
      <c r="F522" s="2629"/>
      <c r="G522" s="1541"/>
      <c r="H522" s="1541"/>
      <c r="I522" s="1541"/>
      <c r="J522" s="1631"/>
      <c r="K522" s="1631"/>
    </row>
    <row r="523" spans="1:11">
      <c r="A523" s="1621"/>
      <c r="B523" s="1621"/>
      <c r="C523" s="1621"/>
      <c r="D523" s="1621"/>
      <c r="E523" s="1622"/>
      <c r="F523" s="1623"/>
      <c r="G523" s="1622"/>
      <c r="H523" s="1622"/>
      <c r="I523" s="1622"/>
      <c r="J523" s="1631"/>
      <c r="K523" s="1631"/>
    </row>
    <row r="524" spans="1:11">
      <c r="A524" s="1505">
        <v>12</v>
      </c>
      <c r="B524" s="1541"/>
      <c r="C524" s="1538">
        <f>CommonE</f>
        <v>0.72819999999999996</v>
      </c>
      <c r="D524" s="1506" t="s">
        <v>30</v>
      </c>
      <c r="E524" s="1539">
        <f>ROUND(E521*C524,0)</f>
        <v>31341241</v>
      </c>
      <c r="F524" s="1538"/>
      <c r="G524" s="1539">
        <f>ROUND(G521*$C$259,0)</f>
        <v>31341241</v>
      </c>
      <c r="H524" s="1539">
        <f>ROUND(H521*$C$259,0)</f>
        <v>0</v>
      </c>
      <c r="I524" s="1539">
        <f>G524+H524</f>
        <v>31341241</v>
      </c>
      <c r="J524" s="1631"/>
      <c r="K524" s="2682" t="str">
        <f>IF(E524='SCH B-2.3'!L523,"BALANCED","ERROR")</f>
        <v>BALANCED</v>
      </c>
    </row>
    <row r="525" spans="1:11">
      <c r="A525" s="1541"/>
      <c r="B525" s="1541"/>
      <c r="C525" s="1541"/>
      <c r="D525" s="1541"/>
      <c r="E525" s="1541"/>
      <c r="F525" s="2629"/>
      <c r="G525" s="1541"/>
      <c r="H525" s="1541"/>
      <c r="I525" s="1541"/>
      <c r="J525" s="1631"/>
      <c r="K525" s="1631"/>
    </row>
    <row r="526" spans="1:11">
      <c r="A526" s="1621"/>
      <c r="B526" s="1621"/>
      <c r="C526" s="1621"/>
      <c r="D526" s="1621"/>
      <c r="E526" s="1622"/>
      <c r="F526" s="1623"/>
      <c r="G526" s="1622"/>
      <c r="H526" s="1622"/>
      <c r="I526" s="1622"/>
      <c r="J526" s="1631"/>
      <c r="K526" s="1631"/>
    </row>
    <row r="527" spans="1:11">
      <c r="A527" s="1505">
        <v>13</v>
      </c>
      <c r="B527" s="1541"/>
      <c r="C527" s="1541"/>
      <c r="D527" s="1506" t="s">
        <v>57</v>
      </c>
      <c r="E527" s="1539">
        <f>E482+E524</f>
        <v>1779733384</v>
      </c>
      <c r="F527" s="1538"/>
      <c r="G527" s="1539">
        <f>G482+G524</f>
        <v>1779733384</v>
      </c>
      <c r="H527" s="1539">
        <f>H482+H524</f>
        <v>-48889265</v>
      </c>
      <c r="I527" s="1539">
        <f>I482+I524</f>
        <v>1730844119</v>
      </c>
      <c r="J527" s="1631"/>
      <c r="K527" s="2682" t="str">
        <f>IF(E527='SCH B-2.3'!L526,"BALANCED","ERROR")</f>
        <v>BALANCED</v>
      </c>
    </row>
    <row r="528" spans="1:11">
      <c r="A528" s="1541"/>
      <c r="B528" s="1541"/>
      <c r="C528" s="1541"/>
      <c r="D528" s="1541"/>
      <c r="E528" s="1541"/>
      <c r="F528" s="2629"/>
      <c r="G528" s="1541"/>
      <c r="H528" s="1541"/>
      <c r="I528" s="1541"/>
      <c r="J528" s="1631"/>
      <c r="K528" s="1631"/>
    </row>
    <row r="529" spans="1:11">
      <c r="A529" s="1621"/>
      <c r="B529" s="1621"/>
      <c r="C529" s="1621"/>
      <c r="D529" s="1621"/>
      <c r="E529" s="1622"/>
      <c r="F529" s="1623"/>
      <c r="G529" s="1622"/>
      <c r="H529" s="1622"/>
      <c r="I529" s="1622"/>
      <c r="J529" s="1631"/>
      <c r="K529" s="1631"/>
    </row>
    <row r="530" spans="1:11">
      <c r="A530" s="1541"/>
      <c r="B530" s="1541"/>
      <c r="C530" s="1541"/>
      <c r="D530" s="1541"/>
      <c r="E530" s="1539"/>
      <c r="F530" s="1538"/>
      <c r="G530" s="1539"/>
      <c r="H530" s="1539"/>
      <c r="I530" s="1539"/>
      <c r="J530" s="1631"/>
      <c r="K530" s="1631"/>
    </row>
  </sheetData>
  <printOptions horizontalCentered="1"/>
  <pageMargins left="0.75" right="0.75" top="1" bottom="1" header="0.5" footer="0.5"/>
  <pageSetup scale="59" orientation="landscape" horizontalDpi="300" r:id="rId1"/>
  <headerFooter alignWithMargins="0">
    <oddHeader>&amp;C&amp;A&amp;R&amp;"Times New Roman,Bold"KyPSC Case No. 2017-00321
STAFF-DR-01-071 SFRs Attachment
Page &amp;P of &amp;N</oddHeader>
    <oddFooter>Page &amp;P</oddFooter>
  </headerFooter>
  <rowBreaks count="3" manualBreakCount="3">
    <brk id="124" max="9" man="1"/>
    <brk id="178" max="9" man="1"/>
    <brk id="220" max="9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theme="4" tint="0.39997558519241921"/>
  </sheetPr>
  <dimension ref="A1:Q96"/>
  <sheetViews>
    <sheetView tabSelected="1" view="pageLayout" topLeftCell="E1" zoomScaleNormal="90" workbookViewId="0">
      <selection activeCell="G1" sqref="G1"/>
    </sheetView>
  </sheetViews>
  <sheetFormatPr defaultColWidth="11.42578125" defaultRowHeight="12.75"/>
  <cols>
    <col min="1" max="1" width="7.42578125" style="18" customWidth="1"/>
    <col min="2" max="3" width="11.42578125" style="18" customWidth="1"/>
    <col min="4" max="4" width="42.7109375" style="18" customWidth="1"/>
    <col min="5" max="5" width="18" style="18" customWidth="1"/>
    <col min="6" max="7" width="15.5703125" style="18" customWidth="1"/>
    <col min="8" max="8" width="15.85546875" style="18" customWidth="1"/>
    <col min="9" max="9" width="46.85546875" style="18" customWidth="1"/>
    <col min="10" max="12" width="11.42578125" style="18" customWidth="1"/>
    <col min="13" max="13" width="35.7109375" style="18" customWidth="1"/>
    <col min="14" max="14" width="15.5703125" style="18" customWidth="1"/>
    <col min="15" max="15" width="14.140625" style="18" customWidth="1"/>
    <col min="16" max="16" width="17.42578125" style="18" customWidth="1"/>
    <col min="17" max="16384" width="11.42578125" style="18"/>
  </cols>
  <sheetData>
    <row r="1" spans="1:17">
      <c r="A1" s="103" t="str">
        <f>COMPANY</f>
        <v>DUKE ENERGY KENTUCKY, INC.</v>
      </c>
      <c r="B1" s="103"/>
      <c r="C1" s="103"/>
      <c r="D1" s="103"/>
      <c r="E1" s="103"/>
      <c r="F1" s="103"/>
      <c r="G1" s="103"/>
      <c r="H1" s="103"/>
      <c r="I1" s="103"/>
      <c r="J1" s="1541"/>
      <c r="K1" s="1541"/>
      <c r="L1" s="1541"/>
      <c r="M1" s="1541"/>
      <c r="N1" s="1541"/>
      <c r="O1" s="1541"/>
      <c r="P1" s="1541"/>
      <c r="Q1" s="1541"/>
    </row>
    <row r="2" spans="1:17">
      <c r="A2" s="103" t="str">
        <f>CASE</f>
        <v>CASE NO. 2017-00321</v>
      </c>
      <c r="B2" s="103"/>
      <c r="C2" s="103"/>
      <c r="D2" s="103"/>
      <c r="E2" s="103"/>
      <c r="F2" s="103"/>
      <c r="G2" s="103"/>
      <c r="H2" s="103"/>
      <c r="I2" s="103"/>
      <c r="J2" s="1541"/>
      <c r="K2" s="1541"/>
      <c r="L2" s="1541"/>
      <c r="M2" s="1541"/>
      <c r="N2" s="1541"/>
      <c r="O2" s="1541"/>
      <c r="P2" s="1541"/>
      <c r="Q2" s="1541"/>
    </row>
    <row r="3" spans="1:17">
      <c r="A3" s="103" t="s">
        <v>1477</v>
      </c>
      <c r="B3" s="103"/>
      <c r="C3" s="103"/>
      <c r="D3" s="103"/>
      <c r="E3" s="103"/>
      <c r="F3" s="103"/>
      <c r="G3" s="103"/>
      <c r="H3" s="103"/>
      <c r="I3" s="103"/>
      <c r="J3" s="1541"/>
      <c r="K3" s="1541"/>
      <c r="L3" s="1541"/>
      <c r="M3" s="1541"/>
      <c r="N3" s="1541"/>
      <c r="O3" s="1541"/>
      <c r="P3" s="1541"/>
      <c r="Q3" s="1541"/>
    </row>
    <row r="4" spans="1:17">
      <c r="A4" s="76" t="str">
        <f>"AS OF " &amp;RIGHT(TESTYR,(LEN(TESTYR)-16))</f>
        <v>AS OF NOVEMBER 30, 2017</v>
      </c>
      <c r="B4" s="103"/>
      <c r="C4" s="103"/>
      <c r="D4" s="103"/>
      <c r="E4" s="103"/>
      <c r="F4" s="103"/>
      <c r="G4" s="103"/>
      <c r="H4" s="103"/>
      <c r="I4" s="103"/>
      <c r="J4" s="1541"/>
      <c r="K4" s="1541"/>
      <c r="L4" s="1541"/>
      <c r="M4" s="1541"/>
      <c r="N4" s="1541"/>
      <c r="O4" s="1541"/>
      <c r="P4" s="1541"/>
      <c r="Q4" s="1541"/>
    </row>
    <row r="5" spans="1:17">
      <c r="A5" s="2585"/>
      <c r="B5" s="2585"/>
      <c r="C5" s="2585"/>
      <c r="D5" s="2585"/>
      <c r="E5" s="2585"/>
      <c r="F5" s="2585"/>
      <c r="G5" s="2585"/>
      <c r="H5" s="1541"/>
      <c r="I5" s="1541"/>
      <c r="J5" s="1541"/>
      <c r="K5" s="1541"/>
      <c r="L5" s="1541"/>
      <c r="M5" s="1541"/>
      <c r="N5" s="1541"/>
      <c r="O5" s="1541"/>
      <c r="P5" s="1541"/>
      <c r="Q5" s="1541"/>
    </row>
    <row r="6" spans="1:17">
      <c r="A6" s="103"/>
      <c r="B6" s="103"/>
      <c r="C6" s="103"/>
      <c r="D6" s="103"/>
      <c r="E6" s="103"/>
      <c r="F6" s="103"/>
      <c r="G6" s="103"/>
      <c r="H6" s="103"/>
      <c r="I6" s="103"/>
      <c r="J6" s="1541"/>
      <c r="K6" s="1541"/>
      <c r="L6" s="1541"/>
      <c r="M6" s="1541"/>
      <c r="N6" s="1541"/>
      <c r="O6" s="1541"/>
      <c r="P6" s="1541"/>
      <c r="Q6" s="1541"/>
    </row>
    <row r="7" spans="1:17">
      <c r="A7" s="2585"/>
      <c r="B7" s="2585"/>
      <c r="C7" s="2585"/>
      <c r="D7" s="2585"/>
      <c r="E7" s="2585"/>
      <c r="F7" s="2585"/>
      <c r="G7" s="2585"/>
      <c r="H7" s="1541"/>
      <c r="I7" s="1541"/>
      <c r="J7" s="1541"/>
      <c r="K7" s="1541"/>
      <c r="L7" s="1541"/>
      <c r="M7" s="1541"/>
      <c r="N7" s="1541"/>
      <c r="O7" s="1541"/>
      <c r="P7" s="1541"/>
      <c r="Q7" s="1541"/>
    </row>
    <row r="8" spans="1:17">
      <c r="A8" s="2585"/>
      <c r="B8" s="2585"/>
      <c r="C8" s="2585"/>
      <c r="D8" s="2585"/>
      <c r="E8" s="2585"/>
      <c r="F8" s="2585"/>
      <c r="G8" s="2585"/>
      <c r="H8" s="1541"/>
      <c r="I8" s="1541"/>
      <c r="J8" s="1541"/>
      <c r="K8" s="1541"/>
      <c r="L8" s="1541"/>
      <c r="M8" s="1541"/>
      <c r="N8" s="1541"/>
      <c r="O8" s="1541"/>
      <c r="P8" s="1541"/>
      <c r="Q8" s="1541"/>
    </row>
    <row r="9" spans="1:17">
      <c r="A9" s="1506" t="str">
        <f>Data</f>
        <v>DATA: "X" BASE PERIOD   FORECASTED PERIOD</v>
      </c>
      <c r="B9" s="1541"/>
      <c r="C9" s="1541"/>
      <c r="D9" s="1541"/>
      <c r="E9" s="1541"/>
      <c r="F9" s="1541"/>
      <c r="G9" s="1541"/>
      <c r="H9" s="1506" t="s">
        <v>1478</v>
      </c>
      <c r="I9" s="1541"/>
      <c r="J9" s="1541"/>
      <c r="K9" s="1541"/>
      <c r="L9" s="1541"/>
      <c r="M9" s="1541"/>
      <c r="N9" s="1541"/>
      <c r="O9" s="1541"/>
      <c r="P9" s="1541"/>
      <c r="Q9" s="1541"/>
    </row>
    <row r="10" spans="1:17">
      <c r="A10" s="1506" t="str">
        <f>Type</f>
        <v xml:space="preserve">TYPE OF FILING:  "X" ORIGINAL   UPDATED    REVISED  </v>
      </c>
      <c r="B10" s="1541"/>
      <c r="C10" s="1541"/>
      <c r="D10" s="1541"/>
      <c r="E10" s="1541"/>
      <c r="F10" s="1541"/>
      <c r="G10" s="1541"/>
      <c r="H10" s="1506" t="s">
        <v>1458</v>
      </c>
      <c r="I10" s="1541"/>
      <c r="J10" s="1541"/>
      <c r="K10" s="1541"/>
      <c r="L10" s="1541"/>
      <c r="M10" s="1541"/>
      <c r="N10" s="1541"/>
      <c r="O10" s="1541"/>
      <c r="P10" s="1541"/>
      <c r="Q10" s="1541"/>
    </row>
    <row r="11" spans="1:17">
      <c r="A11" s="1506" t="s">
        <v>1879</v>
      </c>
      <c r="B11" s="1541"/>
      <c r="C11" s="1541"/>
      <c r="D11" s="1541"/>
      <c r="E11" s="1541"/>
      <c r="F11" s="1541"/>
      <c r="G11" s="1541"/>
      <c r="H11" s="2586" t="s">
        <v>622</v>
      </c>
      <c r="I11" s="1541"/>
      <c r="J11" s="1541"/>
      <c r="K11" s="1541"/>
      <c r="L11" s="1541"/>
      <c r="M11" s="1541"/>
      <c r="N11" s="1541"/>
      <c r="O11" s="1541"/>
      <c r="P11" s="1541"/>
      <c r="Q11" s="1541"/>
    </row>
    <row r="12" spans="1:17">
      <c r="A12" s="1541"/>
      <c r="B12" s="1541"/>
      <c r="C12" s="1541"/>
      <c r="D12" s="1541"/>
      <c r="E12" s="1541"/>
      <c r="F12" s="1541"/>
      <c r="G12" s="1541"/>
      <c r="H12" s="2586" t="str">
        <f>_WIT7</f>
        <v>R. H. PRATT / C. S. LEE</v>
      </c>
      <c r="I12" s="1541"/>
      <c r="J12" s="1541"/>
      <c r="K12" s="1541"/>
      <c r="L12" s="1541"/>
      <c r="M12" s="1541"/>
      <c r="N12" s="1541"/>
      <c r="O12" s="1541"/>
      <c r="P12" s="1541"/>
      <c r="Q12" s="1541"/>
    </row>
    <row r="13" spans="1:17">
      <c r="A13" s="1541"/>
      <c r="B13" s="1541"/>
      <c r="C13" s="1541"/>
      <c r="D13" s="1541"/>
      <c r="E13" s="1541"/>
      <c r="F13" s="1541"/>
      <c r="G13" s="1541"/>
      <c r="H13" s="1541"/>
      <c r="I13" s="1541"/>
      <c r="J13" s="1541"/>
      <c r="K13" s="1541"/>
      <c r="L13" s="1541"/>
      <c r="M13" s="1541"/>
      <c r="N13" s="1541"/>
      <c r="O13" s="1541"/>
      <c r="P13" s="1541"/>
      <c r="Q13" s="1541"/>
    </row>
    <row r="14" spans="1:17">
      <c r="A14" s="1541"/>
      <c r="B14" s="1541"/>
      <c r="C14" s="1541"/>
      <c r="D14" s="1541"/>
      <c r="E14" s="1541"/>
      <c r="F14" s="1541"/>
      <c r="G14" s="1541"/>
      <c r="H14" s="1541"/>
      <c r="I14" s="1541"/>
      <c r="J14" s="1541"/>
      <c r="K14" s="1541"/>
      <c r="L14" s="1541"/>
      <c r="M14" s="1541"/>
      <c r="N14" s="1541"/>
      <c r="O14" s="1541"/>
      <c r="P14" s="1541"/>
      <c r="Q14" s="1541"/>
    </row>
    <row r="15" spans="1:17">
      <c r="A15" s="1541"/>
      <c r="B15" s="1541"/>
      <c r="C15" s="1541"/>
      <c r="D15" s="1541"/>
      <c r="E15" s="1541"/>
      <c r="F15" s="1541"/>
      <c r="G15" s="1541"/>
      <c r="H15" s="2587"/>
      <c r="I15" s="2587"/>
      <c r="J15" s="1541"/>
      <c r="K15" s="1541"/>
      <c r="L15" s="1541"/>
      <c r="M15" s="1541"/>
      <c r="N15" s="1541"/>
      <c r="O15" s="1541"/>
      <c r="P15" s="1541"/>
      <c r="Q15" s="1541"/>
    </row>
    <row r="16" spans="1:17">
      <c r="A16" s="1621"/>
      <c r="B16" s="1621"/>
      <c r="C16" s="2680"/>
      <c r="D16" s="1621"/>
      <c r="E16" s="1621"/>
      <c r="F16" s="1621"/>
      <c r="G16" s="1621"/>
      <c r="H16" s="1541"/>
      <c r="I16" s="1541"/>
      <c r="J16" s="1541"/>
      <c r="K16" s="1541"/>
      <c r="L16" s="1541"/>
      <c r="M16" s="1541"/>
      <c r="N16" s="1541"/>
      <c r="O16" s="1541"/>
      <c r="P16" s="1541"/>
      <c r="Q16" s="1541"/>
    </row>
    <row r="17" spans="1:17">
      <c r="A17" s="1541"/>
      <c r="B17" s="1505" t="s">
        <v>943</v>
      </c>
      <c r="C17" s="90" t="s">
        <v>1750</v>
      </c>
      <c r="D17" s="1541"/>
      <c r="E17" s="1505"/>
      <c r="F17" s="1541"/>
      <c r="G17" s="1541"/>
      <c r="H17" s="1541"/>
      <c r="I17" s="2620" t="s">
        <v>1479</v>
      </c>
      <c r="J17" s="1541"/>
      <c r="K17" s="1541"/>
      <c r="L17" s="1541"/>
      <c r="M17" s="1541"/>
      <c r="N17" s="1541"/>
      <c r="O17" s="1541"/>
      <c r="P17" s="1541"/>
      <c r="Q17" s="1541"/>
    </row>
    <row r="18" spans="1:17">
      <c r="A18" s="1505" t="s">
        <v>1240</v>
      </c>
      <c r="B18" s="1505" t="s">
        <v>1164</v>
      </c>
      <c r="C18" s="1505" t="s">
        <v>1164</v>
      </c>
      <c r="D18" s="1506"/>
      <c r="E18" s="97" t="s">
        <v>1117</v>
      </c>
      <c r="F18" s="1505" t="s">
        <v>802</v>
      </c>
      <c r="G18" s="1505" t="s">
        <v>802</v>
      </c>
      <c r="H18" s="2620" t="s">
        <v>1480</v>
      </c>
      <c r="I18" s="2620" t="s">
        <v>1481</v>
      </c>
      <c r="J18" s="1541"/>
      <c r="K18" s="1541"/>
      <c r="L18" s="1541"/>
      <c r="M18" s="1541"/>
      <c r="N18" s="1541"/>
      <c r="O18" s="1541"/>
      <c r="P18" s="1541"/>
      <c r="Q18" s="1541"/>
    </row>
    <row r="19" spans="1:17">
      <c r="A19" s="1505" t="s">
        <v>1241</v>
      </c>
      <c r="B19" s="1505" t="s">
        <v>1241</v>
      </c>
      <c r="C19" s="90" t="s">
        <v>1241</v>
      </c>
      <c r="D19" s="1505" t="s">
        <v>1165</v>
      </c>
      <c r="E19" s="90" t="s">
        <v>1120</v>
      </c>
      <c r="F19" s="1505" t="s">
        <v>363</v>
      </c>
      <c r="G19" s="1505" t="s">
        <v>1242</v>
      </c>
      <c r="H19" s="2620" t="s">
        <v>1482</v>
      </c>
      <c r="I19" s="2620" t="s">
        <v>1242</v>
      </c>
      <c r="J19" s="1541"/>
      <c r="K19" s="1541"/>
      <c r="L19" s="1541"/>
      <c r="M19" s="1541"/>
      <c r="N19" s="1541"/>
      <c r="O19" s="1541"/>
      <c r="P19" s="1541"/>
      <c r="Q19" s="1541"/>
    </row>
    <row r="20" spans="1:17">
      <c r="A20" s="1541"/>
      <c r="B20" s="1541"/>
      <c r="C20" s="98"/>
      <c r="D20" s="1541"/>
      <c r="E20" s="2621"/>
      <c r="F20" s="1541"/>
      <c r="G20" s="2587"/>
      <c r="H20" s="2587"/>
      <c r="I20" s="2587"/>
      <c r="J20" s="1541"/>
      <c r="K20" s="1541"/>
      <c r="L20" s="1541"/>
      <c r="M20" s="1541"/>
      <c r="N20" s="1541"/>
      <c r="O20" s="1541"/>
      <c r="P20" s="1541"/>
      <c r="Q20" s="1541"/>
    </row>
    <row r="21" spans="1:17">
      <c r="A21" s="1621"/>
      <c r="B21" s="1621"/>
      <c r="C21" s="89"/>
      <c r="D21" s="1621"/>
      <c r="E21" s="2581" t="s">
        <v>1705</v>
      </c>
      <c r="F21" s="1621"/>
      <c r="G21" s="2581" t="s">
        <v>1705</v>
      </c>
      <c r="H21" s="1541"/>
      <c r="I21" s="2517"/>
      <c r="J21" s="1541"/>
      <c r="K21" s="1541"/>
      <c r="L21" s="1541"/>
      <c r="M21" s="1541"/>
      <c r="N21" s="1541"/>
      <c r="O21" s="1541"/>
      <c r="P21" s="1541"/>
      <c r="Q21" s="1541"/>
    </row>
    <row r="22" spans="1:17">
      <c r="A22" s="1505"/>
      <c r="B22" s="1541"/>
      <c r="C22" s="1541"/>
      <c r="D22" s="1541"/>
      <c r="E22" s="1541"/>
      <c r="F22" s="1541"/>
      <c r="G22" s="1541"/>
      <c r="H22" s="1541"/>
      <c r="I22" s="2517"/>
      <c r="J22" s="1541"/>
      <c r="K22" s="1541"/>
      <c r="L22" s="1541"/>
      <c r="M22" s="1541"/>
      <c r="N22" s="1541"/>
      <c r="O22" s="1541"/>
      <c r="P22" s="1541"/>
      <c r="Q22" s="1541"/>
    </row>
    <row r="23" spans="1:17">
      <c r="A23" s="321">
        <v>1</v>
      </c>
      <c r="B23" s="321">
        <v>317</v>
      </c>
      <c r="C23" s="321" t="s">
        <v>2753</v>
      </c>
      <c r="D23" s="315" t="s">
        <v>2747</v>
      </c>
      <c r="E23" s="2685">
        <f>-'SCH B-2.3'!K36</f>
        <v>-46586238</v>
      </c>
      <c r="F23" s="2683">
        <v>1</v>
      </c>
      <c r="G23" s="2684">
        <f>E23*F23</f>
        <v>-46586238</v>
      </c>
      <c r="H23" s="2684"/>
      <c r="I23" s="2516" t="s">
        <v>2754</v>
      </c>
      <c r="J23" s="1541"/>
      <c r="K23" s="1541"/>
      <c r="L23" s="1541"/>
      <c r="M23" s="1541"/>
      <c r="N23" s="1541"/>
      <c r="O23" s="1541"/>
      <c r="P23" s="1541"/>
      <c r="Q23" s="1541"/>
    </row>
    <row r="24" spans="1:17">
      <c r="A24" s="90">
        <v>2</v>
      </c>
      <c r="B24" s="1505">
        <v>373</v>
      </c>
      <c r="C24" s="1505">
        <v>3733</v>
      </c>
      <c r="D24" s="1506" t="s">
        <v>773</v>
      </c>
      <c r="E24" s="1845">
        <f>-'SCH B-2.3'!K169</f>
        <v>-1593747</v>
      </c>
      <c r="F24" s="2683">
        <v>1</v>
      </c>
      <c r="G24" s="1542">
        <f>E24*F24</f>
        <v>-1593747</v>
      </c>
      <c r="H24" s="2517"/>
      <c r="I24" s="2516" t="s">
        <v>3105</v>
      </c>
      <c r="J24" s="1541"/>
      <c r="K24" s="1541"/>
      <c r="L24" s="1541"/>
      <c r="M24" s="1541"/>
      <c r="N24" s="1541"/>
      <c r="O24" s="1541"/>
      <c r="P24" s="1541"/>
      <c r="Q24" s="1541"/>
    </row>
    <row r="25" spans="1:17">
      <c r="A25" s="90">
        <v>3</v>
      </c>
      <c r="B25" s="1505">
        <v>373</v>
      </c>
      <c r="C25" s="1505">
        <v>3734</v>
      </c>
      <c r="D25" s="1506" t="s">
        <v>2288</v>
      </c>
      <c r="E25" s="1845">
        <f>-'SCH B-2.3'!K170</f>
        <v>-2352213</v>
      </c>
      <c r="F25" s="2683">
        <v>1</v>
      </c>
      <c r="G25" s="1542">
        <f>E25*F25</f>
        <v>-2352213</v>
      </c>
      <c r="H25" s="2517"/>
      <c r="I25" s="2516" t="s">
        <v>3105</v>
      </c>
      <c r="J25" s="1541"/>
      <c r="K25" s="1541"/>
      <c r="L25" s="1541"/>
      <c r="M25" s="1541"/>
      <c r="N25" s="1541"/>
      <c r="O25" s="1541"/>
      <c r="P25" s="1541"/>
      <c r="Q25" s="1541"/>
    </row>
    <row r="26" spans="1:17">
      <c r="A26" s="90">
        <v>4</v>
      </c>
      <c r="B26" s="1505">
        <v>370</v>
      </c>
      <c r="C26" s="1505">
        <v>3700</v>
      </c>
      <c r="D26" s="1506" t="s">
        <v>2539</v>
      </c>
      <c r="E26" s="2518">
        <v>-7980829</v>
      </c>
      <c r="F26" s="2683">
        <v>1</v>
      </c>
      <c r="G26" s="1542">
        <f>E26*F26</f>
        <v>-7980829</v>
      </c>
      <c r="H26" s="2517"/>
      <c r="I26" s="2516" t="s">
        <v>3222</v>
      </c>
      <c r="J26" s="1541"/>
      <c r="K26" s="1541"/>
      <c r="L26" s="1541"/>
      <c r="M26" s="1541"/>
      <c r="N26" s="1541"/>
      <c r="O26" s="1541"/>
      <c r="P26" s="1541"/>
      <c r="Q26" s="1541"/>
    </row>
    <row r="27" spans="1:17">
      <c r="A27" s="90">
        <v>5</v>
      </c>
      <c r="B27" s="97">
        <v>370</v>
      </c>
      <c r="C27" s="90">
        <v>3701</v>
      </c>
      <c r="D27" s="2519" t="s">
        <v>376</v>
      </c>
      <c r="E27" s="1845">
        <f>-'SCH B-2.3'!K163</f>
        <v>-2619513</v>
      </c>
      <c r="F27" s="2683">
        <v>1</v>
      </c>
      <c r="G27" s="1542">
        <f>E27*F27</f>
        <v>-2619513</v>
      </c>
      <c r="H27" s="2517"/>
      <c r="I27" s="2517" t="s">
        <v>3222</v>
      </c>
      <c r="J27" s="1541"/>
      <c r="K27" s="1541"/>
      <c r="L27" s="1541"/>
      <c r="M27" s="1541"/>
      <c r="N27" s="1541"/>
      <c r="O27" s="1541"/>
      <c r="P27" s="1541"/>
      <c r="Q27" s="1541"/>
    </row>
    <row r="28" spans="1:17">
      <c r="A28" s="1541"/>
      <c r="B28" s="1541"/>
      <c r="C28" s="1541"/>
      <c r="D28" s="1541"/>
      <c r="E28" s="1539"/>
      <c r="F28" s="1538"/>
      <c r="G28" s="1539"/>
      <c r="H28" s="1539"/>
      <c r="I28" s="1539"/>
      <c r="J28" s="1541"/>
      <c r="K28" s="1541"/>
      <c r="L28" s="1541"/>
      <c r="M28" s="1541"/>
      <c r="N28" s="1541"/>
      <c r="O28" s="1541"/>
      <c r="P28" s="1541"/>
      <c r="Q28" s="1541"/>
    </row>
    <row r="29" spans="1:17">
      <c r="A29" s="1621"/>
      <c r="B29" s="1621"/>
      <c r="C29" s="1621"/>
      <c r="D29" s="1621"/>
      <c r="E29" s="1622"/>
      <c r="F29" s="1623"/>
      <c r="G29" s="1622"/>
      <c r="H29" s="1622"/>
      <c r="I29" s="1622"/>
      <c r="J29" s="1541"/>
      <c r="K29" s="1541"/>
      <c r="L29" s="1541"/>
      <c r="M29" s="1541"/>
      <c r="N29" s="1541"/>
      <c r="O29" s="1541"/>
      <c r="P29" s="1541"/>
      <c r="Q29" s="1541"/>
    </row>
    <row r="30" spans="1:17">
      <c r="A30" s="1505">
        <v>6</v>
      </c>
      <c r="B30" s="1541"/>
      <c r="C30" s="1541"/>
      <c r="D30" s="2520" t="s">
        <v>3106</v>
      </c>
      <c r="E30" s="1539">
        <f>SUM(E23:E27)</f>
        <v>-61132540</v>
      </c>
      <c r="F30" s="2683">
        <v>1</v>
      </c>
      <c r="G30" s="1539">
        <f>SUM(G23:G27)</f>
        <v>-61132540</v>
      </c>
      <c r="H30" s="1539"/>
      <c r="I30" s="1539"/>
      <c r="J30" s="1541"/>
      <c r="K30" s="1541"/>
      <c r="L30" s="1541"/>
      <c r="M30" s="1541"/>
      <c r="N30" s="1541"/>
      <c r="O30" s="1541"/>
      <c r="P30" s="1541"/>
      <c r="Q30" s="1541"/>
    </row>
    <row r="31" spans="1:17">
      <c r="A31" s="1541"/>
      <c r="B31" s="1541"/>
      <c r="C31" s="1541"/>
      <c r="D31" s="1541"/>
      <c r="E31" s="1539"/>
      <c r="F31" s="1538"/>
      <c r="G31" s="1539"/>
      <c r="H31" s="1539"/>
      <c r="I31" s="1539"/>
      <c r="J31" s="1541"/>
      <c r="K31" s="1541"/>
      <c r="L31" s="1541"/>
      <c r="M31" s="1541"/>
      <c r="N31" s="1541"/>
      <c r="O31" s="1541"/>
      <c r="P31" s="1541"/>
      <c r="Q31" s="1541"/>
    </row>
    <row r="32" spans="1:17">
      <c r="A32" s="1621"/>
      <c r="B32" s="1621"/>
      <c r="C32" s="1621"/>
      <c r="D32" s="1621"/>
      <c r="E32" s="1622"/>
      <c r="F32" s="1623"/>
      <c r="G32" s="1622"/>
      <c r="H32" s="1622"/>
      <c r="I32" s="1622"/>
      <c r="J32" s="1541"/>
      <c r="K32" s="1541"/>
      <c r="L32" s="1541"/>
      <c r="M32" s="1541"/>
      <c r="N32" s="1541"/>
      <c r="O32" s="1541"/>
      <c r="P32" s="1541"/>
      <c r="Q32" s="1541"/>
    </row>
    <row r="33" spans="1:17">
      <c r="A33" s="97"/>
      <c r="B33" s="97"/>
      <c r="C33" s="2622"/>
      <c r="D33" s="2517"/>
      <c r="E33" s="1845"/>
      <c r="F33" s="2623"/>
      <c r="G33" s="2624"/>
      <c r="H33" s="2517"/>
      <c r="I33" s="2517"/>
      <c r="J33" s="1541"/>
      <c r="K33" s="1541"/>
      <c r="L33" s="1541"/>
      <c r="M33" s="1541"/>
      <c r="N33" s="1541"/>
      <c r="O33" s="1541"/>
      <c r="P33" s="1541"/>
      <c r="Q33" s="1541"/>
    </row>
    <row r="34" spans="1:17">
      <c r="A34" s="97"/>
      <c r="B34" s="97"/>
      <c r="C34" s="2517"/>
      <c r="D34" s="2519"/>
      <c r="E34" s="1845"/>
      <c r="F34" s="2623"/>
      <c r="G34" s="2624"/>
      <c r="H34" s="2517"/>
      <c r="I34" s="2517"/>
      <c r="J34" s="1541"/>
      <c r="K34" s="1541"/>
      <c r="L34" s="1541"/>
      <c r="M34" s="1541"/>
      <c r="N34" s="1541"/>
      <c r="O34" s="1541"/>
      <c r="P34" s="1541"/>
      <c r="Q34" s="1541"/>
    </row>
    <row r="35" spans="1:17">
      <c r="A35" s="97"/>
      <c r="B35" s="97"/>
      <c r="C35" s="2517"/>
      <c r="D35" s="2517"/>
      <c r="E35" s="1845"/>
      <c r="F35" s="2623"/>
      <c r="G35" s="2624"/>
      <c r="H35" s="2517"/>
      <c r="I35" s="2517"/>
      <c r="J35" s="1541"/>
      <c r="K35" s="1541"/>
      <c r="L35" s="1541"/>
      <c r="M35" s="1541"/>
      <c r="N35" s="1541"/>
      <c r="O35" s="1541"/>
      <c r="P35" s="1541"/>
      <c r="Q35" s="1541"/>
    </row>
    <row r="36" spans="1:17">
      <c r="A36" s="97"/>
      <c r="B36" s="97"/>
      <c r="C36" s="2517"/>
      <c r="D36" s="2517"/>
      <c r="E36" s="1845"/>
      <c r="F36" s="2623"/>
      <c r="G36" s="2624"/>
      <c r="H36" s="2517"/>
      <c r="I36" s="2517"/>
      <c r="J36" s="1541"/>
      <c r="K36" s="1541"/>
      <c r="L36" s="1541"/>
      <c r="M36" s="1541"/>
      <c r="N36" s="1541"/>
      <c r="O36" s="1541"/>
      <c r="P36" s="1541"/>
      <c r="Q36" s="1541"/>
    </row>
    <row r="37" spans="1:17">
      <c r="A37" s="97"/>
      <c r="B37" s="97"/>
      <c r="C37" s="2517"/>
      <c r="D37" s="2517"/>
      <c r="E37" s="1845"/>
      <c r="F37" s="2623"/>
      <c r="G37" s="2624"/>
      <c r="H37" s="2517"/>
      <c r="I37" s="2517"/>
      <c r="J37" s="1541"/>
      <c r="K37" s="1541"/>
      <c r="L37" s="1541"/>
      <c r="M37" s="1541"/>
      <c r="N37" s="1541"/>
      <c r="O37" s="1541"/>
      <c r="P37" s="1541"/>
      <c r="Q37" s="1541"/>
    </row>
    <row r="38" spans="1:17">
      <c r="A38" s="2517"/>
      <c r="B38" s="2517"/>
      <c r="C38" s="2517"/>
      <c r="D38" s="2517"/>
      <c r="E38" s="2517"/>
      <c r="F38" s="2517"/>
      <c r="G38" s="2517"/>
      <c r="H38" s="2517"/>
      <c r="I38" s="2517"/>
      <c r="J38" s="1541"/>
      <c r="K38" s="1541"/>
      <c r="L38" s="1541"/>
      <c r="M38" s="1541"/>
      <c r="N38" s="1541"/>
      <c r="O38" s="1541"/>
      <c r="P38" s="1541"/>
      <c r="Q38" s="1541"/>
    </row>
    <row r="39" spans="1:17">
      <c r="A39" s="97"/>
      <c r="B39" s="2517"/>
      <c r="C39" s="2517"/>
      <c r="D39" s="2517"/>
      <c r="E39" s="2625"/>
      <c r="F39" s="2517"/>
      <c r="G39" s="2625"/>
      <c r="H39" s="2517"/>
      <c r="I39" s="2517"/>
      <c r="J39" s="1541"/>
      <c r="K39" s="1541"/>
      <c r="L39" s="1541"/>
      <c r="M39" s="1541"/>
      <c r="N39" s="1541"/>
      <c r="O39" s="1541"/>
      <c r="P39" s="1541"/>
      <c r="Q39" s="1541"/>
    </row>
    <row r="40" spans="1:17">
      <c r="A40" s="1541"/>
      <c r="B40" s="1541"/>
      <c r="C40" s="1541"/>
      <c r="D40" s="1541"/>
      <c r="E40" s="1541"/>
      <c r="F40" s="1541"/>
      <c r="G40" s="1541"/>
      <c r="H40" s="1541"/>
      <c r="I40" s="1541"/>
      <c r="J40" s="1541"/>
      <c r="K40" s="1541"/>
      <c r="L40" s="1541"/>
      <c r="M40" s="1541"/>
      <c r="N40" s="1541"/>
      <c r="O40" s="1541"/>
      <c r="P40" s="1541"/>
      <c r="Q40" s="1541"/>
    </row>
    <row r="41" spans="1:17">
      <c r="A41" s="103" t="str">
        <f>COMPANY</f>
        <v>DUKE ENERGY KENTUCKY, INC.</v>
      </c>
      <c r="B41" s="103"/>
      <c r="C41" s="103"/>
      <c r="D41" s="103"/>
      <c r="E41" s="103"/>
      <c r="F41" s="103"/>
      <c r="G41" s="103"/>
      <c r="H41" s="103"/>
      <c r="I41" s="103"/>
      <c r="J41" s="1541"/>
      <c r="K41" s="1541"/>
      <c r="L41" s="1541"/>
      <c r="M41" s="1541"/>
      <c r="N41" s="1541"/>
      <c r="O41" s="1541"/>
      <c r="P41" s="1541"/>
      <c r="Q41" s="1541"/>
    </row>
    <row r="42" spans="1:17">
      <c r="A42" s="103" t="str">
        <f>CASE</f>
        <v>CASE NO. 2017-00321</v>
      </c>
      <c r="B42" s="103"/>
      <c r="C42" s="103"/>
      <c r="D42" s="103"/>
      <c r="E42" s="103"/>
      <c r="F42" s="103"/>
      <c r="G42" s="103"/>
      <c r="H42" s="103"/>
      <c r="I42" s="103"/>
      <c r="J42" s="1541"/>
      <c r="K42" s="1541"/>
      <c r="L42" s="1541"/>
      <c r="M42" s="1541"/>
      <c r="N42" s="1541"/>
      <c r="O42" s="1541"/>
      <c r="P42" s="1541"/>
      <c r="Q42" s="1541"/>
    </row>
    <row r="43" spans="1:17">
      <c r="A43" s="103" t="s">
        <v>1477</v>
      </c>
      <c r="B43" s="103"/>
      <c r="C43" s="103"/>
      <c r="D43" s="103"/>
      <c r="E43" s="103"/>
      <c r="F43" s="103"/>
      <c r="G43" s="103"/>
      <c r="H43" s="103"/>
      <c r="I43" s="103"/>
      <c r="J43" s="1541"/>
      <c r="K43" s="1541"/>
      <c r="L43" s="1541"/>
      <c r="M43" s="1541"/>
      <c r="N43" s="1541"/>
      <c r="O43" s="1541"/>
      <c r="P43" s="1541"/>
      <c r="Q43" s="1541"/>
    </row>
    <row r="44" spans="1:17">
      <c r="A44" s="76" t="str">
        <f>"AS OF " &amp;RIGHT(Forecast,(LEN(Forecast)-16))</f>
        <v>AS OF MARCH 31, 2019</v>
      </c>
      <c r="B44" s="76"/>
      <c r="C44" s="76"/>
      <c r="D44" s="76"/>
      <c r="E44" s="76"/>
      <c r="F44" s="76"/>
      <c r="G44" s="76"/>
      <c r="H44" s="76"/>
      <c r="I44" s="76"/>
      <c r="J44" s="1541"/>
      <c r="K44" s="1541"/>
      <c r="L44" s="1541"/>
      <c r="M44" s="1541"/>
      <c r="N44" s="1541"/>
      <c r="O44" s="1541"/>
      <c r="P44" s="1541"/>
      <c r="Q44" s="1541"/>
    </row>
    <row r="45" spans="1:17">
      <c r="A45" s="2585"/>
      <c r="B45" s="2585"/>
      <c r="C45" s="2585"/>
      <c r="D45" s="2585"/>
      <c r="E45" s="2585"/>
      <c r="F45" s="2585"/>
      <c r="G45" s="2585"/>
      <c r="H45" s="1541"/>
      <c r="I45" s="1541"/>
      <c r="J45" s="1541"/>
      <c r="K45" s="1541"/>
      <c r="L45" s="1541"/>
      <c r="M45" s="1541"/>
      <c r="N45" s="1541"/>
      <c r="O45" s="1541"/>
      <c r="P45" s="1541"/>
      <c r="Q45" s="1541"/>
    </row>
    <row r="46" spans="1:17">
      <c r="A46" s="103"/>
      <c r="B46" s="103"/>
      <c r="C46" s="103"/>
      <c r="D46" s="103"/>
      <c r="E46" s="103"/>
      <c r="F46" s="103"/>
      <c r="G46" s="103"/>
      <c r="H46" s="103"/>
      <c r="I46" s="103"/>
      <c r="J46" s="1541"/>
      <c r="K46" s="1541"/>
      <c r="L46" s="1541"/>
      <c r="M46" s="1541"/>
      <c r="N46" s="1541"/>
      <c r="O46" s="1541"/>
      <c r="P46" s="1541"/>
      <c r="Q46" s="1541"/>
    </row>
    <row r="47" spans="1:17">
      <c r="A47" s="2585"/>
      <c r="B47" s="2585"/>
      <c r="C47" s="2585"/>
      <c r="D47" s="2585"/>
      <c r="E47" s="2585"/>
      <c r="F47" s="2585"/>
      <c r="G47" s="2585"/>
      <c r="H47" s="1541"/>
      <c r="I47" s="1541"/>
      <c r="J47" s="1541"/>
      <c r="K47" s="1541"/>
      <c r="L47" s="1541"/>
      <c r="M47" s="1541"/>
      <c r="N47" s="1541"/>
      <c r="O47" s="1541"/>
      <c r="P47" s="1541"/>
      <c r="Q47" s="1541"/>
    </row>
    <row r="48" spans="1:17">
      <c r="A48" s="2585"/>
      <c r="B48" s="2585"/>
      <c r="C48" s="2585"/>
      <c r="D48" s="2585"/>
      <c r="E48" s="2585"/>
      <c r="F48" s="2585"/>
      <c r="G48" s="2585"/>
      <c r="H48" s="1541"/>
      <c r="I48" s="1541"/>
      <c r="J48" s="1541"/>
      <c r="K48" s="1541"/>
      <c r="L48" s="1541"/>
      <c r="M48" s="1541"/>
      <c r="N48" s="1541"/>
      <c r="O48" s="1541"/>
      <c r="P48" s="1541"/>
      <c r="Q48" s="1541"/>
    </row>
    <row r="49" spans="1:17">
      <c r="A49" s="1506" t="str">
        <f>DataF</f>
        <v>DATA:  BASE PERIOD  "X" FORECASTED PERIOD</v>
      </c>
      <c r="B49" s="1541"/>
      <c r="C49" s="1541"/>
      <c r="D49" s="1541"/>
      <c r="E49" s="1541"/>
      <c r="F49" s="1541"/>
      <c r="G49" s="1541"/>
      <c r="H49" s="1506" t="s">
        <v>1478</v>
      </c>
      <c r="I49" s="1541"/>
      <c r="J49" s="1541"/>
      <c r="K49" s="1541"/>
      <c r="L49" s="1541"/>
      <c r="M49" s="1541"/>
      <c r="N49" s="1541"/>
      <c r="O49" s="1541"/>
      <c r="P49" s="1541"/>
      <c r="Q49" s="1541"/>
    </row>
    <row r="50" spans="1:17">
      <c r="A50" s="1506" t="str">
        <f>Type</f>
        <v xml:space="preserve">TYPE OF FILING:  "X" ORIGINAL   UPDATED    REVISED  </v>
      </c>
      <c r="B50" s="1541"/>
      <c r="C50" s="1541"/>
      <c r="D50" s="1541"/>
      <c r="E50" s="1541"/>
      <c r="F50" s="1541"/>
      <c r="G50" s="1541"/>
      <c r="H50" s="1506" t="s">
        <v>86</v>
      </c>
      <c r="I50" s="1541"/>
      <c r="J50" s="1541"/>
      <c r="K50" s="1541"/>
      <c r="L50" s="1541"/>
      <c r="M50" s="1541"/>
      <c r="N50" s="1541"/>
      <c r="O50" s="1541"/>
      <c r="P50" s="1541"/>
      <c r="Q50" s="1541"/>
    </row>
    <row r="51" spans="1:17">
      <c r="A51" s="1506" t="s">
        <v>1002</v>
      </c>
      <c r="B51" s="1541"/>
      <c r="C51" s="1541"/>
      <c r="D51" s="1541"/>
      <c r="E51" s="1541"/>
      <c r="F51" s="1541"/>
      <c r="G51" s="1541"/>
      <c r="H51" s="2586" t="s">
        <v>622</v>
      </c>
      <c r="I51" s="1541"/>
      <c r="J51" s="1541"/>
      <c r="K51" s="1541"/>
      <c r="L51" s="1541"/>
      <c r="M51" s="1541"/>
      <c r="N51" s="1541"/>
      <c r="O51" s="1541"/>
      <c r="P51" s="1541"/>
      <c r="Q51" s="1541"/>
    </row>
    <row r="52" spans="1:17">
      <c r="A52" s="1541"/>
      <c r="B52" s="1541"/>
      <c r="C52" s="1541"/>
      <c r="D52" s="1541"/>
      <c r="E52" s="1541"/>
      <c r="F52" s="1541"/>
      <c r="G52" s="1541"/>
      <c r="H52" s="2586" t="str">
        <f>_WIT7</f>
        <v>R. H. PRATT / C. S. LEE</v>
      </c>
      <c r="I52" s="1541"/>
      <c r="J52" s="1541"/>
      <c r="K52" s="1541"/>
      <c r="L52" s="1541"/>
      <c r="M52" s="1541"/>
      <c r="N52" s="1541"/>
      <c r="O52" s="1541"/>
      <c r="P52" s="1541"/>
      <c r="Q52" s="1541"/>
    </row>
    <row r="53" spans="1:17">
      <c r="A53" s="1541"/>
      <c r="B53" s="1541"/>
      <c r="C53" s="1541"/>
      <c r="D53" s="1541"/>
      <c r="E53" s="1541"/>
      <c r="F53" s="1541"/>
      <c r="G53" s="1541"/>
      <c r="H53" s="1541"/>
      <c r="I53" s="1541"/>
      <c r="J53" s="1541"/>
      <c r="K53" s="1541"/>
      <c r="L53" s="1541"/>
      <c r="M53" s="1541"/>
      <c r="N53" s="1541"/>
      <c r="O53" s="1541"/>
      <c r="P53" s="1541"/>
      <c r="Q53" s="1541"/>
    </row>
    <row r="54" spans="1:17">
      <c r="A54" s="1541"/>
      <c r="B54" s="1541"/>
      <c r="C54" s="1541"/>
      <c r="D54" s="1541"/>
      <c r="E54" s="1541"/>
      <c r="F54" s="1541"/>
      <c r="G54" s="1541"/>
      <c r="H54" s="1541"/>
      <c r="I54" s="1541"/>
      <c r="J54" s="1541"/>
      <c r="K54" s="1541"/>
      <c r="L54" s="1541"/>
      <c r="M54" s="1541"/>
      <c r="N54" s="1541"/>
      <c r="O54" s="1541"/>
      <c r="P54" s="1541"/>
      <c r="Q54" s="1541"/>
    </row>
    <row r="55" spans="1:17">
      <c r="A55" s="1541"/>
      <c r="B55" s="1541"/>
      <c r="C55" s="1541"/>
      <c r="D55" s="1541"/>
      <c r="E55" s="1541"/>
      <c r="F55" s="1541"/>
      <c r="G55" s="1541"/>
      <c r="H55" s="2587"/>
      <c r="I55" s="2587"/>
      <c r="J55" s="1541"/>
      <c r="K55" s="1541"/>
      <c r="L55" s="1541"/>
      <c r="M55" s="1541"/>
      <c r="N55" s="1541"/>
      <c r="O55" s="1541"/>
      <c r="P55" s="1541"/>
      <c r="Q55" s="1541"/>
    </row>
    <row r="56" spans="1:17">
      <c r="A56" s="1621"/>
      <c r="B56" s="1621"/>
      <c r="C56" s="2680"/>
      <c r="D56" s="1621"/>
      <c r="E56" s="2686" t="s">
        <v>1967</v>
      </c>
      <c r="F56" s="1621"/>
      <c r="G56" s="1621"/>
      <c r="H56" s="1541"/>
      <c r="I56" s="1541"/>
      <c r="J56" s="1541"/>
      <c r="K56" s="1541"/>
      <c r="L56" s="1541"/>
      <c r="M56" s="1541"/>
      <c r="N56" s="1541"/>
      <c r="O56" s="1541"/>
      <c r="P56" s="1541"/>
      <c r="Q56" s="1541"/>
    </row>
    <row r="57" spans="1:17">
      <c r="A57" s="1541"/>
      <c r="B57" s="1505" t="s">
        <v>943</v>
      </c>
      <c r="C57" s="90" t="s">
        <v>1750</v>
      </c>
      <c r="D57" s="1541"/>
      <c r="E57" s="1505" t="s">
        <v>873</v>
      </c>
      <c r="F57" s="1541"/>
      <c r="G57" s="1541"/>
      <c r="H57" s="1541"/>
      <c r="I57" s="2620" t="s">
        <v>1479</v>
      </c>
      <c r="J57" s="1541"/>
      <c r="K57" s="1541"/>
      <c r="L57" s="1541"/>
      <c r="M57" s="1541"/>
      <c r="N57" s="1541"/>
      <c r="O57" s="1541"/>
      <c r="P57" s="1541"/>
      <c r="Q57" s="1541"/>
    </row>
    <row r="58" spans="1:17">
      <c r="A58" s="1505" t="s">
        <v>1240</v>
      </c>
      <c r="B58" s="1505" t="s">
        <v>1164</v>
      </c>
      <c r="C58" s="1505" t="s">
        <v>1164</v>
      </c>
      <c r="D58" s="1506"/>
      <c r="E58" s="97" t="s">
        <v>626</v>
      </c>
      <c r="F58" s="1505" t="s">
        <v>802</v>
      </c>
      <c r="G58" s="1505" t="s">
        <v>802</v>
      </c>
      <c r="H58" s="2620" t="s">
        <v>1480</v>
      </c>
      <c r="I58" s="2620" t="s">
        <v>1481</v>
      </c>
      <c r="J58" s="1541"/>
      <c r="K58" s="1541"/>
      <c r="L58" s="1541"/>
      <c r="M58" s="1541"/>
      <c r="N58" s="1541"/>
      <c r="O58" s="1541"/>
      <c r="P58" s="1541"/>
      <c r="Q58" s="1541"/>
    </row>
    <row r="59" spans="1:17">
      <c r="A59" s="1505" t="s">
        <v>1241</v>
      </c>
      <c r="B59" s="1505" t="s">
        <v>1241</v>
      </c>
      <c r="C59" s="90" t="s">
        <v>1241</v>
      </c>
      <c r="D59" s="1505" t="s">
        <v>1165</v>
      </c>
      <c r="E59" s="90" t="s">
        <v>1120</v>
      </c>
      <c r="F59" s="1505" t="s">
        <v>363</v>
      </c>
      <c r="G59" s="1505" t="s">
        <v>1242</v>
      </c>
      <c r="H59" s="2620" t="s">
        <v>1482</v>
      </c>
      <c r="I59" s="2620" t="s">
        <v>1242</v>
      </c>
      <c r="J59" s="1541"/>
      <c r="K59" s="1541"/>
      <c r="L59" s="1541"/>
      <c r="M59" s="1541"/>
      <c r="N59" s="1541"/>
      <c r="O59" s="1541"/>
      <c r="P59" s="1541"/>
      <c r="Q59" s="1541"/>
    </row>
    <row r="60" spans="1:17">
      <c r="A60" s="1541"/>
      <c r="B60" s="1541"/>
      <c r="C60" s="98"/>
      <c r="D60" s="1541"/>
      <c r="E60" s="2621"/>
      <c r="F60" s="1541"/>
      <c r="G60" s="2587"/>
      <c r="H60" s="2587"/>
      <c r="I60" s="2587"/>
      <c r="J60" s="1541"/>
      <c r="K60" s="1541"/>
      <c r="L60" s="1541"/>
      <c r="M60" s="1541"/>
      <c r="N60" s="1541"/>
      <c r="O60" s="1541"/>
      <c r="P60" s="1541"/>
      <c r="Q60" s="1541"/>
    </row>
    <row r="61" spans="1:17">
      <c r="A61" s="1621"/>
      <c r="B61" s="1621"/>
      <c r="C61" s="89"/>
      <c r="D61" s="1621"/>
      <c r="E61" s="2581" t="s">
        <v>1705</v>
      </c>
      <c r="F61" s="1621"/>
      <c r="G61" s="2581" t="s">
        <v>1705</v>
      </c>
      <c r="H61" s="2620"/>
      <c r="I61" s="2517"/>
      <c r="J61" s="1541"/>
      <c r="K61" s="1541"/>
      <c r="L61" s="1541"/>
      <c r="M61" s="1541"/>
      <c r="N61" s="1541"/>
      <c r="O61" s="1541"/>
      <c r="P61" s="1541"/>
      <c r="Q61" s="1541"/>
    </row>
    <row r="62" spans="1:17">
      <c r="A62" s="1505"/>
      <c r="B62" s="315"/>
      <c r="C62" s="1541"/>
      <c r="D62" s="1541"/>
      <c r="E62" s="1541"/>
      <c r="F62" s="1541"/>
      <c r="G62" s="1541"/>
      <c r="H62" s="1541"/>
      <c r="I62" s="2517"/>
      <c r="J62" s="1541"/>
      <c r="K62" s="1541"/>
      <c r="L62" s="1541"/>
      <c r="M62" s="1541"/>
      <c r="N62" s="1541"/>
      <c r="O62" s="1541"/>
      <c r="P62" s="1541"/>
      <c r="Q62" s="1541"/>
    </row>
    <row r="63" spans="1:17">
      <c r="A63" s="321">
        <v>1</v>
      </c>
      <c r="B63" s="321">
        <v>317</v>
      </c>
      <c r="C63" s="321" t="s">
        <v>2753</v>
      </c>
      <c r="D63" s="315" t="s">
        <v>2747</v>
      </c>
      <c r="E63" s="2685">
        <f>-'SCH B-2.3'!L301</f>
        <v>-46586238</v>
      </c>
      <c r="F63" s="2683">
        <v>1</v>
      </c>
      <c r="G63" s="2684">
        <f t="shared" ref="G63:G68" si="0">E63*F63</f>
        <v>-46586238</v>
      </c>
      <c r="H63" s="2684"/>
      <c r="I63" s="2516" t="s">
        <v>2754</v>
      </c>
      <c r="J63" s="1541"/>
      <c r="K63" s="1541"/>
      <c r="L63" s="1541"/>
      <c r="M63" s="1541"/>
      <c r="N63" s="1541"/>
      <c r="O63" s="1541"/>
      <c r="P63" s="1541"/>
      <c r="Q63" s="1541"/>
    </row>
    <row r="64" spans="1:17">
      <c r="A64" s="90">
        <v>2</v>
      </c>
      <c r="B64" s="1505"/>
      <c r="C64" s="1505"/>
      <c r="D64" s="1506" t="s">
        <v>3278</v>
      </c>
      <c r="E64" s="2685">
        <f>SCH_D2.21!W140</f>
        <v>11284211</v>
      </c>
      <c r="F64" s="2683">
        <v>1</v>
      </c>
      <c r="G64" s="2684">
        <f t="shared" si="0"/>
        <v>11284211</v>
      </c>
      <c r="H64" s="2684"/>
      <c r="I64" s="2516" t="s">
        <v>3279</v>
      </c>
      <c r="J64" s="1541"/>
      <c r="K64" s="1541"/>
      <c r="L64" s="1541"/>
      <c r="M64" s="1541"/>
      <c r="N64" s="1541"/>
      <c r="O64" s="1541"/>
      <c r="P64" s="1541"/>
      <c r="Q64" s="1541"/>
    </row>
    <row r="65" spans="1:17">
      <c r="A65" s="90">
        <v>3</v>
      </c>
      <c r="B65" s="1505">
        <v>373</v>
      </c>
      <c r="C65" s="1505">
        <v>3733</v>
      </c>
      <c r="D65" s="1506" t="s">
        <v>773</v>
      </c>
      <c r="E65" s="1845">
        <f>-'SCH B-2.3'!L433</f>
        <v>-1587787</v>
      </c>
      <c r="F65" s="2683">
        <v>1</v>
      </c>
      <c r="G65" s="2684">
        <f t="shared" si="0"/>
        <v>-1587787</v>
      </c>
      <c r="H65" s="2517"/>
      <c r="I65" s="2516" t="s">
        <v>3105</v>
      </c>
      <c r="J65" s="1541"/>
      <c r="K65" s="1541"/>
      <c r="L65" s="1541"/>
      <c r="M65" s="1541"/>
      <c r="N65" s="1541"/>
      <c r="O65" s="1541"/>
      <c r="P65" s="1541"/>
      <c r="Q65" s="1541"/>
    </row>
    <row r="66" spans="1:17">
      <c r="A66" s="90">
        <v>4</v>
      </c>
      <c r="B66" s="1505">
        <v>373</v>
      </c>
      <c r="C66" s="1505">
        <v>3734</v>
      </c>
      <c r="D66" s="1506" t="s">
        <v>2288</v>
      </c>
      <c r="E66" s="1845">
        <f>-'SCH B-2.3'!L434</f>
        <v>-2362797</v>
      </c>
      <c r="F66" s="2683">
        <v>1</v>
      </c>
      <c r="G66" s="2684">
        <f t="shared" si="0"/>
        <v>-2362797</v>
      </c>
      <c r="H66" s="2517"/>
      <c r="I66" s="2516" t="s">
        <v>3105</v>
      </c>
      <c r="J66" s="1541"/>
      <c r="K66" s="1541"/>
      <c r="L66" s="1541"/>
      <c r="M66" s="1541"/>
      <c r="N66" s="1541"/>
      <c r="O66" s="1541"/>
      <c r="P66" s="1541"/>
      <c r="Q66" s="1541"/>
    </row>
    <row r="67" spans="1:17">
      <c r="A67" s="90">
        <v>5</v>
      </c>
      <c r="B67" s="1505">
        <v>370</v>
      </c>
      <c r="C67" s="1505">
        <v>3700</v>
      </c>
      <c r="D67" s="1506" t="s">
        <v>2539</v>
      </c>
      <c r="E67" s="2518">
        <v>-7024951</v>
      </c>
      <c r="F67" s="2683">
        <v>1</v>
      </c>
      <c r="G67" s="2684">
        <f t="shared" si="0"/>
        <v>-7024951</v>
      </c>
      <c r="H67" s="2517"/>
      <c r="I67" s="2516" t="s">
        <v>3222</v>
      </c>
      <c r="J67" s="1541"/>
      <c r="K67" s="1541"/>
      <c r="L67" s="1541"/>
      <c r="M67" s="1541"/>
      <c r="N67" s="1541"/>
      <c r="O67" s="1541"/>
      <c r="P67" s="1541"/>
      <c r="Q67" s="1541"/>
    </row>
    <row r="68" spans="1:17">
      <c r="A68" s="90">
        <v>6</v>
      </c>
      <c r="B68" s="1505">
        <v>370</v>
      </c>
      <c r="C68" s="90">
        <v>3701</v>
      </c>
      <c r="D68" s="2519" t="s">
        <v>376</v>
      </c>
      <c r="E68" s="1845">
        <f>-'SCH B-2.3'!L427</f>
        <v>-2611703</v>
      </c>
      <c r="F68" s="2683">
        <v>1</v>
      </c>
      <c r="G68" s="2684">
        <f t="shared" si="0"/>
        <v>-2611703</v>
      </c>
      <c r="H68" s="2517"/>
      <c r="I68" s="2517" t="s">
        <v>3222</v>
      </c>
      <c r="J68" s="1541"/>
      <c r="K68" s="1541"/>
      <c r="L68" s="1541"/>
      <c r="M68" s="1541"/>
      <c r="N68" s="1541"/>
      <c r="O68" s="1541"/>
      <c r="P68" s="1541"/>
      <c r="Q68" s="1541"/>
    </row>
    <row r="69" spans="1:17">
      <c r="A69" s="1541"/>
      <c r="B69" s="1541"/>
      <c r="C69" s="1541"/>
      <c r="D69" s="1541"/>
      <c r="E69" s="1539"/>
      <c r="F69" s="1538"/>
      <c r="G69" s="1539"/>
      <c r="H69" s="1539"/>
      <c r="I69" s="1539"/>
      <c r="J69" s="1541"/>
      <c r="K69" s="1541"/>
      <c r="L69" s="1541"/>
      <c r="M69" s="1541"/>
      <c r="N69" s="1541"/>
      <c r="O69" s="1541"/>
      <c r="P69" s="1541"/>
      <c r="Q69" s="1541"/>
    </row>
    <row r="70" spans="1:17">
      <c r="A70" s="1621"/>
      <c r="B70" s="1621"/>
      <c r="C70" s="1621"/>
      <c r="D70" s="1621"/>
      <c r="E70" s="1622"/>
      <c r="F70" s="1623"/>
      <c r="G70" s="1622"/>
      <c r="H70" s="1622"/>
      <c r="I70" s="1622"/>
      <c r="J70" s="1541"/>
      <c r="K70" s="1541"/>
      <c r="L70" s="1541"/>
      <c r="M70" s="1541"/>
      <c r="N70" s="1541"/>
      <c r="O70" s="1541"/>
      <c r="P70" s="1541"/>
      <c r="Q70" s="1541"/>
    </row>
    <row r="71" spans="1:17">
      <c r="A71" s="1505">
        <v>7</v>
      </c>
      <c r="B71" s="1541"/>
      <c r="C71" s="1541"/>
      <c r="D71" s="2520" t="s">
        <v>3106</v>
      </c>
      <c r="E71" s="1539">
        <f>SUM(E63:E68)</f>
        <v>-48889265</v>
      </c>
      <c r="F71" s="2683">
        <v>1</v>
      </c>
      <c r="G71" s="1539">
        <f>SUM(G63:G68)</f>
        <v>-48889265</v>
      </c>
      <c r="H71" s="1539"/>
      <c r="I71" s="1539"/>
      <c r="J71" s="1541"/>
      <c r="K71" s="1541"/>
      <c r="L71" s="1541"/>
      <c r="M71" s="1541"/>
      <c r="N71" s="1541"/>
      <c r="O71" s="1541"/>
      <c r="P71" s="1541"/>
      <c r="Q71" s="1541"/>
    </row>
    <row r="72" spans="1:17">
      <c r="A72" s="1541"/>
      <c r="B72" s="1541"/>
      <c r="C72" s="1541"/>
      <c r="D72" s="1541"/>
      <c r="E72" s="1539"/>
      <c r="F72" s="1538"/>
      <c r="G72" s="1539"/>
      <c r="H72" s="1539"/>
      <c r="I72" s="1539"/>
      <c r="J72" s="1541"/>
      <c r="K72" s="1541"/>
      <c r="L72" s="1541"/>
      <c r="M72" s="1541"/>
      <c r="N72" s="1541"/>
      <c r="O72" s="1541"/>
      <c r="P72" s="1541"/>
      <c r="Q72" s="1541"/>
    </row>
    <row r="73" spans="1:17">
      <c r="A73" s="1621"/>
      <c r="B73" s="1621"/>
      <c r="C73" s="1621"/>
      <c r="D73" s="1621"/>
      <c r="E73" s="1622"/>
      <c r="F73" s="1623"/>
      <c r="G73" s="1622"/>
      <c r="H73" s="1622"/>
      <c r="I73" s="1622"/>
      <c r="J73" s="1541"/>
      <c r="K73" s="1541"/>
      <c r="L73" s="1541"/>
      <c r="M73" s="1541"/>
      <c r="N73" s="1541"/>
      <c r="O73" s="1541"/>
      <c r="P73" s="1541"/>
      <c r="Q73" s="1541"/>
    </row>
    <row r="74" spans="1:17">
      <c r="A74" s="97"/>
      <c r="B74" s="97"/>
      <c r="C74" s="2622"/>
      <c r="D74" s="2517"/>
      <c r="E74" s="1845"/>
      <c r="F74" s="2623"/>
      <c r="G74" s="2624"/>
      <c r="H74" s="2517"/>
      <c r="I74" s="2517"/>
      <c r="J74" s="1541"/>
      <c r="K74" s="1541"/>
      <c r="L74" s="1541"/>
      <c r="M74" s="1541"/>
      <c r="N74" s="1541"/>
      <c r="O74" s="1541"/>
      <c r="P74" s="1541"/>
      <c r="Q74" s="99"/>
    </row>
    <row r="75" spans="1:17">
      <c r="A75" s="97"/>
      <c r="B75" s="97"/>
      <c r="C75" s="2517"/>
      <c r="D75" s="2519"/>
      <c r="E75" s="1845"/>
      <c r="F75" s="2623"/>
      <c r="G75" s="2624"/>
      <c r="H75" s="2517"/>
      <c r="I75" s="2517"/>
      <c r="J75" s="1541"/>
      <c r="K75" s="1541"/>
      <c r="L75" s="1541"/>
      <c r="M75" s="1541"/>
      <c r="N75" s="1541"/>
      <c r="O75" s="1541"/>
      <c r="P75" s="1541"/>
      <c r="Q75" s="1541"/>
    </row>
    <row r="76" spans="1:17">
      <c r="A76" s="97"/>
      <c r="B76" s="97"/>
      <c r="C76" s="2517"/>
      <c r="D76" s="2517"/>
      <c r="E76" s="1845"/>
      <c r="F76" s="2623"/>
      <c r="G76" s="2624"/>
      <c r="H76" s="2517"/>
      <c r="I76" s="2517"/>
      <c r="J76" s="1541"/>
      <c r="K76" s="1541"/>
      <c r="L76" s="1541"/>
      <c r="M76" s="1541"/>
      <c r="N76" s="1541"/>
      <c r="O76" s="1541"/>
      <c r="P76" s="1541"/>
      <c r="Q76" s="1541"/>
    </row>
    <row r="77" spans="1:17">
      <c r="A77" s="97"/>
      <c r="B77" s="97"/>
      <c r="C77" s="2517"/>
      <c r="D77" s="2517"/>
      <c r="E77" s="1845"/>
      <c r="F77" s="2623"/>
      <c r="G77" s="2624"/>
      <c r="H77" s="2517"/>
      <c r="I77" s="2517"/>
      <c r="J77" s="1541"/>
      <c r="K77" s="1541"/>
      <c r="L77" s="1541"/>
      <c r="M77" s="1541"/>
      <c r="N77" s="1541"/>
      <c r="O77" s="1541"/>
      <c r="P77" s="1541"/>
      <c r="Q77" s="1541"/>
    </row>
    <row r="78" spans="1:17">
      <c r="A78" s="97"/>
      <c r="B78" s="97"/>
      <c r="C78" s="2517"/>
      <c r="D78" s="2517"/>
      <c r="E78" s="1845"/>
      <c r="F78" s="2623"/>
      <c r="G78" s="2624"/>
      <c r="H78" s="2517"/>
      <c r="I78" s="2517"/>
      <c r="J78" s="1541"/>
      <c r="K78" s="1541"/>
      <c r="L78" s="1541"/>
      <c r="M78" s="1541"/>
      <c r="N78" s="1541"/>
      <c r="O78" s="1541"/>
      <c r="P78" s="1541"/>
      <c r="Q78" s="1541"/>
    </row>
    <row r="79" spans="1:17">
      <c r="A79" s="2517"/>
      <c r="B79" s="2517"/>
      <c r="C79" s="2517"/>
      <c r="D79" s="2517"/>
      <c r="E79" s="2517"/>
      <c r="F79" s="2517"/>
      <c r="G79" s="2517"/>
      <c r="H79" s="2517"/>
      <c r="I79" s="2517"/>
      <c r="J79" s="1541"/>
      <c r="K79" s="1541"/>
      <c r="L79" s="1541"/>
      <c r="M79" s="1541"/>
      <c r="N79" s="1541"/>
      <c r="O79" s="1541"/>
      <c r="P79" s="1541"/>
      <c r="Q79" s="1541"/>
    </row>
    <row r="80" spans="1:17">
      <c r="A80" s="97"/>
      <c r="B80" s="2517"/>
      <c r="C80" s="2517"/>
      <c r="D80" s="2517"/>
      <c r="E80" s="2625"/>
      <c r="F80" s="2517"/>
      <c r="G80" s="2625"/>
      <c r="H80" s="2517"/>
      <c r="I80" s="2517"/>
      <c r="J80" s="1541"/>
      <c r="K80" s="1541"/>
      <c r="L80" s="1541"/>
      <c r="M80" s="1541"/>
      <c r="N80" s="1541"/>
      <c r="O80" s="1541"/>
      <c r="P80" s="1541"/>
      <c r="Q80" s="1541"/>
    </row>
    <row r="81" spans="1:17">
      <c r="A81" s="2517"/>
      <c r="B81" s="2517"/>
      <c r="C81" s="2517"/>
      <c r="D81" s="2517"/>
      <c r="E81" s="2517"/>
      <c r="F81" s="2517"/>
      <c r="G81" s="2517"/>
      <c r="H81" s="2517"/>
      <c r="I81" s="2517"/>
      <c r="J81" s="1541"/>
      <c r="K81" s="1541"/>
      <c r="L81" s="1541"/>
      <c r="M81" s="1541"/>
      <c r="N81" s="1541"/>
      <c r="O81" s="1541"/>
      <c r="P81" s="1541"/>
      <c r="Q81" s="1541"/>
    </row>
    <row r="82" spans="1:17">
      <c r="A82" s="97"/>
      <c r="B82" s="97"/>
      <c r="C82" s="97"/>
      <c r="D82" s="2517"/>
      <c r="E82" s="1845"/>
      <c r="F82" s="2623"/>
      <c r="G82" s="2624"/>
      <c r="H82" s="2517"/>
      <c r="I82" s="2517"/>
      <c r="J82" s="1541"/>
      <c r="K82" s="1541"/>
      <c r="L82" s="1541"/>
      <c r="M82" s="1541"/>
      <c r="N82" s="1541"/>
      <c r="O82" s="1541"/>
      <c r="P82" s="1541"/>
      <c r="Q82" s="1541"/>
    </row>
    <row r="83" spans="1:17">
      <c r="A83" s="2517"/>
      <c r="B83" s="97"/>
      <c r="C83" s="2517"/>
      <c r="D83" s="2517"/>
      <c r="E83" s="2517"/>
      <c r="F83" s="2517"/>
      <c r="G83" s="2517"/>
      <c r="H83" s="2517"/>
      <c r="I83" s="2517"/>
      <c r="J83" s="1541"/>
      <c r="K83" s="1541"/>
      <c r="L83" s="1541"/>
      <c r="M83" s="1541"/>
      <c r="N83" s="1541"/>
      <c r="O83" s="1541"/>
      <c r="P83" s="1541"/>
      <c r="Q83" s="1541"/>
    </row>
    <row r="84" spans="1:17">
      <c r="A84" s="97"/>
      <c r="B84" s="2517"/>
      <c r="C84" s="2517"/>
      <c r="D84" s="2517"/>
      <c r="E84" s="2625"/>
      <c r="F84" s="2517"/>
      <c r="G84" s="2625"/>
      <c r="H84" s="2625"/>
      <c r="I84" s="2517"/>
      <c r="J84" s="1541"/>
      <c r="K84" s="1541"/>
      <c r="L84" s="1541"/>
      <c r="M84" s="1541"/>
      <c r="N84" s="1541"/>
      <c r="O84" s="1541"/>
      <c r="P84" s="1541"/>
      <c r="Q84" s="1541"/>
    </row>
    <row r="85" spans="1:17">
      <c r="A85" s="2517"/>
      <c r="B85" s="2517"/>
      <c r="C85" s="2517"/>
      <c r="D85" s="2517"/>
      <c r="E85" s="2517"/>
      <c r="F85" s="2517"/>
      <c r="G85" s="2517"/>
      <c r="H85" s="2517"/>
      <c r="I85" s="2517"/>
      <c r="J85" s="1541"/>
      <c r="K85" s="1541"/>
      <c r="L85" s="1541"/>
      <c r="M85" s="1541"/>
      <c r="N85" s="1541"/>
      <c r="O85" s="1541"/>
      <c r="P85" s="1541"/>
      <c r="Q85" s="1541"/>
    </row>
    <row r="86" spans="1:17">
      <c r="A86" s="97"/>
      <c r="B86" s="2517"/>
      <c r="C86" s="2517"/>
      <c r="D86" s="2517"/>
      <c r="E86" s="2625"/>
      <c r="F86" s="2517"/>
      <c r="G86" s="2625"/>
      <c r="H86" s="2625"/>
      <c r="I86" s="2517"/>
      <c r="J86" s="1541"/>
      <c r="K86" s="1541"/>
      <c r="L86" s="1541"/>
      <c r="M86" s="1541"/>
      <c r="N86" s="1541"/>
      <c r="O86" s="1541"/>
      <c r="P86" s="1541"/>
      <c r="Q86" s="1541"/>
    </row>
    <row r="87" spans="1:17">
      <c r="A87" s="2517"/>
      <c r="B87" s="2517"/>
      <c r="C87" s="2517"/>
      <c r="D87" s="2517"/>
      <c r="E87" s="2517"/>
      <c r="F87" s="2517"/>
      <c r="G87" s="2517"/>
      <c r="H87" s="2517"/>
      <c r="I87" s="2517"/>
      <c r="J87" s="1541"/>
      <c r="K87" s="1541"/>
      <c r="L87" s="1541"/>
      <c r="M87" s="1541"/>
      <c r="N87" s="1541"/>
      <c r="O87" s="1541"/>
      <c r="P87" s="1541"/>
      <c r="Q87" s="1541"/>
    </row>
    <row r="88" spans="1:17">
      <c r="A88" s="2517"/>
      <c r="B88" s="2517"/>
      <c r="C88" s="2517"/>
      <c r="D88" s="2517"/>
      <c r="E88" s="2517"/>
      <c r="F88" s="2517"/>
      <c r="G88" s="2517"/>
      <c r="H88" s="2517"/>
      <c r="I88" s="2517"/>
      <c r="J88" s="1541"/>
      <c r="K88" s="1541"/>
      <c r="L88" s="1541"/>
      <c r="M88" s="1541"/>
      <c r="N88" s="1541"/>
      <c r="O88" s="1541"/>
      <c r="P88" s="1541"/>
      <c r="Q88" s="1541"/>
    </row>
    <row r="89" spans="1:17">
      <c r="A89" s="1541"/>
      <c r="B89" s="1541"/>
      <c r="C89" s="1541"/>
      <c r="D89" s="1541"/>
      <c r="E89" s="1541"/>
      <c r="F89" s="1541"/>
      <c r="G89" s="1541"/>
      <c r="H89" s="1541"/>
      <c r="I89" s="1541"/>
      <c r="J89" s="1541"/>
      <c r="K89" s="1541"/>
      <c r="L89" s="1541"/>
      <c r="M89" s="1541"/>
      <c r="N89" s="1541"/>
      <c r="O89" s="1541"/>
      <c r="P89" s="1541"/>
      <c r="Q89" s="1541"/>
    </row>
    <row r="90" spans="1:17">
      <c r="A90" s="1541"/>
      <c r="B90" s="1541"/>
      <c r="C90" s="1541"/>
      <c r="D90" s="1541"/>
      <c r="E90" s="1541"/>
      <c r="F90" s="1541"/>
      <c r="G90" s="1541"/>
      <c r="H90" s="1541"/>
      <c r="I90" s="1541"/>
      <c r="J90" s="1541"/>
      <c r="K90" s="1541"/>
      <c r="L90" s="1541"/>
      <c r="M90" s="1541"/>
      <c r="N90" s="1541"/>
      <c r="O90" s="1541"/>
      <c r="P90" s="1541"/>
      <c r="Q90" s="1541"/>
    </row>
    <row r="91" spans="1:17">
      <c r="A91" s="1541"/>
      <c r="B91" s="1541"/>
      <c r="C91" s="1541"/>
      <c r="D91" s="1541"/>
      <c r="E91" s="1541"/>
      <c r="F91" s="1541"/>
      <c r="G91" s="1541"/>
      <c r="H91" s="1541"/>
      <c r="I91" s="1541"/>
      <c r="J91" s="1541"/>
      <c r="K91" s="1541"/>
      <c r="L91" s="1541"/>
      <c r="M91" s="1541"/>
      <c r="N91" s="1541"/>
      <c r="O91" s="1541"/>
      <c r="P91" s="1541"/>
      <c r="Q91" s="1541"/>
    </row>
    <row r="92" spans="1:17">
      <c r="A92" s="1541"/>
      <c r="B92" s="1541"/>
      <c r="C92" s="1541"/>
      <c r="D92" s="1541"/>
      <c r="E92" s="1541"/>
      <c r="F92" s="1541"/>
      <c r="G92" s="1541"/>
      <c r="H92" s="1541"/>
      <c r="I92" s="1541"/>
      <c r="J92" s="1541"/>
      <c r="K92" s="1541"/>
      <c r="L92" s="1541"/>
      <c r="M92" s="1541"/>
      <c r="N92" s="1541"/>
      <c r="O92" s="1541"/>
      <c r="P92" s="1541"/>
      <c r="Q92" s="1541"/>
    </row>
    <row r="93" spans="1:17">
      <c r="A93" s="1541"/>
      <c r="B93" s="1541"/>
      <c r="C93" s="1541"/>
      <c r="D93" s="1541"/>
      <c r="E93" s="1541"/>
      <c r="F93" s="1541"/>
      <c r="G93" s="1541"/>
      <c r="H93" s="1541"/>
      <c r="I93" s="1541"/>
      <c r="J93" s="1541"/>
      <c r="K93" s="1541"/>
      <c r="L93" s="1541"/>
      <c r="M93" s="1541"/>
      <c r="N93" s="1541"/>
      <c r="O93" s="1541"/>
      <c r="P93" s="1541"/>
      <c r="Q93" s="1541"/>
    </row>
    <row r="94" spans="1:17">
      <c r="A94" s="1541"/>
      <c r="B94" s="1541"/>
      <c r="C94" s="1541"/>
      <c r="D94" s="1541"/>
      <c r="E94" s="1541"/>
      <c r="F94" s="1541"/>
      <c r="G94" s="1541"/>
      <c r="H94" s="1541"/>
      <c r="I94" s="1541"/>
      <c r="J94" s="1541"/>
      <c r="K94" s="1541"/>
      <c r="L94" s="1541"/>
      <c r="M94" s="1541"/>
      <c r="N94" s="1541"/>
      <c r="O94" s="1541"/>
      <c r="P94" s="1541"/>
      <c r="Q94" s="1541"/>
    </row>
    <row r="95" spans="1:17">
      <c r="A95" s="1541"/>
      <c r="B95" s="1541"/>
      <c r="C95" s="1541"/>
      <c r="D95" s="1541"/>
      <c r="E95" s="1541"/>
      <c r="F95" s="1541"/>
      <c r="G95" s="1541"/>
      <c r="H95" s="1541"/>
      <c r="I95" s="1541"/>
      <c r="J95" s="1541"/>
      <c r="K95" s="1541"/>
      <c r="L95" s="1541"/>
      <c r="M95" s="1541"/>
      <c r="N95" s="1541"/>
      <c r="O95" s="1541"/>
      <c r="P95" s="1541"/>
      <c r="Q95" s="1541"/>
    </row>
    <row r="96" spans="1:17">
      <c r="A96" s="1541"/>
      <c r="B96" s="1541"/>
      <c r="C96" s="1541"/>
      <c r="D96" s="1541"/>
      <c r="E96" s="1541"/>
      <c r="F96" s="1541"/>
      <c r="G96" s="1541"/>
      <c r="H96" s="1541"/>
      <c r="I96" s="1541"/>
      <c r="J96" s="1541"/>
      <c r="K96" s="1541"/>
      <c r="L96" s="1541"/>
      <c r="M96" s="1541"/>
      <c r="N96" s="1541"/>
      <c r="O96" s="1541"/>
      <c r="P96" s="1541"/>
      <c r="Q96" s="1541"/>
    </row>
  </sheetData>
  <printOptions horizontalCentered="1"/>
  <pageMargins left="0.75" right="0.75" top="1" bottom="1" header="0.5" footer="0.5"/>
  <pageSetup scale="59" orientation="landscape" horizontalDpi="300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tabColor theme="4" tint="0.39997558519241921"/>
  </sheetPr>
  <dimension ref="A1:V531"/>
  <sheetViews>
    <sheetView tabSelected="1" view="pageLayout" topLeftCell="C19" zoomScaleNormal="80" workbookViewId="0">
      <selection activeCell="G1" sqref="G1"/>
    </sheetView>
  </sheetViews>
  <sheetFormatPr defaultColWidth="11.42578125" defaultRowHeight="12.75"/>
  <cols>
    <col min="1" max="1" width="7.85546875" style="18" customWidth="1"/>
    <col min="2" max="2" width="11.42578125" style="18" customWidth="1"/>
    <col min="3" max="3" width="12.5703125" style="18" customWidth="1"/>
    <col min="4" max="4" width="41.140625" style="18" customWidth="1"/>
    <col min="5" max="5" width="16.28515625" style="18" customWidth="1"/>
    <col min="6" max="6" width="14.140625" style="18" customWidth="1"/>
    <col min="7" max="8" width="13.28515625" style="18" customWidth="1"/>
    <col min="9" max="9" width="20.7109375" style="18" customWidth="1"/>
    <col min="10" max="10" width="13.5703125" style="18" customWidth="1"/>
    <col min="11" max="11" width="16.140625" style="18" customWidth="1"/>
    <col min="12" max="12" width="17.140625" style="18" customWidth="1"/>
    <col min="13" max="16384" width="11.42578125" style="18"/>
  </cols>
  <sheetData>
    <row r="1" spans="1:22">
      <c r="A1" s="103" t="str">
        <f>COMPANY</f>
        <v>DUKE ENERGY KENTUCKY, INC.</v>
      </c>
      <c r="B1" s="2585"/>
      <c r="C1" s="2585"/>
      <c r="D1" s="2585"/>
      <c r="E1" s="2589"/>
      <c r="F1" s="2585"/>
      <c r="G1" s="2585"/>
      <c r="H1" s="2585"/>
      <c r="I1" s="2585"/>
      <c r="J1" s="2585"/>
      <c r="K1" s="2585"/>
      <c r="L1" s="1541"/>
      <c r="M1" s="2585"/>
      <c r="N1" s="1631"/>
      <c r="O1" s="1631"/>
      <c r="P1" s="1631"/>
      <c r="Q1" s="1631"/>
      <c r="R1" s="1631"/>
      <c r="S1" s="1631"/>
      <c r="T1" s="1631"/>
      <c r="U1" s="1631"/>
      <c r="V1" s="1541"/>
    </row>
    <row r="2" spans="1:22">
      <c r="A2" s="103" t="str">
        <f>CASE</f>
        <v>CASE NO. 2017-00321</v>
      </c>
      <c r="B2" s="2585"/>
      <c r="C2" s="2585"/>
      <c r="D2" s="2585"/>
      <c r="E2" s="2589"/>
      <c r="F2" s="2585"/>
      <c r="G2" s="2585"/>
      <c r="H2" s="2585"/>
      <c r="I2" s="2585"/>
      <c r="J2" s="2585"/>
      <c r="K2" s="2585"/>
      <c r="L2" s="1541"/>
      <c r="M2" s="2585"/>
      <c r="N2" s="1631"/>
      <c r="O2" s="1631"/>
      <c r="P2" s="1631"/>
      <c r="Q2" s="1631"/>
      <c r="R2" s="1631"/>
      <c r="S2" s="1631"/>
      <c r="T2" s="1631"/>
      <c r="U2" s="1631"/>
      <c r="V2" s="1541"/>
    </row>
    <row r="3" spans="1:22">
      <c r="A3" s="103" t="s">
        <v>1486</v>
      </c>
      <c r="B3" s="2585"/>
      <c r="C3" s="2585"/>
      <c r="D3" s="2585"/>
      <c r="E3" s="2589"/>
      <c r="F3" s="2585"/>
      <c r="G3" s="2585"/>
      <c r="H3" s="2585"/>
      <c r="I3" s="2585"/>
      <c r="J3" s="2585"/>
      <c r="K3" s="2585"/>
      <c r="L3" s="1541"/>
      <c r="M3" s="2585"/>
      <c r="N3" s="1631"/>
      <c r="O3" s="1631"/>
      <c r="P3" s="1631"/>
      <c r="Q3" s="1631"/>
      <c r="R3" s="1631"/>
      <c r="S3" s="1631"/>
      <c r="T3" s="1631"/>
      <c r="U3" s="1631"/>
      <c r="V3" s="1541"/>
    </row>
    <row r="4" spans="1:22">
      <c r="A4" s="2594" t="str">
        <f>"FROM DECEMBER 1, 2016 TO "&amp;RIGHT(TESTYR,(LEN(TESTYR)-16))</f>
        <v>FROM DECEMBER 1, 2016 TO NOVEMBER 30, 2017</v>
      </c>
      <c r="B4" s="2585"/>
      <c r="C4" s="2585"/>
      <c r="D4" s="2585"/>
      <c r="E4" s="2589"/>
      <c r="F4" s="2585"/>
      <c r="G4" s="2585"/>
      <c r="H4" s="2585"/>
      <c r="I4" s="2585"/>
      <c r="J4" s="2585"/>
      <c r="K4" s="2585"/>
      <c r="L4" s="1541"/>
      <c r="M4" s="2585"/>
      <c r="N4" s="1631"/>
      <c r="O4" s="1631"/>
      <c r="P4" s="1631"/>
      <c r="Q4" s="1631"/>
      <c r="R4" s="1631"/>
      <c r="S4" s="1631"/>
      <c r="T4" s="1631"/>
      <c r="U4" s="1631"/>
      <c r="V4" s="1541"/>
    </row>
    <row r="5" spans="1:22">
      <c r="A5" s="2585"/>
      <c r="B5" s="2585"/>
      <c r="C5" s="2585"/>
      <c r="D5" s="2585"/>
      <c r="E5" s="2589"/>
      <c r="F5" s="2585"/>
      <c r="G5" s="2585"/>
      <c r="H5" s="2585"/>
      <c r="I5" s="2585"/>
      <c r="J5" s="2585"/>
      <c r="K5" s="2585"/>
      <c r="L5" s="1541"/>
      <c r="M5" s="2585"/>
      <c r="N5" s="1631"/>
      <c r="O5" s="1631"/>
      <c r="P5" s="1631"/>
      <c r="Q5" s="1631"/>
      <c r="R5" s="1631"/>
      <c r="S5" s="1631"/>
      <c r="T5" s="1631"/>
      <c r="U5" s="1631"/>
      <c r="V5" s="1541"/>
    </row>
    <row r="6" spans="1:22">
      <c r="A6" s="103" t="s">
        <v>333</v>
      </c>
      <c r="B6" s="2585"/>
      <c r="C6" s="2585"/>
      <c r="D6" s="2585"/>
      <c r="E6" s="2589"/>
      <c r="F6" s="2585"/>
      <c r="G6" s="2585"/>
      <c r="H6" s="2585"/>
      <c r="I6" s="2585"/>
      <c r="J6" s="2585"/>
      <c r="K6" s="2585"/>
      <c r="L6" s="1541"/>
      <c r="M6" s="2585"/>
      <c r="N6" s="1631"/>
      <c r="O6" s="1631"/>
      <c r="P6" s="1631"/>
      <c r="Q6" s="1631"/>
      <c r="R6" s="1631"/>
      <c r="S6" s="1631"/>
      <c r="T6" s="1631"/>
      <c r="U6" s="1631"/>
      <c r="V6" s="1541"/>
    </row>
    <row r="7" spans="1:22">
      <c r="A7" s="2585"/>
      <c r="B7" s="2585"/>
      <c r="C7" s="2585"/>
      <c r="D7" s="2585"/>
      <c r="E7" s="2589"/>
      <c r="F7" s="2585"/>
      <c r="G7" s="2585"/>
      <c r="H7" s="2585"/>
      <c r="I7" s="2585"/>
      <c r="J7" s="2585"/>
      <c r="K7" s="2585"/>
      <c r="L7" s="1541"/>
      <c r="M7" s="2585"/>
      <c r="N7" s="1631"/>
      <c r="O7" s="1631"/>
      <c r="P7" s="1631"/>
      <c r="Q7" s="1631"/>
      <c r="R7" s="1631"/>
      <c r="S7" s="1631"/>
      <c r="T7" s="1631"/>
      <c r="U7" s="1631"/>
      <c r="V7" s="1541"/>
    </row>
    <row r="8" spans="1:22">
      <c r="A8" s="2569" t="s">
        <v>1799</v>
      </c>
      <c r="B8" s="2585"/>
      <c r="C8" s="2585"/>
      <c r="D8" s="2585"/>
      <c r="E8" s="2589"/>
      <c r="F8" s="2585"/>
      <c r="G8" s="2585"/>
      <c r="H8" s="2585"/>
      <c r="I8" s="2585"/>
      <c r="J8" s="2585"/>
      <c r="K8" s="2585"/>
      <c r="L8" s="1541"/>
      <c r="M8" s="2585"/>
      <c r="N8" s="1631"/>
      <c r="O8" s="1631"/>
      <c r="P8" s="1631"/>
      <c r="Q8" s="1631"/>
      <c r="R8" s="1631"/>
      <c r="S8" s="1631"/>
      <c r="T8" s="1631"/>
      <c r="U8" s="1631"/>
      <c r="V8" s="1541"/>
    </row>
    <row r="9" spans="1:22">
      <c r="A9" s="1541"/>
      <c r="B9" s="1541"/>
      <c r="C9" s="1541"/>
      <c r="D9" s="1541"/>
      <c r="E9" s="1541"/>
      <c r="F9" s="1541"/>
      <c r="G9" s="1541"/>
      <c r="H9" s="1541"/>
      <c r="I9" s="1541"/>
      <c r="J9" s="1541"/>
      <c r="K9" s="1541"/>
      <c r="L9" s="1541"/>
      <c r="M9" s="1541"/>
      <c r="N9" s="1631"/>
      <c r="O9" s="1631"/>
      <c r="P9" s="1631"/>
      <c r="Q9" s="1631"/>
      <c r="R9" s="1631"/>
      <c r="S9" s="1631"/>
      <c r="T9" s="1631"/>
      <c r="U9" s="1631"/>
      <c r="V9" s="1541"/>
    </row>
    <row r="10" spans="1:22">
      <c r="A10" s="1506" t="str">
        <f>Data</f>
        <v>DATA: "X" BASE PERIOD   FORECASTED PERIOD</v>
      </c>
      <c r="B10" s="1541"/>
      <c r="C10" s="1541"/>
      <c r="D10" s="1541"/>
      <c r="E10" s="1541"/>
      <c r="F10" s="1541"/>
      <c r="G10" s="1541"/>
      <c r="H10" s="1541"/>
      <c r="I10" s="1541"/>
      <c r="J10" s="1506" t="s">
        <v>1487</v>
      </c>
      <c r="K10" s="1541"/>
      <c r="L10" s="1541"/>
      <c r="M10" s="1541"/>
      <c r="N10" s="1631"/>
      <c r="O10" s="1631"/>
      <c r="P10" s="1631"/>
      <c r="Q10" s="1631"/>
      <c r="R10" s="1631"/>
      <c r="S10" s="1631"/>
      <c r="T10" s="1631"/>
      <c r="U10" s="1631"/>
      <c r="V10" s="1541"/>
    </row>
    <row r="11" spans="1:22">
      <c r="A11" s="1506" t="str">
        <f>Type</f>
        <v xml:space="preserve">TYPE OF FILING:  "X" ORIGINAL   UPDATED    REVISED  </v>
      </c>
      <c r="B11" s="1541"/>
      <c r="C11" s="1541"/>
      <c r="D11" s="1541"/>
      <c r="E11" s="1541"/>
      <c r="F11" s="1541"/>
      <c r="G11" s="1541"/>
      <c r="H11" s="1541"/>
      <c r="I11" s="1541"/>
      <c r="J11" s="1506" t="s">
        <v>1911</v>
      </c>
      <c r="K11" s="1541"/>
      <c r="L11" s="1541"/>
      <c r="M11" s="1541"/>
      <c r="N11" s="1631"/>
      <c r="O11" s="1631"/>
      <c r="P11" s="1631"/>
      <c r="Q11" s="1631"/>
      <c r="R11" s="1631"/>
      <c r="S11" s="1631"/>
      <c r="T11" s="1631"/>
      <c r="U11" s="1631"/>
      <c r="V11" s="1541"/>
    </row>
    <row r="12" spans="1:22">
      <c r="A12" s="1506" t="s">
        <v>1879</v>
      </c>
      <c r="B12" s="1541"/>
      <c r="C12" s="1541"/>
      <c r="D12" s="1541"/>
      <c r="E12" s="1541"/>
      <c r="F12" s="1541"/>
      <c r="G12" s="1541"/>
      <c r="H12" s="1541"/>
      <c r="I12" s="1541"/>
      <c r="J12" s="2586" t="s">
        <v>622</v>
      </c>
      <c r="K12" s="1541"/>
      <c r="L12" s="1541"/>
      <c r="M12" s="1541"/>
      <c r="N12" s="1631"/>
      <c r="O12" s="1631"/>
      <c r="P12" s="1631"/>
      <c r="Q12" s="1631"/>
      <c r="R12" s="1631"/>
      <c r="S12" s="1631"/>
      <c r="T12" s="1631"/>
      <c r="U12" s="1631"/>
      <c r="V12" s="1541"/>
    </row>
    <row r="13" spans="1:22">
      <c r="A13" s="1541"/>
      <c r="B13" s="1541"/>
      <c r="C13" s="1541"/>
      <c r="D13" s="1541"/>
      <c r="E13" s="1541"/>
      <c r="F13" s="1541"/>
      <c r="G13" s="1541"/>
      <c r="H13" s="1541"/>
      <c r="I13" s="1541"/>
      <c r="J13" s="2586" t="str">
        <f>_WIT7</f>
        <v>R. H. PRATT / C. S. LEE</v>
      </c>
      <c r="K13" s="1541"/>
      <c r="L13" s="1541"/>
      <c r="M13" s="1541"/>
      <c r="N13" s="1631"/>
      <c r="O13" s="1631"/>
      <c r="P13" s="1631"/>
      <c r="Q13" s="1631"/>
      <c r="R13" s="1631"/>
      <c r="S13" s="1631"/>
      <c r="T13" s="1631"/>
      <c r="U13" s="1631"/>
      <c r="V13" s="1541"/>
    </row>
    <row r="14" spans="1:22">
      <c r="A14" s="1541"/>
      <c r="B14" s="1541"/>
      <c r="C14" s="1541"/>
      <c r="D14" s="1541"/>
      <c r="E14" s="1541"/>
      <c r="F14" s="1541"/>
      <c r="G14" s="1541"/>
      <c r="H14" s="1541"/>
      <c r="I14" s="1541"/>
      <c r="J14" s="1541"/>
      <c r="K14" s="1541"/>
      <c r="L14" s="1541"/>
      <c r="M14" s="1541"/>
      <c r="N14" s="1631"/>
      <c r="O14" s="1631"/>
      <c r="P14" s="1631"/>
      <c r="Q14" s="1631"/>
      <c r="R14" s="1631"/>
      <c r="S14" s="1631"/>
      <c r="T14" s="1631"/>
      <c r="U14" s="1631"/>
      <c r="V14" s="1541"/>
    </row>
    <row r="15" spans="1:22">
      <c r="A15" s="1541"/>
      <c r="B15" s="1541"/>
      <c r="C15" s="1541"/>
      <c r="D15" s="1541"/>
      <c r="E15" s="1541"/>
      <c r="F15" s="1541"/>
      <c r="G15" s="1541"/>
      <c r="H15" s="2587"/>
      <c r="I15" s="1541"/>
      <c r="J15" s="1541"/>
      <c r="K15" s="1541"/>
      <c r="L15" s="1541"/>
      <c r="M15" s="1541"/>
      <c r="N15" s="1631"/>
      <c r="O15" s="1631"/>
      <c r="P15" s="1631"/>
      <c r="Q15" s="1631"/>
      <c r="R15" s="1631"/>
      <c r="S15" s="1631"/>
      <c r="T15" s="1631"/>
      <c r="U15" s="1631"/>
      <c r="V15" s="1541"/>
    </row>
    <row r="16" spans="1:22">
      <c r="A16" s="1621"/>
      <c r="B16" s="1621"/>
      <c r="C16" s="2674"/>
      <c r="D16" s="1621"/>
      <c r="E16" s="1621"/>
      <c r="F16" s="1621"/>
      <c r="G16" s="1621"/>
      <c r="H16" s="1631"/>
      <c r="I16" s="1621"/>
      <c r="J16" s="1621"/>
      <c r="K16" s="1621"/>
      <c r="L16" s="1541"/>
      <c r="M16" s="1541"/>
      <c r="N16" s="1631"/>
      <c r="O16" s="1631"/>
      <c r="P16" s="1631"/>
      <c r="Q16" s="1631"/>
      <c r="R16" s="1631"/>
      <c r="S16" s="1631"/>
      <c r="T16" s="1631"/>
      <c r="U16" s="1631"/>
      <c r="V16" s="1541"/>
    </row>
    <row r="17" spans="1:22">
      <c r="A17" s="1541"/>
      <c r="B17" s="1505" t="s">
        <v>943</v>
      </c>
      <c r="C17" s="1505" t="s">
        <v>1750</v>
      </c>
      <c r="D17" s="1541"/>
      <c r="E17" s="1541"/>
      <c r="F17" s="1541"/>
      <c r="G17" s="1541"/>
      <c r="H17" s="100" t="s">
        <v>1090</v>
      </c>
      <c r="I17" s="100"/>
      <c r="J17" s="100"/>
      <c r="K17" s="1541"/>
      <c r="L17" s="1541"/>
      <c r="M17" s="1541"/>
      <c r="N17" s="1631"/>
      <c r="O17" s="1631"/>
      <c r="P17" s="1631"/>
      <c r="Q17" s="1631"/>
      <c r="R17" s="1631"/>
      <c r="S17" s="1631"/>
      <c r="T17" s="1631"/>
      <c r="U17" s="1631"/>
      <c r="V17" s="1541"/>
    </row>
    <row r="18" spans="1:22">
      <c r="A18" s="1505" t="s">
        <v>1240</v>
      </c>
      <c r="B18" s="1505" t="s">
        <v>1164</v>
      </c>
      <c r="C18" s="1505" t="s">
        <v>1164</v>
      </c>
      <c r="D18" s="1505" t="s">
        <v>1118</v>
      </c>
      <c r="E18" s="1505" t="s">
        <v>1091</v>
      </c>
      <c r="F18" s="1541"/>
      <c r="G18" s="1541"/>
      <c r="H18" s="2690"/>
      <c r="I18" s="2681" t="s">
        <v>1092</v>
      </c>
      <c r="J18" s="2681" t="s">
        <v>120</v>
      </c>
      <c r="K18" s="1505" t="s">
        <v>121</v>
      </c>
      <c r="L18" s="1541"/>
      <c r="M18" s="1541"/>
      <c r="N18" s="1631"/>
      <c r="O18" s="1631"/>
      <c r="P18" s="1631"/>
      <c r="Q18" s="1631"/>
      <c r="R18" s="1631"/>
      <c r="S18" s="1631"/>
      <c r="T18" s="1631"/>
      <c r="U18" s="1631"/>
      <c r="V18" s="1541"/>
    </row>
    <row r="19" spans="1:22">
      <c r="A19" s="1505" t="s">
        <v>1241</v>
      </c>
      <c r="B19" s="1505" t="s">
        <v>1241</v>
      </c>
      <c r="C19" s="1505" t="s">
        <v>1241</v>
      </c>
      <c r="D19" s="1505" t="s">
        <v>122</v>
      </c>
      <c r="E19" s="1505" t="s">
        <v>123</v>
      </c>
      <c r="F19" s="1505" t="s">
        <v>124</v>
      </c>
      <c r="G19" s="1505" t="s">
        <v>125</v>
      </c>
      <c r="H19" s="1505" t="s">
        <v>646</v>
      </c>
      <c r="I19" s="1505" t="s">
        <v>126</v>
      </c>
      <c r="J19" s="1505" t="s">
        <v>127</v>
      </c>
      <c r="K19" s="1505" t="s">
        <v>123</v>
      </c>
      <c r="L19" s="1541"/>
      <c r="M19" s="1541"/>
      <c r="N19" s="1631"/>
      <c r="O19" s="1631"/>
      <c r="P19" s="1631"/>
      <c r="Q19" s="1631"/>
      <c r="R19" s="1631"/>
      <c r="S19" s="1631"/>
      <c r="T19" s="1631"/>
      <c r="U19" s="1631"/>
      <c r="V19" s="1541"/>
    </row>
    <row r="20" spans="1:22">
      <c r="A20" s="1541"/>
      <c r="B20" s="1541"/>
      <c r="C20" s="1541"/>
      <c r="D20" s="1541"/>
      <c r="E20" s="1541"/>
      <c r="F20" s="1541"/>
      <c r="G20" s="1541"/>
      <c r="H20" s="1541"/>
      <c r="I20" s="1541"/>
      <c r="J20" s="1541"/>
      <c r="K20" s="1541"/>
      <c r="L20" s="1541"/>
      <c r="M20" s="1541"/>
      <c r="N20" s="1631"/>
      <c r="O20" s="1631"/>
      <c r="P20" s="1631"/>
      <c r="Q20" s="1631"/>
      <c r="R20" s="1631"/>
      <c r="S20" s="1631"/>
      <c r="T20" s="1631"/>
      <c r="U20" s="1631"/>
      <c r="V20" s="1541"/>
    </row>
    <row r="21" spans="1:22">
      <c r="A21" s="1621"/>
      <c r="B21" s="1621"/>
      <c r="C21" s="1621"/>
      <c r="D21" s="1621"/>
      <c r="E21" s="2679" t="s">
        <v>1705</v>
      </c>
      <c r="F21" s="2679" t="s">
        <v>1705</v>
      </c>
      <c r="G21" s="2679" t="s">
        <v>1705</v>
      </c>
      <c r="H21" s="2679" t="s">
        <v>1705</v>
      </c>
      <c r="I21" s="1621"/>
      <c r="J21" s="1621"/>
      <c r="K21" s="2679" t="s">
        <v>1705</v>
      </c>
      <c r="L21" s="1541"/>
      <c r="M21" s="1540"/>
      <c r="N21" s="1631"/>
      <c r="O21" s="1631"/>
      <c r="P21" s="1631"/>
      <c r="Q21" s="1631"/>
      <c r="R21" s="1631"/>
      <c r="S21" s="1631"/>
      <c r="T21" s="1631"/>
      <c r="U21" s="1631"/>
      <c r="V21" s="1541"/>
    </row>
    <row r="22" spans="1:22">
      <c r="A22" s="1541"/>
      <c r="B22" s="1541"/>
      <c r="C22" s="1541"/>
      <c r="D22" s="2595"/>
      <c r="E22" s="1541"/>
      <c r="F22" s="1541"/>
      <c r="G22" s="1541"/>
      <c r="H22" s="1541"/>
      <c r="I22" s="1541"/>
      <c r="J22" s="1541"/>
      <c r="K22" s="1541"/>
      <c r="L22" s="1540"/>
      <c r="M22" s="1541"/>
      <c r="N22" s="1631"/>
      <c r="O22" s="1631"/>
      <c r="P22" s="1631"/>
      <c r="Q22" s="1631"/>
      <c r="R22" s="1631"/>
      <c r="S22" s="1631"/>
      <c r="T22" s="1631"/>
      <c r="U22" s="1631"/>
      <c r="V22" s="1541"/>
    </row>
    <row r="23" spans="1:22">
      <c r="A23" s="1505" t="s">
        <v>1166</v>
      </c>
      <c r="B23" s="1505">
        <v>310</v>
      </c>
      <c r="C23" s="1505">
        <v>3100</v>
      </c>
      <c r="D23" s="1506" t="s">
        <v>849</v>
      </c>
      <c r="E23" s="105">
        <v>7036025</v>
      </c>
      <c r="F23" s="2596">
        <v>0</v>
      </c>
      <c r="G23" s="2596">
        <v>-11276</v>
      </c>
      <c r="H23" s="2596">
        <v>0</v>
      </c>
      <c r="I23" s="2597"/>
      <c r="J23" s="2597"/>
      <c r="K23" s="47">
        <f t="shared" ref="K23:K38" si="0">E23+F23-G23+H23</f>
        <v>7047301</v>
      </c>
      <c r="L23" s="1540"/>
      <c r="M23" s="1541"/>
      <c r="N23" s="1631"/>
      <c r="O23" s="1631"/>
      <c r="P23" s="1631"/>
      <c r="Q23" s="1631"/>
      <c r="R23" s="1631"/>
      <c r="S23" s="1631"/>
      <c r="T23" s="1631"/>
      <c r="U23" s="1631"/>
      <c r="V23" s="1541"/>
    </row>
    <row r="24" spans="1:22">
      <c r="A24" s="1505" t="s">
        <v>1167</v>
      </c>
      <c r="B24" s="1505">
        <v>311</v>
      </c>
      <c r="C24" s="1505">
        <v>3110</v>
      </c>
      <c r="D24" s="1506" t="s">
        <v>1170</v>
      </c>
      <c r="E24" s="105">
        <v>52768170</v>
      </c>
      <c r="F24" s="2596">
        <v>533909</v>
      </c>
      <c r="G24" s="2596">
        <v>134086</v>
      </c>
      <c r="H24" s="2596">
        <v>0</v>
      </c>
      <c r="I24" s="2597"/>
      <c r="J24" s="2597"/>
      <c r="K24" s="47">
        <f t="shared" si="0"/>
        <v>53167993</v>
      </c>
      <c r="L24" s="1540"/>
      <c r="M24" s="1541"/>
      <c r="N24" s="1631"/>
      <c r="O24" s="1631"/>
      <c r="P24" s="1631"/>
      <c r="Q24" s="1631"/>
      <c r="R24" s="1631"/>
      <c r="S24" s="1631"/>
      <c r="T24" s="1631"/>
      <c r="U24" s="1631"/>
      <c r="V24" s="1541"/>
    </row>
    <row r="25" spans="1:22">
      <c r="A25" s="1505" t="s">
        <v>1169</v>
      </c>
      <c r="B25" s="1505">
        <v>311</v>
      </c>
      <c r="C25" s="1505" t="s">
        <v>2291</v>
      </c>
      <c r="D25" s="1506" t="s">
        <v>1170</v>
      </c>
      <c r="E25" s="105">
        <v>18266399</v>
      </c>
      <c r="F25" s="2596">
        <v>143163</v>
      </c>
      <c r="G25" s="2596">
        <v>0</v>
      </c>
      <c r="H25" s="2596">
        <v>0</v>
      </c>
      <c r="I25" s="2597"/>
      <c r="J25" s="2597"/>
      <c r="K25" s="47">
        <f t="shared" si="0"/>
        <v>18409562</v>
      </c>
      <c r="L25" s="1540"/>
      <c r="M25" s="1541"/>
      <c r="N25" s="1631"/>
      <c r="O25" s="1631"/>
      <c r="P25" s="1631"/>
      <c r="Q25" s="1631"/>
      <c r="R25" s="1631"/>
      <c r="S25" s="1631"/>
      <c r="T25" s="1631"/>
      <c r="U25" s="1631"/>
      <c r="V25" s="1541"/>
    </row>
    <row r="26" spans="1:22">
      <c r="A26" s="1505" t="s">
        <v>1171</v>
      </c>
      <c r="B26" s="1505">
        <v>312</v>
      </c>
      <c r="C26" s="1505">
        <v>3120</v>
      </c>
      <c r="D26" s="1506" t="s">
        <v>334</v>
      </c>
      <c r="E26" s="105">
        <v>210445492</v>
      </c>
      <c r="F26" s="2596">
        <v>1598464</v>
      </c>
      <c r="G26" s="2596">
        <v>5096326</v>
      </c>
      <c r="H26" s="2596">
        <v>0</v>
      </c>
      <c r="I26" s="2597"/>
      <c r="J26" s="2597"/>
      <c r="K26" s="47">
        <f t="shared" si="0"/>
        <v>206947630</v>
      </c>
      <c r="L26" s="1540"/>
      <c r="M26" s="1541"/>
      <c r="N26" s="1631"/>
      <c r="O26" s="1631"/>
      <c r="P26" s="1631"/>
      <c r="Q26" s="1631"/>
      <c r="R26" s="1631"/>
      <c r="S26" s="1631"/>
      <c r="T26" s="1631"/>
      <c r="U26" s="1631"/>
      <c r="V26" s="1541"/>
    </row>
    <row r="27" spans="1:22">
      <c r="A27" s="1505" t="s">
        <v>977</v>
      </c>
      <c r="B27" s="1505">
        <v>312</v>
      </c>
      <c r="C27" s="1505" t="s">
        <v>2292</v>
      </c>
      <c r="D27" s="1506" t="s">
        <v>334</v>
      </c>
      <c r="E27" s="105">
        <v>242313559</v>
      </c>
      <c r="F27" s="2596">
        <v>1091301</v>
      </c>
      <c r="G27" s="2596">
        <v>643825</v>
      </c>
      <c r="H27" s="2596">
        <v>0</v>
      </c>
      <c r="I27" s="2597"/>
      <c r="J27" s="2597"/>
      <c r="K27" s="47">
        <f t="shared" si="0"/>
        <v>242761035</v>
      </c>
      <c r="L27" s="1540"/>
      <c r="M27" s="1541"/>
      <c r="N27" s="1631"/>
      <c r="O27" s="1631"/>
      <c r="P27" s="1631"/>
      <c r="Q27" s="1631"/>
      <c r="R27" s="1631"/>
      <c r="S27" s="1631"/>
      <c r="T27" s="1631"/>
      <c r="U27" s="1631"/>
      <c r="V27" s="1541"/>
    </row>
    <row r="28" spans="1:22">
      <c r="A28" s="1505" t="s">
        <v>1596</v>
      </c>
      <c r="B28" s="1505"/>
      <c r="C28" s="1505"/>
      <c r="D28" s="1506" t="s">
        <v>3278</v>
      </c>
      <c r="E28" s="105">
        <v>0</v>
      </c>
      <c r="F28" s="2596">
        <v>0</v>
      </c>
      <c r="G28" s="2596">
        <v>0</v>
      </c>
      <c r="H28" s="2596">
        <v>0</v>
      </c>
      <c r="I28" s="2597"/>
      <c r="J28" s="2597"/>
      <c r="K28" s="47">
        <f t="shared" si="0"/>
        <v>0</v>
      </c>
      <c r="L28" s="1540"/>
      <c r="M28" s="1541"/>
      <c r="N28" s="1631"/>
      <c r="O28" s="1631"/>
      <c r="P28" s="1631"/>
      <c r="Q28" s="1631"/>
      <c r="R28" s="1631"/>
      <c r="S28" s="1631"/>
      <c r="T28" s="1631"/>
      <c r="U28" s="1631"/>
      <c r="V28" s="1541"/>
    </row>
    <row r="29" spans="1:22">
      <c r="A29" s="1505" t="s">
        <v>978</v>
      </c>
      <c r="B29" s="1505">
        <v>312</v>
      </c>
      <c r="C29" s="1505" t="s">
        <v>2293</v>
      </c>
      <c r="D29" s="1506" t="s">
        <v>335</v>
      </c>
      <c r="E29" s="105">
        <v>5420680</v>
      </c>
      <c r="F29" s="2596">
        <v>0</v>
      </c>
      <c r="G29" s="2596">
        <v>0</v>
      </c>
      <c r="H29" s="2596">
        <v>0</v>
      </c>
      <c r="I29" s="2597"/>
      <c r="J29" s="2597"/>
      <c r="K29" s="47">
        <f t="shared" si="0"/>
        <v>5420680</v>
      </c>
      <c r="L29" s="1540"/>
      <c r="M29" s="1541"/>
      <c r="N29" s="1631"/>
      <c r="O29" s="1631"/>
      <c r="P29" s="1631"/>
      <c r="Q29" s="1631"/>
      <c r="R29" s="1631"/>
      <c r="S29" s="1631"/>
      <c r="T29" s="1631"/>
      <c r="U29" s="1631"/>
      <c r="V29" s="1541"/>
    </row>
    <row r="30" spans="1:22">
      <c r="A30" s="1505" t="s">
        <v>979</v>
      </c>
      <c r="B30" s="1505">
        <v>314</v>
      </c>
      <c r="C30" s="1505">
        <v>3140</v>
      </c>
      <c r="D30" s="1506" t="s">
        <v>336</v>
      </c>
      <c r="E30" s="105">
        <v>90092202</v>
      </c>
      <c r="F30" s="2596">
        <v>84971</v>
      </c>
      <c r="G30" s="2596">
        <v>394313</v>
      </c>
      <c r="H30" s="2596">
        <v>0</v>
      </c>
      <c r="I30" s="2597"/>
      <c r="J30" s="2597"/>
      <c r="K30" s="47">
        <f t="shared" si="0"/>
        <v>89782860</v>
      </c>
      <c r="L30" s="1540"/>
      <c r="M30" s="1541"/>
      <c r="N30" s="1631"/>
      <c r="O30" s="1631"/>
      <c r="P30" s="1631"/>
      <c r="Q30" s="1631"/>
      <c r="R30" s="1631"/>
      <c r="S30" s="1631"/>
      <c r="T30" s="1631"/>
      <c r="U30" s="1631"/>
      <c r="V30" s="1541"/>
    </row>
    <row r="31" spans="1:22">
      <c r="A31" s="1505" t="s">
        <v>980</v>
      </c>
      <c r="B31" s="1505">
        <v>314</v>
      </c>
      <c r="C31" s="1505" t="s">
        <v>2294</v>
      </c>
      <c r="D31" s="1506" t="s">
        <v>336</v>
      </c>
      <c r="E31" s="105">
        <v>10590194</v>
      </c>
      <c r="F31" s="2596">
        <v>0</v>
      </c>
      <c r="G31" s="2596">
        <v>0</v>
      </c>
      <c r="H31" s="2596">
        <v>0</v>
      </c>
      <c r="I31" s="2597"/>
      <c r="J31" s="2597"/>
      <c r="K31" s="47">
        <f t="shared" si="0"/>
        <v>10590194</v>
      </c>
      <c r="L31" s="1540"/>
      <c r="M31" s="1541"/>
      <c r="N31" s="1631"/>
      <c r="O31" s="1631"/>
      <c r="P31" s="1631"/>
      <c r="Q31" s="1631"/>
      <c r="R31" s="1631"/>
      <c r="S31" s="1631"/>
      <c r="T31" s="1631"/>
      <c r="U31" s="1631"/>
      <c r="V31" s="1541"/>
    </row>
    <row r="32" spans="1:22">
      <c r="A32" s="1505" t="s">
        <v>850</v>
      </c>
      <c r="B32" s="1505">
        <v>315</v>
      </c>
      <c r="C32" s="1505">
        <v>3150</v>
      </c>
      <c r="D32" s="1506" t="s">
        <v>337</v>
      </c>
      <c r="E32" s="105">
        <v>27757605</v>
      </c>
      <c r="F32" s="2596">
        <v>0</v>
      </c>
      <c r="G32" s="2596">
        <v>-464851</v>
      </c>
      <c r="H32" s="2596">
        <v>0</v>
      </c>
      <c r="I32" s="2597"/>
      <c r="J32" s="2597"/>
      <c r="K32" s="47">
        <f t="shared" si="0"/>
        <v>28222456</v>
      </c>
      <c r="L32" s="1540"/>
      <c r="M32" s="1541"/>
      <c r="N32" s="1631"/>
      <c r="O32" s="1631"/>
      <c r="P32" s="1631"/>
      <c r="Q32" s="1631"/>
      <c r="R32" s="1631"/>
      <c r="S32" s="1631"/>
      <c r="T32" s="1631"/>
      <c r="U32" s="1631"/>
      <c r="V32" s="1541"/>
    </row>
    <row r="33" spans="1:22">
      <c r="A33" s="1505" t="s">
        <v>851</v>
      </c>
      <c r="B33" s="1505">
        <v>315</v>
      </c>
      <c r="C33" s="1505" t="s">
        <v>2295</v>
      </c>
      <c r="D33" s="1506" t="s">
        <v>337</v>
      </c>
      <c r="E33" s="105">
        <v>16979176</v>
      </c>
      <c r="F33" s="2596">
        <v>0</v>
      </c>
      <c r="G33" s="2596">
        <v>0</v>
      </c>
      <c r="H33" s="2596">
        <v>0</v>
      </c>
      <c r="I33" s="2597"/>
      <c r="J33" s="2597"/>
      <c r="K33" s="47">
        <f t="shared" si="0"/>
        <v>16979176</v>
      </c>
      <c r="L33" s="1540"/>
      <c r="M33" s="1541"/>
      <c r="N33" s="1631"/>
      <c r="O33" s="1631"/>
      <c r="P33" s="1631"/>
      <c r="Q33" s="1631"/>
      <c r="R33" s="1631"/>
      <c r="S33" s="1631"/>
      <c r="T33" s="1631"/>
      <c r="U33" s="1631"/>
      <c r="V33" s="1541"/>
    </row>
    <row r="34" spans="1:22">
      <c r="A34" s="1505" t="s">
        <v>852</v>
      </c>
      <c r="B34" s="1505">
        <v>316</v>
      </c>
      <c r="C34" s="1505">
        <v>3160</v>
      </c>
      <c r="D34" s="1506" t="s">
        <v>338</v>
      </c>
      <c r="E34" s="105">
        <v>11616571</v>
      </c>
      <c r="F34" s="2596">
        <v>3239779</v>
      </c>
      <c r="G34" s="2596">
        <v>354356</v>
      </c>
      <c r="H34" s="2596">
        <v>0</v>
      </c>
      <c r="I34" s="2597"/>
      <c r="J34" s="2597"/>
      <c r="K34" s="47">
        <f t="shared" si="0"/>
        <v>14501994</v>
      </c>
      <c r="L34" s="1540"/>
      <c r="M34" s="1541"/>
      <c r="N34" s="1631"/>
      <c r="O34" s="1631"/>
      <c r="P34" s="1631"/>
      <c r="Q34" s="1631"/>
      <c r="R34" s="1631"/>
      <c r="S34" s="1631"/>
      <c r="T34" s="1631"/>
      <c r="U34" s="1631"/>
      <c r="V34" s="1541"/>
    </row>
    <row r="35" spans="1:22">
      <c r="A35" s="1505" t="s">
        <v>853</v>
      </c>
      <c r="B35" s="1505">
        <v>317</v>
      </c>
      <c r="C35" s="1505" t="s">
        <v>2296</v>
      </c>
      <c r="D35" s="1506" t="s">
        <v>338</v>
      </c>
      <c r="E35" s="105">
        <v>5796351</v>
      </c>
      <c r="F35" s="2596">
        <v>0</v>
      </c>
      <c r="G35" s="2596">
        <v>0</v>
      </c>
      <c r="H35" s="2596">
        <v>0</v>
      </c>
      <c r="I35" s="2597"/>
      <c r="J35" s="2597"/>
      <c r="K35" s="47">
        <f t="shared" si="0"/>
        <v>5796351</v>
      </c>
      <c r="L35" s="1540"/>
      <c r="M35" s="1541"/>
      <c r="N35" s="1631"/>
      <c r="O35" s="1631"/>
      <c r="P35" s="1631"/>
      <c r="Q35" s="1631"/>
      <c r="R35" s="1631"/>
      <c r="S35" s="1631"/>
      <c r="T35" s="1631"/>
      <c r="U35" s="1631"/>
      <c r="V35" s="1541"/>
    </row>
    <row r="36" spans="1:22">
      <c r="A36" s="1505" t="s">
        <v>854</v>
      </c>
      <c r="B36" s="1505">
        <v>317</v>
      </c>
      <c r="C36" s="1505" t="s">
        <v>2753</v>
      </c>
      <c r="D36" s="1506" t="s">
        <v>2747</v>
      </c>
      <c r="E36" s="105">
        <v>80002028</v>
      </c>
      <c r="F36" s="2596">
        <v>-33585212</v>
      </c>
      <c r="G36" s="2596">
        <v>-169422</v>
      </c>
      <c r="H36" s="2596">
        <v>0</v>
      </c>
      <c r="I36" s="2597"/>
      <c r="J36" s="2597"/>
      <c r="K36" s="47">
        <f t="shared" si="0"/>
        <v>46586238</v>
      </c>
      <c r="L36" s="1540"/>
      <c r="M36" s="1541"/>
      <c r="N36" s="1631"/>
      <c r="O36" s="1631"/>
      <c r="P36" s="1631"/>
      <c r="Q36" s="1631"/>
      <c r="R36" s="1631"/>
      <c r="S36" s="1631"/>
      <c r="T36" s="1631"/>
      <c r="U36" s="1631"/>
      <c r="V36" s="1541"/>
    </row>
    <row r="37" spans="1:22">
      <c r="A37" s="1505" t="s">
        <v>855</v>
      </c>
      <c r="B37" s="1505"/>
      <c r="C37" s="1505"/>
      <c r="D37" s="1506" t="s">
        <v>1483</v>
      </c>
      <c r="E37" s="105">
        <v>0</v>
      </c>
      <c r="F37" s="2596">
        <v>0</v>
      </c>
      <c r="G37" s="2596">
        <v>0</v>
      </c>
      <c r="H37" s="2596">
        <v>0</v>
      </c>
      <c r="I37" s="2597"/>
      <c r="J37" s="2597"/>
      <c r="K37" s="47">
        <f t="shared" si="0"/>
        <v>0</v>
      </c>
      <c r="L37" s="1540"/>
      <c r="M37" s="1541"/>
      <c r="N37" s="1631"/>
      <c r="O37" s="1631"/>
      <c r="P37" s="1631"/>
      <c r="Q37" s="1631"/>
      <c r="R37" s="1631"/>
      <c r="S37" s="1631"/>
      <c r="T37" s="1631"/>
      <c r="U37" s="1631"/>
      <c r="V37" s="1541"/>
    </row>
    <row r="38" spans="1:22">
      <c r="A38" s="1505" t="s">
        <v>2904</v>
      </c>
      <c r="B38" s="1506"/>
      <c r="C38" s="1505" t="s">
        <v>3103</v>
      </c>
      <c r="D38" s="1506" t="s">
        <v>1483</v>
      </c>
      <c r="E38" s="105">
        <v>0</v>
      </c>
      <c r="F38" s="2596">
        <v>133316</v>
      </c>
      <c r="G38" s="2596">
        <v>0</v>
      </c>
      <c r="H38" s="2596">
        <v>0</v>
      </c>
      <c r="I38" s="2597"/>
      <c r="J38" s="2597"/>
      <c r="K38" s="47">
        <f t="shared" si="0"/>
        <v>133316</v>
      </c>
      <c r="L38" s="1540"/>
      <c r="M38" s="1541"/>
      <c r="N38" s="1631"/>
      <c r="O38" s="1631"/>
      <c r="P38" s="1631"/>
      <c r="Q38" s="1631"/>
      <c r="R38" s="1631"/>
      <c r="S38" s="1631"/>
      <c r="T38" s="1631"/>
      <c r="U38" s="1631"/>
      <c r="V38" s="1541"/>
    </row>
    <row r="39" spans="1:22">
      <c r="A39" s="1505"/>
      <c r="B39" s="1541"/>
      <c r="C39" s="1505"/>
      <c r="D39" s="1506"/>
      <c r="E39" s="105"/>
      <c r="F39" s="2598"/>
      <c r="G39" s="105"/>
      <c r="H39" s="96"/>
      <c r="I39" s="2597"/>
      <c r="J39" s="2597"/>
      <c r="K39" s="47"/>
      <c r="L39" s="1540"/>
      <c r="M39" s="1541"/>
      <c r="N39" s="1631"/>
      <c r="O39" s="1631"/>
      <c r="P39" s="1631"/>
      <c r="Q39" s="1631"/>
      <c r="R39" s="1631"/>
      <c r="S39" s="1631"/>
      <c r="T39" s="1631"/>
      <c r="U39" s="1631"/>
      <c r="V39" s="1541"/>
    </row>
    <row r="40" spans="1:22">
      <c r="A40" s="1541"/>
      <c r="B40" s="1541"/>
      <c r="C40" s="1541"/>
      <c r="D40" s="1541"/>
      <c r="E40" s="1541"/>
      <c r="F40" s="1541"/>
      <c r="G40" s="1541"/>
      <c r="H40" s="1541"/>
      <c r="I40" s="1541"/>
      <c r="J40" s="1541"/>
      <c r="K40" s="1542"/>
      <c r="L40" s="1540"/>
      <c r="M40" s="1541"/>
      <c r="N40" s="1631"/>
      <c r="O40" s="1631"/>
      <c r="P40" s="1631"/>
      <c r="Q40" s="1631"/>
      <c r="R40" s="1631"/>
      <c r="S40" s="1631"/>
      <c r="T40" s="1631"/>
      <c r="U40" s="1631"/>
      <c r="V40" s="1541"/>
    </row>
    <row r="41" spans="1:22">
      <c r="A41" s="1621"/>
      <c r="B41" s="1621"/>
      <c r="C41" s="1621"/>
      <c r="D41" s="1621"/>
      <c r="E41" s="1621"/>
      <c r="F41" s="1621"/>
      <c r="G41" s="1621"/>
      <c r="H41" s="1621"/>
      <c r="I41" s="1621"/>
      <c r="J41" s="1621"/>
      <c r="K41" s="2689"/>
      <c r="L41" s="1540"/>
      <c r="M41" s="1541"/>
      <c r="N41" s="1631"/>
      <c r="O41" s="1631"/>
      <c r="P41" s="1631"/>
      <c r="Q41" s="1631"/>
      <c r="R41" s="1631"/>
      <c r="S41" s="1631"/>
      <c r="T41" s="1631"/>
      <c r="U41" s="1631"/>
      <c r="V41" s="1541"/>
    </row>
    <row r="42" spans="1:22">
      <c r="A42" s="1505">
        <v>16</v>
      </c>
      <c r="B42" s="1541"/>
      <c r="C42" s="1541"/>
      <c r="D42" s="1506" t="s">
        <v>1720</v>
      </c>
      <c r="E42" s="1539">
        <f>SUM(E23:E40)</f>
        <v>779084452</v>
      </c>
      <c r="F42" s="1539">
        <f>SUM(F23:F40)</f>
        <v>-26760309</v>
      </c>
      <c r="G42" s="1539">
        <f>SUM(G23:G40)</f>
        <v>5977357</v>
      </c>
      <c r="H42" s="1539">
        <f>SUM(H23:H40)</f>
        <v>0</v>
      </c>
      <c r="I42" s="1540"/>
      <c r="J42" s="1540"/>
      <c r="K42" s="1539">
        <f>SUM(K23:K40)</f>
        <v>746346786</v>
      </c>
      <c r="L42" s="1540"/>
      <c r="M42" s="1541"/>
      <c r="N42" s="1631"/>
      <c r="O42" s="1631"/>
      <c r="P42" s="1631"/>
      <c r="Q42" s="1631"/>
      <c r="R42" s="1631"/>
      <c r="S42" s="1631"/>
      <c r="T42" s="1631"/>
      <c r="U42" s="1631"/>
      <c r="V42" s="1541"/>
    </row>
    <row r="43" spans="1:22">
      <c r="A43" s="1541"/>
      <c r="B43" s="1541"/>
      <c r="C43" s="1541"/>
      <c r="D43" s="1541"/>
      <c r="E43" s="1541"/>
      <c r="F43" s="1541"/>
      <c r="G43" s="1541"/>
      <c r="H43" s="1541"/>
      <c r="I43" s="1541"/>
      <c r="J43" s="1541"/>
      <c r="K43" s="1541"/>
      <c r="L43" s="1540"/>
      <c r="M43" s="1541"/>
      <c r="N43" s="1631"/>
      <c r="O43" s="1631"/>
      <c r="P43" s="1631"/>
      <c r="Q43" s="1631"/>
      <c r="R43" s="1631"/>
      <c r="S43" s="1631"/>
      <c r="T43" s="1631"/>
      <c r="U43" s="1631"/>
      <c r="V43" s="1541"/>
    </row>
    <row r="44" spans="1:22">
      <c r="A44" s="1621"/>
      <c r="B44" s="1621"/>
      <c r="C44" s="1621"/>
      <c r="D44" s="1621"/>
      <c r="E44" s="1622"/>
      <c r="F44" s="1622"/>
      <c r="G44" s="1622"/>
      <c r="H44" s="1622"/>
      <c r="I44" s="2687"/>
      <c r="J44" s="2687"/>
      <c r="K44" s="1622"/>
      <c r="L44" s="1540"/>
      <c r="M44" s="1541"/>
      <c r="N44" s="1631"/>
      <c r="O44" s="1631"/>
      <c r="P44" s="1631"/>
      <c r="Q44" s="1631"/>
      <c r="R44" s="1631"/>
      <c r="S44" s="1631"/>
      <c r="T44" s="1631"/>
      <c r="U44" s="1631"/>
      <c r="V44" s="1541"/>
    </row>
    <row r="45" spans="1:22">
      <c r="A45" s="103" t="str">
        <f>COMPANY</f>
        <v>DUKE ENERGY KENTUCKY, INC.</v>
      </c>
      <c r="B45" s="2585"/>
      <c r="C45" s="2585"/>
      <c r="D45" s="2585"/>
      <c r="E45" s="2589"/>
      <c r="F45" s="2585"/>
      <c r="G45" s="2585"/>
      <c r="H45" s="2585"/>
      <c r="I45" s="2585"/>
      <c r="J45" s="2585"/>
      <c r="K45" s="2585"/>
      <c r="L45" s="1540"/>
      <c r="M45" s="1541"/>
      <c r="N45" s="1631"/>
      <c r="O45" s="1631"/>
      <c r="P45" s="1631"/>
      <c r="Q45" s="1631"/>
      <c r="R45" s="1631"/>
      <c r="S45" s="1631"/>
      <c r="T45" s="1631"/>
      <c r="U45" s="1631"/>
      <c r="V45" s="1541"/>
    </row>
    <row r="46" spans="1:22">
      <c r="A46" s="103" t="str">
        <f>CASE</f>
        <v>CASE NO. 2017-00321</v>
      </c>
      <c r="B46" s="2585"/>
      <c r="C46" s="2585"/>
      <c r="D46" s="2585"/>
      <c r="E46" s="2589"/>
      <c r="F46" s="2585"/>
      <c r="G46" s="2585"/>
      <c r="H46" s="2585"/>
      <c r="I46" s="2585"/>
      <c r="J46" s="2585"/>
      <c r="K46" s="2585"/>
      <c r="L46" s="1540"/>
      <c r="M46" s="1541"/>
      <c r="N46" s="1631"/>
      <c r="O46" s="1631"/>
      <c r="P46" s="1631"/>
      <c r="Q46" s="1631"/>
      <c r="R46" s="1631"/>
      <c r="S46" s="1631"/>
      <c r="T46" s="1631"/>
      <c r="U46" s="1631"/>
      <c r="V46" s="1541"/>
    </row>
    <row r="47" spans="1:22">
      <c r="A47" s="103" t="s">
        <v>1486</v>
      </c>
      <c r="B47" s="2585"/>
      <c r="C47" s="2585"/>
      <c r="D47" s="2585"/>
      <c r="E47" s="2589"/>
      <c r="F47" s="2585"/>
      <c r="G47" s="2585"/>
      <c r="H47" s="2585"/>
      <c r="I47" s="2585"/>
      <c r="J47" s="2585"/>
      <c r="K47" s="2585"/>
      <c r="L47" s="1540"/>
      <c r="M47" s="1541"/>
      <c r="N47" s="1631"/>
      <c r="O47" s="1631"/>
      <c r="P47" s="1631"/>
      <c r="Q47" s="1631"/>
      <c r="R47" s="1631"/>
      <c r="S47" s="1631"/>
      <c r="T47" s="1631"/>
      <c r="U47" s="1631"/>
      <c r="V47" s="1541"/>
    </row>
    <row r="48" spans="1:22">
      <c r="A48" s="103" t="str">
        <f>A4</f>
        <v>FROM DECEMBER 1, 2016 TO NOVEMBER 30, 2017</v>
      </c>
      <c r="B48" s="2585"/>
      <c r="C48" s="2585"/>
      <c r="D48" s="2585"/>
      <c r="E48" s="2589"/>
      <c r="F48" s="2585"/>
      <c r="G48" s="2585"/>
      <c r="H48" s="2585"/>
      <c r="I48" s="2585"/>
      <c r="J48" s="2585"/>
      <c r="K48" s="2585"/>
      <c r="L48" s="1540"/>
      <c r="M48" s="1541"/>
      <c r="N48" s="1631"/>
      <c r="O48" s="1631"/>
      <c r="P48" s="1631"/>
      <c r="Q48" s="1631"/>
      <c r="R48" s="1631"/>
      <c r="S48" s="1631"/>
      <c r="T48" s="1631"/>
      <c r="U48" s="1631"/>
      <c r="V48" s="1541"/>
    </row>
    <row r="49" spans="1:22">
      <c r="A49" s="2585"/>
      <c r="B49" s="2585"/>
      <c r="C49" s="2585"/>
      <c r="D49" s="2585"/>
      <c r="E49" s="2589"/>
      <c r="F49" s="2585"/>
      <c r="G49" s="2585"/>
      <c r="H49" s="2585"/>
      <c r="I49" s="2585"/>
      <c r="J49" s="2585"/>
      <c r="K49" s="2585"/>
      <c r="L49" s="1540"/>
      <c r="M49" s="1541"/>
      <c r="N49" s="1631"/>
      <c r="O49" s="1631"/>
      <c r="P49" s="1631"/>
      <c r="Q49" s="1631"/>
      <c r="R49" s="1631"/>
      <c r="S49" s="1631"/>
      <c r="T49" s="1631"/>
      <c r="U49" s="1631"/>
      <c r="V49" s="1541"/>
    </row>
    <row r="50" spans="1:22">
      <c r="A50" s="103" t="s">
        <v>340</v>
      </c>
      <c r="B50" s="2585"/>
      <c r="C50" s="2585"/>
      <c r="D50" s="2585"/>
      <c r="E50" s="2589"/>
      <c r="F50" s="2585"/>
      <c r="G50" s="2585"/>
      <c r="H50" s="2585"/>
      <c r="I50" s="2585"/>
      <c r="J50" s="2585"/>
      <c r="K50" s="2585"/>
      <c r="L50" s="1540"/>
      <c r="M50" s="1541"/>
      <c r="N50" s="1631"/>
      <c r="O50" s="1631"/>
      <c r="P50" s="1631"/>
      <c r="Q50" s="1631"/>
      <c r="R50" s="1631"/>
      <c r="S50" s="1631"/>
      <c r="T50" s="1631"/>
      <c r="U50" s="1631"/>
      <c r="V50" s="1541"/>
    </row>
    <row r="51" spans="1:22">
      <c r="A51" s="2585"/>
      <c r="B51" s="2585"/>
      <c r="C51" s="2585"/>
      <c r="D51" s="2585"/>
      <c r="E51" s="2589"/>
      <c r="F51" s="2585"/>
      <c r="G51" s="2585"/>
      <c r="H51" s="2585"/>
      <c r="I51" s="2585"/>
      <c r="J51" s="2585"/>
      <c r="K51" s="2585"/>
      <c r="L51" s="1540"/>
      <c r="M51" s="1541"/>
      <c r="N51" s="1631"/>
      <c r="O51" s="1631"/>
      <c r="P51" s="1631"/>
      <c r="Q51" s="1631"/>
      <c r="R51" s="1631"/>
      <c r="S51" s="1631"/>
      <c r="T51" s="1631"/>
      <c r="U51" s="1631"/>
      <c r="V51" s="1541"/>
    </row>
    <row r="52" spans="1:22">
      <c r="A52" s="2569" t="s">
        <v>1799</v>
      </c>
      <c r="B52" s="2585"/>
      <c r="C52" s="2585"/>
      <c r="D52" s="2585"/>
      <c r="E52" s="2589"/>
      <c r="F52" s="2585"/>
      <c r="G52" s="2585"/>
      <c r="H52" s="2585"/>
      <c r="I52" s="2585"/>
      <c r="J52" s="2585"/>
      <c r="K52" s="2585"/>
      <c r="L52" s="1540"/>
      <c r="M52" s="1541"/>
      <c r="N52" s="1631"/>
      <c r="O52" s="1631"/>
      <c r="P52" s="1631"/>
      <c r="Q52" s="1631"/>
      <c r="R52" s="1631"/>
      <c r="S52" s="1631"/>
      <c r="T52" s="1631"/>
      <c r="U52" s="1631"/>
      <c r="V52" s="1541"/>
    </row>
    <row r="53" spans="1:22">
      <c r="A53" s="1541"/>
      <c r="B53" s="1541"/>
      <c r="C53" s="1541"/>
      <c r="D53" s="1541"/>
      <c r="E53" s="1541"/>
      <c r="F53" s="1541"/>
      <c r="G53" s="1541"/>
      <c r="H53" s="1541"/>
      <c r="I53" s="1541"/>
      <c r="J53" s="1541"/>
      <c r="K53" s="1541"/>
      <c r="L53" s="1540"/>
      <c r="M53" s="1541"/>
      <c r="N53" s="1631"/>
      <c r="O53" s="1631"/>
      <c r="P53" s="1631"/>
      <c r="Q53" s="1631"/>
      <c r="R53" s="1631"/>
      <c r="S53" s="1631"/>
      <c r="T53" s="1631"/>
      <c r="U53" s="1631"/>
      <c r="V53" s="1541"/>
    </row>
    <row r="54" spans="1:22">
      <c r="A54" s="1506" t="str">
        <f>Data</f>
        <v>DATA: "X" BASE PERIOD   FORECASTED PERIOD</v>
      </c>
      <c r="B54" s="1541"/>
      <c r="C54" s="1541"/>
      <c r="D54" s="1541"/>
      <c r="E54" s="1541"/>
      <c r="F54" s="1541"/>
      <c r="G54" s="1541"/>
      <c r="H54" s="1541"/>
      <c r="I54" s="1541"/>
      <c r="J54" s="1506" t="s">
        <v>1487</v>
      </c>
      <c r="K54" s="1541"/>
      <c r="L54" s="1540"/>
      <c r="M54" s="1541"/>
      <c r="N54" s="1631"/>
      <c r="O54" s="1631"/>
      <c r="P54" s="1631"/>
      <c r="Q54" s="1631"/>
      <c r="R54" s="1631"/>
      <c r="S54" s="1631"/>
      <c r="T54" s="1631"/>
      <c r="U54" s="1631"/>
      <c r="V54" s="1541"/>
    </row>
    <row r="55" spans="1:22">
      <c r="A55" s="1506" t="str">
        <f>Type</f>
        <v xml:space="preserve">TYPE OF FILING:  "X" ORIGINAL   UPDATED    REVISED  </v>
      </c>
      <c r="B55" s="1541"/>
      <c r="C55" s="1541"/>
      <c r="D55" s="1541"/>
      <c r="E55" s="1541"/>
      <c r="F55" s="1541"/>
      <c r="G55" s="1541"/>
      <c r="H55" s="1541"/>
      <c r="I55" s="1541"/>
      <c r="J55" s="1506" t="s">
        <v>1910</v>
      </c>
      <c r="K55" s="1541"/>
      <c r="L55" s="1540"/>
      <c r="M55" s="1541"/>
      <c r="N55" s="1631"/>
      <c r="O55" s="1631"/>
      <c r="P55" s="1631"/>
      <c r="Q55" s="1631"/>
      <c r="R55" s="1631"/>
      <c r="S55" s="1631"/>
      <c r="T55" s="1631"/>
      <c r="U55" s="1631"/>
      <c r="V55" s="1541"/>
    </row>
    <row r="56" spans="1:22">
      <c r="A56" s="1506" t="s">
        <v>1879</v>
      </c>
      <c r="B56" s="1541"/>
      <c r="C56" s="1541"/>
      <c r="D56" s="1541"/>
      <c r="E56" s="1541"/>
      <c r="F56" s="1541"/>
      <c r="G56" s="1541"/>
      <c r="H56" s="1541"/>
      <c r="I56" s="1541"/>
      <c r="J56" s="2586" t="s">
        <v>622</v>
      </c>
      <c r="K56" s="1541"/>
      <c r="L56" s="1540"/>
      <c r="M56" s="1541"/>
      <c r="N56" s="1631"/>
      <c r="O56" s="1631"/>
      <c r="P56" s="1631"/>
      <c r="Q56" s="1631"/>
      <c r="R56" s="1631"/>
      <c r="S56" s="1631"/>
      <c r="T56" s="1631"/>
      <c r="U56" s="1631"/>
      <c r="V56" s="1541"/>
    </row>
    <row r="57" spans="1:22">
      <c r="A57" s="1541"/>
      <c r="B57" s="1541"/>
      <c r="C57" s="1541"/>
      <c r="D57" s="1541"/>
      <c r="E57" s="1541"/>
      <c r="F57" s="1541"/>
      <c r="G57" s="1541"/>
      <c r="H57" s="1541"/>
      <c r="I57" s="1541"/>
      <c r="J57" s="2586" t="str">
        <f>_WIT7</f>
        <v>R. H. PRATT / C. S. LEE</v>
      </c>
      <c r="K57" s="1541"/>
      <c r="L57" s="1540"/>
      <c r="M57" s="1541"/>
      <c r="N57" s="1631"/>
      <c r="O57" s="1631"/>
      <c r="P57" s="1631"/>
      <c r="Q57" s="1631"/>
      <c r="R57" s="1631"/>
      <c r="S57" s="1631"/>
      <c r="T57" s="1631"/>
      <c r="U57" s="1631"/>
      <c r="V57" s="1541"/>
    </row>
    <row r="58" spans="1:22">
      <c r="A58" s="1541"/>
      <c r="B58" s="1541"/>
      <c r="C58" s="1541"/>
      <c r="D58" s="1541"/>
      <c r="E58" s="1541"/>
      <c r="F58" s="1541"/>
      <c r="G58" s="1541"/>
      <c r="H58" s="1541"/>
      <c r="I58" s="1541"/>
      <c r="J58" s="1541"/>
      <c r="K58" s="1541"/>
      <c r="L58" s="1540"/>
      <c r="M58" s="1541"/>
      <c r="N58" s="1631"/>
      <c r="O58" s="1631"/>
      <c r="P58" s="1631"/>
      <c r="Q58" s="1631"/>
      <c r="R58" s="1631"/>
      <c r="S58" s="1631"/>
      <c r="T58" s="1631"/>
      <c r="U58" s="1631"/>
      <c r="V58" s="1541"/>
    </row>
    <row r="59" spans="1:22">
      <c r="A59" s="1541"/>
      <c r="B59" s="1541"/>
      <c r="C59" s="1541"/>
      <c r="D59" s="1541"/>
      <c r="E59" s="1541"/>
      <c r="F59" s="1541"/>
      <c r="G59" s="1541"/>
      <c r="H59" s="2587"/>
      <c r="I59" s="1541"/>
      <c r="J59" s="1541"/>
      <c r="K59" s="1541"/>
      <c r="L59" s="1540"/>
      <c r="M59" s="1541"/>
      <c r="N59" s="1631"/>
      <c r="O59" s="1631"/>
      <c r="P59" s="1631"/>
      <c r="Q59" s="1631"/>
      <c r="R59" s="1631"/>
      <c r="S59" s="1631"/>
      <c r="T59" s="1631"/>
      <c r="U59" s="1631"/>
      <c r="V59" s="1541"/>
    </row>
    <row r="60" spans="1:22">
      <c r="A60" s="1621"/>
      <c r="B60" s="1621"/>
      <c r="C60" s="2674"/>
      <c r="D60" s="1621"/>
      <c r="E60" s="1621"/>
      <c r="F60" s="1621"/>
      <c r="G60" s="1621"/>
      <c r="H60" s="1631"/>
      <c r="I60" s="1621"/>
      <c r="J60" s="1621"/>
      <c r="K60" s="1621"/>
      <c r="L60" s="1540"/>
      <c r="M60" s="1541"/>
      <c r="N60" s="1631"/>
      <c r="O60" s="1631"/>
      <c r="P60" s="1631"/>
      <c r="Q60" s="1631"/>
      <c r="R60" s="1631"/>
      <c r="S60" s="1631"/>
      <c r="T60" s="1631"/>
      <c r="U60" s="1631"/>
      <c r="V60" s="1541"/>
    </row>
    <row r="61" spans="1:22">
      <c r="A61" s="1541"/>
      <c r="B61" s="1505" t="s">
        <v>943</v>
      </c>
      <c r="C61" s="1505" t="s">
        <v>1750</v>
      </c>
      <c r="D61" s="1541"/>
      <c r="E61" s="1541"/>
      <c r="F61" s="1541"/>
      <c r="G61" s="1541"/>
      <c r="H61" s="100" t="s">
        <v>1090</v>
      </c>
      <c r="I61" s="100"/>
      <c r="J61" s="100"/>
      <c r="K61" s="1541"/>
      <c r="L61" s="1540"/>
      <c r="M61" s="1541"/>
      <c r="N61" s="1631"/>
      <c r="O61" s="1631"/>
      <c r="P61" s="1631"/>
      <c r="Q61" s="1631"/>
      <c r="R61" s="1631"/>
      <c r="S61" s="1631"/>
      <c r="T61" s="1631"/>
      <c r="U61" s="1631"/>
      <c r="V61" s="1541"/>
    </row>
    <row r="62" spans="1:22">
      <c r="A62" s="1505" t="s">
        <v>1240</v>
      </c>
      <c r="B62" s="1505" t="s">
        <v>1164</v>
      </c>
      <c r="C62" s="1505" t="s">
        <v>1164</v>
      </c>
      <c r="D62" s="1505" t="s">
        <v>1118</v>
      </c>
      <c r="E62" s="1505" t="s">
        <v>1091</v>
      </c>
      <c r="F62" s="1541"/>
      <c r="G62" s="1541"/>
      <c r="H62" s="2690"/>
      <c r="I62" s="2681" t="s">
        <v>1092</v>
      </c>
      <c r="J62" s="2681" t="s">
        <v>120</v>
      </c>
      <c r="K62" s="1505" t="s">
        <v>121</v>
      </c>
      <c r="L62" s="1540"/>
      <c r="M62" s="1541"/>
      <c r="N62" s="1631"/>
      <c r="O62" s="1631"/>
      <c r="P62" s="1631"/>
      <c r="Q62" s="1631"/>
      <c r="R62" s="1631"/>
      <c r="S62" s="1631"/>
      <c r="T62" s="1631"/>
      <c r="U62" s="1631"/>
      <c r="V62" s="1541"/>
    </row>
    <row r="63" spans="1:22">
      <c r="A63" s="1505" t="s">
        <v>1241</v>
      </c>
      <c r="B63" s="1505" t="s">
        <v>1241</v>
      </c>
      <c r="C63" s="1505" t="s">
        <v>1241</v>
      </c>
      <c r="D63" s="1505" t="s">
        <v>122</v>
      </c>
      <c r="E63" s="1505" t="s">
        <v>123</v>
      </c>
      <c r="F63" s="1505" t="s">
        <v>124</v>
      </c>
      <c r="G63" s="1505" t="s">
        <v>125</v>
      </c>
      <c r="H63" s="1505" t="s">
        <v>646</v>
      </c>
      <c r="I63" s="1505" t="s">
        <v>126</v>
      </c>
      <c r="J63" s="1505" t="s">
        <v>127</v>
      </c>
      <c r="K63" s="1505" t="s">
        <v>123</v>
      </c>
      <c r="L63" s="1540"/>
      <c r="M63" s="1541"/>
      <c r="N63" s="1631"/>
      <c r="O63" s="1631"/>
      <c r="P63" s="1631"/>
      <c r="Q63" s="1631"/>
      <c r="R63" s="1631"/>
      <c r="S63" s="1631"/>
      <c r="T63" s="1631"/>
      <c r="U63" s="1631"/>
      <c r="V63" s="1541"/>
    </row>
    <row r="64" spans="1:22">
      <c r="A64" s="1541"/>
      <c r="B64" s="1541"/>
      <c r="C64" s="1541"/>
      <c r="D64" s="1541"/>
      <c r="E64" s="1541"/>
      <c r="F64" s="1541"/>
      <c r="G64" s="1541"/>
      <c r="H64" s="1541"/>
      <c r="I64" s="1541"/>
      <c r="J64" s="1541"/>
      <c r="K64" s="1541"/>
      <c r="L64" s="1540"/>
      <c r="M64" s="1541"/>
      <c r="N64" s="1631"/>
      <c r="O64" s="1631"/>
      <c r="P64" s="1631"/>
      <c r="Q64" s="1631"/>
      <c r="R64" s="1631"/>
      <c r="S64" s="1631"/>
      <c r="T64" s="1631"/>
      <c r="U64" s="1631"/>
      <c r="V64" s="1541"/>
    </row>
    <row r="65" spans="1:22">
      <c r="A65" s="1621"/>
      <c r="B65" s="1621"/>
      <c r="C65" s="1621"/>
      <c r="D65" s="1621"/>
      <c r="E65" s="2679" t="s">
        <v>1705</v>
      </c>
      <c r="F65" s="2679" t="s">
        <v>1705</v>
      </c>
      <c r="G65" s="2679" t="s">
        <v>1705</v>
      </c>
      <c r="H65" s="2679" t="s">
        <v>1705</v>
      </c>
      <c r="I65" s="1621"/>
      <c r="J65" s="1621"/>
      <c r="K65" s="2679" t="s">
        <v>1705</v>
      </c>
      <c r="L65" s="1540"/>
      <c r="M65" s="1541"/>
      <c r="N65" s="1631"/>
      <c r="O65" s="1631"/>
      <c r="P65" s="1631"/>
      <c r="Q65" s="1631"/>
      <c r="R65" s="1631"/>
      <c r="S65" s="1631"/>
      <c r="T65" s="1631"/>
      <c r="U65" s="1631"/>
      <c r="V65" s="1541"/>
    </row>
    <row r="66" spans="1:22">
      <c r="A66" s="1541"/>
      <c r="B66" s="1541"/>
      <c r="C66" s="1541"/>
      <c r="D66" s="2595"/>
      <c r="E66" s="1541"/>
      <c r="F66" s="1541"/>
      <c r="G66" s="1541"/>
      <c r="H66" s="1541"/>
      <c r="I66" s="1541"/>
      <c r="J66" s="1541"/>
      <c r="K66" s="1541"/>
      <c r="L66" s="1540"/>
      <c r="M66" s="1541"/>
      <c r="N66" s="1631"/>
      <c r="O66" s="1631"/>
      <c r="P66" s="1631"/>
      <c r="Q66" s="1631"/>
      <c r="R66" s="1631"/>
      <c r="S66" s="1631"/>
      <c r="T66" s="1631"/>
      <c r="U66" s="1631"/>
      <c r="V66" s="1541"/>
    </row>
    <row r="67" spans="1:22">
      <c r="A67" s="1505" t="s">
        <v>1166</v>
      </c>
      <c r="B67" s="1505">
        <v>340</v>
      </c>
      <c r="C67" s="1505">
        <v>3400</v>
      </c>
      <c r="D67" s="1506" t="s">
        <v>849</v>
      </c>
      <c r="E67" s="2596">
        <v>2258588</v>
      </c>
      <c r="F67" s="2599">
        <v>0</v>
      </c>
      <c r="G67" s="2596">
        <v>0</v>
      </c>
      <c r="H67" s="2596">
        <v>0</v>
      </c>
      <c r="I67" s="2600"/>
      <c r="J67" s="2600"/>
      <c r="K67" s="47">
        <f t="shared" ref="K67:K79" si="1">E67+F67-G67+H67</f>
        <v>2258588</v>
      </c>
      <c r="L67" s="1540"/>
      <c r="M67" s="1541"/>
      <c r="N67" s="1631"/>
      <c r="O67" s="1631"/>
      <c r="P67" s="1631"/>
      <c r="Q67" s="1631"/>
      <c r="R67" s="1631"/>
      <c r="S67" s="1631"/>
      <c r="T67" s="1631"/>
      <c r="U67" s="1631"/>
      <c r="V67" s="1541"/>
    </row>
    <row r="68" spans="1:22">
      <c r="A68" s="1505" t="s">
        <v>1167</v>
      </c>
      <c r="B68" s="1505">
        <v>340</v>
      </c>
      <c r="C68" s="1505">
        <v>3401</v>
      </c>
      <c r="D68" s="1506" t="s">
        <v>1168</v>
      </c>
      <c r="E68" s="2596">
        <v>651684</v>
      </c>
      <c r="F68" s="2599">
        <v>0</v>
      </c>
      <c r="G68" s="2596">
        <v>0</v>
      </c>
      <c r="H68" s="2596">
        <v>0</v>
      </c>
      <c r="I68" s="2600"/>
      <c r="J68" s="2600"/>
      <c r="K68" s="47">
        <f t="shared" si="1"/>
        <v>651684</v>
      </c>
      <c r="L68" s="1540"/>
      <c r="M68" s="1541"/>
      <c r="N68" s="1631"/>
      <c r="O68" s="1631"/>
      <c r="P68" s="1631"/>
      <c r="Q68" s="1631"/>
      <c r="R68" s="1631"/>
      <c r="S68" s="1631"/>
      <c r="T68" s="1631"/>
      <c r="U68" s="1631"/>
      <c r="V68" s="1541"/>
    </row>
    <row r="69" spans="1:22">
      <c r="A69" s="1505" t="s">
        <v>1169</v>
      </c>
      <c r="B69" s="1505">
        <v>341</v>
      </c>
      <c r="C69" s="1505">
        <v>3410</v>
      </c>
      <c r="D69" s="1506" t="s">
        <v>1170</v>
      </c>
      <c r="E69" s="2596">
        <v>32158061</v>
      </c>
      <c r="F69" s="2599">
        <v>47580</v>
      </c>
      <c r="G69" s="2596">
        <v>43091</v>
      </c>
      <c r="H69" s="2596">
        <v>0</v>
      </c>
      <c r="I69" s="2600"/>
      <c r="J69" s="2600"/>
      <c r="K69" s="47">
        <f t="shared" si="1"/>
        <v>32162550</v>
      </c>
      <c r="L69" s="1540"/>
      <c r="M69" s="1541"/>
      <c r="N69" s="1631"/>
      <c r="O69" s="1631"/>
      <c r="P69" s="1631"/>
      <c r="Q69" s="1631"/>
      <c r="R69" s="1631"/>
      <c r="S69" s="1631"/>
      <c r="T69" s="1631"/>
      <c r="U69" s="1631"/>
      <c r="V69" s="1541"/>
    </row>
    <row r="70" spans="1:22">
      <c r="A70" s="1505" t="s">
        <v>1171</v>
      </c>
      <c r="B70" s="1505">
        <v>341</v>
      </c>
      <c r="C70" s="1505">
        <v>3410</v>
      </c>
      <c r="D70" s="1506" t="s">
        <v>3337</v>
      </c>
      <c r="E70" s="2596">
        <v>3972936</v>
      </c>
      <c r="F70" s="2599">
        <v>0</v>
      </c>
      <c r="G70" s="2596">
        <v>14187</v>
      </c>
      <c r="H70" s="2596">
        <v>0</v>
      </c>
      <c r="I70" s="2600"/>
      <c r="J70" s="2600"/>
      <c r="K70" s="47">
        <f t="shared" si="1"/>
        <v>3958749</v>
      </c>
      <c r="L70" s="1540"/>
      <c r="M70" s="1541"/>
      <c r="N70" s="1631"/>
      <c r="O70" s="1631"/>
      <c r="P70" s="1631"/>
      <c r="Q70" s="1631"/>
      <c r="R70" s="1631"/>
      <c r="S70" s="1631"/>
      <c r="T70" s="1631"/>
      <c r="U70" s="1631"/>
      <c r="V70" s="1541"/>
    </row>
    <row r="71" spans="1:22">
      <c r="A71" s="1505" t="s">
        <v>977</v>
      </c>
      <c r="B71" s="1505">
        <v>342</v>
      </c>
      <c r="C71" s="1505">
        <v>3420</v>
      </c>
      <c r="D71" s="1506" t="s">
        <v>341</v>
      </c>
      <c r="E71" s="2596">
        <v>15785782</v>
      </c>
      <c r="F71" s="2599">
        <v>0</v>
      </c>
      <c r="G71" s="2596">
        <v>29616</v>
      </c>
      <c r="H71" s="2596">
        <v>0</v>
      </c>
      <c r="I71" s="2600"/>
      <c r="J71" s="2600"/>
      <c r="K71" s="47">
        <f t="shared" si="1"/>
        <v>15756166</v>
      </c>
      <c r="L71" s="1540"/>
      <c r="M71" s="1541"/>
      <c r="N71" s="1631"/>
      <c r="O71" s="1631"/>
      <c r="P71" s="1631"/>
      <c r="Q71" s="1631"/>
      <c r="R71" s="1631"/>
      <c r="S71" s="1631"/>
      <c r="T71" s="1631"/>
      <c r="U71" s="1631"/>
      <c r="V71" s="1541"/>
    </row>
    <row r="72" spans="1:22">
      <c r="A72" s="1505" t="s">
        <v>1596</v>
      </c>
      <c r="B72" s="1505">
        <v>344</v>
      </c>
      <c r="C72" s="1505">
        <v>3440</v>
      </c>
      <c r="D72" s="1506" t="s">
        <v>1717</v>
      </c>
      <c r="E72" s="2596">
        <v>198851827</v>
      </c>
      <c r="F72" s="2599">
        <v>10741336</v>
      </c>
      <c r="G72" s="2596">
        <v>4009592</v>
      </c>
      <c r="H72" s="2596">
        <v>0</v>
      </c>
      <c r="I72" s="2600"/>
      <c r="J72" s="2600"/>
      <c r="K72" s="47">
        <f t="shared" si="1"/>
        <v>205583571</v>
      </c>
      <c r="L72" s="1540"/>
      <c r="M72" s="1541"/>
      <c r="N72" s="1631"/>
      <c r="O72" s="1631"/>
      <c r="P72" s="1631"/>
      <c r="Q72" s="1631"/>
      <c r="R72" s="1631"/>
      <c r="S72" s="1631"/>
      <c r="T72" s="1631"/>
      <c r="U72" s="1631"/>
      <c r="V72" s="1541"/>
    </row>
    <row r="73" spans="1:22">
      <c r="A73" s="1505" t="s">
        <v>978</v>
      </c>
      <c r="B73" s="1505">
        <v>344</v>
      </c>
      <c r="C73" s="1505">
        <v>3440</v>
      </c>
      <c r="D73" s="1506" t="s">
        <v>3338</v>
      </c>
      <c r="E73" s="2596">
        <v>11123618</v>
      </c>
      <c r="F73" s="2599">
        <v>0</v>
      </c>
      <c r="G73" s="2596">
        <v>672530</v>
      </c>
      <c r="H73" s="2596">
        <v>0</v>
      </c>
      <c r="I73" s="2600"/>
      <c r="J73" s="2600"/>
      <c r="K73" s="47">
        <f t="shared" si="1"/>
        <v>10451088</v>
      </c>
      <c r="L73" s="1540"/>
      <c r="M73" s="1541"/>
      <c r="N73" s="1631"/>
      <c r="O73" s="1631"/>
      <c r="P73" s="1631"/>
      <c r="Q73" s="1631"/>
      <c r="R73" s="1631"/>
      <c r="S73" s="1631"/>
      <c r="T73" s="1631"/>
      <c r="U73" s="1631"/>
      <c r="V73" s="1541"/>
    </row>
    <row r="74" spans="1:22">
      <c r="A74" s="1505" t="s">
        <v>979</v>
      </c>
      <c r="B74" s="1505">
        <v>344</v>
      </c>
      <c r="C74" s="1505" t="s">
        <v>2707</v>
      </c>
      <c r="D74" s="1506" t="s">
        <v>1717</v>
      </c>
      <c r="E74" s="2596">
        <v>0</v>
      </c>
      <c r="F74" s="2599">
        <v>167657</v>
      </c>
      <c r="G74" s="2596">
        <v>44947</v>
      </c>
      <c r="H74" s="2596">
        <v>0</v>
      </c>
      <c r="I74" s="2600"/>
      <c r="J74" s="2600"/>
      <c r="K74" s="47">
        <f t="shared" si="1"/>
        <v>122710</v>
      </c>
      <c r="L74" s="1540"/>
      <c r="M74" s="1541"/>
      <c r="N74" s="1631"/>
      <c r="O74" s="1631"/>
      <c r="P74" s="1631"/>
      <c r="Q74" s="1631"/>
      <c r="R74" s="1631"/>
      <c r="S74" s="1631"/>
      <c r="T74" s="1631"/>
      <c r="U74" s="1631"/>
      <c r="V74" s="1541"/>
    </row>
    <row r="75" spans="1:22">
      <c r="A75" s="1505" t="s">
        <v>980</v>
      </c>
      <c r="B75" s="1505">
        <v>345</v>
      </c>
      <c r="C75" s="1505">
        <v>3450</v>
      </c>
      <c r="D75" s="1506" t="s">
        <v>337</v>
      </c>
      <c r="E75" s="2596">
        <v>20926216</v>
      </c>
      <c r="F75" s="2599">
        <v>0</v>
      </c>
      <c r="G75" s="2596">
        <v>-57772</v>
      </c>
      <c r="H75" s="2596">
        <v>0</v>
      </c>
      <c r="I75" s="2600"/>
      <c r="J75" s="2600"/>
      <c r="K75" s="47">
        <f t="shared" si="1"/>
        <v>20983988</v>
      </c>
      <c r="L75" s="1540"/>
      <c r="M75" s="1541"/>
      <c r="N75" s="1631"/>
      <c r="O75" s="1631"/>
      <c r="P75" s="1631"/>
      <c r="Q75" s="1631"/>
      <c r="R75" s="1631"/>
      <c r="S75" s="1631"/>
      <c r="T75" s="1631"/>
      <c r="U75" s="1631"/>
      <c r="V75" s="1541"/>
    </row>
    <row r="76" spans="1:22">
      <c r="A76" s="1505" t="s">
        <v>850</v>
      </c>
      <c r="B76" s="1505">
        <v>345</v>
      </c>
      <c r="C76" s="1505">
        <v>3450</v>
      </c>
      <c r="D76" s="1506" t="s">
        <v>3339</v>
      </c>
      <c r="E76" s="2596">
        <v>456133</v>
      </c>
      <c r="F76" s="2599">
        <v>126063</v>
      </c>
      <c r="G76" s="2596">
        <v>0</v>
      </c>
      <c r="H76" s="2596">
        <v>0</v>
      </c>
      <c r="I76" s="2600"/>
      <c r="J76" s="2600"/>
      <c r="K76" s="47">
        <f t="shared" si="1"/>
        <v>582196</v>
      </c>
      <c r="L76" s="1540"/>
      <c r="M76" s="1541"/>
      <c r="N76" s="1631"/>
      <c r="O76" s="1631"/>
      <c r="P76" s="1631"/>
      <c r="Q76" s="1631"/>
      <c r="R76" s="1631"/>
      <c r="S76" s="1631"/>
      <c r="T76" s="1631"/>
      <c r="U76" s="1631"/>
      <c r="V76" s="1541"/>
    </row>
    <row r="77" spans="1:22">
      <c r="A77" s="1505" t="s">
        <v>851</v>
      </c>
      <c r="B77" s="1505">
        <v>346</v>
      </c>
      <c r="C77" s="1505">
        <v>3460</v>
      </c>
      <c r="D77" s="1506" t="s">
        <v>1718</v>
      </c>
      <c r="E77" s="2596">
        <v>3944044</v>
      </c>
      <c r="F77" s="2599">
        <v>0</v>
      </c>
      <c r="G77" s="2596">
        <v>10946</v>
      </c>
      <c r="H77" s="2596">
        <v>0</v>
      </c>
      <c r="I77" s="2600"/>
      <c r="J77" s="2600"/>
      <c r="K77" s="47">
        <f t="shared" si="1"/>
        <v>3933098</v>
      </c>
      <c r="L77" s="1540"/>
      <c r="M77" s="1541"/>
      <c r="N77" s="1631"/>
      <c r="O77" s="1631"/>
      <c r="P77" s="1631"/>
      <c r="Q77" s="1631"/>
      <c r="R77" s="1631"/>
      <c r="S77" s="1631"/>
      <c r="T77" s="1631"/>
      <c r="U77" s="1631"/>
      <c r="V77" s="1541"/>
    </row>
    <row r="78" spans="1:22">
      <c r="A78" s="1505" t="s">
        <v>852</v>
      </c>
      <c r="B78" s="1505">
        <v>346</v>
      </c>
      <c r="C78" s="1505">
        <v>3460</v>
      </c>
      <c r="D78" s="1506" t="s">
        <v>3340</v>
      </c>
      <c r="E78" s="2596">
        <v>601418</v>
      </c>
      <c r="F78" s="2599">
        <v>0</v>
      </c>
      <c r="G78" s="2596">
        <v>0</v>
      </c>
      <c r="H78" s="2596">
        <v>0</v>
      </c>
      <c r="I78" s="2600"/>
      <c r="J78" s="2600"/>
      <c r="K78" s="47">
        <f t="shared" si="1"/>
        <v>601418</v>
      </c>
      <c r="L78" s="1540"/>
      <c r="M78" s="1541"/>
      <c r="N78" s="1631"/>
      <c r="O78" s="1631"/>
      <c r="P78" s="1631"/>
      <c r="Q78" s="1631"/>
      <c r="R78" s="1631"/>
      <c r="S78" s="1631"/>
      <c r="T78" s="1631"/>
      <c r="U78" s="1631"/>
      <c r="V78" s="1541"/>
    </row>
    <row r="79" spans="1:22">
      <c r="A79" s="1505" t="s">
        <v>853</v>
      </c>
      <c r="B79" s="1506"/>
      <c r="C79" s="1506"/>
      <c r="D79" s="1506" t="s">
        <v>1483</v>
      </c>
      <c r="E79" s="2596">
        <v>0</v>
      </c>
      <c r="F79" s="2599">
        <v>0</v>
      </c>
      <c r="G79" s="2596">
        <v>0</v>
      </c>
      <c r="H79" s="2596">
        <v>0</v>
      </c>
      <c r="I79" s="2600"/>
      <c r="J79" s="2600"/>
      <c r="K79" s="47">
        <f t="shared" si="1"/>
        <v>0</v>
      </c>
      <c r="L79" s="1540"/>
      <c r="M79" s="1541"/>
      <c r="N79" s="1631"/>
      <c r="O79" s="1631"/>
      <c r="P79" s="1631"/>
      <c r="Q79" s="1631"/>
      <c r="R79" s="1631"/>
      <c r="S79" s="1631"/>
      <c r="T79" s="1631"/>
      <c r="U79" s="1631"/>
      <c r="V79" s="1541"/>
    </row>
    <row r="80" spans="1:22">
      <c r="A80" s="1541"/>
      <c r="B80" s="1541"/>
      <c r="C80" s="1541"/>
      <c r="D80" s="1541"/>
      <c r="E80" s="2596">
        <v>0</v>
      </c>
      <c r="F80" s="2599">
        <v>0</v>
      </c>
      <c r="G80" s="2599">
        <v>0</v>
      </c>
      <c r="H80" s="2596">
        <v>0</v>
      </c>
      <c r="I80" s="1540"/>
      <c r="J80" s="1540"/>
      <c r="K80" s="1542"/>
      <c r="L80" s="1540"/>
      <c r="M80" s="1541"/>
      <c r="N80" s="1631"/>
      <c r="O80" s="1631"/>
      <c r="P80" s="1631"/>
      <c r="Q80" s="1631"/>
      <c r="R80" s="1631"/>
      <c r="S80" s="1631"/>
      <c r="T80" s="1631"/>
      <c r="U80" s="1631"/>
      <c r="V80" s="1541"/>
    </row>
    <row r="81" spans="1:22">
      <c r="A81" s="1541"/>
      <c r="B81" s="1541"/>
      <c r="C81" s="1541"/>
      <c r="D81" s="1541"/>
      <c r="E81" s="1541"/>
      <c r="F81" s="1541"/>
      <c r="G81" s="1541"/>
      <c r="H81" s="1541"/>
      <c r="I81" s="1541"/>
      <c r="J81" s="1541"/>
      <c r="K81" s="1542"/>
      <c r="L81" s="1540"/>
      <c r="M81" s="1541"/>
      <c r="N81" s="1631"/>
      <c r="O81" s="1631"/>
      <c r="P81" s="1631"/>
      <c r="Q81" s="1631"/>
      <c r="R81" s="1631"/>
      <c r="S81" s="1631"/>
      <c r="T81" s="1631"/>
      <c r="U81" s="1631"/>
      <c r="V81" s="1541"/>
    </row>
    <row r="82" spans="1:22">
      <c r="A82" s="1621"/>
      <c r="B82" s="1621"/>
      <c r="C82" s="1621"/>
      <c r="D82" s="1621"/>
      <c r="E82" s="1621"/>
      <c r="F82" s="1621"/>
      <c r="G82" s="1621"/>
      <c r="H82" s="1621"/>
      <c r="I82" s="1621"/>
      <c r="J82" s="1621"/>
      <c r="K82" s="2689"/>
      <c r="L82" s="1540"/>
      <c r="M82" s="1541"/>
      <c r="N82" s="1631"/>
      <c r="O82" s="1631"/>
      <c r="P82" s="1631"/>
      <c r="Q82" s="1631"/>
      <c r="R82" s="1631"/>
      <c r="S82" s="1631"/>
      <c r="T82" s="1631"/>
      <c r="U82" s="1631"/>
      <c r="V82" s="1541"/>
    </row>
    <row r="83" spans="1:22">
      <c r="A83" s="1505">
        <v>14</v>
      </c>
      <c r="B83" s="1541"/>
      <c r="C83" s="1541"/>
      <c r="D83" s="1506" t="s">
        <v>1719</v>
      </c>
      <c r="E83" s="1539">
        <f>SUM(E67:E81)</f>
        <v>290730307</v>
      </c>
      <c r="F83" s="1539">
        <f>SUM(F67:F81)</f>
        <v>11082636</v>
      </c>
      <c r="G83" s="1539">
        <f>SUM(G67:G81)</f>
        <v>4767137</v>
      </c>
      <c r="H83" s="1539">
        <f>SUM(H67:H81)</f>
        <v>0</v>
      </c>
      <c r="I83" s="1540"/>
      <c r="J83" s="1540"/>
      <c r="K83" s="1539">
        <f>SUM(K67:K81)</f>
        <v>297045806</v>
      </c>
      <c r="L83" s="1540"/>
      <c r="M83" s="1541"/>
      <c r="N83" s="1631"/>
      <c r="O83" s="1631"/>
      <c r="P83" s="1631"/>
      <c r="Q83" s="1631"/>
      <c r="R83" s="1631"/>
      <c r="S83" s="1631"/>
      <c r="T83" s="1631"/>
      <c r="U83" s="1631"/>
      <c r="V83" s="1541"/>
    </row>
    <row r="84" spans="1:22">
      <c r="A84" s="2587"/>
      <c r="B84" s="2587"/>
      <c r="C84" s="2587"/>
      <c r="D84" s="2587"/>
      <c r="E84" s="2587"/>
      <c r="F84" s="2587"/>
      <c r="G84" s="2587"/>
      <c r="H84" s="2587"/>
      <c r="I84" s="2587"/>
      <c r="J84" s="2587"/>
      <c r="K84" s="2587"/>
      <c r="L84" s="1540"/>
      <c r="M84" s="1541"/>
      <c r="N84" s="1631"/>
      <c r="O84" s="1631"/>
      <c r="P84" s="1631"/>
      <c r="Q84" s="1631"/>
      <c r="R84" s="1631"/>
      <c r="S84" s="1631"/>
      <c r="T84" s="1631"/>
      <c r="U84" s="1631"/>
      <c r="V84" s="1541"/>
    </row>
    <row r="85" spans="1:22">
      <c r="A85" s="89"/>
      <c r="B85" s="89"/>
      <c r="C85" s="89"/>
      <c r="D85" s="89"/>
      <c r="E85" s="92"/>
      <c r="F85" s="92"/>
      <c r="G85" s="92"/>
      <c r="H85" s="92"/>
      <c r="I85" s="101"/>
      <c r="J85" s="101"/>
      <c r="K85" s="92"/>
      <c r="L85" s="1540"/>
      <c r="M85" s="1541"/>
      <c r="N85" s="1631"/>
      <c r="O85" s="1631"/>
      <c r="P85" s="1631"/>
      <c r="Q85" s="1631"/>
      <c r="R85" s="1631"/>
      <c r="S85" s="1631"/>
      <c r="T85" s="1631"/>
      <c r="U85" s="1631"/>
      <c r="V85" s="1541"/>
    </row>
    <row r="86" spans="1:22">
      <c r="A86" s="103" t="str">
        <f>COMPANY</f>
        <v>DUKE ENERGY KENTUCKY, INC.</v>
      </c>
      <c r="B86" s="2585"/>
      <c r="C86" s="2585"/>
      <c r="D86" s="2585"/>
      <c r="E86" s="103"/>
      <c r="F86" s="2585"/>
      <c r="G86" s="2585"/>
      <c r="H86" s="2585"/>
      <c r="I86" s="2585"/>
      <c r="J86" s="2585"/>
      <c r="K86" s="2585"/>
      <c r="L86" s="1540"/>
      <c r="M86" s="1541"/>
      <c r="N86" s="1631"/>
      <c r="O86" s="1631"/>
      <c r="P86" s="1631"/>
      <c r="Q86" s="1631"/>
      <c r="R86" s="1631"/>
      <c r="S86" s="1631"/>
      <c r="T86" s="1631"/>
      <c r="U86" s="1631"/>
      <c r="V86" s="1541"/>
    </row>
    <row r="87" spans="1:22">
      <c r="A87" s="103" t="str">
        <f>CASE</f>
        <v>CASE NO. 2017-00321</v>
      </c>
      <c r="B87" s="2585"/>
      <c r="C87" s="2585"/>
      <c r="D87" s="2585"/>
      <c r="E87" s="103"/>
      <c r="F87" s="2585"/>
      <c r="G87" s="2585"/>
      <c r="H87" s="2585"/>
      <c r="I87" s="2585"/>
      <c r="J87" s="2585"/>
      <c r="K87" s="2585"/>
      <c r="L87" s="1540"/>
      <c r="M87" s="1541"/>
      <c r="N87" s="1631"/>
      <c r="O87" s="1631"/>
      <c r="P87" s="1631"/>
      <c r="Q87" s="1631"/>
      <c r="R87" s="1631"/>
      <c r="S87" s="1631"/>
      <c r="T87" s="1631"/>
      <c r="U87" s="1631"/>
      <c r="V87" s="1541"/>
    </row>
    <row r="88" spans="1:22">
      <c r="A88" s="103" t="s">
        <v>1486</v>
      </c>
      <c r="B88" s="2585"/>
      <c r="C88" s="2585"/>
      <c r="D88" s="2585"/>
      <c r="E88" s="103"/>
      <c r="F88" s="2585"/>
      <c r="G88" s="2585"/>
      <c r="H88" s="2585"/>
      <c r="I88" s="2585"/>
      <c r="J88" s="2585"/>
      <c r="K88" s="2585"/>
      <c r="L88" s="1540"/>
      <c r="M88" s="1541"/>
      <c r="N88" s="1631"/>
      <c r="O88" s="1631"/>
      <c r="P88" s="1631"/>
      <c r="Q88" s="1631"/>
      <c r="R88" s="1631"/>
      <c r="S88" s="1631"/>
      <c r="T88" s="1631"/>
      <c r="U88" s="1631"/>
      <c r="V88" s="1541"/>
    </row>
    <row r="89" spans="1:22">
      <c r="A89" s="103" t="str">
        <f>A4</f>
        <v>FROM DECEMBER 1, 2016 TO NOVEMBER 30, 2017</v>
      </c>
      <c r="B89" s="2585"/>
      <c r="C89" s="2585"/>
      <c r="D89" s="2585"/>
      <c r="E89" s="103"/>
      <c r="F89" s="2585"/>
      <c r="G89" s="2585"/>
      <c r="H89" s="2585"/>
      <c r="I89" s="2585"/>
      <c r="J89" s="2585"/>
      <c r="K89" s="2585"/>
      <c r="L89" s="1540"/>
      <c r="M89" s="1541"/>
      <c r="N89" s="1631"/>
      <c r="O89" s="1631"/>
      <c r="P89" s="1631"/>
      <c r="Q89" s="1631"/>
      <c r="R89" s="1631"/>
      <c r="S89" s="1631"/>
      <c r="T89" s="1631"/>
      <c r="U89" s="1631"/>
      <c r="V89" s="1541"/>
    </row>
    <row r="90" spans="1:22">
      <c r="A90" s="2585"/>
      <c r="B90" s="2585"/>
      <c r="C90" s="2585"/>
      <c r="D90" s="2585"/>
      <c r="E90" s="2585"/>
      <c r="F90" s="2585"/>
      <c r="G90" s="2585"/>
      <c r="H90" s="2585"/>
      <c r="I90" s="2585"/>
      <c r="J90" s="2585"/>
      <c r="K90" s="2585"/>
      <c r="L90" s="1540"/>
      <c r="M90" s="1541"/>
      <c r="N90" s="1631"/>
      <c r="O90" s="1631"/>
      <c r="P90" s="1631"/>
      <c r="Q90" s="1631"/>
      <c r="R90" s="1631"/>
      <c r="S90" s="1631"/>
      <c r="T90" s="1631"/>
      <c r="U90" s="1631"/>
      <c r="V90" s="1541"/>
    </row>
    <row r="91" spans="1:22">
      <c r="A91" s="103" t="s">
        <v>1447</v>
      </c>
      <c r="B91" s="2585"/>
      <c r="C91" s="2585"/>
      <c r="D91" s="2585"/>
      <c r="E91" s="103"/>
      <c r="F91" s="2585"/>
      <c r="G91" s="2585"/>
      <c r="H91" s="2585"/>
      <c r="I91" s="2585"/>
      <c r="J91" s="2585"/>
      <c r="K91" s="2585"/>
      <c r="L91" s="1540"/>
      <c r="M91" s="1541"/>
      <c r="N91" s="1631"/>
      <c r="O91" s="1631"/>
      <c r="P91" s="1631"/>
      <c r="Q91" s="1631"/>
      <c r="R91" s="1631"/>
      <c r="S91" s="1631"/>
      <c r="T91" s="1631"/>
      <c r="U91" s="1631"/>
      <c r="V91" s="1541"/>
    </row>
    <row r="92" spans="1:22">
      <c r="A92" s="2585"/>
      <c r="B92" s="2585"/>
      <c r="C92" s="2585"/>
      <c r="D92" s="2585"/>
      <c r="E92" s="103"/>
      <c r="F92" s="2585"/>
      <c r="G92" s="2585"/>
      <c r="H92" s="2585"/>
      <c r="I92" s="2585"/>
      <c r="J92" s="2585"/>
      <c r="K92" s="2585"/>
      <c r="L92" s="1540"/>
      <c r="M92" s="1541"/>
      <c r="N92" s="1631"/>
      <c r="O92" s="1631"/>
      <c r="P92" s="1631"/>
      <c r="Q92" s="1631"/>
      <c r="R92" s="1631"/>
      <c r="S92" s="1631"/>
      <c r="T92" s="1631"/>
      <c r="U92" s="1631"/>
      <c r="V92" s="1541"/>
    </row>
    <row r="93" spans="1:22">
      <c r="A93" s="2569" t="s">
        <v>1799</v>
      </c>
      <c r="B93" s="2585"/>
      <c r="C93" s="2585"/>
      <c r="D93" s="2585"/>
      <c r="E93" s="2585"/>
      <c r="F93" s="2585"/>
      <c r="G93" s="2585"/>
      <c r="H93" s="2585"/>
      <c r="I93" s="2585"/>
      <c r="J93" s="2585"/>
      <c r="K93" s="2585"/>
      <c r="L93" s="1540"/>
      <c r="M93" s="1541"/>
      <c r="N93" s="1631"/>
      <c r="O93" s="1631"/>
      <c r="P93" s="1631"/>
      <c r="Q93" s="1631"/>
      <c r="R93" s="1631"/>
      <c r="S93" s="1631"/>
      <c r="T93" s="1631"/>
      <c r="U93" s="1631"/>
      <c r="V93" s="1541"/>
    </row>
    <row r="94" spans="1:22">
      <c r="A94" s="2569"/>
      <c r="B94" s="2585"/>
      <c r="C94" s="2585"/>
      <c r="D94" s="2585"/>
      <c r="E94" s="2585"/>
      <c r="F94" s="2585"/>
      <c r="G94" s="2585"/>
      <c r="H94" s="2585"/>
      <c r="I94" s="2585"/>
      <c r="J94" s="2585"/>
      <c r="K94" s="2585"/>
      <c r="L94" s="1540"/>
      <c r="M94" s="1541"/>
      <c r="N94" s="1631"/>
      <c r="O94" s="1631"/>
      <c r="P94" s="1631"/>
      <c r="Q94" s="1631"/>
      <c r="R94" s="1631"/>
      <c r="S94" s="1631"/>
      <c r="T94" s="1631"/>
      <c r="U94" s="1631"/>
      <c r="V94" s="1541"/>
    </row>
    <row r="95" spans="1:22">
      <c r="A95" s="1506" t="str">
        <f>Data</f>
        <v>DATA: "X" BASE PERIOD   FORECASTED PERIOD</v>
      </c>
      <c r="B95" s="1541"/>
      <c r="C95" s="1541"/>
      <c r="D95" s="1541"/>
      <c r="E95" s="1541"/>
      <c r="F95" s="1541"/>
      <c r="G95" s="1541"/>
      <c r="H95" s="1541"/>
      <c r="I95" s="1541"/>
      <c r="J95" s="1506" t="str">
        <f>J10</f>
        <v>SCHEDULE B-2.3</v>
      </c>
      <c r="K95" s="1541"/>
      <c r="L95" s="1540"/>
      <c r="M95" s="1541"/>
      <c r="N95" s="1631"/>
      <c r="O95" s="1631"/>
      <c r="P95" s="1631"/>
      <c r="Q95" s="1631"/>
      <c r="R95" s="1631"/>
      <c r="S95" s="1631"/>
      <c r="T95" s="1631"/>
      <c r="U95" s="1631"/>
      <c r="V95" s="1541"/>
    </row>
    <row r="96" spans="1:22">
      <c r="A96" s="1506" t="str">
        <f>Type</f>
        <v xml:space="preserve">TYPE OF FILING:  "X" ORIGINAL   UPDATED    REVISED  </v>
      </c>
      <c r="B96" s="1541"/>
      <c r="C96" s="1541"/>
      <c r="D96" s="1541"/>
      <c r="E96" s="1541"/>
      <c r="F96" s="1541"/>
      <c r="G96" s="1541"/>
      <c r="H96" s="1541"/>
      <c r="I96" s="1541"/>
      <c r="J96" s="1506" t="s">
        <v>1909</v>
      </c>
      <c r="K96" s="1541"/>
      <c r="L96" s="1540"/>
      <c r="M96" s="1541"/>
      <c r="N96" s="1631"/>
      <c r="O96" s="1631"/>
      <c r="P96" s="1631"/>
      <c r="Q96" s="1631"/>
      <c r="R96" s="1631"/>
      <c r="S96" s="1631"/>
      <c r="T96" s="1631"/>
      <c r="U96" s="1631"/>
      <c r="V96" s="1541"/>
    </row>
    <row r="97" spans="1:22">
      <c r="A97" s="1506" t="s">
        <v>1879</v>
      </c>
      <c r="B97" s="1541"/>
      <c r="C97" s="1541"/>
      <c r="D97" s="1541"/>
      <c r="E97" s="1541"/>
      <c r="F97" s="1541"/>
      <c r="G97" s="1541"/>
      <c r="H97" s="1541"/>
      <c r="I97" s="1541"/>
      <c r="J97" s="2586" t="s">
        <v>622</v>
      </c>
      <c r="K97" s="1541"/>
      <c r="L97" s="1540"/>
      <c r="M97" s="1541"/>
      <c r="N97" s="1631"/>
      <c r="O97" s="1631"/>
      <c r="P97" s="1631"/>
      <c r="Q97" s="1631"/>
      <c r="R97" s="1631"/>
      <c r="S97" s="1631"/>
      <c r="T97" s="1631"/>
      <c r="U97" s="1631"/>
      <c r="V97" s="1541"/>
    </row>
    <row r="98" spans="1:22">
      <c r="A98" s="1541"/>
      <c r="B98" s="1541"/>
      <c r="C98" s="1541"/>
      <c r="D98" s="1541"/>
      <c r="E98" s="1541"/>
      <c r="F98" s="1541"/>
      <c r="G98" s="1541"/>
      <c r="H98" s="1541"/>
      <c r="I98" s="1541"/>
      <c r="J98" s="2586" t="str">
        <f>J13</f>
        <v>R. H. PRATT / C. S. LEE</v>
      </c>
      <c r="K98" s="1541"/>
      <c r="L98" s="1540"/>
      <c r="M98" s="1541"/>
      <c r="N98" s="1631"/>
      <c r="O98" s="1631"/>
      <c r="P98" s="1631"/>
      <c r="Q98" s="1631"/>
      <c r="R98" s="1631"/>
      <c r="S98" s="1631"/>
      <c r="T98" s="1631"/>
      <c r="U98" s="1631"/>
      <c r="V98" s="1541"/>
    </row>
    <row r="99" spans="1:22">
      <c r="A99" s="1541"/>
      <c r="B99" s="1541"/>
      <c r="C99" s="1541"/>
      <c r="D99" s="1541"/>
      <c r="E99" s="1541"/>
      <c r="F99" s="1541"/>
      <c r="G99" s="1541"/>
      <c r="H99" s="1541"/>
      <c r="I99" s="1541"/>
      <c r="J99" s="1541"/>
      <c r="K99" s="1541"/>
      <c r="L99" s="1540"/>
      <c r="M99" s="1541"/>
      <c r="N99" s="1631"/>
      <c r="O99" s="1631"/>
      <c r="P99" s="1631"/>
      <c r="Q99" s="1631"/>
      <c r="R99" s="1631"/>
      <c r="S99" s="1631"/>
      <c r="T99" s="1631"/>
      <c r="U99" s="1631"/>
      <c r="V99" s="1541"/>
    </row>
    <row r="100" spans="1:22">
      <c r="A100" s="1541"/>
      <c r="B100" s="1541"/>
      <c r="C100" s="1541"/>
      <c r="D100" s="1541"/>
      <c r="E100" s="1541"/>
      <c r="F100" s="1541"/>
      <c r="G100" s="1541"/>
      <c r="H100" s="2587"/>
      <c r="I100" s="1541"/>
      <c r="J100" s="1541"/>
      <c r="K100" s="1541"/>
      <c r="L100" s="1540"/>
      <c r="M100" s="1541"/>
      <c r="N100" s="1631"/>
      <c r="O100" s="1631"/>
      <c r="P100" s="1631"/>
      <c r="Q100" s="1631"/>
      <c r="R100" s="1631"/>
      <c r="S100" s="1631"/>
      <c r="T100" s="1631"/>
      <c r="U100" s="1631"/>
      <c r="V100" s="1541"/>
    </row>
    <row r="101" spans="1:22">
      <c r="A101" s="1621"/>
      <c r="B101" s="1621"/>
      <c r="C101" s="2674"/>
      <c r="D101" s="1621"/>
      <c r="E101" s="1621"/>
      <c r="F101" s="1621"/>
      <c r="G101" s="1621"/>
      <c r="H101" s="1631"/>
      <c r="I101" s="1621"/>
      <c r="J101" s="1621"/>
      <c r="K101" s="1621"/>
      <c r="L101" s="1540"/>
      <c r="M101" s="1541"/>
      <c r="N101" s="1631"/>
      <c r="O101" s="1631"/>
      <c r="P101" s="1631"/>
      <c r="Q101" s="1631"/>
      <c r="R101" s="1631"/>
      <c r="S101" s="1631"/>
      <c r="T101" s="1631"/>
      <c r="U101" s="1631"/>
      <c r="V101" s="1541"/>
    </row>
    <row r="102" spans="1:22">
      <c r="A102" s="1541"/>
      <c r="B102" s="1505" t="s">
        <v>943</v>
      </c>
      <c r="C102" s="1505" t="s">
        <v>1750</v>
      </c>
      <c r="D102" s="1541"/>
      <c r="E102" s="1541"/>
      <c r="F102" s="1541"/>
      <c r="G102" s="1541"/>
      <c r="H102" s="102" t="s">
        <v>1090</v>
      </c>
      <c r="I102" s="102"/>
      <c r="J102" s="102"/>
      <c r="K102" s="1541"/>
      <c r="L102" s="1540"/>
      <c r="M102" s="1541"/>
      <c r="N102" s="1631"/>
      <c r="O102" s="1631"/>
      <c r="P102" s="1631"/>
      <c r="Q102" s="1631"/>
      <c r="R102" s="1631"/>
      <c r="S102" s="1631"/>
      <c r="T102" s="1631"/>
      <c r="U102" s="1631"/>
      <c r="V102" s="1541"/>
    </row>
    <row r="103" spans="1:22">
      <c r="A103" s="1505" t="s">
        <v>1240</v>
      </c>
      <c r="B103" s="1505" t="s">
        <v>1164</v>
      </c>
      <c r="C103" s="1505" t="s">
        <v>1164</v>
      </c>
      <c r="D103" s="1505" t="s">
        <v>1118</v>
      </c>
      <c r="E103" s="1505" t="s">
        <v>1091</v>
      </c>
      <c r="F103" s="1541"/>
      <c r="G103" s="1541"/>
      <c r="H103" s="1621"/>
      <c r="I103" s="2679" t="s">
        <v>1092</v>
      </c>
      <c r="J103" s="2679" t="s">
        <v>120</v>
      </c>
      <c r="K103" s="1505" t="s">
        <v>121</v>
      </c>
      <c r="L103" s="1540"/>
      <c r="M103" s="1541"/>
      <c r="N103" s="1631"/>
      <c r="O103" s="1631"/>
      <c r="P103" s="1631"/>
      <c r="Q103" s="1631"/>
      <c r="R103" s="1631"/>
      <c r="S103" s="1631"/>
      <c r="T103" s="1631"/>
      <c r="U103" s="1631"/>
      <c r="V103" s="1541"/>
    </row>
    <row r="104" spans="1:22">
      <c r="A104" s="1505" t="s">
        <v>1241</v>
      </c>
      <c r="B104" s="1505" t="s">
        <v>1241</v>
      </c>
      <c r="C104" s="1505" t="s">
        <v>1241</v>
      </c>
      <c r="D104" s="1505" t="s">
        <v>122</v>
      </c>
      <c r="E104" s="1505" t="s">
        <v>123</v>
      </c>
      <c r="F104" s="1505" t="s">
        <v>124</v>
      </c>
      <c r="G104" s="1505" t="s">
        <v>125</v>
      </c>
      <c r="H104" s="1505" t="s">
        <v>646</v>
      </c>
      <c r="I104" s="1505" t="s">
        <v>126</v>
      </c>
      <c r="J104" s="1505" t="s">
        <v>127</v>
      </c>
      <c r="K104" s="1505" t="s">
        <v>123</v>
      </c>
      <c r="L104" s="1540"/>
      <c r="M104" s="1541"/>
      <c r="N104" s="1631"/>
      <c r="O104" s="1631"/>
      <c r="P104" s="1631"/>
      <c r="Q104" s="1631"/>
      <c r="R104" s="1631"/>
      <c r="S104" s="1631"/>
      <c r="T104" s="1631"/>
      <c r="U104" s="1631"/>
      <c r="V104" s="1541"/>
    </row>
    <row r="105" spans="1:22">
      <c r="A105" s="1541"/>
      <c r="B105" s="1541"/>
      <c r="C105" s="1541"/>
      <c r="D105" s="1541"/>
      <c r="E105" s="1541"/>
      <c r="F105" s="1541"/>
      <c r="G105" s="1541"/>
      <c r="H105" s="1541"/>
      <c r="I105" s="1541"/>
      <c r="J105" s="1541"/>
      <c r="K105" s="1541"/>
      <c r="L105" s="1540"/>
      <c r="M105" s="1541"/>
      <c r="N105" s="1631"/>
      <c r="O105" s="1631"/>
      <c r="P105" s="1631"/>
      <c r="Q105" s="1631"/>
      <c r="R105" s="1631"/>
      <c r="S105" s="1631"/>
      <c r="T105" s="1631"/>
      <c r="U105" s="1631"/>
      <c r="V105" s="1541"/>
    </row>
    <row r="106" spans="1:22">
      <c r="A106" s="1621"/>
      <c r="B106" s="1621"/>
      <c r="C106" s="1621"/>
      <c r="D106" s="1621"/>
      <c r="E106" s="2679" t="s">
        <v>1705</v>
      </c>
      <c r="F106" s="2679" t="s">
        <v>1705</v>
      </c>
      <c r="G106" s="2679" t="s">
        <v>1705</v>
      </c>
      <c r="H106" s="2679" t="s">
        <v>1705</v>
      </c>
      <c r="I106" s="1621"/>
      <c r="J106" s="1621"/>
      <c r="K106" s="2679" t="s">
        <v>1705</v>
      </c>
      <c r="L106" s="1540"/>
      <c r="M106" s="1541"/>
      <c r="N106" s="1631"/>
      <c r="O106" s="1631"/>
      <c r="P106" s="1631"/>
      <c r="Q106" s="1631"/>
      <c r="R106" s="1631"/>
      <c r="S106" s="1631"/>
      <c r="T106" s="1631"/>
      <c r="U106" s="1631"/>
      <c r="V106" s="1541"/>
    </row>
    <row r="107" spans="1:22">
      <c r="A107" s="1541"/>
      <c r="B107" s="1541"/>
      <c r="C107" s="1541"/>
      <c r="D107" s="1541"/>
      <c r="E107" s="1541"/>
      <c r="F107" s="1541"/>
      <c r="G107" s="1541"/>
      <c r="H107" s="1541"/>
      <c r="I107" s="1541"/>
      <c r="J107" s="1541"/>
      <c r="K107" s="1541"/>
      <c r="L107" s="1540"/>
      <c r="M107" s="1541"/>
      <c r="N107" s="1631"/>
      <c r="O107" s="1631"/>
      <c r="P107" s="1631"/>
      <c r="Q107" s="1631"/>
      <c r="R107" s="1631"/>
      <c r="S107" s="1631"/>
      <c r="T107" s="1631"/>
      <c r="U107" s="1631"/>
      <c r="V107" s="1541"/>
    </row>
    <row r="108" spans="1:22">
      <c r="A108" s="1505">
        <v>1</v>
      </c>
      <c r="B108" s="321">
        <v>350</v>
      </c>
      <c r="C108" s="321">
        <v>3500</v>
      </c>
      <c r="D108" s="315" t="s">
        <v>1595</v>
      </c>
      <c r="E108" s="2601">
        <v>249217</v>
      </c>
      <c r="F108" s="2601">
        <v>0</v>
      </c>
      <c r="G108" s="2601">
        <v>2550</v>
      </c>
      <c r="H108" s="2601">
        <v>0</v>
      </c>
      <c r="I108" s="2601"/>
      <c r="J108" s="2601"/>
      <c r="K108" s="2602">
        <f t="shared" ref="K108:K118" si="2">E108+F108-G108+H108</f>
        <v>246667</v>
      </c>
      <c r="L108" s="1540"/>
      <c r="M108" s="1541"/>
      <c r="N108" s="1631"/>
      <c r="O108" s="1631"/>
      <c r="P108" s="1631"/>
      <c r="Q108" s="1631"/>
      <c r="R108" s="1631"/>
      <c r="S108" s="1631"/>
      <c r="T108" s="1631"/>
      <c r="U108" s="1631"/>
      <c r="V108" s="1541"/>
    </row>
    <row r="109" spans="1:22">
      <c r="A109" s="1505">
        <v>2</v>
      </c>
      <c r="B109" s="321">
        <v>350</v>
      </c>
      <c r="C109" s="321">
        <v>3501</v>
      </c>
      <c r="D109" s="315" t="s">
        <v>1168</v>
      </c>
      <c r="E109" s="2601">
        <v>1092199</v>
      </c>
      <c r="F109" s="2601">
        <v>0</v>
      </c>
      <c r="G109" s="2601">
        <v>0</v>
      </c>
      <c r="H109" s="2601">
        <v>0</v>
      </c>
      <c r="I109" s="2601"/>
      <c r="J109" s="2601"/>
      <c r="K109" s="2602">
        <f t="shared" si="2"/>
        <v>1092199</v>
      </c>
      <c r="L109" s="1540"/>
      <c r="M109" s="1541"/>
      <c r="N109" s="1631"/>
      <c r="O109" s="1631"/>
      <c r="P109" s="1631"/>
      <c r="Q109" s="1631"/>
      <c r="R109" s="1631"/>
      <c r="S109" s="1631"/>
      <c r="T109" s="1631"/>
      <c r="U109" s="1631"/>
      <c r="V109" s="1541"/>
    </row>
    <row r="110" spans="1:22">
      <c r="A110" s="1505">
        <v>3</v>
      </c>
      <c r="B110" s="321">
        <v>352</v>
      </c>
      <c r="C110" s="321">
        <v>3520</v>
      </c>
      <c r="D110" s="315" t="s">
        <v>1170</v>
      </c>
      <c r="E110" s="2601">
        <v>1480413</v>
      </c>
      <c r="F110" s="2601">
        <v>0</v>
      </c>
      <c r="G110" s="2601">
        <v>9548</v>
      </c>
      <c r="H110" s="2601">
        <v>0</v>
      </c>
      <c r="I110" s="2601"/>
      <c r="J110" s="2601"/>
      <c r="K110" s="2602">
        <f t="shared" si="2"/>
        <v>1470865</v>
      </c>
      <c r="L110" s="1540"/>
      <c r="M110" s="1541"/>
      <c r="N110" s="1631"/>
      <c r="O110" s="1631"/>
      <c r="P110" s="1631"/>
      <c r="Q110" s="1631"/>
      <c r="R110" s="1631"/>
      <c r="S110" s="1631"/>
      <c r="T110" s="1631"/>
      <c r="U110" s="1631"/>
      <c r="V110" s="1541"/>
    </row>
    <row r="111" spans="1:22" s="2609" customFormat="1">
      <c r="A111" s="2603">
        <v>4</v>
      </c>
      <c r="B111" s="321">
        <v>353</v>
      </c>
      <c r="C111" s="321">
        <v>3530</v>
      </c>
      <c r="D111" s="315" t="s">
        <v>1721</v>
      </c>
      <c r="E111" s="2604">
        <v>16678119</v>
      </c>
      <c r="F111" s="2604">
        <v>741746</v>
      </c>
      <c r="G111" s="2604">
        <v>251439</v>
      </c>
      <c r="H111" s="2604">
        <v>0</v>
      </c>
      <c r="I111" s="2604"/>
      <c r="J111" s="2604"/>
      <c r="K111" s="2605">
        <f t="shared" si="2"/>
        <v>17168426</v>
      </c>
      <c r="L111" s="2606"/>
      <c r="M111" s="2607"/>
      <c r="N111" s="2608"/>
      <c r="O111" s="2608"/>
      <c r="P111" s="2608"/>
      <c r="Q111" s="2608"/>
      <c r="R111" s="2608"/>
      <c r="S111" s="2608"/>
      <c r="T111" s="2608"/>
      <c r="U111" s="2608"/>
      <c r="V111" s="2607"/>
    </row>
    <row r="112" spans="1:22" s="2609" customFormat="1">
      <c r="A112" s="1505">
        <v>5</v>
      </c>
      <c r="B112" s="321">
        <v>353</v>
      </c>
      <c r="C112" s="321">
        <v>3531</v>
      </c>
      <c r="D112" s="315" t="s">
        <v>2926</v>
      </c>
      <c r="E112" s="2604">
        <v>9479956</v>
      </c>
      <c r="F112" s="2604">
        <v>0</v>
      </c>
      <c r="G112" s="2604">
        <v>106322</v>
      </c>
      <c r="H112" s="2604">
        <v>0</v>
      </c>
      <c r="I112" s="2604"/>
      <c r="J112" s="2604"/>
      <c r="K112" s="2605">
        <f t="shared" si="2"/>
        <v>9373634</v>
      </c>
      <c r="L112" s="2606"/>
      <c r="M112" s="2607"/>
      <c r="N112" s="2608"/>
      <c r="O112" s="2608"/>
      <c r="P112" s="2608"/>
      <c r="Q112" s="2608"/>
      <c r="R112" s="2608"/>
      <c r="S112" s="2608"/>
      <c r="T112" s="2608"/>
      <c r="U112" s="2608"/>
      <c r="V112" s="2607"/>
    </row>
    <row r="113" spans="1:22" s="2609" customFormat="1">
      <c r="A113" s="1505">
        <v>6</v>
      </c>
      <c r="B113" s="321">
        <v>353</v>
      </c>
      <c r="C113" s="321">
        <v>3532</v>
      </c>
      <c r="D113" s="315" t="s">
        <v>2927</v>
      </c>
      <c r="E113" s="2604">
        <v>5965587</v>
      </c>
      <c r="F113" s="2604">
        <v>0</v>
      </c>
      <c r="G113" s="2604">
        <v>27609</v>
      </c>
      <c r="H113" s="2604">
        <v>0</v>
      </c>
      <c r="I113" s="2604"/>
      <c r="J113" s="2604"/>
      <c r="K113" s="2605">
        <f t="shared" si="2"/>
        <v>5937978</v>
      </c>
      <c r="L113" s="2606"/>
      <c r="M113" s="2607"/>
      <c r="N113" s="2608"/>
      <c r="O113" s="2608"/>
      <c r="P113" s="2608"/>
      <c r="Q113" s="2608"/>
      <c r="R113" s="2608"/>
      <c r="S113" s="2608"/>
      <c r="T113" s="2608"/>
      <c r="U113" s="2608"/>
      <c r="V113" s="2607"/>
    </row>
    <row r="114" spans="1:22" s="2609" customFormat="1">
      <c r="A114" s="1505">
        <v>7</v>
      </c>
      <c r="B114" s="321">
        <v>353</v>
      </c>
      <c r="C114" s="321">
        <v>3534</v>
      </c>
      <c r="D114" s="315" t="s">
        <v>2928</v>
      </c>
      <c r="E114" s="2604">
        <v>7835583</v>
      </c>
      <c r="F114" s="2604">
        <v>0</v>
      </c>
      <c r="G114" s="2604">
        <v>778293</v>
      </c>
      <c r="H114" s="2604">
        <v>0</v>
      </c>
      <c r="I114" s="2604"/>
      <c r="J114" s="2604"/>
      <c r="K114" s="2605">
        <f t="shared" si="2"/>
        <v>7057290</v>
      </c>
      <c r="L114" s="2606"/>
      <c r="M114" s="2607"/>
      <c r="N114" s="2608"/>
      <c r="O114" s="2608"/>
      <c r="P114" s="2608"/>
      <c r="Q114" s="2608"/>
      <c r="R114" s="2608"/>
      <c r="S114" s="2608"/>
      <c r="T114" s="2608"/>
      <c r="U114" s="2608"/>
      <c r="V114" s="2607"/>
    </row>
    <row r="115" spans="1:22">
      <c r="A115" s="2603">
        <v>8</v>
      </c>
      <c r="B115" s="321">
        <v>355</v>
      </c>
      <c r="C115" s="321">
        <v>3550</v>
      </c>
      <c r="D115" s="315" t="s">
        <v>1722</v>
      </c>
      <c r="E115" s="2601">
        <v>7549431</v>
      </c>
      <c r="F115" s="2601">
        <v>29607</v>
      </c>
      <c r="G115" s="2601">
        <v>49082</v>
      </c>
      <c r="H115" s="2601">
        <v>0</v>
      </c>
      <c r="I115" s="2601"/>
      <c r="J115" s="2601"/>
      <c r="K115" s="2602">
        <f t="shared" si="2"/>
        <v>7529956</v>
      </c>
      <c r="L115" s="1540"/>
      <c r="M115" s="1541"/>
      <c r="N115" s="1631"/>
      <c r="O115" s="1631"/>
      <c r="P115" s="1631"/>
      <c r="Q115" s="1631"/>
      <c r="R115" s="1631"/>
      <c r="S115" s="1631"/>
      <c r="T115" s="1631"/>
      <c r="U115" s="1631"/>
      <c r="V115" s="1541"/>
    </row>
    <row r="116" spans="1:22">
      <c r="A116" s="1505">
        <v>9</v>
      </c>
      <c r="B116" s="321">
        <v>356</v>
      </c>
      <c r="C116" s="321">
        <v>3560</v>
      </c>
      <c r="D116" s="315" t="s">
        <v>1723</v>
      </c>
      <c r="E116" s="2601">
        <v>5765974</v>
      </c>
      <c r="F116" s="2601">
        <v>78527</v>
      </c>
      <c r="G116" s="2601">
        <v>2658</v>
      </c>
      <c r="H116" s="2601">
        <v>0</v>
      </c>
      <c r="I116" s="2601"/>
      <c r="J116" s="2601"/>
      <c r="K116" s="2602">
        <f t="shared" si="2"/>
        <v>5841843</v>
      </c>
      <c r="L116" s="1540"/>
      <c r="M116" s="1541"/>
      <c r="N116" s="1631"/>
      <c r="O116" s="1631"/>
      <c r="P116" s="1631"/>
      <c r="Q116" s="1631"/>
      <c r="R116" s="1631"/>
      <c r="S116" s="1631"/>
      <c r="T116" s="1631"/>
      <c r="U116" s="1631"/>
      <c r="V116" s="1541"/>
    </row>
    <row r="117" spans="1:22">
      <c r="A117" s="1505">
        <v>10</v>
      </c>
      <c r="B117" s="321">
        <v>356</v>
      </c>
      <c r="C117" s="321">
        <v>3561</v>
      </c>
      <c r="D117" s="315" t="s">
        <v>2751</v>
      </c>
      <c r="E117" s="2601">
        <v>213241</v>
      </c>
      <c r="F117" s="2601">
        <v>83333</v>
      </c>
      <c r="G117" s="2601">
        <v>0</v>
      </c>
      <c r="H117" s="2601">
        <v>0</v>
      </c>
      <c r="I117" s="2601"/>
      <c r="J117" s="2601"/>
      <c r="K117" s="2602">
        <f t="shared" si="2"/>
        <v>296574</v>
      </c>
      <c r="L117" s="1540"/>
      <c r="M117" s="1541"/>
      <c r="N117" s="1631"/>
      <c r="O117" s="1631"/>
      <c r="P117" s="1631"/>
      <c r="Q117" s="1631"/>
      <c r="R117" s="1631"/>
      <c r="S117" s="1631"/>
      <c r="T117" s="1631"/>
      <c r="U117" s="1631"/>
      <c r="V117" s="1541"/>
    </row>
    <row r="118" spans="1:22">
      <c r="A118" s="1505">
        <v>11</v>
      </c>
      <c r="B118" s="315"/>
      <c r="C118" s="315"/>
      <c r="D118" s="315" t="s">
        <v>1483</v>
      </c>
      <c r="E118" s="2601">
        <v>0</v>
      </c>
      <c r="F118" s="2601">
        <v>5742038</v>
      </c>
      <c r="G118" s="2601">
        <v>0</v>
      </c>
      <c r="H118" s="2601">
        <v>0</v>
      </c>
      <c r="I118" s="2601"/>
      <c r="J118" s="2601"/>
      <c r="K118" s="2602">
        <f t="shared" si="2"/>
        <v>5742038</v>
      </c>
      <c r="L118" s="1540"/>
      <c r="M118" s="1541"/>
      <c r="N118" s="1631"/>
      <c r="O118" s="1631"/>
      <c r="P118" s="1631"/>
      <c r="Q118" s="1631"/>
      <c r="R118" s="1631"/>
      <c r="S118" s="1631"/>
      <c r="T118" s="1631"/>
      <c r="U118" s="1631"/>
      <c r="V118" s="1541"/>
    </row>
    <row r="119" spans="1:22">
      <c r="A119" s="1505"/>
      <c r="B119" s="315"/>
      <c r="C119" s="315"/>
      <c r="D119" s="315"/>
      <c r="E119" s="2602"/>
      <c r="F119" s="2602"/>
      <c r="G119" s="2602"/>
      <c r="H119" s="2602"/>
      <c r="I119" s="2602"/>
      <c r="J119" s="2602"/>
      <c r="K119" s="2602"/>
      <c r="L119" s="1540"/>
      <c r="M119" s="1541"/>
      <c r="N119" s="1631"/>
      <c r="O119" s="1631"/>
      <c r="P119" s="1631"/>
      <c r="Q119" s="1631"/>
      <c r="R119" s="1631"/>
      <c r="S119" s="1631"/>
      <c r="T119" s="1631"/>
      <c r="U119" s="1631"/>
      <c r="V119" s="1541"/>
    </row>
    <row r="120" spans="1:22">
      <c r="A120" s="1541"/>
      <c r="B120" s="1541"/>
      <c r="C120" s="1541"/>
      <c r="D120" s="1541"/>
      <c r="E120" s="1539"/>
      <c r="F120" s="2610"/>
      <c r="G120" s="1539"/>
      <c r="H120" s="1539"/>
      <c r="I120" s="1539"/>
      <c r="J120" s="1539"/>
      <c r="K120" s="1539"/>
      <c r="L120" s="1540"/>
      <c r="M120" s="1541"/>
      <c r="N120" s="1631"/>
      <c r="O120" s="1631"/>
      <c r="P120" s="1631"/>
      <c r="Q120" s="1631"/>
      <c r="R120" s="1631"/>
      <c r="S120" s="1631"/>
      <c r="T120" s="1631"/>
      <c r="U120" s="1631"/>
      <c r="V120" s="1541"/>
    </row>
    <row r="121" spans="1:22">
      <c r="A121" s="1621"/>
      <c r="B121" s="1621"/>
      <c r="C121" s="1621"/>
      <c r="D121" s="1621"/>
      <c r="E121" s="1622"/>
      <c r="F121" s="2688"/>
      <c r="G121" s="1622"/>
      <c r="H121" s="1622"/>
      <c r="I121" s="1622"/>
      <c r="J121" s="2687"/>
      <c r="K121" s="1622"/>
      <c r="L121" s="1540"/>
      <c r="M121" s="1541"/>
      <c r="N121" s="1631"/>
      <c r="O121" s="1631"/>
      <c r="P121" s="1631"/>
      <c r="Q121" s="1631"/>
      <c r="R121" s="1631"/>
      <c r="S121" s="1631"/>
      <c r="T121" s="1631"/>
      <c r="U121" s="1631"/>
      <c r="V121" s="1541"/>
    </row>
    <row r="122" spans="1:22">
      <c r="A122" s="1505">
        <v>12</v>
      </c>
      <c r="B122" s="1541"/>
      <c r="C122" s="1541"/>
      <c r="D122" s="1506" t="s">
        <v>1446</v>
      </c>
      <c r="E122" s="1539">
        <f>SUM(E108:E118)</f>
        <v>56309720</v>
      </c>
      <c r="F122" s="1539">
        <f>SUM(F108:F118)</f>
        <v>6675251</v>
      </c>
      <c r="G122" s="1539">
        <f>SUM(G108:G118)</f>
        <v>1227501</v>
      </c>
      <c r="H122" s="1539">
        <f>SUM(H108:H118)</f>
        <v>0</v>
      </c>
      <c r="I122" s="1539"/>
      <c r="J122" s="1540"/>
      <c r="K122" s="1539">
        <f>SUM(K108:K118)</f>
        <v>61757470</v>
      </c>
      <c r="L122" s="1540"/>
      <c r="M122" s="1541"/>
      <c r="N122" s="1631"/>
      <c r="O122" s="1631"/>
      <c r="P122" s="1631"/>
      <c r="Q122" s="1631"/>
      <c r="R122" s="1631"/>
      <c r="S122" s="1631"/>
      <c r="T122" s="1631"/>
      <c r="U122" s="1631"/>
      <c r="V122" s="1541"/>
    </row>
    <row r="123" spans="1:22">
      <c r="A123" s="2587"/>
      <c r="B123" s="2587"/>
      <c r="C123" s="2587"/>
      <c r="D123" s="2587"/>
      <c r="E123" s="2611"/>
      <c r="F123" s="2612"/>
      <c r="G123" s="2611"/>
      <c r="H123" s="2611"/>
      <c r="I123" s="2611"/>
      <c r="J123" s="2611"/>
      <c r="K123" s="2611"/>
      <c r="L123" s="1540"/>
      <c r="M123" s="1541"/>
      <c r="N123" s="1631"/>
      <c r="O123" s="1631"/>
      <c r="P123" s="1631"/>
      <c r="Q123" s="1631"/>
      <c r="R123" s="1631"/>
      <c r="S123" s="1631"/>
      <c r="T123" s="1631"/>
      <c r="U123" s="1631"/>
      <c r="V123" s="1541"/>
    </row>
    <row r="124" spans="1:22">
      <c r="A124" s="1541"/>
      <c r="B124" s="1541"/>
      <c r="C124" s="1541"/>
      <c r="D124" s="1541"/>
      <c r="E124" s="1539"/>
      <c r="F124" s="1539"/>
      <c r="G124" s="1539"/>
      <c r="H124" s="1539"/>
      <c r="I124" s="1540"/>
      <c r="J124" s="1540"/>
      <c r="K124" s="1539"/>
      <c r="L124" s="1540"/>
      <c r="M124" s="1541"/>
      <c r="N124" s="1631"/>
      <c r="O124" s="1631"/>
      <c r="P124" s="1631"/>
      <c r="Q124" s="1631"/>
      <c r="R124" s="1631"/>
      <c r="S124" s="1631"/>
      <c r="T124" s="1631"/>
      <c r="U124" s="1631"/>
      <c r="V124" s="1541"/>
    </row>
    <row r="125" spans="1:22">
      <c r="A125" s="103" t="str">
        <f>A1</f>
        <v>DUKE ENERGY KENTUCKY, INC.</v>
      </c>
      <c r="B125" s="2585"/>
      <c r="C125" s="2585"/>
      <c r="D125" s="2585"/>
      <c r="E125" s="103"/>
      <c r="F125" s="2585"/>
      <c r="G125" s="2585"/>
      <c r="H125" s="2585"/>
      <c r="I125" s="2585"/>
      <c r="J125" s="2585"/>
      <c r="K125" s="2585"/>
      <c r="L125" s="1541"/>
      <c r="M125" s="1540"/>
      <c r="N125" s="1541"/>
      <c r="O125" s="1541"/>
      <c r="P125" s="1541"/>
      <c r="Q125" s="1541"/>
      <c r="R125" s="1541"/>
      <c r="S125" s="1541"/>
      <c r="T125" s="1541"/>
      <c r="U125" s="1541"/>
      <c r="V125" s="1541"/>
    </row>
    <row r="126" spans="1:22">
      <c r="A126" s="103" t="str">
        <f>A2</f>
        <v>CASE NO. 2017-00321</v>
      </c>
      <c r="B126" s="2585"/>
      <c r="C126" s="2585"/>
      <c r="D126" s="2585"/>
      <c r="E126" s="103"/>
      <c r="F126" s="2585"/>
      <c r="G126" s="2585"/>
      <c r="H126" s="2585"/>
      <c r="I126" s="2585"/>
      <c r="J126" s="2585"/>
      <c r="K126" s="2585"/>
      <c r="L126" s="1541"/>
      <c r="M126" s="1540"/>
      <c r="N126" s="1541"/>
      <c r="O126" s="1541"/>
      <c r="P126" s="1541"/>
      <c r="Q126" s="1541"/>
      <c r="R126" s="1541"/>
      <c r="S126" s="1541"/>
      <c r="T126" s="1541"/>
      <c r="U126" s="1541"/>
      <c r="V126" s="1541"/>
    </row>
    <row r="127" spans="1:22">
      <c r="A127" s="103" t="str">
        <f>A3</f>
        <v>GROSS ADDITIONS, RETIREMENTS, AND TRANSFERS</v>
      </c>
      <c r="B127" s="2585"/>
      <c r="C127" s="2585"/>
      <c r="D127" s="2585"/>
      <c r="E127" s="103"/>
      <c r="F127" s="2585"/>
      <c r="G127" s="2585"/>
      <c r="H127" s="2585"/>
      <c r="I127" s="2585"/>
      <c r="J127" s="2585"/>
      <c r="K127" s="2585"/>
      <c r="L127" s="1541"/>
      <c r="M127" s="1540"/>
      <c r="N127" s="1541"/>
      <c r="O127" s="1541"/>
      <c r="P127" s="1541"/>
      <c r="Q127" s="1541"/>
      <c r="R127" s="1541"/>
      <c r="S127" s="1541"/>
      <c r="T127" s="1541"/>
      <c r="U127" s="1541"/>
      <c r="V127" s="1541"/>
    </row>
    <row r="128" spans="1:22">
      <c r="A128" s="103" t="str">
        <f>A4</f>
        <v>FROM DECEMBER 1, 2016 TO NOVEMBER 30, 2017</v>
      </c>
      <c r="B128" s="2585"/>
      <c r="C128" s="2585"/>
      <c r="D128" s="2585"/>
      <c r="E128" s="103"/>
      <c r="F128" s="2585"/>
      <c r="G128" s="2585"/>
      <c r="H128" s="2585"/>
      <c r="I128" s="2585"/>
      <c r="J128" s="2585"/>
      <c r="K128" s="2585"/>
      <c r="L128" s="1541"/>
      <c r="M128" s="1540"/>
      <c r="N128" s="1541"/>
      <c r="O128" s="1541"/>
      <c r="P128" s="1541"/>
      <c r="Q128" s="1541"/>
      <c r="R128" s="1541"/>
      <c r="S128" s="1541"/>
      <c r="T128" s="1541"/>
      <c r="U128" s="1541"/>
      <c r="V128" s="1541"/>
    </row>
    <row r="129" spans="1:22">
      <c r="A129" s="2585"/>
      <c r="B129" s="2585"/>
      <c r="C129" s="2585"/>
      <c r="D129" s="2585"/>
      <c r="E129" s="2585"/>
      <c r="F129" s="2585"/>
      <c r="G129" s="2585"/>
      <c r="H129" s="2585"/>
      <c r="I129" s="2585"/>
      <c r="J129" s="2585"/>
      <c r="K129" s="2585"/>
      <c r="L129" s="1541"/>
      <c r="M129" s="1540"/>
      <c r="N129" s="1541"/>
      <c r="O129" s="1541"/>
      <c r="P129" s="1541"/>
      <c r="Q129" s="1541"/>
      <c r="R129" s="1541"/>
      <c r="S129" s="1541"/>
      <c r="T129" s="1541"/>
      <c r="U129" s="1541"/>
      <c r="V129" s="1541"/>
    </row>
    <row r="130" spans="1:22">
      <c r="A130" s="103" t="s">
        <v>1172</v>
      </c>
      <c r="B130" s="2585"/>
      <c r="C130" s="2585"/>
      <c r="D130" s="2585"/>
      <c r="E130" s="103"/>
      <c r="F130" s="2585"/>
      <c r="G130" s="2585"/>
      <c r="H130" s="2585"/>
      <c r="I130" s="2585"/>
      <c r="J130" s="2585"/>
      <c r="K130" s="2585"/>
      <c r="L130" s="1541"/>
      <c r="M130" s="1540"/>
      <c r="N130" s="1541"/>
      <c r="O130" s="1541"/>
      <c r="P130" s="1541"/>
      <c r="Q130" s="1541"/>
      <c r="R130" s="1541"/>
      <c r="S130" s="1541"/>
      <c r="T130" s="1541"/>
      <c r="U130" s="1541"/>
      <c r="V130" s="1541"/>
    </row>
    <row r="131" spans="1:22">
      <c r="A131" s="2585"/>
      <c r="B131" s="2585"/>
      <c r="C131" s="2585"/>
      <c r="D131" s="2585"/>
      <c r="E131" s="103"/>
      <c r="F131" s="2585"/>
      <c r="G131" s="2585"/>
      <c r="H131" s="2585"/>
      <c r="I131" s="2585"/>
      <c r="J131" s="2585"/>
      <c r="K131" s="2585"/>
      <c r="L131" s="1541"/>
      <c r="M131" s="1540"/>
      <c r="N131" s="1541"/>
      <c r="O131" s="1541"/>
      <c r="P131" s="1541"/>
      <c r="Q131" s="1541"/>
      <c r="R131" s="1541"/>
      <c r="S131" s="1541"/>
      <c r="T131" s="1541"/>
      <c r="U131" s="1541"/>
      <c r="V131" s="1541"/>
    </row>
    <row r="132" spans="1:22">
      <c r="A132" s="2569" t="s">
        <v>1799</v>
      </c>
      <c r="B132" s="2585"/>
      <c r="C132" s="2585"/>
      <c r="D132" s="2585"/>
      <c r="E132" s="2585"/>
      <c r="F132" s="2585"/>
      <c r="G132" s="2585"/>
      <c r="H132" s="2585"/>
      <c r="I132" s="2585"/>
      <c r="J132" s="2585"/>
      <c r="K132" s="2585"/>
      <c r="L132" s="1541"/>
      <c r="M132" s="1540"/>
      <c r="N132" s="1541"/>
      <c r="O132" s="1541"/>
      <c r="P132" s="1541"/>
      <c r="Q132" s="1541"/>
      <c r="R132" s="1541"/>
      <c r="S132" s="1541"/>
      <c r="T132" s="1541"/>
      <c r="U132" s="1541"/>
      <c r="V132" s="1541"/>
    </row>
    <row r="133" spans="1:22">
      <c r="A133" s="2569"/>
      <c r="B133" s="2585"/>
      <c r="C133" s="2585"/>
      <c r="D133" s="2585"/>
      <c r="E133" s="2585"/>
      <c r="F133" s="2585"/>
      <c r="G133" s="2585"/>
      <c r="H133" s="2585"/>
      <c r="I133" s="2585"/>
      <c r="J133" s="2585"/>
      <c r="K133" s="2585"/>
      <c r="L133" s="1541"/>
      <c r="M133" s="1540"/>
      <c r="N133" s="1541"/>
      <c r="O133" s="1541"/>
      <c r="P133" s="1541"/>
      <c r="Q133" s="1541"/>
      <c r="R133" s="1541"/>
      <c r="S133" s="1541"/>
      <c r="T133" s="1541"/>
      <c r="U133" s="1541"/>
      <c r="V133" s="1541"/>
    </row>
    <row r="134" spans="1:22">
      <c r="A134" s="1506" t="str">
        <f>Data</f>
        <v>DATA: "X" BASE PERIOD   FORECASTED PERIOD</v>
      </c>
      <c r="B134" s="1541"/>
      <c r="C134" s="1541"/>
      <c r="D134" s="1541"/>
      <c r="E134" s="1541"/>
      <c r="F134" s="1541"/>
      <c r="G134" s="1541"/>
      <c r="H134" s="1541"/>
      <c r="I134" s="1541"/>
      <c r="J134" s="1506" t="str">
        <f>J10</f>
        <v>SCHEDULE B-2.3</v>
      </c>
      <c r="K134" s="1541"/>
      <c r="L134" s="1541"/>
      <c r="M134" s="1540"/>
      <c r="N134" s="1541"/>
      <c r="O134" s="1541"/>
      <c r="P134" s="1541"/>
      <c r="Q134" s="1541"/>
      <c r="R134" s="1541"/>
      <c r="S134" s="1541"/>
      <c r="T134" s="1541"/>
      <c r="U134" s="1541"/>
      <c r="V134" s="1541"/>
    </row>
    <row r="135" spans="1:22">
      <c r="A135" s="1506" t="str">
        <f>A11</f>
        <v xml:space="preserve">TYPE OF FILING:  "X" ORIGINAL   UPDATED    REVISED  </v>
      </c>
      <c r="B135" s="1541"/>
      <c r="C135" s="1541"/>
      <c r="D135" s="1541"/>
      <c r="E135" s="1541"/>
      <c r="F135" s="1541"/>
      <c r="G135" s="1541"/>
      <c r="H135" s="1541"/>
      <c r="I135" s="1541"/>
      <c r="J135" s="1506" t="s">
        <v>1908</v>
      </c>
      <c r="K135" s="1541"/>
      <c r="L135" s="1541"/>
      <c r="M135" s="1540"/>
      <c r="N135" s="1541"/>
      <c r="O135" s="1541"/>
      <c r="P135" s="1541"/>
      <c r="Q135" s="1541"/>
      <c r="R135" s="1541"/>
      <c r="S135" s="1541"/>
      <c r="T135" s="1541"/>
      <c r="U135" s="1541"/>
      <c r="V135" s="1541"/>
    </row>
    <row r="136" spans="1:22">
      <c r="A136" s="1506" t="str">
        <f>A12</f>
        <v>WORK PAPER REFERENCE NO(S).:</v>
      </c>
      <c r="B136" s="1541"/>
      <c r="C136" s="1541"/>
      <c r="D136" s="1541"/>
      <c r="E136" s="1541"/>
      <c r="F136" s="1541"/>
      <c r="G136" s="1541"/>
      <c r="H136" s="1541"/>
      <c r="I136" s="1541"/>
      <c r="J136" s="2586" t="s">
        <v>622</v>
      </c>
      <c r="K136" s="1541"/>
      <c r="L136" s="1541"/>
      <c r="M136" s="1540"/>
      <c r="N136" s="1541"/>
      <c r="O136" s="1541"/>
      <c r="P136" s="1541"/>
      <c r="Q136" s="1541"/>
      <c r="R136" s="1541"/>
      <c r="S136" s="1541"/>
      <c r="T136" s="1541"/>
      <c r="U136" s="1541"/>
      <c r="V136" s="1541"/>
    </row>
    <row r="137" spans="1:22">
      <c r="A137" s="1541"/>
      <c r="B137" s="1541"/>
      <c r="C137" s="1541"/>
      <c r="D137" s="1541"/>
      <c r="E137" s="1541"/>
      <c r="F137" s="1541"/>
      <c r="G137" s="1541"/>
      <c r="H137" s="1541"/>
      <c r="I137" s="1541"/>
      <c r="J137" s="2586" t="str">
        <f>J13</f>
        <v>R. H. PRATT / C. S. LEE</v>
      </c>
      <c r="K137" s="1541"/>
      <c r="L137" s="1541"/>
      <c r="M137" s="1540"/>
      <c r="N137" s="1541"/>
      <c r="O137" s="1541"/>
      <c r="P137" s="1541"/>
      <c r="Q137" s="1541"/>
      <c r="R137" s="1541"/>
      <c r="S137" s="1541"/>
      <c r="T137" s="1541"/>
      <c r="U137" s="1541"/>
      <c r="V137" s="1541"/>
    </row>
    <row r="138" spans="1:22">
      <c r="A138" s="1541"/>
      <c r="B138" s="1541"/>
      <c r="C138" s="1541"/>
      <c r="D138" s="1541"/>
      <c r="E138" s="1541"/>
      <c r="F138" s="1541"/>
      <c r="G138" s="1541"/>
      <c r="H138" s="1541"/>
      <c r="I138" s="1541"/>
      <c r="J138" s="1541"/>
      <c r="K138" s="1541"/>
      <c r="L138" s="1541"/>
      <c r="M138" s="1540"/>
      <c r="N138" s="1541"/>
      <c r="O138" s="1541"/>
      <c r="P138" s="1541"/>
      <c r="Q138" s="1541"/>
      <c r="R138" s="1541"/>
      <c r="S138" s="1541"/>
      <c r="T138" s="1541"/>
      <c r="U138" s="1541"/>
      <c r="V138" s="1541"/>
    </row>
    <row r="139" spans="1:22">
      <c r="A139" s="1541"/>
      <c r="B139" s="1541"/>
      <c r="C139" s="1541"/>
      <c r="D139" s="1541"/>
      <c r="E139" s="1541"/>
      <c r="F139" s="1541"/>
      <c r="G139" s="1541"/>
      <c r="H139" s="2587"/>
      <c r="I139" s="1541"/>
      <c r="J139" s="1541"/>
      <c r="K139" s="1541"/>
      <c r="L139" s="1541"/>
      <c r="M139" s="1540"/>
      <c r="N139" s="1541"/>
      <c r="O139" s="1541"/>
      <c r="P139" s="1541"/>
      <c r="Q139" s="1541"/>
      <c r="R139" s="1541"/>
      <c r="S139" s="1541"/>
      <c r="T139" s="1541"/>
      <c r="U139" s="1541"/>
      <c r="V139" s="1541"/>
    </row>
    <row r="140" spans="1:22">
      <c r="A140" s="1621"/>
      <c r="B140" s="1621"/>
      <c r="C140" s="2674"/>
      <c r="D140" s="1621"/>
      <c r="E140" s="1621"/>
      <c r="F140" s="1621"/>
      <c r="G140" s="1621"/>
      <c r="H140" s="1631"/>
      <c r="I140" s="1621"/>
      <c r="J140" s="1621"/>
      <c r="K140" s="1621"/>
      <c r="L140" s="1541"/>
      <c r="M140" s="1540"/>
      <c r="N140" s="1541"/>
      <c r="O140" s="1541"/>
      <c r="P140" s="1541"/>
      <c r="Q140" s="1541"/>
      <c r="R140" s="1541"/>
      <c r="S140" s="1541"/>
      <c r="T140" s="1541"/>
      <c r="U140" s="1541"/>
      <c r="V140" s="1541"/>
    </row>
    <row r="141" spans="1:22">
      <c r="A141" s="1541"/>
      <c r="B141" s="1505" t="s">
        <v>943</v>
      </c>
      <c r="C141" s="1505" t="s">
        <v>1750</v>
      </c>
      <c r="D141" s="1541"/>
      <c r="E141" s="1541"/>
      <c r="F141" s="1541"/>
      <c r="G141" s="1541"/>
      <c r="H141" s="102" t="s">
        <v>1090</v>
      </c>
      <c r="I141" s="102"/>
      <c r="J141" s="102"/>
      <c r="K141" s="1541"/>
      <c r="L141" s="1541"/>
      <c r="M141" s="1540"/>
      <c r="N141" s="1541"/>
      <c r="O141" s="1541"/>
      <c r="P141" s="1541"/>
      <c r="Q141" s="1541"/>
      <c r="R141" s="1541"/>
      <c r="S141" s="1541"/>
      <c r="T141" s="1541"/>
      <c r="U141" s="1541"/>
      <c r="V141" s="1541"/>
    </row>
    <row r="142" spans="1:22">
      <c r="A142" s="1505" t="s">
        <v>1240</v>
      </c>
      <c r="B142" s="1505" t="s">
        <v>1164</v>
      </c>
      <c r="C142" s="1505" t="s">
        <v>1164</v>
      </c>
      <c r="D142" s="1505" t="s">
        <v>1118</v>
      </c>
      <c r="E142" s="1505" t="s">
        <v>1091</v>
      </c>
      <c r="F142" s="1541"/>
      <c r="G142" s="1541"/>
      <c r="H142" s="1621"/>
      <c r="I142" s="2679" t="s">
        <v>1092</v>
      </c>
      <c r="J142" s="2679" t="s">
        <v>120</v>
      </c>
      <c r="K142" s="1505" t="s">
        <v>121</v>
      </c>
      <c r="L142" s="1541"/>
      <c r="M142" s="1540"/>
      <c r="N142" s="1541"/>
      <c r="O142" s="1541"/>
      <c r="P142" s="1541"/>
      <c r="Q142" s="1541"/>
      <c r="R142" s="1541"/>
      <c r="S142" s="1541"/>
      <c r="T142" s="1541"/>
      <c r="U142" s="1541"/>
      <c r="V142" s="1541"/>
    </row>
    <row r="143" spans="1:22">
      <c r="A143" s="1505" t="s">
        <v>1241</v>
      </c>
      <c r="B143" s="1505" t="s">
        <v>1241</v>
      </c>
      <c r="C143" s="1505" t="s">
        <v>1241</v>
      </c>
      <c r="D143" s="1505" t="s">
        <v>122</v>
      </c>
      <c r="E143" s="1505" t="s">
        <v>123</v>
      </c>
      <c r="F143" s="1505" t="s">
        <v>124</v>
      </c>
      <c r="G143" s="1505" t="s">
        <v>125</v>
      </c>
      <c r="H143" s="1505" t="s">
        <v>646</v>
      </c>
      <c r="I143" s="1505" t="s">
        <v>126</v>
      </c>
      <c r="J143" s="1505" t="s">
        <v>127</v>
      </c>
      <c r="K143" s="1505" t="s">
        <v>123</v>
      </c>
      <c r="L143" s="1541"/>
      <c r="M143" s="1540"/>
      <c r="N143" s="1541"/>
      <c r="O143" s="1541"/>
      <c r="P143" s="1541"/>
      <c r="Q143" s="1541"/>
      <c r="R143" s="1541"/>
      <c r="S143" s="1541"/>
      <c r="T143" s="1541"/>
      <c r="U143" s="1541"/>
      <c r="V143" s="1541"/>
    </row>
    <row r="144" spans="1:22">
      <c r="A144" s="1541"/>
      <c r="B144" s="1541"/>
      <c r="C144" s="1541"/>
      <c r="D144" s="1541"/>
      <c r="E144" s="1541"/>
      <c r="F144" s="1541"/>
      <c r="G144" s="1541"/>
      <c r="H144" s="1541"/>
      <c r="I144" s="1541"/>
      <c r="J144" s="1541"/>
      <c r="K144" s="1541"/>
      <c r="L144" s="1541"/>
      <c r="M144" s="1540"/>
      <c r="N144" s="1541"/>
      <c r="O144" s="1541"/>
      <c r="P144" s="1541"/>
      <c r="Q144" s="1541"/>
      <c r="R144" s="1541"/>
      <c r="S144" s="1541"/>
      <c r="T144" s="1541"/>
      <c r="U144" s="1541"/>
      <c r="V144" s="1541"/>
    </row>
    <row r="145" spans="1:22">
      <c r="A145" s="1621"/>
      <c r="B145" s="1621"/>
      <c r="C145" s="1621"/>
      <c r="D145" s="1621"/>
      <c r="E145" s="2679" t="s">
        <v>1705</v>
      </c>
      <c r="F145" s="2679" t="s">
        <v>1705</v>
      </c>
      <c r="G145" s="2679" t="s">
        <v>1705</v>
      </c>
      <c r="H145" s="2679" t="s">
        <v>1705</v>
      </c>
      <c r="I145" s="1621"/>
      <c r="J145" s="1621"/>
      <c r="K145" s="2679" t="s">
        <v>1705</v>
      </c>
      <c r="L145" s="1541"/>
      <c r="M145" s="1540"/>
      <c r="N145" s="1541"/>
      <c r="O145" s="1541"/>
      <c r="P145" s="1541"/>
      <c r="Q145" s="1541"/>
      <c r="R145" s="1541"/>
      <c r="S145" s="1541"/>
      <c r="T145" s="1541"/>
      <c r="U145" s="1541"/>
      <c r="V145" s="1541"/>
    </row>
    <row r="146" spans="1:22">
      <c r="A146" s="1541"/>
      <c r="B146" s="1541"/>
      <c r="C146" s="1541"/>
      <c r="D146" s="1541"/>
      <c r="E146" s="1541"/>
      <c r="F146" s="1541"/>
      <c r="G146" s="1541"/>
      <c r="H146" s="1541"/>
      <c r="I146" s="1541"/>
      <c r="J146" s="1541"/>
      <c r="K146" s="1541"/>
      <c r="L146" s="1541"/>
      <c r="M146" s="1540"/>
      <c r="N146" s="1541"/>
      <c r="O146" s="1541"/>
      <c r="P146" s="1541"/>
      <c r="Q146" s="1541"/>
      <c r="R146" s="1541"/>
      <c r="S146" s="1541"/>
      <c r="T146" s="1541"/>
      <c r="U146" s="1541"/>
      <c r="V146" s="1541"/>
    </row>
    <row r="147" spans="1:22">
      <c r="A147" s="1505">
        <v>1</v>
      </c>
      <c r="B147" s="1505">
        <v>360</v>
      </c>
      <c r="C147" s="1505">
        <v>3600</v>
      </c>
      <c r="D147" s="1506" t="s">
        <v>849</v>
      </c>
      <c r="E147" s="105">
        <v>6822948</v>
      </c>
      <c r="F147" s="105">
        <v>9562</v>
      </c>
      <c r="G147" s="105">
        <v>10760</v>
      </c>
      <c r="H147" s="105">
        <v>0</v>
      </c>
      <c r="I147" s="105"/>
      <c r="J147" s="105"/>
      <c r="K147" s="96">
        <f t="shared" ref="K147:K171" si="3">E147+F147-G147+H147</f>
        <v>6821750</v>
      </c>
      <c r="L147" s="1540"/>
      <c r="M147" s="1540"/>
      <c r="N147" s="1541"/>
      <c r="O147" s="1541"/>
      <c r="P147" s="1541"/>
      <c r="Q147" s="1541"/>
      <c r="R147" s="1541"/>
      <c r="S147" s="1541"/>
      <c r="T147" s="1541"/>
      <c r="U147" s="1541"/>
      <c r="V147" s="1541"/>
    </row>
    <row r="148" spans="1:22">
      <c r="A148" s="1505">
        <v>2</v>
      </c>
      <c r="B148" s="1505">
        <v>360</v>
      </c>
      <c r="C148" s="1505">
        <v>3601</v>
      </c>
      <c r="D148" s="1506" t="s">
        <v>1168</v>
      </c>
      <c r="E148" s="105">
        <v>6429002</v>
      </c>
      <c r="F148" s="105">
        <v>12138</v>
      </c>
      <c r="G148" s="105">
        <v>0</v>
      </c>
      <c r="H148" s="105">
        <v>0</v>
      </c>
      <c r="I148" s="105"/>
      <c r="J148" s="105"/>
      <c r="K148" s="96">
        <f t="shared" si="3"/>
        <v>6441140</v>
      </c>
      <c r="L148" s="1540"/>
      <c r="M148" s="1540"/>
      <c r="N148" s="1541"/>
      <c r="O148" s="1541"/>
      <c r="P148" s="1541"/>
      <c r="Q148" s="1541"/>
      <c r="R148" s="1541"/>
      <c r="S148" s="1541"/>
      <c r="T148" s="1541"/>
      <c r="U148" s="1541"/>
      <c r="V148" s="1541"/>
    </row>
    <row r="149" spans="1:22">
      <c r="A149" s="1505">
        <v>3</v>
      </c>
      <c r="B149" s="1505">
        <v>361</v>
      </c>
      <c r="C149" s="1505">
        <v>3610</v>
      </c>
      <c r="D149" s="1506" t="s">
        <v>1170</v>
      </c>
      <c r="E149" s="105">
        <v>1470233</v>
      </c>
      <c r="F149" s="105">
        <v>0</v>
      </c>
      <c r="G149" s="105">
        <v>67824</v>
      </c>
      <c r="H149" s="105">
        <v>0</v>
      </c>
      <c r="I149" s="105"/>
      <c r="J149" s="105"/>
      <c r="K149" s="96">
        <f t="shared" si="3"/>
        <v>1402409</v>
      </c>
      <c r="L149" s="1540"/>
      <c r="M149" s="1540"/>
      <c r="N149" s="1541"/>
      <c r="O149" s="1541"/>
      <c r="P149" s="1541"/>
      <c r="Q149" s="1541"/>
      <c r="R149" s="1541"/>
      <c r="S149" s="1541"/>
      <c r="T149" s="1541"/>
      <c r="U149" s="1541"/>
      <c r="V149" s="1541"/>
    </row>
    <row r="150" spans="1:22">
      <c r="A150" s="1505">
        <v>4</v>
      </c>
      <c r="B150" s="1505">
        <v>362</v>
      </c>
      <c r="C150" s="1505">
        <v>3620</v>
      </c>
      <c r="D150" s="1506" t="s">
        <v>1721</v>
      </c>
      <c r="E150" s="105">
        <v>34641431</v>
      </c>
      <c r="F150" s="105">
        <v>3187105</v>
      </c>
      <c r="G150" s="105">
        <v>432838</v>
      </c>
      <c r="H150" s="105">
        <v>0</v>
      </c>
      <c r="I150" s="105"/>
      <c r="J150" s="105"/>
      <c r="K150" s="96">
        <f t="shared" si="3"/>
        <v>37395698</v>
      </c>
      <c r="L150" s="1540"/>
      <c r="M150" s="1540"/>
      <c r="N150" s="1541"/>
      <c r="O150" s="1541"/>
      <c r="P150" s="1541"/>
      <c r="Q150" s="1541"/>
      <c r="R150" s="1541"/>
      <c r="S150" s="1541"/>
      <c r="T150" s="1541"/>
      <c r="U150" s="1541"/>
      <c r="V150" s="1541"/>
    </row>
    <row r="151" spans="1:22">
      <c r="A151" s="1505">
        <v>5</v>
      </c>
      <c r="B151" s="1505">
        <v>362</v>
      </c>
      <c r="C151" s="1505">
        <v>3622</v>
      </c>
      <c r="D151" s="1506" t="s">
        <v>2927</v>
      </c>
      <c r="E151" s="105">
        <v>25253260</v>
      </c>
      <c r="F151" s="105">
        <v>0</v>
      </c>
      <c r="G151" s="105">
        <v>24203</v>
      </c>
      <c r="H151" s="105">
        <v>0</v>
      </c>
      <c r="I151" s="105"/>
      <c r="J151" s="105"/>
      <c r="K151" s="96">
        <f t="shared" si="3"/>
        <v>25229057</v>
      </c>
      <c r="L151" s="1540"/>
      <c r="M151" s="1540"/>
      <c r="N151" s="1541"/>
      <c r="O151" s="1541"/>
      <c r="P151" s="1541"/>
      <c r="Q151" s="1541"/>
      <c r="R151" s="1541"/>
      <c r="S151" s="1541"/>
      <c r="T151" s="1541"/>
      <c r="U151" s="1541"/>
      <c r="V151" s="1541"/>
    </row>
    <row r="152" spans="1:22">
      <c r="A152" s="1505">
        <v>6</v>
      </c>
      <c r="B152" s="1505">
        <v>364</v>
      </c>
      <c r="C152" s="1505">
        <v>3640</v>
      </c>
      <c r="D152" s="1506" t="s">
        <v>1724</v>
      </c>
      <c r="E152" s="105">
        <v>55888710</v>
      </c>
      <c r="F152" s="105">
        <v>1672238</v>
      </c>
      <c r="G152" s="105">
        <v>445066</v>
      </c>
      <c r="H152" s="105">
        <v>0</v>
      </c>
      <c r="I152" s="105"/>
      <c r="J152" s="105"/>
      <c r="K152" s="96">
        <f t="shared" si="3"/>
        <v>57115882</v>
      </c>
      <c r="L152" s="1540"/>
      <c r="M152" s="1540"/>
      <c r="N152" s="1541"/>
      <c r="O152" s="1541"/>
      <c r="P152" s="1541"/>
      <c r="Q152" s="1541"/>
      <c r="R152" s="1541"/>
      <c r="S152" s="1541"/>
      <c r="T152" s="1541"/>
      <c r="U152" s="1541"/>
      <c r="V152" s="1541"/>
    </row>
    <row r="153" spans="1:22">
      <c r="A153" s="1505">
        <v>7</v>
      </c>
      <c r="B153" s="1505">
        <v>365</v>
      </c>
      <c r="C153" s="1505">
        <v>3650</v>
      </c>
      <c r="D153" s="1506" t="s">
        <v>1723</v>
      </c>
      <c r="E153" s="105">
        <v>117058951</v>
      </c>
      <c r="F153" s="105">
        <v>2150598</v>
      </c>
      <c r="G153" s="105">
        <v>2894531</v>
      </c>
      <c r="H153" s="105">
        <v>0</v>
      </c>
      <c r="I153" s="105"/>
      <c r="J153" s="105"/>
      <c r="K153" s="96">
        <f t="shared" si="3"/>
        <v>116315018</v>
      </c>
      <c r="L153" s="1540"/>
      <c r="M153" s="1540"/>
      <c r="N153" s="1541"/>
      <c r="O153" s="1541"/>
      <c r="P153" s="1541"/>
      <c r="Q153" s="1541"/>
      <c r="R153" s="1541"/>
      <c r="S153" s="1541"/>
      <c r="T153" s="1541"/>
      <c r="U153" s="1541"/>
      <c r="V153" s="1541"/>
    </row>
    <row r="154" spans="1:22">
      <c r="A154" s="1505">
        <v>8</v>
      </c>
      <c r="B154" s="1505">
        <v>365</v>
      </c>
      <c r="C154" s="1505">
        <v>3651</v>
      </c>
      <c r="D154" s="1506" t="s">
        <v>2752</v>
      </c>
      <c r="E154" s="105">
        <v>1824159</v>
      </c>
      <c r="F154" s="105">
        <v>40234</v>
      </c>
      <c r="G154" s="105">
        <v>0</v>
      </c>
      <c r="H154" s="105">
        <v>0</v>
      </c>
      <c r="I154" s="105"/>
      <c r="J154" s="105"/>
      <c r="K154" s="96">
        <f t="shared" si="3"/>
        <v>1864393</v>
      </c>
      <c r="L154" s="1540"/>
      <c r="M154" s="1540"/>
      <c r="N154" s="1541"/>
      <c r="O154" s="1541"/>
      <c r="P154" s="1541"/>
      <c r="Q154" s="1541"/>
      <c r="R154" s="1541"/>
      <c r="S154" s="1541"/>
      <c r="T154" s="1541"/>
      <c r="U154" s="1541"/>
      <c r="V154" s="1541"/>
    </row>
    <row r="155" spans="1:22">
      <c r="A155" s="1505">
        <v>9</v>
      </c>
      <c r="B155" s="1505">
        <v>366</v>
      </c>
      <c r="C155" s="1505">
        <v>3660</v>
      </c>
      <c r="D155" s="1506" t="s">
        <v>1725</v>
      </c>
      <c r="E155" s="105">
        <v>18845276</v>
      </c>
      <c r="F155" s="105">
        <v>355287</v>
      </c>
      <c r="G155" s="105">
        <v>8575</v>
      </c>
      <c r="H155" s="105">
        <v>0</v>
      </c>
      <c r="I155" s="105"/>
      <c r="J155" s="105"/>
      <c r="K155" s="96">
        <f t="shared" si="3"/>
        <v>19191988</v>
      </c>
      <c r="L155" s="1540"/>
      <c r="M155" s="1540"/>
      <c r="N155" s="1541"/>
      <c r="O155" s="1541"/>
      <c r="P155" s="1541"/>
      <c r="Q155" s="1541"/>
      <c r="R155" s="1541"/>
      <c r="S155" s="1541"/>
      <c r="T155" s="1541"/>
      <c r="U155" s="1541"/>
      <c r="V155" s="1541"/>
    </row>
    <row r="156" spans="1:22">
      <c r="A156" s="1505">
        <v>10</v>
      </c>
      <c r="B156" s="1505">
        <v>367</v>
      </c>
      <c r="C156" s="1505">
        <v>3670</v>
      </c>
      <c r="D156" s="1506" t="s">
        <v>638</v>
      </c>
      <c r="E156" s="105">
        <v>58096682</v>
      </c>
      <c r="F156" s="105">
        <v>1949521</v>
      </c>
      <c r="G156" s="105">
        <v>290766</v>
      </c>
      <c r="H156" s="105">
        <v>0</v>
      </c>
      <c r="I156" s="105"/>
      <c r="J156" s="105"/>
      <c r="K156" s="96">
        <f t="shared" si="3"/>
        <v>59755437</v>
      </c>
      <c r="L156" s="1540"/>
      <c r="M156" s="1540"/>
      <c r="N156" s="1541"/>
      <c r="O156" s="1541"/>
      <c r="P156" s="1541"/>
      <c r="Q156" s="1541"/>
      <c r="R156" s="1541"/>
      <c r="S156" s="1541"/>
      <c r="T156" s="1541"/>
      <c r="U156" s="1541"/>
      <c r="V156" s="1541"/>
    </row>
    <row r="157" spans="1:22">
      <c r="A157" s="1505">
        <v>11</v>
      </c>
      <c r="B157" s="1505">
        <v>368</v>
      </c>
      <c r="C157" s="1505">
        <v>3680</v>
      </c>
      <c r="D157" s="1506" t="s">
        <v>639</v>
      </c>
      <c r="E157" s="105">
        <v>55205728</v>
      </c>
      <c r="F157" s="105">
        <v>2055084</v>
      </c>
      <c r="G157" s="105">
        <v>1043240</v>
      </c>
      <c r="H157" s="105">
        <v>0</v>
      </c>
      <c r="I157" s="105"/>
      <c r="J157" s="105"/>
      <c r="K157" s="96">
        <f t="shared" si="3"/>
        <v>56217572</v>
      </c>
      <c r="L157" s="1540"/>
      <c r="M157" s="1540"/>
      <c r="N157" s="1541"/>
      <c r="O157" s="1541"/>
      <c r="P157" s="1541"/>
      <c r="Q157" s="1541"/>
      <c r="R157" s="1541"/>
      <c r="S157" s="1541"/>
      <c r="T157" s="1541"/>
      <c r="U157" s="1541"/>
      <c r="V157" s="1541"/>
    </row>
    <row r="158" spans="1:22">
      <c r="A158" s="1505">
        <v>12</v>
      </c>
      <c r="B158" s="1505">
        <v>368</v>
      </c>
      <c r="C158" s="1505">
        <v>3682</v>
      </c>
      <c r="D158" s="1506" t="s">
        <v>640</v>
      </c>
      <c r="E158" s="105">
        <v>273661</v>
      </c>
      <c r="F158" s="105">
        <v>0</v>
      </c>
      <c r="G158" s="105">
        <v>0</v>
      </c>
      <c r="H158" s="105">
        <v>0</v>
      </c>
      <c r="I158" s="105"/>
      <c r="J158" s="105"/>
      <c r="K158" s="96">
        <f t="shared" si="3"/>
        <v>273661</v>
      </c>
      <c r="L158" s="1540"/>
      <c r="M158" s="1540"/>
      <c r="N158" s="1541"/>
      <c r="O158" s="1541"/>
      <c r="P158" s="1541"/>
      <c r="Q158" s="1541"/>
      <c r="R158" s="1541"/>
      <c r="S158" s="1541"/>
      <c r="T158" s="1541"/>
      <c r="U158" s="1541"/>
      <c r="V158" s="1541"/>
    </row>
    <row r="159" spans="1:22">
      <c r="A159" s="1505">
        <v>13</v>
      </c>
      <c r="B159" s="1505">
        <v>369</v>
      </c>
      <c r="C159" s="1505">
        <v>3691</v>
      </c>
      <c r="D159" s="1506" t="s">
        <v>641</v>
      </c>
      <c r="E159" s="105">
        <v>2363158</v>
      </c>
      <c r="F159" s="105">
        <v>30549</v>
      </c>
      <c r="G159" s="105">
        <v>0</v>
      </c>
      <c r="H159" s="105">
        <v>0</v>
      </c>
      <c r="I159" s="105"/>
      <c r="J159" s="105"/>
      <c r="K159" s="96">
        <f t="shared" si="3"/>
        <v>2393707</v>
      </c>
      <c r="L159" s="1540"/>
      <c r="M159" s="1541"/>
      <c r="N159" s="1541"/>
      <c r="O159" s="1541"/>
      <c r="P159" s="1541"/>
      <c r="Q159" s="1541"/>
      <c r="R159" s="1541"/>
      <c r="S159" s="1541"/>
      <c r="T159" s="1541"/>
      <c r="U159" s="1541"/>
      <c r="V159" s="1541"/>
    </row>
    <row r="160" spans="1:22">
      <c r="A160" s="1505">
        <v>14</v>
      </c>
      <c r="B160" s="1505">
        <v>369</v>
      </c>
      <c r="C160" s="1505">
        <v>3692</v>
      </c>
      <c r="D160" s="1506" t="s">
        <v>642</v>
      </c>
      <c r="E160" s="105">
        <v>15707937</v>
      </c>
      <c r="F160" s="105">
        <v>160557</v>
      </c>
      <c r="G160" s="105">
        <v>34851</v>
      </c>
      <c r="H160" s="105">
        <v>0</v>
      </c>
      <c r="I160" s="105"/>
      <c r="J160" s="105"/>
      <c r="K160" s="96">
        <f t="shared" si="3"/>
        <v>15833643</v>
      </c>
      <c r="L160" s="1540"/>
      <c r="M160" s="1541"/>
      <c r="N160" s="1541"/>
      <c r="O160" s="1541"/>
      <c r="P160" s="1541"/>
      <c r="Q160" s="1541"/>
      <c r="R160" s="1541"/>
      <c r="S160" s="1541"/>
      <c r="T160" s="1541"/>
      <c r="U160" s="1541"/>
      <c r="V160" s="1541"/>
    </row>
    <row r="161" spans="1:22">
      <c r="A161" s="1505">
        <v>15</v>
      </c>
      <c r="B161" s="1505">
        <v>370</v>
      </c>
      <c r="C161" s="1505">
        <v>3700</v>
      </c>
      <c r="D161" s="1506" t="s">
        <v>2539</v>
      </c>
      <c r="E161" s="105">
        <v>9959519</v>
      </c>
      <c r="F161" s="105">
        <v>-106064</v>
      </c>
      <c r="G161" s="105">
        <v>766620</v>
      </c>
      <c r="H161" s="105">
        <v>0</v>
      </c>
      <c r="I161" s="105"/>
      <c r="J161" s="105"/>
      <c r="K161" s="96">
        <f t="shared" si="3"/>
        <v>9086835</v>
      </c>
      <c r="L161" s="1540"/>
      <c r="M161" s="1540"/>
      <c r="N161" s="1541"/>
      <c r="O161" s="1541"/>
      <c r="P161" s="1541"/>
      <c r="Q161" s="1541"/>
      <c r="R161" s="1541"/>
      <c r="S161" s="1541"/>
      <c r="T161" s="1541"/>
      <c r="U161" s="1541"/>
      <c r="V161" s="1541"/>
    </row>
    <row r="162" spans="1:22">
      <c r="A162" s="1505">
        <v>16</v>
      </c>
      <c r="B162" s="1505">
        <v>370</v>
      </c>
      <c r="C162" s="1505">
        <v>3700</v>
      </c>
      <c r="D162" s="1506" t="s">
        <v>2749</v>
      </c>
      <c r="E162" s="105">
        <v>714995</v>
      </c>
      <c r="F162" s="105">
        <v>0</v>
      </c>
      <c r="G162" s="105">
        <v>608</v>
      </c>
      <c r="H162" s="105">
        <v>0</v>
      </c>
      <c r="I162" s="105"/>
      <c r="J162" s="105"/>
      <c r="K162" s="96">
        <f t="shared" si="3"/>
        <v>714387</v>
      </c>
      <c r="L162" s="1540"/>
      <c r="M162" s="1540"/>
      <c r="N162" s="1541"/>
      <c r="O162" s="1541"/>
      <c r="P162" s="1541"/>
      <c r="Q162" s="1541"/>
      <c r="R162" s="1541"/>
      <c r="S162" s="1541"/>
      <c r="T162" s="1541"/>
      <c r="U162" s="1541"/>
      <c r="V162" s="1541"/>
    </row>
    <row r="163" spans="1:22">
      <c r="A163" s="1505">
        <v>17</v>
      </c>
      <c r="B163" s="1505">
        <v>370</v>
      </c>
      <c r="C163" s="1505">
        <v>3701</v>
      </c>
      <c r="D163" s="1506" t="s">
        <v>376</v>
      </c>
      <c r="E163" s="105">
        <v>2624135</v>
      </c>
      <c r="F163" s="105">
        <v>0</v>
      </c>
      <c r="G163" s="105">
        <v>4622</v>
      </c>
      <c r="H163" s="105">
        <v>0</v>
      </c>
      <c r="I163" s="105"/>
      <c r="J163" s="105"/>
      <c r="K163" s="96">
        <f t="shared" si="3"/>
        <v>2619513</v>
      </c>
      <c r="L163" s="1540"/>
      <c r="M163" s="1540"/>
      <c r="N163" s="1541"/>
      <c r="O163" s="1541"/>
      <c r="P163" s="1541"/>
      <c r="Q163" s="1541"/>
      <c r="R163" s="1541"/>
      <c r="S163" s="1541"/>
      <c r="T163" s="1541"/>
      <c r="U163" s="1541"/>
      <c r="V163" s="1541"/>
    </row>
    <row r="164" spans="1:22">
      <c r="A164" s="1505">
        <v>18</v>
      </c>
      <c r="B164" s="1505">
        <v>370</v>
      </c>
      <c r="C164" s="1505">
        <v>3702</v>
      </c>
      <c r="D164" s="1506" t="s">
        <v>2748</v>
      </c>
      <c r="E164" s="105">
        <v>0</v>
      </c>
      <c r="F164" s="105">
        <v>5118529</v>
      </c>
      <c r="G164" s="105">
        <v>0</v>
      </c>
      <c r="H164" s="105">
        <v>0</v>
      </c>
      <c r="I164" s="105"/>
      <c r="J164" s="105"/>
      <c r="K164" s="96">
        <f t="shared" si="3"/>
        <v>5118529</v>
      </c>
      <c r="L164" s="1540"/>
      <c r="M164" s="1540"/>
      <c r="N164" s="1541"/>
      <c r="O164" s="1541"/>
      <c r="P164" s="1541"/>
      <c r="Q164" s="1541"/>
      <c r="R164" s="1541"/>
      <c r="S164" s="1541"/>
      <c r="T164" s="1541"/>
      <c r="U164" s="1541"/>
      <c r="V164" s="1541"/>
    </row>
    <row r="165" spans="1:22">
      <c r="A165" s="1505">
        <v>19</v>
      </c>
      <c r="B165" s="1505">
        <v>371</v>
      </c>
      <c r="C165" s="1505" t="s">
        <v>2297</v>
      </c>
      <c r="D165" s="1506" t="s">
        <v>2298</v>
      </c>
      <c r="E165" s="105">
        <v>419621</v>
      </c>
      <c r="F165" s="105">
        <v>1481</v>
      </c>
      <c r="G165" s="105">
        <v>0</v>
      </c>
      <c r="H165" s="105">
        <v>0</v>
      </c>
      <c r="I165" s="105"/>
      <c r="J165" s="105"/>
      <c r="K165" s="96">
        <f t="shared" si="3"/>
        <v>421102</v>
      </c>
      <c r="L165" s="1540"/>
      <c r="M165" s="1540"/>
      <c r="N165" s="1541"/>
      <c r="O165" s="1541"/>
      <c r="P165" s="1541"/>
      <c r="Q165" s="1541"/>
      <c r="R165" s="1541"/>
      <c r="S165" s="1541"/>
      <c r="T165" s="1541"/>
      <c r="U165" s="1541"/>
      <c r="V165" s="1541"/>
    </row>
    <row r="166" spans="1:22">
      <c r="A166" s="1505">
        <v>20</v>
      </c>
      <c r="B166" s="1505">
        <v>372</v>
      </c>
      <c r="C166" s="1505">
        <v>3720</v>
      </c>
      <c r="D166" s="1506" t="s">
        <v>643</v>
      </c>
      <c r="E166" s="105">
        <v>9647</v>
      </c>
      <c r="F166" s="105">
        <v>0</v>
      </c>
      <c r="G166" s="105">
        <v>0</v>
      </c>
      <c r="H166" s="105">
        <v>0</v>
      </c>
      <c r="I166" s="105"/>
      <c r="J166" s="105"/>
      <c r="K166" s="96">
        <f t="shared" si="3"/>
        <v>9647</v>
      </c>
      <c r="L166" s="1540"/>
      <c r="M166" s="1540"/>
      <c r="N166" s="1541"/>
      <c r="O166" s="1541"/>
      <c r="P166" s="1541"/>
      <c r="Q166" s="1541"/>
      <c r="R166" s="1541"/>
      <c r="S166" s="1541"/>
      <c r="T166" s="1541"/>
      <c r="U166" s="1541"/>
      <c r="V166" s="1541"/>
    </row>
    <row r="167" spans="1:22">
      <c r="A167" s="1505">
        <v>21</v>
      </c>
      <c r="B167" s="1505">
        <v>373</v>
      </c>
      <c r="C167" s="1505">
        <v>3731</v>
      </c>
      <c r="D167" s="1506" t="s">
        <v>771</v>
      </c>
      <c r="E167" s="105">
        <v>3196768</v>
      </c>
      <c r="F167" s="105">
        <v>-386376</v>
      </c>
      <c r="G167" s="105">
        <v>134113</v>
      </c>
      <c r="H167" s="105">
        <v>0</v>
      </c>
      <c r="I167" s="105"/>
      <c r="J167" s="105"/>
      <c r="K167" s="96">
        <f t="shared" si="3"/>
        <v>2676279</v>
      </c>
      <c r="L167" s="1540"/>
      <c r="M167" s="1540"/>
      <c r="N167" s="1541"/>
      <c r="O167" s="1541"/>
      <c r="P167" s="1541"/>
      <c r="Q167" s="1541"/>
      <c r="R167" s="1541"/>
      <c r="S167" s="1541"/>
      <c r="T167" s="1541"/>
      <c r="U167" s="1541"/>
      <c r="V167" s="1541"/>
    </row>
    <row r="168" spans="1:22">
      <c r="A168" s="1505">
        <v>22</v>
      </c>
      <c r="B168" s="1505">
        <v>373</v>
      </c>
      <c r="C168" s="1505">
        <v>3732</v>
      </c>
      <c r="D168" s="1506" t="s">
        <v>772</v>
      </c>
      <c r="E168" s="105">
        <v>3323318</v>
      </c>
      <c r="F168" s="105">
        <v>52090</v>
      </c>
      <c r="G168" s="105">
        <v>14658</v>
      </c>
      <c r="H168" s="105">
        <v>0</v>
      </c>
      <c r="I168" s="105"/>
      <c r="J168" s="105"/>
      <c r="K168" s="96">
        <f t="shared" si="3"/>
        <v>3360750</v>
      </c>
      <c r="L168" s="1540"/>
      <c r="M168" s="1540"/>
      <c r="N168" s="1541"/>
      <c r="O168" s="1541"/>
      <c r="P168" s="1541"/>
      <c r="Q168" s="1541"/>
      <c r="R168" s="1541"/>
      <c r="S168" s="1541"/>
      <c r="T168" s="1541"/>
      <c r="U168" s="1541"/>
      <c r="V168" s="1541"/>
    </row>
    <row r="169" spans="1:22">
      <c r="A169" s="1505">
        <v>23</v>
      </c>
      <c r="B169" s="1505">
        <v>373</v>
      </c>
      <c r="C169" s="1505">
        <v>3733</v>
      </c>
      <c r="D169" s="1506" t="s">
        <v>773</v>
      </c>
      <c r="E169" s="105">
        <v>1585699</v>
      </c>
      <c r="F169" s="105">
        <v>15453</v>
      </c>
      <c r="G169" s="105">
        <v>7405</v>
      </c>
      <c r="H169" s="105">
        <v>0</v>
      </c>
      <c r="I169" s="105"/>
      <c r="J169" s="105"/>
      <c r="K169" s="96">
        <f t="shared" si="3"/>
        <v>1593747</v>
      </c>
      <c r="L169" s="1540"/>
      <c r="M169" s="1540"/>
      <c r="N169" s="1541"/>
      <c r="O169" s="1541"/>
      <c r="P169" s="1541"/>
      <c r="Q169" s="1541"/>
      <c r="R169" s="1541"/>
      <c r="S169" s="1541"/>
      <c r="T169" s="1541"/>
      <c r="U169" s="1541"/>
      <c r="V169" s="1541"/>
    </row>
    <row r="170" spans="1:22">
      <c r="A170" s="1505">
        <v>24</v>
      </c>
      <c r="B170" s="1505">
        <v>373</v>
      </c>
      <c r="C170" s="1505">
        <v>3734</v>
      </c>
      <c r="D170" s="1506" t="s">
        <v>2288</v>
      </c>
      <c r="E170" s="105">
        <v>2000010</v>
      </c>
      <c r="F170" s="105">
        <v>347621</v>
      </c>
      <c r="G170" s="105">
        <v>-4582</v>
      </c>
      <c r="H170" s="105">
        <v>0</v>
      </c>
      <c r="I170" s="105"/>
      <c r="J170" s="105"/>
      <c r="K170" s="96">
        <f t="shared" si="3"/>
        <v>2352213</v>
      </c>
      <c r="L170" s="1540"/>
      <c r="M170" s="1540"/>
      <c r="N170" s="1541"/>
      <c r="O170" s="1541"/>
      <c r="P170" s="1541"/>
      <c r="Q170" s="1541"/>
      <c r="R170" s="1541"/>
      <c r="S170" s="1541"/>
      <c r="T170" s="1541"/>
      <c r="U170" s="1541"/>
      <c r="V170" s="1541"/>
    </row>
    <row r="171" spans="1:22">
      <c r="A171" s="1505">
        <v>25</v>
      </c>
      <c r="B171" s="1506"/>
      <c r="C171" s="1506"/>
      <c r="D171" s="1506" t="s">
        <v>1483</v>
      </c>
      <c r="E171" s="105">
        <v>0</v>
      </c>
      <c r="F171" s="105">
        <v>12913092</v>
      </c>
      <c r="G171" s="105">
        <v>0</v>
      </c>
      <c r="H171" s="105">
        <v>0</v>
      </c>
      <c r="I171" s="105"/>
      <c r="J171" s="105"/>
      <c r="K171" s="96">
        <f t="shared" si="3"/>
        <v>12913092</v>
      </c>
      <c r="L171" s="1540"/>
      <c r="M171" s="1540"/>
      <c r="N171" s="1541"/>
      <c r="O171" s="1541"/>
      <c r="P171" s="1541"/>
      <c r="Q171" s="1541"/>
      <c r="R171" s="1541"/>
      <c r="S171" s="1541"/>
      <c r="T171" s="1541"/>
      <c r="U171" s="1541"/>
      <c r="V171" s="1541"/>
    </row>
    <row r="172" spans="1:22">
      <c r="A172" s="1505"/>
      <c r="B172" s="1506"/>
      <c r="C172" s="1506"/>
      <c r="D172" s="1506"/>
      <c r="E172" s="105"/>
      <c r="F172" s="105"/>
      <c r="G172" s="105"/>
      <c r="H172" s="105"/>
      <c r="I172" s="105"/>
      <c r="J172" s="105"/>
      <c r="K172" s="105"/>
      <c r="L172" s="1540"/>
      <c r="M172" s="1540"/>
      <c r="N172" s="1541"/>
      <c r="O172" s="1541"/>
      <c r="P172" s="1541"/>
      <c r="Q172" s="1541"/>
      <c r="R172" s="1541"/>
      <c r="S172" s="1541"/>
      <c r="T172" s="1541"/>
      <c r="U172" s="1541"/>
      <c r="V172" s="1541"/>
    </row>
    <row r="173" spans="1:22">
      <c r="A173" s="1541"/>
      <c r="B173" s="1541"/>
      <c r="C173" s="1541"/>
      <c r="D173" s="1541"/>
      <c r="E173" s="1539"/>
      <c r="F173" s="2610"/>
      <c r="G173" s="1539"/>
      <c r="H173" s="1539"/>
      <c r="I173" s="1539"/>
      <c r="J173" s="1539"/>
      <c r="K173" s="1539"/>
      <c r="L173" s="1540"/>
      <c r="M173" s="1540"/>
      <c r="N173" s="1541"/>
      <c r="O173" s="1541"/>
      <c r="P173" s="1541"/>
      <c r="Q173" s="1541"/>
      <c r="R173" s="1541"/>
      <c r="S173" s="1541"/>
      <c r="T173" s="1541"/>
      <c r="U173" s="1541"/>
      <c r="V173" s="1541"/>
    </row>
    <row r="174" spans="1:22">
      <c r="A174" s="1621"/>
      <c r="B174" s="1621"/>
      <c r="C174" s="1621"/>
      <c r="D174" s="1621"/>
      <c r="E174" s="1622"/>
      <c r="F174" s="2688"/>
      <c r="G174" s="1622"/>
      <c r="H174" s="1622"/>
      <c r="I174" s="1622"/>
      <c r="J174" s="2687"/>
      <c r="K174" s="1622"/>
      <c r="L174" s="1540"/>
      <c r="M174" s="1540"/>
      <c r="N174" s="1541"/>
      <c r="O174" s="1541"/>
      <c r="P174" s="1541"/>
      <c r="Q174" s="1541"/>
      <c r="R174" s="1541"/>
      <c r="S174" s="1541"/>
      <c r="T174" s="1541"/>
      <c r="U174" s="1541"/>
      <c r="V174" s="1541"/>
    </row>
    <row r="175" spans="1:22">
      <c r="A175" s="1505">
        <v>26</v>
      </c>
      <c r="B175" s="1541"/>
      <c r="C175" s="1541"/>
      <c r="D175" s="1506" t="s">
        <v>1271</v>
      </c>
      <c r="E175" s="1539">
        <f>SUM(E147:E171)</f>
        <v>423714848</v>
      </c>
      <c r="F175" s="1539">
        <f>SUM(F147:F171)</f>
        <v>29578699</v>
      </c>
      <c r="G175" s="1539">
        <f>SUM(G147:G171)</f>
        <v>6176098</v>
      </c>
      <c r="H175" s="1539">
        <f>SUM(H147:H171)</f>
        <v>0</v>
      </c>
      <c r="I175" s="1539"/>
      <c r="J175" s="1540"/>
      <c r="K175" s="1539">
        <f>SUM(K147:K171)</f>
        <v>447117449</v>
      </c>
      <c r="L175" s="1540"/>
      <c r="M175" s="1540"/>
      <c r="N175" s="1541"/>
      <c r="O175" s="1541"/>
      <c r="P175" s="1541"/>
      <c r="Q175" s="1541"/>
      <c r="R175" s="1541"/>
      <c r="S175" s="1541"/>
      <c r="T175" s="1541"/>
      <c r="U175" s="1541"/>
      <c r="V175" s="1541"/>
    </row>
    <row r="176" spans="1:22">
      <c r="A176" s="1541"/>
      <c r="B176" s="1541"/>
      <c r="C176" s="1541"/>
      <c r="D176" s="1541"/>
      <c r="E176" s="1539"/>
      <c r="F176" s="2610"/>
      <c r="G176" s="1539"/>
      <c r="H176" s="1539"/>
      <c r="I176" s="1539"/>
      <c r="J176" s="1539"/>
      <c r="K176" s="1539"/>
      <c r="L176" s="1540"/>
      <c r="M176" s="1540"/>
      <c r="N176" s="1541"/>
      <c r="O176" s="1541"/>
      <c r="P176" s="1541"/>
      <c r="Q176" s="1541"/>
      <c r="R176" s="1541"/>
      <c r="S176" s="1541"/>
      <c r="T176" s="1541"/>
      <c r="U176" s="1541"/>
      <c r="V176" s="1541"/>
    </row>
    <row r="177" spans="1:22">
      <c r="A177" s="1621"/>
      <c r="B177" s="1621"/>
      <c r="C177" s="1621"/>
      <c r="D177" s="1621"/>
      <c r="E177" s="1622"/>
      <c r="F177" s="1622"/>
      <c r="G177" s="1622"/>
      <c r="H177" s="1622"/>
      <c r="I177" s="2687"/>
      <c r="J177" s="2687"/>
      <c r="K177" s="1622"/>
      <c r="L177" s="1540"/>
      <c r="M177" s="1540"/>
      <c r="N177" s="1541"/>
      <c r="O177" s="1541"/>
      <c r="P177" s="1541"/>
      <c r="Q177" s="1541"/>
      <c r="R177" s="1541"/>
      <c r="S177" s="1541"/>
      <c r="T177" s="1541"/>
      <c r="U177" s="1541"/>
      <c r="V177" s="1541"/>
    </row>
    <row r="178" spans="1:22">
      <c r="A178" s="1506"/>
      <c r="B178" s="1541"/>
      <c r="C178" s="1541"/>
      <c r="D178" s="1541"/>
      <c r="E178" s="1541"/>
      <c r="F178" s="1541"/>
      <c r="G178" s="1541"/>
      <c r="H178" s="1541"/>
      <c r="I178" s="1541"/>
      <c r="J178" s="1541"/>
      <c r="K178" s="1541"/>
      <c r="L178" s="1540"/>
      <c r="M178" s="1540"/>
      <c r="N178" s="1541"/>
      <c r="O178" s="1541"/>
      <c r="P178" s="1541"/>
      <c r="Q178" s="1541"/>
      <c r="R178" s="1541"/>
      <c r="S178" s="1541"/>
      <c r="T178" s="1541"/>
      <c r="U178" s="1541"/>
      <c r="V178" s="1541"/>
    </row>
    <row r="179" spans="1:22">
      <c r="A179" s="103" t="str">
        <f>A1</f>
        <v>DUKE ENERGY KENTUCKY, INC.</v>
      </c>
      <c r="B179" s="2585"/>
      <c r="C179" s="2585"/>
      <c r="D179" s="2585"/>
      <c r="E179" s="103"/>
      <c r="F179" s="2585"/>
      <c r="G179" s="2585"/>
      <c r="H179" s="2585"/>
      <c r="I179" s="2585"/>
      <c r="J179" s="2585"/>
      <c r="K179" s="2585"/>
      <c r="L179" s="1541"/>
      <c r="M179" s="1540"/>
      <c r="N179" s="1541"/>
      <c r="O179" s="1541"/>
      <c r="P179" s="1541"/>
      <c r="Q179" s="1541"/>
      <c r="R179" s="1541"/>
      <c r="S179" s="1541"/>
      <c r="T179" s="1541"/>
      <c r="U179" s="1541"/>
      <c r="V179" s="1541"/>
    </row>
    <row r="180" spans="1:22">
      <c r="A180" s="103" t="str">
        <f>A2</f>
        <v>CASE NO. 2017-00321</v>
      </c>
      <c r="B180" s="2585"/>
      <c r="C180" s="2585"/>
      <c r="D180" s="2585"/>
      <c r="E180" s="103"/>
      <c r="F180" s="2585"/>
      <c r="G180" s="2585"/>
      <c r="H180" s="2585"/>
      <c r="I180" s="2585"/>
      <c r="J180" s="2585"/>
      <c r="K180" s="2585"/>
      <c r="L180" s="1541"/>
      <c r="M180" s="1540"/>
      <c r="N180" s="1541"/>
      <c r="O180" s="1541"/>
      <c r="P180" s="1541"/>
      <c r="Q180" s="1541"/>
      <c r="R180" s="1541"/>
      <c r="S180" s="1541"/>
      <c r="T180" s="1541"/>
      <c r="U180" s="1541"/>
      <c r="V180" s="1541"/>
    </row>
    <row r="181" spans="1:22">
      <c r="A181" s="103" t="str">
        <f>A3</f>
        <v>GROSS ADDITIONS, RETIREMENTS, AND TRANSFERS</v>
      </c>
      <c r="B181" s="2585"/>
      <c r="C181" s="2585"/>
      <c r="D181" s="2585"/>
      <c r="E181" s="103"/>
      <c r="F181" s="2585"/>
      <c r="G181" s="2585"/>
      <c r="H181" s="2585"/>
      <c r="I181" s="2585"/>
      <c r="J181" s="2585"/>
      <c r="K181" s="2585"/>
      <c r="L181" s="1541"/>
      <c r="M181" s="1540"/>
      <c r="N181" s="1541"/>
      <c r="O181" s="1541"/>
      <c r="P181" s="1541"/>
      <c r="Q181" s="1541"/>
      <c r="R181" s="1541"/>
      <c r="S181" s="1541"/>
      <c r="T181" s="1541"/>
      <c r="U181" s="1541"/>
      <c r="V181" s="1541"/>
    </row>
    <row r="182" spans="1:22">
      <c r="A182" s="103" t="str">
        <f>A4</f>
        <v>FROM DECEMBER 1, 2016 TO NOVEMBER 30, 2017</v>
      </c>
      <c r="B182" s="2585"/>
      <c r="C182" s="2585"/>
      <c r="D182" s="2585"/>
      <c r="E182" s="103"/>
      <c r="F182" s="2585"/>
      <c r="G182" s="2585"/>
      <c r="H182" s="2585"/>
      <c r="I182" s="2585"/>
      <c r="J182" s="2585"/>
      <c r="K182" s="2585"/>
      <c r="L182" s="1541"/>
      <c r="M182" s="1540"/>
      <c r="N182" s="1541"/>
      <c r="O182" s="1541"/>
      <c r="P182" s="1541"/>
      <c r="Q182" s="1541"/>
      <c r="R182" s="1541"/>
      <c r="S182" s="1541"/>
      <c r="T182" s="1541"/>
      <c r="U182" s="1541"/>
      <c r="V182" s="1541"/>
    </row>
    <row r="183" spans="1:22">
      <c r="A183" s="2585"/>
      <c r="B183" s="2585"/>
      <c r="C183" s="2585"/>
      <c r="D183" s="2585"/>
      <c r="E183" s="2585"/>
      <c r="F183" s="2585"/>
      <c r="G183" s="2585"/>
      <c r="H183" s="2585"/>
      <c r="I183" s="2585"/>
      <c r="J183" s="2585"/>
      <c r="K183" s="2585"/>
      <c r="L183" s="1541"/>
      <c r="M183" s="1540"/>
      <c r="N183" s="1541"/>
      <c r="O183" s="1541"/>
      <c r="P183" s="1541"/>
      <c r="Q183" s="1541"/>
      <c r="R183" s="1541"/>
      <c r="S183" s="1541"/>
      <c r="T183" s="1541"/>
      <c r="U183" s="1541"/>
      <c r="V183" s="1541"/>
    </row>
    <row r="184" spans="1:22">
      <c r="A184" s="103" t="s">
        <v>1272</v>
      </c>
      <c r="B184" s="2585"/>
      <c r="C184" s="2585"/>
      <c r="D184" s="2585"/>
      <c r="E184" s="103"/>
      <c r="F184" s="2585"/>
      <c r="G184" s="2585"/>
      <c r="H184" s="2585"/>
      <c r="I184" s="2585"/>
      <c r="J184" s="2585"/>
      <c r="K184" s="2585"/>
      <c r="L184" s="1541"/>
      <c r="M184" s="1540"/>
      <c r="N184" s="1541"/>
      <c r="O184" s="1541"/>
      <c r="P184" s="1541"/>
      <c r="Q184" s="1541"/>
      <c r="R184" s="1541"/>
      <c r="S184" s="1541"/>
      <c r="T184" s="1541"/>
      <c r="U184" s="1541"/>
      <c r="V184" s="1541"/>
    </row>
    <row r="185" spans="1:22">
      <c r="A185" s="2585"/>
      <c r="B185" s="2585"/>
      <c r="C185" s="2585"/>
      <c r="D185" s="2585"/>
      <c r="E185" s="103"/>
      <c r="F185" s="2585"/>
      <c r="G185" s="2585"/>
      <c r="H185" s="2585"/>
      <c r="I185" s="2585"/>
      <c r="J185" s="2585"/>
      <c r="K185" s="2585"/>
      <c r="L185" s="1541"/>
      <c r="M185" s="1540"/>
      <c r="N185" s="1541"/>
      <c r="O185" s="1541"/>
      <c r="P185" s="1541"/>
      <c r="Q185" s="1541"/>
      <c r="R185" s="1541"/>
      <c r="S185" s="1541"/>
      <c r="T185" s="1541"/>
      <c r="U185" s="1541"/>
      <c r="V185" s="1541"/>
    </row>
    <row r="186" spans="1:22">
      <c r="A186" s="2569" t="s">
        <v>1799</v>
      </c>
      <c r="B186" s="2585"/>
      <c r="C186" s="2585"/>
      <c r="D186" s="2585"/>
      <c r="E186" s="2585"/>
      <c r="F186" s="2585"/>
      <c r="G186" s="2585"/>
      <c r="H186" s="2585"/>
      <c r="I186" s="2585"/>
      <c r="J186" s="2585"/>
      <c r="K186" s="2585"/>
      <c r="L186" s="1541"/>
      <c r="M186" s="1540"/>
      <c r="N186" s="1541"/>
      <c r="O186" s="1541"/>
      <c r="P186" s="1541"/>
      <c r="Q186" s="1541"/>
      <c r="R186" s="1541"/>
      <c r="S186" s="1541"/>
      <c r="T186" s="1541"/>
      <c r="U186" s="1541"/>
      <c r="V186" s="1541"/>
    </row>
    <row r="187" spans="1:22">
      <c r="A187" s="2569"/>
      <c r="B187" s="2585"/>
      <c r="C187" s="2585"/>
      <c r="D187" s="2585"/>
      <c r="E187" s="2585"/>
      <c r="F187" s="2585"/>
      <c r="G187" s="2585"/>
      <c r="H187" s="2585"/>
      <c r="I187" s="2585"/>
      <c r="J187" s="2585"/>
      <c r="K187" s="2585"/>
      <c r="L187" s="1541"/>
      <c r="M187" s="1540"/>
      <c r="N187" s="1541"/>
      <c r="O187" s="1541"/>
      <c r="P187" s="1541"/>
      <c r="Q187" s="1541"/>
      <c r="R187" s="1541"/>
      <c r="S187" s="1541"/>
      <c r="T187" s="1541"/>
      <c r="U187" s="1541"/>
      <c r="V187" s="1541"/>
    </row>
    <row r="188" spans="1:22">
      <c r="A188" s="1506" t="str">
        <f>Data</f>
        <v>DATA: "X" BASE PERIOD   FORECASTED PERIOD</v>
      </c>
      <c r="B188" s="1541"/>
      <c r="C188" s="1541"/>
      <c r="D188" s="1541"/>
      <c r="E188" s="1541"/>
      <c r="F188" s="1541"/>
      <c r="G188" s="1541"/>
      <c r="H188" s="1541"/>
      <c r="I188" s="1541"/>
      <c r="J188" s="1506" t="str">
        <f>J10</f>
        <v>SCHEDULE B-2.3</v>
      </c>
      <c r="K188" s="1541"/>
      <c r="L188" s="1541"/>
      <c r="M188" s="1540"/>
      <c r="N188" s="1541"/>
      <c r="O188" s="1541"/>
      <c r="P188" s="1541"/>
      <c r="Q188" s="1541"/>
      <c r="R188" s="1541"/>
      <c r="S188" s="1541"/>
      <c r="T188" s="1541"/>
      <c r="U188" s="1541"/>
      <c r="V188" s="1541"/>
    </row>
    <row r="189" spans="1:22">
      <c r="A189" s="1506" t="str">
        <f>A11</f>
        <v xml:space="preserve">TYPE OF FILING:  "X" ORIGINAL   UPDATED    REVISED  </v>
      </c>
      <c r="B189" s="1541"/>
      <c r="C189" s="1541"/>
      <c r="D189" s="1541"/>
      <c r="E189" s="1541"/>
      <c r="F189" s="1541"/>
      <c r="G189" s="1541"/>
      <c r="H189" s="1541"/>
      <c r="I189" s="1541"/>
      <c r="J189" s="1506" t="s">
        <v>1907</v>
      </c>
      <c r="K189" s="1541"/>
      <c r="L189" s="1541"/>
      <c r="M189" s="1540"/>
      <c r="N189" s="1541"/>
      <c r="O189" s="1541"/>
      <c r="P189" s="1541"/>
      <c r="Q189" s="1541"/>
      <c r="R189" s="1541"/>
      <c r="S189" s="1541"/>
      <c r="T189" s="1541"/>
      <c r="U189" s="1541"/>
      <c r="V189" s="1541"/>
    </row>
    <row r="190" spans="1:22">
      <c r="A190" s="1506" t="str">
        <f>A12</f>
        <v>WORK PAPER REFERENCE NO(S).:</v>
      </c>
      <c r="B190" s="1541"/>
      <c r="C190" s="1541"/>
      <c r="D190" s="1541"/>
      <c r="E190" s="1541"/>
      <c r="F190" s="1541"/>
      <c r="G190" s="1541"/>
      <c r="H190" s="1541"/>
      <c r="I190" s="1541"/>
      <c r="J190" s="2586" t="s">
        <v>622</v>
      </c>
      <c r="K190" s="1541"/>
      <c r="L190" s="1541"/>
      <c r="M190" s="1540"/>
      <c r="N190" s="1541"/>
      <c r="O190" s="1541"/>
      <c r="P190" s="1541"/>
      <c r="Q190" s="1541"/>
      <c r="R190" s="1541"/>
      <c r="S190" s="1541"/>
      <c r="T190" s="1541"/>
      <c r="U190" s="1541"/>
      <c r="V190" s="1541"/>
    </row>
    <row r="191" spans="1:22">
      <c r="A191" s="1541"/>
      <c r="B191" s="1541"/>
      <c r="C191" s="1541"/>
      <c r="D191" s="1541"/>
      <c r="E191" s="1541"/>
      <c r="F191" s="1541"/>
      <c r="G191" s="1541"/>
      <c r="H191" s="1541"/>
      <c r="I191" s="1541"/>
      <c r="J191" s="2586" t="str">
        <f>J13</f>
        <v>R. H. PRATT / C. S. LEE</v>
      </c>
      <c r="K191" s="1541"/>
      <c r="L191" s="1541"/>
      <c r="M191" s="1540"/>
      <c r="N191" s="1541"/>
      <c r="O191" s="1541"/>
      <c r="P191" s="1541"/>
      <c r="Q191" s="1541"/>
      <c r="R191" s="1541"/>
      <c r="S191" s="1541"/>
      <c r="T191" s="1541"/>
      <c r="U191" s="1541"/>
      <c r="V191" s="1541"/>
    </row>
    <row r="192" spans="1:22">
      <c r="A192" s="1541"/>
      <c r="B192" s="1541"/>
      <c r="C192" s="1541"/>
      <c r="D192" s="1541"/>
      <c r="E192" s="1541"/>
      <c r="F192" s="1541"/>
      <c r="G192" s="1541"/>
      <c r="H192" s="1541"/>
      <c r="I192" s="1541"/>
      <c r="J192" s="1541"/>
      <c r="K192" s="1541"/>
      <c r="L192" s="1541"/>
      <c r="M192" s="1540"/>
      <c r="N192" s="1541"/>
      <c r="O192" s="1541"/>
      <c r="P192" s="1541"/>
      <c r="Q192" s="1541"/>
      <c r="R192" s="1541"/>
      <c r="S192" s="1541"/>
      <c r="T192" s="1541"/>
      <c r="U192" s="1541"/>
      <c r="V192" s="1541"/>
    </row>
    <row r="193" spans="1:22">
      <c r="A193" s="1541"/>
      <c r="B193" s="1541"/>
      <c r="C193" s="1541"/>
      <c r="D193" s="1541"/>
      <c r="E193" s="1541"/>
      <c r="F193" s="1541"/>
      <c r="G193" s="1541"/>
      <c r="H193" s="2587"/>
      <c r="I193" s="1541"/>
      <c r="J193" s="1541"/>
      <c r="K193" s="1541"/>
      <c r="L193" s="1541"/>
      <c r="M193" s="1540"/>
      <c r="N193" s="1541"/>
      <c r="O193" s="1541"/>
      <c r="P193" s="1541"/>
      <c r="Q193" s="1541"/>
      <c r="R193" s="1541"/>
      <c r="S193" s="1541"/>
      <c r="T193" s="1541"/>
      <c r="U193" s="1541"/>
      <c r="V193" s="1541"/>
    </row>
    <row r="194" spans="1:22">
      <c r="A194" s="1621"/>
      <c r="B194" s="1621"/>
      <c r="C194" s="2674"/>
      <c r="D194" s="1621"/>
      <c r="E194" s="1621"/>
      <c r="F194" s="1621"/>
      <c r="G194" s="1621"/>
      <c r="H194" s="1631"/>
      <c r="I194" s="1621"/>
      <c r="J194" s="1621"/>
      <c r="K194" s="1621"/>
      <c r="L194" s="1541"/>
      <c r="M194" s="1540"/>
      <c r="N194" s="1541"/>
      <c r="O194" s="1541"/>
      <c r="P194" s="1541"/>
      <c r="Q194" s="1541"/>
      <c r="R194" s="1541"/>
      <c r="S194" s="1541"/>
      <c r="T194" s="1541"/>
      <c r="U194" s="1541"/>
      <c r="V194" s="1541"/>
    </row>
    <row r="195" spans="1:22">
      <c r="A195" s="1541"/>
      <c r="B195" s="1505" t="s">
        <v>943</v>
      </c>
      <c r="C195" s="1505" t="s">
        <v>1750</v>
      </c>
      <c r="D195" s="1541"/>
      <c r="E195" s="1541"/>
      <c r="F195" s="1541"/>
      <c r="G195" s="1541"/>
      <c r="H195" s="102" t="s">
        <v>1090</v>
      </c>
      <c r="I195" s="102"/>
      <c r="J195" s="102"/>
      <c r="K195" s="1541"/>
      <c r="L195" s="1541"/>
      <c r="M195" s="1540"/>
      <c r="N195" s="1541"/>
      <c r="O195" s="1541"/>
      <c r="P195" s="1541"/>
      <c r="Q195" s="1541"/>
      <c r="R195" s="1541"/>
      <c r="S195" s="1541"/>
      <c r="T195" s="1541"/>
      <c r="U195" s="1541"/>
      <c r="V195" s="1541"/>
    </row>
    <row r="196" spans="1:22">
      <c r="A196" s="1505" t="s">
        <v>1240</v>
      </c>
      <c r="B196" s="1505" t="s">
        <v>1164</v>
      </c>
      <c r="C196" s="1505" t="s">
        <v>1164</v>
      </c>
      <c r="D196" s="1505" t="s">
        <v>1118</v>
      </c>
      <c r="E196" s="1505" t="s">
        <v>1091</v>
      </c>
      <c r="F196" s="1541"/>
      <c r="G196" s="1541"/>
      <c r="H196" s="1621"/>
      <c r="I196" s="2679" t="s">
        <v>1092</v>
      </c>
      <c r="J196" s="2679" t="s">
        <v>120</v>
      </c>
      <c r="K196" s="1505" t="s">
        <v>121</v>
      </c>
      <c r="L196" s="1541"/>
      <c r="M196" s="1540"/>
      <c r="N196" s="1541"/>
      <c r="O196" s="1541"/>
      <c r="P196" s="1541"/>
      <c r="Q196" s="1541"/>
      <c r="R196" s="1541"/>
      <c r="S196" s="1541"/>
      <c r="T196" s="1541"/>
      <c r="U196" s="1541"/>
      <c r="V196" s="1541"/>
    </row>
    <row r="197" spans="1:22">
      <c r="A197" s="1505" t="s">
        <v>1241</v>
      </c>
      <c r="B197" s="1505" t="s">
        <v>1241</v>
      </c>
      <c r="C197" s="1505" t="s">
        <v>1241</v>
      </c>
      <c r="D197" s="1505" t="s">
        <v>122</v>
      </c>
      <c r="E197" s="1505" t="s">
        <v>123</v>
      </c>
      <c r="F197" s="1505" t="s">
        <v>124</v>
      </c>
      <c r="G197" s="1505" t="s">
        <v>125</v>
      </c>
      <c r="H197" s="1505" t="s">
        <v>646</v>
      </c>
      <c r="I197" s="1505" t="s">
        <v>126</v>
      </c>
      <c r="J197" s="1505" t="s">
        <v>127</v>
      </c>
      <c r="K197" s="1505" t="s">
        <v>123</v>
      </c>
      <c r="L197" s="1541"/>
      <c r="M197" s="1540"/>
      <c r="N197" s="1541"/>
      <c r="O197" s="1541"/>
      <c r="P197" s="1541"/>
      <c r="Q197" s="1541"/>
      <c r="R197" s="1541"/>
      <c r="S197" s="1541"/>
      <c r="T197" s="1541"/>
      <c r="U197" s="1541"/>
      <c r="V197" s="1541"/>
    </row>
    <row r="198" spans="1:22">
      <c r="A198" s="1541"/>
      <c r="B198" s="1541"/>
      <c r="C198" s="1541"/>
      <c r="D198" s="1541"/>
      <c r="E198" s="1541"/>
      <c r="F198" s="1541"/>
      <c r="G198" s="1541"/>
      <c r="H198" s="1541"/>
      <c r="I198" s="1541"/>
      <c r="J198" s="1541"/>
      <c r="K198" s="1541"/>
      <c r="L198" s="1541"/>
      <c r="M198" s="1540"/>
      <c r="N198" s="1541"/>
      <c r="O198" s="1541"/>
      <c r="P198" s="1541"/>
      <c r="Q198" s="1541"/>
      <c r="R198" s="1541"/>
      <c r="S198" s="1541"/>
      <c r="T198" s="1541"/>
      <c r="U198" s="1541"/>
      <c r="V198" s="1541"/>
    </row>
    <row r="199" spans="1:22">
      <c r="A199" s="1621"/>
      <c r="B199" s="1621"/>
      <c r="C199" s="1621"/>
      <c r="D199" s="1621"/>
      <c r="E199" s="2679" t="s">
        <v>1705</v>
      </c>
      <c r="F199" s="2679" t="s">
        <v>1705</v>
      </c>
      <c r="G199" s="2679" t="s">
        <v>1705</v>
      </c>
      <c r="H199" s="2679" t="s">
        <v>1705</v>
      </c>
      <c r="I199" s="1621"/>
      <c r="J199" s="1621"/>
      <c r="K199" s="2679" t="s">
        <v>1705</v>
      </c>
      <c r="L199" s="1541"/>
      <c r="M199" s="1540"/>
      <c r="N199" s="1541"/>
      <c r="O199" s="1541"/>
      <c r="P199" s="1541"/>
      <c r="Q199" s="1541"/>
      <c r="R199" s="1541"/>
      <c r="S199" s="1541"/>
      <c r="T199" s="1541"/>
      <c r="U199" s="1541"/>
      <c r="V199" s="1541"/>
    </row>
    <row r="200" spans="1:22">
      <c r="A200" s="89"/>
      <c r="B200" s="89"/>
      <c r="C200" s="89"/>
      <c r="D200" s="89"/>
      <c r="E200" s="95"/>
      <c r="F200" s="95"/>
      <c r="G200" s="95"/>
      <c r="H200" s="95"/>
      <c r="I200" s="89"/>
      <c r="J200" s="89"/>
      <c r="K200" s="95"/>
      <c r="L200" s="1541"/>
      <c r="M200" s="1540"/>
      <c r="N200" s="1541"/>
      <c r="O200" s="1541"/>
      <c r="P200" s="1541"/>
      <c r="Q200" s="1541"/>
      <c r="R200" s="1541"/>
      <c r="S200" s="1541"/>
      <c r="T200" s="1541"/>
      <c r="U200" s="1541"/>
      <c r="V200" s="1541"/>
    </row>
    <row r="201" spans="1:22">
      <c r="A201" s="1505">
        <v>1</v>
      </c>
      <c r="B201" s="1505">
        <v>303</v>
      </c>
      <c r="C201" s="1505">
        <v>3030</v>
      </c>
      <c r="D201" s="1506" t="s">
        <v>1273</v>
      </c>
      <c r="E201" s="2613">
        <v>12334223</v>
      </c>
      <c r="F201" s="2613">
        <v>170161</v>
      </c>
      <c r="G201" s="2613">
        <v>0</v>
      </c>
      <c r="H201" s="2613">
        <v>0</v>
      </c>
      <c r="I201" s="2613"/>
      <c r="J201" s="2613"/>
      <c r="K201" s="1539">
        <f t="shared" ref="K201:K210" si="4">E201+F201-G201+H201</f>
        <v>12504384</v>
      </c>
      <c r="L201" s="1541"/>
      <c r="M201" s="1540"/>
      <c r="N201" s="1541"/>
      <c r="O201" s="1541"/>
      <c r="P201" s="1541"/>
      <c r="Q201" s="1541"/>
      <c r="R201" s="1541"/>
      <c r="S201" s="1541"/>
      <c r="T201" s="1541"/>
      <c r="U201" s="1541"/>
      <c r="V201" s="1541"/>
    </row>
    <row r="202" spans="1:22">
      <c r="A202" s="1505">
        <v>2</v>
      </c>
      <c r="B202" s="1505">
        <v>390</v>
      </c>
      <c r="C202" s="1505">
        <v>3900</v>
      </c>
      <c r="D202" s="1506" t="s">
        <v>1170</v>
      </c>
      <c r="E202" s="2613">
        <v>144984</v>
      </c>
      <c r="F202" s="2613">
        <v>0</v>
      </c>
      <c r="G202" s="2613">
        <v>0</v>
      </c>
      <c r="H202" s="2613">
        <v>0</v>
      </c>
      <c r="I202" s="2613"/>
      <c r="J202" s="2613"/>
      <c r="K202" s="1539">
        <f t="shared" si="4"/>
        <v>144984</v>
      </c>
      <c r="L202" s="1540"/>
      <c r="M202" s="1540"/>
      <c r="N202" s="1541"/>
      <c r="O202" s="1541"/>
      <c r="P202" s="1541"/>
      <c r="Q202" s="1541"/>
      <c r="R202" s="1541"/>
      <c r="S202" s="1541"/>
      <c r="T202" s="1541"/>
      <c r="U202" s="1541"/>
      <c r="V202" s="1541"/>
    </row>
    <row r="203" spans="1:22">
      <c r="A203" s="1505">
        <v>3</v>
      </c>
      <c r="B203" s="1505">
        <v>391</v>
      </c>
      <c r="C203" s="1505">
        <v>3910</v>
      </c>
      <c r="D203" s="1506" t="s">
        <v>1274</v>
      </c>
      <c r="E203" s="2613">
        <v>15317</v>
      </c>
      <c r="F203" s="2613">
        <v>0</v>
      </c>
      <c r="G203" s="2613">
        <v>0</v>
      </c>
      <c r="H203" s="2613">
        <v>0</v>
      </c>
      <c r="I203" s="2613"/>
      <c r="J203" s="2613"/>
      <c r="K203" s="1539">
        <f t="shared" si="4"/>
        <v>15317</v>
      </c>
      <c r="L203" s="1540"/>
      <c r="M203" s="1540"/>
      <c r="N203" s="1541"/>
      <c r="O203" s="1541"/>
      <c r="P203" s="1541"/>
      <c r="Q203" s="1541"/>
      <c r="R203" s="1541"/>
      <c r="S203" s="1541"/>
      <c r="T203" s="1541"/>
      <c r="U203" s="1541"/>
      <c r="V203" s="1541"/>
    </row>
    <row r="204" spans="1:22">
      <c r="A204" s="1505">
        <v>4</v>
      </c>
      <c r="B204" s="1505">
        <v>391</v>
      </c>
      <c r="C204" s="1505">
        <v>3911</v>
      </c>
      <c r="D204" s="1506" t="s">
        <v>2289</v>
      </c>
      <c r="E204" s="2613">
        <v>2098313</v>
      </c>
      <c r="F204" s="2613">
        <v>375958</v>
      </c>
      <c r="G204" s="2613">
        <v>0</v>
      </c>
      <c r="H204" s="2613">
        <v>0</v>
      </c>
      <c r="I204" s="2613"/>
      <c r="J204" s="2613"/>
      <c r="K204" s="1539">
        <f t="shared" si="4"/>
        <v>2474271</v>
      </c>
      <c r="L204" s="1540"/>
      <c r="M204" s="1541"/>
      <c r="N204" s="1541"/>
      <c r="O204" s="1541"/>
      <c r="P204" s="1541"/>
      <c r="Q204" s="1541"/>
      <c r="R204" s="1541"/>
      <c r="S204" s="1541"/>
      <c r="T204" s="1541"/>
      <c r="U204" s="1541"/>
      <c r="V204" s="1541"/>
    </row>
    <row r="205" spans="1:22">
      <c r="A205" s="1505">
        <v>5</v>
      </c>
      <c r="B205" s="1505">
        <v>392</v>
      </c>
      <c r="C205" s="1505">
        <v>3920</v>
      </c>
      <c r="D205" s="1506" t="s">
        <v>2750</v>
      </c>
      <c r="E205" s="2613">
        <v>207668</v>
      </c>
      <c r="F205" s="2613">
        <v>11052</v>
      </c>
      <c r="G205" s="2613">
        <v>0</v>
      </c>
      <c r="H205" s="2613">
        <v>0</v>
      </c>
      <c r="I205" s="2613"/>
      <c r="J205" s="2613"/>
      <c r="K205" s="1539">
        <f t="shared" si="4"/>
        <v>218720</v>
      </c>
      <c r="L205" s="1540"/>
      <c r="M205" s="1541"/>
      <c r="N205" s="1541"/>
      <c r="O205" s="1541"/>
      <c r="P205" s="1541"/>
      <c r="Q205" s="1541"/>
      <c r="R205" s="1541"/>
      <c r="S205" s="1541"/>
      <c r="T205" s="1541"/>
      <c r="U205" s="1541"/>
      <c r="V205" s="1541"/>
    </row>
    <row r="206" spans="1:22">
      <c r="A206" s="1505">
        <v>6</v>
      </c>
      <c r="B206" s="1505">
        <v>392</v>
      </c>
      <c r="C206" s="1505">
        <v>3921</v>
      </c>
      <c r="D206" s="1506" t="s">
        <v>1275</v>
      </c>
      <c r="E206" s="2613">
        <v>190008</v>
      </c>
      <c r="F206" s="2613">
        <v>11052</v>
      </c>
      <c r="G206" s="2613">
        <v>0</v>
      </c>
      <c r="H206" s="2613">
        <v>0</v>
      </c>
      <c r="I206" s="2613"/>
      <c r="J206" s="2613"/>
      <c r="K206" s="1539">
        <f t="shared" si="4"/>
        <v>201060</v>
      </c>
      <c r="L206" s="1540"/>
      <c r="M206" s="1541"/>
      <c r="N206" s="1541"/>
      <c r="O206" s="1541"/>
      <c r="P206" s="1541"/>
      <c r="Q206" s="1541"/>
      <c r="R206" s="1541"/>
      <c r="S206" s="1541"/>
      <c r="T206" s="1541"/>
      <c r="U206" s="1541"/>
      <c r="V206" s="1541"/>
    </row>
    <row r="207" spans="1:22">
      <c r="A207" s="1505">
        <v>7</v>
      </c>
      <c r="B207" s="1505">
        <v>394</v>
      </c>
      <c r="C207" s="1505">
        <v>3940</v>
      </c>
      <c r="D207" s="1506" t="s">
        <v>774</v>
      </c>
      <c r="E207" s="2613">
        <v>1640992</v>
      </c>
      <c r="F207" s="2613">
        <v>435846</v>
      </c>
      <c r="G207" s="2613">
        <v>2128</v>
      </c>
      <c r="H207" s="2613">
        <v>0</v>
      </c>
      <c r="I207" s="2613"/>
      <c r="J207" s="2613"/>
      <c r="K207" s="1539">
        <f t="shared" si="4"/>
        <v>2074710</v>
      </c>
      <c r="L207" s="1540"/>
      <c r="M207" s="1540"/>
      <c r="N207" s="1541"/>
      <c r="O207" s="1541"/>
      <c r="P207" s="1541"/>
      <c r="Q207" s="1541"/>
      <c r="R207" s="1541"/>
      <c r="S207" s="1541"/>
      <c r="T207" s="1541"/>
      <c r="U207" s="1541"/>
      <c r="V207" s="1541"/>
    </row>
    <row r="208" spans="1:22">
      <c r="A208" s="1505">
        <v>8</v>
      </c>
      <c r="B208" s="1505">
        <v>396</v>
      </c>
      <c r="C208" s="1505">
        <v>3960</v>
      </c>
      <c r="D208" s="1506" t="s">
        <v>1277</v>
      </c>
      <c r="E208" s="2613">
        <v>11770</v>
      </c>
      <c r="F208" s="2613">
        <v>0</v>
      </c>
      <c r="G208" s="2613">
        <v>0</v>
      </c>
      <c r="H208" s="2613">
        <v>0</v>
      </c>
      <c r="I208" s="2613"/>
      <c r="J208" s="2613"/>
      <c r="K208" s="1539">
        <f t="shared" si="4"/>
        <v>11770</v>
      </c>
      <c r="L208" s="1540"/>
      <c r="M208" s="1540"/>
      <c r="N208" s="1541"/>
      <c r="O208" s="1541"/>
      <c r="P208" s="1541"/>
      <c r="Q208" s="1541"/>
      <c r="R208" s="1541"/>
      <c r="S208" s="1541"/>
      <c r="T208" s="1541"/>
      <c r="U208" s="1541"/>
      <c r="V208" s="1541"/>
    </row>
    <row r="209" spans="1:22">
      <c r="A209" s="1505">
        <v>9</v>
      </c>
      <c r="B209" s="1505">
        <v>397</v>
      </c>
      <c r="C209" s="1505">
        <v>3970</v>
      </c>
      <c r="D209" s="1506" t="s">
        <v>1330</v>
      </c>
      <c r="E209" s="2613">
        <v>2869017</v>
      </c>
      <c r="F209" s="2613">
        <v>54986</v>
      </c>
      <c r="G209" s="2613">
        <v>14291</v>
      </c>
      <c r="H209" s="2613">
        <v>0</v>
      </c>
      <c r="I209" s="2613"/>
      <c r="J209" s="2613"/>
      <c r="K209" s="1539">
        <f t="shared" si="4"/>
        <v>2909712</v>
      </c>
      <c r="L209" s="1540"/>
      <c r="M209" s="1540"/>
      <c r="N209" s="1541"/>
      <c r="O209" s="1541"/>
      <c r="P209" s="1541"/>
      <c r="Q209" s="1541"/>
      <c r="R209" s="1541"/>
      <c r="S209" s="1541"/>
      <c r="T209" s="1541"/>
      <c r="U209" s="1541"/>
      <c r="V209" s="1541"/>
    </row>
    <row r="210" spans="1:22">
      <c r="A210" s="1505">
        <v>10</v>
      </c>
      <c r="B210" s="1506"/>
      <c r="C210" s="1506"/>
      <c r="D210" s="1506" t="s">
        <v>1483</v>
      </c>
      <c r="E210" s="2613">
        <v>0</v>
      </c>
      <c r="F210" s="2613">
        <v>1807792</v>
      </c>
      <c r="G210" s="2613">
        <v>0</v>
      </c>
      <c r="H210" s="2613">
        <v>0</v>
      </c>
      <c r="I210" s="2613"/>
      <c r="J210" s="2613"/>
      <c r="K210" s="1539">
        <f t="shared" si="4"/>
        <v>1807792</v>
      </c>
      <c r="L210" s="1540"/>
      <c r="M210" s="1540"/>
      <c r="N210" s="1541"/>
      <c r="O210" s="1541"/>
      <c r="P210" s="1541"/>
      <c r="Q210" s="1541"/>
      <c r="R210" s="1541"/>
      <c r="S210" s="1541"/>
      <c r="T210" s="1541"/>
      <c r="U210" s="1541"/>
      <c r="V210" s="1541"/>
    </row>
    <row r="211" spans="1:22">
      <c r="A211" s="1541"/>
      <c r="B211" s="1541"/>
      <c r="C211" s="1541"/>
      <c r="D211" s="1541"/>
      <c r="E211" s="1539"/>
      <c r="F211" s="1539">
        <v>0</v>
      </c>
      <c r="G211" s="1539">
        <v>0</v>
      </c>
      <c r="H211" s="1539">
        <v>0</v>
      </c>
      <c r="I211" s="1539"/>
      <c r="J211" s="1539"/>
      <c r="K211" s="1539"/>
      <c r="L211" s="1540"/>
      <c r="M211" s="1540"/>
      <c r="N211" s="1541"/>
      <c r="O211" s="1541"/>
      <c r="P211" s="1541"/>
      <c r="Q211" s="1541"/>
      <c r="R211" s="1541"/>
      <c r="S211" s="1541"/>
      <c r="T211" s="1541"/>
      <c r="U211" s="1541"/>
      <c r="V211" s="1541"/>
    </row>
    <row r="212" spans="1:22">
      <c r="A212" s="1541"/>
      <c r="B212" s="1541"/>
      <c r="C212" s="1541"/>
      <c r="D212" s="1541"/>
      <c r="E212" s="1541"/>
      <c r="F212" s="1541"/>
      <c r="G212" s="1541"/>
      <c r="H212" s="1541"/>
      <c r="I212" s="1541"/>
      <c r="J212" s="1541"/>
      <c r="K212" s="1542"/>
      <c r="L212" s="1540"/>
      <c r="M212" s="1540"/>
      <c r="N212" s="1541"/>
      <c r="O212" s="1541"/>
      <c r="P212" s="1541"/>
      <c r="Q212" s="1541"/>
      <c r="R212" s="1541"/>
      <c r="S212" s="1541"/>
      <c r="T212" s="1541"/>
      <c r="U212" s="1541"/>
      <c r="V212" s="1541"/>
    </row>
    <row r="213" spans="1:22">
      <c r="A213" s="1621"/>
      <c r="B213" s="1621"/>
      <c r="C213" s="1621"/>
      <c r="D213" s="1621"/>
      <c r="E213" s="1622"/>
      <c r="F213" s="1622"/>
      <c r="G213" s="1622"/>
      <c r="H213" s="1622"/>
      <c r="I213" s="2687"/>
      <c r="J213" s="2687"/>
      <c r="K213" s="1622"/>
      <c r="L213" s="1540"/>
      <c r="M213" s="1541"/>
      <c r="N213" s="1541"/>
      <c r="O213" s="1541"/>
      <c r="P213" s="1541"/>
      <c r="Q213" s="1541"/>
      <c r="R213" s="1541"/>
      <c r="S213" s="1541"/>
      <c r="T213" s="1541"/>
      <c r="U213" s="1541"/>
      <c r="V213" s="1541"/>
    </row>
    <row r="214" spans="1:22">
      <c r="A214" s="1505">
        <v>11</v>
      </c>
      <c r="B214" s="1541"/>
      <c r="C214" s="1541"/>
      <c r="D214" s="1506" t="s">
        <v>1279</v>
      </c>
      <c r="E214" s="1539">
        <f>SUM(E201:E211)</f>
        <v>19512292</v>
      </c>
      <c r="F214" s="1539">
        <f>SUM(F201:F211)</f>
        <v>2866847</v>
      </c>
      <c r="G214" s="1539">
        <f>SUM(G201:G211)</f>
        <v>16419</v>
      </c>
      <c r="H214" s="1539">
        <f>SUM(H201:H211)</f>
        <v>0</v>
      </c>
      <c r="I214" s="1540"/>
      <c r="J214" s="1540"/>
      <c r="K214" s="1539">
        <f>SUM(K201:K211)</f>
        <v>22362720</v>
      </c>
      <c r="L214" s="1540"/>
      <c r="M214" s="1541"/>
      <c r="N214" s="1541"/>
      <c r="O214" s="1541"/>
      <c r="P214" s="1541"/>
      <c r="Q214" s="1541"/>
      <c r="R214" s="1541"/>
      <c r="S214" s="1541"/>
      <c r="T214" s="1541"/>
      <c r="U214" s="1541"/>
      <c r="V214" s="1541"/>
    </row>
    <row r="215" spans="1:22">
      <c r="A215" s="1541"/>
      <c r="B215" s="1541"/>
      <c r="C215" s="1541"/>
      <c r="D215" s="1541"/>
      <c r="E215" s="1541"/>
      <c r="F215" s="1541"/>
      <c r="G215" s="1541"/>
      <c r="H215" s="1541"/>
      <c r="I215" s="1541"/>
      <c r="J215" s="1541"/>
      <c r="K215" s="1542"/>
      <c r="L215" s="1540"/>
      <c r="M215" s="1541"/>
      <c r="N215" s="1541"/>
      <c r="O215" s="1541"/>
      <c r="P215" s="1541"/>
      <c r="Q215" s="1541"/>
      <c r="R215" s="1541"/>
      <c r="S215" s="1541"/>
      <c r="T215" s="1541"/>
      <c r="U215" s="1541"/>
      <c r="V215" s="1541"/>
    </row>
    <row r="216" spans="1:22">
      <c r="A216" s="1621"/>
      <c r="B216" s="1621"/>
      <c r="C216" s="1621"/>
      <c r="D216" s="1621"/>
      <c r="E216" s="1622"/>
      <c r="F216" s="1622"/>
      <c r="G216" s="1622"/>
      <c r="H216" s="1622"/>
      <c r="I216" s="2687"/>
      <c r="J216" s="2687"/>
      <c r="K216" s="1622"/>
      <c r="L216" s="1540"/>
      <c r="M216" s="1541"/>
      <c r="N216" s="1541"/>
      <c r="O216" s="1541"/>
      <c r="P216" s="1541"/>
      <c r="Q216" s="1541"/>
      <c r="R216" s="1541"/>
      <c r="S216" s="1541"/>
      <c r="T216" s="1541"/>
      <c r="U216" s="1541"/>
      <c r="V216" s="1541"/>
    </row>
    <row r="217" spans="1:22">
      <c r="A217" s="1505">
        <v>12</v>
      </c>
      <c r="B217" s="1541"/>
      <c r="C217" s="1541"/>
      <c r="D217" s="1506" t="s">
        <v>58</v>
      </c>
      <c r="E217" s="1539">
        <f>E42+E83+E122+E175+E214</f>
        <v>1569351619</v>
      </c>
      <c r="F217" s="1539">
        <f>F42+F83+F122+F175+F214</f>
        <v>23443124</v>
      </c>
      <c r="G217" s="1539">
        <f>G42+G83+G122+G175+G214</f>
        <v>18164512</v>
      </c>
      <c r="H217" s="1539">
        <f>H42+H83+H122+H175+H214</f>
        <v>0</v>
      </c>
      <c r="I217" s="1541"/>
      <c r="J217" s="1541"/>
      <c r="K217" s="1539">
        <f>K42+K83+K122+K175+K214</f>
        <v>1574630231</v>
      </c>
      <c r="L217" s="1540"/>
      <c r="M217" s="1540"/>
      <c r="N217" s="1541"/>
      <c r="O217" s="1541"/>
      <c r="P217" s="1541"/>
      <c r="Q217" s="1541"/>
      <c r="R217" s="1541"/>
      <c r="S217" s="1541"/>
      <c r="T217" s="1541"/>
      <c r="U217" s="1541"/>
      <c r="V217" s="1541"/>
    </row>
    <row r="218" spans="1:22">
      <c r="A218" s="1541"/>
      <c r="B218" s="1541"/>
      <c r="C218" s="1541"/>
      <c r="D218" s="1541"/>
      <c r="E218" s="1541"/>
      <c r="F218" s="1541"/>
      <c r="G218" s="1541"/>
      <c r="H218" s="1541"/>
      <c r="I218" s="1541"/>
      <c r="J218" s="1541"/>
      <c r="K218" s="1541"/>
      <c r="L218" s="1540"/>
      <c r="M218" s="1540"/>
      <c r="N218" s="1541"/>
      <c r="O218" s="1541"/>
      <c r="P218" s="1541"/>
      <c r="Q218" s="1541"/>
      <c r="R218" s="1541"/>
      <c r="S218" s="1541"/>
      <c r="T218" s="1541"/>
      <c r="U218" s="1541"/>
      <c r="V218" s="1541"/>
    </row>
    <row r="219" spans="1:22">
      <c r="A219" s="1621"/>
      <c r="B219" s="1621"/>
      <c r="C219" s="1621"/>
      <c r="D219" s="1621"/>
      <c r="E219" s="1621"/>
      <c r="F219" s="1621"/>
      <c r="G219" s="1621"/>
      <c r="H219" s="1621"/>
      <c r="I219" s="1621"/>
      <c r="J219" s="1621"/>
      <c r="K219" s="1621"/>
      <c r="L219" s="1540"/>
      <c r="M219" s="1540"/>
      <c r="N219" s="1541"/>
      <c r="O219" s="1541"/>
      <c r="P219" s="1541"/>
      <c r="Q219" s="1541"/>
      <c r="R219" s="1541"/>
      <c r="S219" s="1541"/>
      <c r="T219" s="1541"/>
      <c r="U219" s="1541"/>
      <c r="V219" s="1541"/>
    </row>
    <row r="220" spans="1:22">
      <c r="A220" s="1541"/>
      <c r="B220" s="1541"/>
      <c r="C220" s="1541"/>
      <c r="D220" s="1541"/>
      <c r="E220" s="1541"/>
      <c r="F220" s="1541"/>
      <c r="G220" s="1541"/>
      <c r="H220" s="1541"/>
      <c r="I220" s="1541"/>
      <c r="J220" s="1541"/>
      <c r="K220" s="1541"/>
      <c r="L220" s="1540"/>
      <c r="M220" s="1540"/>
      <c r="N220" s="1541"/>
      <c r="O220" s="1541"/>
      <c r="P220" s="1541"/>
      <c r="Q220" s="1541"/>
      <c r="R220" s="1541"/>
      <c r="S220" s="1541"/>
      <c r="T220" s="1541"/>
      <c r="U220" s="1541"/>
      <c r="V220" s="1541"/>
    </row>
    <row r="221" spans="1:22">
      <c r="A221" s="103" t="str">
        <f>A1</f>
        <v>DUKE ENERGY KENTUCKY, INC.</v>
      </c>
      <c r="B221" s="2585"/>
      <c r="C221" s="2585"/>
      <c r="D221" s="2585"/>
      <c r="E221" s="103"/>
      <c r="F221" s="2585"/>
      <c r="G221" s="2585"/>
      <c r="H221" s="2585"/>
      <c r="I221" s="2585"/>
      <c r="J221" s="2585"/>
      <c r="K221" s="2585"/>
      <c r="L221" s="1541"/>
      <c r="M221" s="1540"/>
      <c r="N221" s="1541"/>
      <c r="O221" s="1541"/>
      <c r="P221" s="1541"/>
      <c r="Q221" s="1541"/>
      <c r="R221" s="1541"/>
      <c r="S221" s="1541"/>
      <c r="T221" s="1541"/>
      <c r="U221" s="1541"/>
      <c r="V221" s="1541"/>
    </row>
    <row r="222" spans="1:22">
      <c r="A222" s="103" t="str">
        <f>A2</f>
        <v>CASE NO. 2017-00321</v>
      </c>
      <c r="B222" s="2585"/>
      <c r="C222" s="2585"/>
      <c r="D222" s="2585"/>
      <c r="E222" s="103"/>
      <c r="F222" s="2585"/>
      <c r="G222" s="2585"/>
      <c r="H222" s="2585"/>
      <c r="I222" s="2585"/>
      <c r="J222" s="2585"/>
      <c r="K222" s="2585"/>
      <c r="L222" s="1541"/>
      <c r="M222" s="1540"/>
      <c r="N222" s="1541"/>
      <c r="O222" s="1541"/>
      <c r="P222" s="1541"/>
      <c r="Q222" s="1541"/>
      <c r="R222" s="1541"/>
      <c r="S222" s="1541"/>
      <c r="T222" s="1541"/>
      <c r="U222" s="1541"/>
      <c r="V222" s="1541"/>
    </row>
    <row r="223" spans="1:22">
      <c r="A223" s="103" t="str">
        <f>A3</f>
        <v>GROSS ADDITIONS, RETIREMENTS, AND TRANSFERS</v>
      </c>
      <c r="B223" s="2585"/>
      <c r="C223" s="2585"/>
      <c r="D223" s="2585"/>
      <c r="E223" s="103"/>
      <c r="F223" s="2585"/>
      <c r="G223" s="2585"/>
      <c r="H223" s="2585"/>
      <c r="I223" s="2585"/>
      <c r="J223" s="2585"/>
      <c r="K223" s="2585"/>
      <c r="L223" s="1541"/>
      <c r="M223" s="1540"/>
      <c r="N223" s="1541"/>
      <c r="O223" s="1541"/>
      <c r="P223" s="1541"/>
      <c r="Q223" s="1541"/>
      <c r="R223" s="1541"/>
      <c r="S223" s="1541"/>
      <c r="T223" s="1541"/>
      <c r="U223" s="1541"/>
      <c r="V223" s="1541"/>
    </row>
    <row r="224" spans="1:22">
      <c r="A224" s="103" t="str">
        <f>A4</f>
        <v>FROM DECEMBER 1, 2016 TO NOVEMBER 30, 2017</v>
      </c>
      <c r="B224" s="2585"/>
      <c r="C224" s="2585"/>
      <c r="D224" s="2585"/>
      <c r="E224" s="103"/>
      <c r="F224" s="2585"/>
      <c r="G224" s="2585"/>
      <c r="H224" s="2585"/>
      <c r="I224" s="2585"/>
      <c r="J224" s="2585"/>
      <c r="K224" s="2585"/>
      <c r="L224" s="1541"/>
      <c r="M224" s="1540"/>
      <c r="N224" s="1541"/>
      <c r="O224" s="1541"/>
      <c r="P224" s="1541"/>
      <c r="Q224" s="1541"/>
      <c r="R224" s="1541"/>
      <c r="S224" s="1541"/>
      <c r="T224" s="1541"/>
      <c r="U224" s="1541"/>
      <c r="V224" s="1541"/>
    </row>
    <row r="225" spans="1:22">
      <c r="A225" s="2585"/>
      <c r="B225" s="2585"/>
      <c r="C225" s="2585"/>
      <c r="D225" s="2585"/>
      <c r="E225" s="2585"/>
      <c r="F225" s="2585"/>
      <c r="G225" s="2585"/>
      <c r="H225" s="2585"/>
      <c r="I225" s="2585"/>
      <c r="J225" s="2585"/>
      <c r="K225" s="2585"/>
      <c r="L225" s="1541"/>
      <c r="M225" s="1540"/>
      <c r="N225" s="1541"/>
      <c r="O225" s="1541"/>
      <c r="P225" s="1541"/>
      <c r="Q225" s="1541"/>
      <c r="R225" s="1541"/>
      <c r="S225" s="1541"/>
      <c r="T225" s="1541"/>
      <c r="U225" s="1541"/>
      <c r="V225" s="1541"/>
    </row>
    <row r="226" spans="1:22">
      <c r="A226" s="103" t="s">
        <v>1280</v>
      </c>
      <c r="B226" s="2585"/>
      <c r="C226" s="2585"/>
      <c r="D226" s="2585"/>
      <c r="E226" s="103"/>
      <c r="F226" s="2585"/>
      <c r="G226" s="2585"/>
      <c r="H226" s="2585"/>
      <c r="I226" s="2585"/>
      <c r="J226" s="2585"/>
      <c r="K226" s="2585"/>
      <c r="L226" s="1541"/>
      <c r="M226" s="1540"/>
      <c r="N226" s="1541"/>
      <c r="O226" s="1541"/>
      <c r="P226" s="1541"/>
      <c r="Q226" s="1541"/>
      <c r="R226" s="1541"/>
      <c r="S226" s="1541"/>
      <c r="T226" s="1541"/>
      <c r="U226" s="1541"/>
      <c r="V226" s="1541"/>
    </row>
    <row r="227" spans="1:22">
      <c r="A227" s="2585"/>
      <c r="B227" s="2585"/>
      <c r="C227" s="2585"/>
      <c r="D227" s="2585"/>
      <c r="E227" s="103"/>
      <c r="F227" s="2585"/>
      <c r="G227" s="2585"/>
      <c r="H227" s="2585"/>
      <c r="I227" s="2585"/>
      <c r="J227" s="2585"/>
      <c r="K227" s="2585"/>
      <c r="L227" s="1541"/>
      <c r="M227" s="1540"/>
      <c r="N227" s="1541"/>
      <c r="O227" s="1541"/>
      <c r="P227" s="1541"/>
      <c r="Q227" s="1541"/>
      <c r="R227" s="1541"/>
      <c r="S227" s="1541"/>
      <c r="T227" s="1541"/>
      <c r="U227" s="1541"/>
      <c r="V227" s="1541"/>
    </row>
    <row r="228" spans="1:22">
      <c r="A228" s="2569" t="s">
        <v>1799</v>
      </c>
      <c r="B228" s="2585"/>
      <c r="C228" s="2585"/>
      <c r="D228" s="2585"/>
      <c r="E228" s="2585"/>
      <c r="F228" s="2585"/>
      <c r="G228" s="2585"/>
      <c r="H228" s="2585"/>
      <c r="I228" s="2585"/>
      <c r="J228" s="2585"/>
      <c r="K228" s="2585"/>
      <c r="L228" s="1541"/>
      <c r="M228" s="1540"/>
      <c r="N228" s="1541"/>
      <c r="O228" s="1541"/>
      <c r="P228" s="1541"/>
      <c r="Q228" s="1541"/>
      <c r="R228" s="1541"/>
      <c r="S228" s="1541"/>
      <c r="T228" s="1541"/>
      <c r="U228" s="1541"/>
      <c r="V228" s="1541"/>
    </row>
    <row r="229" spans="1:22">
      <c r="A229" s="2569"/>
      <c r="B229" s="2585"/>
      <c r="C229" s="2585"/>
      <c r="D229" s="2585"/>
      <c r="E229" s="2585"/>
      <c r="F229" s="2585"/>
      <c r="G229" s="2585"/>
      <c r="H229" s="2585"/>
      <c r="I229" s="2585"/>
      <c r="J229" s="2585"/>
      <c r="K229" s="2585"/>
      <c r="L229" s="1541"/>
      <c r="M229" s="1540"/>
      <c r="N229" s="1541"/>
      <c r="O229" s="1541"/>
      <c r="P229" s="1541"/>
      <c r="Q229" s="1541"/>
      <c r="R229" s="1541"/>
      <c r="S229" s="1541"/>
      <c r="T229" s="1541"/>
      <c r="U229" s="1541"/>
      <c r="V229" s="1541"/>
    </row>
    <row r="230" spans="1:22">
      <c r="A230" s="1506" t="str">
        <f>Data</f>
        <v>DATA: "X" BASE PERIOD   FORECASTED PERIOD</v>
      </c>
      <c r="B230" s="1541"/>
      <c r="C230" s="1541"/>
      <c r="D230" s="1541"/>
      <c r="E230" s="1541"/>
      <c r="F230" s="1541"/>
      <c r="G230" s="1541"/>
      <c r="H230" s="1541"/>
      <c r="I230" s="1541"/>
      <c r="J230" s="1506" t="str">
        <f>J10</f>
        <v>SCHEDULE B-2.3</v>
      </c>
      <c r="K230" s="1541"/>
      <c r="L230" s="1541"/>
      <c r="M230" s="1540"/>
      <c r="N230" s="1541"/>
      <c r="O230" s="1541"/>
      <c r="P230" s="1541"/>
      <c r="Q230" s="1541"/>
      <c r="R230" s="1541"/>
      <c r="S230" s="1541"/>
      <c r="T230" s="1541"/>
      <c r="U230" s="1541"/>
      <c r="V230" s="1541"/>
    </row>
    <row r="231" spans="1:22">
      <c r="A231" s="1506" t="str">
        <f>A11</f>
        <v xml:space="preserve">TYPE OF FILING:  "X" ORIGINAL   UPDATED    REVISED  </v>
      </c>
      <c r="B231" s="1541"/>
      <c r="C231" s="1541"/>
      <c r="D231" s="1541"/>
      <c r="E231" s="1541"/>
      <c r="F231" s="1541"/>
      <c r="G231" s="1541"/>
      <c r="H231" s="1541"/>
      <c r="I231" s="1541"/>
      <c r="J231" s="1506" t="s">
        <v>1906</v>
      </c>
      <c r="K231" s="1541"/>
      <c r="L231" s="1541"/>
      <c r="M231" s="1540"/>
      <c r="N231" s="1541"/>
      <c r="O231" s="1541"/>
      <c r="P231" s="1541"/>
      <c r="Q231" s="1541"/>
      <c r="R231" s="1541"/>
      <c r="S231" s="1541"/>
      <c r="T231" s="1541"/>
      <c r="U231" s="1541"/>
      <c r="V231" s="1541"/>
    </row>
    <row r="232" spans="1:22">
      <c r="A232" s="1506" t="str">
        <f>A12</f>
        <v>WORK PAPER REFERENCE NO(S).:</v>
      </c>
      <c r="B232" s="1541"/>
      <c r="C232" s="1541"/>
      <c r="D232" s="1541"/>
      <c r="E232" s="1541"/>
      <c r="F232" s="1541"/>
      <c r="G232" s="1541"/>
      <c r="H232" s="1541"/>
      <c r="I232" s="1541"/>
      <c r="J232" s="2586" t="s">
        <v>622</v>
      </c>
      <c r="K232" s="1541"/>
      <c r="L232" s="1541"/>
      <c r="M232" s="1540"/>
      <c r="N232" s="1541"/>
      <c r="O232" s="1541"/>
      <c r="P232" s="1541"/>
      <c r="Q232" s="1541"/>
      <c r="R232" s="1541"/>
      <c r="S232" s="1541"/>
      <c r="T232" s="1541"/>
      <c r="U232" s="1541"/>
      <c r="V232" s="1541"/>
    </row>
    <row r="233" spans="1:22">
      <c r="A233" s="1541"/>
      <c r="B233" s="1541"/>
      <c r="C233" s="1541"/>
      <c r="D233" s="1541"/>
      <c r="E233" s="1541"/>
      <c r="F233" s="1541"/>
      <c r="G233" s="1541"/>
      <c r="H233" s="1541"/>
      <c r="I233" s="1541"/>
      <c r="J233" s="2586" t="str">
        <f>J13</f>
        <v>R. H. PRATT / C. S. LEE</v>
      </c>
      <c r="K233" s="1541"/>
      <c r="L233" s="1541"/>
      <c r="M233" s="1540"/>
      <c r="N233" s="1541"/>
      <c r="O233" s="1541"/>
      <c r="P233" s="1541"/>
      <c r="Q233" s="1541"/>
      <c r="R233" s="1541"/>
      <c r="S233" s="1541"/>
      <c r="T233" s="1541"/>
      <c r="U233" s="1541"/>
      <c r="V233" s="1541"/>
    </row>
    <row r="234" spans="1:22">
      <c r="A234" s="1541"/>
      <c r="B234" s="1541"/>
      <c r="C234" s="1541"/>
      <c r="D234" s="1541"/>
      <c r="E234" s="1541"/>
      <c r="F234" s="1541"/>
      <c r="G234" s="1541"/>
      <c r="H234" s="1541"/>
      <c r="I234" s="1541"/>
      <c r="J234" s="1541"/>
      <c r="K234" s="1541"/>
      <c r="L234" s="1541"/>
      <c r="M234" s="1540"/>
      <c r="N234" s="1541"/>
      <c r="O234" s="1541"/>
      <c r="P234" s="1541"/>
      <c r="Q234" s="1541"/>
      <c r="R234" s="1541"/>
      <c r="S234" s="1541"/>
      <c r="T234" s="1541"/>
      <c r="U234" s="1541"/>
      <c r="V234" s="1541"/>
    </row>
    <row r="235" spans="1:22">
      <c r="A235" s="1541"/>
      <c r="B235" s="1541"/>
      <c r="C235" s="1541"/>
      <c r="D235" s="1541"/>
      <c r="E235" s="1541"/>
      <c r="F235" s="1541"/>
      <c r="G235" s="1541"/>
      <c r="H235" s="2587"/>
      <c r="I235" s="1541"/>
      <c r="J235" s="1541"/>
      <c r="K235" s="1541"/>
      <c r="L235" s="1541"/>
      <c r="M235" s="1540"/>
      <c r="N235" s="1541"/>
      <c r="O235" s="1541"/>
      <c r="P235" s="1541"/>
      <c r="Q235" s="1541"/>
      <c r="R235" s="1541"/>
      <c r="S235" s="1541"/>
      <c r="T235" s="1541"/>
      <c r="U235" s="1541"/>
      <c r="V235" s="1541"/>
    </row>
    <row r="236" spans="1:22">
      <c r="A236" s="1621"/>
      <c r="B236" s="1621"/>
      <c r="C236" s="2674"/>
      <c r="D236" s="1621"/>
      <c r="E236" s="1621"/>
      <c r="F236" s="1621"/>
      <c r="G236" s="1621"/>
      <c r="H236" s="1631"/>
      <c r="I236" s="1621"/>
      <c r="J236" s="1621"/>
      <c r="K236" s="1621"/>
      <c r="L236" s="1541"/>
      <c r="M236" s="1540"/>
      <c r="N236" s="1541"/>
      <c r="O236" s="1541"/>
      <c r="P236" s="1541"/>
      <c r="Q236" s="1541"/>
      <c r="R236" s="1541"/>
      <c r="S236" s="1541"/>
      <c r="T236" s="1541"/>
      <c r="U236" s="1541"/>
      <c r="V236" s="1541"/>
    </row>
    <row r="237" spans="1:22">
      <c r="A237" s="1541"/>
      <c r="B237" s="1505" t="s">
        <v>943</v>
      </c>
      <c r="C237" s="1505" t="s">
        <v>1750</v>
      </c>
      <c r="D237" s="1541"/>
      <c r="E237" s="1541"/>
      <c r="F237" s="1541"/>
      <c r="G237" s="1541"/>
      <c r="H237" s="102" t="s">
        <v>1090</v>
      </c>
      <c r="I237" s="102"/>
      <c r="J237" s="102"/>
      <c r="K237" s="1541"/>
      <c r="L237" s="1541"/>
      <c r="M237" s="1540"/>
      <c r="N237" s="1541"/>
      <c r="O237" s="1541"/>
      <c r="P237" s="1541"/>
      <c r="Q237" s="1541"/>
      <c r="R237" s="1541"/>
      <c r="S237" s="1541"/>
      <c r="T237" s="1541"/>
      <c r="U237" s="1541"/>
      <c r="V237" s="1541"/>
    </row>
    <row r="238" spans="1:22">
      <c r="A238" s="1505" t="s">
        <v>1240</v>
      </c>
      <c r="B238" s="1505" t="s">
        <v>1164</v>
      </c>
      <c r="C238" s="1505" t="s">
        <v>1164</v>
      </c>
      <c r="D238" s="1505" t="s">
        <v>1118</v>
      </c>
      <c r="E238" s="1505" t="s">
        <v>1091</v>
      </c>
      <c r="F238" s="1541"/>
      <c r="G238" s="1541"/>
      <c r="H238" s="1621"/>
      <c r="I238" s="2679" t="s">
        <v>1092</v>
      </c>
      <c r="J238" s="2679" t="s">
        <v>120</v>
      </c>
      <c r="K238" s="1505" t="s">
        <v>121</v>
      </c>
      <c r="L238" s="1541"/>
      <c r="M238" s="1540"/>
      <c r="N238" s="1541"/>
      <c r="O238" s="1541"/>
      <c r="P238" s="1541"/>
      <c r="Q238" s="1541"/>
      <c r="R238" s="1541"/>
      <c r="S238" s="1541"/>
      <c r="T238" s="1541"/>
      <c r="U238" s="1541"/>
      <c r="V238" s="1541"/>
    </row>
    <row r="239" spans="1:22">
      <c r="A239" s="1505" t="s">
        <v>1241</v>
      </c>
      <c r="B239" s="1505" t="s">
        <v>1241</v>
      </c>
      <c r="C239" s="1505" t="s">
        <v>1241</v>
      </c>
      <c r="D239" s="1505" t="s">
        <v>122</v>
      </c>
      <c r="E239" s="1505" t="s">
        <v>123</v>
      </c>
      <c r="F239" s="1505" t="s">
        <v>124</v>
      </c>
      <c r="G239" s="1505" t="s">
        <v>125</v>
      </c>
      <c r="H239" s="1505" t="s">
        <v>646</v>
      </c>
      <c r="I239" s="1505" t="s">
        <v>126</v>
      </c>
      <c r="J239" s="1505" t="s">
        <v>127</v>
      </c>
      <c r="K239" s="1505" t="s">
        <v>123</v>
      </c>
      <c r="L239" s="1541"/>
      <c r="M239" s="1540"/>
      <c r="N239" s="1541"/>
      <c r="O239" s="1541"/>
      <c r="P239" s="1541"/>
      <c r="Q239" s="1541"/>
      <c r="R239" s="1541"/>
      <c r="S239" s="1541"/>
      <c r="T239" s="1541"/>
      <c r="U239" s="1541"/>
      <c r="V239" s="1541"/>
    </row>
    <row r="240" spans="1:22">
      <c r="A240" s="1541"/>
      <c r="B240" s="1541"/>
      <c r="C240" s="1541"/>
      <c r="D240" s="1541"/>
      <c r="E240" s="1541"/>
      <c r="F240" s="1541"/>
      <c r="G240" s="1541"/>
      <c r="H240" s="1541"/>
      <c r="I240" s="1541"/>
      <c r="J240" s="1541"/>
      <c r="K240" s="1541"/>
      <c r="L240" s="1541"/>
      <c r="M240" s="1540"/>
      <c r="N240" s="1541"/>
      <c r="O240" s="1541"/>
      <c r="P240" s="1541"/>
      <c r="Q240" s="1541"/>
      <c r="R240" s="1541"/>
      <c r="S240" s="1541"/>
      <c r="T240" s="1541"/>
      <c r="U240" s="1541"/>
      <c r="V240" s="1541"/>
    </row>
    <row r="241" spans="1:22">
      <c r="A241" s="1621"/>
      <c r="B241" s="1621"/>
      <c r="C241" s="1621"/>
      <c r="D241" s="1621"/>
      <c r="E241" s="2679" t="s">
        <v>1705</v>
      </c>
      <c r="F241" s="2679" t="s">
        <v>1705</v>
      </c>
      <c r="G241" s="2679" t="s">
        <v>1705</v>
      </c>
      <c r="H241" s="2679" t="s">
        <v>1705</v>
      </c>
      <c r="I241" s="1621"/>
      <c r="J241" s="1621"/>
      <c r="K241" s="2679" t="s">
        <v>1705</v>
      </c>
      <c r="L241" s="1541"/>
      <c r="M241" s="1540"/>
      <c r="N241" s="1541"/>
      <c r="O241" s="1541"/>
      <c r="P241" s="1541"/>
      <c r="Q241" s="1541"/>
      <c r="R241" s="1541"/>
      <c r="S241" s="1541"/>
      <c r="T241" s="1541"/>
      <c r="U241" s="1541"/>
      <c r="V241" s="1541"/>
    </row>
    <row r="242" spans="1:22">
      <c r="A242" s="1541"/>
      <c r="B242" s="1541"/>
      <c r="C242" s="1541"/>
      <c r="D242" s="1541"/>
      <c r="E242" s="1541"/>
      <c r="F242" s="1541"/>
      <c r="G242" s="1541"/>
      <c r="H242" s="1541"/>
      <c r="I242" s="1541"/>
      <c r="J242" s="1541"/>
      <c r="K242" s="1541"/>
      <c r="L242" s="1541"/>
      <c r="M242" s="1540"/>
      <c r="N242" s="1541"/>
      <c r="O242" s="1541"/>
      <c r="P242" s="1541"/>
      <c r="Q242" s="1541"/>
      <c r="R242" s="1541"/>
      <c r="S242" s="1541"/>
      <c r="T242" s="1541"/>
      <c r="U242" s="1541"/>
      <c r="V242" s="1541"/>
    </row>
    <row r="243" spans="1:22">
      <c r="A243" s="1505" t="s">
        <v>1166</v>
      </c>
      <c r="B243" s="1541"/>
      <c r="C243" s="1505">
        <v>1030</v>
      </c>
      <c r="D243" s="1506" t="s">
        <v>1273</v>
      </c>
      <c r="E243" s="2613">
        <v>22332073</v>
      </c>
      <c r="F243" s="2613">
        <v>0</v>
      </c>
      <c r="G243" s="2613">
        <v>0</v>
      </c>
      <c r="H243" s="2613">
        <v>0</v>
      </c>
      <c r="I243" s="2613"/>
      <c r="J243" s="2613"/>
      <c r="K243" s="1539">
        <f t="shared" ref="K243:K252" si="5">E243+F243-G243+H243</f>
        <v>22332073</v>
      </c>
      <c r="L243" s="1540"/>
      <c r="M243" s="1540"/>
      <c r="N243" s="1541"/>
      <c r="O243" s="1541"/>
      <c r="P243" s="1541"/>
      <c r="Q243" s="1541"/>
      <c r="R243" s="1541"/>
      <c r="S243" s="1541"/>
      <c r="T243" s="1541"/>
      <c r="U243" s="1541"/>
      <c r="V243" s="1541"/>
    </row>
    <row r="244" spans="1:22">
      <c r="A244" s="1505">
        <v>2</v>
      </c>
      <c r="B244" s="1541"/>
      <c r="C244" s="1505">
        <v>1701</v>
      </c>
      <c r="D244" s="1506" t="s">
        <v>376</v>
      </c>
      <c r="E244" s="2613">
        <v>0</v>
      </c>
      <c r="F244" s="2613">
        <v>0</v>
      </c>
      <c r="G244" s="2613">
        <v>0</v>
      </c>
      <c r="H244" s="2613">
        <v>0</v>
      </c>
      <c r="I244" s="2613"/>
      <c r="J244" s="2613"/>
      <c r="K244" s="1539">
        <f t="shared" si="5"/>
        <v>0</v>
      </c>
      <c r="L244" s="1540"/>
      <c r="M244" s="1540"/>
      <c r="N244" s="1541"/>
      <c r="O244" s="1541"/>
      <c r="P244" s="1541"/>
      <c r="Q244" s="1541"/>
      <c r="R244" s="1541"/>
      <c r="S244" s="1541"/>
      <c r="T244" s="1541"/>
      <c r="U244" s="1541"/>
      <c r="V244" s="1541"/>
    </row>
    <row r="245" spans="1:22">
      <c r="A245" s="1505">
        <v>3</v>
      </c>
      <c r="B245" s="1541"/>
      <c r="C245" s="1505">
        <v>1890</v>
      </c>
      <c r="D245" s="1506" t="s">
        <v>849</v>
      </c>
      <c r="E245" s="2613">
        <v>154248</v>
      </c>
      <c r="F245" s="2613">
        <v>0</v>
      </c>
      <c r="G245" s="2613">
        <v>0</v>
      </c>
      <c r="H245" s="2613">
        <v>0</v>
      </c>
      <c r="I245" s="2613"/>
      <c r="J245" s="2613"/>
      <c r="K245" s="1539">
        <f t="shared" si="5"/>
        <v>154248</v>
      </c>
      <c r="L245" s="1540"/>
      <c r="M245" s="1540"/>
      <c r="N245" s="1541"/>
      <c r="O245" s="1541"/>
      <c r="P245" s="1541"/>
      <c r="Q245" s="1541"/>
      <c r="R245" s="1541"/>
      <c r="S245" s="1541"/>
      <c r="T245" s="1541"/>
      <c r="U245" s="1541"/>
      <c r="V245" s="1541"/>
    </row>
    <row r="246" spans="1:22">
      <c r="A246" s="1505">
        <v>4</v>
      </c>
      <c r="B246" s="1541"/>
      <c r="C246" s="1505">
        <v>1900</v>
      </c>
      <c r="D246" s="1506" t="s">
        <v>1170</v>
      </c>
      <c r="E246" s="2613">
        <v>11559130</v>
      </c>
      <c r="F246" s="2613">
        <v>-126551</v>
      </c>
      <c r="G246" s="2613">
        <v>110969</v>
      </c>
      <c r="H246" s="2613">
        <v>0</v>
      </c>
      <c r="I246" s="2613"/>
      <c r="J246" s="2613"/>
      <c r="K246" s="1539">
        <f t="shared" si="5"/>
        <v>11321610</v>
      </c>
      <c r="L246" s="1540"/>
      <c r="M246" s="1540"/>
      <c r="N246" s="1541"/>
      <c r="O246" s="1541"/>
      <c r="P246" s="1541"/>
      <c r="Q246" s="1541"/>
      <c r="R246" s="1541"/>
      <c r="S246" s="1541"/>
      <c r="T246" s="1541"/>
      <c r="U246" s="1541"/>
      <c r="V246" s="1541"/>
    </row>
    <row r="247" spans="1:22">
      <c r="A247" s="1505">
        <v>5</v>
      </c>
      <c r="B247" s="1541"/>
      <c r="C247" s="1505">
        <v>1910</v>
      </c>
      <c r="D247" s="1506" t="s">
        <v>1274</v>
      </c>
      <c r="E247" s="2613">
        <v>67899</v>
      </c>
      <c r="F247" s="2613">
        <v>651297</v>
      </c>
      <c r="G247" s="2613">
        <v>0</v>
      </c>
      <c r="H247" s="2613">
        <v>0</v>
      </c>
      <c r="I247" s="2613"/>
      <c r="J247" s="2613"/>
      <c r="K247" s="1539">
        <f t="shared" si="5"/>
        <v>719196</v>
      </c>
      <c r="L247" s="1540"/>
      <c r="M247" s="1540"/>
      <c r="N247" s="1541"/>
      <c r="O247" s="1541"/>
      <c r="P247" s="1541"/>
      <c r="Q247" s="1541"/>
      <c r="R247" s="1541"/>
      <c r="S247" s="1541"/>
      <c r="T247" s="1541"/>
      <c r="U247" s="1541"/>
      <c r="V247" s="1541"/>
    </row>
    <row r="248" spans="1:22">
      <c r="A248" s="1505">
        <v>6</v>
      </c>
      <c r="B248" s="1541"/>
      <c r="C248" s="1505">
        <v>1911</v>
      </c>
      <c r="D248" s="1506" t="s">
        <v>776</v>
      </c>
      <c r="E248" s="2613">
        <v>807217</v>
      </c>
      <c r="F248" s="2613">
        <v>0</v>
      </c>
      <c r="G248" s="2613">
        <v>5412</v>
      </c>
      <c r="H248" s="2613">
        <v>0</v>
      </c>
      <c r="I248" s="2613"/>
      <c r="J248" s="2613"/>
      <c r="K248" s="1539">
        <f t="shared" si="5"/>
        <v>801805</v>
      </c>
      <c r="L248" s="1540"/>
      <c r="M248" s="1540"/>
      <c r="N248" s="1541"/>
      <c r="O248" s="1541"/>
      <c r="P248" s="1541"/>
      <c r="Q248" s="1541"/>
      <c r="R248" s="1541"/>
      <c r="S248" s="1541"/>
      <c r="T248" s="1541"/>
      <c r="U248" s="1541"/>
      <c r="V248" s="1541"/>
    </row>
    <row r="249" spans="1:22">
      <c r="A249" s="1505">
        <v>7</v>
      </c>
      <c r="B249" s="1541"/>
      <c r="C249" s="1505">
        <v>1940</v>
      </c>
      <c r="D249" s="1506" t="s">
        <v>1276</v>
      </c>
      <c r="E249" s="2613">
        <v>127324</v>
      </c>
      <c r="F249" s="2613">
        <v>0</v>
      </c>
      <c r="G249" s="2613">
        <v>3831</v>
      </c>
      <c r="H249" s="2613">
        <v>0</v>
      </c>
      <c r="I249" s="2613"/>
      <c r="J249" s="2613"/>
      <c r="K249" s="1539">
        <f t="shared" si="5"/>
        <v>123493</v>
      </c>
      <c r="L249" s="1540"/>
      <c r="M249" s="1540"/>
      <c r="N249" s="1541"/>
      <c r="O249" s="1541"/>
      <c r="P249" s="1541"/>
      <c r="Q249" s="1541"/>
      <c r="R249" s="1541"/>
      <c r="S249" s="1541"/>
      <c r="T249" s="1541"/>
      <c r="U249" s="1541"/>
      <c r="V249" s="1541"/>
    </row>
    <row r="250" spans="1:22">
      <c r="A250" s="1505">
        <v>8</v>
      </c>
      <c r="B250" s="1541"/>
      <c r="C250" s="1505">
        <v>1970</v>
      </c>
      <c r="D250" s="1506" t="s">
        <v>1330</v>
      </c>
      <c r="E250" s="2613">
        <v>7752132</v>
      </c>
      <c r="F250" s="2613">
        <v>-25717</v>
      </c>
      <c r="G250" s="2613">
        <v>6629</v>
      </c>
      <c r="H250" s="2613">
        <v>0</v>
      </c>
      <c r="I250" s="2613"/>
      <c r="J250" s="2613"/>
      <c r="K250" s="1539">
        <f t="shared" si="5"/>
        <v>7719786</v>
      </c>
      <c r="L250" s="1540"/>
      <c r="M250" s="1540"/>
      <c r="N250" s="1541"/>
      <c r="O250" s="1541"/>
      <c r="P250" s="1541"/>
      <c r="Q250" s="1541"/>
      <c r="R250" s="1541"/>
      <c r="S250" s="1541"/>
      <c r="T250" s="1541"/>
      <c r="U250" s="1541"/>
      <c r="V250" s="1541"/>
    </row>
    <row r="251" spans="1:22">
      <c r="A251" s="1505">
        <v>9</v>
      </c>
      <c r="B251" s="1541"/>
      <c r="C251" s="1505">
        <v>1980</v>
      </c>
      <c r="D251" s="1506" t="s">
        <v>1278</v>
      </c>
      <c r="E251" s="2613">
        <v>41504</v>
      </c>
      <c r="F251" s="2613">
        <v>0</v>
      </c>
      <c r="G251" s="2613">
        <v>0</v>
      </c>
      <c r="H251" s="2613">
        <v>0</v>
      </c>
      <c r="I251" s="2613"/>
      <c r="J251" s="2613"/>
      <c r="K251" s="1539">
        <f t="shared" si="5"/>
        <v>41504</v>
      </c>
      <c r="L251" s="1540"/>
      <c r="M251" s="1540"/>
      <c r="N251" s="1541"/>
      <c r="O251" s="1541"/>
      <c r="P251" s="1541"/>
      <c r="Q251" s="1541"/>
      <c r="R251" s="1541"/>
      <c r="S251" s="1541"/>
      <c r="T251" s="1541"/>
      <c r="U251" s="1541"/>
      <c r="V251" s="1541"/>
    </row>
    <row r="252" spans="1:22">
      <c r="A252" s="1505">
        <v>10</v>
      </c>
      <c r="B252" s="1541"/>
      <c r="C252" s="1506"/>
      <c r="D252" s="1506" t="s">
        <v>1483</v>
      </c>
      <c r="E252" s="2613">
        <v>0</v>
      </c>
      <c r="F252" s="2613">
        <v>0</v>
      </c>
      <c r="G252" s="2613">
        <v>0</v>
      </c>
      <c r="H252" s="2613">
        <v>0</v>
      </c>
      <c r="I252" s="2613"/>
      <c r="J252" s="2613"/>
      <c r="K252" s="1539">
        <f t="shared" si="5"/>
        <v>0</v>
      </c>
      <c r="L252" s="1540"/>
      <c r="M252" s="1540"/>
      <c r="N252" s="1541"/>
      <c r="O252" s="1541"/>
      <c r="P252" s="1541"/>
      <c r="Q252" s="1541"/>
      <c r="R252" s="1541"/>
      <c r="S252" s="1541"/>
      <c r="T252" s="1541"/>
      <c r="U252" s="1541"/>
      <c r="V252" s="1541"/>
    </row>
    <row r="253" spans="1:22">
      <c r="A253" s="1505"/>
      <c r="B253" s="1541"/>
      <c r="C253" s="1506"/>
      <c r="D253" s="1506"/>
      <c r="E253" s="1539"/>
      <c r="F253" s="1539">
        <v>0</v>
      </c>
      <c r="G253" s="1539">
        <v>0</v>
      </c>
      <c r="H253" s="1539">
        <v>0</v>
      </c>
      <c r="I253" s="1539"/>
      <c r="J253" s="1539"/>
      <c r="K253" s="1539"/>
      <c r="L253" s="1540"/>
      <c r="M253" s="1540"/>
      <c r="N253" s="1541"/>
      <c r="O253" s="1541"/>
      <c r="P253" s="1541"/>
      <c r="Q253" s="1541"/>
      <c r="R253" s="1541"/>
      <c r="S253" s="1541"/>
      <c r="T253" s="1541"/>
      <c r="U253" s="1541"/>
      <c r="V253" s="1541"/>
    </row>
    <row r="254" spans="1:22">
      <c r="A254" s="1541"/>
      <c r="B254" s="1541"/>
      <c r="C254" s="1541"/>
      <c r="D254" s="1541"/>
      <c r="E254" s="1541"/>
      <c r="F254" s="1541"/>
      <c r="G254" s="1541"/>
      <c r="H254" s="1541"/>
      <c r="I254" s="1541"/>
      <c r="J254" s="1541"/>
      <c r="K254" s="1542"/>
      <c r="L254" s="1540"/>
      <c r="M254" s="1540"/>
      <c r="N254" s="1541"/>
      <c r="O254" s="1541"/>
      <c r="P254" s="1541"/>
      <c r="Q254" s="1541"/>
      <c r="R254" s="1541"/>
      <c r="S254" s="1541"/>
      <c r="T254" s="1541"/>
      <c r="U254" s="1541"/>
      <c r="V254" s="1541"/>
    </row>
    <row r="255" spans="1:22">
      <c r="A255" s="1621"/>
      <c r="B255" s="1621"/>
      <c r="C255" s="1621"/>
      <c r="D255" s="1621"/>
      <c r="E255" s="1622"/>
      <c r="F255" s="1622"/>
      <c r="G255" s="1622"/>
      <c r="H255" s="1622"/>
      <c r="I255" s="2687"/>
      <c r="J255" s="2687"/>
      <c r="K255" s="1622"/>
      <c r="L255" s="1540"/>
      <c r="M255" s="1540"/>
      <c r="N255" s="1541"/>
      <c r="O255" s="1541"/>
      <c r="P255" s="1541"/>
      <c r="Q255" s="1541"/>
      <c r="R255" s="1541"/>
      <c r="S255" s="1541"/>
      <c r="T255" s="1541"/>
      <c r="U255" s="1541"/>
      <c r="V255" s="1541"/>
    </row>
    <row r="256" spans="1:22">
      <c r="A256" s="1505">
        <v>11</v>
      </c>
      <c r="B256" s="1541"/>
      <c r="C256" s="1541"/>
      <c r="D256" s="1506" t="s">
        <v>1476</v>
      </c>
      <c r="E256" s="1539">
        <f>SUM(E243:E252)</f>
        <v>42841527</v>
      </c>
      <c r="F256" s="1539">
        <f>SUM(F243:F252)</f>
        <v>499029</v>
      </c>
      <c r="G256" s="1539">
        <f>SUM(G243:G252)</f>
        <v>126841</v>
      </c>
      <c r="H256" s="1539">
        <f>SUM(H243:H252)</f>
        <v>0</v>
      </c>
      <c r="I256" s="1540"/>
      <c r="J256" s="1540"/>
      <c r="K256" s="1539">
        <f>SUM(K243:K252)</f>
        <v>43213715</v>
      </c>
      <c r="L256" s="1540"/>
      <c r="M256" s="1541"/>
      <c r="N256" s="1541"/>
      <c r="O256" s="1541"/>
      <c r="P256" s="1541"/>
      <c r="Q256" s="1541"/>
      <c r="R256" s="1541"/>
      <c r="S256" s="1541"/>
      <c r="T256" s="1541"/>
      <c r="U256" s="1541"/>
      <c r="V256" s="1541"/>
    </row>
    <row r="257" spans="1:22">
      <c r="A257" s="1541"/>
      <c r="B257" s="1541"/>
      <c r="C257" s="1541"/>
      <c r="D257" s="1541"/>
      <c r="E257" s="1541"/>
      <c r="F257" s="1541"/>
      <c r="G257" s="1541"/>
      <c r="H257" s="1541"/>
      <c r="I257" s="1541"/>
      <c r="J257" s="1541"/>
      <c r="K257" s="1542"/>
      <c r="L257" s="1540"/>
      <c r="M257" s="1540"/>
      <c r="N257" s="1541"/>
      <c r="O257" s="1541"/>
      <c r="P257" s="1541"/>
      <c r="Q257" s="1541"/>
      <c r="R257" s="1541"/>
      <c r="S257" s="1541"/>
      <c r="T257" s="1541"/>
      <c r="U257" s="1541"/>
      <c r="V257" s="1541"/>
    </row>
    <row r="258" spans="1:22">
      <c r="A258" s="1621"/>
      <c r="B258" s="1621"/>
      <c r="C258" s="1621"/>
      <c r="D258" s="1621"/>
      <c r="E258" s="1622"/>
      <c r="F258" s="1622"/>
      <c r="G258" s="1622"/>
      <c r="H258" s="1622"/>
      <c r="I258" s="2687"/>
      <c r="J258" s="2687"/>
      <c r="K258" s="1622"/>
      <c r="L258" s="1540"/>
      <c r="M258" s="1540"/>
      <c r="N258" s="1541"/>
      <c r="O258" s="1541"/>
      <c r="P258" s="1541"/>
      <c r="Q258" s="1541"/>
      <c r="R258" s="1541"/>
      <c r="S258" s="1541"/>
      <c r="T258" s="1541"/>
      <c r="U258" s="1541"/>
      <c r="V258" s="1541"/>
    </row>
    <row r="259" spans="1:22">
      <c r="A259" s="1505">
        <v>12</v>
      </c>
      <c r="B259" s="1541"/>
      <c r="C259" s="1538">
        <f>CommonE</f>
        <v>0.72819999999999996</v>
      </c>
      <c r="D259" s="1506" t="s">
        <v>30</v>
      </c>
      <c r="E259" s="1539">
        <f>ROUND(E256*$C$259,0)</f>
        <v>31197200</v>
      </c>
      <c r="F259" s="1539">
        <f>ROUND(F256*$C$259,0)</f>
        <v>363393</v>
      </c>
      <c r="G259" s="1539">
        <f>ROUND(G256*$C$259,0)</f>
        <v>92366</v>
      </c>
      <c r="H259" s="1539">
        <f>ROUND(H256*$C$259,0)</f>
        <v>0</v>
      </c>
      <c r="I259" s="1540"/>
      <c r="J259" s="1540"/>
      <c r="K259" s="1539">
        <f>E259+F259-G259+H259</f>
        <v>31468227</v>
      </c>
      <c r="L259" s="1540"/>
      <c r="M259" s="1540"/>
      <c r="N259" s="1541"/>
      <c r="O259" s="1541"/>
      <c r="P259" s="1541"/>
      <c r="Q259" s="1541"/>
      <c r="R259" s="1541"/>
      <c r="S259" s="1541"/>
      <c r="T259" s="1541"/>
      <c r="U259" s="1541"/>
      <c r="V259" s="1541"/>
    </row>
    <row r="260" spans="1:22">
      <c r="A260" s="1541"/>
      <c r="B260" s="1541"/>
      <c r="C260" s="1541"/>
      <c r="D260" s="1541"/>
      <c r="E260" s="1541"/>
      <c r="F260" s="1541"/>
      <c r="G260" s="1541"/>
      <c r="H260" s="1541"/>
      <c r="I260" s="1541"/>
      <c r="J260" s="1541"/>
      <c r="K260" s="1542"/>
      <c r="L260" s="1540"/>
      <c r="M260" s="1540"/>
      <c r="N260" s="1541"/>
      <c r="O260" s="1541"/>
      <c r="P260" s="1541"/>
      <c r="Q260" s="1541"/>
      <c r="R260" s="1541"/>
      <c r="S260" s="1541"/>
      <c r="T260" s="1541"/>
      <c r="U260" s="1541"/>
      <c r="V260" s="1541"/>
    </row>
    <row r="261" spans="1:22">
      <c r="A261" s="1621"/>
      <c r="B261" s="1621"/>
      <c r="C261" s="1621"/>
      <c r="D261" s="1621"/>
      <c r="E261" s="1622"/>
      <c r="F261" s="1622"/>
      <c r="G261" s="1622"/>
      <c r="H261" s="1622"/>
      <c r="I261" s="2687"/>
      <c r="J261" s="2687"/>
      <c r="K261" s="1622"/>
      <c r="L261" s="1540"/>
      <c r="M261" s="1540"/>
      <c r="N261" s="1541"/>
      <c r="O261" s="1541"/>
      <c r="P261" s="1541"/>
      <c r="Q261" s="1541"/>
      <c r="R261" s="1541"/>
      <c r="S261" s="1541"/>
      <c r="T261" s="1541"/>
      <c r="U261" s="1541"/>
      <c r="V261" s="1541"/>
    </row>
    <row r="262" spans="1:22">
      <c r="A262" s="1505">
        <v>13</v>
      </c>
      <c r="B262" s="1541"/>
      <c r="C262" s="1541"/>
      <c r="D262" s="1506" t="s">
        <v>57</v>
      </c>
      <c r="E262" s="1539">
        <f>E259+E217</f>
        <v>1600548819</v>
      </c>
      <c r="F262" s="1539">
        <f>F259+F217</f>
        <v>23806517</v>
      </c>
      <c r="G262" s="1539">
        <f>G259+G217</f>
        <v>18256878</v>
      </c>
      <c r="H262" s="1539">
        <f>H259+H217</f>
        <v>0</v>
      </c>
      <c r="I262" s="1540"/>
      <c r="J262" s="1540"/>
      <c r="K262" s="1539">
        <f>K259+K217</f>
        <v>1606098458</v>
      </c>
      <c r="L262" s="1540"/>
      <c r="M262" s="1540"/>
      <c r="N262" s="1541"/>
      <c r="O262" s="1541"/>
      <c r="P262" s="1541"/>
      <c r="Q262" s="1541"/>
      <c r="R262" s="1541"/>
      <c r="S262" s="1541"/>
      <c r="T262" s="1541"/>
      <c r="U262" s="1541"/>
      <c r="V262" s="1541"/>
    </row>
    <row r="263" spans="1:22">
      <c r="A263" s="1541"/>
      <c r="B263" s="1541"/>
      <c r="C263" s="1541"/>
      <c r="D263" s="1541"/>
      <c r="E263" s="1541"/>
      <c r="F263" s="1541"/>
      <c r="G263" s="1541"/>
      <c r="H263" s="1541"/>
      <c r="I263" s="1541"/>
      <c r="J263" s="1541"/>
      <c r="K263" s="1541"/>
      <c r="L263" s="1540"/>
      <c r="M263" s="1540"/>
      <c r="N263" s="1541"/>
      <c r="O263" s="1541"/>
      <c r="P263" s="1541"/>
      <c r="Q263" s="1541"/>
      <c r="R263" s="1541"/>
      <c r="S263" s="1541"/>
      <c r="T263" s="1541"/>
      <c r="U263" s="1541"/>
      <c r="V263" s="1541"/>
    </row>
    <row r="264" spans="1:22">
      <c r="A264" s="1621"/>
      <c r="B264" s="1621"/>
      <c r="C264" s="1621"/>
      <c r="D264" s="1621"/>
      <c r="E264" s="1622"/>
      <c r="F264" s="1622"/>
      <c r="G264" s="1622"/>
      <c r="H264" s="1622"/>
      <c r="I264" s="2687"/>
      <c r="J264" s="2687"/>
      <c r="K264" s="1622"/>
      <c r="L264" s="1540"/>
      <c r="M264" s="1540"/>
      <c r="N264" s="1541"/>
      <c r="O264" s="1541"/>
      <c r="P264" s="1541"/>
      <c r="Q264" s="1541"/>
      <c r="R264" s="1541"/>
      <c r="S264" s="1541"/>
      <c r="T264" s="1541"/>
      <c r="U264" s="1541"/>
      <c r="V264" s="1541"/>
    </row>
    <row r="265" spans="1:22">
      <c r="A265" s="1506"/>
      <c r="B265" s="1541"/>
      <c r="C265" s="1541"/>
      <c r="D265" s="1541"/>
      <c r="E265" s="1539"/>
      <c r="F265" s="1539"/>
      <c r="G265" s="1539"/>
      <c r="H265" s="1539"/>
      <c r="I265" s="1540"/>
      <c r="J265" s="1540"/>
      <c r="K265" s="1539"/>
      <c r="L265" s="1539"/>
      <c r="M265" s="1540"/>
      <c r="N265" s="1541"/>
      <c r="O265" s="1541"/>
      <c r="P265" s="1541"/>
      <c r="Q265" s="1541"/>
      <c r="R265" s="1541"/>
      <c r="S265" s="1541"/>
      <c r="T265" s="1541"/>
      <c r="U265" s="1541"/>
      <c r="V265" s="1541"/>
    </row>
    <row r="266" spans="1:22">
      <c r="A266" s="103" t="str">
        <f>COMPANY</f>
        <v>DUKE ENERGY KENTUCKY, INC.</v>
      </c>
      <c r="B266" s="2585"/>
      <c r="C266" s="2585"/>
      <c r="D266" s="2585"/>
      <c r="E266" s="2589"/>
      <c r="F266" s="2585"/>
      <c r="G266" s="2585"/>
      <c r="H266" s="2585"/>
      <c r="I266" s="2585"/>
      <c r="J266" s="2585"/>
      <c r="K266" s="2585"/>
      <c r="L266" s="1541"/>
      <c r="M266" s="1540"/>
      <c r="N266" s="1541"/>
      <c r="O266" s="1541"/>
      <c r="P266" s="1541"/>
      <c r="Q266" s="1541"/>
      <c r="R266" s="1541"/>
      <c r="S266" s="1541"/>
      <c r="T266" s="1541"/>
      <c r="U266" s="1541"/>
      <c r="V266" s="1541"/>
    </row>
    <row r="267" spans="1:22">
      <c r="A267" s="103" t="str">
        <f>CASE</f>
        <v>CASE NO. 2017-00321</v>
      </c>
      <c r="B267" s="2585"/>
      <c r="C267" s="2585"/>
      <c r="D267" s="2585"/>
      <c r="E267" s="2589"/>
      <c r="F267" s="2585"/>
      <c r="G267" s="2585"/>
      <c r="H267" s="2585"/>
      <c r="I267" s="2585"/>
      <c r="J267" s="2585"/>
      <c r="K267" s="2585"/>
      <c r="L267" s="1541"/>
      <c r="M267" s="1540"/>
      <c r="N267" s="1541"/>
      <c r="O267" s="1541"/>
      <c r="P267" s="1541"/>
      <c r="Q267" s="1541"/>
      <c r="R267" s="1541"/>
      <c r="S267" s="1541"/>
      <c r="T267" s="1541"/>
      <c r="U267" s="1541"/>
      <c r="V267" s="1541"/>
    </row>
    <row r="268" spans="1:22">
      <c r="A268" s="103" t="s">
        <v>1486</v>
      </c>
      <c r="B268" s="2585"/>
      <c r="C268" s="2585"/>
      <c r="D268" s="2585"/>
      <c r="E268" s="2589"/>
      <c r="F268" s="2585"/>
      <c r="G268" s="2585"/>
      <c r="H268" s="2585"/>
      <c r="I268" s="2585"/>
      <c r="J268" s="2585"/>
      <c r="K268" s="2585"/>
      <c r="L268" s="1541"/>
      <c r="M268" s="1540"/>
      <c r="N268" s="1541"/>
      <c r="O268" s="1541"/>
      <c r="P268" s="1541"/>
      <c r="Q268" s="1541"/>
      <c r="R268" s="1541"/>
      <c r="S268" s="1541"/>
      <c r="T268" s="1541"/>
      <c r="U268" s="1541"/>
      <c r="V268" s="1541"/>
    </row>
    <row r="269" spans="1:22">
      <c r="A269" s="103" t="str">
        <f>"FROM APRIL 1, 2018"&amp;" TO "&amp;RIGHT(Forecast,(LEN(Forecast)-16))</f>
        <v>FROM APRIL 1, 2018 TO MARCH 31, 2019</v>
      </c>
      <c r="B269" s="2585"/>
      <c r="C269" s="2585"/>
      <c r="D269" s="2585"/>
      <c r="E269" s="2589"/>
      <c r="F269" s="2585"/>
      <c r="G269" s="2585"/>
      <c r="H269" s="2585"/>
      <c r="I269" s="2585"/>
      <c r="J269" s="2585"/>
      <c r="K269" s="2585"/>
      <c r="L269" s="1541"/>
      <c r="M269" s="1540"/>
      <c r="N269" s="1541"/>
      <c r="O269" s="1541"/>
      <c r="P269" s="1541"/>
      <c r="Q269" s="1541"/>
      <c r="R269" s="1541"/>
      <c r="S269" s="1541"/>
      <c r="T269" s="1541"/>
      <c r="U269" s="1541"/>
      <c r="V269" s="1541"/>
    </row>
    <row r="270" spans="1:22">
      <c r="A270" s="2585"/>
      <c r="B270" s="2585"/>
      <c r="C270" s="2585"/>
      <c r="D270" s="2585"/>
      <c r="E270" s="2589"/>
      <c r="F270" s="2585"/>
      <c r="G270" s="2585"/>
      <c r="H270" s="2585"/>
      <c r="I270" s="2585"/>
      <c r="J270" s="2585"/>
      <c r="K270" s="2585"/>
      <c r="L270" s="1541"/>
      <c r="M270" s="1540"/>
      <c r="N270" s="1541"/>
      <c r="O270" s="1541"/>
      <c r="P270" s="1541"/>
      <c r="Q270" s="1541"/>
      <c r="R270" s="1541"/>
      <c r="S270" s="1541"/>
      <c r="T270" s="1541"/>
      <c r="U270" s="1541"/>
      <c r="V270" s="1541"/>
    </row>
    <row r="271" spans="1:22">
      <c r="A271" s="103" t="s">
        <v>333</v>
      </c>
      <c r="B271" s="2585"/>
      <c r="C271" s="2585"/>
      <c r="D271" s="2585"/>
      <c r="E271" s="2589"/>
      <c r="F271" s="2585"/>
      <c r="G271" s="2585"/>
      <c r="H271" s="2585"/>
      <c r="I271" s="2585"/>
      <c r="J271" s="2585"/>
      <c r="K271" s="2585"/>
      <c r="L271" s="1541"/>
      <c r="M271" s="1540"/>
      <c r="N271" s="1541"/>
      <c r="O271" s="1541"/>
      <c r="P271" s="1541"/>
      <c r="Q271" s="1541"/>
      <c r="R271" s="1541"/>
      <c r="S271" s="1541"/>
      <c r="T271" s="1541"/>
      <c r="U271" s="1541"/>
      <c r="V271" s="1541"/>
    </row>
    <row r="272" spans="1:22">
      <c r="A272" s="2585"/>
      <c r="B272" s="2585"/>
      <c r="C272" s="2585"/>
      <c r="D272" s="2585"/>
      <c r="E272" s="2589"/>
      <c r="F272" s="2585"/>
      <c r="G272" s="2585"/>
      <c r="H272" s="2585"/>
      <c r="I272" s="2585"/>
      <c r="J272" s="2585"/>
      <c r="K272" s="2585"/>
      <c r="L272" s="1541"/>
      <c r="M272" s="1540"/>
      <c r="N272" s="1541"/>
      <c r="O272" s="1541"/>
      <c r="P272" s="1541"/>
      <c r="Q272" s="1541"/>
      <c r="R272" s="1541"/>
      <c r="S272" s="1541"/>
      <c r="T272" s="1541"/>
      <c r="U272" s="1541"/>
      <c r="V272" s="1541"/>
    </row>
    <row r="273" spans="1:22">
      <c r="A273" s="2569" t="s">
        <v>1799</v>
      </c>
      <c r="B273" s="2585"/>
      <c r="C273" s="2585"/>
      <c r="D273" s="2585"/>
      <c r="E273" s="2589"/>
      <c r="F273" s="2585"/>
      <c r="G273" s="2585"/>
      <c r="H273" s="2585"/>
      <c r="I273" s="2585"/>
      <c r="J273" s="2585"/>
      <c r="K273" s="2585"/>
      <c r="L273" s="1541"/>
      <c r="M273" s="1540"/>
      <c r="N273" s="1541"/>
      <c r="O273" s="1541"/>
      <c r="P273" s="1541"/>
      <c r="Q273" s="1541"/>
      <c r="R273" s="1541"/>
      <c r="S273" s="1541"/>
      <c r="T273" s="1541"/>
      <c r="U273" s="1541"/>
      <c r="V273" s="1541"/>
    </row>
    <row r="274" spans="1:22">
      <c r="A274" s="1541"/>
      <c r="B274" s="1541"/>
      <c r="C274" s="1541"/>
      <c r="D274" s="1541"/>
      <c r="E274" s="1541"/>
      <c r="F274" s="1541"/>
      <c r="G274" s="1541"/>
      <c r="H274" s="1541"/>
      <c r="I274" s="1541"/>
      <c r="J274" s="1541"/>
      <c r="K274" s="1541"/>
      <c r="L274" s="1541"/>
      <c r="M274" s="1540"/>
      <c r="N274" s="1541"/>
      <c r="O274" s="1541"/>
      <c r="P274" s="1541"/>
      <c r="Q274" s="1541"/>
      <c r="R274" s="1541"/>
      <c r="S274" s="1541"/>
      <c r="T274" s="1541"/>
      <c r="U274" s="1541"/>
      <c r="V274" s="1541"/>
    </row>
    <row r="275" spans="1:22">
      <c r="A275" s="1506" t="str">
        <f>DataF</f>
        <v>DATA:  BASE PERIOD  "X" FORECASTED PERIOD</v>
      </c>
      <c r="B275" s="1541"/>
      <c r="C275" s="1541"/>
      <c r="D275" s="1541"/>
      <c r="E275" s="1541"/>
      <c r="F275" s="1541"/>
      <c r="G275" s="1541"/>
      <c r="H275" s="1541"/>
      <c r="I275" s="1541"/>
      <c r="K275" s="1506" t="s">
        <v>1487</v>
      </c>
      <c r="L275" s="1541"/>
      <c r="M275" s="1540"/>
      <c r="N275" s="1541"/>
      <c r="O275" s="1541"/>
      <c r="P275" s="1541"/>
      <c r="Q275" s="1541"/>
      <c r="R275" s="1541"/>
      <c r="S275" s="1541"/>
      <c r="T275" s="1541"/>
      <c r="U275" s="1541"/>
      <c r="V275" s="1541"/>
    </row>
    <row r="276" spans="1:22">
      <c r="A276" s="1506" t="str">
        <f>Type</f>
        <v xml:space="preserve">TYPE OF FILING:  "X" ORIGINAL   UPDATED    REVISED  </v>
      </c>
      <c r="B276" s="1541"/>
      <c r="C276" s="1541"/>
      <c r="D276" s="1541"/>
      <c r="E276" s="1541"/>
      <c r="F276" s="1541"/>
      <c r="G276" s="1541"/>
      <c r="H276" s="1541"/>
      <c r="I276" s="1541"/>
      <c r="K276" s="1506" t="s">
        <v>783</v>
      </c>
      <c r="L276" s="1541"/>
      <c r="M276" s="1540"/>
      <c r="N276" s="1541"/>
      <c r="O276" s="1541"/>
      <c r="P276" s="1541"/>
      <c r="Q276" s="1541"/>
      <c r="R276" s="1541"/>
      <c r="S276" s="1541"/>
      <c r="T276" s="1541"/>
      <c r="U276" s="1541"/>
      <c r="V276" s="1541"/>
    </row>
    <row r="277" spans="1:22">
      <c r="A277" s="1506" t="s">
        <v>1653</v>
      </c>
      <c r="B277" s="1541"/>
      <c r="C277" s="1541"/>
      <c r="D277" s="1541"/>
      <c r="E277" s="1541"/>
      <c r="F277" s="1541"/>
      <c r="G277" s="1541"/>
      <c r="H277" s="1541"/>
      <c r="I277" s="1541"/>
      <c r="K277" s="2586" t="s">
        <v>622</v>
      </c>
      <c r="L277" s="1541"/>
      <c r="M277" s="1540"/>
      <c r="N277" s="1541"/>
      <c r="O277" s="1541"/>
      <c r="P277" s="1541"/>
      <c r="Q277" s="1541"/>
      <c r="R277" s="1541"/>
      <c r="S277" s="1541"/>
      <c r="T277" s="1541"/>
      <c r="U277" s="1541"/>
      <c r="V277" s="1541"/>
    </row>
    <row r="278" spans="1:22">
      <c r="A278" s="1541"/>
      <c r="B278" s="1541"/>
      <c r="C278" s="1541"/>
      <c r="D278" s="1541"/>
      <c r="E278" s="1541"/>
      <c r="F278" s="1541"/>
      <c r="G278" s="1541"/>
      <c r="H278" s="1541"/>
      <c r="I278" s="1541"/>
      <c r="K278" s="2586" t="str">
        <f>_WIT7</f>
        <v>R. H. PRATT / C. S. LEE</v>
      </c>
      <c r="L278" s="1541"/>
      <c r="M278" s="1540"/>
      <c r="N278" s="1541"/>
      <c r="O278" s="1541"/>
      <c r="P278" s="1541"/>
      <c r="Q278" s="1541"/>
      <c r="R278" s="1541"/>
      <c r="S278" s="1541"/>
      <c r="T278" s="1541"/>
      <c r="U278" s="1541"/>
      <c r="V278" s="1541"/>
    </row>
    <row r="279" spans="1:22">
      <c r="A279" s="1541"/>
      <c r="B279" s="1541"/>
      <c r="C279" s="1541"/>
      <c r="D279" s="1541"/>
      <c r="E279" s="1541"/>
      <c r="F279" s="1541"/>
      <c r="G279" s="1541"/>
      <c r="H279" s="1541"/>
      <c r="I279" s="1541"/>
      <c r="J279" s="1541"/>
      <c r="K279" s="1541"/>
      <c r="L279" s="1541"/>
      <c r="M279" s="1540"/>
      <c r="N279" s="1541"/>
      <c r="O279" s="1541"/>
      <c r="P279" s="1541"/>
      <c r="Q279" s="1541"/>
      <c r="R279" s="1541"/>
      <c r="S279" s="1541"/>
      <c r="T279" s="1541"/>
      <c r="U279" s="1541"/>
      <c r="V279" s="1541"/>
    </row>
    <row r="280" spans="1:22">
      <c r="A280" s="1541"/>
      <c r="B280" s="1541"/>
      <c r="C280" s="1541"/>
      <c r="D280" s="1541"/>
      <c r="E280" s="1541"/>
      <c r="F280" s="1541"/>
      <c r="G280" s="1541"/>
      <c r="H280" s="2587"/>
      <c r="I280" s="1541"/>
      <c r="J280" s="1541"/>
      <c r="K280" s="1541"/>
      <c r="L280" s="1541"/>
      <c r="M280" s="1540"/>
      <c r="N280" s="1541"/>
      <c r="O280" s="1541"/>
      <c r="P280" s="1541"/>
      <c r="Q280" s="1541"/>
      <c r="R280" s="1541"/>
      <c r="S280" s="1541"/>
      <c r="T280" s="1541"/>
      <c r="U280" s="1541"/>
      <c r="V280" s="1541"/>
    </row>
    <row r="281" spans="1:22">
      <c r="A281" s="1621"/>
      <c r="B281" s="1621"/>
      <c r="C281" s="2674"/>
      <c r="D281" s="1621"/>
      <c r="E281" s="1621"/>
      <c r="F281" s="1621"/>
      <c r="G281" s="1621"/>
      <c r="H281" s="1631"/>
      <c r="I281" s="1621"/>
      <c r="J281" s="1621"/>
      <c r="K281" s="1621"/>
      <c r="L281" s="1621"/>
      <c r="M281" s="1540"/>
      <c r="N281" s="1541"/>
      <c r="O281" s="1541"/>
      <c r="P281" s="1541"/>
      <c r="Q281" s="1541"/>
      <c r="R281" s="1541"/>
      <c r="S281" s="1541"/>
      <c r="T281" s="1541"/>
      <c r="U281" s="1541"/>
      <c r="V281" s="1541"/>
    </row>
    <row r="282" spans="1:22">
      <c r="A282" s="1541"/>
      <c r="B282" s="1505" t="s">
        <v>943</v>
      </c>
      <c r="C282" s="1505" t="s">
        <v>1750</v>
      </c>
      <c r="D282" s="1541"/>
      <c r="E282" s="1541"/>
      <c r="F282" s="1541"/>
      <c r="G282" s="1541"/>
      <c r="H282" s="100" t="s">
        <v>1090</v>
      </c>
      <c r="I282" s="100"/>
      <c r="J282" s="100"/>
      <c r="K282" s="1541"/>
      <c r="L282" s="1541"/>
      <c r="M282" s="1540"/>
      <c r="N282" s="1541"/>
      <c r="O282" s="1541"/>
      <c r="P282" s="1541"/>
      <c r="Q282" s="1541"/>
      <c r="R282" s="1541"/>
      <c r="S282" s="1541"/>
      <c r="T282" s="1541"/>
      <c r="U282" s="1541"/>
      <c r="V282" s="1541"/>
    </row>
    <row r="283" spans="1:22">
      <c r="A283" s="1505" t="s">
        <v>1240</v>
      </c>
      <c r="B283" s="1505" t="s">
        <v>1164</v>
      </c>
      <c r="C283" s="1505" t="s">
        <v>1164</v>
      </c>
      <c r="D283" s="1505" t="s">
        <v>1118</v>
      </c>
      <c r="E283" s="1505" t="s">
        <v>1091</v>
      </c>
      <c r="F283" s="1541"/>
      <c r="G283" s="1541"/>
      <c r="H283" s="2690"/>
      <c r="I283" s="2681" t="s">
        <v>1092</v>
      </c>
      <c r="J283" s="2681" t="s">
        <v>120</v>
      </c>
      <c r="K283" s="1505" t="s">
        <v>121</v>
      </c>
      <c r="L283" s="1505" t="s">
        <v>1967</v>
      </c>
      <c r="M283" s="1540"/>
      <c r="N283" s="1541"/>
      <c r="O283" s="1541"/>
      <c r="P283" s="1541"/>
      <c r="Q283" s="1541"/>
      <c r="R283" s="1541"/>
      <c r="S283" s="1541"/>
      <c r="T283" s="1541"/>
      <c r="U283" s="1541"/>
      <c r="V283" s="1541"/>
    </row>
    <row r="284" spans="1:22">
      <c r="A284" s="1505" t="s">
        <v>1241</v>
      </c>
      <c r="B284" s="1505" t="s">
        <v>1241</v>
      </c>
      <c r="C284" s="1505" t="s">
        <v>1241</v>
      </c>
      <c r="D284" s="1505" t="s">
        <v>122</v>
      </c>
      <c r="E284" s="1505" t="s">
        <v>123</v>
      </c>
      <c r="F284" s="1505" t="s">
        <v>124</v>
      </c>
      <c r="G284" s="1505" t="s">
        <v>125</v>
      </c>
      <c r="H284" s="1505" t="s">
        <v>646</v>
      </c>
      <c r="I284" s="1505" t="s">
        <v>126</v>
      </c>
      <c r="J284" s="1505" t="s">
        <v>127</v>
      </c>
      <c r="K284" s="1505" t="s">
        <v>123</v>
      </c>
      <c r="L284" s="1505" t="s">
        <v>873</v>
      </c>
      <c r="M284" s="1540"/>
      <c r="N284" s="1541"/>
      <c r="O284" s="1541"/>
      <c r="P284" s="1541"/>
      <c r="Q284" s="1541"/>
      <c r="R284" s="1541"/>
      <c r="S284" s="1541"/>
      <c r="T284" s="1541"/>
      <c r="U284" s="1541"/>
      <c r="V284" s="1541"/>
    </row>
    <row r="285" spans="1:22">
      <c r="A285" s="1541"/>
      <c r="B285" s="1541"/>
      <c r="C285" s="1541"/>
      <c r="D285" s="1541"/>
      <c r="E285" s="1541"/>
      <c r="F285" s="1541"/>
      <c r="G285" s="1541"/>
      <c r="H285" s="1541"/>
      <c r="I285" s="1541"/>
      <c r="J285" s="1541"/>
      <c r="K285" s="1541"/>
      <c r="L285" s="1541"/>
      <c r="M285" s="1540"/>
      <c r="N285" s="1541"/>
      <c r="O285" s="1541"/>
      <c r="P285" s="1541"/>
      <c r="Q285" s="1541"/>
      <c r="R285" s="1541"/>
      <c r="S285" s="1541"/>
      <c r="T285" s="1541"/>
      <c r="U285" s="1541"/>
      <c r="V285" s="1541"/>
    </row>
    <row r="286" spans="1:22">
      <c r="A286" s="1621"/>
      <c r="B286" s="1621"/>
      <c r="C286" s="1621"/>
      <c r="D286" s="1621"/>
      <c r="E286" s="2679" t="s">
        <v>1705</v>
      </c>
      <c r="F286" s="2679" t="s">
        <v>1705</v>
      </c>
      <c r="G286" s="2679" t="s">
        <v>1705</v>
      </c>
      <c r="H286" s="2679" t="s">
        <v>1705</v>
      </c>
      <c r="I286" s="1621"/>
      <c r="J286" s="1621"/>
      <c r="K286" s="2679" t="s">
        <v>1705</v>
      </c>
      <c r="L286" s="2679" t="s">
        <v>1705</v>
      </c>
      <c r="M286" s="1540"/>
      <c r="N286" s="1541"/>
      <c r="O286" s="1541"/>
      <c r="P286" s="1541"/>
      <c r="Q286" s="1541"/>
      <c r="R286" s="1541"/>
      <c r="S286" s="1541"/>
      <c r="T286" s="1541"/>
      <c r="U286" s="1541"/>
      <c r="V286" s="1541"/>
    </row>
    <row r="287" spans="1:22">
      <c r="A287" s="1541"/>
      <c r="B287" s="1541"/>
      <c r="C287" s="1541"/>
      <c r="D287" s="2595"/>
      <c r="E287" s="1541"/>
      <c r="F287" s="1541"/>
      <c r="G287" s="1541"/>
      <c r="H287" s="1541"/>
      <c r="I287" s="1541"/>
      <c r="J287" s="1541"/>
      <c r="K287" s="1541"/>
      <c r="L287" s="1541"/>
      <c r="M287" s="1540"/>
      <c r="N287" s="1541"/>
      <c r="O287" s="1541"/>
      <c r="P287" s="1541"/>
      <c r="Q287" s="1541"/>
      <c r="R287" s="1541"/>
      <c r="S287" s="1541"/>
      <c r="T287" s="1541"/>
      <c r="U287" s="1541"/>
      <c r="V287" s="1541"/>
    </row>
    <row r="288" spans="1:22">
      <c r="A288" s="1505" t="s">
        <v>1166</v>
      </c>
      <c r="B288" s="1505">
        <v>310</v>
      </c>
      <c r="C288" s="1505">
        <v>3100</v>
      </c>
      <c r="D288" s="1506" t="s">
        <v>849</v>
      </c>
      <c r="E288" s="105">
        <v>7047301</v>
      </c>
      <c r="F288" s="105">
        <v>0</v>
      </c>
      <c r="G288" s="105">
        <v>0</v>
      </c>
      <c r="H288" s="1541"/>
      <c r="I288" s="1540"/>
      <c r="J288" s="1540"/>
      <c r="K288" s="1542">
        <f t="shared" ref="K288:K303" si="6">E288+F288-G288+H288</f>
        <v>7047301</v>
      </c>
      <c r="L288" s="105">
        <v>7047301</v>
      </c>
      <c r="M288" s="1540"/>
      <c r="N288" s="1541"/>
      <c r="O288" s="1541"/>
      <c r="P288" s="1541"/>
      <c r="Q288" s="1541"/>
      <c r="R288" s="1541"/>
      <c r="S288" s="1541"/>
      <c r="T288" s="1541"/>
      <c r="U288" s="1541"/>
      <c r="V288" s="1541"/>
    </row>
    <row r="289" spans="1:22">
      <c r="A289" s="1505" t="s">
        <v>1167</v>
      </c>
      <c r="B289" s="1505">
        <v>311</v>
      </c>
      <c r="C289" s="1505">
        <v>3110</v>
      </c>
      <c r="D289" s="1506" t="s">
        <v>1170</v>
      </c>
      <c r="E289" s="105">
        <v>53085980</v>
      </c>
      <c r="F289" s="105">
        <v>0</v>
      </c>
      <c r="G289" s="105">
        <v>249177</v>
      </c>
      <c r="H289" s="1541"/>
      <c r="I289" s="1540"/>
      <c r="J289" s="1540"/>
      <c r="K289" s="1542">
        <f t="shared" si="6"/>
        <v>52836803</v>
      </c>
      <c r="L289" s="105">
        <v>52961753</v>
      </c>
      <c r="M289" s="1540"/>
      <c r="N289" s="1541"/>
      <c r="O289" s="1541"/>
      <c r="P289" s="1541"/>
      <c r="Q289" s="1541"/>
      <c r="R289" s="1541"/>
      <c r="S289" s="1541"/>
      <c r="T289" s="1541"/>
      <c r="U289" s="1541"/>
      <c r="V289" s="1541"/>
    </row>
    <row r="290" spans="1:22">
      <c r="A290" s="1505" t="s">
        <v>1169</v>
      </c>
      <c r="B290" s="1505">
        <v>311</v>
      </c>
      <c r="C290" s="1505" t="s">
        <v>2291</v>
      </c>
      <c r="D290" s="1506" t="s">
        <v>1170</v>
      </c>
      <c r="E290" s="105">
        <v>18409562</v>
      </c>
      <c r="F290" s="105">
        <v>0</v>
      </c>
      <c r="G290" s="105">
        <v>0</v>
      </c>
      <c r="H290" s="1541"/>
      <c r="I290" s="1540"/>
      <c r="J290" s="1540"/>
      <c r="K290" s="1542">
        <f t="shared" si="6"/>
        <v>18409562</v>
      </c>
      <c r="L290" s="105">
        <v>18409562</v>
      </c>
      <c r="M290" s="1540"/>
      <c r="N290" s="1541"/>
      <c r="O290" s="1541"/>
      <c r="P290" s="1541"/>
      <c r="Q290" s="1541"/>
      <c r="R290" s="1541"/>
      <c r="S290" s="1541"/>
      <c r="T290" s="1541"/>
      <c r="U290" s="1541"/>
      <c r="V290" s="1541"/>
    </row>
    <row r="291" spans="1:22">
      <c r="A291" s="1505" t="s">
        <v>1171</v>
      </c>
      <c r="B291" s="1505">
        <v>312</v>
      </c>
      <c r="C291" s="1505">
        <v>3120</v>
      </c>
      <c r="D291" s="1506" t="s">
        <v>334</v>
      </c>
      <c r="E291" s="105">
        <v>204433458</v>
      </c>
      <c r="F291" s="105">
        <v>0</v>
      </c>
      <c r="G291" s="105">
        <v>7638689</v>
      </c>
      <c r="H291" s="1541"/>
      <c r="I291" s="1540"/>
      <c r="J291" s="1540"/>
      <c r="K291" s="1542">
        <f t="shared" si="6"/>
        <v>196794769</v>
      </c>
      <c r="L291" s="105">
        <v>200625191</v>
      </c>
      <c r="M291" s="1540"/>
      <c r="N291" s="1541"/>
      <c r="O291" s="1541"/>
      <c r="P291" s="1541"/>
      <c r="Q291" s="1541"/>
      <c r="R291" s="1541"/>
      <c r="S291" s="1541"/>
      <c r="T291" s="1541"/>
      <c r="U291" s="1541"/>
      <c r="V291" s="1541"/>
    </row>
    <row r="292" spans="1:22">
      <c r="A292" s="1505" t="s">
        <v>977</v>
      </c>
      <c r="B292" s="1505">
        <v>312</v>
      </c>
      <c r="C292" s="1505" t="s">
        <v>2292</v>
      </c>
      <c r="D292" s="1506" t="s">
        <v>334</v>
      </c>
      <c r="E292" s="105">
        <v>242620587</v>
      </c>
      <c r="F292" s="105">
        <v>0</v>
      </c>
      <c r="G292" s="105">
        <v>426717</v>
      </c>
      <c r="H292" s="1541"/>
      <c r="I292" s="1540"/>
      <c r="J292" s="1540"/>
      <c r="K292" s="1542">
        <f t="shared" si="6"/>
        <v>242193870</v>
      </c>
      <c r="L292" s="105">
        <v>242407848</v>
      </c>
      <c r="M292" s="1540"/>
      <c r="N292" s="1541"/>
      <c r="O292" s="1541"/>
      <c r="P292" s="1541"/>
      <c r="Q292" s="1541"/>
      <c r="R292" s="1541"/>
      <c r="S292" s="1541"/>
      <c r="T292" s="1541"/>
      <c r="U292" s="1541"/>
      <c r="V292" s="1541"/>
    </row>
    <row r="293" spans="1:22">
      <c r="A293" s="1505" t="s">
        <v>1596</v>
      </c>
      <c r="B293" s="1505"/>
      <c r="C293" s="1505"/>
      <c r="D293" s="1506" t="s">
        <v>3278</v>
      </c>
      <c r="E293" s="105">
        <v>0</v>
      </c>
      <c r="F293" s="105">
        <v>0</v>
      </c>
      <c r="G293" s="105">
        <v>0</v>
      </c>
      <c r="H293" s="1541"/>
      <c r="I293" s="1540"/>
      <c r="J293" s="1540"/>
      <c r="K293" s="1542">
        <f t="shared" si="6"/>
        <v>0</v>
      </c>
      <c r="L293" s="105">
        <v>0</v>
      </c>
      <c r="M293" s="1540"/>
      <c r="N293" s="1541"/>
      <c r="O293" s="1541"/>
      <c r="P293" s="1541"/>
      <c r="Q293" s="1541"/>
      <c r="R293" s="1541"/>
      <c r="S293" s="1541"/>
      <c r="T293" s="1541"/>
      <c r="U293" s="1541"/>
      <c r="V293" s="1541"/>
    </row>
    <row r="294" spans="1:22">
      <c r="A294" s="1505" t="s">
        <v>978</v>
      </c>
      <c r="B294" s="1505">
        <v>312</v>
      </c>
      <c r="C294" s="1505" t="s">
        <v>2293</v>
      </c>
      <c r="D294" s="1506" t="s">
        <v>335</v>
      </c>
      <c r="E294" s="105">
        <v>5420680</v>
      </c>
      <c r="F294" s="105">
        <v>0</v>
      </c>
      <c r="G294" s="105">
        <v>0</v>
      </c>
      <c r="H294" s="1541"/>
      <c r="I294" s="1540"/>
      <c r="J294" s="1540"/>
      <c r="K294" s="1542">
        <f t="shared" si="6"/>
        <v>5420680</v>
      </c>
      <c r="L294" s="105">
        <v>5420680</v>
      </c>
      <c r="M294" s="1540"/>
      <c r="N294" s="1541"/>
      <c r="O294" s="1541"/>
      <c r="P294" s="1541"/>
      <c r="Q294" s="1541"/>
      <c r="R294" s="1541"/>
      <c r="S294" s="1541"/>
      <c r="T294" s="1541"/>
      <c r="U294" s="1541"/>
      <c r="V294" s="1541"/>
    </row>
    <row r="295" spans="1:22">
      <c r="A295" s="1505" t="s">
        <v>979</v>
      </c>
      <c r="B295" s="1505">
        <v>314</v>
      </c>
      <c r="C295" s="1505">
        <v>3140</v>
      </c>
      <c r="D295" s="1506" t="s">
        <v>336</v>
      </c>
      <c r="E295" s="105">
        <v>89526686</v>
      </c>
      <c r="F295" s="105">
        <v>0</v>
      </c>
      <c r="G295" s="105">
        <v>778320</v>
      </c>
      <c r="H295" s="1541"/>
      <c r="I295" s="1540"/>
      <c r="J295" s="1540"/>
      <c r="K295" s="1542">
        <f t="shared" si="6"/>
        <v>88748366</v>
      </c>
      <c r="L295" s="105">
        <v>89138655</v>
      </c>
      <c r="M295" s="1540"/>
      <c r="N295" s="1541"/>
      <c r="O295" s="1541"/>
      <c r="P295" s="1541"/>
      <c r="Q295" s="1541"/>
      <c r="R295" s="1541"/>
      <c r="S295" s="1541"/>
      <c r="T295" s="1541"/>
      <c r="U295" s="1541"/>
      <c r="V295" s="1541"/>
    </row>
    <row r="296" spans="1:22">
      <c r="A296" s="1505" t="s">
        <v>980</v>
      </c>
      <c r="B296" s="1505">
        <v>314</v>
      </c>
      <c r="C296" s="1505" t="s">
        <v>2294</v>
      </c>
      <c r="D296" s="1506" t="s">
        <v>336</v>
      </c>
      <c r="E296" s="105">
        <v>10590194</v>
      </c>
      <c r="F296" s="105">
        <v>0</v>
      </c>
      <c r="G296" s="105">
        <v>0</v>
      </c>
      <c r="H296" s="1541"/>
      <c r="I296" s="1540"/>
      <c r="J296" s="1540"/>
      <c r="K296" s="1542">
        <f t="shared" si="6"/>
        <v>10590194</v>
      </c>
      <c r="L296" s="105">
        <v>10590194</v>
      </c>
      <c r="M296" s="1540"/>
      <c r="N296" s="1541"/>
      <c r="O296" s="1541"/>
      <c r="P296" s="1541"/>
      <c r="Q296" s="1541"/>
      <c r="R296" s="1541"/>
      <c r="S296" s="1541"/>
      <c r="T296" s="1541"/>
      <c r="U296" s="1541"/>
      <c r="V296" s="1541"/>
    </row>
    <row r="297" spans="1:22">
      <c r="A297" s="1505" t="s">
        <v>850</v>
      </c>
      <c r="B297" s="1505">
        <v>315</v>
      </c>
      <c r="C297" s="1505">
        <v>3150</v>
      </c>
      <c r="D297" s="1506" t="s">
        <v>337</v>
      </c>
      <c r="E297" s="105">
        <v>28534817</v>
      </c>
      <c r="F297" s="105">
        <v>0</v>
      </c>
      <c r="G297" s="105">
        <v>-949032</v>
      </c>
      <c r="H297" s="1541"/>
      <c r="I297" s="1540"/>
      <c r="J297" s="1540"/>
      <c r="K297" s="1542">
        <f t="shared" si="6"/>
        <v>29483849</v>
      </c>
      <c r="L297" s="105">
        <v>29007957</v>
      </c>
      <c r="M297" s="1540"/>
      <c r="N297" s="1541"/>
      <c r="O297" s="1541"/>
      <c r="P297" s="1541"/>
      <c r="Q297" s="1541"/>
      <c r="R297" s="1541"/>
      <c r="S297" s="1541"/>
      <c r="T297" s="1541"/>
      <c r="U297" s="1541"/>
      <c r="V297" s="1541"/>
    </row>
    <row r="298" spans="1:22">
      <c r="A298" s="1505" t="s">
        <v>851</v>
      </c>
      <c r="B298" s="1505">
        <v>315</v>
      </c>
      <c r="C298" s="1505" t="s">
        <v>2295</v>
      </c>
      <c r="D298" s="1506" t="s">
        <v>337</v>
      </c>
      <c r="E298" s="105">
        <v>16979176</v>
      </c>
      <c r="F298" s="105">
        <v>0</v>
      </c>
      <c r="G298" s="105">
        <v>0</v>
      </c>
      <c r="H298" s="1541"/>
      <c r="I298" s="1540"/>
      <c r="J298" s="1540"/>
      <c r="K298" s="1542">
        <f t="shared" si="6"/>
        <v>16979176</v>
      </c>
      <c r="L298" s="105">
        <v>16979176</v>
      </c>
      <c r="M298" s="1540"/>
      <c r="N298" s="1541"/>
      <c r="O298" s="1541"/>
      <c r="P298" s="1541"/>
      <c r="Q298" s="1541"/>
      <c r="R298" s="1541"/>
      <c r="S298" s="1541"/>
      <c r="T298" s="1541"/>
      <c r="U298" s="1541"/>
      <c r="V298" s="1541"/>
    </row>
    <row r="299" spans="1:22">
      <c r="A299" s="1505" t="s">
        <v>852</v>
      </c>
      <c r="B299" s="1505">
        <v>316</v>
      </c>
      <c r="C299" s="1505">
        <v>3160</v>
      </c>
      <c r="D299" s="1506" t="s">
        <v>338</v>
      </c>
      <c r="E299" s="105">
        <v>14482870</v>
      </c>
      <c r="F299" s="105">
        <v>0</v>
      </c>
      <c r="G299" s="105">
        <v>58104</v>
      </c>
      <c r="H299" s="1541"/>
      <c r="I299" s="1540"/>
      <c r="J299" s="1540"/>
      <c r="K299" s="1542">
        <f t="shared" si="6"/>
        <v>14424766</v>
      </c>
      <c r="L299" s="105">
        <v>14453902</v>
      </c>
      <c r="M299" s="1540"/>
      <c r="N299" s="1541"/>
      <c r="O299" s="1541"/>
      <c r="P299" s="1541"/>
      <c r="Q299" s="1541"/>
      <c r="R299" s="1541"/>
      <c r="S299" s="1541"/>
      <c r="T299" s="1541"/>
      <c r="U299" s="1541"/>
      <c r="V299" s="1541"/>
    </row>
    <row r="300" spans="1:22">
      <c r="A300" s="1505" t="s">
        <v>853</v>
      </c>
      <c r="B300" s="1505">
        <v>317</v>
      </c>
      <c r="C300" s="1505" t="s">
        <v>2296</v>
      </c>
      <c r="D300" s="1506" t="s">
        <v>338</v>
      </c>
      <c r="E300" s="105">
        <v>5796351</v>
      </c>
      <c r="F300" s="105">
        <v>0</v>
      </c>
      <c r="G300" s="105">
        <v>0</v>
      </c>
      <c r="H300" s="1541"/>
      <c r="I300" s="1540"/>
      <c r="J300" s="1540"/>
      <c r="K300" s="1542">
        <f t="shared" si="6"/>
        <v>5796351</v>
      </c>
      <c r="L300" s="105">
        <v>5796351</v>
      </c>
      <c r="M300" s="1540"/>
      <c r="N300" s="1541"/>
      <c r="O300" s="1541"/>
      <c r="P300" s="1541"/>
      <c r="Q300" s="1541"/>
      <c r="R300" s="1541"/>
      <c r="S300" s="1541"/>
      <c r="T300" s="1541"/>
      <c r="U300" s="1541"/>
      <c r="V300" s="1541"/>
    </row>
    <row r="301" spans="1:22">
      <c r="A301" s="1505" t="s">
        <v>854</v>
      </c>
      <c r="B301" s="1505">
        <v>317</v>
      </c>
      <c r="C301" s="1505" t="s">
        <v>2753</v>
      </c>
      <c r="D301" s="1506" t="s">
        <v>2747</v>
      </c>
      <c r="E301" s="105">
        <v>46586238</v>
      </c>
      <c r="F301" s="105">
        <v>0</v>
      </c>
      <c r="G301" s="105">
        <v>0</v>
      </c>
      <c r="H301" s="1541"/>
      <c r="I301" s="1540"/>
      <c r="J301" s="1540"/>
      <c r="K301" s="1542">
        <f t="shared" si="6"/>
        <v>46586238</v>
      </c>
      <c r="L301" s="105">
        <v>46586238</v>
      </c>
      <c r="M301" s="1540"/>
      <c r="N301" s="1541"/>
      <c r="O301" s="1541"/>
      <c r="P301" s="1541"/>
      <c r="Q301" s="1541"/>
      <c r="R301" s="1541"/>
      <c r="S301" s="1541"/>
      <c r="T301" s="1541"/>
      <c r="U301" s="1541"/>
      <c r="V301" s="1541"/>
    </row>
    <row r="302" spans="1:22">
      <c r="A302" s="1505" t="s">
        <v>855</v>
      </c>
      <c r="B302" s="1506"/>
      <c r="C302" s="1506"/>
      <c r="D302" s="1506" t="s">
        <v>1483</v>
      </c>
      <c r="E302" s="105">
        <v>56469625</v>
      </c>
      <c r="F302" s="105">
        <v>47564553</v>
      </c>
      <c r="G302" s="105">
        <v>0</v>
      </c>
      <c r="H302" s="1541"/>
      <c r="I302" s="1540"/>
      <c r="J302" s="1540"/>
      <c r="K302" s="1542">
        <f t="shared" si="6"/>
        <v>104034178</v>
      </c>
      <c r="L302" s="105">
        <v>82239531</v>
      </c>
      <c r="M302" s="1540"/>
      <c r="N302" s="1541"/>
      <c r="O302" s="1541"/>
      <c r="P302" s="1541"/>
      <c r="Q302" s="1541"/>
      <c r="R302" s="1541"/>
      <c r="S302" s="1541"/>
      <c r="T302" s="1541"/>
      <c r="U302" s="1541"/>
      <c r="V302" s="1541"/>
    </row>
    <row r="303" spans="1:22">
      <c r="A303" s="1505"/>
      <c r="B303" s="1541"/>
      <c r="C303" s="1505" t="s">
        <v>3103</v>
      </c>
      <c r="D303" s="1506" t="s">
        <v>1483</v>
      </c>
      <c r="E303" s="105">
        <v>266561</v>
      </c>
      <c r="F303" s="105">
        <v>42256640</v>
      </c>
      <c r="G303" s="105">
        <v>0</v>
      </c>
      <c r="H303" s="96"/>
      <c r="I303" s="1540"/>
      <c r="J303" s="1540"/>
      <c r="K303" s="1542">
        <f t="shared" si="6"/>
        <v>42523201</v>
      </c>
      <c r="L303" s="105">
        <v>13268572</v>
      </c>
      <c r="M303" s="1540"/>
      <c r="N303" s="1541"/>
      <c r="O303" s="1541"/>
      <c r="P303" s="1541"/>
      <c r="Q303" s="1541"/>
      <c r="R303" s="1541"/>
      <c r="S303" s="1541"/>
      <c r="T303" s="1541"/>
      <c r="U303" s="1541"/>
      <c r="V303" s="1541"/>
    </row>
    <row r="304" spans="1:22">
      <c r="A304" s="1541"/>
      <c r="B304" s="1541"/>
      <c r="C304" s="1541"/>
      <c r="D304" s="1541"/>
      <c r="E304" s="1541"/>
      <c r="F304" s="1541"/>
      <c r="G304" s="1541"/>
      <c r="H304" s="1541"/>
      <c r="I304" s="1541"/>
      <c r="J304" s="1541"/>
      <c r="K304" s="1542"/>
      <c r="L304" s="1542"/>
      <c r="M304" s="1540"/>
      <c r="N304" s="1541"/>
      <c r="O304" s="1541"/>
      <c r="P304" s="1541"/>
      <c r="Q304" s="1541"/>
      <c r="R304" s="1541"/>
      <c r="S304" s="1541"/>
      <c r="T304" s="1541"/>
      <c r="U304" s="1541"/>
      <c r="V304" s="1541"/>
    </row>
    <row r="305" spans="1:22">
      <c r="A305" s="1621"/>
      <c r="B305" s="1621"/>
      <c r="C305" s="1621"/>
      <c r="D305" s="1621"/>
      <c r="E305" s="1621"/>
      <c r="F305" s="1621"/>
      <c r="G305" s="1621"/>
      <c r="H305" s="1621"/>
      <c r="I305" s="1621"/>
      <c r="J305" s="1621"/>
      <c r="K305" s="2689"/>
      <c r="L305" s="2689"/>
      <c r="M305" s="1540"/>
      <c r="N305" s="1541"/>
      <c r="O305" s="1541"/>
      <c r="P305" s="1541"/>
      <c r="Q305" s="1541"/>
      <c r="R305" s="1541"/>
      <c r="S305" s="1541"/>
      <c r="T305" s="1541"/>
      <c r="U305" s="1541"/>
      <c r="V305" s="1541"/>
    </row>
    <row r="306" spans="1:22">
      <c r="A306" s="1505">
        <v>16</v>
      </c>
      <c r="B306" s="1541"/>
      <c r="C306" s="1541"/>
      <c r="D306" s="1506" t="s">
        <v>1720</v>
      </c>
      <c r="E306" s="1539">
        <f>SUM(E288:E303)</f>
        <v>800250086</v>
      </c>
      <c r="F306" s="1539">
        <f>SUM(F288:F303)</f>
        <v>89821193</v>
      </c>
      <c r="G306" s="1539">
        <f>SUM(G288:G303)</f>
        <v>8201975</v>
      </c>
      <c r="H306" s="1539">
        <f>SUM(H288:H302)</f>
        <v>0</v>
      </c>
      <c r="I306" s="1540"/>
      <c r="J306" s="1540"/>
      <c r="K306" s="1539">
        <f>SUM(K288:K303)</f>
        <v>881869304</v>
      </c>
      <c r="L306" s="1539">
        <f>SUM(L288:L303)</f>
        <v>834932911</v>
      </c>
      <c r="M306" s="1540"/>
      <c r="N306" s="1541"/>
      <c r="O306" s="1541"/>
      <c r="P306" s="1541"/>
      <c r="Q306" s="1541"/>
      <c r="R306" s="1541"/>
      <c r="S306" s="1541"/>
      <c r="T306" s="1541"/>
      <c r="U306" s="1541"/>
      <c r="V306" s="1541"/>
    </row>
    <row r="307" spans="1:22">
      <c r="A307" s="1541"/>
      <c r="B307" s="1541"/>
      <c r="C307" s="1541"/>
      <c r="D307" s="1541"/>
      <c r="E307" s="1541"/>
      <c r="F307" s="1541"/>
      <c r="G307" s="1541"/>
      <c r="H307" s="1541"/>
      <c r="I307" s="1541"/>
      <c r="J307" s="1541"/>
      <c r="K307" s="1541"/>
      <c r="L307" s="1541"/>
      <c r="M307" s="1540"/>
      <c r="N307" s="1541"/>
      <c r="O307" s="1541"/>
      <c r="P307" s="1541"/>
      <c r="Q307" s="1541"/>
      <c r="R307" s="1541"/>
      <c r="S307" s="1541"/>
      <c r="T307" s="1541"/>
      <c r="U307" s="1541"/>
      <c r="V307" s="1541"/>
    </row>
    <row r="308" spans="1:22">
      <c r="A308" s="1621"/>
      <c r="B308" s="1621"/>
      <c r="C308" s="1621"/>
      <c r="D308" s="1621"/>
      <c r="E308" s="1622"/>
      <c r="F308" s="1622"/>
      <c r="G308" s="1622"/>
      <c r="H308" s="1622"/>
      <c r="I308" s="2687"/>
      <c r="J308" s="2687"/>
      <c r="K308" s="1622"/>
      <c r="L308" s="1622"/>
      <c r="M308" s="1540"/>
      <c r="N308" s="1541"/>
      <c r="O308" s="1541"/>
      <c r="P308" s="1541"/>
      <c r="Q308" s="1541"/>
      <c r="R308" s="1541"/>
      <c r="S308" s="1541"/>
      <c r="T308" s="1541"/>
      <c r="U308" s="1541"/>
      <c r="V308" s="1541"/>
    </row>
    <row r="309" spans="1:22">
      <c r="A309" s="103" t="str">
        <f>COMPANY</f>
        <v>DUKE ENERGY KENTUCKY, INC.</v>
      </c>
      <c r="B309" s="2585"/>
      <c r="C309" s="2585"/>
      <c r="D309" s="2585"/>
      <c r="E309" s="2589"/>
      <c r="F309" s="2585"/>
      <c r="G309" s="2585"/>
      <c r="H309" s="2585"/>
      <c r="I309" s="2585"/>
      <c r="J309" s="2585"/>
      <c r="K309" s="2585"/>
      <c r="L309" s="92"/>
      <c r="M309" s="1540"/>
      <c r="N309" s="1541"/>
      <c r="O309" s="1541"/>
      <c r="P309" s="1541"/>
      <c r="Q309" s="1541"/>
      <c r="R309" s="1541"/>
      <c r="S309" s="1541"/>
      <c r="T309" s="1541"/>
      <c r="U309" s="1541"/>
      <c r="V309" s="1541"/>
    </row>
    <row r="310" spans="1:22">
      <c r="A310" s="103" t="str">
        <f>CASE</f>
        <v>CASE NO. 2017-00321</v>
      </c>
      <c r="B310" s="2585"/>
      <c r="C310" s="2585"/>
      <c r="D310" s="2585"/>
      <c r="E310" s="2589"/>
      <c r="F310" s="2585"/>
      <c r="G310" s="2585"/>
      <c r="H310" s="2585"/>
      <c r="I310" s="2585"/>
      <c r="J310" s="2585"/>
      <c r="K310" s="2585"/>
      <c r="L310" s="92"/>
      <c r="M310" s="1540"/>
      <c r="N310" s="1541"/>
      <c r="O310" s="1541"/>
      <c r="P310" s="1541"/>
      <c r="Q310" s="1541"/>
      <c r="R310" s="1541"/>
      <c r="S310" s="1541"/>
      <c r="T310" s="1541"/>
      <c r="U310" s="1541"/>
      <c r="V310" s="1541"/>
    </row>
    <row r="311" spans="1:22">
      <c r="A311" s="103" t="s">
        <v>1486</v>
      </c>
      <c r="B311" s="2585"/>
      <c r="C311" s="2585"/>
      <c r="D311" s="2585"/>
      <c r="E311" s="2589"/>
      <c r="F311" s="2585"/>
      <c r="G311" s="2585"/>
      <c r="H311" s="2585"/>
      <c r="I311" s="2585"/>
      <c r="J311" s="2585"/>
      <c r="K311" s="2585"/>
      <c r="L311" s="92"/>
      <c r="M311" s="1540"/>
      <c r="N311" s="1541"/>
      <c r="O311" s="1541"/>
      <c r="P311" s="1541"/>
      <c r="Q311" s="1541"/>
      <c r="R311" s="1541"/>
      <c r="S311" s="1541"/>
      <c r="T311" s="1541"/>
      <c r="U311" s="1541"/>
      <c r="V311" s="1541"/>
    </row>
    <row r="312" spans="1:22">
      <c r="A312" s="103" t="str">
        <f>$A$269</f>
        <v>FROM APRIL 1, 2018 TO MARCH 31, 2019</v>
      </c>
      <c r="B312" s="2585"/>
      <c r="C312" s="2585"/>
      <c r="D312" s="2585"/>
      <c r="E312" s="2589"/>
      <c r="F312" s="2585"/>
      <c r="G312" s="2585"/>
      <c r="H312" s="2585"/>
      <c r="I312" s="2585"/>
      <c r="J312" s="2585"/>
      <c r="K312" s="2585"/>
      <c r="L312" s="92"/>
      <c r="M312" s="1540"/>
      <c r="N312" s="1541"/>
      <c r="O312" s="1541"/>
      <c r="P312" s="1541"/>
      <c r="Q312" s="1541"/>
      <c r="R312" s="1541"/>
      <c r="S312" s="1541"/>
      <c r="T312" s="1541"/>
      <c r="U312" s="1541"/>
      <c r="V312" s="1541"/>
    </row>
    <row r="313" spans="1:22">
      <c r="A313" s="2585"/>
      <c r="B313" s="2585"/>
      <c r="C313" s="2585"/>
      <c r="D313" s="2585"/>
      <c r="E313" s="2589"/>
      <c r="F313" s="2585"/>
      <c r="G313" s="2585"/>
      <c r="H313" s="2585"/>
      <c r="I313" s="2585"/>
      <c r="J313" s="2585"/>
      <c r="K313" s="2585"/>
      <c r="L313" s="92"/>
      <c r="M313" s="1540"/>
      <c r="N313" s="1541"/>
      <c r="O313" s="1541"/>
      <c r="P313" s="1541"/>
      <c r="Q313" s="1541"/>
      <c r="R313" s="1541"/>
      <c r="S313" s="1541"/>
      <c r="T313" s="1541"/>
      <c r="U313" s="1541"/>
      <c r="V313" s="1541"/>
    </row>
    <row r="314" spans="1:22">
      <c r="A314" s="103" t="s">
        <v>340</v>
      </c>
      <c r="B314" s="2585"/>
      <c r="C314" s="2585"/>
      <c r="D314" s="2585"/>
      <c r="E314" s="2589"/>
      <c r="F314" s="2585"/>
      <c r="G314" s="2585"/>
      <c r="H314" s="2585"/>
      <c r="I314" s="2585"/>
      <c r="J314" s="2585"/>
      <c r="K314" s="2585"/>
      <c r="L314" s="92"/>
      <c r="M314" s="1540"/>
      <c r="N314" s="1541"/>
      <c r="O314" s="1541"/>
      <c r="P314" s="1541"/>
      <c r="Q314" s="1541"/>
      <c r="R314" s="1541"/>
      <c r="S314" s="1541"/>
      <c r="T314" s="1541"/>
      <c r="U314" s="1541"/>
      <c r="V314" s="1541"/>
    </row>
    <row r="315" spans="1:22">
      <c r="A315" s="2585"/>
      <c r="B315" s="2585"/>
      <c r="C315" s="2585"/>
      <c r="D315" s="2585"/>
      <c r="E315" s="2589"/>
      <c r="F315" s="2585"/>
      <c r="G315" s="2585"/>
      <c r="H315" s="2585"/>
      <c r="I315" s="2585"/>
      <c r="J315" s="2585"/>
      <c r="K315" s="2585"/>
      <c r="L315" s="92"/>
      <c r="M315" s="1540"/>
      <c r="N315" s="1541"/>
      <c r="O315" s="1541"/>
      <c r="P315" s="1541"/>
      <c r="Q315" s="1541"/>
      <c r="R315" s="1541"/>
      <c r="S315" s="1541"/>
      <c r="T315" s="1541"/>
      <c r="U315" s="1541"/>
      <c r="V315" s="1541"/>
    </row>
    <row r="316" spans="1:22">
      <c r="A316" s="2569" t="s">
        <v>1799</v>
      </c>
      <c r="B316" s="2585"/>
      <c r="C316" s="2585"/>
      <c r="D316" s="2585"/>
      <c r="E316" s="2589"/>
      <c r="F316" s="2585"/>
      <c r="G316" s="2585"/>
      <c r="H316" s="2585"/>
      <c r="I316" s="2585"/>
      <c r="J316" s="2585"/>
      <c r="K316" s="2585"/>
      <c r="L316" s="92"/>
      <c r="M316" s="1540"/>
      <c r="N316" s="1541"/>
      <c r="O316" s="1541"/>
      <c r="P316" s="1541"/>
      <c r="Q316" s="1541"/>
      <c r="R316" s="1541"/>
      <c r="S316" s="1541"/>
      <c r="T316" s="1541"/>
      <c r="U316" s="1541"/>
      <c r="V316" s="1541"/>
    </row>
    <row r="317" spans="1:22">
      <c r="A317" s="1541"/>
      <c r="B317" s="1541"/>
      <c r="C317" s="1541"/>
      <c r="D317" s="1541"/>
      <c r="E317" s="1541"/>
      <c r="F317" s="1541"/>
      <c r="G317" s="1541"/>
      <c r="H317" s="1541"/>
      <c r="I317" s="1541"/>
      <c r="J317" s="1541"/>
      <c r="K317" s="1541"/>
      <c r="L317" s="92"/>
      <c r="M317" s="1540"/>
      <c r="N317" s="1541"/>
      <c r="O317" s="1541"/>
      <c r="P317" s="1541"/>
      <c r="Q317" s="1541"/>
      <c r="R317" s="1541"/>
      <c r="S317" s="1541"/>
      <c r="T317" s="1541"/>
      <c r="U317" s="1541"/>
      <c r="V317" s="1541"/>
    </row>
    <row r="318" spans="1:22">
      <c r="A318" s="1506" t="str">
        <f>DataF</f>
        <v>DATA:  BASE PERIOD  "X" FORECASTED PERIOD</v>
      </c>
      <c r="B318" s="1541"/>
      <c r="C318" s="1541"/>
      <c r="D318" s="1541"/>
      <c r="E318" s="1541"/>
      <c r="F318" s="1541"/>
      <c r="G318" s="1541"/>
      <c r="H318" s="1541"/>
      <c r="I318" s="1541"/>
      <c r="K318" s="1506" t="s">
        <v>1487</v>
      </c>
      <c r="L318" s="92"/>
      <c r="M318" s="1540"/>
      <c r="N318" s="1541"/>
      <c r="O318" s="1541"/>
      <c r="P318" s="1541"/>
      <c r="Q318" s="1541"/>
      <c r="R318" s="1541"/>
      <c r="S318" s="1541"/>
      <c r="T318" s="1541"/>
      <c r="U318" s="1541"/>
      <c r="V318" s="1541"/>
    </row>
    <row r="319" spans="1:22">
      <c r="A319" s="1506" t="str">
        <f>Type</f>
        <v xml:space="preserve">TYPE OF FILING:  "X" ORIGINAL   UPDATED    REVISED  </v>
      </c>
      <c r="B319" s="1541"/>
      <c r="C319" s="1541"/>
      <c r="D319" s="1541"/>
      <c r="E319" s="1541"/>
      <c r="F319" s="1541"/>
      <c r="G319" s="1541"/>
      <c r="H319" s="1541"/>
      <c r="I319" s="1541"/>
      <c r="K319" s="1506" t="s">
        <v>1901</v>
      </c>
      <c r="L319" s="92"/>
      <c r="M319" s="1540"/>
      <c r="N319" s="1541"/>
      <c r="O319" s="1541"/>
      <c r="P319" s="1541"/>
      <c r="Q319" s="1541"/>
      <c r="R319" s="1541"/>
      <c r="S319" s="1541"/>
      <c r="T319" s="1541"/>
      <c r="U319" s="1541"/>
      <c r="V319" s="1541"/>
    </row>
    <row r="320" spans="1:22">
      <c r="A320" s="1506" t="s">
        <v>1879</v>
      </c>
      <c r="B320" s="1541"/>
      <c r="C320" s="1541"/>
      <c r="D320" s="1541"/>
      <c r="E320" s="1541"/>
      <c r="F320" s="1541"/>
      <c r="G320" s="1541"/>
      <c r="H320" s="1541"/>
      <c r="I320" s="1541"/>
      <c r="K320" s="2586" t="s">
        <v>622</v>
      </c>
      <c r="L320" s="92"/>
      <c r="M320" s="1540"/>
      <c r="N320" s="1541"/>
      <c r="O320" s="1541"/>
      <c r="P320" s="1541"/>
      <c r="Q320" s="1541"/>
      <c r="R320" s="1541"/>
      <c r="S320" s="1541"/>
      <c r="T320" s="1541"/>
      <c r="U320" s="1541"/>
      <c r="V320" s="1541"/>
    </row>
    <row r="321" spans="1:22">
      <c r="A321" s="1541"/>
      <c r="B321" s="1541"/>
      <c r="C321" s="1541"/>
      <c r="D321" s="1541"/>
      <c r="E321" s="1541"/>
      <c r="F321" s="1541"/>
      <c r="G321" s="1541"/>
      <c r="H321" s="1541"/>
      <c r="I321" s="1541"/>
      <c r="K321" s="2586" t="str">
        <f>_WIT7</f>
        <v>R. H. PRATT / C. S. LEE</v>
      </c>
      <c r="L321" s="92"/>
      <c r="M321" s="1540"/>
      <c r="N321" s="1541"/>
      <c r="O321" s="1541"/>
      <c r="P321" s="1541"/>
      <c r="Q321" s="1541"/>
      <c r="R321" s="1541"/>
      <c r="S321" s="1541"/>
      <c r="T321" s="1541"/>
      <c r="U321" s="1541"/>
      <c r="V321" s="1541"/>
    </row>
    <row r="322" spans="1:22">
      <c r="A322" s="1541"/>
      <c r="B322" s="1541"/>
      <c r="C322" s="1541"/>
      <c r="D322" s="1541"/>
      <c r="E322" s="1541"/>
      <c r="F322" s="1541"/>
      <c r="G322" s="1541"/>
      <c r="H322" s="1541"/>
      <c r="I322" s="1541"/>
      <c r="J322" s="1541"/>
      <c r="K322" s="1541"/>
      <c r="L322" s="92"/>
      <c r="M322" s="1540"/>
      <c r="N322" s="1541"/>
      <c r="O322" s="1541"/>
      <c r="P322" s="1541"/>
      <c r="Q322" s="1541"/>
      <c r="R322" s="1541"/>
      <c r="S322" s="1541"/>
      <c r="T322" s="1541"/>
      <c r="U322" s="1541"/>
      <c r="V322" s="1541"/>
    </row>
    <row r="323" spans="1:22">
      <c r="A323" s="1541"/>
      <c r="B323" s="1541"/>
      <c r="C323" s="1541"/>
      <c r="D323" s="1541"/>
      <c r="E323" s="1541"/>
      <c r="F323" s="1541"/>
      <c r="G323" s="1541"/>
      <c r="H323" s="2587"/>
      <c r="I323" s="1541"/>
      <c r="J323" s="1541"/>
      <c r="K323" s="1541"/>
      <c r="L323" s="1541"/>
      <c r="M323" s="1540"/>
      <c r="N323" s="1541"/>
      <c r="O323" s="1541"/>
      <c r="P323" s="1541"/>
      <c r="Q323" s="1541"/>
      <c r="R323" s="1541"/>
      <c r="S323" s="1541"/>
      <c r="T323" s="1541"/>
      <c r="U323" s="1541"/>
      <c r="V323" s="1541"/>
    </row>
    <row r="324" spans="1:22">
      <c r="A324" s="1621"/>
      <c r="B324" s="1621"/>
      <c r="C324" s="2674"/>
      <c r="D324" s="1621"/>
      <c r="E324" s="1621"/>
      <c r="F324" s="1621"/>
      <c r="G324" s="1621"/>
      <c r="H324" s="1631"/>
      <c r="I324" s="1621"/>
      <c r="J324" s="1621"/>
      <c r="K324" s="1621"/>
      <c r="L324" s="1621"/>
      <c r="M324" s="1540"/>
      <c r="N324" s="1541"/>
      <c r="O324" s="1541"/>
      <c r="P324" s="1541"/>
      <c r="Q324" s="1541"/>
      <c r="R324" s="1541"/>
      <c r="S324" s="1541"/>
      <c r="T324" s="1541"/>
      <c r="U324" s="1541"/>
      <c r="V324" s="1541"/>
    </row>
    <row r="325" spans="1:22">
      <c r="A325" s="1541"/>
      <c r="B325" s="1505" t="s">
        <v>943</v>
      </c>
      <c r="C325" s="1505" t="s">
        <v>1750</v>
      </c>
      <c r="D325" s="1541"/>
      <c r="E325" s="1541"/>
      <c r="F325" s="1541"/>
      <c r="G325" s="1541"/>
      <c r="H325" s="100" t="s">
        <v>1090</v>
      </c>
      <c r="I325" s="100"/>
      <c r="J325" s="100"/>
      <c r="K325" s="1541"/>
      <c r="L325" s="1541"/>
      <c r="M325" s="1540"/>
      <c r="N325" s="1541"/>
      <c r="O325" s="1541"/>
      <c r="P325" s="1541"/>
      <c r="Q325" s="1541"/>
      <c r="R325" s="1541"/>
      <c r="S325" s="1541"/>
      <c r="T325" s="1541"/>
      <c r="U325" s="1541"/>
      <c r="V325" s="1541"/>
    </row>
    <row r="326" spans="1:22">
      <c r="A326" s="1505" t="s">
        <v>1240</v>
      </c>
      <c r="B326" s="1505" t="s">
        <v>1164</v>
      </c>
      <c r="C326" s="1505" t="s">
        <v>1164</v>
      </c>
      <c r="D326" s="1505" t="s">
        <v>1118</v>
      </c>
      <c r="E326" s="1505" t="s">
        <v>1091</v>
      </c>
      <c r="F326" s="1541"/>
      <c r="G326" s="1541"/>
      <c r="H326" s="2690"/>
      <c r="I326" s="2681" t="s">
        <v>1092</v>
      </c>
      <c r="J326" s="2681" t="s">
        <v>120</v>
      </c>
      <c r="K326" s="1505" t="s">
        <v>121</v>
      </c>
      <c r="L326" s="1505" t="s">
        <v>1967</v>
      </c>
      <c r="M326" s="1540"/>
      <c r="N326" s="1541"/>
      <c r="O326" s="1541"/>
      <c r="P326" s="1541"/>
      <c r="Q326" s="1541"/>
      <c r="R326" s="1541"/>
      <c r="S326" s="1541"/>
      <c r="T326" s="1541"/>
      <c r="U326" s="1541"/>
      <c r="V326" s="1541"/>
    </row>
    <row r="327" spans="1:22">
      <c r="A327" s="1505" t="s">
        <v>1241</v>
      </c>
      <c r="B327" s="1505" t="s">
        <v>1241</v>
      </c>
      <c r="C327" s="1505" t="s">
        <v>1241</v>
      </c>
      <c r="D327" s="1505" t="s">
        <v>122</v>
      </c>
      <c r="E327" s="1505" t="s">
        <v>123</v>
      </c>
      <c r="F327" s="1505" t="s">
        <v>124</v>
      </c>
      <c r="G327" s="1505" t="s">
        <v>125</v>
      </c>
      <c r="H327" s="1505" t="s">
        <v>646</v>
      </c>
      <c r="I327" s="1505" t="s">
        <v>126</v>
      </c>
      <c r="J327" s="1505" t="s">
        <v>127</v>
      </c>
      <c r="K327" s="1505" t="s">
        <v>123</v>
      </c>
      <c r="L327" s="1505" t="s">
        <v>873</v>
      </c>
      <c r="M327" s="1540"/>
      <c r="N327" s="1541"/>
      <c r="O327" s="1541"/>
      <c r="P327" s="1541"/>
      <c r="Q327" s="1541"/>
      <c r="R327" s="1541"/>
      <c r="S327" s="1541"/>
      <c r="T327" s="1541"/>
      <c r="U327" s="1541"/>
      <c r="V327" s="1541"/>
    </row>
    <row r="328" spans="1:22">
      <c r="A328" s="1541"/>
      <c r="B328" s="1541"/>
      <c r="C328" s="1541"/>
      <c r="D328" s="1541"/>
      <c r="E328" s="1541"/>
      <c r="F328" s="1541"/>
      <c r="G328" s="1541"/>
      <c r="H328" s="1541"/>
      <c r="I328" s="1541"/>
      <c r="J328" s="1541"/>
      <c r="K328" s="1541"/>
      <c r="L328" s="1541"/>
      <c r="M328" s="1540"/>
      <c r="N328" s="1541"/>
      <c r="O328" s="1541"/>
      <c r="P328" s="1541"/>
      <c r="Q328" s="1541"/>
      <c r="R328" s="1541"/>
      <c r="S328" s="1541"/>
      <c r="T328" s="1541"/>
      <c r="U328" s="1541"/>
      <c r="V328" s="1541"/>
    </row>
    <row r="329" spans="1:22">
      <c r="A329" s="1621"/>
      <c r="B329" s="1621"/>
      <c r="C329" s="1621"/>
      <c r="D329" s="1621"/>
      <c r="E329" s="2679" t="s">
        <v>1705</v>
      </c>
      <c r="F329" s="2679" t="s">
        <v>1705</v>
      </c>
      <c r="G329" s="2679" t="s">
        <v>1705</v>
      </c>
      <c r="H329" s="2679" t="s">
        <v>1705</v>
      </c>
      <c r="I329" s="1621"/>
      <c r="J329" s="1621"/>
      <c r="K329" s="2679" t="s">
        <v>1705</v>
      </c>
      <c r="L329" s="2679" t="s">
        <v>1705</v>
      </c>
      <c r="M329" s="1540"/>
      <c r="N329" s="1541"/>
      <c r="O329" s="1541"/>
      <c r="P329" s="1541"/>
      <c r="Q329" s="1541"/>
      <c r="R329" s="1541"/>
      <c r="S329" s="1541"/>
      <c r="T329" s="1541"/>
      <c r="U329" s="1541"/>
      <c r="V329" s="1541"/>
    </row>
    <row r="330" spans="1:22">
      <c r="A330" s="1541"/>
      <c r="B330" s="1541"/>
      <c r="C330" s="1541"/>
      <c r="D330" s="2595"/>
      <c r="E330" s="1541"/>
      <c r="F330" s="1541"/>
      <c r="G330" s="1541"/>
      <c r="H330" s="1541"/>
      <c r="I330" s="1541"/>
      <c r="J330" s="1541"/>
      <c r="K330" s="1541"/>
      <c r="L330" s="92"/>
      <c r="M330" s="1540"/>
      <c r="N330" s="1541"/>
      <c r="O330" s="1541"/>
      <c r="P330" s="1541"/>
      <c r="Q330" s="1541"/>
      <c r="R330" s="1541"/>
      <c r="S330" s="1541"/>
      <c r="T330" s="1541"/>
      <c r="U330" s="1541"/>
      <c r="V330" s="1541"/>
    </row>
    <row r="331" spans="1:22">
      <c r="A331" s="1505" t="s">
        <v>1166</v>
      </c>
      <c r="B331" s="1505">
        <v>340</v>
      </c>
      <c r="C331" s="1505">
        <v>3400</v>
      </c>
      <c r="D331" s="1506" t="s">
        <v>849</v>
      </c>
      <c r="E331" s="2596">
        <v>2258588</v>
      </c>
      <c r="F331" s="2599">
        <v>0</v>
      </c>
      <c r="G331" s="2596">
        <v>0</v>
      </c>
      <c r="H331" s="96"/>
      <c r="I331" s="2597"/>
      <c r="J331" s="2597"/>
      <c r="K331" s="47">
        <f t="shared" ref="K331:K343" si="7">E331+F331-G331+H331</f>
        <v>2258588</v>
      </c>
      <c r="L331" s="104">
        <v>2258588</v>
      </c>
      <c r="M331" s="1540"/>
      <c r="N331" s="1541"/>
      <c r="O331" s="1541"/>
      <c r="P331" s="1541"/>
      <c r="Q331" s="1541"/>
      <c r="R331" s="1541"/>
      <c r="S331" s="1541"/>
      <c r="T331" s="1541"/>
      <c r="U331" s="1541"/>
      <c r="V331" s="1541"/>
    </row>
    <row r="332" spans="1:22">
      <c r="A332" s="1505" t="s">
        <v>1167</v>
      </c>
      <c r="B332" s="1505">
        <v>340</v>
      </c>
      <c r="C332" s="1505">
        <v>3401</v>
      </c>
      <c r="D332" s="1506" t="s">
        <v>1168</v>
      </c>
      <c r="E332" s="2596">
        <v>651684</v>
      </c>
      <c r="F332" s="2599">
        <v>0</v>
      </c>
      <c r="G332" s="2596">
        <v>0</v>
      </c>
      <c r="H332" s="96"/>
      <c r="I332" s="2597"/>
      <c r="J332" s="2597"/>
      <c r="K332" s="47">
        <f t="shared" si="7"/>
        <v>651684</v>
      </c>
      <c r="L332" s="104">
        <v>651684</v>
      </c>
      <c r="M332" s="1540"/>
      <c r="N332" s="1541"/>
      <c r="O332" s="1541"/>
      <c r="P332" s="1541"/>
      <c r="Q332" s="1541"/>
      <c r="R332" s="1541"/>
      <c r="S332" s="1541"/>
      <c r="T332" s="1541"/>
      <c r="U332" s="1541"/>
      <c r="V332" s="1541"/>
    </row>
    <row r="333" spans="1:22">
      <c r="A333" s="1505" t="s">
        <v>1169</v>
      </c>
      <c r="B333" s="1505">
        <v>341</v>
      </c>
      <c r="C333" s="1505">
        <v>3410</v>
      </c>
      <c r="D333" s="1506" t="s">
        <v>1170</v>
      </c>
      <c r="E333" s="2596">
        <v>32140770</v>
      </c>
      <c r="F333" s="2599">
        <v>0</v>
      </c>
      <c r="G333" s="2596">
        <v>66174</v>
      </c>
      <c r="H333" s="96"/>
      <c r="I333" s="2597"/>
      <c r="J333" s="2597"/>
      <c r="K333" s="47">
        <f t="shared" si="7"/>
        <v>32074596</v>
      </c>
      <c r="L333" s="104">
        <v>32107779</v>
      </c>
      <c r="M333" s="1540"/>
      <c r="N333" s="1541"/>
      <c r="O333" s="1541"/>
      <c r="P333" s="1541"/>
      <c r="Q333" s="1541"/>
      <c r="R333" s="1541"/>
      <c r="S333" s="1541"/>
      <c r="T333" s="1541"/>
      <c r="U333" s="1541"/>
      <c r="V333" s="1541"/>
    </row>
    <row r="334" spans="1:22">
      <c r="A334" s="1505" t="s">
        <v>1171</v>
      </c>
      <c r="B334" s="1505">
        <v>341</v>
      </c>
      <c r="C334" s="1505">
        <v>3410</v>
      </c>
      <c r="D334" s="1506" t="s">
        <v>3337</v>
      </c>
      <c r="E334" s="2596">
        <v>3958749</v>
      </c>
      <c r="F334" s="2599">
        <v>0</v>
      </c>
      <c r="G334" s="2596">
        <v>0</v>
      </c>
      <c r="H334" s="96"/>
      <c r="I334" s="2597"/>
      <c r="J334" s="2597"/>
      <c r="K334" s="47">
        <f t="shared" si="7"/>
        <v>3958749</v>
      </c>
      <c r="L334" s="104">
        <v>3958749</v>
      </c>
      <c r="M334" s="1540"/>
      <c r="N334" s="1541"/>
      <c r="O334" s="1541"/>
      <c r="P334" s="1541"/>
      <c r="Q334" s="1541"/>
      <c r="R334" s="1541"/>
      <c r="S334" s="1541"/>
      <c r="T334" s="1541"/>
      <c r="U334" s="1541"/>
      <c r="V334" s="1541"/>
    </row>
    <row r="335" spans="1:22">
      <c r="A335" s="1505" t="s">
        <v>977</v>
      </c>
      <c r="B335" s="1505">
        <v>342</v>
      </c>
      <c r="C335" s="1505">
        <v>3420</v>
      </c>
      <c r="D335" s="1506" t="s">
        <v>341</v>
      </c>
      <c r="E335" s="2596">
        <v>15736266</v>
      </c>
      <c r="F335" s="2599">
        <v>0</v>
      </c>
      <c r="G335" s="2596">
        <v>60463</v>
      </c>
      <c r="H335" s="96"/>
      <c r="I335" s="2597"/>
      <c r="J335" s="2597"/>
      <c r="K335" s="47">
        <f t="shared" si="7"/>
        <v>15675803</v>
      </c>
      <c r="L335" s="104">
        <v>15706122</v>
      </c>
      <c r="M335" s="1540"/>
      <c r="N335" s="1541"/>
      <c r="O335" s="1541"/>
      <c r="P335" s="1541"/>
      <c r="Q335" s="1541"/>
      <c r="R335" s="1541"/>
      <c r="S335" s="1541"/>
      <c r="T335" s="1541"/>
      <c r="U335" s="1541"/>
      <c r="V335" s="1541"/>
    </row>
    <row r="336" spans="1:22">
      <c r="A336" s="1505" t="s">
        <v>1596</v>
      </c>
      <c r="B336" s="1505">
        <v>344</v>
      </c>
      <c r="C336" s="1505">
        <v>3440</v>
      </c>
      <c r="D336" s="1506" t="s">
        <v>1717</v>
      </c>
      <c r="E336" s="2596">
        <v>205856499</v>
      </c>
      <c r="F336" s="2599">
        <v>0</v>
      </c>
      <c r="G336" s="2596">
        <v>-829223</v>
      </c>
      <c r="H336" s="96"/>
      <c r="I336" s="2597"/>
      <c r="J336" s="2597"/>
      <c r="K336" s="47">
        <f t="shared" si="7"/>
        <v>206685722</v>
      </c>
      <c r="L336" s="104">
        <v>206269908</v>
      </c>
      <c r="M336" s="1540"/>
      <c r="N336" s="1541"/>
      <c r="O336" s="1541"/>
      <c r="P336" s="1541"/>
      <c r="Q336" s="1541"/>
      <c r="R336" s="1541"/>
      <c r="S336" s="1541"/>
      <c r="T336" s="1541"/>
      <c r="U336" s="1541"/>
      <c r="V336" s="1541"/>
    </row>
    <row r="337" spans="1:22">
      <c r="A337" s="1505" t="s">
        <v>978</v>
      </c>
      <c r="B337" s="1505">
        <v>344</v>
      </c>
      <c r="C337" s="1505">
        <v>3440</v>
      </c>
      <c r="D337" s="1506" t="s">
        <v>3338</v>
      </c>
      <c r="E337" s="2596">
        <v>10451088</v>
      </c>
      <c r="F337" s="2599">
        <v>0</v>
      </c>
      <c r="G337" s="2596">
        <v>0</v>
      </c>
      <c r="H337" s="96"/>
      <c r="I337" s="2597"/>
      <c r="J337" s="2597"/>
      <c r="K337" s="47">
        <f t="shared" si="7"/>
        <v>10451088</v>
      </c>
      <c r="L337" s="104">
        <v>10451088</v>
      </c>
      <c r="M337" s="1540"/>
      <c r="N337" s="1541"/>
      <c r="O337" s="1541"/>
      <c r="P337" s="1541"/>
      <c r="Q337" s="1541"/>
      <c r="R337" s="1541"/>
      <c r="S337" s="1541"/>
      <c r="T337" s="1541"/>
      <c r="U337" s="1541"/>
      <c r="V337" s="1541"/>
    </row>
    <row r="338" spans="1:22">
      <c r="A338" s="1505" t="s">
        <v>979</v>
      </c>
      <c r="B338" s="1505">
        <v>344</v>
      </c>
      <c r="C338" s="1505" t="s">
        <v>2707</v>
      </c>
      <c r="D338" s="1506" t="s">
        <v>1717</v>
      </c>
      <c r="E338" s="2596">
        <v>14568363</v>
      </c>
      <c r="F338" s="2599">
        <v>9543</v>
      </c>
      <c r="G338" s="2596">
        <v>0</v>
      </c>
      <c r="H338" s="96"/>
      <c r="I338" s="2597"/>
      <c r="J338" s="2597"/>
      <c r="K338" s="47">
        <f t="shared" si="7"/>
        <v>14577906</v>
      </c>
      <c r="L338" s="104">
        <v>14573894</v>
      </c>
      <c r="M338" s="1540"/>
      <c r="N338" s="1541"/>
      <c r="O338" s="1541"/>
      <c r="P338" s="1541"/>
      <c r="Q338" s="1541"/>
      <c r="R338" s="1541"/>
      <c r="S338" s="1541"/>
      <c r="T338" s="1541"/>
      <c r="U338" s="1541"/>
      <c r="V338" s="1541"/>
    </row>
    <row r="339" spans="1:22">
      <c r="A339" s="1505" t="s">
        <v>980</v>
      </c>
      <c r="B339" s="1505">
        <v>345</v>
      </c>
      <c r="C339" s="1505">
        <v>3450</v>
      </c>
      <c r="D339" s="1506" t="s">
        <v>337</v>
      </c>
      <c r="E339" s="2596">
        <v>21145518</v>
      </c>
      <c r="F339" s="2599">
        <v>0</v>
      </c>
      <c r="G339" s="2596">
        <v>-117946</v>
      </c>
      <c r="H339" s="96"/>
      <c r="I339" s="2597"/>
      <c r="J339" s="2597"/>
      <c r="K339" s="47">
        <f t="shared" si="7"/>
        <v>21263464</v>
      </c>
      <c r="L339" s="104">
        <v>21204320</v>
      </c>
      <c r="M339" s="1540"/>
      <c r="N339" s="1541"/>
      <c r="O339" s="1541"/>
      <c r="P339" s="1541"/>
      <c r="Q339" s="1541"/>
      <c r="R339" s="1541"/>
      <c r="S339" s="1541"/>
      <c r="T339" s="1541"/>
      <c r="U339" s="1541"/>
      <c r="V339" s="1541"/>
    </row>
    <row r="340" spans="1:22">
      <c r="A340" s="1505" t="s">
        <v>850</v>
      </c>
      <c r="B340" s="1505">
        <v>345</v>
      </c>
      <c r="C340" s="1505">
        <v>3450</v>
      </c>
      <c r="D340" s="1506" t="s">
        <v>3339</v>
      </c>
      <c r="E340" s="2596">
        <v>456133</v>
      </c>
      <c r="F340" s="2599">
        <v>0</v>
      </c>
      <c r="G340" s="2596">
        <v>0</v>
      </c>
      <c r="H340" s="96"/>
      <c r="I340" s="2597"/>
      <c r="J340" s="2597"/>
      <c r="K340" s="47">
        <f t="shared" si="7"/>
        <v>456133</v>
      </c>
      <c r="L340" s="104">
        <v>456133</v>
      </c>
      <c r="M340" s="1540"/>
      <c r="N340" s="1541"/>
      <c r="O340" s="1541"/>
      <c r="P340" s="1541"/>
      <c r="Q340" s="1541"/>
      <c r="R340" s="1541"/>
      <c r="S340" s="1541"/>
      <c r="T340" s="1541"/>
      <c r="U340" s="1541"/>
      <c r="V340" s="1541"/>
    </row>
    <row r="341" spans="1:22">
      <c r="A341" s="1505" t="s">
        <v>851</v>
      </c>
      <c r="B341" s="1505">
        <v>346</v>
      </c>
      <c r="C341" s="1505">
        <v>3460</v>
      </c>
      <c r="D341" s="1506" t="s">
        <v>1718</v>
      </c>
      <c r="E341" s="2596">
        <v>4051805</v>
      </c>
      <c r="F341" s="2599">
        <v>0</v>
      </c>
      <c r="G341" s="2596">
        <v>22348</v>
      </c>
      <c r="H341" s="96"/>
      <c r="I341" s="2597"/>
      <c r="J341" s="2597"/>
      <c r="K341" s="47">
        <f t="shared" si="7"/>
        <v>4029457</v>
      </c>
      <c r="L341" s="104">
        <v>4040664</v>
      </c>
      <c r="M341" s="1540"/>
      <c r="N341" s="1541"/>
      <c r="O341" s="1541"/>
      <c r="P341" s="1541"/>
      <c r="Q341" s="1541"/>
      <c r="R341" s="1541"/>
      <c r="S341" s="1541"/>
      <c r="T341" s="1541"/>
      <c r="U341" s="1541"/>
      <c r="V341" s="1541"/>
    </row>
    <row r="342" spans="1:22">
      <c r="A342" s="1505" t="s">
        <v>852</v>
      </c>
      <c r="B342" s="1505">
        <v>346</v>
      </c>
      <c r="C342" s="1505">
        <v>3460</v>
      </c>
      <c r="D342" s="1506" t="s">
        <v>3340</v>
      </c>
      <c r="E342" s="2596">
        <v>601418</v>
      </c>
      <c r="F342" s="2599">
        <v>0</v>
      </c>
      <c r="G342" s="2596">
        <v>0</v>
      </c>
      <c r="H342" s="96"/>
      <c r="I342" s="2597"/>
      <c r="J342" s="2597"/>
      <c r="K342" s="47">
        <f t="shared" si="7"/>
        <v>601418</v>
      </c>
      <c r="L342" s="104">
        <v>601418</v>
      </c>
      <c r="M342" s="1540"/>
      <c r="N342" s="1541"/>
      <c r="O342" s="1541"/>
      <c r="P342" s="1541"/>
      <c r="Q342" s="1541"/>
      <c r="R342" s="1541"/>
      <c r="S342" s="1541"/>
      <c r="T342" s="1541"/>
      <c r="U342" s="1541"/>
      <c r="V342" s="1541"/>
    </row>
    <row r="343" spans="1:22">
      <c r="A343" s="1505" t="s">
        <v>853</v>
      </c>
      <c r="B343" s="1506"/>
      <c r="C343" s="1506"/>
      <c r="D343" s="1506" t="s">
        <v>1483</v>
      </c>
      <c r="E343" s="2596">
        <v>8030888</v>
      </c>
      <c r="F343" s="2596">
        <v>47781007</v>
      </c>
      <c r="G343" s="2599">
        <v>0</v>
      </c>
      <c r="H343" s="96"/>
      <c r="I343" s="2597"/>
      <c r="J343" s="2597"/>
      <c r="K343" s="47">
        <f t="shared" si="7"/>
        <v>55811895</v>
      </c>
      <c r="L343" s="104">
        <v>21866881</v>
      </c>
      <c r="M343" s="1540"/>
      <c r="N343" s="1541"/>
      <c r="O343" s="1541"/>
      <c r="P343" s="1541"/>
      <c r="Q343" s="1541"/>
      <c r="R343" s="1541"/>
      <c r="S343" s="1541"/>
      <c r="T343" s="1541"/>
      <c r="U343" s="1541"/>
      <c r="V343" s="1541"/>
    </row>
    <row r="344" spans="1:22">
      <c r="A344" s="1541"/>
      <c r="B344" s="1541"/>
      <c r="C344" s="1541"/>
      <c r="D344" s="1541"/>
      <c r="E344" s="1539"/>
      <c r="F344" s="2614"/>
      <c r="G344" s="1539"/>
      <c r="H344" s="1539"/>
      <c r="I344" s="1540"/>
      <c r="J344" s="1540"/>
      <c r="K344" s="1542"/>
      <c r="L344" s="92"/>
      <c r="M344" s="1540"/>
      <c r="N344" s="1541"/>
      <c r="O344" s="1541"/>
      <c r="P344" s="1541"/>
      <c r="Q344" s="1541"/>
      <c r="R344" s="1541"/>
      <c r="S344" s="1541"/>
      <c r="T344" s="1541"/>
      <c r="U344" s="1541"/>
      <c r="V344" s="1541"/>
    </row>
    <row r="345" spans="1:22">
      <c r="A345" s="1541"/>
      <c r="B345" s="1541"/>
      <c r="C345" s="1541"/>
      <c r="D345" s="1541"/>
      <c r="E345" s="1541"/>
      <c r="F345" s="1541"/>
      <c r="G345" s="1541"/>
      <c r="H345" s="1541"/>
      <c r="I345" s="1541"/>
      <c r="J345" s="1541"/>
      <c r="K345" s="1542"/>
      <c r="L345" s="92"/>
      <c r="M345" s="1540"/>
      <c r="N345" s="1541"/>
      <c r="O345" s="1541"/>
      <c r="P345" s="1541"/>
      <c r="Q345" s="1541"/>
      <c r="R345" s="1541"/>
      <c r="S345" s="1541"/>
      <c r="T345" s="1541"/>
      <c r="U345" s="1541"/>
      <c r="V345" s="1541"/>
    </row>
    <row r="346" spans="1:22">
      <c r="A346" s="1621"/>
      <c r="B346" s="1621"/>
      <c r="C346" s="1621"/>
      <c r="D346" s="1621"/>
      <c r="E346" s="1621"/>
      <c r="F346" s="1621"/>
      <c r="G346" s="1621"/>
      <c r="H346" s="1621"/>
      <c r="I346" s="1621"/>
      <c r="J346" s="1621"/>
      <c r="K346" s="2689"/>
      <c r="L346" s="2689"/>
      <c r="M346" s="1540"/>
      <c r="N346" s="1541"/>
      <c r="O346" s="1541"/>
      <c r="P346" s="1541"/>
      <c r="Q346" s="1541"/>
      <c r="R346" s="1541"/>
      <c r="S346" s="1541"/>
      <c r="T346" s="1541"/>
      <c r="U346" s="1541"/>
      <c r="V346" s="1541"/>
    </row>
    <row r="347" spans="1:22">
      <c r="A347" s="1505">
        <v>14</v>
      </c>
      <c r="B347" s="1541"/>
      <c r="C347" s="1541"/>
      <c r="D347" s="1506" t="s">
        <v>1719</v>
      </c>
      <c r="E347" s="1539">
        <f>SUM(E331:E345)</f>
        <v>319907769</v>
      </c>
      <c r="F347" s="1539">
        <f>SUM(F331:F345)</f>
        <v>47790550</v>
      </c>
      <c r="G347" s="1539">
        <f>SUM(G331:G345)</f>
        <v>-798184</v>
      </c>
      <c r="H347" s="1539">
        <f>SUM(H331:H345)</f>
        <v>0</v>
      </c>
      <c r="I347" s="1540"/>
      <c r="J347" s="1540"/>
      <c r="K347" s="1539">
        <f>SUM(K331:K345)</f>
        <v>368496503</v>
      </c>
      <c r="L347" s="1539">
        <f>SUM(L331:L345)</f>
        <v>334147228</v>
      </c>
      <c r="M347" s="1540"/>
      <c r="N347" s="1541"/>
      <c r="O347" s="1541"/>
      <c r="P347" s="1541"/>
      <c r="Q347" s="1541"/>
      <c r="R347" s="1541"/>
      <c r="S347" s="1541"/>
      <c r="T347" s="1541"/>
      <c r="U347" s="1541"/>
      <c r="V347" s="1541"/>
    </row>
    <row r="348" spans="1:22">
      <c r="A348" s="2587"/>
      <c r="B348" s="2587"/>
      <c r="C348" s="2587"/>
      <c r="D348" s="2587"/>
      <c r="E348" s="2587"/>
      <c r="F348" s="2587"/>
      <c r="G348" s="2587"/>
      <c r="H348" s="2587"/>
      <c r="I348" s="2587"/>
      <c r="J348" s="2587"/>
      <c r="K348" s="2587"/>
      <c r="L348" s="2587"/>
      <c r="M348" s="1540"/>
      <c r="N348" s="1541"/>
      <c r="O348" s="1541"/>
      <c r="P348" s="1541"/>
      <c r="Q348" s="1541"/>
      <c r="R348" s="1541"/>
      <c r="S348" s="1541"/>
      <c r="T348" s="1541"/>
      <c r="U348" s="1541"/>
      <c r="V348" s="1541"/>
    </row>
    <row r="349" spans="1:22">
      <c r="A349" s="89"/>
      <c r="B349" s="89"/>
      <c r="C349" s="89"/>
      <c r="D349" s="89"/>
      <c r="E349" s="92"/>
      <c r="F349" s="92"/>
      <c r="G349" s="92"/>
      <c r="H349" s="92"/>
      <c r="I349" s="101"/>
      <c r="J349" s="101"/>
      <c r="K349" s="92"/>
      <c r="L349" s="92"/>
      <c r="M349" s="1540"/>
      <c r="N349" s="1541"/>
      <c r="O349" s="1541"/>
      <c r="P349" s="1541"/>
      <c r="Q349" s="1541"/>
      <c r="R349" s="1541"/>
      <c r="S349" s="1541"/>
      <c r="T349" s="1541"/>
      <c r="U349" s="1541"/>
      <c r="V349" s="1541"/>
    </row>
    <row r="350" spans="1:22">
      <c r="A350" s="103" t="str">
        <f>COMPANY</f>
        <v>DUKE ENERGY KENTUCKY, INC.</v>
      </c>
      <c r="B350" s="2585"/>
      <c r="C350" s="2585"/>
      <c r="D350" s="2585"/>
      <c r="E350" s="103"/>
      <c r="F350" s="2585"/>
      <c r="G350" s="2585"/>
      <c r="H350" s="2585"/>
      <c r="I350" s="2585"/>
      <c r="J350" s="2585"/>
      <c r="K350" s="2585"/>
      <c r="L350" s="2585"/>
      <c r="M350" s="1540"/>
      <c r="N350" s="1541"/>
      <c r="O350" s="1541"/>
      <c r="P350" s="1541"/>
      <c r="Q350" s="1541"/>
      <c r="R350" s="1541"/>
      <c r="S350" s="1541"/>
      <c r="T350" s="1541"/>
      <c r="U350" s="1541"/>
      <c r="V350" s="1541"/>
    </row>
    <row r="351" spans="1:22">
      <c r="A351" s="103" t="str">
        <f>CASE</f>
        <v>CASE NO. 2017-00321</v>
      </c>
      <c r="B351" s="2585"/>
      <c r="C351" s="2585"/>
      <c r="D351" s="2585"/>
      <c r="E351" s="103"/>
      <c r="F351" s="2585"/>
      <c r="G351" s="2585"/>
      <c r="H351" s="2585"/>
      <c r="I351" s="2585"/>
      <c r="J351" s="2585"/>
      <c r="K351" s="2585"/>
      <c r="L351" s="2585"/>
      <c r="M351" s="1540"/>
      <c r="N351" s="1541"/>
      <c r="O351" s="1541"/>
      <c r="P351" s="1541"/>
      <c r="Q351" s="1541"/>
      <c r="R351" s="1541"/>
      <c r="S351" s="1541"/>
      <c r="T351" s="1541"/>
      <c r="U351" s="1541"/>
      <c r="V351" s="1541"/>
    </row>
    <row r="352" spans="1:22">
      <c r="A352" s="103" t="s">
        <v>1486</v>
      </c>
      <c r="B352" s="2585"/>
      <c r="C352" s="2585"/>
      <c r="D352" s="2585"/>
      <c r="E352" s="103"/>
      <c r="F352" s="2585"/>
      <c r="G352" s="2585"/>
      <c r="H352" s="2585"/>
      <c r="I352" s="2585"/>
      <c r="J352" s="2585"/>
      <c r="K352" s="2585"/>
      <c r="L352" s="2585"/>
      <c r="M352" s="1540"/>
      <c r="N352" s="1541"/>
      <c r="O352" s="1541"/>
      <c r="P352" s="1541"/>
      <c r="Q352" s="1541"/>
      <c r="R352" s="1541"/>
      <c r="S352" s="1541"/>
      <c r="T352" s="1541"/>
      <c r="U352" s="1541"/>
      <c r="V352" s="1541"/>
    </row>
    <row r="353" spans="1:22">
      <c r="A353" s="103" t="str">
        <f>$A$269</f>
        <v>FROM APRIL 1, 2018 TO MARCH 31, 2019</v>
      </c>
      <c r="B353" s="2585"/>
      <c r="C353" s="2585"/>
      <c r="D353" s="2585"/>
      <c r="E353" s="103"/>
      <c r="F353" s="2585"/>
      <c r="G353" s="2585"/>
      <c r="H353" s="2585"/>
      <c r="I353" s="2585"/>
      <c r="J353" s="2585"/>
      <c r="K353" s="2585"/>
      <c r="L353" s="2585"/>
      <c r="M353" s="1540"/>
      <c r="N353" s="1541"/>
      <c r="O353" s="1541"/>
      <c r="P353" s="1541"/>
      <c r="Q353" s="1541"/>
      <c r="R353" s="1541"/>
      <c r="S353" s="1541"/>
      <c r="T353" s="1541"/>
      <c r="U353" s="1541"/>
      <c r="V353" s="1541"/>
    </row>
    <row r="354" spans="1:22">
      <c r="A354" s="2585"/>
      <c r="B354" s="2585"/>
      <c r="C354" s="2585"/>
      <c r="D354" s="2585"/>
      <c r="E354" s="2585"/>
      <c r="F354" s="2585"/>
      <c r="G354" s="2585"/>
      <c r="H354" s="2585"/>
      <c r="I354" s="2585"/>
      <c r="J354" s="2585"/>
      <c r="K354" s="2585"/>
      <c r="L354" s="2585"/>
      <c r="M354" s="1540"/>
      <c r="N354" s="1541"/>
      <c r="O354" s="1541"/>
      <c r="P354" s="1541"/>
      <c r="Q354" s="1541"/>
      <c r="R354" s="1541"/>
      <c r="S354" s="1541"/>
      <c r="T354" s="1541"/>
      <c r="U354" s="1541"/>
      <c r="V354" s="1541"/>
    </row>
    <row r="355" spans="1:22">
      <c r="A355" s="103" t="s">
        <v>1447</v>
      </c>
      <c r="B355" s="2585"/>
      <c r="C355" s="2585"/>
      <c r="D355" s="2585"/>
      <c r="E355" s="103"/>
      <c r="F355" s="2585"/>
      <c r="G355" s="2585"/>
      <c r="H355" s="2585"/>
      <c r="I355" s="2585"/>
      <c r="J355" s="2585"/>
      <c r="K355" s="2585"/>
      <c r="L355" s="2585"/>
      <c r="M355" s="1540"/>
      <c r="N355" s="1541"/>
      <c r="O355" s="1541"/>
      <c r="P355" s="1541"/>
      <c r="Q355" s="1541"/>
      <c r="R355" s="1541"/>
      <c r="S355" s="1541"/>
      <c r="T355" s="1541"/>
      <c r="U355" s="1541"/>
      <c r="V355" s="1541"/>
    </row>
    <row r="356" spans="1:22">
      <c r="A356" s="2585"/>
      <c r="B356" s="2585"/>
      <c r="C356" s="2585"/>
      <c r="D356" s="2585"/>
      <c r="E356" s="103"/>
      <c r="F356" s="2585"/>
      <c r="G356" s="2585"/>
      <c r="H356" s="2585"/>
      <c r="I356" s="2585"/>
      <c r="J356" s="2585"/>
      <c r="K356" s="2585"/>
      <c r="L356" s="2585"/>
      <c r="M356" s="1540"/>
      <c r="N356" s="1541"/>
      <c r="O356" s="1541"/>
      <c r="P356" s="1541"/>
      <c r="Q356" s="1541"/>
      <c r="R356" s="1541"/>
      <c r="S356" s="1541"/>
      <c r="T356" s="1541"/>
      <c r="U356" s="1541"/>
      <c r="V356" s="1541"/>
    </row>
    <row r="357" spans="1:22">
      <c r="A357" s="2569" t="s">
        <v>1799</v>
      </c>
      <c r="B357" s="2585"/>
      <c r="C357" s="2585"/>
      <c r="D357" s="2585"/>
      <c r="E357" s="2585"/>
      <c r="F357" s="2585"/>
      <c r="G357" s="2585"/>
      <c r="H357" s="2585"/>
      <c r="I357" s="2585"/>
      <c r="J357" s="2585"/>
      <c r="K357" s="2585"/>
      <c r="L357" s="2585"/>
      <c r="M357" s="1540"/>
      <c r="N357" s="1541"/>
      <c r="O357" s="1541"/>
      <c r="P357" s="1541"/>
      <c r="Q357" s="1541"/>
      <c r="R357" s="1541"/>
      <c r="S357" s="1541"/>
      <c r="T357" s="1541"/>
      <c r="U357" s="1541"/>
      <c r="V357" s="1541"/>
    </row>
    <row r="358" spans="1:22">
      <c r="A358" s="2569"/>
      <c r="B358" s="2585"/>
      <c r="C358" s="2585"/>
      <c r="D358" s="2585"/>
      <c r="E358" s="2585"/>
      <c r="F358" s="2585"/>
      <c r="G358" s="2585"/>
      <c r="H358" s="2585"/>
      <c r="I358" s="2585"/>
      <c r="J358" s="2585"/>
      <c r="K358" s="2585"/>
      <c r="L358" s="2585"/>
      <c r="M358" s="1540"/>
      <c r="N358" s="1541"/>
      <c r="O358" s="1541"/>
      <c r="P358" s="1541"/>
      <c r="Q358" s="1541"/>
      <c r="R358" s="1541"/>
      <c r="S358" s="1541"/>
      <c r="T358" s="1541"/>
      <c r="U358" s="1541"/>
      <c r="V358" s="1541"/>
    </row>
    <row r="359" spans="1:22">
      <c r="A359" s="1506" t="str">
        <f>DataF</f>
        <v>DATA:  BASE PERIOD  "X" FORECASTED PERIOD</v>
      </c>
      <c r="B359" s="1541"/>
      <c r="C359" s="1541"/>
      <c r="D359" s="1541"/>
      <c r="E359" s="1541"/>
      <c r="F359" s="1541"/>
      <c r="G359" s="1541"/>
      <c r="H359" s="1541"/>
      <c r="I359" s="1541"/>
      <c r="K359" s="1506" t="str">
        <f>J10</f>
        <v>SCHEDULE B-2.3</v>
      </c>
      <c r="L359" s="1541"/>
      <c r="M359" s="1540"/>
      <c r="N359" s="1541"/>
      <c r="O359" s="1541"/>
      <c r="P359" s="1541"/>
      <c r="Q359" s="1541"/>
      <c r="R359" s="1541"/>
      <c r="S359" s="1541"/>
      <c r="T359" s="1541"/>
      <c r="U359" s="1541"/>
      <c r="V359" s="1541"/>
    </row>
    <row r="360" spans="1:22">
      <c r="A360" s="1506" t="str">
        <f>Type</f>
        <v xml:space="preserve">TYPE OF FILING:  "X" ORIGINAL   UPDATED    REVISED  </v>
      </c>
      <c r="B360" s="1541"/>
      <c r="C360" s="1541"/>
      <c r="D360" s="1541"/>
      <c r="E360" s="1541"/>
      <c r="F360" s="1541"/>
      <c r="G360" s="1541"/>
      <c r="H360" s="1541"/>
      <c r="I360" s="1541"/>
      <c r="K360" s="1506" t="s">
        <v>1902</v>
      </c>
      <c r="L360" s="1541"/>
      <c r="M360" s="1540"/>
      <c r="N360" s="1541"/>
      <c r="O360" s="1541"/>
      <c r="P360" s="1541"/>
      <c r="Q360" s="1541"/>
      <c r="R360" s="1541"/>
      <c r="S360" s="1541"/>
      <c r="T360" s="1541"/>
      <c r="U360" s="1541"/>
      <c r="V360" s="1541"/>
    </row>
    <row r="361" spans="1:22">
      <c r="A361" s="1506" t="s">
        <v>1653</v>
      </c>
      <c r="B361" s="1541"/>
      <c r="C361" s="1541"/>
      <c r="D361" s="1541"/>
      <c r="E361" s="1541"/>
      <c r="F361" s="1541"/>
      <c r="G361" s="1541"/>
      <c r="H361" s="1541"/>
      <c r="I361" s="1541"/>
      <c r="K361" s="2586" t="s">
        <v>622</v>
      </c>
      <c r="L361" s="1541"/>
      <c r="M361" s="1540"/>
      <c r="N361" s="1541"/>
      <c r="O361" s="1541"/>
      <c r="P361" s="1541"/>
      <c r="Q361" s="1541"/>
      <c r="R361" s="1541"/>
      <c r="S361" s="1541"/>
      <c r="T361" s="1541"/>
      <c r="U361" s="1541"/>
      <c r="V361" s="1541"/>
    </row>
    <row r="362" spans="1:22">
      <c r="A362" s="1541"/>
      <c r="B362" s="1541"/>
      <c r="C362" s="1541"/>
      <c r="D362" s="1541"/>
      <c r="E362" s="1541"/>
      <c r="F362" s="1541"/>
      <c r="G362" s="1541"/>
      <c r="H362" s="1541"/>
      <c r="I362" s="1541"/>
      <c r="K362" s="2586" t="str">
        <f>_WIT7</f>
        <v>R. H. PRATT / C. S. LEE</v>
      </c>
      <c r="L362" s="1541"/>
      <c r="M362" s="1540"/>
      <c r="N362" s="1541"/>
      <c r="O362" s="1541"/>
      <c r="P362" s="1541"/>
      <c r="Q362" s="1541"/>
      <c r="R362" s="1541"/>
      <c r="S362" s="1541"/>
      <c r="T362" s="1541"/>
      <c r="U362" s="1541"/>
      <c r="V362" s="1541"/>
    </row>
    <row r="363" spans="1:22">
      <c r="A363" s="1541"/>
      <c r="B363" s="1541"/>
      <c r="C363" s="1541"/>
      <c r="D363" s="1541"/>
      <c r="E363" s="1541"/>
      <c r="F363" s="1541"/>
      <c r="G363" s="1541"/>
      <c r="H363" s="1541"/>
      <c r="I363" s="1541"/>
      <c r="J363" s="1541"/>
      <c r="K363" s="1541"/>
      <c r="L363" s="1541"/>
      <c r="M363" s="1540"/>
      <c r="N363" s="1541"/>
      <c r="O363" s="1541"/>
      <c r="P363" s="1541"/>
      <c r="Q363" s="1541"/>
      <c r="R363" s="1541"/>
      <c r="S363" s="1541"/>
      <c r="T363" s="1541"/>
      <c r="U363" s="1541"/>
      <c r="V363" s="1541"/>
    </row>
    <row r="364" spans="1:22">
      <c r="A364" s="1541"/>
      <c r="B364" s="1541"/>
      <c r="C364" s="1541"/>
      <c r="D364" s="1541"/>
      <c r="E364" s="1541"/>
      <c r="F364" s="1541"/>
      <c r="G364" s="1541"/>
      <c r="H364" s="2587"/>
      <c r="I364" s="1541"/>
      <c r="J364" s="1541"/>
      <c r="K364" s="1541"/>
      <c r="L364" s="1541"/>
      <c r="M364" s="1540"/>
      <c r="N364" s="1541"/>
      <c r="O364" s="1541"/>
      <c r="P364" s="1541"/>
      <c r="Q364" s="1541"/>
      <c r="R364" s="1541"/>
      <c r="S364" s="1541"/>
      <c r="T364" s="1541"/>
      <c r="U364" s="1541"/>
      <c r="V364" s="1541"/>
    </row>
    <row r="365" spans="1:22">
      <c r="A365" s="1621"/>
      <c r="B365" s="1621"/>
      <c r="C365" s="2674"/>
      <c r="D365" s="1621"/>
      <c r="E365" s="1621"/>
      <c r="F365" s="1621"/>
      <c r="G365" s="1621"/>
      <c r="H365" s="1631"/>
      <c r="I365" s="1621"/>
      <c r="J365" s="1621"/>
      <c r="K365" s="1621"/>
      <c r="L365" s="1621"/>
      <c r="M365" s="1540"/>
      <c r="N365" s="1541"/>
      <c r="O365" s="1541"/>
      <c r="P365" s="1541"/>
      <c r="Q365" s="1541"/>
      <c r="R365" s="1541"/>
      <c r="S365" s="1541"/>
      <c r="T365" s="1541"/>
      <c r="U365" s="1541"/>
      <c r="V365" s="1541"/>
    </row>
    <row r="366" spans="1:22">
      <c r="A366" s="1541"/>
      <c r="B366" s="1505" t="s">
        <v>943</v>
      </c>
      <c r="C366" s="1505" t="s">
        <v>1750</v>
      </c>
      <c r="D366" s="1541"/>
      <c r="E366" s="1541"/>
      <c r="F366" s="1541"/>
      <c r="G366" s="1541"/>
      <c r="H366" s="102" t="s">
        <v>1090</v>
      </c>
      <c r="I366" s="102"/>
      <c r="J366" s="102"/>
      <c r="K366" s="1541"/>
      <c r="L366" s="1541"/>
      <c r="M366" s="1540"/>
      <c r="N366" s="1541"/>
      <c r="O366" s="1541"/>
      <c r="P366" s="1541"/>
      <c r="Q366" s="1541"/>
      <c r="R366" s="1541"/>
      <c r="S366" s="1541"/>
      <c r="T366" s="1541"/>
      <c r="U366" s="1541"/>
      <c r="V366" s="1541"/>
    </row>
    <row r="367" spans="1:22">
      <c r="A367" s="1505" t="s">
        <v>1240</v>
      </c>
      <c r="B367" s="1505" t="s">
        <v>1164</v>
      </c>
      <c r="C367" s="1505" t="s">
        <v>1164</v>
      </c>
      <c r="D367" s="1505" t="s">
        <v>1118</v>
      </c>
      <c r="E367" s="1505" t="s">
        <v>1091</v>
      </c>
      <c r="F367" s="1541"/>
      <c r="G367" s="1541"/>
      <c r="H367" s="1621"/>
      <c r="I367" s="2679" t="s">
        <v>1092</v>
      </c>
      <c r="J367" s="2679" t="s">
        <v>120</v>
      </c>
      <c r="K367" s="1505" t="s">
        <v>121</v>
      </c>
      <c r="L367" s="1505" t="s">
        <v>1967</v>
      </c>
      <c r="M367" s="1540"/>
      <c r="N367" s="1541"/>
      <c r="O367" s="1541"/>
      <c r="P367" s="1541"/>
      <c r="Q367" s="1541"/>
      <c r="R367" s="1541"/>
      <c r="S367" s="1541"/>
      <c r="T367" s="1541"/>
      <c r="U367" s="1541"/>
      <c r="V367" s="1541"/>
    </row>
    <row r="368" spans="1:22">
      <c r="A368" s="1505" t="s">
        <v>1241</v>
      </c>
      <c r="B368" s="1505" t="s">
        <v>1241</v>
      </c>
      <c r="C368" s="1505" t="s">
        <v>1241</v>
      </c>
      <c r="D368" s="1505" t="s">
        <v>122</v>
      </c>
      <c r="E368" s="1505" t="s">
        <v>123</v>
      </c>
      <c r="F368" s="1505" t="s">
        <v>124</v>
      </c>
      <c r="G368" s="1505" t="s">
        <v>125</v>
      </c>
      <c r="H368" s="1505" t="s">
        <v>646</v>
      </c>
      <c r="I368" s="1505" t="s">
        <v>126</v>
      </c>
      <c r="J368" s="1505" t="s">
        <v>127</v>
      </c>
      <c r="K368" s="1505" t="s">
        <v>123</v>
      </c>
      <c r="L368" s="1505" t="s">
        <v>873</v>
      </c>
      <c r="M368" s="1540"/>
      <c r="N368" s="1541"/>
      <c r="O368" s="1541"/>
      <c r="P368" s="1541"/>
      <c r="Q368" s="1541"/>
      <c r="R368" s="1541"/>
      <c r="S368" s="1541"/>
      <c r="T368" s="1541"/>
      <c r="U368" s="1541"/>
      <c r="V368" s="1541"/>
    </row>
    <row r="369" spans="1:22">
      <c r="A369" s="1541"/>
      <c r="B369" s="1541"/>
      <c r="C369" s="1541"/>
      <c r="D369" s="1541"/>
      <c r="E369" s="1541"/>
      <c r="F369" s="1541"/>
      <c r="G369" s="1541"/>
      <c r="H369" s="1541"/>
      <c r="I369" s="1541"/>
      <c r="J369" s="1541"/>
      <c r="K369" s="1541"/>
      <c r="L369" s="1541"/>
      <c r="M369" s="1540"/>
      <c r="N369" s="1541"/>
      <c r="O369" s="1541"/>
      <c r="P369" s="1541"/>
      <c r="Q369" s="1541"/>
      <c r="R369" s="1541"/>
      <c r="S369" s="1541"/>
      <c r="T369" s="1541"/>
      <c r="U369" s="1541"/>
      <c r="V369" s="1541"/>
    </row>
    <row r="370" spans="1:22">
      <c r="A370" s="1621"/>
      <c r="B370" s="1621"/>
      <c r="C370" s="1621"/>
      <c r="D370" s="1621"/>
      <c r="E370" s="2679" t="s">
        <v>1705</v>
      </c>
      <c r="F370" s="2679" t="s">
        <v>1705</v>
      </c>
      <c r="G370" s="2679" t="s">
        <v>1705</v>
      </c>
      <c r="H370" s="2679" t="s">
        <v>1705</v>
      </c>
      <c r="I370" s="1621"/>
      <c r="J370" s="1621"/>
      <c r="K370" s="2679" t="s">
        <v>1705</v>
      </c>
      <c r="L370" s="2679" t="s">
        <v>1705</v>
      </c>
      <c r="M370" s="1540"/>
      <c r="N370" s="1541"/>
      <c r="O370" s="1541"/>
      <c r="P370" s="1541"/>
      <c r="Q370" s="1541"/>
      <c r="R370" s="1541"/>
      <c r="S370" s="1541"/>
      <c r="T370" s="1541"/>
      <c r="U370" s="1541"/>
      <c r="V370" s="1541"/>
    </row>
    <row r="371" spans="1:22">
      <c r="A371" s="1541"/>
      <c r="B371" s="1541"/>
      <c r="C371" s="1541"/>
      <c r="D371" s="1541"/>
      <c r="E371" s="1541"/>
      <c r="F371" s="1541"/>
      <c r="G371" s="1541"/>
      <c r="H371" s="1541"/>
      <c r="I371" s="1541"/>
      <c r="J371" s="1541"/>
      <c r="K371" s="1541"/>
      <c r="L371" s="1541"/>
      <c r="M371" s="1540"/>
      <c r="N371" s="1541"/>
      <c r="O371" s="1541"/>
      <c r="P371" s="1541"/>
      <c r="Q371" s="1541"/>
      <c r="R371" s="1541"/>
      <c r="S371" s="1541"/>
      <c r="T371" s="1541"/>
      <c r="U371" s="1541"/>
      <c r="V371" s="1541"/>
    </row>
    <row r="372" spans="1:22">
      <c r="A372" s="1505">
        <v>1</v>
      </c>
      <c r="B372" s="321">
        <v>350</v>
      </c>
      <c r="C372" s="321">
        <v>3500</v>
      </c>
      <c r="D372" s="315" t="s">
        <v>1595</v>
      </c>
      <c r="E372" s="2613">
        <v>246667</v>
      </c>
      <c r="F372" s="2613">
        <v>0</v>
      </c>
      <c r="G372" s="2613">
        <v>0</v>
      </c>
      <c r="H372" s="1539"/>
      <c r="I372" s="1539"/>
      <c r="J372" s="1540"/>
      <c r="K372" s="1539">
        <f t="shared" ref="K372:K382" si="8">E372+F372-G372+H372</f>
        <v>246667</v>
      </c>
      <c r="L372" s="2613">
        <v>246667</v>
      </c>
      <c r="M372" s="1540"/>
      <c r="N372" s="1541"/>
      <c r="O372" s="1541"/>
      <c r="P372" s="1541"/>
      <c r="Q372" s="1541"/>
      <c r="R372" s="1541"/>
      <c r="S372" s="1541"/>
      <c r="T372" s="1541"/>
      <c r="U372" s="1541"/>
      <c r="V372" s="1541"/>
    </row>
    <row r="373" spans="1:22">
      <c r="A373" s="1505">
        <v>2</v>
      </c>
      <c r="B373" s="321">
        <v>350</v>
      </c>
      <c r="C373" s="321">
        <v>3501</v>
      </c>
      <c r="D373" s="315" t="s">
        <v>1168</v>
      </c>
      <c r="E373" s="2613">
        <v>1092199</v>
      </c>
      <c r="F373" s="2613">
        <v>0</v>
      </c>
      <c r="G373" s="2613">
        <v>0</v>
      </c>
      <c r="H373" s="1539"/>
      <c r="I373" s="1539"/>
      <c r="J373" s="1540"/>
      <c r="K373" s="1539">
        <f t="shared" si="8"/>
        <v>1092199</v>
      </c>
      <c r="L373" s="2613">
        <v>1092199</v>
      </c>
      <c r="M373" s="1540"/>
      <c r="N373" s="1541"/>
      <c r="O373" s="1541"/>
      <c r="P373" s="1541"/>
      <c r="Q373" s="1541"/>
      <c r="R373" s="1541"/>
      <c r="S373" s="1541"/>
      <c r="T373" s="1541"/>
      <c r="U373" s="1541"/>
      <c r="V373" s="1541"/>
    </row>
    <row r="374" spans="1:22">
      <c r="A374" s="1505">
        <v>3</v>
      </c>
      <c r="B374" s="321">
        <v>352</v>
      </c>
      <c r="C374" s="321">
        <v>3520</v>
      </c>
      <c r="D374" s="315" t="s">
        <v>1170</v>
      </c>
      <c r="E374" s="2613">
        <v>1464450</v>
      </c>
      <c r="F374" s="2613">
        <v>0</v>
      </c>
      <c r="G374" s="2613">
        <v>19492</v>
      </c>
      <c r="H374" s="1539"/>
      <c r="I374" s="1539"/>
      <c r="J374" s="1540"/>
      <c r="K374" s="1539">
        <f t="shared" si="8"/>
        <v>1444958</v>
      </c>
      <c r="L374" s="2613">
        <v>1454732</v>
      </c>
      <c r="M374" s="1540"/>
      <c r="N374" s="1541"/>
      <c r="O374" s="1541"/>
      <c r="P374" s="1541"/>
      <c r="Q374" s="1541"/>
      <c r="R374" s="1541"/>
      <c r="S374" s="1541"/>
      <c r="T374" s="1541"/>
      <c r="U374" s="1541"/>
      <c r="V374" s="1541"/>
    </row>
    <row r="375" spans="1:22">
      <c r="A375" s="2615">
        <v>4</v>
      </c>
      <c r="B375" s="321">
        <v>353</v>
      </c>
      <c r="C375" s="321">
        <v>3530</v>
      </c>
      <c r="D375" s="315" t="s">
        <v>1721</v>
      </c>
      <c r="E375" s="2613">
        <v>17135163</v>
      </c>
      <c r="F375" s="2613">
        <v>0</v>
      </c>
      <c r="G375" s="2613">
        <v>101061</v>
      </c>
      <c r="H375" s="1539"/>
      <c r="I375" s="1539"/>
      <c r="J375" s="1540"/>
      <c r="K375" s="1539">
        <f t="shared" si="8"/>
        <v>17034102</v>
      </c>
      <c r="L375" s="2613">
        <v>17084779</v>
      </c>
      <c r="M375" s="1540"/>
      <c r="N375" s="1541"/>
      <c r="O375" s="1541"/>
      <c r="P375" s="1541"/>
      <c r="Q375" s="1541"/>
      <c r="R375" s="1541"/>
      <c r="S375" s="1541"/>
      <c r="T375" s="1541"/>
      <c r="U375" s="1541"/>
      <c r="V375" s="1541"/>
    </row>
    <row r="376" spans="1:22">
      <c r="A376" s="1505">
        <v>5</v>
      </c>
      <c r="B376" s="321">
        <v>353</v>
      </c>
      <c r="C376" s="321">
        <v>3531</v>
      </c>
      <c r="D376" s="315" t="s">
        <v>2926</v>
      </c>
      <c r="E376" s="2613">
        <v>9373634</v>
      </c>
      <c r="F376" s="2613">
        <v>0</v>
      </c>
      <c r="G376" s="2613">
        <v>0</v>
      </c>
      <c r="H376" s="1539"/>
      <c r="I376" s="1539"/>
      <c r="J376" s="1540"/>
      <c r="K376" s="1539">
        <f t="shared" si="8"/>
        <v>9373634</v>
      </c>
      <c r="L376" s="2613">
        <v>9373634</v>
      </c>
      <c r="M376" s="1540"/>
      <c r="N376" s="1541"/>
      <c r="O376" s="1541"/>
      <c r="P376" s="1541"/>
      <c r="Q376" s="1541"/>
      <c r="R376" s="1541"/>
      <c r="S376" s="1541"/>
      <c r="T376" s="1541"/>
      <c r="U376" s="1541"/>
      <c r="V376" s="1541"/>
    </row>
    <row r="377" spans="1:22">
      <c r="A377" s="1505">
        <v>6</v>
      </c>
      <c r="B377" s="321">
        <v>353</v>
      </c>
      <c r="C377" s="321">
        <v>3532</v>
      </c>
      <c r="D377" s="315" t="s">
        <v>2927</v>
      </c>
      <c r="E377" s="2613">
        <v>5919426</v>
      </c>
      <c r="F377" s="2613">
        <v>0</v>
      </c>
      <c r="G377" s="2613">
        <v>56366</v>
      </c>
      <c r="H377" s="1539"/>
      <c r="I377" s="1539"/>
      <c r="J377" s="1540"/>
      <c r="K377" s="1539">
        <f t="shared" si="8"/>
        <v>5863060</v>
      </c>
      <c r="L377" s="2613">
        <v>5891325</v>
      </c>
      <c r="M377" s="1540"/>
      <c r="N377" s="1541"/>
      <c r="O377" s="1541"/>
      <c r="P377" s="1541"/>
      <c r="Q377" s="1541"/>
      <c r="R377" s="1541"/>
      <c r="S377" s="1541"/>
      <c r="T377" s="1541"/>
      <c r="U377" s="1541"/>
      <c r="V377" s="1541"/>
    </row>
    <row r="378" spans="1:22">
      <c r="A378" s="1505">
        <v>7</v>
      </c>
      <c r="B378" s="321">
        <v>353</v>
      </c>
      <c r="C378" s="321">
        <v>3534</v>
      </c>
      <c r="D378" s="315" t="s">
        <v>2928</v>
      </c>
      <c r="E378" s="2613">
        <v>7057290</v>
      </c>
      <c r="F378" s="2613">
        <v>0</v>
      </c>
      <c r="G378" s="2613">
        <v>0</v>
      </c>
      <c r="H378" s="1539"/>
      <c r="I378" s="1539"/>
      <c r="J378" s="1540"/>
      <c r="K378" s="1539">
        <f t="shared" si="8"/>
        <v>7057290</v>
      </c>
      <c r="L378" s="2613">
        <v>7057290</v>
      </c>
      <c r="M378" s="1540"/>
      <c r="N378" s="1541"/>
      <c r="O378" s="1541"/>
      <c r="P378" s="1541"/>
      <c r="Q378" s="1541"/>
      <c r="R378" s="1541"/>
      <c r="S378" s="1541"/>
      <c r="T378" s="1541"/>
      <c r="U378" s="1541"/>
      <c r="V378" s="1541"/>
    </row>
    <row r="379" spans="1:22">
      <c r="A379" s="1505">
        <v>8</v>
      </c>
      <c r="B379" s="321">
        <v>355</v>
      </c>
      <c r="C379" s="321">
        <v>3550</v>
      </c>
      <c r="D379" s="315" t="s">
        <v>1722</v>
      </c>
      <c r="E379" s="2613">
        <v>7527586</v>
      </c>
      <c r="F379" s="2613">
        <v>0</v>
      </c>
      <c r="G379" s="2613">
        <v>7201</v>
      </c>
      <c r="H379" s="1539"/>
      <c r="I379" s="1539"/>
      <c r="J379" s="1540"/>
      <c r="K379" s="1539">
        <f t="shared" si="8"/>
        <v>7520385</v>
      </c>
      <c r="L379" s="2613">
        <v>7523996</v>
      </c>
      <c r="M379" s="1540"/>
      <c r="N379" s="1541"/>
      <c r="O379" s="1541"/>
      <c r="P379" s="1541"/>
      <c r="Q379" s="1541"/>
      <c r="R379" s="1541"/>
      <c r="S379" s="1541"/>
      <c r="T379" s="1541"/>
      <c r="U379" s="1541"/>
      <c r="V379" s="1541"/>
    </row>
    <row r="380" spans="1:22">
      <c r="A380" s="2615">
        <v>9</v>
      </c>
      <c r="B380" s="321">
        <v>356</v>
      </c>
      <c r="C380" s="321">
        <v>3560</v>
      </c>
      <c r="D380" s="315" t="s">
        <v>1723</v>
      </c>
      <c r="E380" s="2613">
        <v>5840086</v>
      </c>
      <c r="F380" s="2613">
        <v>0</v>
      </c>
      <c r="G380" s="2613">
        <v>5339</v>
      </c>
      <c r="H380" s="1539"/>
      <c r="I380" s="1539"/>
      <c r="J380" s="1540"/>
      <c r="K380" s="1539">
        <f t="shared" si="8"/>
        <v>5834747</v>
      </c>
      <c r="L380" s="2613">
        <v>5837424</v>
      </c>
      <c r="M380" s="1540"/>
      <c r="N380" s="1541"/>
      <c r="O380" s="1541"/>
      <c r="P380" s="1541"/>
      <c r="Q380" s="1541"/>
      <c r="R380" s="1541"/>
      <c r="S380" s="1541"/>
      <c r="T380" s="1541"/>
      <c r="U380" s="1541"/>
      <c r="V380" s="1541"/>
    </row>
    <row r="381" spans="1:22">
      <c r="A381" s="1505">
        <v>10</v>
      </c>
      <c r="B381" s="321">
        <v>356</v>
      </c>
      <c r="C381" s="321">
        <v>3561</v>
      </c>
      <c r="D381" s="315" t="s">
        <v>2751</v>
      </c>
      <c r="E381" s="2613">
        <v>296574</v>
      </c>
      <c r="F381" s="2613">
        <v>0</v>
      </c>
      <c r="G381" s="2613">
        <v>0</v>
      </c>
      <c r="H381" s="1539"/>
      <c r="I381" s="1539"/>
      <c r="J381" s="1540"/>
      <c r="K381" s="1539">
        <f t="shared" si="8"/>
        <v>296574</v>
      </c>
      <c r="L381" s="2613">
        <v>296574</v>
      </c>
      <c r="M381" s="1540"/>
      <c r="N381" s="1541"/>
      <c r="O381" s="1541"/>
      <c r="P381" s="1541"/>
      <c r="Q381" s="1541"/>
      <c r="R381" s="1541"/>
      <c r="S381" s="1541"/>
      <c r="T381" s="1541"/>
      <c r="U381" s="1541"/>
      <c r="V381" s="1541"/>
    </row>
    <row r="382" spans="1:22">
      <c r="A382" s="1505">
        <v>11</v>
      </c>
      <c r="B382" s="315"/>
      <c r="C382" s="315"/>
      <c r="D382" s="315" t="s">
        <v>1483</v>
      </c>
      <c r="E382" s="2613">
        <v>7260301</v>
      </c>
      <c r="F382" s="2613">
        <v>4997399</v>
      </c>
      <c r="G382" s="2613">
        <v>0</v>
      </c>
      <c r="H382" s="1539"/>
      <c r="I382" s="1539"/>
      <c r="J382" s="1540"/>
      <c r="K382" s="1539">
        <f t="shared" si="8"/>
        <v>12257700</v>
      </c>
      <c r="L382" s="2613">
        <v>9890615</v>
      </c>
      <c r="M382" s="1540"/>
      <c r="N382" s="1541"/>
      <c r="O382" s="1541"/>
      <c r="P382" s="1541"/>
      <c r="Q382" s="1541"/>
      <c r="R382" s="1541"/>
      <c r="S382" s="1541"/>
      <c r="T382" s="1541"/>
      <c r="U382" s="1541"/>
      <c r="V382" s="1541"/>
    </row>
    <row r="383" spans="1:22">
      <c r="A383" s="1505"/>
      <c r="B383" s="315"/>
      <c r="C383" s="315"/>
      <c r="D383" s="315"/>
      <c r="E383" s="105"/>
      <c r="F383" s="2598"/>
      <c r="G383" s="105"/>
      <c r="H383" s="96"/>
      <c r="I383" s="1541"/>
      <c r="J383" s="1541"/>
      <c r="K383" s="1542"/>
      <c r="L383" s="96"/>
      <c r="M383" s="1540"/>
      <c r="N383" s="1541"/>
      <c r="O383" s="1541"/>
      <c r="P383" s="1541"/>
      <c r="Q383" s="1541"/>
      <c r="R383" s="1541"/>
      <c r="S383" s="1541"/>
      <c r="T383" s="1541"/>
      <c r="U383" s="1541"/>
      <c r="V383" s="1541"/>
    </row>
    <row r="384" spans="1:22">
      <c r="A384" s="1541"/>
      <c r="B384" s="1541"/>
      <c r="C384" s="1541"/>
      <c r="D384" s="1541"/>
      <c r="E384" s="1539"/>
      <c r="F384" s="2610"/>
      <c r="G384" s="1539"/>
      <c r="H384" s="1539"/>
      <c r="I384" s="1539"/>
      <c r="J384" s="1539"/>
      <c r="K384" s="1539"/>
      <c r="L384" s="1539"/>
      <c r="M384" s="1540"/>
      <c r="N384" s="1541"/>
      <c r="O384" s="1541"/>
      <c r="P384" s="1541"/>
      <c r="Q384" s="1541"/>
      <c r="R384" s="1541"/>
      <c r="S384" s="1541"/>
      <c r="T384" s="1541"/>
      <c r="U384" s="1541"/>
      <c r="V384" s="1541"/>
    </row>
    <row r="385" spans="1:22">
      <c r="A385" s="1621"/>
      <c r="B385" s="1621"/>
      <c r="C385" s="1621"/>
      <c r="D385" s="1621"/>
      <c r="E385" s="1622"/>
      <c r="F385" s="2688"/>
      <c r="G385" s="1622"/>
      <c r="H385" s="1622"/>
      <c r="I385" s="1622"/>
      <c r="J385" s="2687"/>
      <c r="K385" s="1622"/>
      <c r="L385" s="1622"/>
      <c r="M385" s="1540"/>
      <c r="N385" s="1541"/>
      <c r="O385" s="1541"/>
      <c r="P385" s="1541"/>
      <c r="Q385" s="1541"/>
      <c r="R385" s="1541"/>
      <c r="S385" s="1541"/>
      <c r="T385" s="1541"/>
      <c r="U385" s="1541"/>
      <c r="V385" s="1541"/>
    </row>
    <row r="386" spans="1:22">
      <c r="A386" s="1505">
        <v>12</v>
      </c>
      <c r="B386" s="1541"/>
      <c r="C386" s="1541"/>
      <c r="D386" s="1506" t="s">
        <v>1446</v>
      </c>
      <c r="E386" s="1539">
        <f>SUM(E372:E382)</f>
        <v>63213376</v>
      </c>
      <c r="F386" s="1539">
        <f>SUM(F372:F382)</f>
        <v>4997399</v>
      </c>
      <c r="G386" s="1539">
        <f>SUM(G372:G382)</f>
        <v>189459</v>
      </c>
      <c r="H386" s="1539">
        <f>SUM(H372:H382)</f>
        <v>0</v>
      </c>
      <c r="I386" s="1539"/>
      <c r="J386" s="1540"/>
      <c r="K386" s="1539">
        <f>SUM(K372:K382)</f>
        <v>68021316</v>
      </c>
      <c r="L386" s="1539">
        <f>SUM(L372:L382)</f>
        <v>65749235</v>
      </c>
      <c r="M386" s="1540"/>
      <c r="N386" s="1541"/>
      <c r="O386" s="1541"/>
      <c r="P386" s="1541"/>
      <c r="Q386" s="1541"/>
      <c r="R386" s="1541"/>
      <c r="S386" s="1541"/>
      <c r="T386" s="1541"/>
      <c r="U386" s="1541"/>
      <c r="V386" s="1541"/>
    </row>
    <row r="387" spans="1:22">
      <c r="A387" s="1541"/>
      <c r="B387" s="1541"/>
      <c r="C387" s="1541"/>
      <c r="D387" s="1541"/>
      <c r="E387" s="1539"/>
      <c r="F387" s="2610"/>
      <c r="G387" s="1539"/>
      <c r="H387" s="1539"/>
      <c r="I387" s="1539"/>
      <c r="J387" s="1539"/>
      <c r="K387" s="1539"/>
      <c r="L387" s="1539"/>
      <c r="M387" s="1540"/>
      <c r="N387" s="1541"/>
      <c r="O387" s="1541"/>
      <c r="P387" s="1541"/>
      <c r="Q387" s="1541"/>
      <c r="R387" s="1541"/>
      <c r="S387" s="1541"/>
      <c r="T387" s="1541"/>
      <c r="U387" s="1541"/>
      <c r="V387" s="1541"/>
    </row>
    <row r="388" spans="1:22">
      <c r="A388" s="1621"/>
      <c r="B388" s="1621"/>
      <c r="C388" s="1621"/>
      <c r="D388" s="1621"/>
      <c r="E388" s="1622"/>
      <c r="F388" s="1622"/>
      <c r="G388" s="1622"/>
      <c r="H388" s="1622"/>
      <c r="I388" s="2687"/>
      <c r="J388" s="2687"/>
      <c r="K388" s="1622"/>
      <c r="L388" s="1622"/>
      <c r="M388" s="1540"/>
      <c r="N388" s="1541"/>
      <c r="O388" s="1541"/>
      <c r="P388" s="1541"/>
      <c r="Q388" s="1541"/>
      <c r="R388" s="1541"/>
      <c r="S388" s="1541"/>
      <c r="T388" s="1541"/>
      <c r="U388" s="1541"/>
      <c r="V388" s="1541"/>
    </row>
    <row r="389" spans="1:22">
      <c r="A389" s="103" t="str">
        <f>A266</f>
        <v>DUKE ENERGY KENTUCKY, INC.</v>
      </c>
      <c r="B389" s="2585"/>
      <c r="C389" s="2585"/>
      <c r="D389" s="2585"/>
      <c r="E389" s="103"/>
      <c r="F389" s="2585"/>
      <c r="G389" s="2585"/>
      <c r="H389" s="2585"/>
      <c r="I389" s="2585"/>
      <c r="J389" s="2585"/>
      <c r="K389" s="2585"/>
      <c r="L389" s="2585"/>
      <c r="M389" s="1540"/>
      <c r="N389" s="1541"/>
      <c r="O389" s="1541"/>
      <c r="P389" s="1541"/>
      <c r="Q389" s="1541"/>
      <c r="R389" s="1541"/>
      <c r="S389" s="1541"/>
      <c r="T389" s="1541"/>
      <c r="U389" s="1541"/>
      <c r="V389" s="1541"/>
    </row>
    <row r="390" spans="1:22">
      <c r="A390" s="103" t="str">
        <f>A267</f>
        <v>CASE NO. 2017-00321</v>
      </c>
      <c r="B390" s="2585"/>
      <c r="C390" s="2585"/>
      <c r="D390" s="2585"/>
      <c r="E390" s="103"/>
      <c r="F390" s="2585"/>
      <c r="G390" s="2585"/>
      <c r="H390" s="2585"/>
      <c r="I390" s="2585"/>
      <c r="J390" s="2585"/>
      <c r="K390" s="2585"/>
      <c r="L390" s="2585"/>
      <c r="M390" s="1540"/>
      <c r="N390" s="1541"/>
      <c r="O390" s="1541"/>
      <c r="P390" s="1541"/>
      <c r="Q390" s="1541"/>
      <c r="R390" s="1541"/>
      <c r="S390" s="1541"/>
      <c r="T390" s="1541"/>
      <c r="U390" s="1541"/>
      <c r="V390" s="1541"/>
    </row>
    <row r="391" spans="1:22">
      <c r="A391" s="103" t="str">
        <f>A268</f>
        <v>GROSS ADDITIONS, RETIREMENTS, AND TRANSFERS</v>
      </c>
      <c r="B391" s="2585"/>
      <c r="C391" s="2585"/>
      <c r="D391" s="2585"/>
      <c r="E391" s="103"/>
      <c r="F391" s="2585"/>
      <c r="G391" s="2585"/>
      <c r="H391" s="2585"/>
      <c r="I391" s="2585"/>
      <c r="J391" s="2585"/>
      <c r="K391" s="2585"/>
      <c r="L391" s="2585"/>
      <c r="M391" s="1540"/>
      <c r="N391" s="1541"/>
      <c r="O391" s="1541"/>
      <c r="P391" s="1541"/>
      <c r="Q391" s="1541"/>
      <c r="R391" s="1541"/>
      <c r="S391" s="1541"/>
      <c r="T391" s="1541"/>
      <c r="U391" s="1541"/>
      <c r="V391" s="1541"/>
    </row>
    <row r="392" spans="1:22">
      <c r="A392" s="103" t="str">
        <f>$A$269</f>
        <v>FROM APRIL 1, 2018 TO MARCH 31, 2019</v>
      </c>
      <c r="B392" s="2585"/>
      <c r="C392" s="2585"/>
      <c r="D392" s="2585"/>
      <c r="E392" s="103"/>
      <c r="F392" s="2585"/>
      <c r="G392" s="2585"/>
      <c r="H392" s="2585"/>
      <c r="I392" s="2585"/>
      <c r="J392" s="2585"/>
      <c r="K392" s="2585"/>
      <c r="L392" s="2585"/>
      <c r="M392" s="1540"/>
      <c r="N392" s="1541"/>
      <c r="O392" s="1541"/>
      <c r="P392" s="1541"/>
      <c r="Q392" s="1541"/>
      <c r="R392" s="1541"/>
      <c r="S392" s="1541"/>
      <c r="T392" s="1541"/>
      <c r="U392" s="1541"/>
      <c r="V392" s="1541"/>
    </row>
    <row r="393" spans="1:22">
      <c r="A393" s="2585"/>
      <c r="B393" s="2585"/>
      <c r="C393" s="2585"/>
      <c r="D393" s="2585"/>
      <c r="E393" s="2585"/>
      <c r="F393" s="2585"/>
      <c r="G393" s="2585"/>
      <c r="H393" s="2585"/>
      <c r="I393" s="2585"/>
      <c r="J393" s="2585"/>
      <c r="K393" s="2585"/>
      <c r="L393" s="2585"/>
      <c r="M393" s="1541"/>
      <c r="N393" s="1541"/>
      <c r="O393" s="1541"/>
      <c r="P393" s="1541"/>
      <c r="Q393" s="1541"/>
      <c r="R393" s="1541"/>
      <c r="S393" s="1541"/>
      <c r="T393" s="1541"/>
      <c r="U393" s="1541"/>
      <c r="V393" s="1541"/>
    </row>
    <row r="394" spans="1:22">
      <c r="A394" s="103" t="s">
        <v>1172</v>
      </c>
      <c r="B394" s="2585"/>
      <c r="C394" s="2585"/>
      <c r="D394" s="2585"/>
      <c r="E394" s="103"/>
      <c r="F394" s="2585"/>
      <c r="G394" s="2585"/>
      <c r="H394" s="2585"/>
      <c r="I394" s="2585"/>
      <c r="J394" s="2585"/>
      <c r="K394" s="2585"/>
      <c r="L394" s="2585"/>
      <c r="M394" s="1540"/>
      <c r="N394" s="1541"/>
      <c r="O394" s="1541"/>
      <c r="P394" s="1541"/>
      <c r="Q394" s="1541"/>
      <c r="R394" s="1541"/>
      <c r="S394" s="1541"/>
      <c r="T394" s="1541"/>
      <c r="U394" s="1541"/>
      <c r="V394" s="1541"/>
    </row>
    <row r="395" spans="1:22">
      <c r="A395" s="2585"/>
      <c r="B395" s="2585"/>
      <c r="C395" s="2585"/>
      <c r="D395" s="2585"/>
      <c r="E395" s="103"/>
      <c r="F395" s="2585"/>
      <c r="G395" s="2585"/>
      <c r="H395" s="2585"/>
      <c r="I395" s="2585"/>
      <c r="J395" s="2585"/>
      <c r="K395" s="2585"/>
      <c r="L395" s="2585"/>
      <c r="M395" s="1540"/>
      <c r="N395" s="1541"/>
      <c r="O395" s="1541"/>
      <c r="P395" s="1541"/>
      <c r="Q395" s="1541"/>
      <c r="R395" s="1541"/>
      <c r="S395" s="1541"/>
      <c r="T395" s="1541"/>
      <c r="U395" s="1541"/>
      <c r="V395" s="1541"/>
    </row>
    <row r="396" spans="1:22">
      <c r="A396" s="2569" t="s">
        <v>1799</v>
      </c>
      <c r="B396" s="2585"/>
      <c r="C396" s="2585"/>
      <c r="D396" s="2585"/>
      <c r="E396" s="2585"/>
      <c r="F396" s="2585"/>
      <c r="G396" s="2585"/>
      <c r="H396" s="2585"/>
      <c r="I396" s="2585"/>
      <c r="J396" s="2585"/>
      <c r="K396" s="2585"/>
      <c r="L396" s="2585"/>
      <c r="M396" s="1540"/>
      <c r="N396" s="1541"/>
      <c r="O396" s="1541"/>
      <c r="P396" s="1541"/>
      <c r="Q396" s="1541"/>
      <c r="R396" s="1541"/>
      <c r="S396" s="1541"/>
      <c r="T396" s="1541"/>
      <c r="U396" s="1541"/>
      <c r="V396" s="1541"/>
    </row>
    <row r="397" spans="1:22">
      <c r="A397" s="2569"/>
      <c r="B397" s="2585"/>
      <c r="C397" s="2585"/>
      <c r="D397" s="2585"/>
      <c r="E397" s="2585"/>
      <c r="F397" s="2585"/>
      <c r="G397" s="2585"/>
      <c r="H397" s="2585"/>
      <c r="I397" s="2585"/>
      <c r="J397" s="2585"/>
      <c r="K397" s="2585"/>
      <c r="L397" s="2585"/>
      <c r="M397" s="1540"/>
      <c r="N397" s="1541"/>
      <c r="O397" s="1541"/>
      <c r="P397" s="1541"/>
      <c r="Q397" s="1541"/>
      <c r="R397" s="1541"/>
      <c r="S397" s="1541"/>
      <c r="T397" s="1541"/>
      <c r="U397" s="1541"/>
      <c r="V397" s="1541"/>
    </row>
    <row r="398" spans="1:22">
      <c r="A398" s="1506" t="str">
        <f>DataF</f>
        <v>DATA:  BASE PERIOD  "X" FORECASTED PERIOD</v>
      </c>
      <c r="B398" s="1541"/>
      <c r="C398" s="1541"/>
      <c r="D398" s="1541"/>
      <c r="E398" s="1541"/>
      <c r="F398" s="1541"/>
      <c r="G398" s="1541"/>
      <c r="H398" s="1541"/>
      <c r="I398" s="1541"/>
      <c r="K398" s="1506" t="str">
        <f>K275</f>
        <v>SCHEDULE B-2.3</v>
      </c>
      <c r="L398" s="1541"/>
      <c r="M398" s="1540"/>
      <c r="N398" s="1541"/>
      <c r="O398" s="1541"/>
      <c r="P398" s="1541"/>
      <c r="Q398" s="1541"/>
      <c r="R398" s="1541"/>
      <c r="S398" s="1541"/>
      <c r="T398" s="1541"/>
      <c r="U398" s="1541"/>
      <c r="V398" s="1541"/>
    </row>
    <row r="399" spans="1:22">
      <c r="A399" s="1506" t="str">
        <f>A276</f>
        <v xml:space="preserve">TYPE OF FILING:  "X" ORIGINAL   UPDATED    REVISED  </v>
      </c>
      <c r="B399" s="1541"/>
      <c r="C399" s="1541"/>
      <c r="D399" s="1541"/>
      <c r="E399" s="1541"/>
      <c r="F399" s="1541"/>
      <c r="G399" s="1541"/>
      <c r="H399" s="1541"/>
      <c r="I399" s="1541"/>
      <c r="K399" s="1506" t="s">
        <v>1903</v>
      </c>
      <c r="L399" s="1541"/>
      <c r="M399" s="1540"/>
      <c r="N399" s="1541"/>
      <c r="O399" s="1541"/>
      <c r="P399" s="1541"/>
      <c r="Q399" s="1541"/>
      <c r="R399" s="1541"/>
      <c r="S399" s="1541"/>
      <c r="T399" s="1541"/>
      <c r="U399" s="1541"/>
      <c r="V399" s="1541"/>
    </row>
    <row r="400" spans="1:22">
      <c r="A400" s="1506" t="str">
        <f>A277</f>
        <v xml:space="preserve">WORK PAPER REFERENCE NO(S).: </v>
      </c>
      <c r="B400" s="1541"/>
      <c r="C400" s="1541"/>
      <c r="D400" s="1541"/>
      <c r="E400" s="1541"/>
      <c r="F400" s="1541"/>
      <c r="G400" s="1541"/>
      <c r="H400" s="1541"/>
      <c r="I400" s="1541"/>
      <c r="K400" s="2586" t="s">
        <v>622</v>
      </c>
      <c r="L400" s="1541"/>
      <c r="M400" s="1540"/>
      <c r="N400" s="1541"/>
      <c r="O400" s="1541"/>
      <c r="P400" s="1541"/>
      <c r="Q400" s="1541"/>
      <c r="R400" s="1541"/>
      <c r="S400" s="1541"/>
      <c r="T400" s="1541"/>
      <c r="U400" s="1541"/>
      <c r="V400" s="1541"/>
    </row>
    <row r="401" spans="1:22">
      <c r="A401" s="1541"/>
      <c r="B401" s="1541"/>
      <c r="C401" s="1541"/>
      <c r="D401" s="1541"/>
      <c r="E401" s="1541"/>
      <c r="F401" s="1541"/>
      <c r="G401" s="1541"/>
      <c r="H401" s="1541"/>
      <c r="I401" s="1541"/>
      <c r="K401" s="2586" t="str">
        <f>K278</f>
        <v>R. H. PRATT / C. S. LEE</v>
      </c>
      <c r="L401" s="1541"/>
      <c r="M401" s="1540"/>
      <c r="N401" s="1541"/>
      <c r="O401" s="1541"/>
      <c r="P401" s="1541"/>
      <c r="Q401" s="1541"/>
      <c r="R401" s="1541"/>
      <c r="S401" s="1541"/>
      <c r="T401" s="1541"/>
      <c r="U401" s="1541"/>
      <c r="V401" s="1541"/>
    </row>
    <row r="402" spans="1:22">
      <c r="A402" s="1541"/>
      <c r="B402" s="1541"/>
      <c r="C402" s="1541"/>
      <c r="D402" s="1541"/>
      <c r="E402" s="1541"/>
      <c r="F402" s="1541"/>
      <c r="G402" s="1541"/>
      <c r="H402" s="1541"/>
      <c r="I402" s="1541"/>
      <c r="J402" s="1541"/>
      <c r="K402" s="1541"/>
      <c r="L402" s="1541"/>
      <c r="M402" s="1540"/>
      <c r="N402" s="1541"/>
      <c r="O402" s="1541"/>
      <c r="P402" s="1541"/>
      <c r="Q402" s="1541"/>
      <c r="R402" s="1541"/>
      <c r="S402" s="1541"/>
      <c r="T402" s="1541"/>
      <c r="U402" s="1541"/>
      <c r="V402" s="1541"/>
    </row>
    <row r="403" spans="1:22">
      <c r="A403" s="1541"/>
      <c r="B403" s="1541"/>
      <c r="C403" s="1541"/>
      <c r="D403" s="1541"/>
      <c r="E403" s="1541"/>
      <c r="F403" s="1541"/>
      <c r="G403" s="1541"/>
      <c r="H403" s="2587"/>
      <c r="I403" s="1541"/>
      <c r="J403" s="1541"/>
      <c r="K403" s="1541"/>
      <c r="L403" s="1541"/>
      <c r="M403" s="1540"/>
      <c r="N403" s="1541"/>
      <c r="O403" s="1541"/>
      <c r="P403" s="1541"/>
      <c r="Q403" s="1541"/>
      <c r="R403" s="1541"/>
      <c r="S403" s="1541"/>
      <c r="T403" s="1541"/>
      <c r="U403" s="1541"/>
      <c r="V403" s="1541"/>
    </row>
    <row r="404" spans="1:22">
      <c r="A404" s="1621"/>
      <c r="B404" s="1621"/>
      <c r="C404" s="2674"/>
      <c r="D404" s="1621"/>
      <c r="E404" s="1621"/>
      <c r="F404" s="1621"/>
      <c r="G404" s="1621"/>
      <c r="H404" s="1631"/>
      <c r="I404" s="1621"/>
      <c r="J404" s="1621"/>
      <c r="K404" s="1621"/>
      <c r="L404" s="1621"/>
      <c r="M404" s="1540"/>
      <c r="N404" s="1541"/>
      <c r="O404" s="1541"/>
      <c r="P404" s="1541"/>
      <c r="Q404" s="1541"/>
      <c r="R404" s="1541"/>
      <c r="S404" s="1541"/>
      <c r="T404" s="1541"/>
      <c r="U404" s="1541"/>
      <c r="V404" s="1541"/>
    </row>
    <row r="405" spans="1:22">
      <c r="A405" s="1541"/>
      <c r="B405" s="1505" t="s">
        <v>943</v>
      </c>
      <c r="C405" s="1505" t="s">
        <v>1750</v>
      </c>
      <c r="D405" s="1541"/>
      <c r="E405" s="1541"/>
      <c r="F405" s="1541"/>
      <c r="G405" s="1541"/>
      <c r="H405" s="102" t="s">
        <v>1090</v>
      </c>
      <c r="I405" s="102"/>
      <c r="J405" s="102"/>
      <c r="K405" s="1541"/>
      <c r="L405" s="1541"/>
      <c r="M405" s="1540"/>
      <c r="N405" s="1541"/>
      <c r="O405" s="1541"/>
      <c r="P405" s="1541"/>
      <c r="Q405" s="1541"/>
      <c r="R405" s="1541"/>
      <c r="S405" s="1541"/>
      <c r="T405" s="1541"/>
      <c r="U405" s="1541"/>
      <c r="V405" s="1541"/>
    </row>
    <row r="406" spans="1:22">
      <c r="A406" s="1505" t="s">
        <v>1240</v>
      </c>
      <c r="B406" s="1505" t="s">
        <v>1164</v>
      </c>
      <c r="C406" s="1505" t="s">
        <v>1164</v>
      </c>
      <c r="D406" s="1505" t="s">
        <v>1118</v>
      </c>
      <c r="E406" s="1505" t="s">
        <v>1091</v>
      </c>
      <c r="F406" s="1541"/>
      <c r="G406" s="1541"/>
      <c r="H406" s="1621"/>
      <c r="I406" s="2679" t="s">
        <v>1092</v>
      </c>
      <c r="J406" s="2679" t="s">
        <v>120</v>
      </c>
      <c r="K406" s="1505" t="s">
        <v>121</v>
      </c>
      <c r="L406" s="1505" t="s">
        <v>1967</v>
      </c>
      <c r="M406" s="1540"/>
      <c r="N406" s="1541"/>
      <c r="O406" s="1541"/>
      <c r="P406" s="1541"/>
      <c r="Q406" s="1541"/>
      <c r="R406" s="1541"/>
      <c r="S406" s="1541"/>
      <c r="T406" s="1541"/>
      <c r="U406" s="1541"/>
      <c r="V406" s="1541"/>
    </row>
    <row r="407" spans="1:22">
      <c r="A407" s="1505" t="s">
        <v>1241</v>
      </c>
      <c r="B407" s="1505" t="s">
        <v>1241</v>
      </c>
      <c r="C407" s="1505" t="s">
        <v>1241</v>
      </c>
      <c r="D407" s="1505" t="s">
        <v>122</v>
      </c>
      <c r="E407" s="1505" t="s">
        <v>123</v>
      </c>
      <c r="F407" s="1505" t="s">
        <v>124</v>
      </c>
      <c r="G407" s="1505" t="s">
        <v>125</v>
      </c>
      <c r="H407" s="1505" t="s">
        <v>646</v>
      </c>
      <c r="I407" s="1505" t="s">
        <v>126</v>
      </c>
      <c r="J407" s="1505" t="s">
        <v>127</v>
      </c>
      <c r="K407" s="1505" t="s">
        <v>123</v>
      </c>
      <c r="L407" s="1505" t="s">
        <v>873</v>
      </c>
      <c r="M407" s="1540"/>
      <c r="N407" s="1541"/>
      <c r="O407" s="1541"/>
      <c r="P407" s="1541"/>
      <c r="Q407" s="1541"/>
      <c r="R407" s="1541"/>
      <c r="S407" s="1541"/>
      <c r="T407" s="1541"/>
      <c r="U407" s="1541"/>
      <c r="V407" s="1541"/>
    </row>
    <row r="408" spans="1:22">
      <c r="A408" s="1541"/>
      <c r="B408" s="1541"/>
      <c r="C408" s="1541"/>
      <c r="D408" s="1541"/>
      <c r="E408" s="1541"/>
      <c r="F408" s="1541"/>
      <c r="G408" s="1541"/>
      <c r="H408" s="1541"/>
      <c r="I408" s="1541"/>
      <c r="J408" s="1541"/>
      <c r="K408" s="1541"/>
      <c r="L408" s="1541"/>
      <c r="M408" s="1540"/>
      <c r="N408" s="1541"/>
      <c r="O408" s="1541"/>
      <c r="P408" s="1541"/>
      <c r="Q408" s="1541"/>
      <c r="R408" s="1541"/>
      <c r="S408" s="1541"/>
      <c r="T408" s="1541"/>
      <c r="U408" s="1541"/>
      <c r="V408" s="1541"/>
    </row>
    <row r="409" spans="1:22">
      <c r="A409" s="1621"/>
      <c r="B409" s="1621"/>
      <c r="C409" s="1621"/>
      <c r="D409" s="1621"/>
      <c r="E409" s="2679" t="s">
        <v>1705</v>
      </c>
      <c r="F409" s="2679" t="s">
        <v>1705</v>
      </c>
      <c r="G409" s="2679" t="s">
        <v>1705</v>
      </c>
      <c r="H409" s="2679" t="s">
        <v>1705</v>
      </c>
      <c r="I409" s="1621"/>
      <c r="J409" s="1621"/>
      <c r="K409" s="2679" t="s">
        <v>1705</v>
      </c>
      <c r="L409" s="2679" t="s">
        <v>1705</v>
      </c>
      <c r="M409" s="1540"/>
      <c r="N409" s="1541"/>
      <c r="O409" s="1541"/>
      <c r="P409" s="1541"/>
      <c r="Q409" s="1541"/>
      <c r="R409" s="1541"/>
      <c r="S409" s="1541"/>
      <c r="T409" s="1541"/>
      <c r="U409" s="1541"/>
      <c r="V409" s="1541"/>
    </row>
    <row r="410" spans="1:22">
      <c r="A410" s="1541"/>
      <c r="B410" s="1541"/>
      <c r="C410" s="1541"/>
      <c r="D410" s="1541"/>
      <c r="E410" s="1541"/>
      <c r="F410" s="1541"/>
      <c r="G410" s="1541"/>
      <c r="H410" s="1541"/>
      <c r="I410" s="1541"/>
      <c r="J410" s="1541"/>
      <c r="K410" s="1541"/>
      <c r="L410" s="1541"/>
      <c r="M410" s="1540"/>
      <c r="N410" s="1541"/>
      <c r="O410" s="1541"/>
      <c r="P410" s="1541"/>
      <c r="Q410" s="1541"/>
      <c r="R410" s="1541"/>
      <c r="S410" s="1541"/>
      <c r="T410" s="1541"/>
      <c r="U410" s="1541"/>
      <c r="V410" s="1541"/>
    </row>
    <row r="411" spans="1:22">
      <c r="A411" s="1505">
        <v>1</v>
      </c>
      <c r="B411" s="1505">
        <v>360</v>
      </c>
      <c r="C411" s="1505">
        <v>3600</v>
      </c>
      <c r="D411" s="1506" t="s">
        <v>849</v>
      </c>
      <c r="E411" s="105">
        <v>6821750</v>
      </c>
      <c r="F411" s="2598">
        <v>0</v>
      </c>
      <c r="G411" s="105">
        <v>0</v>
      </c>
      <c r="H411" s="96"/>
      <c r="I411" s="1541"/>
      <c r="J411" s="1541"/>
      <c r="K411" s="1542">
        <f t="shared" ref="K411:K435" si="9">E411+F411-G411+H411</f>
        <v>6821750</v>
      </c>
      <c r="L411" s="105">
        <v>6821750</v>
      </c>
      <c r="M411" s="1540"/>
      <c r="N411" s="1541"/>
      <c r="O411" s="1542"/>
      <c r="P411" s="1541"/>
      <c r="Q411" s="1541"/>
      <c r="R411" s="1541"/>
      <c r="S411" s="1541"/>
      <c r="T411" s="1541"/>
      <c r="U411" s="1541"/>
      <c r="V411" s="1541"/>
    </row>
    <row r="412" spans="1:22">
      <c r="A412" s="1505">
        <v>2</v>
      </c>
      <c r="B412" s="1505">
        <v>360</v>
      </c>
      <c r="C412" s="1505">
        <v>3601</v>
      </c>
      <c r="D412" s="1506" t="s">
        <v>1168</v>
      </c>
      <c r="E412" s="105">
        <v>6441140</v>
      </c>
      <c r="F412" s="2598">
        <v>0</v>
      </c>
      <c r="G412" s="105">
        <v>0</v>
      </c>
      <c r="H412" s="96"/>
      <c r="I412" s="1541"/>
      <c r="J412" s="1541"/>
      <c r="K412" s="1542">
        <f t="shared" si="9"/>
        <v>6441140</v>
      </c>
      <c r="L412" s="105">
        <v>6441140</v>
      </c>
      <c r="M412" s="1540"/>
      <c r="N412" s="1541"/>
      <c r="O412" s="1542"/>
      <c r="P412" s="1541"/>
      <c r="Q412" s="1541"/>
      <c r="R412" s="1541"/>
      <c r="S412" s="1541"/>
      <c r="T412" s="1541"/>
      <c r="U412" s="1541"/>
      <c r="V412" s="1541"/>
    </row>
    <row r="413" spans="1:22">
      <c r="A413" s="1505">
        <v>3</v>
      </c>
      <c r="B413" s="1505">
        <v>361</v>
      </c>
      <c r="C413" s="1505">
        <v>3610</v>
      </c>
      <c r="D413" s="1506" t="s">
        <v>1170</v>
      </c>
      <c r="E413" s="105">
        <v>1394277</v>
      </c>
      <c r="F413" s="2598">
        <v>0</v>
      </c>
      <c r="G413" s="105">
        <v>24707</v>
      </c>
      <c r="H413" s="96"/>
      <c r="I413" s="1541"/>
      <c r="J413" s="1541"/>
      <c r="K413" s="1542">
        <f t="shared" si="9"/>
        <v>1369570</v>
      </c>
      <c r="L413" s="105">
        <v>1381960</v>
      </c>
      <c r="M413" s="1540"/>
      <c r="N413" s="1541"/>
      <c r="O413" s="1542"/>
      <c r="P413" s="1541"/>
      <c r="Q413" s="1541"/>
      <c r="R413" s="1541"/>
      <c r="S413" s="1541"/>
      <c r="T413" s="1541"/>
      <c r="U413" s="1541"/>
      <c r="V413" s="1541"/>
    </row>
    <row r="414" spans="1:22">
      <c r="A414" s="1505">
        <v>4</v>
      </c>
      <c r="B414" s="1505">
        <v>362</v>
      </c>
      <c r="C414" s="1505">
        <v>3620</v>
      </c>
      <c r="D414" s="1506" t="s">
        <v>1721</v>
      </c>
      <c r="E414" s="105">
        <v>37253125</v>
      </c>
      <c r="F414" s="2598">
        <v>0</v>
      </c>
      <c r="G414" s="105">
        <v>433173</v>
      </c>
      <c r="H414" s="96"/>
      <c r="I414" s="1541"/>
      <c r="J414" s="1541"/>
      <c r="K414" s="1542">
        <f t="shared" si="9"/>
        <v>36819952</v>
      </c>
      <c r="L414" s="105">
        <v>37037167</v>
      </c>
      <c r="M414" s="1540"/>
      <c r="N414" s="1541"/>
      <c r="O414" s="1542"/>
      <c r="P414" s="1541"/>
      <c r="Q414" s="1541"/>
      <c r="R414" s="1541"/>
      <c r="S414" s="1541"/>
      <c r="T414" s="1541"/>
      <c r="U414" s="1541"/>
      <c r="V414" s="1541"/>
    </row>
    <row r="415" spans="1:22">
      <c r="A415" s="1505">
        <v>5</v>
      </c>
      <c r="B415" s="1505">
        <v>362</v>
      </c>
      <c r="C415" s="1505">
        <v>3622</v>
      </c>
      <c r="D415" s="1506" t="s">
        <v>2927</v>
      </c>
      <c r="E415" s="105">
        <v>25212793</v>
      </c>
      <c r="F415" s="2598">
        <v>0</v>
      </c>
      <c r="G415" s="105">
        <v>49413</v>
      </c>
      <c r="H415" s="96"/>
      <c r="I415" s="1541"/>
      <c r="J415" s="1541"/>
      <c r="K415" s="1542">
        <f t="shared" si="9"/>
        <v>25163380</v>
      </c>
      <c r="L415" s="105">
        <v>25188158</v>
      </c>
      <c r="M415" s="1540"/>
      <c r="N415" s="1541"/>
      <c r="O415" s="1542"/>
      <c r="P415" s="1541"/>
      <c r="Q415" s="1541"/>
      <c r="R415" s="1541"/>
      <c r="S415" s="1541"/>
      <c r="T415" s="1541"/>
      <c r="U415" s="1541"/>
      <c r="V415" s="1541"/>
    </row>
    <row r="416" spans="1:22">
      <c r="A416" s="1505">
        <v>6</v>
      </c>
      <c r="B416" s="1505">
        <v>364</v>
      </c>
      <c r="C416" s="1505">
        <v>3640</v>
      </c>
      <c r="D416" s="1506" t="s">
        <v>1724</v>
      </c>
      <c r="E416" s="105">
        <v>56974821</v>
      </c>
      <c r="F416" s="2598">
        <v>0</v>
      </c>
      <c r="G416" s="105">
        <v>428579</v>
      </c>
      <c r="H416" s="96"/>
      <c r="I416" s="1541"/>
      <c r="J416" s="1541"/>
      <c r="K416" s="1542">
        <f t="shared" si="9"/>
        <v>56546242</v>
      </c>
      <c r="L416" s="105">
        <v>56761153</v>
      </c>
      <c r="M416" s="1540"/>
      <c r="N416" s="1541"/>
      <c r="O416" s="1542"/>
      <c r="P416" s="1541"/>
      <c r="Q416" s="1541"/>
      <c r="R416" s="1541"/>
      <c r="S416" s="1541"/>
      <c r="T416" s="1541"/>
      <c r="U416" s="1541"/>
      <c r="V416" s="1541"/>
    </row>
    <row r="417" spans="1:22">
      <c r="A417" s="1505">
        <v>7</v>
      </c>
      <c r="B417" s="1505">
        <v>365</v>
      </c>
      <c r="C417" s="1505">
        <v>3650</v>
      </c>
      <c r="D417" s="1506" t="s">
        <v>1723</v>
      </c>
      <c r="E417" s="105">
        <v>115298782</v>
      </c>
      <c r="F417" s="2598">
        <v>0</v>
      </c>
      <c r="G417" s="105">
        <v>3087582</v>
      </c>
      <c r="H417" s="96"/>
      <c r="I417" s="1541"/>
      <c r="J417" s="1541"/>
      <c r="K417" s="1542">
        <f t="shared" si="9"/>
        <v>112211200</v>
      </c>
      <c r="L417" s="105">
        <v>113759469</v>
      </c>
      <c r="M417" s="1540"/>
      <c r="N417" s="1541"/>
      <c r="O417" s="1542"/>
      <c r="P417" s="1541"/>
      <c r="Q417" s="1541"/>
      <c r="R417" s="1541"/>
      <c r="S417" s="1541"/>
      <c r="T417" s="1541"/>
      <c r="U417" s="1541"/>
      <c r="V417" s="1541"/>
    </row>
    <row r="418" spans="1:22">
      <c r="A418" s="1505">
        <v>8</v>
      </c>
      <c r="B418" s="1505">
        <v>365</v>
      </c>
      <c r="C418" s="1505">
        <v>3651</v>
      </c>
      <c r="D418" s="1506" t="s">
        <v>2751</v>
      </c>
      <c r="E418" s="105">
        <v>1864393</v>
      </c>
      <c r="F418" s="2598">
        <v>0</v>
      </c>
      <c r="G418" s="105">
        <v>0</v>
      </c>
      <c r="H418" s="96"/>
      <c r="I418" s="1541"/>
      <c r="J418" s="1541"/>
      <c r="K418" s="1542">
        <f t="shared" si="9"/>
        <v>1864393</v>
      </c>
      <c r="L418" s="105">
        <v>1864393</v>
      </c>
      <c r="M418" s="1540"/>
      <c r="N418" s="1541"/>
      <c r="O418" s="1542"/>
      <c r="P418" s="1541"/>
      <c r="Q418" s="1541"/>
      <c r="R418" s="1541"/>
      <c r="S418" s="1541"/>
      <c r="T418" s="1541"/>
      <c r="U418" s="1541"/>
      <c r="V418" s="1541"/>
    </row>
    <row r="419" spans="1:22">
      <c r="A419" s="1505">
        <v>9</v>
      </c>
      <c r="B419" s="1505">
        <v>366</v>
      </c>
      <c r="C419" s="1505">
        <v>3660</v>
      </c>
      <c r="D419" s="1506" t="s">
        <v>1725</v>
      </c>
      <c r="E419" s="105">
        <v>19186227</v>
      </c>
      <c r="F419" s="2598">
        <v>0</v>
      </c>
      <c r="G419" s="105">
        <v>17506</v>
      </c>
      <c r="H419" s="96"/>
      <c r="I419" s="1541"/>
      <c r="J419" s="1541"/>
      <c r="K419" s="1542">
        <f t="shared" si="9"/>
        <v>19168721</v>
      </c>
      <c r="L419" s="105">
        <v>19177499</v>
      </c>
      <c r="M419" s="1540"/>
      <c r="N419" s="1541"/>
      <c r="O419" s="1542"/>
      <c r="P419" s="1541"/>
      <c r="Q419" s="1541"/>
      <c r="R419" s="1541"/>
      <c r="S419" s="1541"/>
      <c r="T419" s="1541"/>
      <c r="U419" s="1541"/>
      <c r="V419" s="1541"/>
    </row>
    <row r="420" spans="1:22">
      <c r="A420" s="1505">
        <v>10</v>
      </c>
      <c r="B420" s="1505">
        <v>367</v>
      </c>
      <c r="C420" s="1505">
        <v>3670</v>
      </c>
      <c r="D420" s="1506" t="s">
        <v>638</v>
      </c>
      <c r="E420" s="105">
        <v>59681106</v>
      </c>
      <c r="F420" s="2598">
        <v>0</v>
      </c>
      <c r="G420" s="105">
        <v>225836</v>
      </c>
      <c r="H420" s="96"/>
      <c r="I420" s="1541"/>
      <c r="J420" s="1541"/>
      <c r="K420" s="1542">
        <f t="shared" si="9"/>
        <v>59455270</v>
      </c>
      <c r="L420" s="105">
        <v>59568516</v>
      </c>
      <c r="M420" s="1540"/>
      <c r="N420" s="1541"/>
      <c r="O420" s="1542"/>
      <c r="P420" s="1541"/>
      <c r="Q420" s="1541"/>
      <c r="R420" s="1541"/>
      <c r="S420" s="1541"/>
      <c r="T420" s="1541"/>
      <c r="U420" s="1541"/>
      <c r="V420" s="1541"/>
    </row>
    <row r="421" spans="1:22">
      <c r="A421" s="1505">
        <v>11</v>
      </c>
      <c r="B421" s="1505">
        <v>368</v>
      </c>
      <c r="C421" s="1505">
        <v>3680</v>
      </c>
      <c r="D421" s="1506" t="s">
        <v>639</v>
      </c>
      <c r="E421" s="105">
        <v>55879386</v>
      </c>
      <c r="F421" s="2598">
        <v>0</v>
      </c>
      <c r="G421" s="105">
        <v>1027497</v>
      </c>
      <c r="H421" s="96"/>
      <c r="I421" s="1541"/>
      <c r="J421" s="1541"/>
      <c r="K421" s="1542">
        <f t="shared" si="9"/>
        <v>54851889</v>
      </c>
      <c r="L421" s="105">
        <v>55367127</v>
      </c>
      <c r="M421" s="1540"/>
      <c r="N421" s="1541"/>
      <c r="O421" s="1542"/>
      <c r="P421" s="1541"/>
      <c r="Q421" s="1541"/>
      <c r="R421" s="1541"/>
      <c r="S421" s="1541"/>
      <c r="T421" s="1541"/>
      <c r="U421" s="1541"/>
      <c r="V421" s="1541"/>
    </row>
    <row r="422" spans="1:22">
      <c r="A422" s="1505">
        <v>12</v>
      </c>
      <c r="B422" s="1505">
        <v>368</v>
      </c>
      <c r="C422" s="1505">
        <v>3682</v>
      </c>
      <c r="D422" s="1506" t="s">
        <v>640</v>
      </c>
      <c r="E422" s="105">
        <v>273661</v>
      </c>
      <c r="F422" s="2598">
        <v>0</v>
      </c>
      <c r="G422" s="105">
        <v>0</v>
      </c>
      <c r="H422" s="96"/>
      <c r="I422" s="1506"/>
      <c r="J422" s="1506"/>
      <c r="K422" s="1542">
        <f t="shared" si="9"/>
        <v>273661</v>
      </c>
      <c r="L422" s="105">
        <v>273661</v>
      </c>
      <c r="M422" s="1540"/>
      <c r="N422" s="1541"/>
      <c r="O422" s="1542"/>
      <c r="P422" s="1541"/>
      <c r="Q422" s="1541"/>
      <c r="R422" s="1541"/>
      <c r="S422" s="1541"/>
      <c r="T422" s="1541"/>
      <c r="U422" s="1541"/>
      <c r="V422" s="1541"/>
    </row>
    <row r="423" spans="1:22">
      <c r="A423" s="1505">
        <v>13</v>
      </c>
      <c r="B423" s="1505">
        <v>369</v>
      </c>
      <c r="C423" s="1505">
        <v>3691</v>
      </c>
      <c r="D423" s="1506" t="s">
        <v>641</v>
      </c>
      <c r="E423" s="105">
        <v>2393707</v>
      </c>
      <c r="F423" s="2598">
        <v>0</v>
      </c>
      <c r="G423" s="105">
        <v>0</v>
      </c>
      <c r="H423" s="96"/>
      <c r="I423" s="1506"/>
      <c r="J423" s="1506"/>
      <c r="K423" s="1542">
        <f t="shared" si="9"/>
        <v>2393707</v>
      </c>
      <c r="L423" s="105">
        <v>2393707</v>
      </c>
      <c r="M423" s="1540"/>
      <c r="N423" s="1541"/>
      <c r="O423" s="1542"/>
      <c r="P423" s="1541"/>
      <c r="Q423" s="1541"/>
      <c r="R423" s="1541"/>
      <c r="S423" s="1541"/>
      <c r="T423" s="1541"/>
      <c r="U423" s="1541"/>
      <c r="V423" s="1541"/>
    </row>
    <row r="424" spans="1:22">
      <c r="A424" s="1505">
        <v>14</v>
      </c>
      <c r="B424" s="1505">
        <v>369</v>
      </c>
      <c r="C424" s="1505">
        <v>3692</v>
      </c>
      <c r="D424" s="1506" t="s">
        <v>642</v>
      </c>
      <c r="E424" s="105">
        <v>15816889</v>
      </c>
      <c r="F424" s="2598">
        <v>0</v>
      </c>
      <c r="G424" s="105">
        <v>50903</v>
      </c>
      <c r="H424" s="96"/>
      <c r="I424" s="1541"/>
      <c r="J424" s="1541"/>
      <c r="K424" s="1542">
        <f t="shared" si="9"/>
        <v>15765986</v>
      </c>
      <c r="L424" s="105">
        <v>15791511</v>
      </c>
      <c r="M424" s="1540"/>
      <c r="N424" s="1541"/>
      <c r="O424" s="1542"/>
      <c r="P424" s="1541"/>
      <c r="Q424" s="1541"/>
      <c r="R424" s="1541"/>
      <c r="S424" s="1541"/>
      <c r="T424" s="1541"/>
      <c r="U424" s="1541"/>
      <c r="V424" s="1541"/>
    </row>
    <row r="425" spans="1:22">
      <c r="A425" s="1505">
        <v>15</v>
      </c>
      <c r="B425" s="1505">
        <v>370</v>
      </c>
      <c r="C425" s="1505">
        <v>3700</v>
      </c>
      <c r="D425" s="1506" t="s">
        <v>2539</v>
      </c>
      <c r="E425" s="105">
        <v>8706722</v>
      </c>
      <c r="F425" s="2598">
        <v>0</v>
      </c>
      <c r="G425" s="105">
        <v>0</v>
      </c>
      <c r="H425" s="96"/>
      <c r="I425" s="1541"/>
      <c r="J425" s="1540"/>
      <c r="K425" s="1542">
        <f t="shared" si="9"/>
        <v>8706722</v>
      </c>
      <c r="L425" s="105">
        <v>8130957</v>
      </c>
      <c r="M425" s="1540"/>
      <c r="N425" s="1541"/>
      <c r="O425" s="1542"/>
      <c r="P425" s="1541"/>
      <c r="Q425" s="1541"/>
      <c r="R425" s="1541"/>
      <c r="S425" s="1541"/>
      <c r="T425" s="1541"/>
      <c r="U425" s="1541"/>
      <c r="V425" s="1541"/>
    </row>
    <row r="426" spans="1:22">
      <c r="A426" s="1505">
        <v>16</v>
      </c>
      <c r="B426" s="1505">
        <v>370</v>
      </c>
      <c r="C426" s="1505">
        <v>3700</v>
      </c>
      <c r="D426" s="1506" t="s">
        <v>2749</v>
      </c>
      <c r="E426" s="105">
        <v>713978</v>
      </c>
      <c r="F426" s="2598">
        <v>0</v>
      </c>
      <c r="G426" s="105">
        <v>1242</v>
      </c>
      <c r="H426" s="96"/>
      <c r="I426" s="1541"/>
      <c r="J426" s="1540"/>
      <c r="K426" s="1542">
        <f t="shared" si="9"/>
        <v>712736</v>
      </c>
      <c r="L426" s="105">
        <v>713359</v>
      </c>
      <c r="M426" s="1540"/>
      <c r="N426" s="1541"/>
      <c r="O426" s="1542"/>
      <c r="P426" s="1541"/>
      <c r="Q426" s="1541"/>
      <c r="R426" s="1541"/>
      <c r="S426" s="1541"/>
      <c r="T426" s="1541"/>
      <c r="U426" s="1541"/>
      <c r="V426" s="1541"/>
    </row>
    <row r="427" spans="1:22">
      <c r="A427" s="1505">
        <v>17</v>
      </c>
      <c r="B427" s="1505">
        <v>370</v>
      </c>
      <c r="C427" s="1505">
        <v>3701</v>
      </c>
      <c r="D427" s="1506" t="s">
        <v>376</v>
      </c>
      <c r="E427" s="105">
        <v>2616408</v>
      </c>
      <c r="F427" s="2598">
        <v>0</v>
      </c>
      <c r="G427" s="105">
        <v>0</v>
      </c>
      <c r="H427" s="96"/>
      <c r="I427" s="1541"/>
      <c r="J427" s="1540"/>
      <c r="K427" s="1542">
        <f t="shared" si="9"/>
        <v>2616408</v>
      </c>
      <c r="L427" s="105">
        <v>2611703</v>
      </c>
      <c r="M427" s="1540"/>
      <c r="N427" s="1541"/>
      <c r="O427" s="1542"/>
      <c r="P427" s="1541"/>
      <c r="Q427" s="1541"/>
      <c r="R427" s="1541"/>
      <c r="S427" s="1541"/>
      <c r="T427" s="1541"/>
      <c r="U427" s="1541"/>
      <c r="V427" s="1541"/>
    </row>
    <row r="428" spans="1:22">
      <c r="A428" s="1505">
        <v>18</v>
      </c>
      <c r="B428" s="1505">
        <v>370</v>
      </c>
      <c r="C428" s="1505">
        <v>3702</v>
      </c>
      <c r="D428" s="1506" t="s">
        <v>2748</v>
      </c>
      <c r="E428" s="105">
        <v>17931040</v>
      </c>
      <c r="F428" s="2598">
        <v>6613013</v>
      </c>
      <c r="G428" s="105">
        <v>0</v>
      </c>
      <c r="H428" s="96"/>
      <c r="I428" s="1541"/>
      <c r="J428" s="1540"/>
      <c r="K428" s="1542">
        <f t="shared" si="9"/>
        <v>24544053</v>
      </c>
      <c r="L428" s="105">
        <v>22410553</v>
      </c>
      <c r="M428" s="1540"/>
      <c r="N428" s="1541"/>
      <c r="O428" s="1542"/>
      <c r="P428" s="1541"/>
      <c r="Q428" s="1541"/>
      <c r="R428" s="1541"/>
      <c r="S428" s="1541"/>
      <c r="T428" s="1541"/>
      <c r="U428" s="1541"/>
      <c r="V428" s="1541"/>
    </row>
    <row r="429" spans="1:22">
      <c r="A429" s="1505">
        <v>19</v>
      </c>
      <c r="B429" s="1505">
        <v>371</v>
      </c>
      <c r="C429" s="1505" t="s">
        <v>2297</v>
      </c>
      <c r="D429" s="1506" t="s">
        <v>2298</v>
      </c>
      <c r="E429" s="105">
        <v>421102</v>
      </c>
      <c r="F429" s="2598">
        <v>0</v>
      </c>
      <c r="G429" s="105">
        <v>0</v>
      </c>
      <c r="H429" s="96"/>
      <c r="I429" s="1541"/>
      <c r="J429" s="1540"/>
      <c r="K429" s="1542">
        <f t="shared" si="9"/>
        <v>421102</v>
      </c>
      <c r="L429" s="105">
        <v>421102</v>
      </c>
      <c r="M429" s="1540"/>
      <c r="N429" s="1541"/>
      <c r="O429" s="1542"/>
      <c r="P429" s="1541"/>
      <c r="Q429" s="1541"/>
      <c r="R429" s="1541"/>
      <c r="S429" s="1541"/>
      <c r="T429" s="1541"/>
      <c r="U429" s="1541"/>
      <c r="V429" s="1541"/>
    </row>
    <row r="430" spans="1:22">
      <c r="A430" s="1505">
        <v>20</v>
      </c>
      <c r="B430" s="1505">
        <v>372</v>
      </c>
      <c r="C430" s="1505">
        <v>3720</v>
      </c>
      <c r="D430" s="1506" t="s">
        <v>643</v>
      </c>
      <c r="E430" s="105">
        <v>9647</v>
      </c>
      <c r="F430" s="2598">
        <v>0</v>
      </c>
      <c r="G430" s="105">
        <v>0</v>
      </c>
      <c r="H430" s="96"/>
      <c r="I430" s="1541"/>
      <c r="J430" s="1540"/>
      <c r="K430" s="1542">
        <f t="shared" si="9"/>
        <v>9647</v>
      </c>
      <c r="L430" s="105">
        <v>9647</v>
      </c>
      <c r="M430" s="1540"/>
      <c r="N430" s="1541"/>
      <c r="O430" s="1542"/>
      <c r="P430" s="1541"/>
      <c r="Q430" s="1541"/>
      <c r="R430" s="1541"/>
      <c r="S430" s="1541"/>
      <c r="T430" s="1541"/>
      <c r="U430" s="1541"/>
      <c r="V430" s="1541"/>
    </row>
    <row r="431" spans="1:22">
      <c r="A431" s="1505">
        <v>21</v>
      </c>
      <c r="B431" s="1505">
        <v>373</v>
      </c>
      <c r="C431" s="1505">
        <v>3731</v>
      </c>
      <c r="D431" s="1506" t="s">
        <v>771</v>
      </c>
      <c r="E431" s="105">
        <v>2662222</v>
      </c>
      <c r="F431" s="2598">
        <v>0</v>
      </c>
      <c r="G431" s="105">
        <v>42709</v>
      </c>
      <c r="H431" s="96"/>
      <c r="I431" s="1541"/>
      <c r="J431" s="1540"/>
      <c r="K431" s="1542">
        <f t="shared" si="9"/>
        <v>2619513</v>
      </c>
      <c r="L431" s="105">
        <v>2640930</v>
      </c>
      <c r="M431" s="1540"/>
      <c r="N431" s="1541"/>
      <c r="O431" s="1542"/>
      <c r="P431" s="1541"/>
      <c r="Q431" s="1541"/>
      <c r="R431" s="1541"/>
      <c r="S431" s="1541"/>
      <c r="T431" s="1541"/>
      <c r="U431" s="1541"/>
      <c r="V431" s="1541"/>
    </row>
    <row r="432" spans="1:22">
      <c r="A432" s="1505">
        <v>22</v>
      </c>
      <c r="B432" s="1505">
        <v>373</v>
      </c>
      <c r="C432" s="1505">
        <v>3732</v>
      </c>
      <c r="D432" s="1506" t="s">
        <v>772</v>
      </c>
      <c r="E432" s="105">
        <v>3360015</v>
      </c>
      <c r="F432" s="2598">
        <v>0</v>
      </c>
      <c r="G432" s="105">
        <v>2235</v>
      </c>
      <c r="H432" s="96"/>
      <c r="I432" s="1541"/>
      <c r="J432" s="1540"/>
      <c r="K432" s="1542">
        <f t="shared" si="9"/>
        <v>3357780</v>
      </c>
      <c r="L432" s="105">
        <v>3358901</v>
      </c>
      <c r="M432" s="1540"/>
      <c r="N432" s="1541"/>
      <c r="O432" s="1542"/>
      <c r="P432" s="1541"/>
      <c r="Q432" s="1541"/>
      <c r="R432" s="1541"/>
      <c r="S432" s="1541"/>
      <c r="T432" s="1541"/>
      <c r="U432" s="1541"/>
      <c r="V432" s="1541"/>
    </row>
    <row r="433" spans="1:22">
      <c r="A433" s="1505">
        <v>23</v>
      </c>
      <c r="B433" s="1505">
        <v>373</v>
      </c>
      <c r="C433" s="1505">
        <v>3733</v>
      </c>
      <c r="D433" s="1506" t="s">
        <v>773</v>
      </c>
      <c r="E433" s="105">
        <v>1591377</v>
      </c>
      <c r="F433" s="2598">
        <v>0</v>
      </c>
      <c r="G433" s="105">
        <v>7201</v>
      </c>
      <c r="H433" s="96"/>
      <c r="I433" s="1541"/>
      <c r="J433" s="1540"/>
      <c r="K433" s="1542">
        <f t="shared" si="9"/>
        <v>1584176</v>
      </c>
      <c r="L433" s="105">
        <v>1587787</v>
      </c>
      <c r="M433" s="1540"/>
      <c r="N433" s="1541"/>
      <c r="O433" s="1542"/>
      <c r="P433" s="1541"/>
      <c r="Q433" s="1541"/>
      <c r="R433" s="1541"/>
      <c r="S433" s="1541"/>
      <c r="T433" s="1541"/>
      <c r="U433" s="1541"/>
      <c r="V433" s="1541"/>
    </row>
    <row r="434" spans="1:22">
      <c r="A434" s="1505">
        <v>24</v>
      </c>
      <c r="B434" s="1505">
        <v>373</v>
      </c>
      <c r="C434" s="1505">
        <v>3734</v>
      </c>
      <c r="D434" s="1506" t="s">
        <v>2288</v>
      </c>
      <c r="E434" s="105">
        <v>2356422</v>
      </c>
      <c r="F434" s="2598">
        <v>0</v>
      </c>
      <c r="G434" s="105">
        <v>-12788</v>
      </c>
      <c r="H434" s="96"/>
      <c r="I434" s="1541"/>
      <c r="J434" s="1540"/>
      <c r="K434" s="1542">
        <f t="shared" si="9"/>
        <v>2369210</v>
      </c>
      <c r="L434" s="105">
        <v>2362797</v>
      </c>
      <c r="M434" s="1540"/>
      <c r="N434" s="1541"/>
      <c r="O434" s="1542"/>
      <c r="P434" s="1541"/>
      <c r="Q434" s="1541"/>
      <c r="R434" s="1541"/>
      <c r="S434" s="1541"/>
      <c r="T434" s="1541"/>
      <c r="U434" s="1541"/>
      <c r="V434" s="1541"/>
    </row>
    <row r="435" spans="1:22">
      <c r="A435" s="1505">
        <v>25</v>
      </c>
      <c r="B435" s="1506"/>
      <c r="C435" s="1506"/>
      <c r="D435" s="1506" t="s">
        <v>1483</v>
      </c>
      <c r="E435" s="105">
        <v>23775656</v>
      </c>
      <c r="F435" s="2598">
        <v>30047974</v>
      </c>
      <c r="G435" s="105">
        <v>0</v>
      </c>
      <c r="H435" s="96"/>
      <c r="I435" s="1506"/>
      <c r="J435" s="2616"/>
      <c r="K435" s="1542">
        <f t="shared" si="9"/>
        <v>53823630</v>
      </c>
      <c r="L435" s="105">
        <v>38933705</v>
      </c>
      <c r="M435" s="1540"/>
      <c r="N435" s="1541"/>
      <c r="O435" s="1542"/>
      <c r="P435" s="1541"/>
      <c r="Q435" s="1541"/>
      <c r="R435" s="1541"/>
      <c r="S435" s="1541"/>
      <c r="T435" s="1541"/>
      <c r="U435" s="1541"/>
      <c r="V435" s="1541"/>
    </row>
    <row r="436" spans="1:22">
      <c r="A436" s="1505"/>
      <c r="B436" s="1506"/>
      <c r="C436" s="1506"/>
      <c r="D436" s="1506"/>
      <c r="E436" s="105"/>
      <c r="F436" s="2598"/>
      <c r="G436" s="105"/>
      <c r="H436" s="96"/>
      <c r="I436" s="1506"/>
      <c r="J436" s="2616"/>
      <c r="K436" s="1542"/>
      <c r="L436" s="96"/>
      <c r="M436" s="1540"/>
      <c r="N436" s="1541"/>
      <c r="O436" s="1541"/>
      <c r="P436" s="1541"/>
      <c r="Q436" s="1541"/>
      <c r="R436" s="1541"/>
      <c r="S436" s="1541"/>
      <c r="T436" s="1541"/>
      <c r="U436" s="1541"/>
      <c r="V436" s="1541"/>
    </row>
    <row r="437" spans="1:22">
      <c r="A437" s="1541"/>
      <c r="B437" s="1541"/>
      <c r="C437" s="1541"/>
      <c r="D437" s="1541"/>
      <c r="E437" s="1539"/>
      <c r="F437" s="2610"/>
      <c r="G437" s="1539"/>
      <c r="H437" s="1539"/>
      <c r="I437" s="1539"/>
      <c r="J437" s="1539"/>
      <c r="K437" s="1539"/>
      <c r="L437" s="1539"/>
      <c r="M437" s="1541"/>
      <c r="N437" s="1541"/>
      <c r="O437" s="1541"/>
      <c r="P437" s="1541"/>
      <c r="Q437" s="1541"/>
      <c r="R437" s="1541"/>
      <c r="S437" s="1541"/>
      <c r="T437" s="1541"/>
      <c r="U437" s="1541"/>
      <c r="V437" s="1541"/>
    </row>
    <row r="438" spans="1:22">
      <c r="A438" s="1621"/>
      <c r="B438" s="1621"/>
      <c r="C438" s="1621"/>
      <c r="D438" s="1621"/>
      <c r="E438" s="1622"/>
      <c r="F438" s="2688"/>
      <c r="G438" s="1622"/>
      <c r="H438" s="1622"/>
      <c r="I438" s="1622"/>
      <c r="J438" s="2687"/>
      <c r="K438" s="1622"/>
      <c r="L438" s="1622"/>
      <c r="M438" s="1540"/>
      <c r="N438" s="1541"/>
      <c r="O438" s="1541"/>
      <c r="P438" s="1541"/>
      <c r="Q438" s="1541"/>
      <c r="R438" s="1541"/>
      <c r="S438" s="1541"/>
      <c r="T438" s="1541"/>
      <c r="U438" s="1541"/>
      <c r="V438" s="1541"/>
    </row>
    <row r="439" spans="1:22">
      <c r="A439" s="1505">
        <v>26</v>
      </c>
      <c r="B439" s="1541"/>
      <c r="C439" s="1541"/>
      <c r="D439" s="1506" t="s">
        <v>1271</v>
      </c>
      <c r="E439" s="1539">
        <f>SUM(E411:E435)</f>
        <v>468636646</v>
      </c>
      <c r="F439" s="1539">
        <f>SUM(F411:F435)</f>
        <v>36660987</v>
      </c>
      <c r="G439" s="1539">
        <f>SUM(G411:G435)</f>
        <v>5385795</v>
      </c>
      <c r="H439" s="1539">
        <f>SUM(H411:H435)</f>
        <v>0</v>
      </c>
      <c r="I439" s="1539"/>
      <c r="J439" s="1540"/>
      <c r="K439" s="1539">
        <f>SUM(K411:K435)</f>
        <v>499911838</v>
      </c>
      <c r="L439" s="1539">
        <f>SUM(L411:L435)</f>
        <v>485008652</v>
      </c>
      <c r="M439" s="1541"/>
      <c r="N439" s="1541"/>
      <c r="O439" s="1541"/>
      <c r="P439" s="1541"/>
      <c r="Q439" s="1541"/>
      <c r="R439" s="1541"/>
      <c r="S439" s="1541"/>
      <c r="T439" s="1541"/>
      <c r="U439" s="1541"/>
      <c r="V439" s="1541"/>
    </row>
    <row r="440" spans="1:22">
      <c r="A440" s="1541"/>
      <c r="B440" s="1541"/>
      <c r="C440" s="1541"/>
      <c r="D440" s="1541"/>
      <c r="E440" s="1539"/>
      <c r="F440" s="2610"/>
      <c r="G440" s="1539"/>
      <c r="H440" s="1539"/>
      <c r="I440" s="1539"/>
      <c r="J440" s="1539"/>
      <c r="K440" s="1539"/>
      <c r="L440" s="1539"/>
      <c r="M440" s="1540"/>
      <c r="N440" s="1541"/>
      <c r="O440" s="1541"/>
      <c r="P440" s="1541"/>
      <c r="Q440" s="1541"/>
      <c r="R440" s="1541"/>
      <c r="S440" s="1541"/>
      <c r="T440" s="1541"/>
      <c r="U440" s="1541"/>
      <c r="V440" s="1541"/>
    </row>
    <row r="441" spans="1:22">
      <c r="A441" s="1621"/>
      <c r="B441" s="1621"/>
      <c r="C441" s="1621"/>
      <c r="D441" s="1621"/>
      <c r="E441" s="1622"/>
      <c r="F441" s="1622"/>
      <c r="G441" s="1622"/>
      <c r="H441" s="1622"/>
      <c r="I441" s="2687"/>
      <c r="J441" s="2687"/>
      <c r="K441" s="1622"/>
      <c r="L441" s="1622"/>
      <c r="M441" s="1540"/>
      <c r="N441" s="1541"/>
      <c r="O441" s="1541"/>
      <c r="P441" s="1541"/>
      <c r="Q441" s="1541"/>
      <c r="R441" s="1541"/>
      <c r="S441" s="1541"/>
      <c r="T441" s="1541"/>
      <c r="U441" s="1541"/>
      <c r="V441" s="1541"/>
    </row>
    <row r="442" spans="1:22">
      <c r="A442" s="1506"/>
      <c r="B442" s="1541"/>
      <c r="C442" s="1541"/>
      <c r="D442" s="1541"/>
      <c r="E442" s="1541"/>
      <c r="F442" s="1541"/>
      <c r="G442" s="1541"/>
      <c r="H442" s="1541"/>
      <c r="I442" s="1541"/>
      <c r="J442" s="1541"/>
      <c r="K442" s="1541"/>
      <c r="L442" s="1541"/>
      <c r="M442" s="1540"/>
      <c r="N442" s="1541"/>
      <c r="O442" s="1541"/>
      <c r="P442" s="1541"/>
      <c r="Q442" s="1541"/>
      <c r="R442" s="1541"/>
      <c r="S442" s="1541"/>
      <c r="T442" s="1541"/>
      <c r="U442" s="1541"/>
      <c r="V442" s="1541"/>
    </row>
    <row r="443" spans="1:22">
      <c r="A443" s="103" t="str">
        <f>A266</f>
        <v>DUKE ENERGY KENTUCKY, INC.</v>
      </c>
      <c r="B443" s="2585"/>
      <c r="C443" s="2585"/>
      <c r="D443" s="2585"/>
      <c r="E443" s="103"/>
      <c r="F443" s="2585"/>
      <c r="G443" s="2585"/>
      <c r="H443" s="2585"/>
      <c r="I443" s="2585"/>
      <c r="J443" s="2585"/>
      <c r="K443" s="2585"/>
      <c r="L443" s="2585"/>
      <c r="M443" s="1540"/>
      <c r="N443" s="1541"/>
      <c r="O443" s="1541"/>
      <c r="P443" s="1541"/>
      <c r="Q443" s="1541"/>
      <c r="R443" s="1541"/>
      <c r="S443" s="1541"/>
      <c r="T443" s="1541"/>
      <c r="U443" s="1541"/>
      <c r="V443" s="1541"/>
    </row>
    <row r="444" spans="1:22">
      <c r="A444" s="103" t="str">
        <f>A267</f>
        <v>CASE NO. 2017-00321</v>
      </c>
      <c r="B444" s="2585"/>
      <c r="C444" s="2585"/>
      <c r="D444" s="2585"/>
      <c r="E444" s="103"/>
      <c r="F444" s="2585"/>
      <c r="G444" s="2585"/>
      <c r="H444" s="2585"/>
      <c r="I444" s="2585"/>
      <c r="J444" s="2585"/>
      <c r="K444" s="2585"/>
      <c r="L444" s="2585"/>
      <c r="M444" s="1540"/>
      <c r="N444" s="1541"/>
      <c r="O444" s="1541"/>
      <c r="P444" s="1541"/>
      <c r="Q444" s="1541"/>
      <c r="R444" s="1541"/>
      <c r="S444" s="1541"/>
      <c r="T444" s="1541"/>
      <c r="U444" s="1541"/>
      <c r="V444" s="1541"/>
    </row>
    <row r="445" spans="1:22">
      <c r="A445" s="103" t="str">
        <f>A268</f>
        <v>GROSS ADDITIONS, RETIREMENTS, AND TRANSFERS</v>
      </c>
      <c r="B445" s="2585"/>
      <c r="C445" s="2585"/>
      <c r="D445" s="2585"/>
      <c r="E445" s="103"/>
      <c r="F445" s="2585"/>
      <c r="G445" s="2585"/>
      <c r="H445" s="2585"/>
      <c r="I445" s="2585"/>
      <c r="J445" s="2585"/>
      <c r="K445" s="2585"/>
      <c r="L445" s="2585"/>
      <c r="M445" s="1540"/>
      <c r="N445" s="1541"/>
      <c r="O445" s="1541"/>
      <c r="P445" s="1541"/>
      <c r="Q445" s="1541"/>
      <c r="R445" s="1541"/>
      <c r="S445" s="1541"/>
      <c r="T445" s="1541"/>
      <c r="U445" s="1541"/>
      <c r="V445" s="1541"/>
    </row>
    <row r="446" spans="1:22">
      <c r="A446" s="103" t="str">
        <f>$A$269</f>
        <v>FROM APRIL 1, 2018 TO MARCH 31, 2019</v>
      </c>
      <c r="B446" s="2585"/>
      <c r="C446" s="2585"/>
      <c r="D446" s="2585"/>
      <c r="E446" s="103"/>
      <c r="F446" s="2585"/>
      <c r="G446" s="2585"/>
      <c r="H446" s="2585"/>
      <c r="I446" s="2585"/>
      <c r="J446" s="2585"/>
      <c r="K446" s="2585"/>
      <c r="L446" s="2585"/>
      <c r="M446" s="1540"/>
      <c r="N446" s="1541"/>
      <c r="O446" s="1541"/>
      <c r="P446" s="1541"/>
      <c r="Q446" s="1541"/>
      <c r="R446" s="1541"/>
      <c r="S446" s="1541"/>
      <c r="T446" s="1541"/>
      <c r="U446" s="1541"/>
      <c r="V446" s="1541"/>
    </row>
    <row r="447" spans="1:22">
      <c r="A447" s="2585"/>
      <c r="B447" s="2585"/>
      <c r="C447" s="2585"/>
      <c r="D447" s="2585"/>
      <c r="E447" s="2585"/>
      <c r="F447" s="2585"/>
      <c r="G447" s="2585"/>
      <c r="H447" s="2585"/>
      <c r="I447" s="2585"/>
      <c r="J447" s="2585"/>
      <c r="K447" s="2585"/>
      <c r="L447" s="2585"/>
      <c r="M447" s="1540"/>
      <c r="N447" s="1541"/>
      <c r="O447" s="1541"/>
      <c r="P447" s="1541"/>
      <c r="Q447" s="1541"/>
      <c r="R447" s="1541"/>
      <c r="S447" s="1541"/>
      <c r="T447" s="1541"/>
      <c r="U447" s="1541"/>
      <c r="V447" s="1541"/>
    </row>
    <row r="448" spans="1:22">
      <c r="A448" s="103" t="s">
        <v>1272</v>
      </c>
      <c r="B448" s="2585"/>
      <c r="C448" s="2585"/>
      <c r="D448" s="2585"/>
      <c r="E448" s="103"/>
      <c r="F448" s="2585"/>
      <c r="G448" s="2585"/>
      <c r="H448" s="2585"/>
      <c r="I448" s="2585"/>
      <c r="J448" s="2585"/>
      <c r="K448" s="2585"/>
      <c r="L448" s="2585"/>
      <c r="M448" s="1540"/>
      <c r="N448" s="1541"/>
      <c r="O448" s="1541"/>
      <c r="P448" s="1541"/>
      <c r="Q448" s="1541"/>
      <c r="R448" s="1541"/>
      <c r="S448" s="1541"/>
      <c r="T448" s="1541"/>
      <c r="U448" s="1541"/>
      <c r="V448" s="1541"/>
    </row>
    <row r="449" spans="1:22">
      <c r="A449" s="2585"/>
      <c r="B449" s="2585"/>
      <c r="C449" s="2585"/>
      <c r="D449" s="2585"/>
      <c r="E449" s="103"/>
      <c r="F449" s="2585"/>
      <c r="G449" s="2585"/>
      <c r="H449" s="2585"/>
      <c r="I449" s="2585"/>
      <c r="J449" s="2585"/>
      <c r="K449" s="2585"/>
      <c r="L449" s="2585"/>
      <c r="M449" s="1540"/>
      <c r="N449" s="1541"/>
      <c r="O449" s="1541"/>
      <c r="P449" s="1541"/>
      <c r="Q449" s="1541"/>
      <c r="R449" s="1541"/>
      <c r="S449" s="1541"/>
      <c r="T449" s="1541"/>
      <c r="U449" s="1541"/>
      <c r="V449" s="1541"/>
    </row>
    <row r="450" spans="1:22">
      <c r="A450" s="2569" t="s">
        <v>1799</v>
      </c>
      <c r="B450" s="2585"/>
      <c r="C450" s="2585"/>
      <c r="D450" s="2585"/>
      <c r="E450" s="2585"/>
      <c r="F450" s="2585"/>
      <c r="G450" s="2585"/>
      <c r="H450" s="2585"/>
      <c r="I450" s="2585"/>
      <c r="J450" s="2585"/>
      <c r="K450" s="2585"/>
      <c r="L450" s="2585"/>
      <c r="M450" s="1541"/>
      <c r="N450" s="1541"/>
      <c r="O450" s="1541"/>
      <c r="P450" s="1541"/>
      <c r="Q450" s="1541"/>
      <c r="R450" s="1541"/>
      <c r="S450" s="1541"/>
      <c r="T450" s="1541"/>
      <c r="U450" s="1541"/>
      <c r="V450" s="1541"/>
    </row>
    <row r="451" spans="1:22">
      <c r="A451" s="2569"/>
      <c r="B451" s="2585"/>
      <c r="C451" s="2585"/>
      <c r="D451" s="2585"/>
      <c r="E451" s="2585"/>
      <c r="F451" s="2585"/>
      <c r="G451" s="2585"/>
      <c r="H451" s="2585"/>
      <c r="I451" s="2585"/>
      <c r="J451" s="2585"/>
      <c r="K451" s="2585"/>
      <c r="L451" s="2585"/>
      <c r="M451" s="1540"/>
      <c r="N451" s="1541"/>
      <c r="O451" s="1541"/>
      <c r="P451" s="1541"/>
      <c r="Q451" s="1541"/>
      <c r="R451" s="1541"/>
      <c r="S451" s="1541"/>
      <c r="T451" s="1541"/>
      <c r="U451" s="1541"/>
      <c r="V451" s="1541"/>
    </row>
    <row r="452" spans="1:22">
      <c r="A452" s="1506" t="str">
        <f>DataF</f>
        <v>DATA:  BASE PERIOD  "X" FORECASTED PERIOD</v>
      </c>
      <c r="B452" s="1541"/>
      <c r="C452" s="1541"/>
      <c r="D452" s="1541"/>
      <c r="E452" s="1541"/>
      <c r="F452" s="1541"/>
      <c r="G452" s="1541"/>
      <c r="H452" s="1541"/>
      <c r="I452" s="1541"/>
      <c r="K452" s="1506" t="str">
        <f>K275</f>
        <v>SCHEDULE B-2.3</v>
      </c>
      <c r="L452" s="1541"/>
      <c r="M452" s="1540"/>
      <c r="N452" s="1541"/>
      <c r="O452" s="1541"/>
      <c r="P452" s="1541"/>
      <c r="Q452" s="1541"/>
      <c r="R452" s="1541"/>
      <c r="S452" s="1541"/>
      <c r="T452" s="1541"/>
      <c r="U452" s="1541"/>
      <c r="V452" s="1541"/>
    </row>
    <row r="453" spans="1:22">
      <c r="A453" s="1506" t="str">
        <f>A276</f>
        <v xml:space="preserve">TYPE OF FILING:  "X" ORIGINAL   UPDATED    REVISED  </v>
      </c>
      <c r="B453" s="1541"/>
      <c r="C453" s="1541"/>
      <c r="D453" s="1541"/>
      <c r="E453" s="1541"/>
      <c r="F453" s="1541"/>
      <c r="G453" s="1541"/>
      <c r="H453" s="1541"/>
      <c r="I453" s="1541"/>
      <c r="K453" s="1506" t="s">
        <v>1904</v>
      </c>
      <c r="L453" s="1541"/>
      <c r="M453" s="1540"/>
      <c r="N453" s="1541"/>
      <c r="O453" s="1541"/>
      <c r="P453" s="1541"/>
      <c r="Q453" s="1541"/>
      <c r="R453" s="1541"/>
      <c r="S453" s="1541"/>
      <c r="T453" s="1541"/>
      <c r="U453" s="1541"/>
      <c r="V453" s="1541"/>
    </row>
    <row r="454" spans="1:22">
      <c r="A454" s="1506" t="str">
        <f>A277</f>
        <v xml:space="preserve">WORK PAPER REFERENCE NO(S).: </v>
      </c>
      <c r="B454" s="1541"/>
      <c r="C454" s="1541"/>
      <c r="D454" s="1541"/>
      <c r="E454" s="1541"/>
      <c r="F454" s="1541"/>
      <c r="G454" s="1541"/>
      <c r="H454" s="1541"/>
      <c r="I454" s="1541"/>
      <c r="K454" s="2586" t="s">
        <v>622</v>
      </c>
      <c r="L454" s="1541"/>
      <c r="M454" s="1540"/>
      <c r="N454" s="1541"/>
      <c r="O454" s="1541"/>
      <c r="P454" s="1541"/>
      <c r="Q454" s="1541"/>
      <c r="R454" s="1541"/>
      <c r="S454" s="1541"/>
      <c r="T454" s="1541"/>
      <c r="U454" s="1541"/>
      <c r="V454" s="1541"/>
    </row>
    <row r="455" spans="1:22">
      <c r="A455" s="1541"/>
      <c r="B455" s="1541"/>
      <c r="C455" s="1541"/>
      <c r="D455" s="1541"/>
      <c r="E455" s="1541"/>
      <c r="F455" s="1541"/>
      <c r="G455" s="1541"/>
      <c r="H455" s="1541"/>
      <c r="I455" s="1541"/>
      <c r="K455" s="2586" t="str">
        <f>K278</f>
        <v>R. H. PRATT / C. S. LEE</v>
      </c>
      <c r="L455" s="1541"/>
      <c r="M455" s="1540"/>
      <c r="N455" s="1541"/>
      <c r="O455" s="1541"/>
      <c r="P455" s="1541"/>
      <c r="Q455" s="1541"/>
      <c r="R455" s="1541"/>
      <c r="S455" s="1541"/>
      <c r="T455" s="1541"/>
      <c r="U455" s="1541"/>
      <c r="V455" s="1541"/>
    </row>
    <row r="456" spans="1:22">
      <c r="A456" s="1541"/>
      <c r="B456" s="1541"/>
      <c r="C456" s="1541"/>
      <c r="D456" s="1541"/>
      <c r="E456" s="1541"/>
      <c r="F456" s="1541"/>
      <c r="G456" s="1541"/>
      <c r="H456" s="1541"/>
      <c r="I456" s="1541"/>
      <c r="J456" s="1541"/>
      <c r="K456" s="1541"/>
      <c r="L456" s="1541"/>
      <c r="M456" s="1540"/>
      <c r="N456" s="1541"/>
      <c r="O456" s="1541"/>
      <c r="P456" s="1541"/>
      <c r="Q456" s="1541"/>
      <c r="R456" s="1541"/>
      <c r="S456" s="1541"/>
      <c r="T456" s="1541"/>
      <c r="U456" s="1541"/>
      <c r="V456" s="1541"/>
    </row>
    <row r="457" spans="1:22">
      <c r="A457" s="1541"/>
      <c r="B457" s="1541"/>
      <c r="C457" s="1541"/>
      <c r="D457" s="1541"/>
      <c r="E457" s="1541"/>
      <c r="F457" s="1541"/>
      <c r="G457" s="1541"/>
      <c r="H457" s="2587"/>
      <c r="I457" s="1541"/>
      <c r="J457" s="1541"/>
      <c r="K457" s="1541"/>
      <c r="L457" s="1541"/>
      <c r="M457" s="1540"/>
      <c r="N457" s="1541"/>
      <c r="O457" s="1541"/>
      <c r="P457" s="1541"/>
      <c r="Q457" s="1541"/>
      <c r="R457" s="1541"/>
      <c r="S457" s="1541"/>
      <c r="T457" s="1541"/>
      <c r="U457" s="1541"/>
      <c r="V457" s="1541"/>
    </row>
    <row r="458" spans="1:22">
      <c r="A458" s="1621"/>
      <c r="B458" s="1621"/>
      <c r="C458" s="2674"/>
      <c r="D458" s="1621"/>
      <c r="E458" s="1621"/>
      <c r="F458" s="1621"/>
      <c r="G458" s="1621"/>
      <c r="H458" s="1631"/>
      <c r="I458" s="1621"/>
      <c r="J458" s="1621"/>
      <c r="K458" s="1621"/>
      <c r="L458" s="1621"/>
      <c r="M458" s="1540"/>
      <c r="N458" s="1541"/>
      <c r="O458" s="1541"/>
      <c r="P458" s="1541"/>
      <c r="Q458" s="1541"/>
      <c r="R458" s="1541"/>
      <c r="S458" s="1541"/>
      <c r="T458" s="1541"/>
      <c r="U458" s="1541"/>
      <c r="V458" s="1541"/>
    </row>
    <row r="459" spans="1:22">
      <c r="A459" s="1541"/>
      <c r="B459" s="1505" t="s">
        <v>943</v>
      </c>
      <c r="C459" s="1505" t="s">
        <v>1750</v>
      </c>
      <c r="D459" s="1541"/>
      <c r="E459" s="1541"/>
      <c r="F459" s="1541"/>
      <c r="G459" s="1541"/>
      <c r="H459" s="102" t="s">
        <v>1090</v>
      </c>
      <c r="I459" s="102"/>
      <c r="J459" s="102"/>
      <c r="K459" s="1541"/>
      <c r="L459" s="1541"/>
      <c r="M459" s="1540"/>
      <c r="N459" s="1541"/>
      <c r="O459" s="1541"/>
      <c r="P459" s="1541"/>
      <c r="Q459" s="1541"/>
      <c r="R459" s="1541"/>
      <c r="S459" s="1541"/>
      <c r="T459" s="1541"/>
      <c r="U459" s="1541"/>
      <c r="V459" s="1541"/>
    </row>
    <row r="460" spans="1:22">
      <c r="A460" s="1505" t="s">
        <v>1240</v>
      </c>
      <c r="B460" s="1505" t="s">
        <v>1164</v>
      </c>
      <c r="C460" s="1505" t="s">
        <v>1164</v>
      </c>
      <c r="D460" s="1505" t="s">
        <v>1118</v>
      </c>
      <c r="E460" s="1505" t="s">
        <v>1091</v>
      </c>
      <c r="F460" s="1541"/>
      <c r="G460" s="1541"/>
      <c r="H460" s="1621"/>
      <c r="I460" s="2679" t="s">
        <v>1092</v>
      </c>
      <c r="J460" s="2679" t="s">
        <v>120</v>
      </c>
      <c r="K460" s="1505" t="s">
        <v>121</v>
      </c>
      <c r="L460" s="1505" t="s">
        <v>1967</v>
      </c>
      <c r="M460" s="1540"/>
      <c r="N460" s="1541"/>
      <c r="O460" s="1541"/>
      <c r="P460" s="1541"/>
      <c r="Q460" s="1541"/>
      <c r="R460" s="1541"/>
      <c r="S460" s="1541"/>
      <c r="T460" s="1541"/>
      <c r="U460" s="1541"/>
      <c r="V460" s="1541"/>
    </row>
    <row r="461" spans="1:22">
      <c r="A461" s="1505" t="s">
        <v>1241</v>
      </c>
      <c r="B461" s="1505" t="s">
        <v>1241</v>
      </c>
      <c r="C461" s="1505" t="s">
        <v>1241</v>
      </c>
      <c r="D461" s="1505" t="s">
        <v>122</v>
      </c>
      <c r="E461" s="1505" t="s">
        <v>123</v>
      </c>
      <c r="F461" s="1505" t="s">
        <v>124</v>
      </c>
      <c r="G461" s="1505" t="s">
        <v>125</v>
      </c>
      <c r="H461" s="1505" t="s">
        <v>646</v>
      </c>
      <c r="I461" s="1505" t="s">
        <v>126</v>
      </c>
      <c r="J461" s="1505" t="s">
        <v>127</v>
      </c>
      <c r="K461" s="1505" t="s">
        <v>123</v>
      </c>
      <c r="L461" s="1505" t="s">
        <v>873</v>
      </c>
      <c r="M461" s="1540"/>
      <c r="N461" s="1541"/>
      <c r="O461" s="1541"/>
      <c r="P461" s="1541"/>
      <c r="Q461" s="1541"/>
      <c r="R461" s="1541"/>
      <c r="S461" s="1541"/>
      <c r="T461" s="1541"/>
      <c r="U461" s="1541"/>
      <c r="V461" s="1541"/>
    </row>
    <row r="462" spans="1:22">
      <c r="A462" s="1541"/>
      <c r="B462" s="1541"/>
      <c r="C462" s="1541"/>
      <c r="D462" s="1541"/>
      <c r="E462" s="1541"/>
      <c r="F462" s="1541"/>
      <c r="G462" s="1541"/>
      <c r="H462" s="1541"/>
      <c r="I462" s="1541"/>
      <c r="J462" s="1541"/>
      <c r="K462" s="1541"/>
      <c r="L462" s="1541"/>
      <c r="M462" s="1540"/>
      <c r="N462" s="1541"/>
      <c r="O462" s="1541"/>
      <c r="P462" s="1541"/>
      <c r="Q462" s="1541"/>
      <c r="R462" s="1541"/>
      <c r="S462" s="1541"/>
      <c r="T462" s="1541"/>
      <c r="U462" s="1541"/>
      <c r="V462" s="1541"/>
    </row>
    <row r="463" spans="1:22">
      <c r="A463" s="1621"/>
      <c r="B463" s="1621"/>
      <c r="C463" s="1621"/>
      <c r="D463" s="1621"/>
      <c r="E463" s="2679" t="s">
        <v>1705</v>
      </c>
      <c r="F463" s="2679" t="s">
        <v>1705</v>
      </c>
      <c r="G463" s="2679" t="s">
        <v>1705</v>
      </c>
      <c r="H463" s="2679" t="s">
        <v>1705</v>
      </c>
      <c r="I463" s="1621"/>
      <c r="J463" s="1621"/>
      <c r="K463" s="2679" t="s">
        <v>1705</v>
      </c>
      <c r="L463" s="2679" t="s">
        <v>1705</v>
      </c>
      <c r="M463" s="1540"/>
      <c r="N463" s="1541"/>
      <c r="O463" s="1541"/>
      <c r="P463" s="1541"/>
      <c r="Q463" s="1541"/>
      <c r="R463" s="1541"/>
      <c r="S463" s="1541"/>
      <c r="T463" s="1541"/>
      <c r="U463" s="1541"/>
      <c r="V463" s="1541"/>
    </row>
    <row r="464" spans="1:22">
      <c r="A464" s="89"/>
      <c r="B464" s="89"/>
      <c r="C464" s="89"/>
      <c r="D464" s="89"/>
      <c r="E464" s="95"/>
      <c r="F464" s="95"/>
      <c r="G464" s="95"/>
      <c r="H464" s="95"/>
      <c r="I464" s="89"/>
      <c r="J464" s="89"/>
      <c r="K464" s="95"/>
      <c r="L464" s="95"/>
      <c r="M464" s="1540"/>
      <c r="N464" s="1541"/>
      <c r="O464" s="1541"/>
      <c r="P464" s="1541"/>
      <c r="Q464" s="1541"/>
      <c r="R464" s="1541"/>
      <c r="S464" s="1541"/>
      <c r="T464" s="1541"/>
      <c r="U464" s="1541"/>
      <c r="V464" s="1541"/>
    </row>
    <row r="465" spans="1:22">
      <c r="A465" s="1505">
        <v>1</v>
      </c>
      <c r="B465" s="1505">
        <v>303</v>
      </c>
      <c r="C465" s="1505">
        <v>3030</v>
      </c>
      <c r="D465" s="1506" t="s">
        <v>1273</v>
      </c>
      <c r="E465" s="2617">
        <v>12504384</v>
      </c>
      <c r="F465" s="2613">
        <v>0</v>
      </c>
      <c r="G465" s="2617">
        <v>0</v>
      </c>
      <c r="H465" s="2617"/>
      <c r="I465" s="1542"/>
      <c r="J465" s="1542"/>
      <c r="K465" s="1542">
        <f t="shared" ref="K465:K474" si="10">E465+F465-G465+H465</f>
        <v>12504384</v>
      </c>
      <c r="L465" s="2618">
        <v>12504384</v>
      </c>
      <c r="M465" s="1540"/>
      <c r="N465" s="1541"/>
      <c r="O465" s="1541"/>
      <c r="P465" s="1541"/>
      <c r="Q465" s="1541"/>
      <c r="R465" s="1541"/>
      <c r="S465" s="1541"/>
      <c r="T465" s="1541"/>
      <c r="U465" s="1541"/>
      <c r="V465" s="1541"/>
    </row>
    <row r="466" spans="1:22">
      <c r="A466" s="1505">
        <v>2</v>
      </c>
      <c r="B466" s="1505">
        <v>390</v>
      </c>
      <c r="C466" s="1505">
        <v>3900</v>
      </c>
      <c r="D466" s="1506" t="s">
        <v>1170</v>
      </c>
      <c r="E466" s="105">
        <v>144984</v>
      </c>
      <c r="F466" s="105">
        <v>0</v>
      </c>
      <c r="G466" s="105">
        <v>0</v>
      </c>
      <c r="H466" s="105"/>
      <c r="I466" s="2619"/>
      <c r="J466" s="2619"/>
      <c r="K466" s="1542">
        <f t="shared" si="10"/>
        <v>144984</v>
      </c>
      <c r="L466" s="2618">
        <v>144984</v>
      </c>
      <c r="M466" s="1540"/>
      <c r="N466" s="1541"/>
      <c r="O466" s="1541"/>
      <c r="P466" s="1541"/>
      <c r="Q466" s="1541"/>
      <c r="R466" s="1541"/>
      <c r="S466" s="1541"/>
      <c r="T466" s="1541"/>
      <c r="U466" s="1541"/>
      <c r="V466" s="1541"/>
    </row>
    <row r="467" spans="1:22">
      <c r="A467" s="1505">
        <v>3</v>
      </c>
      <c r="B467" s="1505">
        <v>391</v>
      </c>
      <c r="C467" s="1505">
        <v>3910</v>
      </c>
      <c r="D467" s="1506" t="s">
        <v>1274</v>
      </c>
      <c r="E467" s="105">
        <v>15317</v>
      </c>
      <c r="F467" s="105">
        <v>0</v>
      </c>
      <c r="G467" s="105">
        <v>0</v>
      </c>
      <c r="H467" s="105"/>
      <c r="I467" s="2619"/>
      <c r="J467" s="2619"/>
      <c r="K467" s="1542">
        <f t="shared" si="10"/>
        <v>15317</v>
      </c>
      <c r="L467" s="2618">
        <v>15317</v>
      </c>
      <c r="M467" s="1540"/>
      <c r="N467" s="1541"/>
      <c r="O467" s="1541"/>
      <c r="P467" s="1541"/>
      <c r="Q467" s="1541"/>
      <c r="R467" s="1541"/>
      <c r="S467" s="1541"/>
      <c r="T467" s="1541"/>
      <c r="U467" s="1541"/>
      <c r="V467" s="1541"/>
    </row>
    <row r="468" spans="1:22">
      <c r="A468" s="1505">
        <v>4</v>
      </c>
      <c r="B468" s="1505">
        <v>391</v>
      </c>
      <c r="C468" s="1505">
        <v>3911</v>
      </c>
      <c r="D468" s="1506" t="s">
        <v>2289</v>
      </c>
      <c r="E468" s="105">
        <v>2474271</v>
      </c>
      <c r="F468" s="105">
        <v>0</v>
      </c>
      <c r="G468" s="105">
        <v>0</v>
      </c>
      <c r="H468" s="105"/>
      <c r="I468" s="1542"/>
      <c r="J468" s="1539"/>
      <c r="K468" s="1542">
        <f t="shared" si="10"/>
        <v>2474271</v>
      </c>
      <c r="L468" s="2618">
        <v>2474271</v>
      </c>
      <c r="M468" s="1540"/>
      <c r="N468" s="1541"/>
      <c r="O468" s="1541"/>
      <c r="P468" s="1541"/>
      <c r="Q468" s="1541"/>
      <c r="R468" s="1541"/>
      <c r="S468" s="1541"/>
      <c r="T468" s="1541"/>
      <c r="U468" s="1541"/>
      <c r="V468" s="1541"/>
    </row>
    <row r="469" spans="1:22">
      <c r="A469" s="1505">
        <v>5</v>
      </c>
      <c r="B469" s="1505">
        <v>392</v>
      </c>
      <c r="C469" s="1505">
        <v>3920</v>
      </c>
      <c r="D469" s="1506" t="s">
        <v>2750</v>
      </c>
      <c r="E469" s="105">
        <v>218720</v>
      </c>
      <c r="F469" s="105">
        <v>0</v>
      </c>
      <c r="G469" s="105">
        <v>0</v>
      </c>
      <c r="H469" s="105"/>
      <c r="I469" s="1542"/>
      <c r="J469" s="1539"/>
      <c r="K469" s="1542">
        <f t="shared" si="10"/>
        <v>218720</v>
      </c>
      <c r="L469" s="2618">
        <v>218720</v>
      </c>
      <c r="M469" s="1540"/>
      <c r="N469" s="1541"/>
      <c r="O469" s="1541"/>
      <c r="P469" s="1541"/>
      <c r="Q469" s="1541"/>
      <c r="R469" s="1541"/>
      <c r="S469" s="1541"/>
      <c r="T469" s="1541"/>
      <c r="U469" s="1541"/>
      <c r="V469" s="1541"/>
    </row>
    <row r="470" spans="1:22">
      <c r="A470" s="1505">
        <v>6</v>
      </c>
      <c r="B470" s="1505">
        <v>392</v>
      </c>
      <c r="C470" s="1505">
        <v>3921</v>
      </c>
      <c r="D470" s="1506" t="s">
        <v>1275</v>
      </c>
      <c r="E470" s="105">
        <v>201060</v>
      </c>
      <c r="F470" s="105">
        <v>0</v>
      </c>
      <c r="G470" s="105">
        <v>0</v>
      </c>
      <c r="H470" s="105"/>
      <c r="I470" s="2619"/>
      <c r="J470" s="2619"/>
      <c r="K470" s="1542">
        <f t="shared" si="10"/>
        <v>201060</v>
      </c>
      <c r="L470" s="2618">
        <v>201060</v>
      </c>
      <c r="M470" s="1540"/>
      <c r="N470" s="1541"/>
      <c r="O470" s="1541"/>
      <c r="P470" s="1541"/>
      <c r="Q470" s="1541"/>
      <c r="R470" s="1541"/>
      <c r="S470" s="1541"/>
      <c r="T470" s="1541"/>
      <c r="U470" s="1541"/>
      <c r="V470" s="1541"/>
    </row>
    <row r="471" spans="1:22">
      <c r="A471" s="1505">
        <v>7</v>
      </c>
      <c r="B471" s="1505">
        <v>394</v>
      </c>
      <c r="C471" s="1505">
        <v>3940</v>
      </c>
      <c r="D471" s="1506" t="s">
        <v>774</v>
      </c>
      <c r="E471" s="105">
        <v>2073279</v>
      </c>
      <c r="F471" s="105">
        <v>0</v>
      </c>
      <c r="G471" s="105">
        <v>4345</v>
      </c>
      <c r="H471" s="105"/>
      <c r="I471" s="1542"/>
      <c r="J471" s="1539"/>
      <c r="K471" s="1542">
        <f t="shared" si="10"/>
        <v>2068934</v>
      </c>
      <c r="L471" s="2618">
        <v>2071113</v>
      </c>
      <c r="M471" s="1540"/>
      <c r="N471" s="1541"/>
      <c r="O471" s="1541"/>
      <c r="P471" s="1541"/>
      <c r="Q471" s="1541"/>
      <c r="R471" s="1541"/>
      <c r="S471" s="1541"/>
      <c r="T471" s="1541"/>
      <c r="U471" s="1541"/>
      <c r="V471" s="1541"/>
    </row>
    <row r="472" spans="1:22">
      <c r="A472" s="1505">
        <v>8</v>
      </c>
      <c r="B472" s="1505">
        <v>396</v>
      </c>
      <c r="C472" s="1505">
        <v>3960</v>
      </c>
      <c r="D472" s="1506" t="s">
        <v>1277</v>
      </c>
      <c r="E472" s="105">
        <v>11770</v>
      </c>
      <c r="F472" s="105">
        <v>0</v>
      </c>
      <c r="G472" s="105">
        <v>0</v>
      </c>
      <c r="H472" s="105"/>
      <c r="I472" s="1539"/>
      <c r="J472" s="1539"/>
      <c r="K472" s="1542">
        <f t="shared" si="10"/>
        <v>11770</v>
      </c>
      <c r="L472" s="2618">
        <v>11770</v>
      </c>
      <c r="M472" s="1540"/>
      <c r="N472" s="1541"/>
      <c r="O472" s="1541"/>
      <c r="P472" s="1541"/>
      <c r="Q472" s="1541"/>
      <c r="R472" s="1541"/>
      <c r="S472" s="1541"/>
      <c r="T472" s="1541"/>
      <c r="U472" s="1541"/>
      <c r="V472" s="1541"/>
    </row>
    <row r="473" spans="1:22">
      <c r="A473" s="1505">
        <v>9</v>
      </c>
      <c r="B473" s="1505">
        <v>397</v>
      </c>
      <c r="C473" s="1505">
        <v>3970</v>
      </c>
      <c r="D473" s="1506" t="s">
        <v>1330</v>
      </c>
      <c r="E473" s="105">
        <v>2900109</v>
      </c>
      <c r="F473" s="105">
        <v>0</v>
      </c>
      <c r="G473" s="105">
        <v>29176</v>
      </c>
      <c r="H473" s="105"/>
      <c r="I473" s="1539"/>
      <c r="J473" s="1539"/>
      <c r="K473" s="1542">
        <f t="shared" si="10"/>
        <v>2870933</v>
      </c>
      <c r="L473" s="2618">
        <v>2885563</v>
      </c>
      <c r="M473" s="1540"/>
      <c r="N473" s="1541"/>
      <c r="O473" s="1541"/>
      <c r="P473" s="1541"/>
      <c r="Q473" s="1541"/>
      <c r="R473" s="1541"/>
      <c r="S473" s="1541"/>
      <c r="T473" s="1541"/>
      <c r="U473" s="1541"/>
      <c r="V473" s="1541"/>
    </row>
    <row r="474" spans="1:22">
      <c r="A474" s="1505">
        <v>10</v>
      </c>
      <c r="B474" s="1506"/>
      <c r="C474" s="1506"/>
      <c r="D474" s="1506" t="s">
        <v>1483</v>
      </c>
      <c r="E474" s="105">
        <v>5109851</v>
      </c>
      <c r="F474" s="2613">
        <v>5194702</v>
      </c>
      <c r="G474" s="1539">
        <v>0</v>
      </c>
      <c r="H474" s="1539"/>
      <c r="I474" s="1539"/>
      <c r="J474" s="1539"/>
      <c r="K474" s="1542">
        <f t="shared" si="10"/>
        <v>10304553</v>
      </c>
      <c r="L474" s="2618">
        <v>8026935</v>
      </c>
      <c r="M474" s="1540"/>
      <c r="N474" s="1541"/>
      <c r="O474" s="1541"/>
      <c r="P474" s="1541"/>
      <c r="Q474" s="1541"/>
      <c r="R474" s="1541"/>
      <c r="S474" s="1541"/>
      <c r="T474" s="1541"/>
      <c r="U474" s="1541"/>
      <c r="V474" s="1541"/>
    </row>
    <row r="475" spans="1:22">
      <c r="A475" s="1541"/>
      <c r="B475" s="1541"/>
      <c r="C475" s="1541"/>
      <c r="D475" s="1541"/>
      <c r="E475" s="1539"/>
      <c r="F475" s="1539"/>
      <c r="G475" s="1539"/>
      <c r="H475" s="1539"/>
      <c r="I475" s="1539"/>
      <c r="J475" s="1539"/>
      <c r="K475" s="1539"/>
      <c r="L475" s="1539"/>
      <c r="M475" s="1540"/>
      <c r="N475" s="1541"/>
      <c r="O475" s="1541"/>
      <c r="P475" s="1541"/>
      <c r="Q475" s="1541"/>
      <c r="R475" s="1541"/>
      <c r="S475" s="1541"/>
      <c r="T475" s="1541"/>
      <c r="U475" s="1541"/>
      <c r="V475" s="1541"/>
    </row>
    <row r="476" spans="1:22">
      <c r="A476" s="1541"/>
      <c r="B476" s="1541"/>
      <c r="C476" s="1541"/>
      <c r="D476" s="1541"/>
      <c r="E476" s="1541"/>
      <c r="F476" s="1541"/>
      <c r="G476" s="1541"/>
      <c r="H476" s="1541"/>
      <c r="I476" s="1541"/>
      <c r="J476" s="1541"/>
      <c r="K476" s="1542"/>
      <c r="L476" s="1542"/>
      <c r="M476" s="1540"/>
      <c r="N476" s="1541"/>
      <c r="O476" s="1541"/>
      <c r="P476" s="1541"/>
      <c r="Q476" s="1541"/>
      <c r="R476" s="1541"/>
      <c r="S476" s="1541"/>
      <c r="T476" s="1541"/>
      <c r="U476" s="1541"/>
      <c r="V476" s="1541"/>
    </row>
    <row r="477" spans="1:22">
      <c r="A477" s="1621"/>
      <c r="B477" s="1621"/>
      <c r="C477" s="1621"/>
      <c r="D477" s="1621"/>
      <c r="E477" s="1622"/>
      <c r="F477" s="1622"/>
      <c r="G477" s="1622"/>
      <c r="H477" s="1622"/>
      <c r="I477" s="2687"/>
      <c r="J477" s="2687"/>
      <c r="K477" s="1622"/>
      <c r="L477" s="1622"/>
      <c r="M477" s="1540"/>
      <c r="N477" s="1541"/>
      <c r="O477" s="1541"/>
      <c r="P477" s="1541"/>
      <c r="Q477" s="1541"/>
      <c r="R477" s="1541"/>
      <c r="S477" s="1541"/>
      <c r="T477" s="1541"/>
      <c r="U477" s="1541"/>
      <c r="V477" s="1541"/>
    </row>
    <row r="478" spans="1:22">
      <c r="A478" s="1505">
        <v>11</v>
      </c>
      <c r="B478" s="1541"/>
      <c r="C478" s="1541"/>
      <c r="D478" s="1506" t="s">
        <v>1279</v>
      </c>
      <c r="E478" s="1539">
        <f>SUM(E465:E474)</f>
        <v>25653745</v>
      </c>
      <c r="F478" s="1539">
        <f>SUM(F465:F474)</f>
        <v>5194702</v>
      </c>
      <c r="G478" s="1539">
        <f>SUM(G465:G474)</f>
        <v>33521</v>
      </c>
      <c r="H478" s="1539">
        <f>SUM(H465:H474)</f>
        <v>0</v>
      </c>
      <c r="I478" s="1540"/>
      <c r="J478" s="1540"/>
      <c r="K478" s="1539">
        <f>SUM(K465:K474)</f>
        <v>30814926</v>
      </c>
      <c r="L478" s="1539">
        <f>SUM(L465:L474)</f>
        <v>28554117</v>
      </c>
      <c r="M478" s="1540"/>
      <c r="N478" s="1541"/>
      <c r="O478" s="1541"/>
      <c r="P478" s="1541"/>
      <c r="Q478" s="1541"/>
      <c r="R478" s="1541"/>
      <c r="S478" s="1541"/>
      <c r="T478" s="1541"/>
      <c r="U478" s="1541"/>
      <c r="V478" s="1541"/>
    </row>
    <row r="479" spans="1:22">
      <c r="A479" s="1541"/>
      <c r="B479" s="1541"/>
      <c r="C479" s="1541"/>
      <c r="D479" s="1541"/>
      <c r="E479" s="1541"/>
      <c r="F479" s="1541"/>
      <c r="G479" s="1541"/>
      <c r="H479" s="1541"/>
      <c r="I479" s="1541"/>
      <c r="J479" s="1541"/>
      <c r="K479" s="1542"/>
      <c r="L479" s="1542"/>
      <c r="M479" s="1540"/>
      <c r="N479" s="1541"/>
      <c r="O479" s="1541"/>
      <c r="P479" s="1541"/>
      <c r="Q479" s="1541"/>
      <c r="R479" s="1541"/>
      <c r="S479" s="1541"/>
      <c r="T479" s="1541"/>
      <c r="U479" s="1541"/>
      <c r="V479" s="1541"/>
    </row>
    <row r="480" spans="1:22">
      <c r="A480" s="1621"/>
      <c r="B480" s="1621"/>
      <c r="C480" s="1621"/>
      <c r="D480" s="1621"/>
      <c r="E480" s="1622"/>
      <c r="F480" s="1622"/>
      <c r="G480" s="1622"/>
      <c r="H480" s="1622"/>
      <c r="I480" s="2687"/>
      <c r="J480" s="2687"/>
      <c r="K480" s="1622"/>
      <c r="L480" s="1622"/>
      <c r="M480" s="1540"/>
      <c r="N480" s="1541"/>
      <c r="O480" s="1541"/>
      <c r="P480" s="1541"/>
      <c r="Q480" s="1541"/>
      <c r="R480" s="1541"/>
      <c r="S480" s="1541"/>
      <c r="T480" s="1541"/>
      <c r="U480" s="1541"/>
      <c r="V480" s="1541"/>
    </row>
    <row r="481" spans="1:22">
      <c r="A481" s="1505">
        <v>12</v>
      </c>
      <c r="B481" s="1541"/>
      <c r="C481" s="1541"/>
      <c r="D481" s="1506" t="s">
        <v>58</v>
      </c>
      <c r="E481" s="1539">
        <f>E306+E347+E386+E439+E478</f>
        <v>1677661622</v>
      </c>
      <c r="F481" s="1539">
        <f>F306+F347+F386+F439+F478</f>
        <v>184464831</v>
      </c>
      <c r="G481" s="1539">
        <f>G306+G347+G386+G439+G478</f>
        <v>13012566</v>
      </c>
      <c r="H481" s="1539">
        <f>H306+H347+H386+H439+H478</f>
        <v>0</v>
      </c>
      <c r="I481" s="1541"/>
      <c r="J481" s="1541"/>
      <c r="K481" s="1539">
        <f>K306+K347+K386+K439+K478</f>
        <v>1849113887</v>
      </c>
      <c r="L481" s="1539">
        <f>L306+L347+L386+L439+L478</f>
        <v>1748392143</v>
      </c>
      <c r="M481" s="1540"/>
      <c r="N481" s="1541"/>
      <c r="O481" s="1541"/>
      <c r="P481" s="1541"/>
      <c r="Q481" s="1541"/>
      <c r="R481" s="1541"/>
      <c r="S481" s="1541"/>
      <c r="T481" s="1541"/>
      <c r="U481" s="1541"/>
      <c r="V481" s="1541"/>
    </row>
    <row r="482" spans="1:22">
      <c r="A482" s="1541"/>
      <c r="B482" s="1541"/>
      <c r="C482" s="1541"/>
      <c r="D482" s="1541"/>
      <c r="E482" s="1541"/>
      <c r="F482" s="1541"/>
      <c r="G482" s="1541"/>
      <c r="H482" s="1541"/>
      <c r="I482" s="1541"/>
      <c r="J482" s="1541"/>
      <c r="K482" s="1541"/>
      <c r="L482" s="1541"/>
      <c r="M482" s="1540"/>
      <c r="N482" s="1541"/>
      <c r="O482" s="1541"/>
      <c r="P482" s="1541"/>
      <c r="Q482" s="1541"/>
      <c r="R482" s="1541"/>
      <c r="S482" s="1541"/>
      <c r="T482" s="1541"/>
      <c r="U482" s="1541"/>
      <c r="V482" s="1541"/>
    </row>
    <row r="483" spans="1:22">
      <c r="A483" s="1621"/>
      <c r="B483" s="1621"/>
      <c r="C483" s="1621"/>
      <c r="D483" s="1621"/>
      <c r="E483" s="1621"/>
      <c r="F483" s="1621"/>
      <c r="G483" s="1621"/>
      <c r="H483" s="1621"/>
      <c r="I483" s="1621"/>
      <c r="J483" s="1621"/>
      <c r="K483" s="1621"/>
      <c r="L483" s="1621"/>
      <c r="M483" s="1540"/>
      <c r="N483" s="1541"/>
      <c r="O483" s="1541"/>
      <c r="P483" s="1541"/>
      <c r="Q483" s="1541"/>
      <c r="R483" s="1541"/>
      <c r="S483" s="1541"/>
      <c r="T483" s="1541"/>
      <c r="U483" s="1541"/>
      <c r="V483" s="1541"/>
    </row>
    <row r="484" spans="1:22">
      <c r="A484" s="1541"/>
      <c r="B484" s="1541"/>
      <c r="C484" s="1541"/>
      <c r="D484" s="1541"/>
      <c r="E484" s="1541"/>
      <c r="F484" s="1541"/>
      <c r="G484" s="1541"/>
      <c r="H484" s="1541"/>
      <c r="I484" s="1541"/>
      <c r="J484" s="1541"/>
      <c r="K484" s="1541"/>
      <c r="L484" s="1541"/>
      <c r="M484" s="1540"/>
      <c r="N484" s="1541"/>
      <c r="O484" s="1541"/>
      <c r="P484" s="1541"/>
      <c r="Q484" s="1541"/>
      <c r="R484" s="1541"/>
      <c r="S484" s="1541"/>
      <c r="T484" s="1541"/>
      <c r="U484" s="1541"/>
      <c r="V484" s="1541"/>
    </row>
    <row r="485" spans="1:22">
      <c r="A485" s="103" t="str">
        <f>A266</f>
        <v>DUKE ENERGY KENTUCKY, INC.</v>
      </c>
      <c r="B485" s="2585"/>
      <c r="C485" s="2585"/>
      <c r="D485" s="2585"/>
      <c r="E485" s="103"/>
      <c r="F485" s="2585"/>
      <c r="G485" s="2585"/>
      <c r="H485" s="2585"/>
      <c r="I485" s="2585"/>
      <c r="J485" s="2585"/>
      <c r="K485" s="2585"/>
      <c r="L485" s="2585"/>
      <c r="M485" s="1541"/>
      <c r="N485" s="1541"/>
      <c r="O485" s="1541"/>
      <c r="P485" s="1541"/>
      <c r="Q485" s="1541"/>
      <c r="R485" s="1541"/>
      <c r="S485" s="1541"/>
      <c r="T485" s="1541"/>
      <c r="U485" s="1541"/>
      <c r="V485" s="1541"/>
    </row>
    <row r="486" spans="1:22">
      <c r="A486" s="103" t="str">
        <f>A267</f>
        <v>CASE NO. 2017-00321</v>
      </c>
      <c r="B486" s="2585"/>
      <c r="C486" s="2585"/>
      <c r="D486" s="2585"/>
      <c r="E486" s="103"/>
      <c r="F486" s="2585"/>
      <c r="G486" s="2585"/>
      <c r="H486" s="2585"/>
      <c r="I486" s="2585"/>
      <c r="J486" s="2585"/>
      <c r="K486" s="2585"/>
      <c r="L486" s="2585"/>
      <c r="M486" s="1541"/>
      <c r="N486" s="1541"/>
      <c r="O486" s="1541"/>
      <c r="P486" s="1541"/>
      <c r="Q486" s="1541"/>
      <c r="R486" s="1541"/>
      <c r="S486" s="1541"/>
      <c r="T486" s="1541"/>
      <c r="U486" s="1541"/>
      <c r="V486" s="1541"/>
    </row>
    <row r="487" spans="1:22">
      <c r="A487" s="103" t="str">
        <f>A268</f>
        <v>GROSS ADDITIONS, RETIREMENTS, AND TRANSFERS</v>
      </c>
      <c r="B487" s="2585"/>
      <c r="C487" s="2585"/>
      <c r="D487" s="2585"/>
      <c r="E487" s="103"/>
      <c r="F487" s="2585"/>
      <c r="G487" s="2585"/>
      <c r="H487" s="2585"/>
      <c r="I487" s="2585"/>
      <c r="J487" s="2585"/>
      <c r="K487" s="2585"/>
      <c r="L487" s="2585"/>
      <c r="M487" s="1540"/>
      <c r="N487" s="1541"/>
      <c r="O487" s="1541"/>
      <c r="P487" s="1541"/>
      <c r="Q487" s="1541"/>
      <c r="R487" s="1541"/>
      <c r="S487" s="1541"/>
      <c r="T487" s="1541"/>
      <c r="U487" s="1541"/>
      <c r="V487" s="1541"/>
    </row>
    <row r="488" spans="1:22">
      <c r="A488" s="103" t="str">
        <f>$A$269</f>
        <v>FROM APRIL 1, 2018 TO MARCH 31, 2019</v>
      </c>
      <c r="B488" s="2585"/>
      <c r="C488" s="2585"/>
      <c r="D488" s="2585"/>
      <c r="E488" s="103"/>
      <c r="F488" s="2585"/>
      <c r="G488" s="2585"/>
      <c r="H488" s="2585"/>
      <c r="I488" s="2585"/>
      <c r="J488" s="2585"/>
      <c r="K488" s="2585"/>
      <c r="L488" s="2585"/>
      <c r="M488" s="1540"/>
      <c r="N488" s="1541"/>
      <c r="O488" s="1541"/>
      <c r="P488" s="1541"/>
      <c r="Q488" s="1541"/>
      <c r="R488" s="1541"/>
      <c r="S488" s="1541"/>
      <c r="T488" s="1541"/>
      <c r="U488" s="1541"/>
      <c r="V488" s="1541"/>
    </row>
    <row r="489" spans="1:22">
      <c r="A489" s="2585"/>
      <c r="B489" s="2585"/>
      <c r="C489" s="2585"/>
      <c r="D489" s="2585"/>
      <c r="E489" s="2585"/>
      <c r="F489" s="2585"/>
      <c r="G489" s="2585"/>
      <c r="H489" s="2585"/>
      <c r="I489" s="2585"/>
      <c r="J489" s="2585"/>
      <c r="K489" s="2585"/>
      <c r="L489" s="2585"/>
      <c r="M489" s="1540"/>
      <c r="N489" s="1541"/>
      <c r="O489" s="1541"/>
      <c r="P489" s="1541"/>
      <c r="Q489" s="1541"/>
      <c r="R489" s="1541"/>
      <c r="S489" s="1541"/>
      <c r="T489" s="1541"/>
      <c r="U489" s="1541"/>
      <c r="V489" s="1541"/>
    </row>
    <row r="490" spans="1:22">
      <c r="A490" s="103" t="s">
        <v>1280</v>
      </c>
      <c r="B490" s="2585"/>
      <c r="C490" s="2585"/>
      <c r="D490" s="2585"/>
      <c r="E490" s="103"/>
      <c r="F490" s="2585"/>
      <c r="G490" s="2585"/>
      <c r="H490" s="2585"/>
      <c r="I490" s="2585"/>
      <c r="J490" s="2585"/>
      <c r="K490" s="2585"/>
      <c r="L490" s="2585"/>
      <c r="M490" s="1540"/>
      <c r="N490" s="1541"/>
      <c r="O490" s="1541"/>
      <c r="P490" s="1541"/>
      <c r="Q490" s="1541"/>
      <c r="R490" s="1541"/>
      <c r="S490" s="1541"/>
      <c r="T490" s="1541"/>
      <c r="U490" s="1541"/>
      <c r="V490" s="1541"/>
    </row>
    <row r="491" spans="1:22">
      <c r="A491" s="2585"/>
      <c r="B491" s="2585"/>
      <c r="C491" s="2585"/>
      <c r="D491" s="2585"/>
      <c r="E491" s="103"/>
      <c r="F491" s="2585"/>
      <c r="G491" s="2585"/>
      <c r="H491" s="2585"/>
      <c r="I491" s="2585"/>
      <c r="J491" s="2585"/>
      <c r="K491" s="2585"/>
      <c r="L491" s="2585"/>
      <c r="M491" s="1540"/>
      <c r="N491" s="1541"/>
      <c r="O491" s="1541"/>
      <c r="P491" s="1541"/>
      <c r="Q491" s="1541"/>
      <c r="R491" s="1541"/>
      <c r="S491" s="1541"/>
      <c r="T491" s="1541"/>
      <c r="U491" s="1541"/>
      <c r="V491" s="1541"/>
    </row>
    <row r="492" spans="1:22">
      <c r="A492" s="2569" t="s">
        <v>1799</v>
      </c>
      <c r="B492" s="2585"/>
      <c r="C492" s="2585"/>
      <c r="D492" s="2585"/>
      <c r="E492" s="2585"/>
      <c r="F492" s="2585"/>
      <c r="G492" s="2585"/>
      <c r="H492" s="2585"/>
      <c r="I492" s="2585"/>
      <c r="J492" s="2585"/>
      <c r="K492" s="2585"/>
      <c r="L492" s="2585"/>
      <c r="M492" s="1540"/>
      <c r="N492" s="1541"/>
      <c r="O492" s="1541"/>
      <c r="P492" s="1541"/>
      <c r="Q492" s="1541"/>
      <c r="R492" s="1541"/>
      <c r="S492" s="1541"/>
      <c r="T492" s="1541"/>
      <c r="U492" s="1541"/>
      <c r="V492" s="1541"/>
    </row>
    <row r="493" spans="1:22">
      <c r="A493" s="2569"/>
      <c r="B493" s="2585"/>
      <c r="C493" s="2585"/>
      <c r="D493" s="2585"/>
      <c r="E493" s="2585"/>
      <c r="F493" s="2585"/>
      <c r="G493" s="2585"/>
      <c r="H493" s="2585"/>
      <c r="I493" s="2585"/>
      <c r="J493" s="2585"/>
      <c r="K493" s="2585"/>
      <c r="L493" s="2585"/>
      <c r="M493" s="1540"/>
      <c r="N493" s="1541"/>
      <c r="O493" s="1541"/>
      <c r="P493" s="1541"/>
      <c r="Q493" s="1541"/>
      <c r="R493" s="1541"/>
      <c r="S493" s="1541"/>
      <c r="T493" s="1541"/>
      <c r="U493" s="1541"/>
      <c r="V493" s="1541"/>
    </row>
    <row r="494" spans="1:22">
      <c r="A494" s="1506" t="str">
        <f>DataF</f>
        <v>DATA:  BASE PERIOD  "X" FORECASTED PERIOD</v>
      </c>
      <c r="B494" s="1541"/>
      <c r="C494" s="1541"/>
      <c r="D494" s="1541"/>
      <c r="E494" s="1541"/>
      <c r="F494" s="1541"/>
      <c r="G494" s="1541"/>
      <c r="H494" s="1541"/>
      <c r="I494" s="1541"/>
      <c r="K494" s="1506" t="str">
        <f>K275</f>
        <v>SCHEDULE B-2.3</v>
      </c>
      <c r="L494" s="1541"/>
      <c r="M494" s="1540"/>
      <c r="N494" s="1541"/>
      <c r="O494" s="1541"/>
      <c r="P494" s="1541"/>
      <c r="Q494" s="1541"/>
      <c r="R494" s="1541"/>
      <c r="S494" s="1541"/>
      <c r="T494" s="1541"/>
      <c r="U494" s="1541"/>
      <c r="V494" s="1541"/>
    </row>
    <row r="495" spans="1:22">
      <c r="A495" s="1506" t="str">
        <f>A276</f>
        <v xml:space="preserve">TYPE OF FILING:  "X" ORIGINAL   UPDATED    REVISED  </v>
      </c>
      <c r="B495" s="1541"/>
      <c r="C495" s="1541"/>
      <c r="D495" s="1541"/>
      <c r="E495" s="1541"/>
      <c r="F495" s="1541"/>
      <c r="G495" s="1541"/>
      <c r="H495" s="1541"/>
      <c r="I495" s="1541"/>
      <c r="K495" s="1506" t="s">
        <v>1905</v>
      </c>
      <c r="L495" s="1541"/>
      <c r="M495" s="1540"/>
      <c r="N495" s="1541"/>
      <c r="O495" s="1541"/>
      <c r="P495" s="1541"/>
      <c r="Q495" s="1541"/>
      <c r="R495" s="1541"/>
      <c r="S495" s="1541"/>
      <c r="T495" s="1541"/>
      <c r="U495" s="1541"/>
      <c r="V495" s="1541"/>
    </row>
    <row r="496" spans="1:22">
      <c r="A496" s="1506" t="str">
        <f>A277</f>
        <v xml:space="preserve">WORK PAPER REFERENCE NO(S).: </v>
      </c>
      <c r="B496" s="1541"/>
      <c r="C496" s="1541"/>
      <c r="D496" s="1541"/>
      <c r="E496" s="1541"/>
      <c r="F496" s="1541"/>
      <c r="G496" s="1541"/>
      <c r="H496" s="1541"/>
      <c r="I496" s="1541"/>
      <c r="K496" s="2586" t="s">
        <v>622</v>
      </c>
      <c r="L496" s="1541"/>
      <c r="M496" s="1541"/>
      <c r="N496" s="1541"/>
      <c r="O496" s="1541"/>
      <c r="P496" s="1541"/>
      <c r="Q496" s="1541"/>
      <c r="R496" s="1541"/>
      <c r="S496" s="1541"/>
      <c r="T496" s="1541"/>
      <c r="U496" s="1541"/>
      <c r="V496" s="1541"/>
    </row>
    <row r="497" spans="1:22">
      <c r="A497" s="1541"/>
      <c r="B497" s="1541"/>
      <c r="C497" s="1541"/>
      <c r="D497" s="1541"/>
      <c r="E497" s="1541"/>
      <c r="F497" s="1541"/>
      <c r="G497" s="1541"/>
      <c r="H497" s="1541"/>
      <c r="I497" s="1541"/>
      <c r="K497" s="2586" t="str">
        <f>K278</f>
        <v>R. H. PRATT / C. S. LEE</v>
      </c>
      <c r="L497" s="1541"/>
      <c r="M497" s="1540"/>
      <c r="N497" s="1541"/>
      <c r="O497" s="1541"/>
      <c r="P497" s="1541"/>
      <c r="Q497" s="1541"/>
      <c r="R497" s="1541"/>
      <c r="S497" s="1541"/>
      <c r="T497" s="1541"/>
      <c r="U497" s="1541"/>
      <c r="V497" s="1541"/>
    </row>
    <row r="498" spans="1:22">
      <c r="A498" s="1541"/>
      <c r="B498" s="1541"/>
      <c r="C498" s="1541"/>
      <c r="D498" s="1541"/>
      <c r="E498" s="1541"/>
      <c r="F498" s="1541"/>
      <c r="G498" s="1541"/>
      <c r="H498" s="1541"/>
      <c r="I498" s="1541"/>
      <c r="J498" s="1541"/>
      <c r="K498" s="1541"/>
      <c r="L498" s="1541"/>
      <c r="M498" s="1540"/>
      <c r="N498" s="1541"/>
      <c r="O498" s="1541"/>
      <c r="P498" s="1541"/>
      <c r="Q498" s="1541"/>
      <c r="R498" s="1541"/>
      <c r="S498" s="1541"/>
      <c r="T498" s="1541"/>
      <c r="U498" s="1541"/>
      <c r="V498" s="1541"/>
    </row>
    <row r="499" spans="1:22">
      <c r="A499" s="1541"/>
      <c r="B499" s="1541"/>
      <c r="C499" s="1541"/>
      <c r="D499" s="1541"/>
      <c r="E499" s="1541"/>
      <c r="F499" s="1541"/>
      <c r="G499" s="1541"/>
      <c r="H499" s="2587"/>
      <c r="I499" s="1541"/>
      <c r="J499" s="1541"/>
      <c r="K499" s="1541"/>
      <c r="L499" s="1541"/>
      <c r="M499" s="1540"/>
      <c r="N499" s="1541"/>
      <c r="O499" s="1541"/>
      <c r="P499" s="1541"/>
      <c r="Q499" s="1541"/>
      <c r="R499" s="1541"/>
      <c r="S499" s="1541"/>
      <c r="T499" s="1541"/>
      <c r="U499" s="1541"/>
      <c r="V499" s="1541"/>
    </row>
    <row r="500" spans="1:22">
      <c r="A500" s="1621"/>
      <c r="B500" s="1621"/>
      <c r="C500" s="2674"/>
      <c r="D500" s="1621"/>
      <c r="E500" s="1621"/>
      <c r="F500" s="1621"/>
      <c r="G500" s="1621"/>
      <c r="H500" s="1631"/>
      <c r="I500" s="1621"/>
      <c r="J500" s="1621"/>
      <c r="K500" s="1621"/>
      <c r="L500" s="1621"/>
      <c r="M500" s="1540"/>
      <c r="N500" s="1541"/>
      <c r="O500" s="1541"/>
      <c r="P500" s="1541"/>
      <c r="Q500" s="1541"/>
      <c r="R500" s="1541"/>
      <c r="S500" s="1541"/>
      <c r="T500" s="1541"/>
      <c r="U500" s="1541"/>
      <c r="V500" s="1541"/>
    </row>
    <row r="501" spans="1:22">
      <c r="A501" s="1541"/>
      <c r="B501" s="1505" t="s">
        <v>943</v>
      </c>
      <c r="C501" s="1505" t="s">
        <v>1750</v>
      </c>
      <c r="D501" s="1541"/>
      <c r="E501" s="1541"/>
      <c r="F501" s="1541"/>
      <c r="G501" s="1541"/>
      <c r="H501" s="102" t="s">
        <v>1090</v>
      </c>
      <c r="I501" s="102"/>
      <c r="J501" s="102"/>
      <c r="K501" s="1541"/>
      <c r="L501" s="1541"/>
      <c r="M501" s="1540"/>
      <c r="N501" s="1541"/>
      <c r="O501" s="1541"/>
      <c r="P501" s="1541"/>
      <c r="Q501" s="1541"/>
      <c r="R501" s="1541"/>
      <c r="S501" s="1541"/>
      <c r="T501" s="1541"/>
      <c r="U501" s="1541"/>
      <c r="V501" s="1541"/>
    </row>
    <row r="502" spans="1:22">
      <c r="A502" s="1505" t="s">
        <v>1240</v>
      </c>
      <c r="B502" s="1505" t="s">
        <v>1164</v>
      </c>
      <c r="C502" s="1505" t="s">
        <v>1164</v>
      </c>
      <c r="D502" s="1505" t="s">
        <v>1118</v>
      </c>
      <c r="E502" s="1505" t="s">
        <v>1091</v>
      </c>
      <c r="F502" s="1541"/>
      <c r="G502" s="1541"/>
      <c r="H502" s="1621"/>
      <c r="I502" s="2679" t="s">
        <v>1092</v>
      </c>
      <c r="J502" s="2679" t="s">
        <v>120</v>
      </c>
      <c r="K502" s="1505" t="s">
        <v>121</v>
      </c>
      <c r="L502" s="1505" t="s">
        <v>1380</v>
      </c>
      <c r="M502" s="1540"/>
      <c r="N502" s="1541"/>
      <c r="O502" s="1541"/>
      <c r="P502" s="1541"/>
      <c r="Q502" s="1541"/>
      <c r="R502" s="1541"/>
      <c r="S502" s="1541"/>
      <c r="T502" s="1541"/>
      <c r="U502" s="1541"/>
      <c r="V502" s="1541"/>
    </row>
    <row r="503" spans="1:22">
      <c r="A503" s="1505" t="s">
        <v>1241</v>
      </c>
      <c r="B503" s="1505" t="s">
        <v>1241</v>
      </c>
      <c r="C503" s="1505" t="s">
        <v>1241</v>
      </c>
      <c r="D503" s="1505" t="s">
        <v>122</v>
      </c>
      <c r="E503" s="1505" t="s">
        <v>123</v>
      </c>
      <c r="F503" s="1505" t="s">
        <v>124</v>
      </c>
      <c r="G503" s="1505" t="s">
        <v>125</v>
      </c>
      <c r="H503" s="1505" t="s">
        <v>646</v>
      </c>
      <c r="I503" s="1505" t="s">
        <v>126</v>
      </c>
      <c r="J503" s="1505" t="s">
        <v>127</v>
      </c>
      <c r="K503" s="1505" t="s">
        <v>123</v>
      </c>
      <c r="L503" s="1505" t="s">
        <v>873</v>
      </c>
      <c r="M503" s="1540"/>
      <c r="N503" s="1541"/>
      <c r="O503" s="1541"/>
      <c r="P503" s="1541"/>
      <c r="Q503" s="1541"/>
      <c r="R503" s="1541"/>
      <c r="S503" s="1541"/>
      <c r="T503" s="1541"/>
      <c r="U503" s="1541"/>
      <c r="V503" s="1541"/>
    </row>
    <row r="504" spans="1:22">
      <c r="A504" s="1541"/>
      <c r="B504" s="1541"/>
      <c r="C504" s="1541"/>
      <c r="D504" s="1541"/>
      <c r="E504" s="1541"/>
      <c r="F504" s="1541"/>
      <c r="G504" s="1541"/>
      <c r="H504" s="1541"/>
      <c r="I504" s="1541"/>
      <c r="J504" s="1541"/>
      <c r="K504" s="1541"/>
      <c r="L504" s="1541"/>
      <c r="M504" s="1540"/>
      <c r="N504" s="1541"/>
      <c r="O504" s="1541"/>
      <c r="P504" s="1541"/>
      <c r="Q504" s="1541"/>
      <c r="R504" s="1541"/>
      <c r="S504" s="1541"/>
      <c r="T504" s="1541"/>
      <c r="U504" s="1541"/>
      <c r="V504" s="1541"/>
    </row>
    <row r="505" spans="1:22">
      <c r="A505" s="1621"/>
      <c r="B505" s="1621"/>
      <c r="C505" s="1621"/>
      <c r="D505" s="1621"/>
      <c r="E505" s="2679" t="s">
        <v>1705</v>
      </c>
      <c r="F505" s="2679" t="s">
        <v>1705</v>
      </c>
      <c r="G505" s="2679" t="s">
        <v>1705</v>
      </c>
      <c r="H505" s="2679" t="s">
        <v>1705</v>
      </c>
      <c r="I505" s="1621"/>
      <c r="J505" s="1621"/>
      <c r="K505" s="2679" t="s">
        <v>1705</v>
      </c>
      <c r="L505" s="2679" t="s">
        <v>1705</v>
      </c>
      <c r="M505" s="1540"/>
      <c r="N505" s="1541"/>
      <c r="O505" s="1541"/>
      <c r="P505" s="1541"/>
      <c r="Q505" s="1541"/>
      <c r="R505" s="1541"/>
      <c r="S505" s="1541"/>
      <c r="T505" s="1541"/>
      <c r="U505" s="1541"/>
      <c r="V505" s="1541"/>
    </row>
    <row r="506" spans="1:22">
      <c r="A506" s="1541"/>
      <c r="B506" s="1541"/>
      <c r="C506" s="1541"/>
      <c r="D506" s="1541"/>
      <c r="E506" s="1541"/>
      <c r="F506" s="1541"/>
      <c r="G506" s="1541"/>
      <c r="H506" s="1541"/>
      <c r="I506" s="1541"/>
      <c r="J506" s="1541"/>
      <c r="K506" s="1541"/>
      <c r="L506" s="1541"/>
      <c r="M506" s="1540"/>
      <c r="N506" s="1541"/>
      <c r="O506" s="1541"/>
      <c r="P506" s="1541"/>
      <c r="Q506" s="1541"/>
      <c r="R506" s="1541"/>
      <c r="S506" s="1541"/>
      <c r="T506" s="1541"/>
      <c r="U506" s="1541"/>
      <c r="V506" s="1541"/>
    </row>
    <row r="507" spans="1:22">
      <c r="A507" s="1505" t="s">
        <v>1166</v>
      </c>
      <c r="B507" s="1541"/>
      <c r="C507" s="1505">
        <v>1030</v>
      </c>
      <c r="D507" s="1506" t="s">
        <v>1273</v>
      </c>
      <c r="E507" s="105">
        <v>22332073</v>
      </c>
      <c r="F507" s="105">
        <v>0</v>
      </c>
      <c r="G507" s="105">
        <v>0</v>
      </c>
      <c r="H507" s="105"/>
      <c r="I507" s="1506"/>
      <c r="J507" s="1506"/>
      <c r="K507" s="1542">
        <f t="shared" ref="K507:K516" si="11">E507+F507-G507+H507</f>
        <v>22332073</v>
      </c>
      <c r="L507" s="2596">
        <v>22332073</v>
      </c>
      <c r="M507" s="1540"/>
      <c r="N507" s="1541"/>
      <c r="O507" s="1541"/>
      <c r="P507" s="1541"/>
      <c r="Q507" s="1541"/>
      <c r="R507" s="1541"/>
      <c r="S507" s="1541"/>
      <c r="T507" s="1541"/>
      <c r="U507" s="1541"/>
      <c r="V507" s="1541"/>
    </row>
    <row r="508" spans="1:22">
      <c r="A508" s="1505">
        <v>2</v>
      </c>
      <c r="B508" s="1541"/>
      <c r="C508" s="1505">
        <v>1701</v>
      </c>
      <c r="D508" s="1506" t="s">
        <v>2290</v>
      </c>
      <c r="E508" s="105">
        <v>0</v>
      </c>
      <c r="F508" s="105">
        <v>0</v>
      </c>
      <c r="G508" s="105">
        <v>0</v>
      </c>
      <c r="H508" s="105"/>
      <c r="I508" s="2616"/>
      <c r="J508" s="2616"/>
      <c r="K508" s="1542">
        <f t="shared" si="11"/>
        <v>0</v>
      </c>
      <c r="L508" s="2596">
        <v>0</v>
      </c>
      <c r="M508" s="1540"/>
      <c r="N508" s="1541"/>
      <c r="O508" s="1541"/>
      <c r="P508" s="1541"/>
      <c r="Q508" s="1541"/>
      <c r="R508" s="1541"/>
      <c r="S508" s="1541"/>
      <c r="T508" s="1541"/>
      <c r="U508" s="1541"/>
      <c r="V508" s="1541"/>
    </row>
    <row r="509" spans="1:22">
      <c r="A509" s="1505">
        <v>3</v>
      </c>
      <c r="B509" s="1541"/>
      <c r="C509" s="1505">
        <v>1890</v>
      </c>
      <c r="D509" s="1506" t="s">
        <v>849</v>
      </c>
      <c r="E509" s="105">
        <v>154248</v>
      </c>
      <c r="F509" s="105">
        <v>0</v>
      </c>
      <c r="G509" s="105">
        <v>0</v>
      </c>
      <c r="H509" s="105"/>
      <c r="I509" s="2616"/>
      <c r="J509" s="2616"/>
      <c r="K509" s="1542">
        <f t="shared" si="11"/>
        <v>154248</v>
      </c>
      <c r="L509" s="2596">
        <v>154248</v>
      </c>
      <c r="M509" s="1540"/>
      <c r="N509" s="1541"/>
      <c r="O509" s="1541"/>
      <c r="P509" s="1541"/>
      <c r="Q509" s="1541"/>
      <c r="R509" s="1541"/>
      <c r="S509" s="1541"/>
      <c r="T509" s="1541"/>
      <c r="U509" s="1541"/>
      <c r="V509" s="1541"/>
    </row>
    <row r="510" spans="1:22">
      <c r="A510" s="1505">
        <v>4</v>
      </c>
      <c r="B510" s="1541"/>
      <c r="C510" s="1505">
        <v>1900</v>
      </c>
      <c r="D510" s="1506" t="s">
        <v>1170</v>
      </c>
      <c r="E510" s="105">
        <v>11262930</v>
      </c>
      <c r="F510" s="105">
        <v>0</v>
      </c>
      <c r="G510" s="105">
        <v>178285</v>
      </c>
      <c r="H510" s="105"/>
      <c r="I510" s="2616"/>
      <c r="J510" s="1506"/>
      <c r="K510" s="1542">
        <f t="shared" si="11"/>
        <v>11084645</v>
      </c>
      <c r="L510" s="2596">
        <v>11174046</v>
      </c>
      <c r="M510" s="1540"/>
      <c r="N510" s="1541"/>
      <c r="O510" s="1541"/>
      <c r="P510" s="1541"/>
      <c r="Q510" s="1541"/>
      <c r="R510" s="1541"/>
      <c r="S510" s="1541"/>
      <c r="T510" s="1541"/>
      <c r="U510" s="1541"/>
      <c r="V510" s="1541"/>
    </row>
    <row r="511" spans="1:22">
      <c r="A511" s="1505">
        <v>5</v>
      </c>
      <c r="B511" s="1541"/>
      <c r="C511" s="1505">
        <v>1910</v>
      </c>
      <c r="D511" s="1506" t="s">
        <v>1274</v>
      </c>
      <c r="E511" s="105">
        <v>719196</v>
      </c>
      <c r="F511" s="105">
        <v>0</v>
      </c>
      <c r="G511" s="105">
        <v>0</v>
      </c>
      <c r="H511" s="105"/>
      <c r="I511" s="2616"/>
      <c r="J511" s="2616"/>
      <c r="K511" s="1542">
        <f t="shared" si="11"/>
        <v>719196</v>
      </c>
      <c r="L511" s="2596">
        <v>719196</v>
      </c>
      <c r="M511" s="1540"/>
      <c r="N511" s="1541"/>
      <c r="O511" s="1541"/>
      <c r="P511" s="1541"/>
      <c r="Q511" s="1541"/>
      <c r="R511" s="1541"/>
      <c r="S511" s="1541"/>
      <c r="T511" s="1541"/>
      <c r="U511" s="1541"/>
      <c r="V511" s="1541"/>
    </row>
    <row r="512" spans="1:22">
      <c r="A512" s="1505">
        <v>6</v>
      </c>
      <c r="B512" s="1541"/>
      <c r="C512" s="1505">
        <v>1911</v>
      </c>
      <c r="D512" s="1506" t="s">
        <v>776</v>
      </c>
      <c r="E512" s="105">
        <v>798168</v>
      </c>
      <c r="F512" s="105">
        <v>0</v>
      </c>
      <c r="G512" s="105">
        <v>11050</v>
      </c>
      <c r="H512" s="105"/>
      <c r="I512" s="2616"/>
      <c r="J512" s="1506"/>
      <c r="K512" s="1542">
        <f t="shared" si="11"/>
        <v>787118</v>
      </c>
      <c r="L512" s="2596">
        <v>792659</v>
      </c>
      <c r="M512" s="1540"/>
      <c r="N512" s="1541"/>
      <c r="O512" s="1541"/>
      <c r="P512" s="1541"/>
      <c r="Q512" s="1541"/>
      <c r="R512" s="1541"/>
      <c r="S512" s="1541"/>
      <c r="T512" s="1541"/>
      <c r="U512" s="1541"/>
      <c r="V512" s="1541"/>
    </row>
    <row r="513" spans="1:22">
      <c r="A513" s="1505">
        <v>7</v>
      </c>
      <c r="B513" s="1541"/>
      <c r="C513" s="1505">
        <v>1940</v>
      </c>
      <c r="D513" s="1506" t="s">
        <v>1276</v>
      </c>
      <c r="E513" s="105">
        <v>120918</v>
      </c>
      <c r="F513" s="105">
        <v>0</v>
      </c>
      <c r="G513" s="105">
        <v>7822</v>
      </c>
      <c r="H513" s="105"/>
      <c r="I513" s="2616"/>
      <c r="J513" s="2616"/>
      <c r="K513" s="1542">
        <f t="shared" si="11"/>
        <v>113096</v>
      </c>
      <c r="L513" s="2596">
        <v>117019</v>
      </c>
      <c r="M513" s="1540"/>
      <c r="N513" s="1541"/>
      <c r="O513" s="1541"/>
      <c r="P513" s="1541"/>
      <c r="Q513" s="1541"/>
      <c r="R513" s="1541"/>
      <c r="S513" s="1541"/>
      <c r="T513" s="1541"/>
      <c r="U513" s="1541"/>
      <c r="V513" s="1541"/>
    </row>
    <row r="514" spans="1:22">
      <c r="A514" s="1505">
        <v>8</v>
      </c>
      <c r="B514" s="1541"/>
      <c r="C514" s="1505">
        <v>1970</v>
      </c>
      <c r="D514" s="1506" t="s">
        <v>1330</v>
      </c>
      <c r="E514" s="105">
        <v>7715332</v>
      </c>
      <c r="F514" s="105">
        <v>0</v>
      </c>
      <c r="G514" s="105">
        <v>13533</v>
      </c>
      <c r="H514" s="105"/>
      <c r="I514" s="2616"/>
      <c r="J514" s="2616"/>
      <c r="K514" s="1542">
        <f t="shared" si="11"/>
        <v>7701799</v>
      </c>
      <c r="L514" s="2596">
        <v>7708586</v>
      </c>
      <c r="M514" s="1540"/>
      <c r="N514" s="1541"/>
      <c r="O514" s="1541"/>
      <c r="P514" s="1541"/>
      <c r="Q514" s="1541"/>
      <c r="R514" s="1541"/>
      <c r="S514" s="1541"/>
      <c r="T514" s="1541"/>
      <c r="U514" s="1541"/>
      <c r="V514" s="1541"/>
    </row>
    <row r="515" spans="1:22">
      <c r="A515" s="1505">
        <v>9</v>
      </c>
      <c r="B515" s="1541"/>
      <c r="C515" s="1505">
        <v>1980</v>
      </c>
      <c r="D515" s="1506" t="s">
        <v>1278</v>
      </c>
      <c r="E515" s="105">
        <v>41504</v>
      </c>
      <c r="F515" s="105">
        <v>0</v>
      </c>
      <c r="G515" s="105">
        <v>0</v>
      </c>
      <c r="H515" s="105"/>
      <c r="I515" s="1540"/>
      <c r="J515" s="1540"/>
      <c r="K515" s="1542">
        <f t="shared" si="11"/>
        <v>41504</v>
      </c>
      <c r="L515" s="2596">
        <v>41504</v>
      </c>
      <c r="M515" s="1540"/>
      <c r="N515" s="1541"/>
      <c r="O515" s="1541"/>
      <c r="P515" s="1541"/>
      <c r="Q515" s="1541"/>
      <c r="R515" s="1541"/>
      <c r="S515" s="1541"/>
      <c r="T515" s="1541"/>
      <c r="U515" s="1541"/>
      <c r="V515" s="1541"/>
    </row>
    <row r="516" spans="1:22">
      <c r="A516" s="1505">
        <v>10</v>
      </c>
      <c r="B516" s="1541"/>
      <c r="C516" s="1506"/>
      <c r="D516" s="1506" t="s">
        <v>1483</v>
      </c>
      <c r="E516" s="105">
        <v>0</v>
      </c>
      <c r="F516" s="105">
        <v>0</v>
      </c>
      <c r="G516" s="105">
        <v>0</v>
      </c>
      <c r="H516" s="105"/>
      <c r="I516" s="1541"/>
      <c r="J516" s="1541"/>
      <c r="K516" s="1542">
        <f t="shared" si="11"/>
        <v>0</v>
      </c>
      <c r="L516" s="2596">
        <v>0</v>
      </c>
      <c r="M516" s="1540"/>
      <c r="N516" s="1541"/>
      <c r="O516" s="1541"/>
      <c r="P516" s="1541"/>
      <c r="Q516" s="1541"/>
      <c r="R516" s="1541"/>
      <c r="S516" s="1541"/>
      <c r="T516" s="1541"/>
      <c r="U516" s="1541"/>
      <c r="V516" s="1541"/>
    </row>
    <row r="517" spans="1:22">
      <c r="A517" s="1505"/>
      <c r="B517" s="1541"/>
      <c r="C517" s="1506"/>
      <c r="D517" s="1506"/>
      <c r="E517" s="105"/>
      <c r="F517" s="2598"/>
      <c r="G517" s="105"/>
      <c r="H517" s="105"/>
      <c r="I517" s="1541"/>
      <c r="J517" s="1541"/>
      <c r="K517" s="1542"/>
      <c r="L517" s="96"/>
      <c r="M517" s="1540"/>
      <c r="N517" s="1541"/>
      <c r="O517" s="1541"/>
      <c r="P517" s="1541"/>
      <c r="Q517" s="1541"/>
      <c r="R517" s="1541"/>
      <c r="S517" s="1541"/>
      <c r="T517" s="1541"/>
      <c r="U517" s="1541"/>
      <c r="V517" s="1541"/>
    </row>
    <row r="518" spans="1:22">
      <c r="A518" s="1541"/>
      <c r="B518" s="1541"/>
      <c r="C518" s="1541"/>
      <c r="D518" s="1541"/>
      <c r="E518" s="1541"/>
      <c r="F518" s="1541"/>
      <c r="G518" s="1541"/>
      <c r="H518" s="1541"/>
      <c r="I518" s="1541"/>
      <c r="J518" s="1541"/>
      <c r="K518" s="1542"/>
      <c r="L518" s="1542"/>
      <c r="M518" s="1540"/>
      <c r="N518" s="1541"/>
      <c r="O518" s="1541"/>
      <c r="P518" s="1541"/>
      <c r="Q518" s="1541"/>
      <c r="R518" s="1541"/>
      <c r="S518" s="1541"/>
      <c r="T518" s="1541"/>
      <c r="U518" s="1541"/>
      <c r="V518" s="1541"/>
    </row>
    <row r="519" spans="1:22">
      <c r="A519" s="1621"/>
      <c r="B519" s="1621"/>
      <c r="C519" s="1621"/>
      <c r="D519" s="1621"/>
      <c r="E519" s="1622"/>
      <c r="F519" s="1622"/>
      <c r="G519" s="1622"/>
      <c r="H519" s="1622"/>
      <c r="I519" s="2687"/>
      <c r="J519" s="2687"/>
      <c r="K519" s="1622"/>
      <c r="L519" s="1622"/>
      <c r="M519" s="1540"/>
      <c r="N519" s="1541"/>
      <c r="O519" s="1541"/>
      <c r="P519" s="1541"/>
      <c r="Q519" s="1541"/>
      <c r="R519" s="1541"/>
      <c r="S519" s="1541"/>
      <c r="T519" s="1541"/>
      <c r="U519" s="1541"/>
      <c r="V519" s="1541"/>
    </row>
    <row r="520" spans="1:22">
      <c r="A520" s="1505">
        <v>11</v>
      </c>
      <c r="B520" s="1541"/>
      <c r="C520" s="1541"/>
      <c r="D520" s="1506" t="s">
        <v>1476</v>
      </c>
      <c r="E520" s="1539">
        <f>SUM(E507:E516)</f>
        <v>43144369</v>
      </c>
      <c r="F520" s="1539">
        <f>SUM(F507:F516)</f>
        <v>0</v>
      </c>
      <c r="G520" s="1539">
        <f>SUM(G507:G516)</f>
        <v>210690</v>
      </c>
      <c r="H520" s="1539">
        <f>SUM(H507:H516)</f>
        <v>0</v>
      </c>
      <c r="I520" s="1540"/>
      <c r="J520" s="1540"/>
      <c r="K520" s="1539">
        <f>SUM(K507:K516)</f>
        <v>42933679</v>
      </c>
      <c r="L520" s="1539">
        <f>SUM(L507:L516)</f>
        <v>43039331</v>
      </c>
      <c r="M520" s="1540"/>
      <c r="N520" s="1541"/>
      <c r="O520" s="1541"/>
      <c r="P520" s="1541"/>
      <c r="Q520" s="1541"/>
      <c r="R520" s="1541"/>
      <c r="S520" s="1541"/>
      <c r="T520" s="1541"/>
      <c r="U520" s="1541"/>
      <c r="V520" s="1541"/>
    </row>
    <row r="521" spans="1:22">
      <c r="A521" s="1541"/>
      <c r="B521" s="1541"/>
      <c r="C521" s="1541"/>
      <c r="D521" s="1541"/>
      <c r="E521" s="1541"/>
      <c r="F521" s="1541"/>
      <c r="G521" s="1541"/>
      <c r="H521" s="1541"/>
      <c r="I521" s="1541"/>
      <c r="J521" s="1541"/>
      <c r="K521" s="1542"/>
      <c r="L521" s="1542"/>
      <c r="M521" s="1540"/>
      <c r="N521" s="1541"/>
      <c r="O521" s="1541"/>
      <c r="P521" s="1541"/>
      <c r="Q521" s="1541"/>
      <c r="R521" s="1541"/>
      <c r="S521" s="1541"/>
      <c r="T521" s="1541"/>
      <c r="U521" s="1541"/>
      <c r="V521" s="1541"/>
    </row>
    <row r="522" spans="1:22">
      <c r="A522" s="1621"/>
      <c r="B522" s="1621"/>
      <c r="C522" s="1621"/>
      <c r="D522" s="1621"/>
      <c r="E522" s="1622"/>
      <c r="F522" s="1622"/>
      <c r="G522" s="1622"/>
      <c r="H522" s="1622"/>
      <c r="I522" s="2687"/>
      <c r="J522" s="2687"/>
      <c r="K522" s="1622"/>
      <c r="L522" s="1622"/>
      <c r="M522" s="1540"/>
      <c r="N522" s="1541"/>
      <c r="O522" s="1541"/>
      <c r="P522" s="1541"/>
      <c r="Q522" s="1541"/>
      <c r="R522" s="1541"/>
      <c r="S522" s="1541"/>
      <c r="T522" s="1541"/>
      <c r="U522" s="1541"/>
      <c r="V522" s="1541"/>
    </row>
    <row r="523" spans="1:22">
      <c r="A523" s="1505">
        <v>12</v>
      </c>
      <c r="B523" s="1541"/>
      <c r="C523" s="1538">
        <f>CommonE</f>
        <v>0.72819999999999996</v>
      </c>
      <c r="D523" s="1506" t="s">
        <v>30</v>
      </c>
      <c r="E523" s="1539">
        <f>ROUND(E520*$C$259,0)</f>
        <v>31417730</v>
      </c>
      <c r="F523" s="1539">
        <f>(F520*$C$259)</f>
        <v>0</v>
      </c>
      <c r="G523" s="1539">
        <f>G520*$C$259</f>
        <v>153424.45799999998</v>
      </c>
      <c r="H523" s="1539">
        <f>H520*$C$259</f>
        <v>0</v>
      </c>
      <c r="I523" s="1540"/>
      <c r="J523" s="1540"/>
      <c r="K523" s="1539">
        <f>E523+F523-G523+H523</f>
        <v>31264305.541999999</v>
      </c>
      <c r="L523" s="1539">
        <f>ROUND(L520*$C$259,0)</f>
        <v>31341241</v>
      </c>
      <c r="M523" s="1540"/>
      <c r="N523" s="1541"/>
      <c r="O523" s="1541"/>
      <c r="P523" s="1541"/>
      <c r="Q523" s="1541"/>
      <c r="R523" s="1541"/>
      <c r="S523" s="1541"/>
      <c r="T523" s="1541"/>
      <c r="U523" s="1541"/>
      <c r="V523" s="1541"/>
    </row>
    <row r="524" spans="1:22">
      <c r="A524" s="1541"/>
      <c r="B524" s="1541"/>
      <c r="C524" s="1541"/>
      <c r="D524" s="1541"/>
      <c r="E524" s="1541"/>
      <c r="F524" s="1541"/>
      <c r="G524" s="1541"/>
      <c r="H524" s="1541"/>
      <c r="I524" s="1541"/>
      <c r="J524" s="1541"/>
      <c r="K524" s="1542"/>
      <c r="L524" s="1542"/>
      <c r="M524" s="1540"/>
      <c r="N524" s="1541"/>
      <c r="O524" s="1541"/>
      <c r="P524" s="1541"/>
      <c r="Q524" s="1541"/>
      <c r="R524" s="1541"/>
      <c r="S524" s="1541"/>
      <c r="T524" s="1541"/>
      <c r="U524" s="1541"/>
      <c r="V524" s="1541"/>
    </row>
    <row r="525" spans="1:22">
      <c r="A525" s="1621"/>
      <c r="B525" s="1621"/>
      <c r="C525" s="1621"/>
      <c r="D525" s="1621"/>
      <c r="E525" s="1622"/>
      <c r="F525" s="1622"/>
      <c r="G525" s="1622"/>
      <c r="H525" s="1622"/>
      <c r="I525" s="2687"/>
      <c r="J525" s="2687"/>
      <c r="K525" s="1622"/>
      <c r="L525" s="1622"/>
      <c r="M525" s="1540"/>
      <c r="N525" s="1541"/>
      <c r="O525" s="1541"/>
      <c r="P525" s="1541"/>
      <c r="Q525" s="1541"/>
      <c r="R525" s="1541"/>
      <c r="S525" s="1541"/>
      <c r="T525" s="1541"/>
      <c r="U525" s="1541"/>
      <c r="V525" s="1541"/>
    </row>
    <row r="526" spans="1:22">
      <c r="A526" s="1505">
        <v>13</v>
      </c>
      <c r="B526" s="1541"/>
      <c r="C526" s="1541"/>
      <c r="D526" s="1506" t="s">
        <v>57</v>
      </c>
      <c r="E526" s="1539">
        <f>E523+E481</f>
        <v>1709079352</v>
      </c>
      <c r="F526" s="1539">
        <f>F523+F481</f>
        <v>184464831</v>
      </c>
      <c r="G526" s="1539">
        <f>G523+G481</f>
        <v>13165990.458000001</v>
      </c>
      <c r="H526" s="1539">
        <f>H523+H481</f>
        <v>0</v>
      </c>
      <c r="I526" s="1540"/>
      <c r="J526" s="1540"/>
      <c r="K526" s="1539">
        <f>K523+K481</f>
        <v>1880378192.5420001</v>
      </c>
      <c r="L526" s="1539">
        <f>L523+L481</f>
        <v>1779733384</v>
      </c>
      <c r="M526" s="1540"/>
      <c r="N526" s="1541"/>
      <c r="O526" s="1541"/>
      <c r="P526" s="1541"/>
      <c r="Q526" s="1541"/>
      <c r="R526" s="1541"/>
      <c r="S526" s="1541"/>
      <c r="T526" s="1541"/>
      <c r="U526" s="1541"/>
      <c r="V526" s="1541"/>
    </row>
    <row r="527" spans="1:22">
      <c r="A527" s="1541"/>
      <c r="B527" s="1541"/>
      <c r="C527" s="1541"/>
      <c r="D527" s="1541"/>
      <c r="E527" s="1541"/>
      <c r="F527" s="1541"/>
      <c r="G527" s="1541"/>
      <c r="H527" s="1541"/>
      <c r="I527" s="1541"/>
      <c r="J527" s="1541"/>
      <c r="K527" s="1541"/>
      <c r="L527" s="2587"/>
      <c r="M527" s="1540"/>
      <c r="N527" s="1541"/>
      <c r="O527" s="1541"/>
      <c r="P527" s="1541"/>
      <c r="Q527" s="1541"/>
      <c r="R527" s="1541"/>
      <c r="S527" s="1541"/>
      <c r="T527" s="1541"/>
      <c r="U527" s="1541"/>
      <c r="V527" s="1541"/>
    </row>
    <row r="528" spans="1:22">
      <c r="A528" s="1621"/>
      <c r="B528" s="1621"/>
      <c r="C528" s="1621"/>
      <c r="D528" s="1621"/>
      <c r="E528" s="1622"/>
      <c r="F528" s="1622"/>
      <c r="G528" s="1622"/>
      <c r="H528" s="1622"/>
      <c r="I528" s="2687"/>
      <c r="J528" s="2687"/>
      <c r="K528" s="1622"/>
      <c r="L528" s="1541"/>
      <c r="M528" s="1540"/>
      <c r="N528" s="1541"/>
      <c r="O528" s="1541"/>
      <c r="P528" s="1541"/>
      <c r="Q528" s="1541"/>
      <c r="R528" s="1541"/>
      <c r="S528" s="1541"/>
      <c r="T528" s="1541"/>
      <c r="U528" s="1541"/>
      <c r="V528" s="1541"/>
    </row>
    <row r="529" spans="1:22">
      <c r="A529" s="1506"/>
      <c r="B529" s="1541"/>
      <c r="C529" s="1541"/>
      <c r="D529" s="1541"/>
      <c r="E529" s="1539"/>
      <c r="F529" s="1539"/>
      <c r="G529" s="1539"/>
      <c r="H529" s="1539"/>
      <c r="I529" s="1540"/>
      <c r="J529" s="1540"/>
      <c r="K529" s="1539"/>
      <c r="L529" s="1541"/>
      <c r="M529" s="1540"/>
      <c r="N529" s="1541"/>
      <c r="O529" s="1541"/>
      <c r="P529" s="1541"/>
      <c r="Q529" s="1541"/>
      <c r="R529" s="1541"/>
      <c r="S529" s="1541"/>
      <c r="T529" s="1541"/>
      <c r="U529" s="1541"/>
      <c r="V529" s="1541"/>
    </row>
    <row r="530" spans="1:22">
      <c r="A530" s="1506"/>
      <c r="B530" s="1541"/>
      <c r="C530" s="1541"/>
      <c r="D530" s="1541"/>
      <c r="E530" s="1539"/>
      <c r="F530" s="1539"/>
      <c r="G530" s="1539"/>
      <c r="H530" s="1539"/>
      <c r="I530" s="1540"/>
      <c r="J530" s="1540"/>
      <c r="K530" s="1539"/>
      <c r="L530" s="1541"/>
      <c r="M530" s="1540"/>
      <c r="N530" s="1541"/>
      <c r="O530" s="1541"/>
      <c r="P530" s="1541"/>
      <c r="Q530" s="1541"/>
      <c r="R530" s="1541"/>
      <c r="S530" s="1541"/>
      <c r="T530" s="1541"/>
      <c r="U530" s="1541"/>
      <c r="V530" s="1541"/>
    </row>
    <row r="531" spans="1:22">
      <c r="A531" s="1541"/>
      <c r="B531" s="1541"/>
      <c r="C531" s="1541"/>
      <c r="D531" s="1541"/>
      <c r="E531" s="1541"/>
      <c r="F531" s="1541"/>
      <c r="G531" s="1541"/>
      <c r="H531" s="1541"/>
      <c r="I531" s="1541"/>
      <c r="J531" s="1541"/>
      <c r="K531" s="1541"/>
      <c r="L531" s="1541"/>
      <c r="M531" s="1540"/>
      <c r="N531" s="1541"/>
      <c r="O531" s="1541"/>
      <c r="P531" s="1541"/>
      <c r="Q531" s="1541"/>
      <c r="R531" s="1541"/>
      <c r="S531" s="1541"/>
      <c r="T531" s="1541"/>
      <c r="U531" s="1541"/>
      <c r="V531" s="1541"/>
    </row>
  </sheetData>
  <pageMargins left="0.75" right="0.75" top="1" bottom="1" header="0.5" footer="0.5"/>
  <pageSetup scale="59" orientation="landscape" horizontalDpi="300" r:id="rId1"/>
  <headerFooter alignWithMargins="0">
    <oddHeader>&amp;C&amp;A&amp;R&amp;"Times New Roman,Bold"KyPSC Case No. 2017-00321
STAFF-DR-01-071 SFRs Attachment
Page &amp;P of &amp;N</oddHeader>
    <oddFooter>Page &amp;P</oddFooter>
  </headerFooter>
  <rowBreaks count="3" manualBreakCount="3">
    <brk id="41" max="65535" man="1"/>
    <brk id="178" max="11" man="1"/>
    <brk id="220" max="1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tabColor theme="4" tint="0.39997558519241921"/>
  </sheetPr>
  <dimension ref="A1:K45"/>
  <sheetViews>
    <sheetView tabSelected="1" view="pageLayout" topLeftCell="B1" zoomScaleNormal="75" workbookViewId="0">
      <selection activeCell="G1" sqref="G1"/>
    </sheetView>
  </sheetViews>
  <sheetFormatPr defaultColWidth="11.42578125" defaultRowHeight="12.75"/>
  <cols>
    <col min="1" max="3" width="11.42578125" style="18" customWidth="1"/>
    <col min="4" max="4" width="45.7109375" style="18" customWidth="1"/>
    <col min="5" max="5" width="18.28515625" style="18" customWidth="1"/>
    <col min="6" max="6" width="17.28515625" style="18" customWidth="1"/>
    <col min="7" max="7" width="13" style="18" customWidth="1"/>
    <col min="8" max="8" width="24.7109375" style="18" customWidth="1"/>
    <col min="9" max="9" width="12.42578125" style="18" customWidth="1"/>
    <col min="10" max="10" width="30.85546875" style="18" customWidth="1"/>
    <col min="11" max="16384" width="11.42578125" style="18"/>
  </cols>
  <sheetData>
    <row r="1" spans="1:11" ht="15">
      <c r="A1" s="2707" t="str">
        <f>COMPANY</f>
        <v>DUKE ENERGY KENTUCKY, INC.</v>
      </c>
      <c r="B1" s="2707"/>
      <c r="C1" s="2707"/>
      <c r="D1" s="2707"/>
      <c r="E1" s="2707"/>
      <c r="F1" s="2707"/>
      <c r="G1" s="2707"/>
      <c r="H1" s="2707"/>
      <c r="I1" s="2707"/>
      <c r="J1" s="2707"/>
      <c r="K1" s="2691"/>
    </row>
    <row r="2" spans="1:11" ht="15">
      <c r="A2" s="2707" t="str">
        <f>CASE</f>
        <v>CASE NO. 2017-00321</v>
      </c>
      <c r="B2" s="2707"/>
      <c r="C2" s="2707"/>
      <c r="D2" s="2707"/>
      <c r="E2" s="2707"/>
      <c r="F2" s="2707"/>
      <c r="G2" s="2707"/>
      <c r="H2" s="2707"/>
      <c r="I2" s="2707"/>
      <c r="J2" s="2707"/>
      <c r="K2" s="2691"/>
    </row>
    <row r="3" spans="1:11" ht="15">
      <c r="A3" s="2707" t="s">
        <v>1732</v>
      </c>
      <c r="B3" s="2707"/>
      <c r="C3" s="2707"/>
      <c r="D3" s="2707"/>
      <c r="E3" s="2707"/>
      <c r="F3" s="2707"/>
      <c r="G3" s="2707"/>
      <c r="H3" s="2707"/>
      <c r="I3" s="2707"/>
      <c r="J3" s="2707"/>
      <c r="K3" s="2691"/>
    </row>
    <row r="4" spans="1:11" ht="15">
      <c r="A4" s="2592" t="str">
        <f>"FROM DECEMBER 1, 2016 TO "&amp;RIGHT(TESTYR,(LEN(TESTYR)-16))</f>
        <v>FROM DECEMBER 1, 2016 TO NOVEMBER 30, 2017</v>
      </c>
      <c r="B4" s="2707"/>
      <c r="C4" s="2707"/>
      <c r="D4" s="2707"/>
      <c r="E4" s="2707"/>
      <c r="F4" s="2707"/>
      <c r="G4" s="2707"/>
      <c r="H4" s="2707"/>
      <c r="I4" s="2707"/>
      <c r="J4" s="2707"/>
      <c r="K4" s="2691"/>
    </row>
    <row r="5" spans="1:11" ht="15">
      <c r="A5" s="2691"/>
      <c r="B5" s="2691"/>
      <c r="C5" s="2691"/>
      <c r="D5" s="2691"/>
      <c r="E5" s="2691"/>
      <c r="F5" s="2691"/>
      <c r="G5" s="2691"/>
      <c r="H5" s="2691"/>
      <c r="I5" s="2691"/>
      <c r="J5" s="2691"/>
      <c r="K5" s="2691"/>
    </row>
    <row r="6" spans="1:11" ht="15">
      <c r="A6" s="2691"/>
      <c r="B6" s="2691"/>
      <c r="C6" s="2691"/>
      <c r="D6" s="2691"/>
      <c r="E6" s="2691"/>
      <c r="F6" s="2691"/>
      <c r="G6" s="2691"/>
      <c r="H6" s="2691"/>
      <c r="I6" s="2691"/>
      <c r="J6" s="2691"/>
      <c r="K6" s="2691"/>
    </row>
    <row r="7" spans="1:11" ht="15">
      <c r="A7" s="2691"/>
      <c r="B7" s="2691"/>
      <c r="C7" s="2691"/>
      <c r="D7" s="2691"/>
      <c r="E7" s="2691"/>
      <c r="F7" s="2691"/>
      <c r="G7" s="2691"/>
      <c r="H7" s="2691"/>
      <c r="I7" s="2691"/>
      <c r="J7" s="2691"/>
      <c r="K7" s="2691"/>
    </row>
    <row r="8" spans="1:11" ht="15">
      <c r="A8" s="2699" t="str">
        <f>Data</f>
        <v>DATA: "X" BASE PERIOD   FORECASTED PERIOD</v>
      </c>
      <c r="B8" s="2691"/>
      <c r="C8" s="2691"/>
      <c r="D8" s="2691"/>
      <c r="E8" s="2691"/>
      <c r="F8" s="2691"/>
      <c r="G8" s="2691"/>
      <c r="H8" s="2691"/>
      <c r="I8" s="2699" t="s">
        <v>1733</v>
      </c>
      <c r="J8" s="2691"/>
      <c r="K8" s="2691"/>
    </row>
    <row r="9" spans="1:11" ht="15">
      <c r="A9" s="2699" t="str">
        <f>Type</f>
        <v xml:space="preserve">TYPE OF FILING:  "X" ORIGINAL   UPDATED    REVISED  </v>
      </c>
      <c r="B9" s="2691"/>
      <c r="C9" s="2691"/>
      <c r="D9" s="2691"/>
      <c r="E9" s="2691"/>
      <c r="F9" s="2691"/>
      <c r="G9" s="2691"/>
      <c r="H9" s="2691"/>
      <c r="I9" s="2699" t="s">
        <v>1458</v>
      </c>
      <c r="J9" s="2691"/>
      <c r="K9" s="2691"/>
    </row>
    <row r="10" spans="1:11" ht="15">
      <c r="A10" s="2699" t="s">
        <v>1879</v>
      </c>
      <c r="B10" s="2691"/>
      <c r="C10" s="2691"/>
      <c r="D10" s="2691"/>
      <c r="E10" s="2691"/>
      <c r="F10" s="2691"/>
      <c r="G10" s="2691"/>
      <c r="H10" s="2691"/>
      <c r="I10" s="2706" t="s">
        <v>622</v>
      </c>
      <c r="J10" s="2691"/>
      <c r="K10" s="2691"/>
    </row>
    <row r="11" spans="1:11" ht="15">
      <c r="A11" s="2691"/>
      <c r="B11" s="2691"/>
      <c r="C11" s="2691"/>
      <c r="D11" s="2691"/>
      <c r="E11" s="2691"/>
      <c r="F11" s="2691"/>
      <c r="G11" s="2691"/>
      <c r="H11" s="2691"/>
      <c r="I11" s="2706" t="str">
        <f>_WIT7</f>
        <v>R. H. PRATT / C. S. LEE</v>
      </c>
      <c r="J11" s="2691"/>
      <c r="K11" s="2691"/>
    </row>
    <row r="12" spans="1:11" ht="15">
      <c r="A12" s="2691"/>
      <c r="B12" s="2691"/>
      <c r="C12" s="2691"/>
      <c r="D12" s="2691"/>
      <c r="E12" s="2691"/>
      <c r="F12" s="2691"/>
      <c r="G12" s="2691"/>
      <c r="H12" s="2691"/>
      <c r="I12" s="2691"/>
      <c r="J12" s="2691"/>
      <c r="K12" s="2691"/>
    </row>
    <row r="13" spans="1:11" ht="15">
      <c r="A13" s="2691"/>
      <c r="B13" s="2691"/>
      <c r="C13" s="2691"/>
      <c r="D13" s="2691"/>
      <c r="E13" s="2691"/>
      <c r="F13" s="2691"/>
      <c r="G13" s="2691"/>
      <c r="H13" s="2691"/>
      <c r="I13" s="2691"/>
      <c r="J13" s="2701"/>
      <c r="K13" s="2691"/>
    </row>
    <row r="14" spans="1:11" ht="15">
      <c r="A14" s="2700"/>
      <c r="B14" s="2700"/>
      <c r="C14" s="2700"/>
      <c r="D14" s="2700"/>
      <c r="E14" s="2700"/>
      <c r="F14" s="2700"/>
      <c r="G14" s="2705"/>
      <c r="H14" s="2700"/>
      <c r="I14" s="2705"/>
      <c r="J14" s="2691"/>
      <c r="K14" s="2691"/>
    </row>
    <row r="15" spans="1:11" ht="15">
      <c r="A15" s="2691"/>
      <c r="B15" s="2703" t="s">
        <v>943</v>
      </c>
      <c r="C15" s="2691" t="s">
        <v>1750</v>
      </c>
      <c r="D15" s="2699"/>
      <c r="E15" s="2699"/>
      <c r="F15" s="2699"/>
      <c r="G15" s="2699"/>
      <c r="H15" s="2702" t="s">
        <v>1734</v>
      </c>
      <c r="I15" s="2699"/>
      <c r="J15" s="2702" t="s">
        <v>1092</v>
      </c>
      <c r="K15" s="2691"/>
    </row>
    <row r="16" spans="1:11" ht="15">
      <c r="A16" s="2703" t="s">
        <v>1240</v>
      </c>
      <c r="B16" s="2703" t="s">
        <v>1164</v>
      </c>
      <c r="C16" s="2703" t="s">
        <v>1164</v>
      </c>
      <c r="D16" s="2703" t="s">
        <v>1119</v>
      </c>
      <c r="E16" s="2703" t="s">
        <v>1735</v>
      </c>
      <c r="F16" s="2703" t="s">
        <v>1592</v>
      </c>
      <c r="G16" s="2703" t="s">
        <v>1735</v>
      </c>
      <c r="H16" s="2703" t="s">
        <v>1736</v>
      </c>
      <c r="I16" s="2703" t="s">
        <v>1737</v>
      </c>
      <c r="J16" s="2702" t="s">
        <v>1738</v>
      </c>
      <c r="K16" s="2691"/>
    </row>
    <row r="17" spans="1:11" ht="15">
      <c r="A17" s="2703" t="s">
        <v>1241</v>
      </c>
      <c r="B17" s="2703" t="s">
        <v>1241</v>
      </c>
      <c r="C17" s="2703" t="s">
        <v>1241</v>
      </c>
      <c r="D17" s="2703" t="s">
        <v>1739</v>
      </c>
      <c r="E17" s="2703" t="s">
        <v>1592</v>
      </c>
      <c r="F17" s="2703" t="s">
        <v>1740</v>
      </c>
      <c r="G17" s="2703" t="s">
        <v>1242</v>
      </c>
      <c r="H17" s="2704" t="s">
        <v>1741</v>
      </c>
      <c r="I17" s="2703" t="s">
        <v>1735</v>
      </c>
      <c r="J17" s="2702" t="s">
        <v>351</v>
      </c>
      <c r="K17" s="2691"/>
    </row>
    <row r="18" spans="1:11" ht="15">
      <c r="A18" s="2691"/>
      <c r="B18" s="2691"/>
      <c r="C18" s="2691"/>
      <c r="D18" s="2691"/>
      <c r="E18" s="2691"/>
      <c r="F18" s="2691"/>
      <c r="G18" s="2691"/>
      <c r="H18" s="2691"/>
      <c r="I18" s="2691"/>
      <c r="J18" s="2701"/>
      <c r="K18" s="2691"/>
    </row>
    <row r="19" spans="1:11" ht="15">
      <c r="A19" s="2700"/>
      <c r="B19" s="2700"/>
      <c r="C19" s="2700"/>
      <c r="D19" s="2700"/>
      <c r="E19" s="2700"/>
      <c r="F19" s="2700"/>
      <c r="G19" s="2700"/>
      <c r="H19" s="2700"/>
      <c r="I19" s="2700"/>
      <c r="J19" s="2691"/>
      <c r="K19" s="2691"/>
    </row>
    <row r="20" spans="1:11" ht="15.75">
      <c r="A20" s="2691" t="s">
        <v>609</v>
      </c>
      <c r="B20" s="2593"/>
      <c r="C20" s="2691"/>
      <c r="D20" s="2691"/>
      <c r="E20" s="2691"/>
      <c r="F20" s="2691"/>
      <c r="G20" s="2691"/>
      <c r="H20" s="2691"/>
      <c r="I20" s="2691"/>
      <c r="J20" s="2691"/>
      <c r="K20" s="2691"/>
    </row>
    <row r="21" spans="1:11" ht="15">
      <c r="A21" s="2691"/>
      <c r="B21" s="2691"/>
      <c r="C21" s="2691"/>
      <c r="D21" s="2691"/>
      <c r="E21" s="2710"/>
      <c r="F21" s="2691"/>
      <c r="G21" s="2691"/>
      <c r="H21" s="2691"/>
      <c r="I21" s="2691"/>
      <c r="J21" s="2691"/>
      <c r="K21" s="2691"/>
    </row>
    <row r="22" spans="1:11" ht="15">
      <c r="A22" s="2699"/>
      <c r="B22" s="2691"/>
      <c r="C22" s="2691"/>
      <c r="D22" s="2691"/>
      <c r="E22" s="2709"/>
      <c r="F22" s="2709"/>
      <c r="G22" s="2709"/>
      <c r="H22" s="2709"/>
      <c r="I22" s="2708"/>
      <c r="J22" s="2708"/>
      <c r="K22" s="2691"/>
    </row>
    <row r="23" spans="1:11" ht="15">
      <c r="A23" s="2707" t="str">
        <f>COMPANY</f>
        <v>DUKE ENERGY KENTUCKY, INC.</v>
      </c>
      <c r="B23" s="2707"/>
      <c r="C23" s="2707"/>
      <c r="D23" s="2707"/>
      <c r="E23" s="2707"/>
      <c r="F23" s="2707"/>
      <c r="G23" s="2707"/>
      <c r="H23" s="2707"/>
      <c r="I23" s="2707"/>
      <c r="J23" s="2707"/>
      <c r="K23" s="2691"/>
    </row>
    <row r="24" spans="1:11" ht="15">
      <c r="A24" s="2707" t="str">
        <f>CASE</f>
        <v>CASE NO. 2017-00321</v>
      </c>
      <c r="B24" s="2707"/>
      <c r="C24" s="2707"/>
      <c r="D24" s="2707"/>
      <c r="E24" s="2707"/>
      <c r="F24" s="2707"/>
      <c r="G24" s="2707"/>
      <c r="H24" s="2707"/>
      <c r="I24" s="2707"/>
      <c r="J24" s="2707"/>
      <c r="K24" s="2691"/>
    </row>
    <row r="25" spans="1:11" ht="15">
      <c r="A25" s="2707" t="s">
        <v>1732</v>
      </c>
      <c r="B25" s="2707"/>
      <c r="C25" s="2707"/>
      <c r="D25" s="2707"/>
      <c r="E25" s="2707"/>
      <c r="F25" s="2707"/>
      <c r="G25" s="2707"/>
      <c r="H25" s="2707"/>
      <c r="I25" s="2707"/>
      <c r="J25" s="2707"/>
      <c r="K25" s="2691"/>
    </row>
    <row r="26" spans="1:11" ht="15">
      <c r="A26" s="2707" t="str">
        <f>"FROM APRIL 1, 2018"&amp;" TO "&amp;RIGHT(Forecast,(LEN(Forecast)-16))</f>
        <v>FROM APRIL 1, 2018 TO MARCH 31, 2019</v>
      </c>
      <c r="B26" s="2707"/>
      <c r="C26" s="2707"/>
      <c r="D26" s="2707"/>
      <c r="E26" s="2707"/>
      <c r="F26" s="2707"/>
      <c r="G26" s="2707"/>
      <c r="H26" s="2707"/>
      <c r="I26" s="2707"/>
      <c r="J26" s="2707"/>
      <c r="K26" s="2691"/>
    </row>
    <row r="27" spans="1:11" ht="15">
      <c r="A27" s="2691"/>
      <c r="B27" s="2691"/>
      <c r="C27" s="2691"/>
      <c r="D27" s="2691"/>
      <c r="E27" s="2691"/>
      <c r="F27" s="2691"/>
      <c r="G27" s="2691"/>
      <c r="H27" s="2691"/>
      <c r="I27" s="2691"/>
      <c r="J27" s="2691"/>
      <c r="K27" s="2691"/>
    </row>
    <row r="28" spans="1:11" ht="15">
      <c r="A28" s="2691"/>
      <c r="B28" s="2691"/>
      <c r="C28" s="2691"/>
      <c r="D28" s="2691"/>
      <c r="E28" s="2691"/>
      <c r="F28" s="2691"/>
      <c r="G28" s="2691"/>
      <c r="H28" s="2691"/>
      <c r="I28" s="2691"/>
      <c r="J28" s="2691"/>
      <c r="K28" s="2691"/>
    </row>
    <row r="29" spans="1:11" ht="15">
      <c r="A29" s="2691"/>
      <c r="B29" s="2691"/>
      <c r="C29" s="2691"/>
      <c r="D29" s="2691"/>
      <c r="E29" s="2691"/>
      <c r="F29" s="2691"/>
      <c r="G29" s="2691"/>
      <c r="H29" s="2691"/>
      <c r="I29" s="2691"/>
      <c r="J29" s="2691"/>
      <c r="K29" s="2691"/>
    </row>
    <row r="30" spans="1:11" ht="15">
      <c r="A30" s="2699" t="str">
        <f>DataF</f>
        <v>DATA:  BASE PERIOD  "X" FORECASTED PERIOD</v>
      </c>
      <c r="B30" s="2691"/>
      <c r="C30" s="2691"/>
      <c r="D30" s="2691"/>
      <c r="E30" s="2691"/>
      <c r="F30" s="2691"/>
      <c r="G30" s="2691"/>
      <c r="H30" s="2691"/>
      <c r="I30" s="2699" t="s">
        <v>1733</v>
      </c>
      <c r="J30" s="2691"/>
      <c r="K30" s="2691"/>
    </row>
    <row r="31" spans="1:11" ht="15">
      <c r="A31" s="2699" t="str">
        <f>Type</f>
        <v xml:space="preserve">TYPE OF FILING:  "X" ORIGINAL   UPDATED    REVISED  </v>
      </c>
      <c r="B31" s="2691"/>
      <c r="C31" s="2691"/>
      <c r="D31" s="2691"/>
      <c r="E31" s="2691"/>
      <c r="F31" s="2691"/>
      <c r="G31" s="2691"/>
      <c r="H31" s="2691"/>
      <c r="I31" s="2699" t="s">
        <v>86</v>
      </c>
      <c r="J31" s="2691"/>
      <c r="K31" s="2691"/>
    </row>
    <row r="32" spans="1:11" ht="15">
      <c r="A32" s="2699" t="s">
        <v>1879</v>
      </c>
      <c r="B32" s="2691"/>
      <c r="C32" s="2691"/>
      <c r="D32" s="2691"/>
      <c r="E32" s="2691"/>
      <c r="F32" s="2691"/>
      <c r="G32" s="2691"/>
      <c r="H32" s="2691"/>
      <c r="I32" s="2706" t="s">
        <v>622</v>
      </c>
      <c r="J32" s="2691"/>
      <c r="K32" s="2691"/>
    </row>
    <row r="33" spans="1:11" ht="15">
      <c r="A33" s="2691"/>
      <c r="B33" s="2691"/>
      <c r="C33" s="2691"/>
      <c r="D33" s="2691"/>
      <c r="E33" s="2691"/>
      <c r="F33" s="2691"/>
      <c r="G33" s="2691"/>
      <c r="H33" s="2691"/>
      <c r="I33" s="2706" t="str">
        <f>_WIT7</f>
        <v>R. H. PRATT / C. S. LEE</v>
      </c>
      <c r="J33" s="2691"/>
      <c r="K33" s="2691"/>
    </row>
    <row r="34" spans="1:11" ht="15">
      <c r="A34" s="2691"/>
      <c r="B34" s="2691"/>
      <c r="C34" s="2691"/>
      <c r="D34" s="2691"/>
      <c r="E34" s="2691"/>
      <c r="F34" s="2691"/>
      <c r="G34" s="2691"/>
      <c r="H34" s="2691"/>
      <c r="I34" s="2691"/>
      <c r="J34" s="2691"/>
      <c r="K34" s="2691"/>
    </row>
    <row r="35" spans="1:11" ht="15">
      <c r="A35" s="2691"/>
      <c r="B35" s="2691"/>
      <c r="C35" s="2691"/>
      <c r="D35" s="2691"/>
      <c r="E35" s="2691"/>
      <c r="F35" s="2691"/>
      <c r="G35" s="2691"/>
      <c r="H35" s="2691"/>
      <c r="I35" s="2691"/>
      <c r="J35" s="2701"/>
      <c r="K35" s="2691"/>
    </row>
    <row r="36" spans="1:11" ht="15">
      <c r="A36" s="2700"/>
      <c r="B36" s="2700"/>
      <c r="C36" s="2700"/>
      <c r="D36" s="2700"/>
      <c r="E36" s="2700"/>
      <c r="F36" s="2700"/>
      <c r="G36" s="2705"/>
      <c r="H36" s="2700"/>
      <c r="I36" s="2705"/>
      <c r="J36" s="2691"/>
      <c r="K36" s="2691"/>
    </row>
    <row r="37" spans="1:11" ht="15">
      <c r="A37" s="2691"/>
      <c r="B37" s="2703" t="s">
        <v>943</v>
      </c>
      <c r="C37" s="2691" t="s">
        <v>1750</v>
      </c>
      <c r="D37" s="2699"/>
      <c r="E37" s="2699"/>
      <c r="F37" s="2699"/>
      <c r="G37" s="2699"/>
      <c r="H37" s="2702" t="s">
        <v>1734</v>
      </c>
      <c r="I37" s="2699"/>
      <c r="J37" s="2702" t="s">
        <v>1092</v>
      </c>
      <c r="K37" s="2691"/>
    </row>
    <row r="38" spans="1:11" ht="15">
      <c r="A38" s="2703" t="s">
        <v>1240</v>
      </c>
      <c r="B38" s="2703" t="s">
        <v>1164</v>
      </c>
      <c r="C38" s="2703" t="s">
        <v>1164</v>
      </c>
      <c r="D38" s="2703" t="s">
        <v>1119</v>
      </c>
      <c r="E38" s="2703" t="s">
        <v>1735</v>
      </c>
      <c r="F38" s="2703" t="s">
        <v>1592</v>
      </c>
      <c r="G38" s="2703" t="s">
        <v>1735</v>
      </c>
      <c r="H38" s="2703" t="s">
        <v>1736</v>
      </c>
      <c r="I38" s="2703" t="s">
        <v>1737</v>
      </c>
      <c r="J38" s="2702" t="s">
        <v>1738</v>
      </c>
      <c r="K38" s="2691"/>
    </row>
    <row r="39" spans="1:11" ht="15">
      <c r="A39" s="2703" t="s">
        <v>1241</v>
      </c>
      <c r="B39" s="2703" t="s">
        <v>1241</v>
      </c>
      <c r="C39" s="2703" t="s">
        <v>1241</v>
      </c>
      <c r="D39" s="2703" t="s">
        <v>1739</v>
      </c>
      <c r="E39" s="2703" t="s">
        <v>1592</v>
      </c>
      <c r="F39" s="2703" t="s">
        <v>1740</v>
      </c>
      <c r="G39" s="2703" t="s">
        <v>1242</v>
      </c>
      <c r="H39" s="2704" t="s">
        <v>1741</v>
      </c>
      <c r="I39" s="2703" t="s">
        <v>1735</v>
      </c>
      <c r="J39" s="2702" t="s">
        <v>351</v>
      </c>
      <c r="K39" s="2691"/>
    </row>
    <row r="40" spans="1:11" ht="15">
      <c r="A40" s="2691"/>
      <c r="B40" s="2691"/>
      <c r="C40" s="2691"/>
      <c r="D40" s="2691"/>
      <c r="E40" s="2691"/>
      <c r="F40" s="2691"/>
      <c r="G40" s="2691"/>
      <c r="H40" s="2691"/>
      <c r="I40" s="2691"/>
      <c r="J40" s="2701"/>
      <c r="K40" s="2691"/>
    </row>
    <row r="41" spans="1:11" ht="15">
      <c r="A41" s="2700"/>
      <c r="B41" s="2700"/>
      <c r="C41" s="2700"/>
      <c r="D41" s="2700"/>
      <c r="E41" s="2700"/>
      <c r="F41" s="2700"/>
      <c r="G41" s="2700"/>
      <c r="H41" s="2700"/>
      <c r="I41" s="2700"/>
      <c r="J41" s="2691"/>
      <c r="K41" s="2691"/>
    </row>
    <row r="42" spans="1:11" ht="15">
      <c r="A42" s="2691" t="s">
        <v>609</v>
      </c>
      <c r="B42" s="2699"/>
      <c r="C42" s="2691"/>
      <c r="D42" s="2691"/>
      <c r="E42" s="2691"/>
      <c r="F42" s="2691"/>
      <c r="G42" s="2691"/>
      <c r="H42" s="2691"/>
      <c r="I42" s="2692"/>
      <c r="J42" s="2692"/>
      <c r="K42" s="2691"/>
    </row>
    <row r="43" spans="1:11" ht="15">
      <c r="A43" s="2696"/>
      <c r="B43" s="2696"/>
      <c r="C43" s="2696"/>
      <c r="D43" s="2695"/>
      <c r="E43" s="2694"/>
      <c r="F43" s="2694"/>
      <c r="G43" s="2694"/>
      <c r="H43" s="2698"/>
      <c r="I43" s="2697"/>
      <c r="J43" s="2692"/>
      <c r="K43" s="2691"/>
    </row>
    <row r="44" spans="1:11" ht="15">
      <c r="A44" s="2696"/>
      <c r="B44" s="2696"/>
      <c r="C44" s="2696"/>
      <c r="D44" s="2695"/>
      <c r="E44" s="2694"/>
      <c r="F44" s="2694"/>
      <c r="G44" s="2694"/>
      <c r="H44" s="2693"/>
      <c r="I44" s="2693"/>
      <c r="J44" s="2692"/>
      <c r="K44" s="2691"/>
    </row>
    <row r="45" spans="1:11" ht="15">
      <c r="A45" s="2696"/>
      <c r="B45" s="2696"/>
      <c r="C45" s="2696"/>
      <c r="D45" s="2695"/>
      <c r="E45" s="2694"/>
      <c r="F45" s="2694"/>
      <c r="G45" s="2694"/>
      <c r="H45" s="2693"/>
      <c r="I45" s="2693"/>
      <c r="J45" s="2692"/>
      <c r="K45" s="2691"/>
    </row>
  </sheetData>
  <printOptions horizontalCentered="1"/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tabColor theme="4" tint="0.39997558519241921"/>
  </sheetPr>
  <dimension ref="A1:H72"/>
  <sheetViews>
    <sheetView tabSelected="1" view="pageLayout" topLeftCell="B1" zoomScaleNormal="90" workbookViewId="0">
      <selection activeCell="G1" sqref="G1"/>
    </sheetView>
  </sheetViews>
  <sheetFormatPr defaultColWidth="11.42578125" defaultRowHeight="12.75"/>
  <cols>
    <col min="1" max="1" width="16.7109375" style="18" customWidth="1"/>
    <col min="2" max="2" width="27.5703125" style="18" customWidth="1"/>
    <col min="3" max="3" width="24.7109375" style="18" customWidth="1"/>
    <col min="4" max="4" width="13.5703125" style="18" customWidth="1"/>
    <col min="5" max="5" width="18.28515625" style="18" customWidth="1"/>
    <col min="6" max="6" width="13.85546875" style="18" customWidth="1"/>
    <col min="7" max="7" width="22.28515625" style="18" customWidth="1"/>
    <col min="8" max="16384" width="11.42578125" style="18"/>
  </cols>
  <sheetData>
    <row r="1" spans="1:8">
      <c r="A1" s="103" t="str">
        <f>COMPANY</f>
        <v>DUKE ENERGY KENTUCKY, INC.</v>
      </c>
      <c r="B1" s="2585"/>
      <c r="C1" s="2589"/>
      <c r="D1" s="2585"/>
      <c r="E1" s="2585"/>
      <c r="F1" s="2585"/>
      <c r="G1" s="2585"/>
      <c r="H1" s="1631"/>
    </row>
    <row r="2" spans="1:8">
      <c r="A2" s="103" t="str">
        <f>CASE</f>
        <v>CASE NO. 2017-00321</v>
      </c>
      <c r="B2" s="2585"/>
      <c r="C2" s="2589"/>
      <c r="D2" s="2585"/>
      <c r="E2" s="2585"/>
      <c r="F2" s="2585"/>
      <c r="G2" s="2585"/>
      <c r="H2" s="1631"/>
    </row>
    <row r="3" spans="1:8">
      <c r="A3" s="103" t="s">
        <v>21</v>
      </c>
      <c r="B3" s="2585"/>
      <c r="C3" s="2589"/>
      <c r="D3" s="2585"/>
      <c r="E3" s="2585"/>
      <c r="F3" s="2585"/>
      <c r="G3" s="2585"/>
      <c r="H3" s="1631"/>
    </row>
    <row r="4" spans="1:8">
      <c r="A4" s="103" t="s">
        <v>1791</v>
      </c>
      <c r="B4" s="2585"/>
      <c r="C4" s="2589"/>
      <c r="D4" s="2585"/>
      <c r="E4" s="2585"/>
      <c r="F4" s="2585"/>
      <c r="G4" s="2585"/>
      <c r="H4" s="1631"/>
    </row>
    <row r="5" spans="1:8">
      <c r="A5" s="76" t="str">
        <f>"AS OF " &amp;RIGHT(TESTYR,(LEN(TESTYR)-16))</f>
        <v>AS OF NOVEMBER 30, 2017</v>
      </c>
      <c r="B5" s="2585"/>
      <c r="C5" s="2589"/>
      <c r="D5" s="2585"/>
      <c r="E5" s="2585"/>
      <c r="F5" s="2585"/>
      <c r="G5" s="2585"/>
      <c r="H5" s="1631"/>
    </row>
    <row r="6" spans="1:8">
      <c r="A6" s="1541"/>
      <c r="B6" s="1541"/>
      <c r="C6" s="1541"/>
      <c r="D6" s="1541"/>
      <c r="E6" s="1541"/>
      <c r="F6" s="1541"/>
      <c r="G6" s="1541"/>
      <c r="H6" s="1631"/>
    </row>
    <row r="7" spans="1:8">
      <c r="A7" s="1541"/>
      <c r="B7" s="1541"/>
      <c r="C7" s="1541"/>
      <c r="D7" s="1541"/>
      <c r="E7" s="1541"/>
      <c r="F7" s="1541"/>
      <c r="G7" s="1541"/>
      <c r="H7" s="1631"/>
    </row>
    <row r="8" spans="1:8">
      <c r="A8" s="1541"/>
      <c r="B8" s="1541"/>
      <c r="C8" s="1541"/>
      <c r="D8" s="1541"/>
      <c r="E8" s="1541"/>
      <c r="F8" s="1541"/>
      <c r="G8" s="1541"/>
      <c r="H8" s="1631"/>
    </row>
    <row r="9" spans="1:8">
      <c r="A9" s="1506" t="str">
        <f>Data</f>
        <v>DATA: "X" BASE PERIOD   FORECASTED PERIOD</v>
      </c>
      <c r="B9" s="1541"/>
      <c r="C9" s="1541"/>
      <c r="D9" s="1541"/>
      <c r="E9" s="1541"/>
      <c r="F9" s="1506" t="s">
        <v>22</v>
      </c>
      <c r="G9" s="1631"/>
      <c r="H9" s="1631"/>
    </row>
    <row r="10" spans="1:8">
      <c r="A10" s="1506" t="str">
        <f>Type</f>
        <v xml:space="preserve">TYPE OF FILING:  "X" ORIGINAL   UPDATED    REVISED  </v>
      </c>
      <c r="B10" s="1541"/>
      <c r="C10" s="1541"/>
      <c r="D10" s="1541"/>
      <c r="E10" s="1541"/>
      <c r="F10" s="1506" t="s">
        <v>1458</v>
      </c>
      <c r="G10" s="1631"/>
      <c r="H10" s="1631"/>
    </row>
    <row r="11" spans="1:8">
      <c r="A11" s="1506" t="s">
        <v>1879</v>
      </c>
      <c r="B11" s="1541"/>
      <c r="C11" s="1541"/>
      <c r="D11" s="1541"/>
      <c r="E11" s="1541"/>
      <c r="F11" s="2586" t="s">
        <v>622</v>
      </c>
      <c r="G11" s="1631"/>
      <c r="H11" s="1631"/>
    </row>
    <row r="12" spans="1:8">
      <c r="A12" s="1541"/>
      <c r="B12" s="1541"/>
      <c r="C12" s="1541"/>
      <c r="D12" s="1541"/>
      <c r="E12" s="1541"/>
      <c r="F12" s="2586" t="str">
        <f>_WIT7</f>
        <v>R. H. PRATT / C. S. LEE</v>
      </c>
      <c r="G12" s="1631"/>
      <c r="H12" s="1631"/>
    </row>
    <row r="13" spans="1:8">
      <c r="A13" s="1541"/>
      <c r="B13" s="1541"/>
      <c r="C13" s="1541"/>
      <c r="D13" s="1541"/>
      <c r="E13" s="1541"/>
      <c r="F13" s="1541"/>
      <c r="G13" s="1541"/>
      <c r="H13" s="1631"/>
    </row>
    <row r="14" spans="1:8">
      <c r="A14" s="1541"/>
      <c r="B14" s="1541"/>
      <c r="C14" s="1541"/>
      <c r="D14" s="1541"/>
      <c r="E14" s="1541"/>
      <c r="F14" s="1541"/>
      <c r="G14" s="1541"/>
      <c r="H14" s="1631"/>
    </row>
    <row r="15" spans="1:8">
      <c r="A15" s="1621"/>
      <c r="B15" s="1621"/>
      <c r="C15" s="1621"/>
      <c r="D15" s="1621"/>
      <c r="E15" s="1621"/>
      <c r="F15" s="2679" t="s">
        <v>23</v>
      </c>
      <c r="G15" s="1621"/>
      <c r="H15" s="1631"/>
    </row>
    <row r="16" spans="1:8">
      <c r="A16" s="1505" t="s">
        <v>24</v>
      </c>
      <c r="B16" s="1541"/>
      <c r="C16" s="1541"/>
      <c r="D16" s="1631"/>
      <c r="E16" s="1631"/>
      <c r="F16" s="1505" t="s">
        <v>25</v>
      </c>
      <c r="G16" s="1541"/>
      <c r="H16" s="1631"/>
    </row>
    <row r="17" spans="1:8">
      <c r="A17" s="1505" t="s">
        <v>352</v>
      </c>
      <c r="B17" s="1505" t="s">
        <v>353</v>
      </c>
      <c r="C17" s="1505" t="s">
        <v>354</v>
      </c>
      <c r="D17" s="1505" t="s">
        <v>355</v>
      </c>
      <c r="E17" s="1505" t="s">
        <v>356</v>
      </c>
      <c r="F17" s="1505" t="s">
        <v>357</v>
      </c>
      <c r="G17" s="1505" t="s">
        <v>358</v>
      </c>
      <c r="H17" s="1631"/>
    </row>
    <row r="18" spans="1:8">
      <c r="A18" s="1505" t="s">
        <v>359</v>
      </c>
      <c r="B18" s="1505" t="s">
        <v>33</v>
      </c>
      <c r="C18" s="1505" t="s">
        <v>34</v>
      </c>
      <c r="D18" s="1505" t="s">
        <v>35</v>
      </c>
      <c r="E18" s="1505" t="s">
        <v>36</v>
      </c>
      <c r="F18" s="1505" t="s">
        <v>127</v>
      </c>
      <c r="G18" s="1505" t="s">
        <v>491</v>
      </c>
      <c r="H18" s="1631"/>
    </row>
    <row r="19" spans="1:8">
      <c r="A19" s="1541"/>
      <c r="B19" s="1541"/>
      <c r="C19" s="1541"/>
      <c r="D19" s="1541"/>
      <c r="E19" s="1541"/>
      <c r="F19" s="1541"/>
      <c r="G19" s="1541"/>
      <c r="H19" s="1631"/>
    </row>
    <row r="20" spans="1:8">
      <c r="A20" s="1621"/>
      <c r="B20" s="1621"/>
      <c r="C20" s="1621"/>
      <c r="D20" s="1621"/>
      <c r="E20" s="1621"/>
      <c r="F20" s="1621"/>
      <c r="G20" s="1621"/>
      <c r="H20" s="1631"/>
    </row>
    <row r="21" spans="1:8">
      <c r="A21" s="1541"/>
      <c r="B21" s="1630" t="s">
        <v>2299</v>
      </c>
      <c r="C21" s="1485" t="s">
        <v>2300</v>
      </c>
      <c r="D21" s="1727" t="s">
        <v>1680</v>
      </c>
      <c r="E21" s="1633">
        <v>13227</v>
      </c>
      <c r="F21" s="1634">
        <v>1271817</v>
      </c>
      <c r="G21" s="1485" t="s">
        <v>908</v>
      </c>
      <c r="H21" s="1631"/>
    </row>
    <row r="22" spans="1:8">
      <c r="A22" s="1541"/>
      <c r="B22" s="1630"/>
      <c r="C22" s="1485"/>
      <c r="D22" s="1727"/>
      <c r="E22" s="1484"/>
      <c r="F22" s="1484"/>
      <c r="G22" s="1485" t="s">
        <v>909</v>
      </c>
      <c r="H22" s="1631"/>
    </row>
    <row r="23" spans="1:8">
      <c r="A23" s="1631"/>
      <c r="B23" s="1925"/>
      <c r="C23" s="1925"/>
      <c r="D23" s="2590"/>
      <c r="E23" s="1484"/>
      <c r="F23" s="1484"/>
      <c r="G23" s="1925"/>
      <c r="H23" s="1631"/>
    </row>
    <row r="24" spans="1:8">
      <c r="A24" s="1631"/>
      <c r="B24" s="1630" t="s">
        <v>2301</v>
      </c>
      <c r="C24" s="1485" t="s">
        <v>2300</v>
      </c>
      <c r="D24" s="2591" t="s">
        <v>1680</v>
      </c>
      <c r="E24" s="1633">
        <v>23794</v>
      </c>
      <c r="F24" s="1634">
        <v>2323587</v>
      </c>
      <c r="G24" s="1485" t="s">
        <v>908</v>
      </c>
      <c r="H24" s="1631"/>
    </row>
    <row r="25" spans="1:8">
      <c r="A25" s="1631"/>
      <c r="B25" s="1630"/>
      <c r="C25" s="1630"/>
      <c r="D25" s="2591"/>
      <c r="E25" s="1635"/>
      <c r="F25" s="1635"/>
      <c r="G25" s="1485" t="s">
        <v>909</v>
      </c>
      <c r="H25" s="1631"/>
    </row>
    <row r="26" spans="1:8">
      <c r="A26" s="1631"/>
      <c r="B26" s="1630"/>
      <c r="C26" s="1630"/>
      <c r="D26" s="2591"/>
      <c r="E26" s="1635"/>
      <c r="F26" s="1635"/>
      <c r="G26" s="1485"/>
      <c r="H26" s="1631"/>
    </row>
    <row r="27" spans="1:8">
      <c r="A27" s="1631"/>
      <c r="B27" s="1630" t="s">
        <v>317</v>
      </c>
      <c r="C27" s="1485" t="s">
        <v>2300</v>
      </c>
      <c r="D27" s="1727" t="s">
        <v>1680</v>
      </c>
      <c r="E27" s="1633">
        <v>8275</v>
      </c>
      <c r="F27" s="1634">
        <v>789088</v>
      </c>
      <c r="G27" s="1485" t="s">
        <v>908</v>
      </c>
      <c r="H27" s="1631"/>
    </row>
    <row r="28" spans="1:8">
      <c r="A28" s="1631"/>
      <c r="B28" s="1630"/>
      <c r="C28" s="1485"/>
      <c r="D28" s="1727"/>
      <c r="E28" s="1484"/>
      <c r="F28" s="1484"/>
      <c r="G28" s="1485" t="s">
        <v>909</v>
      </c>
      <c r="H28" s="1631"/>
    </row>
    <row r="29" spans="1:8">
      <c r="A29" s="1631"/>
      <c r="B29" s="1630"/>
      <c r="C29" s="1630"/>
      <c r="D29" s="2591"/>
      <c r="E29" s="1635"/>
      <c r="F29" s="1635"/>
      <c r="G29" s="1485"/>
      <c r="H29" s="1631"/>
    </row>
    <row r="30" spans="1:8">
      <c r="A30" s="1631"/>
      <c r="B30" s="1630" t="s">
        <v>2302</v>
      </c>
      <c r="C30" s="1630" t="s">
        <v>332</v>
      </c>
      <c r="D30" s="1727" t="s">
        <v>1680</v>
      </c>
      <c r="E30" s="1636">
        <v>20418</v>
      </c>
      <c r="F30" s="1637">
        <v>2100000</v>
      </c>
      <c r="G30" s="1485" t="s">
        <v>908</v>
      </c>
      <c r="H30" s="1631"/>
    </row>
    <row r="31" spans="1:8">
      <c r="A31" s="1631"/>
      <c r="B31" s="1630"/>
      <c r="C31" s="1630"/>
      <c r="D31" s="1630"/>
      <c r="E31" s="1630"/>
      <c r="F31" s="1630"/>
      <c r="G31" s="1485" t="s">
        <v>909</v>
      </c>
      <c r="H31" s="1631"/>
    </row>
    <row r="32" spans="1:8">
      <c r="A32" s="1631"/>
      <c r="B32" s="1631"/>
      <c r="C32" s="1631"/>
      <c r="D32" s="1631"/>
      <c r="E32" s="1631"/>
      <c r="F32" s="1631"/>
      <c r="G32" s="1631"/>
      <c r="H32" s="1631"/>
    </row>
    <row r="33" spans="1:8">
      <c r="A33" s="1631"/>
      <c r="B33" s="1541" t="s">
        <v>2303</v>
      </c>
      <c r="C33" s="1631"/>
      <c r="D33" s="1631"/>
      <c r="E33" s="1632">
        <f>SUM(E21:E30)</f>
        <v>65714</v>
      </c>
      <c r="F33" s="1632">
        <f>SUM(F21:F30)</f>
        <v>6484492</v>
      </c>
      <c r="G33" s="1631"/>
      <c r="H33" s="1631"/>
    </row>
    <row r="34" spans="1:8">
      <c r="A34" s="1631"/>
      <c r="B34" s="1631"/>
      <c r="C34" s="1631"/>
      <c r="D34" s="1631"/>
      <c r="E34" s="1631"/>
      <c r="F34" s="1631"/>
      <c r="G34" s="1631"/>
      <c r="H34" s="1631"/>
    </row>
    <row r="35" spans="1:8">
      <c r="A35" s="1631"/>
      <c r="B35" s="1631"/>
      <c r="C35" s="1631"/>
      <c r="D35" s="1631"/>
      <c r="E35" s="1631"/>
      <c r="F35" s="1631"/>
      <c r="G35" s="1631"/>
      <c r="H35" s="1631"/>
    </row>
    <row r="36" spans="1:8">
      <c r="A36" s="1631"/>
      <c r="B36" s="1631"/>
      <c r="C36" s="1631"/>
      <c r="D36" s="1631"/>
      <c r="E36" s="1631"/>
      <c r="F36" s="1631"/>
      <c r="G36" s="1631"/>
      <c r="H36" s="1631"/>
    </row>
    <row r="37" spans="1:8">
      <c r="A37" s="1631"/>
      <c r="B37" s="1631"/>
      <c r="C37" s="1631"/>
      <c r="D37" s="1631"/>
      <c r="E37" s="1631"/>
      <c r="F37" s="1631"/>
      <c r="G37" s="1631"/>
      <c r="H37" s="1631"/>
    </row>
    <row r="38" spans="1:8">
      <c r="A38" s="103" t="str">
        <f>COMPANY</f>
        <v>DUKE ENERGY KENTUCKY, INC.</v>
      </c>
      <c r="B38" s="2585"/>
      <c r="C38" s="2589"/>
      <c r="D38" s="2585"/>
      <c r="E38" s="2585"/>
      <c r="F38" s="2585"/>
      <c r="G38" s="2585"/>
      <c r="H38" s="1631"/>
    </row>
    <row r="39" spans="1:8">
      <c r="A39" s="103" t="str">
        <f>CASE</f>
        <v>CASE NO. 2017-00321</v>
      </c>
      <c r="B39" s="2585"/>
      <c r="C39" s="2589"/>
      <c r="D39" s="2585"/>
      <c r="E39" s="2585"/>
      <c r="F39" s="2585"/>
      <c r="G39" s="2585"/>
      <c r="H39" s="1631"/>
    </row>
    <row r="40" spans="1:8">
      <c r="A40" s="103" t="s">
        <v>21</v>
      </c>
      <c r="B40" s="2585"/>
      <c r="C40" s="2589"/>
      <c r="D40" s="2585"/>
      <c r="E40" s="2585"/>
      <c r="F40" s="2585"/>
      <c r="G40" s="2585"/>
      <c r="H40" s="1631"/>
    </row>
    <row r="41" spans="1:8">
      <c r="A41" s="103" t="s">
        <v>1791</v>
      </c>
      <c r="B41" s="2585"/>
      <c r="C41" s="2589"/>
      <c r="D41" s="2585"/>
      <c r="E41" s="2585"/>
      <c r="F41" s="2585"/>
      <c r="G41" s="2585"/>
      <c r="H41" s="1631"/>
    </row>
    <row r="42" spans="1:8">
      <c r="A42" s="76" t="str">
        <f>"AS OF " &amp;RIGHT(Forecast,(LEN(Forecast)-16))</f>
        <v>AS OF MARCH 31, 2019</v>
      </c>
      <c r="B42" s="2585"/>
      <c r="C42" s="2589"/>
      <c r="D42" s="2585"/>
      <c r="E42" s="2585"/>
      <c r="F42" s="2585"/>
      <c r="G42" s="2585"/>
      <c r="H42" s="1631"/>
    </row>
    <row r="43" spans="1:8">
      <c r="A43" s="1541"/>
      <c r="B43" s="1541"/>
      <c r="C43" s="1541"/>
      <c r="D43" s="1541"/>
      <c r="E43" s="1541"/>
      <c r="F43" s="1541"/>
      <c r="G43" s="1541"/>
      <c r="H43" s="1631"/>
    </row>
    <row r="44" spans="1:8">
      <c r="A44" s="1541"/>
      <c r="B44" s="1541"/>
      <c r="C44" s="1541"/>
      <c r="D44" s="1541"/>
      <c r="E44" s="1541"/>
      <c r="F44" s="1541"/>
      <c r="G44" s="1541"/>
      <c r="H44" s="1631"/>
    </row>
    <row r="45" spans="1:8">
      <c r="A45" s="1541"/>
      <c r="B45" s="1541"/>
      <c r="C45" s="1541"/>
      <c r="D45" s="1541"/>
      <c r="E45" s="1541"/>
      <c r="F45" s="1541"/>
      <c r="G45" s="1541"/>
      <c r="H45" s="1631"/>
    </row>
    <row r="46" spans="1:8">
      <c r="A46" s="1506" t="str">
        <f>DataF</f>
        <v>DATA:  BASE PERIOD  "X" FORECASTED PERIOD</v>
      </c>
      <c r="B46" s="1541"/>
      <c r="C46" s="1541"/>
      <c r="D46" s="1541"/>
      <c r="E46" s="1541"/>
      <c r="F46" s="1506" t="s">
        <v>22</v>
      </c>
      <c r="G46" s="1631"/>
      <c r="H46" s="1631"/>
    </row>
    <row r="47" spans="1:8">
      <c r="A47" s="1506" t="str">
        <f>Type</f>
        <v xml:space="preserve">TYPE OF FILING:  "X" ORIGINAL   UPDATED    REVISED  </v>
      </c>
      <c r="B47" s="1541"/>
      <c r="C47" s="1541"/>
      <c r="D47" s="1541"/>
      <c r="E47" s="1541"/>
      <c r="F47" s="1506" t="s">
        <v>86</v>
      </c>
      <c r="G47" s="1631"/>
      <c r="H47" s="1631"/>
    </row>
    <row r="48" spans="1:8">
      <c r="A48" s="1506" t="s">
        <v>1879</v>
      </c>
      <c r="B48" s="1541"/>
      <c r="C48" s="1541"/>
      <c r="D48" s="1541"/>
      <c r="E48" s="1541"/>
      <c r="F48" s="2586" t="s">
        <v>622</v>
      </c>
      <c r="G48" s="1631"/>
      <c r="H48" s="1631"/>
    </row>
    <row r="49" spans="1:8">
      <c r="A49" s="1541"/>
      <c r="B49" s="1541"/>
      <c r="C49" s="1541"/>
      <c r="D49" s="1541"/>
      <c r="E49" s="1541"/>
      <c r="F49" s="2586" t="str">
        <f>_WIT7</f>
        <v>R. H. PRATT / C. S. LEE</v>
      </c>
      <c r="G49" s="1631"/>
      <c r="H49" s="1631"/>
    </row>
    <row r="50" spans="1:8">
      <c r="A50" s="1541"/>
      <c r="B50" s="1541"/>
      <c r="C50" s="1541"/>
      <c r="D50" s="1541"/>
      <c r="E50" s="1541"/>
      <c r="F50" s="1541"/>
      <c r="G50" s="1541"/>
      <c r="H50" s="1631"/>
    </row>
    <row r="51" spans="1:8">
      <c r="A51" s="1541"/>
      <c r="B51" s="1541"/>
      <c r="C51" s="1541"/>
      <c r="D51" s="1541"/>
      <c r="E51" s="1541"/>
      <c r="F51" s="1541"/>
      <c r="G51" s="1541"/>
      <c r="H51" s="1631"/>
    </row>
    <row r="52" spans="1:8">
      <c r="A52" s="1621"/>
      <c r="B52" s="1621"/>
      <c r="C52" s="1621"/>
      <c r="D52" s="1621"/>
      <c r="E52" s="1621"/>
      <c r="F52" s="2679" t="s">
        <v>23</v>
      </c>
      <c r="G52" s="1621"/>
      <c r="H52" s="1631"/>
    </row>
    <row r="53" spans="1:8">
      <c r="A53" s="1505" t="s">
        <v>24</v>
      </c>
      <c r="B53" s="1541"/>
      <c r="C53" s="1541"/>
      <c r="D53" s="1631"/>
      <c r="E53" s="1631"/>
      <c r="F53" s="1505" t="s">
        <v>25</v>
      </c>
      <c r="G53" s="1541"/>
      <c r="H53" s="1631"/>
    </row>
    <row r="54" spans="1:8">
      <c r="A54" s="1505" t="s">
        <v>352</v>
      </c>
      <c r="B54" s="1505" t="s">
        <v>353</v>
      </c>
      <c r="C54" s="1505" t="s">
        <v>354</v>
      </c>
      <c r="D54" s="1505" t="s">
        <v>355</v>
      </c>
      <c r="E54" s="1505" t="s">
        <v>356</v>
      </c>
      <c r="F54" s="1505" t="s">
        <v>357</v>
      </c>
      <c r="G54" s="1505" t="s">
        <v>358</v>
      </c>
      <c r="H54" s="1631"/>
    </row>
    <row r="55" spans="1:8">
      <c r="A55" s="1505" t="s">
        <v>359</v>
      </c>
      <c r="B55" s="1505" t="s">
        <v>33</v>
      </c>
      <c r="C55" s="1505" t="s">
        <v>34</v>
      </c>
      <c r="D55" s="1505" t="s">
        <v>35</v>
      </c>
      <c r="E55" s="1505" t="s">
        <v>36</v>
      </c>
      <c r="F55" s="1505" t="s">
        <v>127</v>
      </c>
      <c r="G55" s="1505" t="s">
        <v>491</v>
      </c>
      <c r="H55" s="1631"/>
    </row>
    <row r="56" spans="1:8">
      <c r="A56" s="1541"/>
      <c r="B56" s="1541"/>
      <c r="C56" s="1541"/>
      <c r="D56" s="1541"/>
      <c r="E56" s="1541"/>
      <c r="F56" s="1541"/>
      <c r="G56" s="1541"/>
      <c r="H56" s="1631"/>
    </row>
    <row r="57" spans="1:8">
      <c r="A57" s="1621"/>
      <c r="B57" s="1621"/>
      <c r="C57" s="1621"/>
      <c r="D57" s="1621"/>
      <c r="E57" s="1621"/>
      <c r="F57" s="1621"/>
      <c r="G57" s="1621"/>
      <c r="H57" s="1631"/>
    </row>
    <row r="58" spans="1:8">
      <c r="A58" s="1541"/>
      <c r="B58" s="1630" t="s">
        <v>2299</v>
      </c>
      <c r="C58" s="1485" t="s">
        <v>2300</v>
      </c>
      <c r="D58" s="1727" t="s">
        <v>1680</v>
      </c>
      <c r="E58" s="1633">
        <v>1515</v>
      </c>
      <c r="F58" s="1634">
        <v>155032</v>
      </c>
      <c r="G58" s="1485" t="s">
        <v>908</v>
      </c>
      <c r="H58" s="1631"/>
    </row>
    <row r="59" spans="1:8">
      <c r="A59" s="1541"/>
      <c r="B59" s="1630"/>
      <c r="C59" s="1485"/>
      <c r="D59" s="1727"/>
      <c r="E59" s="1484"/>
      <c r="F59" s="1484"/>
      <c r="G59" s="1485" t="s">
        <v>909</v>
      </c>
      <c r="H59" s="1631"/>
    </row>
    <row r="60" spans="1:8">
      <c r="A60" s="1631"/>
      <c r="B60" s="1925"/>
      <c r="C60" s="1925"/>
      <c r="D60" s="2590"/>
      <c r="E60" s="1484"/>
      <c r="F60" s="1484"/>
      <c r="G60" s="1925"/>
      <c r="H60" s="1631"/>
    </row>
    <row r="61" spans="1:8">
      <c r="A61" s="1631"/>
      <c r="B61" s="1630" t="s">
        <v>2301</v>
      </c>
      <c r="C61" s="1485" t="s">
        <v>2300</v>
      </c>
      <c r="D61" s="2591" t="s">
        <v>1680</v>
      </c>
      <c r="E61" s="1633">
        <v>7817</v>
      </c>
      <c r="F61" s="1634">
        <v>800028</v>
      </c>
      <c r="G61" s="1485" t="s">
        <v>908</v>
      </c>
      <c r="H61" s="1631"/>
    </row>
    <row r="62" spans="1:8">
      <c r="A62" s="1631"/>
      <c r="B62" s="1630"/>
      <c r="C62" s="1630"/>
      <c r="D62" s="2591"/>
      <c r="E62" s="1635"/>
      <c r="F62" s="1635"/>
      <c r="G62" s="1485" t="s">
        <v>909</v>
      </c>
      <c r="H62" s="1631"/>
    </row>
    <row r="63" spans="1:8">
      <c r="A63" s="1631"/>
      <c r="B63" s="1630"/>
      <c r="C63" s="1630"/>
      <c r="D63" s="2591"/>
      <c r="E63" s="1635"/>
      <c r="F63" s="1635"/>
      <c r="G63" s="1485"/>
      <c r="H63" s="1631"/>
    </row>
    <row r="64" spans="1:8">
      <c r="A64" s="1631"/>
      <c r="B64" s="1630" t="s">
        <v>317</v>
      </c>
      <c r="C64" s="1485" t="s">
        <v>2300</v>
      </c>
      <c r="D64" s="1727" t="s">
        <v>1680</v>
      </c>
      <c r="E64" s="1633">
        <v>0</v>
      </c>
      <c r="F64" s="1634">
        <v>0</v>
      </c>
      <c r="G64" s="1485" t="s">
        <v>908</v>
      </c>
      <c r="H64" s="1631"/>
    </row>
    <row r="65" spans="1:8">
      <c r="A65" s="1631"/>
      <c r="B65" s="1630"/>
      <c r="C65" s="1485"/>
      <c r="D65" s="1727"/>
      <c r="E65" s="1484"/>
      <c r="F65" s="1484"/>
      <c r="G65" s="1485" t="s">
        <v>909</v>
      </c>
      <c r="H65" s="1631"/>
    </row>
    <row r="66" spans="1:8">
      <c r="A66" s="1631"/>
      <c r="B66" s="1630"/>
      <c r="C66" s="1630"/>
      <c r="D66" s="2591"/>
      <c r="E66" s="1635"/>
      <c r="F66" s="1635"/>
      <c r="G66" s="1485"/>
      <c r="H66" s="1631"/>
    </row>
    <row r="67" spans="1:8">
      <c r="A67" s="1631"/>
      <c r="B67" s="1630" t="s">
        <v>2302</v>
      </c>
      <c r="C67" s="1630" t="s">
        <v>332</v>
      </c>
      <c r="D67" s="1727" t="s">
        <v>1680</v>
      </c>
      <c r="E67" s="1636">
        <v>20418</v>
      </c>
      <c r="F67" s="1637">
        <v>2100000</v>
      </c>
      <c r="G67" s="1485" t="s">
        <v>908</v>
      </c>
      <c r="H67" s="1631"/>
    </row>
    <row r="68" spans="1:8">
      <c r="A68" s="1631"/>
      <c r="B68" s="1630"/>
      <c r="C68" s="1630"/>
      <c r="D68" s="1630"/>
      <c r="E68" s="1630"/>
      <c r="F68" s="1630"/>
      <c r="G68" s="1485" t="s">
        <v>909</v>
      </c>
      <c r="H68" s="1631"/>
    </row>
    <row r="69" spans="1:8">
      <c r="A69" s="1631"/>
      <c r="B69" s="1631"/>
      <c r="C69" s="1631"/>
      <c r="D69" s="1631"/>
      <c r="E69" s="1631"/>
      <c r="F69" s="1631"/>
      <c r="G69" s="1631"/>
      <c r="H69" s="1631"/>
    </row>
    <row r="70" spans="1:8">
      <c r="A70" s="1631"/>
      <c r="B70" s="1541" t="s">
        <v>2303</v>
      </c>
      <c r="C70" s="1631"/>
      <c r="D70" s="1631"/>
      <c r="E70" s="1632">
        <f>SUM(E58:E67)</f>
        <v>29750</v>
      </c>
      <c r="F70" s="1632">
        <f>SUM(F58:F67)</f>
        <v>3055060</v>
      </c>
      <c r="G70" s="1631"/>
      <c r="H70" s="1631"/>
    </row>
    <row r="71" spans="1:8">
      <c r="A71" s="1631"/>
      <c r="B71" s="1631"/>
      <c r="C71" s="1631"/>
      <c r="D71" s="1631"/>
      <c r="E71" s="1631"/>
      <c r="F71" s="1631"/>
      <c r="G71" s="1631"/>
      <c r="H71" s="1631"/>
    </row>
    <row r="72" spans="1:8">
      <c r="A72" s="1631"/>
      <c r="B72" s="1631"/>
      <c r="C72" s="1631"/>
      <c r="D72" s="1631"/>
      <c r="E72" s="1631"/>
      <c r="F72" s="1631"/>
      <c r="G72" s="1631"/>
      <c r="H72" s="1631"/>
    </row>
  </sheetData>
  <printOptions horizontalCentered="1"/>
  <pageMargins left="0.75" right="0.75" top="1" bottom="1" header="0.5" footer="0.5"/>
  <pageSetup scale="59" orientation="landscape" horizontalDpi="300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>
    <tabColor rgb="FF0000FF"/>
  </sheetPr>
  <dimension ref="A1:AN39"/>
  <sheetViews>
    <sheetView tabSelected="1" view="pageBreakPreview" zoomScale="60" zoomScaleNormal="75" workbookViewId="0">
      <selection activeCell="G1" sqref="G1"/>
    </sheetView>
  </sheetViews>
  <sheetFormatPr defaultColWidth="8" defaultRowHeight="12.75"/>
  <cols>
    <col min="1" max="1" width="4.42578125" customWidth="1"/>
    <col min="2" max="2" width="7.85546875" customWidth="1"/>
    <col min="3" max="3" width="1.5703125" customWidth="1"/>
    <col min="4" max="4" width="8" customWidth="1"/>
    <col min="5" max="5" width="1.42578125" customWidth="1"/>
    <col min="6" max="6" width="13.42578125" customWidth="1"/>
    <col min="7" max="7" width="1.42578125" customWidth="1"/>
    <col min="8" max="8" width="8" customWidth="1"/>
    <col min="9" max="9" width="1.140625" customWidth="1"/>
    <col min="10" max="10" width="8" customWidth="1"/>
    <col min="11" max="11" width="1.28515625" customWidth="1"/>
    <col min="12" max="12" width="7.7109375" customWidth="1"/>
    <col min="13" max="13" width="1.28515625" customWidth="1"/>
    <col min="14" max="14" width="8" customWidth="1"/>
    <col min="15" max="15" width="1.140625" customWidth="1"/>
    <col min="16" max="16" width="8" customWidth="1"/>
    <col min="17" max="17" width="1.140625" customWidth="1"/>
    <col min="18" max="18" width="8" customWidth="1"/>
    <col min="19" max="19" width="1" customWidth="1"/>
    <col min="20" max="20" width="9" customWidth="1"/>
    <col min="21" max="21" width="1.140625" customWidth="1"/>
    <col min="22" max="22" width="9" customWidth="1"/>
    <col min="23" max="23" width="2.140625" customWidth="1"/>
    <col min="24" max="24" width="15.28515625" customWidth="1"/>
    <col min="25" max="25" width="2.42578125" customWidth="1"/>
  </cols>
  <sheetData>
    <row r="1" spans="1:40" ht="12" customHeight="1">
      <c r="A1" s="1225"/>
      <c r="B1" s="1226"/>
      <c r="C1" s="1226"/>
      <c r="D1" s="1226"/>
      <c r="E1" s="1226"/>
      <c r="F1" s="1226"/>
      <c r="G1" s="1226"/>
      <c r="H1" s="1226"/>
      <c r="I1" s="1226"/>
      <c r="J1" s="1226"/>
      <c r="K1" s="1226"/>
      <c r="L1" s="1226"/>
      <c r="M1" s="1226"/>
      <c r="N1" s="1226"/>
      <c r="O1" s="1226"/>
      <c r="P1" s="1226"/>
      <c r="Q1" s="1226"/>
      <c r="R1" s="1226"/>
      <c r="S1" s="1226"/>
      <c r="T1" s="1226"/>
      <c r="U1" s="1226"/>
      <c r="V1" s="1226"/>
      <c r="W1" s="1227"/>
      <c r="X1" s="1228"/>
      <c r="Y1" s="1227"/>
      <c r="Z1" s="1225"/>
      <c r="AA1" s="1225"/>
      <c r="AB1" s="1225"/>
      <c r="AC1" s="1225"/>
      <c r="AD1" s="1225"/>
      <c r="AE1" s="1225"/>
      <c r="AF1" s="1225"/>
      <c r="AG1" s="1225"/>
      <c r="AH1" s="1225"/>
      <c r="AI1" s="1225"/>
      <c r="AJ1" s="1225"/>
      <c r="AK1" s="1225"/>
      <c r="AL1" s="1225"/>
      <c r="AM1" s="1225"/>
      <c r="AN1" s="1225"/>
    </row>
    <row r="2" spans="1:40" ht="15" customHeight="1">
      <c r="A2" s="1225"/>
      <c r="B2" s="1225"/>
      <c r="C2" s="1225"/>
      <c r="D2" s="1227"/>
      <c r="E2" s="1225"/>
      <c r="F2" s="1227"/>
      <c r="G2" s="1225"/>
      <c r="H2" s="1225"/>
      <c r="I2" s="1225"/>
      <c r="J2" s="1225"/>
      <c r="K2" s="1225"/>
      <c r="L2" s="1225"/>
      <c r="M2" s="1225"/>
      <c r="N2" s="1225"/>
      <c r="O2" s="1225"/>
      <c r="P2" s="1225"/>
      <c r="Q2" s="1225"/>
      <c r="R2" s="1225"/>
      <c r="S2" s="1225"/>
      <c r="T2" s="1225"/>
      <c r="U2" s="1225"/>
      <c r="V2" s="1225"/>
      <c r="W2" s="1225"/>
      <c r="X2" s="1225"/>
      <c r="Y2" s="1225"/>
      <c r="Z2" s="1225"/>
      <c r="AA2" s="1225"/>
      <c r="AB2" s="1225"/>
      <c r="AC2" s="1225"/>
      <c r="AD2" s="1225"/>
      <c r="AE2" s="1225"/>
      <c r="AF2" s="1225"/>
      <c r="AG2" s="1225"/>
      <c r="AH2" s="1225"/>
      <c r="AI2" s="1225"/>
      <c r="AJ2" s="1225"/>
      <c r="AK2" s="1225"/>
      <c r="AL2" s="1225"/>
      <c r="AM2" s="1225"/>
      <c r="AN2" s="1225"/>
    </row>
    <row r="3" spans="1:40" ht="15" customHeight="1">
      <c r="A3" s="1225"/>
      <c r="B3" s="1225"/>
      <c r="C3" s="1225"/>
      <c r="D3" s="1227"/>
      <c r="E3" s="1225"/>
      <c r="F3" s="1227"/>
      <c r="G3" s="1225"/>
      <c r="H3" s="1225"/>
      <c r="I3" s="1225"/>
      <c r="J3" s="1225"/>
      <c r="K3" s="1225"/>
      <c r="L3" s="1225"/>
      <c r="M3" s="1225"/>
      <c r="N3" s="1225"/>
      <c r="O3" s="1225"/>
      <c r="P3" s="1225"/>
      <c r="Q3" s="1225"/>
      <c r="R3" s="1225"/>
      <c r="S3" s="1225"/>
      <c r="T3" s="1225"/>
      <c r="U3" s="1225"/>
      <c r="V3" s="1225"/>
      <c r="W3" s="1225"/>
      <c r="X3" s="1225"/>
      <c r="Y3" s="1225"/>
      <c r="Z3" s="1225"/>
      <c r="AA3" s="1225"/>
      <c r="AB3" s="1225"/>
      <c r="AC3" s="1225"/>
      <c r="AD3" s="1225"/>
      <c r="AE3" s="1225"/>
      <c r="AF3" s="1225"/>
      <c r="AG3" s="1225"/>
      <c r="AH3" s="1225"/>
      <c r="AI3" s="1225"/>
      <c r="AJ3" s="1225"/>
      <c r="AK3" s="1225"/>
      <c r="AL3" s="1225"/>
      <c r="AM3" s="1225"/>
      <c r="AN3" s="1225"/>
    </row>
    <row r="4" spans="1:40" ht="15" customHeight="1">
      <c r="A4" s="1225"/>
      <c r="B4" s="1225"/>
      <c r="C4" s="1225"/>
      <c r="D4" s="1227"/>
      <c r="E4" s="1225"/>
      <c r="F4" s="1227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</row>
    <row r="5" spans="1:40" ht="15" customHeight="1">
      <c r="A5" s="1225"/>
      <c r="B5" s="1225"/>
      <c r="C5" s="1225"/>
      <c r="D5" s="1227"/>
      <c r="E5" s="1225"/>
      <c r="F5" s="1227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</row>
    <row r="6" spans="1:40" ht="15" customHeight="1">
      <c r="A6" s="1225"/>
      <c r="B6" s="1225"/>
      <c r="C6" s="1225"/>
      <c r="D6" s="1227"/>
      <c r="E6" s="1225"/>
      <c r="F6" s="1227"/>
      <c r="G6" s="1225"/>
      <c r="H6" s="1225"/>
      <c r="I6" s="1225"/>
      <c r="J6" s="1225"/>
      <c r="K6" s="1225"/>
      <c r="L6" s="1225"/>
      <c r="M6" s="1225"/>
      <c r="N6" s="1225"/>
      <c r="O6" s="1225"/>
      <c r="P6" s="1225"/>
      <c r="Q6" s="1225"/>
      <c r="R6" s="1225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1225"/>
      <c r="AD6" s="1225"/>
      <c r="AE6" s="1225"/>
      <c r="AF6" s="1225"/>
      <c r="AG6" s="1225"/>
      <c r="AH6" s="1225"/>
      <c r="AI6" s="1225"/>
      <c r="AJ6" s="1225"/>
      <c r="AK6" s="1225"/>
      <c r="AL6" s="1225"/>
      <c r="AM6" s="1225"/>
      <c r="AN6" s="1225"/>
    </row>
    <row r="7" spans="1:40" ht="15" customHeight="1">
      <c r="A7" s="1225"/>
      <c r="B7" s="1225"/>
      <c r="C7" s="1225"/>
      <c r="D7" s="1227"/>
      <c r="E7" s="1225"/>
      <c r="F7" s="1227"/>
      <c r="G7" s="1225"/>
      <c r="H7" s="1225"/>
      <c r="I7" s="1225"/>
      <c r="J7" s="1225"/>
      <c r="K7" s="1225"/>
      <c r="L7" s="1225"/>
      <c r="M7" s="1225"/>
      <c r="N7" s="1225"/>
      <c r="O7" s="1225"/>
      <c r="P7" s="1225"/>
      <c r="Q7" s="1225"/>
      <c r="R7" s="1225"/>
      <c r="S7" s="1225"/>
      <c r="T7" s="1225"/>
      <c r="U7" s="1225"/>
      <c r="V7" s="1225"/>
      <c r="W7" s="1225"/>
      <c r="X7" s="1225"/>
      <c r="Y7" s="1225"/>
      <c r="Z7" s="1225"/>
      <c r="AA7" s="1225"/>
      <c r="AB7" s="1225"/>
      <c r="AC7" s="1225"/>
      <c r="AD7" s="1225"/>
      <c r="AE7" s="1225"/>
      <c r="AF7" s="1225"/>
      <c r="AG7" s="1225"/>
      <c r="AH7" s="1225"/>
      <c r="AI7" s="1225"/>
      <c r="AJ7" s="1225"/>
      <c r="AK7" s="1225"/>
      <c r="AL7" s="1225"/>
      <c r="AM7" s="1225"/>
      <c r="AN7" s="1225"/>
    </row>
    <row r="8" spans="1:40" ht="14.45" customHeight="1">
      <c r="A8" s="1225"/>
      <c r="B8" s="1225"/>
      <c r="C8" s="1225"/>
      <c r="D8" s="1225"/>
      <c r="E8" s="1225"/>
      <c r="F8" s="1227"/>
      <c r="G8" s="1225"/>
      <c r="H8" s="1225"/>
      <c r="I8" s="1225"/>
      <c r="J8" s="1225"/>
      <c r="K8" s="1225"/>
      <c r="L8" s="1225"/>
      <c r="M8" s="1225"/>
      <c r="N8" s="1225"/>
      <c r="O8" s="1225"/>
      <c r="P8" s="1225"/>
      <c r="Q8" s="1225"/>
      <c r="R8" s="1225"/>
      <c r="S8" s="1225"/>
      <c r="T8" s="1225"/>
      <c r="U8" s="1225"/>
      <c r="V8" s="1225"/>
      <c r="W8" s="1225"/>
      <c r="X8" s="1225"/>
      <c r="Y8" s="1225"/>
      <c r="Z8" s="1225"/>
      <c r="AA8" s="1225"/>
      <c r="AB8" s="1225"/>
      <c r="AC8" s="1225"/>
      <c r="AD8" s="1225"/>
      <c r="AE8" s="1225"/>
      <c r="AF8" s="1225"/>
      <c r="AG8" s="1225"/>
      <c r="AH8" s="1225"/>
      <c r="AI8" s="1225"/>
      <c r="AJ8" s="1225"/>
      <c r="AK8" s="1225"/>
      <c r="AL8" s="1225"/>
      <c r="AM8" s="1225"/>
      <c r="AN8" s="1225"/>
    </row>
    <row r="9" spans="1:40" ht="15" customHeight="1">
      <c r="A9" s="1225"/>
      <c r="B9" s="1225"/>
      <c r="C9" s="1225"/>
      <c r="D9" s="1225"/>
      <c r="E9" s="1225"/>
      <c r="F9" s="1227"/>
      <c r="G9" s="1225"/>
      <c r="H9" s="1225"/>
      <c r="I9" s="1225"/>
      <c r="J9" s="1225"/>
      <c r="K9" s="1225"/>
      <c r="L9" s="1225"/>
      <c r="M9" s="1225"/>
      <c r="N9" s="1225"/>
      <c r="O9" s="1225"/>
      <c r="P9" s="1225"/>
      <c r="Q9" s="1225"/>
      <c r="R9" s="1225"/>
      <c r="S9" s="1225"/>
      <c r="T9" s="1225"/>
      <c r="U9" s="1225"/>
      <c r="V9" s="1225"/>
      <c r="W9" s="1225"/>
      <c r="X9" s="1225"/>
      <c r="Y9" s="1225"/>
      <c r="Z9" s="1225"/>
      <c r="AA9" s="1225"/>
      <c r="AB9" s="1225"/>
      <c r="AC9" s="1225"/>
      <c r="AD9" s="1225"/>
      <c r="AE9" s="1225"/>
      <c r="AF9" s="1225"/>
      <c r="AG9" s="1225"/>
      <c r="AH9" s="1225"/>
      <c r="AI9" s="1225"/>
      <c r="AJ9" s="1225"/>
      <c r="AK9" s="1225"/>
      <c r="AL9" s="1225"/>
      <c r="AM9" s="1225"/>
      <c r="AN9" s="1225"/>
    </row>
    <row r="10" spans="1:40" ht="15" customHeight="1">
      <c r="A10" s="1225"/>
      <c r="B10" s="1225"/>
      <c r="C10" s="1225"/>
      <c r="D10" s="1225"/>
      <c r="E10" s="1225"/>
      <c r="F10" s="1227"/>
      <c r="G10" s="1225"/>
      <c r="H10" s="1225"/>
      <c r="I10" s="1225"/>
      <c r="J10" s="1225"/>
      <c r="K10" s="1225"/>
      <c r="L10" s="1225"/>
      <c r="M10" s="1225"/>
      <c r="N10" s="1225"/>
      <c r="O10" s="1225"/>
      <c r="P10" s="1225"/>
      <c r="Q10" s="1225"/>
      <c r="R10" s="1225"/>
      <c r="S10" s="1225"/>
      <c r="T10" s="1225"/>
      <c r="U10" s="1225"/>
      <c r="V10" s="1225"/>
      <c r="W10" s="1225"/>
      <c r="X10" s="1225"/>
      <c r="Y10" s="1225"/>
      <c r="Z10" s="1225"/>
      <c r="AA10" s="1225"/>
      <c r="AB10" s="1225"/>
      <c r="AC10" s="1225"/>
      <c r="AD10" s="1225"/>
      <c r="AE10" s="1225"/>
      <c r="AF10" s="1225"/>
      <c r="AG10" s="1225"/>
      <c r="AH10" s="1225"/>
      <c r="AI10" s="1225"/>
      <c r="AJ10" s="1225"/>
      <c r="AK10" s="1225"/>
      <c r="AL10" s="1225"/>
      <c r="AM10" s="1225"/>
      <c r="AN10" s="1225"/>
    </row>
    <row r="11" spans="1:40" ht="15" customHeight="1">
      <c r="A11" s="1225"/>
      <c r="B11" s="1225"/>
      <c r="C11" s="1225"/>
      <c r="D11" s="1225"/>
      <c r="E11" s="1225"/>
      <c r="F11" s="1227"/>
      <c r="G11" s="1225"/>
      <c r="H11" s="1225"/>
      <c r="I11" s="1225"/>
      <c r="J11" s="1225"/>
      <c r="K11" s="1225"/>
      <c r="L11" s="1225"/>
      <c r="M11" s="1225"/>
      <c r="N11" s="1225"/>
      <c r="O11" s="1225"/>
      <c r="P11" s="1225"/>
      <c r="Q11" s="1225"/>
      <c r="R11" s="1225"/>
      <c r="S11" s="1225"/>
      <c r="T11" s="1225"/>
      <c r="U11" s="1225"/>
      <c r="V11" s="1225"/>
      <c r="W11" s="1225"/>
      <c r="X11" s="1225"/>
      <c r="Y11" s="1225"/>
      <c r="Z11" s="1225"/>
      <c r="AA11" s="1225"/>
      <c r="AB11" s="1225"/>
      <c r="AC11" s="1225"/>
      <c r="AD11" s="1225"/>
      <c r="AE11" s="1225"/>
      <c r="AF11" s="1225"/>
      <c r="AG11" s="1225"/>
      <c r="AH11" s="1225"/>
      <c r="AI11" s="1225"/>
      <c r="AJ11" s="1225"/>
      <c r="AK11" s="1225"/>
      <c r="AL11" s="1225"/>
      <c r="AM11" s="1225"/>
      <c r="AN11" s="1225"/>
    </row>
    <row r="12" spans="1:40" ht="15" customHeight="1">
      <c r="A12" s="1225"/>
      <c r="B12" s="1225"/>
      <c r="C12" s="1225"/>
      <c r="D12" s="1225"/>
      <c r="E12" s="1225"/>
      <c r="F12" s="1227"/>
      <c r="G12" s="1225"/>
      <c r="H12" s="1225"/>
      <c r="I12" s="1225"/>
      <c r="J12" s="1225"/>
      <c r="K12" s="1225"/>
      <c r="L12" s="1225"/>
      <c r="M12" s="1225"/>
      <c r="N12" s="1225"/>
      <c r="O12" s="1225"/>
      <c r="P12" s="1225"/>
      <c r="Q12" s="1225"/>
      <c r="R12" s="1225"/>
      <c r="S12" s="1225"/>
      <c r="T12" s="1225"/>
      <c r="U12" s="1225"/>
      <c r="V12" s="1225"/>
      <c r="W12" s="1225"/>
      <c r="X12" s="1225"/>
      <c r="Y12" s="1225"/>
      <c r="Z12" s="1225"/>
      <c r="AA12" s="1225"/>
      <c r="AB12" s="1225"/>
      <c r="AC12" s="1225"/>
      <c r="AD12" s="1225"/>
      <c r="AE12" s="1225"/>
      <c r="AF12" s="1225"/>
      <c r="AG12" s="1225"/>
      <c r="AH12" s="1225"/>
      <c r="AI12" s="1225"/>
      <c r="AJ12" s="1225"/>
      <c r="AK12" s="1225"/>
      <c r="AL12" s="1225"/>
      <c r="AM12" s="1225"/>
      <c r="AN12" s="1225"/>
    </row>
    <row r="13" spans="1:40" ht="15" customHeight="1">
      <c r="A13" s="1225"/>
      <c r="B13" s="1225"/>
      <c r="C13" s="1225"/>
      <c r="D13" s="1225"/>
      <c r="E13" s="1225"/>
      <c r="F13" s="1227"/>
      <c r="G13" s="1225"/>
      <c r="H13" s="1225"/>
      <c r="I13" s="1225"/>
      <c r="J13" s="1225"/>
      <c r="K13" s="1225"/>
      <c r="L13" s="1225"/>
      <c r="M13" s="1225"/>
      <c r="N13" s="1225"/>
      <c r="O13" s="1225"/>
      <c r="P13" s="1225"/>
      <c r="Q13" s="1225"/>
      <c r="R13" s="1225"/>
      <c r="S13" s="1225"/>
      <c r="T13" s="1225"/>
      <c r="U13" s="1225"/>
      <c r="V13" s="1225"/>
      <c r="W13" s="1225"/>
      <c r="X13" s="1225"/>
      <c r="Y13" s="1225"/>
      <c r="Z13" s="1225"/>
      <c r="AA13" s="1225"/>
      <c r="AB13" s="1225"/>
      <c r="AC13" s="1225"/>
      <c r="AD13" s="1225"/>
      <c r="AE13" s="1225"/>
      <c r="AF13" s="1225"/>
      <c r="AG13" s="1225"/>
      <c r="AH13" s="1225"/>
      <c r="AI13" s="1225"/>
      <c r="AJ13" s="1225"/>
      <c r="AK13" s="1225"/>
      <c r="AL13" s="1225"/>
      <c r="AM13" s="1225"/>
      <c r="AN13" s="1225"/>
    </row>
    <row r="14" spans="1:40" ht="15" customHeight="1">
      <c r="A14" s="1225"/>
      <c r="B14" s="1225"/>
      <c r="C14" s="1225"/>
      <c r="D14" s="1225"/>
      <c r="E14" s="1225"/>
      <c r="F14" s="1227"/>
      <c r="G14" s="1225"/>
      <c r="H14" s="1225"/>
      <c r="I14" s="1225"/>
      <c r="J14" s="1225"/>
      <c r="K14" s="1225"/>
      <c r="L14" s="1225"/>
      <c r="M14" s="1225"/>
      <c r="N14" s="1225"/>
      <c r="O14" s="1225"/>
      <c r="P14" s="1225"/>
      <c r="Q14" s="1225"/>
      <c r="R14" s="1225"/>
      <c r="S14" s="1225"/>
      <c r="T14" s="1225"/>
      <c r="U14" s="1225"/>
      <c r="V14" s="1225"/>
      <c r="W14" s="1225"/>
      <c r="X14" s="1225"/>
      <c r="Y14" s="1225"/>
      <c r="Z14" s="1225"/>
      <c r="AA14" s="1225"/>
      <c r="AB14" s="1225"/>
      <c r="AC14" s="1225"/>
      <c r="AD14" s="1225"/>
      <c r="AE14" s="1225"/>
      <c r="AF14" s="1225"/>
      <c r="AG14" s="1225"/>
      <c r="AH14" s="1225"/>
      <c r="AI14" s="1225"/>
      <c r="AJ14" s="1225"/>
      <c r="AK14" s="1225"/>
      <c r="AL14" s="1225"/>
      <c r="AM14" s="1225"/>
      <c r="AN14" s="1225"/>
    </row>
    <row r="15" spans="1:40" ht="15" customHeight="1">
      <c r="A15" s="1225"/>
      <c r="B15" s="1225"/>
      <c r="C15" s="1225"/>
      <c r="D15" s="1225"/>
      <c r="E15" s="1225"/>
      <c r="F15" s="1227"/>
      <c r="G15" s="1225"/>
      <c r="H15" s="1225"/>
      <c r="I15" s="1225"/>
      <c r="J15" s="1225"/>
      <c r="K15" s="1225"/>
      <c r="L15" s="1225"/>
      <c r="M15" s="1225"/>
      <c r="N15" s="1225"/>
      <c r="O15" s="1225"/>
      <c r="P15" s="1225"/>
      <c r="Q15" s="1225"/>
      <c r="R15" s="1225"/>
      <c r="S15" s="1225"/>
      <c r="T15" s="1225"/>
      <c r="U15" s="1225"/>
      <c r="V15" s="1225"/>
      <c r="W15" s="1225"/>
      <c r="X15" s="1225"/>
      <c r="Y15" s="1225"/>
      <c r="Z15" s="1225"/>
      <c r="AA15" s="1225"/>
      <c r="AB15" s="1225"/>
      <c r="AC15" s="1225"/>
      <c r="AD15" s="1225"/>
      <c r="AE15" s="1225"/>
      <c r="AF15" s="1225"/>
      <c r="AG15" s="1225"/>
      <c r="AH15" s="1225"/>
      <c r="AI15" s="1225"/>
      <c r="AJ15" s="1225"/>
      <c r="AK15" s="1225"/>
      <c r="AL15" s="1225"/>
      <c r="AM15" s="1225"/>
      <c r="AN15" s="1225"/>
    </row>
    <row r="16" spans="1:40" ht="15" customHeight="1">
      <c r="A16" s="1225"/>
      <c r="B16" s="1225"/>
      <c r="C16" s="1225"/>
      <c r="D16" s="1225"/>
      <c r="E16" s="1225"/>
      <c r="F16" s="1227"/>
      <c r="G16" s="1225"/>
      <c r="H16" s="1225"/>
      <c r="I16" s="1225"/>
      <c r="J16" s="1225"/>
      <c r="K16" s="1225"/>
      <c r="L16" s="1225"/>
      <c r="M16" s="1225"/>
      <c r="N16" s="1225"/>
      <c r="O16" s="1225"/>
      <c r="P16" s="1225"/>
      <c r="Q16" s="1225"/>
      <c r="R16" s="1225"/>
      <c r="S16" s="1225"/>
      <c r="T16" s="1225"/>
      <c r="U16" s="1225"/>
      <c r="V16" s="1225"/>
      <c r="W16" s="1225"/>
      <c r="X16" s="1225"/>
      <c r="Y16" s="1225"/>
      <c r="Z16" s="1225"/>
      <c r="AA16" s="1225"/>
      <c r="AB16" s="1225"/>
      <c r="AC16" s="1225"/>
      <c r="AD16" s="1225"/>
      <c r="AE16" s="1225"/>
      <c r="AF16" s="1225"/>
      <c r="AG16" s="1225"/>
      <c r="AH16" s="1225"/>
      <c r="AI16" s="1225"/>
      <c r="AJ16" s="1225"/>
      <c r="AK16" s="1225"/>
      <c r="AL16" s="1225"/>
      <c r="AM16" s="1225"/>
      <c r="AN16" s="1225"/>
    </row>
    <row r="17" spans="1:40" ht="15" customHeight="1">
      <c r="A17" s="1225"/>
      <c r="B17" s="1225"/>
      <c r="C17" s="1225"/>
      <c r="D17" s="1225"/>
      <c r="E17" s="1225"/>
      <c r="F17" s="1227"/>
      <c r="G17" s="1225"/>
      <c r="H17" s="1225"/>
      <c r="I17" s="1225"/>
      <c r="J17" s="1225"/>
      <c r="K17" s="1225"/>
      <c r="L17" s="1225"/>
      <c r="M17" s="1225"/>
      <c r="N17" s="1225"/>
      <c r="O17" s="1225"/>
      <c r="P17" s="1225"/>
      <c r="Q17" s="1225"/>
      <c r="R17" s="1225"/>
      <c r="S17" s="1225"/>
      <c r="T17" s="1225"/>
      <c r="U17" s="1225"/>
      <c r="V17" s="1225"/>
      <c r="W17" s="1225"/>
      <c r="X17" s="1225"/>
      <c r="Y17" s="1225"/>
      <c r="Z17" s="1225"/>
      <c r="AA17" s="1225"/>
      <c r="AB17" s="1225"/>
      <c r="AC17" s="1225"/>
      <c r="AD17" s="1225"/>
      <c r="AE17" s="1225"/>
      <c r="AF17" s="1225"/>
      <c r="AG17" s="1225"/>
      <c r="AH17" s="1225"/>
      <c r="AI17" s="1225"/>
      <c r="AJ17" s="1225"/>
      <c r="AK17" s="1225"/>
      <c r="AL17" s="1225"/>
      <c r="AM17" s="1225"/>
      <c r="AN17" s="1225"/>
    </row>
    <row r="18" spans="1:40" ht="15" customHeight="1">
      <c r="A18" s="1225"/>
      <c r="B18" s="1225"/>
      <c r="C18" s="1225"/>
      <c r="D18" s="1225"/>
      <c r="E18" s="1225"/>
      <c r="F18" s="1225"/>
      <c r="G18" s="1225"/>
      <c r="H18" s="1225"/>
      <c r="I18" s="1225"/>
      <c r="J18" s="1225"/>
      <c r="K18" s="1225"/>
      <c r="L18" s="1225"/>
      <c r="M18" s="1225"/>
      <c r="N18" s="1225"/>
      <c r="O18" s="1225"/>
      <c r="P18" s="1225"/>
      <c r="Q18" s="1225"/>
      <c r="R18" s="1225"/>
      <c r="S18" s="1225"/>
      <c r="T18" s="1225"/>
      <c r="U18" s="1225"/>
      <c r="V18" s="1225"/>
      <c r="W18" s="1225"/>
      <c r="X18" s="1225"/>
      <c r="Y18" s="1225"/>
      <c r="Z18" s="1225"/>
      <c r="AA18" s="1225"/>
      <c r="AB18" s="1225"/>
      <c r="AC18" s="1225"/>
      <c r="AD18" s="1225"/>
      <c r="AE18" s="1225"/>
      <c r="AF18" s="1225"/>
      <c r="AG18" s="1225"/>
      <c r="AH18" s="1225"/>
      <c r="AI18" s="1225"/>
      <c r="AJ18" s="1225"/>
      <c r="AK18" s="1225"/>
      <c r="AL18" s="1225"/>
      <c r="AM18" s="1225"/>
      <c r="AN18" s="1225"/>
    </row>
    <row r="19" spans="1:40" ht="15" customHeight="1">
      <c r="A19" s="1225"/>
      <c r="B19" s="1225"/>
      <c r="C19" s="1225"/>
      <c r="D19" s="1225"/>
      <c r="E19" s="1225"/>
      <c r="F19" s="1225"/>
      <c r="G19" s="1225"/>
      <c r="H19" s="1225"/>
      <c r="I19" s="1225"/>
      <c r="J19" s="1225"/>
      <c r="K19" s="1225"/>
      <c r="L19" s="1225"/>
      <c r="M19" s="1225"/>
      <c r="N19" s="1225"/>
      <c r="O19" s="1225"/>
      <c r="P19" s="1225"/>
      <c r="Q19" s="1225"/>
      <c r="R19" s="1225"/>
      <c r="S19" s="1225"/>
      <c r="T19" s="1225"/>
      <c r="U19" s="1225"/>
      <c r="V19" s="1225"/>
      <c r="W19" s="1225"/>
      <c r="X19" s="1225"/>
      <c r="Y19" s="1225"/>
      <c r="Z19" s="1225"/>
      <c r="AA19" s="1225"/>
      <c r="AB19" s="1225"/>
      <c r="AC19" s="1225"/>
      <c r="AD19" s="1225"/>
      <c r="AE19" s="1225"/>
      <c r="AF19" s="1225"/>
      <c r="AG19" s="1225"/>
      <c r="AH19" s="1225"/>
      <c r="AI19" s="1225"/>
      <c r="AJ19" s="1225"/>
      <c r="AK19" s="1225"/>
      <c r="AL19" s="1225"/>
      <c r="AM19" s="1225"/>
      <c r="AN19" s="1225"/>
    </row>
    <row r="20" spans="1:40" ht="15" customHeight="1">
      <c r="A20" s="1225"/>
      <c r="B20" s="1225"/>
      <c r="C20" s="1225"/>
      <c r="D20" s="1225"/>
      <c r="E20" s="1225"/>
      <c r="F20" s="1225"/>
      <c r="G20" s="1225"/>
      <c r="H20" s="1225"/>
      <c r="I20" s="1225"/>
      <c r="J20" s="1225"/>
      <c r="K20" s="1225"/>
      <c r="L20" s="1225"/>
      <c r="M20" s="1225"/>
      <c r="N20" s="1225"/>
      <c r="O20" s="1225"/>
      <c r="P20" s="1225"/>
      <c r="Q20" s="1225"/>
      <c r="R20" s="1225"/>
      <c r="S20" s="1225"/>
      <c r="T20" s="1225"/>
      <c r="U20" s="1225"/>
      <c r="V20" s="1225"/>
      <c r="W20" s="1225"/>
      <c r="X20" s="1225"/>
      <c r="Y20" s="1225"/>
      <c r="Z20" s="1225"/>
      <c r="AA20" s="1225"/>
      <c r="AB20" s="1225"/>
      <c r="AC20" s="1225"/>
      <c r="AD20" s="1225"/>
      <c r="AE20" s="1225"/>
      <c r="AF20" s="1225"/>
      <c r="AG20" s="1225"/>
      <c r="AH20" s="1225"/>
      <c r="AI20" s="1225"/>
      <c r="AJ20" s="1225"/>
      <c r="AK20" s="1225"/>
      <c r="AL20" s="1225"/>
      <c r="AM20" s="1225"/>
      <c r="AN20" s="1225"/>
    </row>
    <row r="21" spans="1:40" ht="15" customHeight="1">
      <c r="A21" s="1225"/>
      <c r="B21" s="1225"/>
      <c r="C21" s="1225"/>
      <c r="D21" s="1227"/>
      <c r="E21" s="1225"/>
      <c r="F21" s="1225"/>
      <c r="G21" s="1225"/>
      <c r="H21" s="1225"/>
      <c r="I21" s="1225"/>
      <c r="J21" s="1225"/>
      <c r="K21" s="1225"/>
      <c r="L21" s="1225"/>
      <c r="M21" s="1225"/>
      <c r="N21" s="1225"/>
      <c r="O21" s="1225"/>
      <c r="P21" s="1225"/>
      <c r="Q21" s="1225"/>
      <c r="R21" s="1225"/>
      <c r="S21" s="1225"/>
      <c r="T21" s="1225"/>
      <c r="U21" s="1225"/>
      <c r="V21" s="1225"/>
      <c r="W21" s="1225"/>
      <c r="X21" s="1225"/>
      <c r="Y21" s="1225"/>
      <c r="Z21" s="1225"/>
      <c r="AA21" s="1225"/>
      <c r="AB21" s="1225"/>
      <c r="AC21" s="1225"/>
      <c r="AD21" s="1225"/>
      <c r="AE21" s="1225"/>
      <c r="AF21" s="1225"/>
      <c r="AG21" s="1225"/>
      <c r="AH21" s="1225"/>
      <c r="AI21" s="1225"/>
      <c r="AJ21" s="1225"/>
      <c r="AK21" s="1225"/>
      <c r="AL21" s="1225"/>
      <c r="AM21" s="1225"/>
      <c r="AN21" s="1225"/>
    </row>
    <row r="22" spans="1:40" ht="15" customHeight="1" thickBot="1">
      <c r="A22" s="1225"/>
      <c r="B22" s="1225"/>
      <c r="C22" s="1225"/>
      <c r="D22" s="1227"/>
      <c r="E22" s="1225"/>
      <c r="F22" s="1225"/>
      <c r="G22" s="1225"/>
      <c r="H22" s="1225"/>
      <c r="I22" s="1225"/>
      <c r="J22" s="1225"/>
      <c r="K22" s="1225"/>
      <c r="L22" s="1225"/>
      <c r="M22" s="1225"/>
      <c r="N22" s="1225"/>
      <c r="O22" s="1225"/>
      <c r="P22" s="1225"/>
      <c r="Q22" s="1225"/>
      <c r="R22" s="1225"/>
      <c r="S22" s="1225"/>
      <c r="T22" s="1225"/>
      <c r="U22" s="1225"/>
      <c r="V22" s="1225"/>
      <c r="W22" s="1225"/>
      <c r="X22" s="1225"/>
      <c r="Y22" s="1225"/>
      <c r="Z22" s="1225"/>
      <c r="AA22" s="1225"/>
      <c r="AB22" s="1225"/>
      <c r="AC22" s="1225"/>
      <c r="AD22" s="1225"/>
      <c r="AE22" s="1225"/>
      <c r="AF22" s="1225"/>
      <c r="AG22" s="1225"/>
      <c r="AH22" s="1225"/>
      <c r="AI22" s="1225"/>
      <c r="AJ22" s="1225"/>
      <c r="AK22" s="1225"/>
      <c r="AL22" s="1225"/>
      <c r="AM22" s="1225"/>
      <c r="AN22" s="1225"/>
    </row>
    <row r="23" spans="1:40" ht="15" customHeight="1">
      <c r="A23" s="1225"/>
      <c r="B23" s="1225"/>
      <c r="C23" s="1225"/>
      <c r="D23" s="1227"/>
      <c r="E23" s="1225"/>
      <c r="F23" s="1225"/>
      <c r="G23" s="1225"/>
      <c r="H23" s="1225"/>
      <c r="I23" s="1225"/>
      <c r="J23" s="1225"/>
      <c r="K23" s="1225"/>
      <c r="L23" s="1225"/>
      <c r="M23" s="1225"/>
      <c r="N23" s="1225"/>
      <c r="O23" s="1225"/>
      <c r="P23" s="1225"/>
      <c r="Q23" s="1225"/>
      <c r="R23" s="1225"/>
      <c r="S23" s="1225"/>
      <c r="T23" s="1" t="s">
        <v>1109</v>
      </c>
      <c r="U23" s="21"/>
      <c r="V23" s="21"/>
      <c r="W23" s="1229"/>
      <c r="X23" s="1229"/>
      <c r="Y23" s="1229"/>
      <c r="Z23" s="1229"/>
      <c r="AA23" s="1230"/>
      <c r="AB23" s="1225"/>
      <c r="AC23" s="1225"/>
      <c r="AD23" s="1225"/>
      <c r="AE23" s="1225"/>
      <c r="AF23" s="1225"/>
      <c r="AG23" s="1225"/>
      <c r="AH23" s="1225"/>
      <c r="AI23" s="1225"/>
      <c r="AJ23" s="1225"/>
      <c r="AK23" s="1225"/>
      <c r="AL23" s="1225"/>
      <c r="AM23" s="1225"/>
      <c r="AN23" s="1225"/>
    </row>
    <row r="24" spans="1:40" ht="15" customHeight="1">
      <c r="A24" s="1225"/>
      <c r="B24" s="1225"/>
      <c r="C24" s="1225"/>
      <c r="D24" s="1227"/>
      <c r="E24" s="1225"/>
      <c r="F24" s="1225"/>
      <c r="G24" s="1225"/>
      <c r="H24" s="1225"/>
      <c r="I24" s="1225"/>
      <c r="J24" s="1225"/>
      <c r="K24" s="1225"/>
      <c r="L24" s="1225"/>
      <c r="M24" s="1225"/>
      <c r="N24" s="1225"/>
      <c r="O24" s="1225"/>
      <c r="P24" s="1225"/>
      <c r="Q24" s="1225"/>
      <c r="R24" s="1225"/>
      <c r="S24" s="1225"/>
      <c r="T24" s="1231" t="s">
        <v>1931</v>
      </c>
      <c r="U24" s="1232"/>
      <c r="V24" s="1232"/>
      <c r="W24" s="1233"/>
      <c r="X24" s="1233"/>
      <c r="Y24" s="1233"/>
      <c r="Z24" s="1233"/>
      <c r="AA24" s="1234"/>
      <c r="AB24" s="1225"/>
      <c r="AC24" s="1225"/>
      <c r="AD24" s="1225"/>
      <c r="AE24" s="1225"/>
      <c r="AF24" s="1225"/>
      <c r="AG24" s="1225"/>
      <c r="AH24" s="1225"/>
      <c r="AI24" s="1225"/>
      <c r="AJ24" s="1225"/>
      <c r="AK24" s="1225"/>
      <c r="AL24" s="1225"/>
      <c r="AM24" s="1225"/>
      <c r="AN24" s="1225"/>
    </row>
    <row r="25" spans="1:40" ht="15" customHeight="1">
      <c r="A25" s="1225"/>
      <c r="B25" s="1225"/>
      <c r="C25" s="1225"/>
      <c r="D25" s="1227"/>
      <c r="E25" s="1225"/>
      <c r="F25" s="1225"/>
      <c r="G25" s="1225"/>
      <c r="H25" s="1225"/>
      <c r="I25" s="1225"/>
      <c r="J25" s="1225"/>
      <c r="K25" s="1225"/>
      <c r="L25" s="1225"/>
      <c r="M25" s="1225"/>
      <c r="N25" s="1225"/>
      <c r="O25" s="1225"/>
      <c r="P25" s="1225"/>
      <c r="Q25" s="1225"/>
      <c r="R25" s="1225"/>
      <c r="S25" s="1225"/>
      <c r="T25" s="1231" t="s">
        <v>899</v>
      </c>
      <c r="U25" s="1232"/>
      <c r="V25" s="1232"/>
      <c r="W25" s="1233"/>
      <c r="X25" s="1233"/>
      <c r="Y25" s="1233"/>
      <c r="Z25" s="1233"/>
      <c r="AA25" s="1234"/>
      <c r="AB25" s="1225"/>
      <c r="AC25" s="1225"/>
      <c r="AD25" s="1225"/>
      <c r="AE25" s="1225"/>
      <c r="AF25" s="1225"/>
      <c r="AG25" s="1225"/>
      <c r="AH25" s="1225"/>
      <c r="AI25" s="1225"/>
      <c r="AJ25" s="1225"/>
      <c r="AK25" s="1225"/>
      <c r="AL25" s="1225"/>
      <c r="AM25" s="1225"/>
      <c r="AN25" s="1225"/>
    </row>
    <row r="26" spans="1:40" ht="15" customHeight="1">
      <c r="A26" s="1225"/>
      <c r="B26" s="1225"/>
      <c r="C26" s="1225"/>
      <c r="D26" s="1227"/>
      <c r="E26" s="1225"/>
      <c r="F26" s="1225"/>
      <c r="G26" s="1225"/>
      <c r="H26" s="1225"/>
      <c r="I26" s="1225"/>
      <c r="J26" s="1225"/>
      <c r="K26" s="1225"/>
      <c r="L26" s="1225"/>
      <c r="M26" s="1225"/>
      <c r="N26" s="1225"/>
      <c r="O26" s="1225"/>
      <c r="P26" s="1225"/>
      <c r="Q26" s="1225"/>
      <c r="R26" s="1225"/>
      <c r="S26" s="1225"/>
      <c r="T26" s="1231" t="s">
        <v>1110</v>
      </c>
      <c r="U26" s="1232"/>
      <c r="V26" s="1232"/>
      <c r="W26" s="1233"/>
      <c r="X26" s="1233"/>
      <c r="Y26" s="1233"/>
      <c r="Z26" s="1233"/>
      <c r="AA26" s="1234"/>
      <c r="AB26" s="1225"/>
      <c r="AC26" s="1225"/>
      <c r="AD26" s="1225"/>
      <c r="AE26" s="1225"/>
      <c r="AF26" s="1225"/>
      <c r="AG26" s="1225"/>
      <c r="AH26" s="1225"/>
      <c r="AI26" s="1225"/>
      <c r="AJ26" s="1225"/>
      <c r="AK26" s="1225"/>
      <c r="AL26" s="1225"/>
      <c r="AM26" s="1225"/>
      <c r="AN26" s="1225"/>
    </row>
    <row r="27" spans="1:40" ht="15" customHeight="1">
      <c r="A27" s="1225"/>
      <c r="B27" s="1225"/>
      <c r="C27" s="1225"/>
      <c r="D27" s="1227"/>
      <c r="E27" s="1225"/>
      <c r="F27" s="1225"/>
      <c r="G27" s="1225"/>
      <c r="H27" s="1225"/>
      <c r="I27" s="1225"/>
      <c r="J27" s="1225"/>
      <c r="K27" s="1225"/>
      <c r="L27" s="1225"/>
      <c r="M27" s="1225"/>
      <c r="N27" s="1225"/>
      <c r="O27" s="1225"/>
      <c r="P27" s="1225"/>
      <c r="Q27" s="1225"/>
      <c r="R27" s="1225"/>
      <c r="S27" s="1225"/>
      <c r="T27" s="1235"/>
      <c r="U27" s="1233"/>
      <c r="V27" s="1233"/>
      <c r="W27" s="1233"/>
      <c r="X27" s="1233"/>
      <c r="Y27" s="1233"/>
      <c r="Z27" s="1233"/>
      <c r="AA27" s="1234"/>
      <c r="AB27" s="1225"/>
      <c r="AC27" s="1225"/>
      <c r="AD27" s="1225"/>
      <c r="AE27" s="1225"/>
      <c r="AF27" s="1225"/>
      <c r="AG27" s="1225"/>
      <c r="AH27" s="1225"/>
      <c r="AI27" s="1225"/>
      <c r="AJ27" s="1225"/>
      <c r="AK27" s="1225"/>
      <c r="AL27" s="1225"/>
      <c r="AM27" s="1225"/>
      <c r="AN27" s="1225"/>
    </row>
    <row r="28" spans="1:40" ht="15.75" thickBot="1">
      <c r="A28" s="1225"/>
      <c r="B28" s="1225"/>
      <c r="C28" s="1225"/>
      <c r="D28" s="1227"/>
      <c r="E28" s="1225"/>
      <c r="F28" s="1225"/>
      <c r="G28" s="1225"/>
      <c r="H28" s="1225"/>
      <c r="I28" s="1225"/>
      <c r="J28" s="1225"/>
      <c r="K28" s="1225"/>
      <c r="L28" s="1225"/>
      <c r="M28" s="1225"/>
      <c r="N28" s="1225"/>
      <c r="O28" s="1225"/>
      <c r="P28" s="1225"/>
      <c r="Q28" s="1225"/>
      <c r="R28" s="1225"/>
      <c r="S28" s="1225"/>
      <c r="T28" s="1236"/>
      <c r="U28" s="1237"/>
      <c r="V28" s="1237"/>
      <c r="W28" s="1237"/>
      <c r="X28" s="1237"/>
      <c r="Y28" s="1237"/>
      <c r="Z28" s="1237"/>
      <c r="AA28" s="1238"/>
      <c r="AB28" s="1225"/>
      <c r="AC28" s="1225"/>
      <c r="AD28" s="1225"/>
      <c r="AE28" s="1225"/>
      <c r="AF28" s="1225"/>
      <c r="AG28" s="1225"/>
      <c r="AH28" s="1225"/>
      <c r="AI28" s="1225"/>
      <c r="AJ28" s="1225"/>
      <c r="AK28" s="1225"/>
      <c r="AL28" s="1225"/>
      <c r="AM28" s="1225"/>
      <c r="AN28" s="1225"/>
    </row>
    <row r="29" spans="1:40" ht="15">
      <c r="A29" s="1225"/>
      <c r="B29" s="1225"/>
      <c r="C29" s="1225"/>
      <c r="D29" s="1227"/>
      <c r="E29" s="1225"/>
      <c r="F29" s="1225"/>
      <c r="G29" s="1225"/>
      <c r="H29" s="1225"/>
      <c r="I29" s="1225"/>
      <c r="J29" s="1225"/>
      <c r="K29" s="1225"/>
      <c r="L29" s="1225"/>
      <c r="M29" s="1225"/>
      <c r="N29" s="1225"/>
      <c r="O29" s="1225"/>
      <c r="P29" s="1225"/>
      <c r="Q29" s="1225"/>
      <c r="R29" s="1225"/>
      <c r="S29" s="1225"/>
      <c r="T29" s="1225"/>
      <c r="U29" s="1225"/>
      <c r="V29" s="1225"/>
      <c r="W29" s="1225"/>
      <c r="X29" s="1225"/>
      <c r="Y29" s="1225"/>
      <c r="Z29" s="1225"/>
      <c r="AA29" s="1225"/>
      <c r="AB29" s="1225"/>
      <c r="AC29" s="1225"/>
      <c r="AD29" s="1225"/>
      <c r="AE29" s="1225"/>
      <c r="AF29" s="1225"/>
      <c r="AG29" s="1225"/>
      <c r="AH29" s="1225"/>
      <c r="AI29" s="1225"/>
      <c r="AJ29" s="1225"/>
      <c r="AK29" s="1225"/>
      <c r="AL29" s="1225"/>
      <c r="AM29" s="1225"/>
      <c r="AN29" s="1225"/>
    </row>
    <row r="30" spans="1:40" ht="15">
      <c r="A30" s="1225"/>
      <c r="B30" s="1225"/>
      <c r="C30" s="1225"/>
      <c r="D30" s="1227"/>
      <c r="E30" s="1225"/>
      <c r="F30" s="1225"/>
      <c r="G30" s="1225"/>
      <c r="H30" s="1225"/>
      <c r="I30" s="1225"/>
      <c r="J30" s="1225"/>
      <c r="K30" s="1225"/>
      <c r="L30" s="1225"/>
      <c r="M30" s="1225"/>
      <c r="N30" s="1225"/>
      <c r="O30" s="1225"/>
      <c r="P30" s="1225"/>
      <c r="Q30" s="1225"/>
      <c r="R30" s="1225"/>
      <c r="S30" s="1225"/>
      <c r="T30" s="1225"/>
      <c r="U30" s="1225"/>
      <c r="V30" s="1225"/>
      <c r="W30" s="1225"/>
      <c r="X30" s="1225"/>
      <c r="Y30" s="1225"/>
      <c r="Z30" s="1225"/>
      <c r="AA30" s="1225"/>
      <c r="AB30" s="1225"/>
      <c r="AC30" s="1225"/>
      <c r="AD30" s="1225"/>
      <c r="AE30" s="1225"/>
      <c r="AF30" s="1225"/>
      <c r="AG30" s="1225"/>
      <c r="AH30" s="1225"/>
      <c r="AI30" s="1225"/>
      <c r="AJ30" s="1225"/>
      <c r="AK30" s="1225"/>
      <c r="AL30" s="1225"/>
      <c r="AM30" s="1225"/>
      <c r="AN30" s="1225"/>
    </row>
    <row r="31" spans="1:40" ht="15">
      <c r="A31" s="1225"/>
      <c r="B31" s="1225"/>
      <c r="C31" s="1225"/>
      <c r="D31" s="1227"/>
      <c r="E31" s="1225"/>
      <c r="F31" s="1225"/>
      <c r="G31" s="1225"/>
      <c r="H31" s="1225"/>
      <c r="I31" s="1225"/>
      <c r="J31" s="1225"/>
      <c r="K31" s="1225"/>
      <c r="L31" s="1225"/>
      <c r="M31" s="1225"/>
      <c r="N31" s="1225"/>
      <c r="O31" s="1225"/>
      <c r="P31" s="1225"/>
      <c r="Q31" s="1225"/>
      <c r="R31" s="1225"/>
      <c r="S31" s="1225"/>
      <c r="T31" s="1225"/>
      <c r="U31" s="1225"/>
      <c r="V31" s="1225"/>
      <c r="W31" s="1225"/>
      <c r="X31" s="1225"/>
      <c r="Y31" s="1225"/>
      <c r="Z31" s="1225"/>
      <c r="AA31" s="1225"/>
      <c r="AB31" s="1225"/>
      <c r="AC31" s="1225"/>
      <c r="AD31" s="1225"/>
      <c r="AE31" s="1225"/>
      <c r="AF31" s="1225"/>
      <c r="AG31" s="1225"/>
      <c r="AH31" s="1225"/>
      <c r="AI31" s="1225"/>
      <c r="AJ31" s="1225"/>
      <c r="AK31" s="1225"/>
      <c r="AL31" s="1225"/>
      <c r="AM31" s="1225"/>
      <c r="AN31" s="1225"/>
    </row>
    <row r="32" spans="1:40" ht="15">
      <c r="A32" s="1225"/>
      <c r="B32" s="1225"/>
      <c r="C32" s="1225"/>
      <c r="D32" s="1227"/>
      <c r="E32" s="1225"/>
      <c r="F32" s="1225"/>
      <c r="G32" s="1225"/>
      <c r="H32" s="1225"/>
      <c r="I32" s="1225"/>
      <c r="J32" s="1225"/>
      <c r="K32" s="1225"/>
      <c r="L32" s="1225"/>
      <c r="M32" s="1225"/>
      <c r="N32" s="1225"/>
      <c r="O32" s="1225"/>
      <c r="P32" s="1225"/>
      <c r="Q32" s="1225"/>
      <c r="R32" s="1225"/>
      <c r="S32" s="1225"/>
      <c r="T32" s="1225"/>
      <c r="U32" s="1225"/>
      <c r="V32" s="1225"/>
      <c r="W32" s="1225"/>
      <c r="X32" s="1225"/>
      <c r="Y32" s="1225"/>
      <c r="Z32" s="1225"/>
      <c r="AA32" s="1225"/>
      <c r="AB32" s="1225"/>
      <c r="AC32" s="1225"/>
      <c r="AD32" s="1225"/>
      <c r="AE32" s="1225"/>
      <c r="AF32" s="1225"/>
      <c r="AG32" s="1225"/>
      <c r="AH32" s="1225"/>
      <c r="AI32" s="1225"/>
      <c r="AJ32" s="1225"/>
      <c r="AK32" s="1225"/>
      <c r="AL32" s="1225"/>
      <c r="AM32" s="1225"/>
      <c r="AN32" s="1225"/>
    </row>
    <row r="33" spans="1:40" ht="15">
      <c r="A33" s="1225"/>
      <c r="B33" s="1225"/>
      <c r="C33" s="1225"/>
      <c r="D33" s="1227"/>
      <c r="E33" s="1225"/>
      <c r="F33" s="1225"/>
      <c r="G33" s="1225"/>
      <c r="H33" s="1225"/>
      <c r="I33" s="1225"/>
      <c r="J33" s="1225"/>
      <c r="K33" s="1225"/>
      <c r="L33" s="1225"/>
      <c r="M33" s="1225"/>
      <c r="N33" s="1225"/>
      <c r="O33" s="1225"/>
      <c r="P33" s="1225"/>
      <c r="Q33" s="1225"/>
      <c r="R33" s="1225"/>
      <c r="S33" s="1225"/>
      <c r="T33" s="1225"/>
      <c r="U33" s="1225"/>
      <c r="V33" s="1225"/>
      <c r="W33" s="1225"/>
      <c r="X33" s="1225"/>
      <c r="Y33" s="1225"/>
      <c r="Z33" s="1225"/>
      <c r="AA33" s="1225"/>
      <c r="AB33" s="1225"/>
      <c r="AC33" s="1225"/>
      <c r="AD33" s="1225"/>
      <c r="AE33" s="1225"/>
      <c r="AF33" s="1225"/>
      <c r="AG33" s="1225"/>
      <c r="AH33" s="1225"/>
      <c r="AI33" s="1225"/>
      <c r="AJ33" s="1225"/>
      <c r="AK33" s="1225"/>
      <c r="AL33" s="1225"/>
      <c r="AM33" s="1225"/>
      <c r="AN33" s="1225"/>
    </row>
    <row r="34" spans="1:40" ht="15">
      <c r="A34" s="1225"/>
      <c r="B34" s="1225"/>
      <c r="C34" s="1225"/>
      <c r="D34" s="1227"/>
      <c r="E34" s="1225"/>
      <c r="F34" s="1225"/>
      <c r="G34" s="1225"/>
      <c r="H34" s="1225"/>
      <c r="I34" s="1225"/>
      <c r="J34" s="1225"/>
      <c r="K34" s="1225"/>
      <c r="L34" s="1225"/>
      <c r="M34" s="1225"/>
      <c r="N34" s="1225"/>
      <c r="O34" s="1225"/>
      <c r="P34" s="1225"/>
      <c r="Q34" s="1225"/>
      <c r="R34" s="1225"/>
      <c r="S34" s="1225"/>
      <c r="T34" s="1225"/>
      <c r="U34" s="1225"/>
      <c r="V34" s="1225"/>
      <c r="W34" s="1225"/>
      <c r="X34" s="1225"/>
      <c r="Y34" s="1225"/>
      <c r="Z34" s="1225"/>
      <c r="AA34" s="1225"/>
      <c r="AB34" s="1225"/>
      <c r="AC34" s="1225"/>
      <c r="AD34" s="1225"/>
      <c r="AE34" s="1225"/>
      <c r="AF34" s="1225"/>
      <c r="AG34" s="1225"/>
      <c r="AH34" s="1225"/>
      <c r="AI34" s="1225"/>
      <c r="AJ34" s="1225"/>
      <c r="AK34" s="1225"/>
      <c r="AL34" s="1225"/>
      <c r="AM34" s="1225"/>
      <c r="AN34" s="1225"/>
    </row>
    <row r="35" spans="1:40" ht="15">
      <c r="A35" s="1225"/>
      <c r="B35" s="1225"/>
      <c r="C35" s="1225"/>
      <c r="D35" s="1227"/>
      <c r="E35" s="1225"/>
      <c r="F35" s="1225"/>
      <c r="G35" s="1225"/>
      <c r="H35" s="1225"/>
      <c r="I35" s="1225"/>
      <c r="J35" s="1225"/>
      <c r="K35" s="1225"/>
      <c r="L35" s="1225"/>
      <c r="M35" s="1225"/>
      <c r="N35" s="1225"/>
      <c r="O35" s="1225"/>
      <c r="P35" s="1225"/>
      <c r="Q35" s="1225"/>
      <c r="R35" s="1225"/>
      <c r="S35" s="1225"/>
      <c r="T35" s="1225"/>
      <c r="U35" s="1225"/>
      <c r="V35" s="1225"/>
      <c r="W35" s="1225"/>
      <c r="X35" s="1225"/>
      <c r="Y35" s="1225"/>
      <c r="Z35" s="1225"/>
      <c r="AA35" s="1225"/>
      <c r="AB35" s="1225"/>
      <c r="AC35" s="1225"/>
      <c r="AD35" s="1225"/>
      <c r="AE35" s="1225"/>
      <c r="AF35" s="1225"/>
      <c r="AG35" s="1225"/>
      <c r="AH35" s="1225"/>
      <c r="AI35" s="1225"/>
      <c r="AJ35" s="1225"/>
      <c r="AK35" s="1225"/>
      <c r="AL35" s="1225"/>
      <c r="AM35" s="1225"/>
      <c r="AN35" s="1225"/>
    </row>
    <row r="36" spans="1:40" ht="15">
      <c r="A36" s="1225"/>
      <c r="B36" s="1225"/>
      <c r="C36" s="1225"/>
      <c r="D36" s="1227"/>
      <c r="E36" s="1225"/>
      <c r="F36" s="1225"/>
      <c r="G36" s="1225"/>
      <c r="H36" s="1225"/>
      <c r="I36" s="1225"/>
      <c r="J36" s="1225"/>
      <c r="K36" s="1225"/>
      <c r="L36" s="1225"/>
      <c r="M36" s="1225"/>
      <c r="N36" s="1225"/>
      <c r="O36" s="1225"/>
      <c r="P36" s="1225"/>
      <c r="Q36" s="1225"/>
      <c r="R36" s="1225"/>
      <c r="S36" s="1225"/>
      <c r="T36" s="1225"/>
      <c r="U36" s="1225"/>
      <c r="V36" s="1225"/>
      <c r="W36" s="1225"/>
      <c r="X36" s="1225"/>
      <c r="Y36" s="1225"/>
      <c r="Z36" s="1225"/>
      <c r="AA36" s="1225"/>
      <c r="AB36" s="1225"/>
      <c r="AC36" s="1225"/>
      <c r="AD36" s="1225"/>
      <c r="AE36" s="1225"/>
      <c r="AF36" s="1225"/>
      <c r="AG36" s="1225"/>
      <c r="AH36" s="1225"/>
      <c r="AI36" s="1225"/>
      <c r="AJ36" s="1225"/>
      <c r="AK36" s="1225"/>
      <c r="AL36" s="1225"/>
      <c r="AM36" s="1225"/>
      <c r="AN36" s="1225"/>
    </row>
    <row r="37" spans="1:40" ht="15">
      <c r="A37" s="1225"/>
      <c r="B37" s="1225"/>
      <c r="C37" s="1225"/>
      <c r="D37" s="1227"/>
      <c r="E37" s="1225"/>
      <c r="F37" s="1225"/>
      <c r="G37" s="1225"/>
      <c r="H37" s="1225"/>
      <c r="I37" s="1225"/>
      <c r="J37" s="1225"/>
      <c r="K37" s="1225"/>
      <c r="L37" s="1225"/>
      <c r="M37" s="1225"/>
      <c r="N37" s="1225"/>
      <c r="O37" s="1225"/>
      <c r="P37" s="1225"/>
      <c r="Q37" s="1225"/>
      <c r="R37" s="1225"/>
      <c r="S37" s="1225"/>
      <c r="T37" s="1225"/>
      <c r="U37" s="1225"/>
      <c r="V37" s="1225"/>
      <c r="W37" s="1225"/>
      <c r="X37" s="1225"/>
      <c r="Y37" s="1225"/>
      <c r="Z37" s="1225"/>
      <c r="AA37" s="1225"/>
      <c r="AB37" s="1225"/>
      <c r="AC37" s="1225"/>
      <c r="AD37" s="1225"/>
      <c r="AE37" s="1225"/>
      <c r="AF37" s="1225"/>
      <c r="AG37" s="1225"/>
      <c r="AH37" s="1225"/>
      <c r="AI37" s="1225"/>
      <c r="AJ37" s="1225"/>
      <c r="AK37" s="1225"/>
      <c r="AL37" s="1225"/>
      <c r="AM37" s="1225"/>
      <c r="AN37" s="1225"/>
    </row>
    <row r="38" spans="1:40" ht="15">
      <c r="A38" s="1225"/>
      <c r="B38" s="1225"/>
      <c r="C38" s="1225"/>
      <c r="D38" s="1227"/>
      <c r="E38" s="1225"/>
      <c r="F38" s="1225"/>
      <c r="G38" s="1225"/>
      <c r="H38" s="1225"/>
      <c r="I38" s="1225"/>
      <c r="J38" s="1225"/>
      <c r="K38" s="1225"/>
      <c r="L38" s="1225"/>
      <c r="M38" s="1225"/>
      <c r="N38" s="1225"/>
      <c r="O38" s="1225"/>
      <c r="P38" s="1225"/>
      <c r="Q38" s="1225"/>
      <c r="R38" s="1225"/>
      <c r="S38" s="1225"/>
      <c r="T38" s="1225"/>
      <c r="U38" s="1225"/>
      <c r="V38" s="1225"/>
      <c r="W38" s="1225"/>
      <c r="X38" s="1225"/>
      <c r="Y38" s="1225"/>
      <c r="Z38" s="1225"/>
      <c r="AA38" s="1225"/>
      <c r="AB38" s="1225"/>
      <c r="AC38" s="1225"/>
      <c r="AD38" s="1225"/>
      <c r="AE38" s="1225"/>
      <c r="AF38" s="1225"/>
      <c r="AG38" s="1225"/>
      <c r="AH38" s="1225"/>
      <c r="AI38" s="1225"/>
      <c r="AJ38" s="1225"/>
      <c r="AK38" s="1225"/>
      <c r="AL38" s="1225"/>
      <c r="AM38" s="1225"/>
      <c r="AN38" s="1225"/>
    </row>
    <row r="39" spans="1:40" ht="15">
      <c r="A39" s="1225"/>
      <c r="B39" s="1225"/>
      <c r="C39" s="1225"/>
      <c r="D39" s="1227"/>
      <c r="E39" s="1225"/>
      <c r="F39" s="1225"/>
      <c r="G39" s="1225"/>
      <c r="H39" s="1225"/>
      <c r="I39" s="1225"/>
      <c r="J39" s="1225"/>
      <c r="K39" s="1225"/>
      <c r="L39" s="1225"/>
      <c r="M39" s="1225"/>
      <c r="N39" s="1225"/>
      <c r="O39" s="1225"/>
      <c r="P39" s="1225"/>
      <c r="Q39" s="1225"/>
      <c r="R39" s="1225"/>
      <c r="S39" s="1225"/>
      <c r="T39" s="1225"/>
      <c r="U39" s="1225"/>
      <c r="V39" s="1225"/>
      <c r="W39" s="1225"/>
      <c r="X39" s="1225"/>
      <c r="Y39" s="1225"/>
      <c r="Z39" s="1225"/>
      <c r="AA39" s="1225"/>
      <c r="AB39" s="1225"/>
      <c r="AC39" s="1225"/>
      <c r="AD39" s="1225"/>
      <c r="AE39" s="1225"/>
      <c r="AF39" s="1225"/>
      <c r="AG39" s="1225"/>
      <c r="AH39" s="1225"/>
      <c r="AI39" s="1225"/>
      <c r="AJ39" s="1225"/>
      <c r="AK39" s="1225"/>
      <c r="AL39" s="1225"/>
      <c r="AM39" s="1225"/>
      <c r="AN39" s="1225"/>
    </row>
  </sheetData>
  <phoneticPr fontId="19" type="noConversion"/>
  <pageMargins left="0.75" right="0.75" top="1" bottom="1" header="0.5" footer="0.5"/>
  <pageSetup scale="48" orientation="landscape" blackAndWhite="1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Line="0" autoPict="0" macro="[0]!GOTO_SCH_A1">
                <anchor moveWithCells="1" sizeWithCells="1">
                  <from>
                    <xdr:col>1</xdr:col>
                    <xdr:colOff>28575</xdr:colOff>
                    <xdr:row>1</xdr:row>
                    <xdr:rowOff>0</xdr:rowOff>
                  </from>
                  <to>
                    <xdr:col>2</xdr:col>
                    <xdr:colOff>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Line="0" autoPict="0" macro="[0]!GOTO_SCH_B1">
                <anchor moveWithCells="1" sizeWithCells="1">
                  <from>
                    <xdr:col>1</xdr:col>
                    <xdr:colOff>9525</xdr:colOff>
                    <xdr:row>3</xdr:row>
                    <xdr:rowOff>133350</xdr:rowOff>
                  </from>
                  <to>
                    <xdr:col>2</xdr:col>
                    <xdr:colOff>0</xdr:colOff>
                    <xdr:row>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utton 3">
              <controlPr defaultSize="0" print="0" autoFill="0" autoLine="0" autoPict="0" macro="[0]!GOTO_SCH_B5">
                <anchor moveWithCells="1" sizeWithCells="1">
                  <from>
                    <xdr:col>3</xdr:col>
                    <xdr:colOff>0</xdr:colOff>
                    <xdr:row>13</xdr:row>
                    <xdr:rowOff>76200</xdr:rowOff>
                  </from>
                  <to>
                    <xdr:col>4</xdr:col>
                    <xdr:colOff>0</xdr:colOff>
                    <xdr:row>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Button 4">
              <controlPr defaultSize="0" print="0" autoFill="0" autoLine="0" autoPict="0" macro="[0]!GOTO_SCH_B6">
                <anchor moveWithCells="1" sizeWithCells="1">
                  <from>
                    <xdr:col>3</xdr:col>
                    <xdr:colOff>9525</xdr:colOff>
                    <xdr:row>15</xdr:row>
                    <xdr:rowOff>152400</xdr:rowOff>
                  </from>
                  <to>
                    <xdr:col>4</xdr:col>
                    <xdr:colOff>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Button 5">
              <controlPr defaultSize="0" print="0" autoFill="0" autoLine="0" autoPict="0" macro="[0]!GOTO_SCH_B7">
                <anchor moveWithCells="1" sizeWithCells="1">
                  <from>
                    <xdr:col>3</xdr:col>
                    <xdr:colOff>9525</xdr:colOff>
                    <xdr:row>18</xdr:row>
                    <xdr:rowOff>76200</xdr:rowOff>
                  </from>
                  <to>
                    <xdr:col>4</xdr:col>
                    <xdr:colOff>0</xdr:colOff>
                    <xdr:row>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Button 6">
              <controlPr defaultSize="0" print="0" autoFill="0" autoLine="0" autoPict="0" macro="[0]!GOTO_SCH_B8">
                <anchor moveWithCells="1" sizeWithCells="1">
                  <from>
                    <xdr:col>3</xdr:col>
                    <xdr:colOff>9525</xdr:colOff>
                    <xdr:row>20</xdr:row>
                    <xdr:rowOff>171450</xdr:rowOff>
                  </from>
                  <to>
                    <xdr:col>4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Button 7">
              <controlPr defaultSize="0" print="0" autoFill="0" autoLine="0" autoPict="0" macro="[0]!GOTO_SCH_C1">
                <anchor moveWithCells="1" sizeWithCells="1">
                  <from>
                    <xdr:col>5</xdr:col>
                    <xdr:colOff>19050</xdr:colOff>
                    <xdr:row>1</xdr:row>
                    <xdr:rowOff>9525</xdr:rowOff>
                  </from>
                  <to>
                    <xdr:col>6</xdr:col>
                    <xdr:colOff>0</xdr:colOff>
                    <xdr:row>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Button 8">
              <controlPr defaultSize="0" print="0" autoFill="0" autoLine="0" autoPict="0" macro="[0]!GOTO_SCH_C2">
                <anchor moveWithCells="1" sizeWithCells="1">
                  <from>
                    <xdr:col>5</xdr:col>
                    <xdr:colOff>19050</xdr:colOff>
                    <xdr:row>3</xdr:row>
                    <xdr:rowOff>114300</xdr:rowOff>
                  </from>
                  <to>
                    <xdr:col>6</xdr:col>
                    <xdr:colOff>0</xdr:colOff>
                    <xdr:row>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Button 9">
              <controlPr defaultSize="0" print="0" autoFill="0" autoLine="0" autoPict="0" macro="[0]!GOTO_SCH_C2_1_Base">
                <anchor moveWithCells="1" sizeWithCells="1">
                  <from>
                    <xdr:col>5</xdr:col>
                    <xdr:colOff>9525</xdr:colOff>
                    <xdr:row>6</xdr:row>
                    <xdr:rowOff>19050</xdr:rowOff>
                  </from>
                  <to>
                    <xdr:col>6</xdr:col>
                    <xdr:colOff>38100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3" name="Button 21">
              <controlPr defaultSize="0" print="0" autoFill="0" autoLine="0" autoPict="0" macro="[0]!GOTO_SCH_D2_11">
                <anchor moveWithCells="1" sizeWithCells="1">
                  <from>
                    <xdr:col>9</xdr:col>
                    <xdr:colOff>19050</xdr:colOff>
                    <xdr:row>1</xdr:row>
                    <xdr:rowOff>19050</xdr:rowOff>
                  </from>
                  <to>
                    <xdr:col>10</xdr:col>
                    <xdr:colOff>9525</xdr:colOff>
                    <xdr:row>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4" name="Button 22">
              <controlPr defaultSize="0" print="0" autoFill="0" autoLine="0" autoPict="0" macro="[0]!GOTO_SCH_D2_12">
                <anchor moveWithCells="1" sizeWithCells="1">
                  <from>
                    <xdr:col>9</xdr:col>
                    <xdr:colOff>19050</xdr:colOff>
                    <xdr:row>3</xdr:row>
                    <xdr:rowOff>114300</xdr:rowOff>
                  </from>
                  <to>
                    <xdr:col>10</xdr:col>
                    <xdr:colOff>9525</xdr:colOff>
                    <xdr:row>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5" name="Button 23">
              <controlPr defaultSize="0" print="0" autoFill="0" autoLine="0" autoPict="0" macro="[0]!GOTO_SCH_D2_13">
                <anchor moveWithCells="1" sizeWithCells="1">
                  <from>
                    <xdr:col>9</xdr:col>
                    <xdr:colOff>19050</xdr:colOff>
                    <xdr:row>6</xdr:row>
                    <xdr:rowOff>19050</xdr:rowOff>
                  </from>
                  <to>
                    <xdr:col>10</xdr:col>
                    <xdr:colOff>19050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6" name="Button 24">
              <controlPr defaultSize="0" print="0" autoFill="0" autoLine="0" autoPict="0" macro="[0]!GOTO_SCH_D2_14">
                <anchor moveWithCells="1" sizeWithCells="1">
                  <from>
                    <xdr:col>9</xdr:col>
                    <xdr:colOff>19050</xdr:colOff>
                    <xdr:row>8</xdr:row>
                    <xdr:rowOff>95250</xdr:rowOff>
                  </from>
                  <to>
                    <xdr:col>10</xdr:col>
                    <xdr:colOff>19050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7" name="Button 25">
              <controlPr defaultSize="0" print="0" autoFill="0" autoLine="0" autoPict="0" macro="[0]!GOTO_SCH_D2_15">
                <anchor moveWithCells="1" sizeWithCells="1">
                  <from>
                    <xdr:col>9</xdr:col>
                    <xdr:colOff>19050</xdr:colOff>
                    <xdr:row>10</xdr:row>
                    <xdr:rowOff>180975</xdr:rowOff>
                  </from>
                  <to>
                    <xdr:col>10</xdr:col>
                    <xdr:colOff>9525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8" name="Button 26">
              <controlPr defaultSize="0" print="0" autoFill="0" autoLine="0" autoPict="0" macro="[0]!GOTO_SCH_D2_16">
                <anchor moveWithCells="1" sizeWithCells="1">
                  <from>
                    <xdr:col>9</xdr:col>
                    <xdr:colOff>19050</xdr:colOff>
                    <xdr:row>13</xdr:row>
                    <xdr:rowOff>76200</xdr:rowOff>
                  </from>
                  <to>
                    <xdr:col>10</xdr:col>
                    <xdr:colOff>9525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9" name="Button 27">
              <controlPr defaultSize="0" print="0" autoFill="0" autoLine="0" autoPict="0" macro="[0]!GOTO_SCH_D2_17">
                <anchor moveWithCells="1" sizeWithCells="1">
                  <from>
                    <xdr:col>9</xdr:col>
                    <xdr:colOff>19050</xdr:colOff>
                    <xdr:row>15</xdr:row>
                    <xdr:rowOff>142875</xdr:rowOff>
                  </from>
                  <to>
                    <xdr:col>10</xdr:col>
                    <xdr:colOff>9525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0" name="Button 31">
              <controlPr defaultSize="0" print="0" autoFill="0" autoLine="0" autoPict="0" macro="[0]!GOTO_SCH_F2_2">
                <anchor moveWithCells="1" sizeWithCells="1">
                  <from>
                    <xdr:col>13</xdr:col>
                    <xdr:colOff>19050</xdr:colOff>
                    <xdr:row>5</xdr:row>
                    <xdr:rowOff>171450</xdr:rowOff>
                  </from>
                  <to>
                    <xdr:col>14</xdr:col>
                    <xdr:colOff>19050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1" name="Button 32">
              <controlPr defaultSize="0" print="0" autoFill="0" autoLine="0" autoPict="0" macro="[0]!GOTO_SCH_F2_3">
                <anchor moveWithCells="1" sizeWithCells="1">
                  <from>
                    <xdr:col>13</xdr:col>
                    <xdr:colOff>19050</xdr:colOff>
                    <xdr:row>8</xdr:row>
                    <xdr:rowOff>57150</xdr:rowOff>
                  </from>
                  <to>
                    <xdr:col>14</xdr:col>
                    <xdr:colOff>19050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2" name="Button 33">
              <controlPr defaultSize="0" print="0" autoFill="0" autoLine="0" autoPict="0" macro="[0]!GOTO_SCH_F3">
                <anchor moveWithCells="1" sizeWithCells="1">
                  <from>
                    <xdr:col>13</xdr:col>
                    <xdr:colOff>19050</xdr:colOff>
                    <xdr:row>10</xdr:row>
                    <xdr:rowOff>142875</xdr:rowOff>
                  </from>
                  <to>
                    <xdr:col>14</xdr:col>
                    <xdr:colOff>19050</xdr:colOff>
                    <xdr:row>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23" name="Button 34">
              <controlPr defaultSize="0" print="0" autoFill="0" autoLine="0" autoPict="0" macro="[0]!GOTO_SCH_F4">
                <anchor moveWithCells="1" sizeWithCells="1">
                  <from>
                    <xdr:col>13</xdr:col>
                    <xdr:colOff>19050</xdr:colOff>
                    <xdr:row>13</xdr:row>
                    <xdr:rowOff>38100</xdr:rowOff>
                  </from>
                  <to>
                    <xdr:col>14</xdr:col>
                    <xdr:colOff>19050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24" name="Button 35">
              <controlPr defaultSize="0" print="0" autoFill="0" autoLine="0" autoPict="0" macro="[0]!GOTO_SCH_F5">
                <anchor moveWithCells="1" sizeWithCells="1">
                  <from>
                    <xdr:col>13</xdr:col>
                    <xdr:colOff>19050</xdr:colOff>
                    <xdr:row>15</xdr:row>
                    <xdr:rowOff>114300</xdr:rowOff>
                  </from>
                  <to>
                    <xdr:col>14</xdr:col>
                    <xdr:colOff>19050</xdr:colOff>
                    <xdr:row>17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25" name="Button 36">
              <controlPr defaultSize="0" print="0" autoFill="0" autoLine="0" autoPict="0" macro="[0]!GOTO_SCH_F6">
                <anchor moveWithCells="1" sizeWithCells="1">
                  <from>
                    <xdr:col>13</xdr:col>
                    <xdr:colOff>19050</xdr:colOff>
                    <xdr:row>18</xdr:row>
                    <xdr:rowOff>9525</xdr:rowOff>
                  </from>
                  <to>
                    <xdr:col>14</xdr:col>
                    <xdr:colOff>19050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26" name="Button 40">
              <controlPr defaultSize="0" print="0" autoFill="0" autoLine="0" autoPict="0" macro="[0]!GOTO_SCH_F7">
                <anchor moveWithCells="1" sizeWithCells="1">
                  <from>
                    <xdr:col>13</xdr:col>
                    <xdr:colOff>19050</xdr:colOff>
                    <xdr:row>20</xdr:row>
                    <xdr:rowOff>85725</xdr:rowOff>
                  </from>
                  <to>
                    <xdr:col>14</xdr:col>
                    <xdr:colOff>19050</xdr:colOff>
                    <xdr:row>22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27" name="Button 44">
              <controlPr defaultSize="0" print="0" autoFill="0" autoLine="0" autoPict="0" macro="[0]!GOTO_BASE_PERIOD">
                <anchor moveWithCells="1" sizeWithCells="1">
                  <from>
                    <xdr:col>25</xdr:col>
                    <xdr:colOff>57150</xdr:colOff>
                    <xdr:row>1</xdr:row>
                    <xdr:rowOff>28575</xdr:rowOff>
                  </from>
                  <to>
                    <xdr:col>27</xdr:col>
                    <xdr:colOff>19050</xdr:colOff>
                    <xdr:row>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8" name="Button 45">
              <controlPr defaultSize="0" print="0" autoFill="0" autoLine="0" autoPict="0" macro="[0]!GOTO_FORECAST_PERIOD">
                <anchor moveWithCells="1" sizeWithCells="1">
                  <from>
                    <xdr:col>25</xdr:col>
                    <xdr:colOff>57150</xdr:colOff>
                    <xdr:row>3</xdr:row>
                    <xdr:rowOff>95250</xdr:rowOff>
                  </from>
                  <to>
                    <xdr:col>27</xdr:col>
                    <xdr:colOff>19050</xdr:colOff>
                    <xdr:row>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29" name="Button 58">
              <controlPr defaultSize="0" print="0" autoFill="0" autoLine="0" autoPict="0" macro="[0]!GOTO_SCH_J2">
                <anchor moveWithCells="1" sizeWithCells="1">
                  <from>
                    <xdr:col>19</xdr:col>
                    <xdr:colOff>28575</xdr:colOff>
                    <xdr:row>8</xdr:row>
                    <xdr:rowOff>85725</xdr:rowOff>
                  </from>
                  <to>
                    <xdr:col>19</xdr:col>
                    <xdr:colOff>590550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30" name="Button 59">
              <controlPr defaultSize="0" print="0" autoFill="0" autoLine="0" autoPict="0" macro="[0]!GOTO_SCH_J3">
                <anchor moveWithCells="1" sizeWithCells="1">
                  <from>
                    <xdr:col>19</xdr:col>
                    <xdr:colOff>28575</xdr:colOff>
                    <xdr:row>10</xdr:row>
                    <xdr:rowOff>171450</xdr:rowOff>
                  </from>
                  <to>
                    <xdr:col>19</xdr:col>
                    <xdr:colOff>590550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31" name="Button 60">
              <controlPr defaultSize="0" print="0" autoFill="0" autoLine="0" autoPict="0" macro="[0]!GOTO_SCH_J4">
                <anchor moveWithCells="1" sizeWithCells="1">
                  <from>
                    <xdr:col>19</xdr:col>
                    <xdr:colOff>28575</xdr:colOff>
                    <xdr:row>13</xdr:row>
                    <xdr:rowOff>104775</xdr:rowOff>
                  </from>
                  <to>
                    <xdr:col>19</xdr:col>
                    <xdr:colOff>590550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32" name="Button 73">
              <controlPr defaultSize="0" print="0" autoFill="0" autoLine="0" autoPict="0" macro="[0]!GOTO_RATE_BASE_RATIO">
                <anchor moveWithCells="1" sizeWithCells="1">
                  <from>
                    <xdr:col>25</xdr:col>
                    <xdr:colOff>57150</xdr:colOff>
                    <xdr:row>8</xdr:row>
                    <xdr:rowOff>95250</xdr:rowOff>
                  </from>
                  <to>
                    <xdr:col>27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33" name="Button 74">
              <controlPr defaultSize="0" print="0" autoFill="0" autoLine="0" autoPict="0" macro="[0]!GOTO_SCH_G1">
                <anchor moveWithCells="1" sizeWithCells="1">
                  <from>
                    <xdr:col>15</xdr:col>
                    <xdr:colOff>19050</xdr:colOff>
                    <xdr:row>1</xdr:row>
                    <xdr:rowOff>9525</xdr:rowOff>
                  </from>
                  <to>
                    <xdr:col>15</xdr:col>
                    <xdr:colOff>533400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34" name="Button 75">
              <controlPr defaultSize="0" print="0" autoFill="0" autoLine="0" autoPict="0" macro="[0]!GOTO_SCH_G2">
                <anchor moveWithCells="1" sizeWithCells="1">
                  <from>
                    <xdr:col>15</xdr:col>
                    <xdr:colOff>28575</xdr:colOff>
                    <xdr:row>3</xdr:row>
                    <xdr:rowOff>133350</xdr:rowOff>
                  </from>
                  <to>
                    <xdr:col>16</xdr:col>
                    <xdr:colOff>0</xdr:colOff>
                    <xdr:row>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35" name="Button 76">
              <controlPr defaultSize="0" print="0" autoFill="0" autoLine="0" autoPict="0" macro="[0]!GOTO_SCH_G3">
                <anchor moveWithCells="1" sizeWithCells="1">
                  <from>
                    <xdr:col>15</xdr:col>
                    <xdr:colOff>28575</xdr:colOff>
                    <xdr:row>6</xdr:row>
                    <xdr:rowOff>19050</xdr:rowOff>
                  </from>
                  <to>
                    <xdr:col>16</xdr:col>
                    <xdr:colOff>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36" name="Button 79">
              <controlPr defaultSize="0" print="0" autoFill="0" autoLine="0" autoPict="0" macro="[0]!GOTO_PRIOR_PERIOD">
                <anchor moveWithCells="1" sizeWithCells="1">
                  <from>
                    <xdr:col>25</xdr:col>
                    <xdr:colOff>57150</xdr:colOff>
                    <xdr:row>5</xdr:row>
                    <xdr:rowOff>171450</xdr:rowOff>
                  </from>
                  <to>
                    <xdr:col>27</xdr:col>
                    <xdr:colOff>19050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37" name="Button 80">
              <controlPr defaultSize="0" print="0" autoFill="0" autoLine="0" autoPict="0" macro="[0]!GOTO_SCH_C2_1_Forecast">
                <anchor moveWithCells="1" sizeWithCells="1">
                  <from>
                    <xdr:col>5</xdr:col>
                    <xdr:colOff>9525</xdr:colOff>
                    <xdr:row>8</xdr:row>
                    <xdr:rowOff>133350</xdr:rowOff>
                  </from>
                  <to>
                    <xdr:col>6</xdr:col>
                    <xdr:colOff>9525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38" name="Button 81">
              <controlPr defaultSize="0" print="0" autoFill="0" autoLine="0" autoPict="0" macro="[0]!GOTO_SCH_C2_2">
                <anchor moveWithCells="1" sizeWithCells="1">
                  <from>
                    <xdr:col>5</xdr:col>
                    <xdr:colOff>9525</xdr:colOff>
                    <xdr:row>11</xdr:row>
                    <xdr:rowOff>57150</xdr:rowOff>
                  </from>
                  <to>
                    <xdr:col>6</xdr:col>
                    <xdr:colOff>9525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39" name="Button 82">
              <controlPr defaultSize="0" print="0" autoFill="0" autoLine="0" autoPict="0" macro="[0]!GOTO_SCH_D1">
                <anchor moveWithCells="1" sizeWithCells="1">
                  <from>
                    <xdr:col>7</xdr:col>
                    <xdr:colOff>19050</xdr:colOff>
                    <xdr:row>1</xdr:row>
                    <xdr:rowOff>9525</xdr:rowOff>
                  </from>
                  <to>
                    <xdr:col>8</xdr:col>
                    <xdr:colOff>0</xdr:colOff>
                    <xdr:row>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40" name="Button 83">
              <controlPr defaultSize="0" print="0" autoFill="0" autoLine="0" autoPict="0" macro="[0]!GOTO_SCH_D2_1">
                <anchor moveWithCells="1" sizeWithCells="1">
                  <from>
                    <xdr:col>7</xdr:col>
                    <xdr:colOff>19050</xdr:colOff>
                    <xdr:row>3</xdr:row>
                    <xdr:rowOff>95250</xdr:rowOff>
                  </from>
                  <to>
                    <xdr:col>8</xdr:col>
                    <xdr:colOff>0</xdr:colOff>
                    <xdr:row>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41" name="Button 84">
              <controlPr defaultSize="0" print="0" autoFill="0" autoLine="0" autoPict="0" macro="[0]!GOTO_SCH_D2_2">
                <anchor moveWithCells="1" sizeWithCells="1">
                  <from>
                    <xdr:col>7</xdr:col>
                    <xdr:colOff>9525</xdr:colOff>
                    <xdr:row>5</xdr:row>
                    <xdr:rowOff>171450</xdr:rowOff>
                  </from>
                  <to>
                    <xdr:col>8</xdr:col>
                    <xdr:colOff>9525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42" name="Button 85">
              <controlPr defaultSize="0" print="0" autoFill="0" autoLine="0" autoPict="0" macro="[0]!GOTO_SCH_D2_3">
                <anchor moveWithCells="1" sizeWithCells="1">
                  <from>
                    <xdr:col>7</xdr:col>
                    <xdr:colOff>19050</xdr:colOff>
                    <xdr:row>8</xdr:row>
                    <xdr:rowOff>57150</xdr:rowOff>
                  </from>
                  <to>
                    <xdr:col>8</xdr:col>
                    <xdr:colOff>28575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43" name="Button 86">
              <controlPr defaultSize="0" print="0" autoFill="0" autoLine="0" autoPict="0" macro="[0]!GOTO_SCH_D2_4">
                <anchor moveWithCells="1" sizeWithCells="1">
                  <from>
                    <xdr:col>7</xdr:col>
                    <xdr:colOff>9525</xdr:colOff>
                    <xdr:row>10</xdr:row>
                    <xdr:rowOff>142875</xdr:rowOff>
                  </from>
                  <to>
                    <xdr:col>8</xdr:col>
                    <xdr:colOff>0</xdr:colOff>
                    <xdr:row>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44" name="Button 87">
              <controlPr defaultSize="0" print="0" autoFill="0" autoLine="0" autoPict="0" macro="[0]!GOTO_SCH_D2_5">
                <anchor moveWithCells="1" sizeWithCells="1">
                  <from>
                    <xdr:col>7</xdr:col>
                    <xdr:colOff>19050</xdr:colOff>
                    <xdr:row>13</xdr:row>
                    <xdr:rowOff>57150</xdr:rowOff>
                  </from>
                  <to>
                    <xdr:col>8</xdr:col>
                    <xdr:colOff>19050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45" name="Button 88">
              <controlPr defaultSize="0" print="0" autoFill="0" autoLine="0" autoPict="0" macro="[0]!GOTO_SCH_D2_6">
                <anchor moveWithCells="1" sizeWithCells="1">
                  <from>
                    <xdr:col>7</xdr:col>
                    <xdr:colOff>19050</xdr:colOff>
                    <xdr:row>15</xdr:row>
                    <xdr:rowOff>133350</xdr:rowOff>
                  </from>
                  <to>
                    <xdr:col>8</xdr:col>
                    <xdr:colOff>19050</xdr:colOff>
                    <xdr:row>17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46" name="Button 89">
              <controlPr defaultSize="0" print="0" autoFill="0" autoLine="0" autoPict="0" macro="[0]!GOTO_SCH_D2_7">
                <anchor moveWithCells="1" sizeWithCells="1">
                  <from>
                    <xdr:col>7</xdr:col>
                    <xdr:colOff>19050</xdr:colOff>
                    <xdr:row>18</xdr:row>
                    <xdr:rowOff>47625</xdr:rowOff>
                  </from>
                  <to>
                    <xdr:col>8</xdr:col>
                    <xdr:colOff>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47" name="Button 90">
              <controlPr defaultSize="0" print="0" autoFill="0" autoLine="0" autoPict="0" macro="[0]!GOTO_SCH_D2_8">
                <anchor moveWithCells="1" sizeWithCells="1">
                  <from>
                    <xdr:col>7</xdr:col>
                    <xdr:colOff>19050</xdr:colOff>
                    <xdr:row>20</xdr:row>
                    <xdr:rowOff>171450</xdr:rowOff>
                  </from>
                  <to>
                    <xdr:col>8</xdr:col>
                    <xdr:colOff>0</xdr:colOff>
                    <xdr:row>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48" name="Button 91">
              <controlPr defaultSize="0" print="0" autoFill="0" autoLine="0" autoPict="0" macro="[0]!GOTO_SCH_D2_9">
                <anchor moveWithCells="1" sizeWithCells="1">
                  <from>
                    <xdr:col>7</xdr:col>
                    <xdr:colOff>9525</xdr:colOff>
                    <xdr:row>23</xdr:row>
                    <xdr:rowOff>57150</xdr:rowOff>
                  </from>
                  <to>
                    <xdr:col>8</xdr:col>
                    <xdr:colOff>0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49" name="Button 92">
              <controlPr defaultSize="0" print="0" autoFill="0" autoLine="0" autoPict="0" macro="[0]!GOTO_SCH_D2_10">
                <anchor moveWithCells="1" sizeWithCells="1">
                  <from>
                    <xdr:col>7</xdr:col>
                    <xdr:colOff>19050</xdr:colOff>
                    <xdr:row>25</xdr:row>
                    <xdr:rowOff>142875</xdr:rowOff>
                  </from>
                  <to>
                    <xdr:col>8</xdr:col>
                    <xdr:colOff>0</xdr:colOff>
                    <xdr:row>27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50" name="Button 93">
              <controlPr defaultSize="0" print="0" autoFill="0" autoLine="0" autoPict="0" macro="[0]!GOTO_SCH_D2_18">
                <anchor moveWithCells="1" sizeWithCells="1">
                  <from>
                    <xdr:col>9</xdr:col>
                    <xdr:colOff>19050</xdr:colOff>
                    <xdr:row>18</xdr:row>
                    <xdr:rowOff>47625</xdr:rowOff>
                  </from>
                  <to>
                    <xdr:col>9</xdr:col>
                    <xdr:colOff>533400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51" name="Button 94">
              <controlPr defaultSize="0" print="0" autoFill="0" autoLine="0" autoPict="0" macro="[0]!GOTO_SCH_D2_19">
                <anchor moveWithCells="1" sizeWithCells="1">
                  <from>
                    <xdr:col>9</xdr:col>
                    <xdr:colOff>19050</xdr:colOff>
                    <xdr:row>20</xdr:row>
                    <xdr:rowOff>133350</xdr:rowOff>
                  </from>
                  <to>
                    <xdr:col>10</xdr:col>
                    <xdr:colOff>9525</xdr:colOff>
                    <xdr:row>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52" name="Button 95">
              <controlPr defaultSize="0" print="0" autoFill="0" autoLine="0" autoPict="0" macro="[0]!GOTO_SCH_D2_20">
                <anchor moveWithCells="1" sizeWithCells="1">
                  <from>
                    <xdr:col>9</xdr:col>
                    <xdr:colOff>19050</xdr:colOff>
                    <xdr:row>23</xdr:row>
                    <xdr:rowOff>57150</xdr:rowOff>
                  </from>
                  <to>
                    <xdr:col>10</xdr:col>
                    <xdr:colOff>19050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53" name="Button 96">
              <controlPr defaultSize="0" print="0" autoFill="0" autoLine="0" autoPict="0" macro="[0]!GOTO_SCH_D2_21">
                <anchor moveWithCells="1" sizeWithCells="1">
                  <from>
                    <xdr:col>9</xdr:col>
                    <xdr:colOff>19050</xdr:colOff>
                    <xdr:row>25</xdr:row>
                    <xdr:rowOff>142875</xdr:rowOff>
                  </from>
                  <to>
                    <xdr:col>10</xdr:col>
                    <xdr:colOff>19050</xdr:colOff>
                    <xdr:row>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54" name="Button 97">
              <controlPr defaultSize="0" print="0" autoFill="0" autoLine="0" autoPict="0" macro="[0]!GOTO_SCH_D2_22">
                <anchor moveWithCells="1" sizeWithCells="1">
                  <from>
                    <xdr:col>11</xdr:col>
                    <xdr:colOff>19050</xdr:colOff>
                    <xdr:row>1</xdr:row>
                    <xdr:rowOff>0</xdr:rowOff>
                  </from>
                  <to>
                    <xdr:col>12</xdr:col>
                    <xdr:colOff>19050</xdr:colOff>
                    <xdr:row>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55" name="Button 98">
              <controlPr defaultSize="0" print="0" autoFill="0" autoLine="0" autoPict="0" macro="[0]!GOTO_SCH_D2_23">
                <anchor moveWithCells="1" sizeWithCells="1">
                  <from>
                    <xdr:col>11</xdr:col>
                    <xdr:colOff>19050</xdr:colOff>
                    <xdr:row>3</xdr:row>
                    <xdr:rowOff>95250</xdr:rowOff>
                  </from>
                  <to>
                    <xdr:col>12</xdr:col>
                    <xdr:colOff>19050</xdr:colOff>
                    <xdr:row>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56" name="Button 99">
              <controlPr defaultSize="0" print="0" autoFill="0" autoLine="0" autoPict="0" macro="[0]!GOTO_SCH_D2_24">
                <anchor moveWithCells="1" sizeWithCells="1">
                  <from>
                    <xdr:col>11</xdr:col>
                    <xdr:colOff>19050</xdr:colOff>
                    <xdr:row>6</xdr:row>
                    <xdr:rowOff>19050</xdr:rowOff>
                  </from>
                  <to>
                    <xdr:col>12</xdr:col>
                    <xdr:colOff>19050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57" name="Button 100">
              <controlPr defaultSize="0" print="0" autoFill="0" autoLine="0" autoPict="0" macro="[0]!GOTO_SCH_D2_25">
                <anchor moveWithCells="1" sizeWithCells="1">
                  <from>
                    <xdr:col>11</xdr:col>
                    <xdr:colOff>19050</xdr:colOff>
                    <xdr:row>8</xdr:row>
                    <xdr:rowOff>95250</xdr:rowOff>
                  </from>
                  <to>
                    <xdr:col>12</xdr:col>
                    <xdr:colOff>19050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58" name="Button 101">
              <controlPr defaultSize="0" print="0" autoFill="0" autoLine="0" autoPict="0" macro="[0]!GOTO_SCH_F1">
                <anchor moveWithCells="1" sizeWithCells="1">
                  <from>
                    <xdr:col>13</xdr:col>
                    <xdr:colOff>19050</xdr:colOff>
                    <xdr:row>1</xdr:row>
                    <xdr:rowOff>19050</xdr:rowOff>
                  </from>
                  <to>
                    <xdr:col>14</xdr:col>
                    <xdr:colOff>9525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59" name="Button 102">
              <controlPr defaultSize="0" print="0" autoFill="0" autoLine="0" autoPict="0" macro="[0]!GOTO_SCH_F2_1">
                <anchor moveWithCells="1" sizeWithCells="1">
                  <from>
                    <xdr:col>13</xdr:col>
                    <xdr:colOff>19050</xdr:colOff>
                    <xdr:row>3</xdr:row>
                    <xdr:rowOff>114300</xdr:rowOff>
                  </from>
                  <to>
                    <xdr:col>14</xdr:col>
                    <xdr:colOff>19050</xdr:colOff>
                    <xdr:row>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60" name="Button 103">
              <controlPr defaultSize="0" print="0" autoFill="0" autoLine="0" autoPict="0" macro="[0]!GOTO_SCH_H">
                <anchor moveWithCells="1" sizeWithCells="1">
                  <from>
                    <xdr:col>15</xdr:col>
                    <xdr:colOff>28575</xdr:colOff>
                    <xdr:row>8</xdr:row>
                    <xdr:rowOff>95250</xdr:rowOff>
                  </from>
                  <to>
                    <xdr:col>16</xdr:col>
                    <xdr:colOff>19050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61" name="Button 104">
              <controlPr defaultSize="0" print="0" autoFill="0" autoLine="0" autoPict="0" macro="[0]!GOTO_SCH_I1_Total">
                <anchor moveWithCells="1" sizeWithCells="1">
                  <from>
                    <xdr:col>17</xdr:col>
                    <xdr:colOff>28575</xdr:colOff>
                    <xdr:row>1</xdr:row>
                    <xdr:rowOff>19050</xdr:rowOff>
                  </from>
                  <to>
                    <xdr:col>18</xdr:col>
                    <xdr:colOff>19050</xdr:colOff>
                    <xdr:row>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62" name="Button 105">
              <controlPr defaultSize="0" print="0" autoFill="0" autoLine="0" autoPict="0" macro="[0]!GOTO_SCH_I2_1">
                <anchor moveWithCells="1" sizeWithCells="1">
                  <from>
                    <xdr:col>17</xdr:col>
                    <xdr:colOff>28575</xdr:colOff>
                    <xdr:row>3</xdr:row>
                    <xdr:rowOff>114300</xdr:rowOff>
                  </from>
                  <to>
                    <xdr:col>18</xdr:col>
                    <xdr:colOff>19050</xdr:colOff>
                    <xdr:row>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63" name="Button 106">
              <controlPr defaultSize="0" print="0" autoFill="0" autoLine="0" autoPict="0" macro="[0]!GOTO_SCH_I3">
                <anchor moveWithCells="1" sizeWithCells="1">
                  <from>
                    <xdr:col>17</xdr:col>
                    <xdr:colOff>19050</xdr:colOff>
                    <xdr:row>6</xdr:row>
                    <xdr:rowOff>0</xdr:rowOff>
                  </from>
                  <to>
                    <xdr:col>18</xdr:col>
                    <xdr:colOff>19050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64" name="Button 107">
              <controlPr defaultSize="0" print="0" autoFill="0" autoLine="0" autoPict="0" macro="[0]!GOTO_SCH_I4">
                <anchor moveWithCells="1" sizeWithCells="1">
                  <from>
                    <xdr:col>17</xdr:col>
                    <xdr:colOff>19050</xdr:colOff>
                    <xdr:row>8</xdr:row>
                    <xdr:rowOff>95250</xdr:rowOff>
                  </from>
                  <to>
                    <xdr:col>18</xdr:col>
                    <xdr:colOff>19050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65" name="Button 108">
              <controlPr defaultSize="0" print="0" autoFill="0" autoLine="0" autoPict="0" macro="[0]!GOTO_SCH_I5">
                <anchor moveWithCells="1" sizeWithCells="1">
                  <from>
                    <xdr:col>17</xdr:col>
                    <xdr:colOff>19050</xdr:colOff>
                    <xdr:row>10</xdr:row>
                    <xdr:rowOff>171450</xdr:rowOff>
                  </from>
                  <to>
                    <xdr:col>18</xdr:col>
                    <xdr:colOff>19050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66" name="Button 109">
              <controlPr defaultSize="0" print="0" autoFill="0" autoLine="0" autoPict="0" macro="[0]!GOTO_SCH_J1">
                <anchor moveWithCells="1" sizeWithCells="1">
                  <from>
                    <xdr:col>19</xdr:col>
                    <xdr:colOff>28575</xdr:colOff>
                    <xdr:row>1</xdr:row>
                    <xdr:rowOff>9525</xdr:rowOff>
                  </from>
                  <to>
                    <xdr:col>19</xdr:col>
                    <xdr:colOff>590550</xdr:colOff>
                    <xdr:row>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67" name="Button 110">
              <controlPr defaultSize="0" print="0" autoFill="0" autoLine="0" autoPict="0" macro="[0]!GOTO_SCH_K">
                <anchor moveWithCells="1" sizeWithCells="1">
                  <from>
                    <xdr:col>19</xdr:col>
                    <xdr:colOff>28575</xdr:colOff>
                    <xdr:row>16</xdr:row>
                    <xdr:rowOff>76200</xdr:rowOff>
                  </from>
                  <to>
                    <xdr:col>19</xdr:col>
                    <xdr:colOff>590550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68" name="Button 113">
              <controlPr defaultSize="0" print="0" autoFill="0" autoLine="0" autoPict="0" macro="[0]!GOTO_SCH_J2FP">
                <anchor moveWithCells="1" sizeWithCells="1">
                  <from>
                    <xdr:col>21</xdr:col>
                    <xdr:colOff>38100</xdr:colOff>
                    <xdr:row>8</xdr:row>
                    <xdr:rowOff>85725</xdr:rowOff>
                  </from>
                  <to>
                    <xdr:col>21</xdr:col>
                    <xdr:colOff>590550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69" name="Button 114">
              <controlPr defaultSize="0" print="0" autoFill="0" autoLine="0" autoPict="0" macro="[0]!GOTO_SCH_J3FP">
                <anchor moveWithCells="1" sizeWithCells="1">
                  <from>
                    <xdr:col>21</xdr:col>
                    <xdr:colOff>38100</xdr:colOff>
                    <xdr:row>10</xdr:row>
                    <xdr:rowOff>171450</xdr:rowOff>
                  </from>
                  <to>
                    <xdr:col>21</xdr:col>
                    <xdr:colOff>590550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70" name="Button 116">
              <controlPr defaultSize="0" print="0" autoFill="0" autoLine="0" autoPict="0" macro="[0]!GOTO_SCH_J1FP">
                <anchor moveWithCells="1" sizeWithCells="1">
                  <from>
                    <xdr:col>21</xdr:col>
                    <xdr:colOff>38100</xdr:colOff>
                    <xdr:row>1</xdr:row>
                    <xdr:rowOff>9525</xdr:rowOff>
                  </from>
                  <to>
                    <xdr:col>21</xdr:col>
                    <xdr:colOff>590550</xdr:colOff>
                    <xdr:row>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71" name="Button 119">
              <controlPr defaultSize="0" print="0" autoFill="0" autoLine="0" autoPict="0" macro="[0]!GOTO_SCH_B2">
                <anchor moveWithCells="1" sizeWithCells="1">
                  <from>
                    <xdr:col>1</xdr:col>
                    <xdr:colOff>0</xdr:colOff>
                    <xdr:row>6</xdr:row>
                    <xdr:rowOff>19050</xdr:rowOff>
                  </from>
                  <to>
                    <xdr:col>2</xdr:col>
                    <xdr:colOff>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72" name="Button 120">
              <controlPr defaultSize="0" print="0" autoFill="0" autoLine="0" autoPict="0" macro="[0]!GOTO_SCH_B2_1">
                <anchor moveWithCells="1" sizeWithCells="1">
                  <from>
                    <xdr:col>1</xdr:col>
                    <xdr:colOff>9525</xdr:colOff>
                    <xdr:row>8</xdr:row>
                    <xdr:rowOff>95250</xdr:rowOff>
                  </from>
                  <to>
                    <xdr:col>2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73" name="Button 121">
              <controlPr defaultSize="0" print="0" autoFill="0" autoLine="0" autoPict="0" macro="[0]!GOTO_SCH_B2_2">
                <anchor moveWithCells="1" sizeWithCells="1">
                  <from>
                    <xdr:col>1</xdr:col>
                    <xdr:colOff>9525</xdr:colOff>
                    <xdr:row>10</xdr:row>
                    <xdr:rowOff>180975</xdr:rowOff>
                  </from>
                  <to>
                    <xdr:col>2</xdr:col>
                    <xdr:colOff>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74" name="Button 122">
              <controlPr defaultSize="0" print="0" autoFill="0" autoLine="0" autoPict="0" macro="[0]!GOTO_SCH_B2_3">
                <anchor moveWithCells="1" sizeWithCells="1">
                  <from>
                    <xdr:col>1</xdr:col>
                    <xdr:colOff>9525</xdr:colOff>
                    <xdr:row>13</xdr:row>
                    <xdr:rowOff>76200</xdr:rowOff>
                  </from>
                  <to>
                    <xdr:col>2</xdr:col>
                    <xdr:colOff>0</xdr:colOff>
                    <xdr:row>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75" name="Button 123">
              <controlPr defaultSize="0" print="0" autoFill="0" autoLine="0" autoPict="0" macro="[0]!GOTO_SCH_B2_4">
                <anchor moveWithCells="1" sizeWithCells="1">
                  <from>
                    <xdr:col>1</xdr:col>
                    <xdr:colOff>9525</xdr:colOff>
                    <xdr:row>15</xdr:row>
                    <xdr:rowOff>142875</xdr:rowOff>
                  </from>
                  <to>
                    <xdr:col>2</xdr:col>
                    <xdr:colOff>0</xdr:colOff>
                    <xdr:row>17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76" name="Button 124">
              <controlPr defaultSize="0" print="0" autoFill="0" autoLine="0" autoPict="0" macro="[0]!GOTO_SCH_B2_5">
                <anchor moveWithCells="1" sizeWithCells="1">
                  <from>
                    <xdr:col>1</xdr:col>
                    <xdr:colOff>9525</xdr:colOff>
                    <xdr:row>18</xdr:row>
                    <xdr:rowOff>47625</xdr:rowOff>
                  </from>
                  <to>
                    <xdr:col>2</xdr:col>
                    <xdr:colOff>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77" name="Button 125">
              <controlPr defaultSize="0" print="0" autoFill="0" autoLine="0" autoPict="0" macro="[0]!GOTO_SCH_B2_6">
                <anchor moveWithCells="1" sizeWithCells="1">
                  <from>
                    <xdr:col>1</xdr:col>
                    <xdr:colOff>9525</xdr:colOff>
                    <xdr:row>20</xdr:row>
                    <xdr:rowOff>152400</xdr:rowOff>
                  </from>
                  <to>
                    <xdr:col>2</xdr:col>
                    <xdr:colOff>0</xdr:colOff>
                    <xdr:row>22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78" name="Button 126">
              <controlPr defaultSize="0" print="0" autoFill="0" autoLine="0" autoPict="0" macro="[0]!GOTO_SCH_B2_7">
                <anchor moveWithCells="1" sizeWithCells="1">
                  <from>
                    <xdr:col>1</xdr:col>
                    <xdr:colOff>9525</xdr:colOff>
                    <xdr:row>23</xdr:row>
                    <xdr:rowOff>57150</xdr:rowOff>
                  </from>
                  <to>
                    <xdr:col>2</xdr:col>
                    <xdr:colOff>0</xdr:colOff>
                    <xdr:row>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79" name="Button 127">
              <controlPr defaultSize="0" print="0" autoFill="0" autoLine="0" autoPict="0" macro="[0]!GOTO_SCH_B3">
                <anchor moveWithCells="1" sizeWithCells="1">
                  <from>
                    <xdr:col>3</xdr:col>
                    <xdr:colOff>9525</xdr:colOff>
                    <xdr:row>1</xdr:row>
                    <xdr:rowOff>9525</xdr:rowOff>
                  </from>
                  <to>
                    <xdr:col>3</xdr:col>
                    <xdr:colOff>533400</xdr:colOff>
                    <xdr:row>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80" name="Button 128">
              <controlPr defaultSize="0" print="0" autoFill="0" autoLine="0" autoPict="0" macro="[0]!GOTO_SCH_B3_1">
                <anchor moveWithCells="1" sizeWithCells="1">
                  <from>
                    <xdr:col>3</xdr:col>
                    <xdr:colOff>9525</xdr:colOff>
                    <xdr:row>3</xdr:row>
                    <xdr:rowOff>114300</xdr:rowOff>
                  </from>
                  <to>
                    <xdr:col>3</xdr:col>
                    <xdr:colOff>533400</xdr:colOff>
                    <xdr:row>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81" name="Button 129">
              <controlPr defaultSize="0" print="0" autoFill="0" autoLine="0" autoPict="0" macro="[0]!GOTO_SCH_B3_2">
                <anchor moveWithCells="1" sizeWithCells="1">
                  <from>
                    <xdr:col>3</xdr:col>
                    <xdr:colOff>9525</xdr:colOff>
                    <xdr:row>6</xdr:row>
                    <xdr:rowOff>19050</xdr:rowOff>
                  </from>
                  <to>
                    <xdr:col>3</xdr:col>
                    <xdr:colOff>533400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82" name="Button 130">
              <controlPr defaultSize="0" print="0" autoFill="0" autoLine="0" autoPict="0" macro="[0]!GOTO_SCH_B4">
                <anchor moveWithCells="1" sizeWithCells="1">
                  <from>
                    <xdr:col>3</xdr:col>
                    <xdr:colOff>9525</xdr:colOff>
                    <xdr:row>8</xdr:row>
                    <xdr:rowOff>133350</xdr:rowOff>
                  </from>
                  <to>
                    <xdr:col>3</xdr:col>
                    <xdr:colOff>533400</xdr:colOff>
                    <xdr:row>10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83" name="Button 131">
              <controlPr defaultSize="0" print="0" autoFill="0" autoLine="0" autoPict="0" macro="[0]!GOTO_SCH_B4_1">
                <anchor moveWithCells="1" sizeWithCells="1">
                  <from>
                    <xdr:col>3</xdr:col>
                    <xdr:colOff>9525</xdr:colOff>
                    <xdr:row>11</xdr:row>
                    <xdr:rowOff>28575</xdr:rowOff>
                  </from>
                  <to>
                    <xdr:col>3</xdr:col>
                    <xdr:colOff>533400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84" name="Button 138">
              <controlPr defaultSize="0" print="0" autoFill="0" autoLine="0" autoPict="0" macro="[0]!GOTO_WPB_2_2a">
                <anchor moveWithCells="1" sizeWithCells="1">
                  <from>
                    <xdr:col>23</xdr:col>
                    <xdr:colOff>47625</xdr:colOff>
                    <xdr:row>1</xdr:row>
                    <xdr:rowOff>28575</xdr:rowOff>
                  </from>
                  <to>
                    <xdr:col>24</xdr:col>
                    <xdr:colOff>38100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85" name="Button 139">
              <controlPr defaultSize="0" print="0" autoFill="0" autoLine="0" autoPict="0" macro="[0]!GOTO_WPB_3_1a">
                <anchor moveWithCells="1" sizeWithCells="1">
                  <from>
                    <xdr:col>23</xdr:col>
                    <xdr:colOff>47625</xdr:colOff>
                    <xdr:row>3</xdr:row>
                    <xdr:rowOff>133350</xdr:rowOff>
                  </from>
                  <to>
                    <xdr:col>24</xdr:col>
                    <xdr:colOff>38100</xdr:colOff>
                    <xdr:row>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86" name="Button 140">
              <controlPr defaultSize="0" print="0" autoFill="0" autoLine="0" autoPict="0">
                <anchor moveWithCells="1" sizeWithCells="1">
                  <from>
                    <xdr:col>23</xdr:col>
                    <xdr:colOff>38100</xdr:colOff>
                    <xdr:row>13</xdr:row>
                    <xdr:rowOff>152400</xdr:rowOff>
                  </from>
                  <to>
                    <xdr:col>24</xdr:col>
                    <xdr:colOff>57150</xdr:colOff>
                    <xdr:row>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87" name="Button 141">
              <controlPr defaultSize="0" print="0" autoFill="0" autoLine="0" autoPict="0">
                <anchor moveWithCells="1" sizeWithCells="1">
                  <from>
                    <xdr:col>23</xdr:col>
                    <xdr:colOff>47625</xdr:colOff>
                    <xdr:row>11</xdr:row>
                    <xdr:rowOff>57150</xdr:rowOff>
                  </from>
                  <to>
                    <xdr:col>24</xdr:col>
                    <xdr:colOff>47625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88" name="Button 142">
              <controlPr defaultSize="0" print="0" autoFill="0" autoLine="0" autoPict="0" macro="[0]!GOTO_WPB_5_1a">
                <anchor moveWithCells="1" sizeWithCells="1">
                  <from>
                    <xdr:col>23</xdr:col>
                    <xdr:colOff>47625</xdr:colOff>
                    <xdr:row>6</xdr:row>
                    <xdr:rowOff>19050</xdr:rowOff>
                  </from>
                  <to>
                    <xdr:col>24</xdr:col>
                    <xdr:colOff>38100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89" name="Button 143">
              <controlPr defaultSize="0" print="0" autoFill="0" autoLine="0" autoPict="0" macro="[0]!GOTO_WPB_6">
                <anchor moveWithCells="1" sizeWithCells="1">
                  <from>
                    <xdr:col>23</xdr:col>
                    <xdr:colOff>47625</xdr:colOff>
                    <xdr:row>8</xdr:row>
                    <xdr:rowOff>95250</xdr:rowOff>
                  </from>
                  <to>
                    <xdr:col>24</xdr:col>
                    <xdr:colOff>38100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90" name="Button 146">
              <controlPr defaultSize="0" print="0" autoFill="0" autoLine="0" autoPict="0" macro="[0]!GOTO_SCH_D2_26">
                <anchor moveWithCells="1" sizeWithCells="1">
                  <from>
                    <xdr:col>11</xdr:col>
                    <xdr:colOff>19050</xdr:colOff>
                    <xdr:row>11</xdr:row>
                    <xdr:rowOff>19050</xdr:rowOff>
                  </from>
                  <to>
                    <xdr:col>12</xdr:col>
                    <xdr:colOff>19050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91" name="Button 147">
              <controlPr defaultSize="0" print="0" autoFill="0" autoLine="0" autoPict="0" macro="[0]!GOTO_SCH_D2_27">
                <anchor moveWithCells="1" sizeWithCells="1">
                  <from>
                    <xdr:col>11</xdr:col>
                    <xdr:colOff>19050</xdr:colOff>
                    <xdr:row>13</xdr:row>
                    <xdr:rowOff>95250</xdr:rowOff>
                  </from>
                  <to>
                    <xdr:col>12</xdr:col>
                    <xdr:colOff>38100</xdr:colOff>
                    <xdr:row>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92" name="Button 148">
              <controlPr defaultSize="0" print="0" autoFill="0" autoLine="0" autoPict="0" macro="[0]!GOTO_SCH_H_FP">
                <anchor moveWithCells="1" sizeWithCells="1">
                  <from>
                    <xdr:col>15</xdr:col>
                    <xdr:colOff>28575</xdr:colOff>
                    <xdr:row>10</xdr:row>
                    <xdr:rowOff>171450</xdr:rowOff>
                  </from>
                  <to>
                    <xdr:col>16</xdr:col>
                    <xdr:colOff>19050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93" name="Button 149">
              <controlPr defaultSize="0" print="0" autoFill="0" autoLine="0" autoPict="0" macro="[0]!GOTO_SCH_D2_28">
                <anchor moveWithCells="1" sizeWithCells="1">
                  <from>
                    <xdr:col>11</xdr:col>
                    <xdr:colOff>19050</xdr:colOff>
                    <xdr:row>15</xdr:row>
                    <xdr:rowOff>171450</xdr:rowOff>
                  </from>
                  <to>
                    <xdr:col>12</xdr:col>
                    <xdr:colOff>38100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94" name="Button 150">
              <controlPr defaultSize="0" print="0" autoFill="0" autoLine="0" autoPict="0" macro="[0]!GOTO_SCH_D2_29">
                <anchor moveWithCells="1" sizeWithCells="1">
                  <from>
                    <xdr:col>11</xdr:col>
                    <xdr:colOff>19050</xdr:colOff>
                    <xdr:row>18</xdr:row>
                    <xdr:rowOff>66675</xdr:rowOff>
                  </from>
                  <to>
                    <xdr:col>12</xdr:col>
                    <xdr:colOff>19050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95" name="Button 153">
              <controlPr defaultSize="0" print="0" autoFill="0" autoLine="0" autoPict="0" macro="[0]!GOTO_SCH_D2_30">
                <anchor moveWithCells="1" sizeWithCells="1">
                  <from>
                    <xdr:col>11</xdr:col>
                    <xdr:colOff>19050</xdr:colOff>
                    <xdr:row>20</xdr:row>
                    <xdr:rowOff>133350</xdr:rowOff>
                  </from>
                  <to>
                    <xdr:col>12</xdr:col>
                    <xdr:colOff>19050</xdr:colOff>
                    <xdr:row>22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96" name="Button 154">
              <controlPr defaultSize="0" print="0" autoFill="0" autoLine="0" autoPict="0" macro="[0]!GOTO_SCH_E1">
                <anchor moveWithCells="1" sizeWithCells="1">
                  <from>
                    <xdr:col>13</xdr:col>
                    <xdr:colOff>19050</xdr:colOff>
                    <xdr:row>23</xdr:row>
                    <xdr:rowOff>95250</xdr:rowOff>
                  </from>
                  <to>
                    <xdr:col>14</xdr:col>
                    <xdr:colOff>19050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97" name="Button 155">
              <controlPr defaultSize="0" print="0" autoFill="0" autoLine="0" autoPict="0" macro="[0]!GOTO_SCH_E2">
                <anchor moveWithCells="1" sizeWithCells="1">
                  <from>
                    <xdr:col>13</xdr:col>
                    <xdr:colOff>19050</xdr:colOff>
                    <xdr:row>25</xdr:row>
                    <xdr:rowOff>142875</xdr:rowOff>
                  </from>
                  <to>
                    <xdr:col>14</xdr:col>
                    <xdr:colOff>19050</xdr:colOff>
                    <xdr:row>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98" name="Button 156">
              <controlPr defaultSize="0" print="0" autoFill="0" autoLine="0" autoPict="0" macro="[0]!GOTO_SCH_D2_31">
                <anchor moveWithCells="1" sizeWithCells="1">
                  <from>
                    <xdr:col>11</xdr:col>
                    <xdr:colOff>19050</xdr:colOff>
                    <xdr:row>23</xdr:row>
                    <xdr:rowOff>57150</xdr:rowOff>
                  </from>
                  <to>
                    <xdr:col>12</xdr:col>
                    <xdr:colOff>19050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99" name="Button 157">
              <controlPr defaultSize="0" print="0" autoFill="0" autoLine="0" autoPict="0" macro="[0]!GOTO_SCH_D2_32">
                <anchor moveWithCells="1" sizeWithCells="1">
                  <from>
                    <xdr:col>11</xdr:col>
                    <xdr:colOff>9525</xdr:colOff>
                    <xdr:row>25</xdr:row>
                    <xdr:rowOff>171450</xdr:rowOff>
                  </from>
                  <to>
                    <xdr:col>12</xdr:col>
                    <xdr:colOff>19050</xdr:colOff>
                    <xdr:row>27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00" name="Button 158">
              <controlPr defaultSize="0" print="0" autoFill="0" autoLine="0" autoPict="0" macro="[0]!GOTO_SCH_D2_33">
                <anchor moveWithCells="1" sizeWithCells="1">
                  <from>
                    <xdr:col>11</xdr:col>
                    <xdr:colOff>9525</xdr:colOff>
                    <xdr:row>28</xdr:row>
                    <xdr:rowOff>9525</xdr:rowOff>
                  </from>
                  <to>
                    <xdr:col>12</xdr:col>
                    <xdr:colOff>9525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01" name="Button 159">
              <controlPr defaultSize="0" print="0" autoFill="0" autoLine="0" autoPict="0" macro="[0]!GOTO_SCH_D2_34">
                <anchor moveWithCells="1" sizeWithCells="1">
                  <from>
                    <xdr:col>11</xdr:col>
                    <xdr:colOff>9525</xdr:colOff>
                    <xdr:row>30</xdr:row>
                    <xdr:rowOff>57150</xdr:rowOff>
                  </from>
                  <to>
                    <xdr:col>12</xdr:col>
                    <xdr:colOff>9525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02" name="Button 160">
              <controlPr defaultSize="0" print="0" autoFill="0" autoLine="0" autoPict="0" macro="[0]!GOTO_SCH_D2_35">
                <anchor moveWithCells="1" sizeWithCells="1">
                  <from>
                    <xdr:col>11</xdr:col>
                    <xdr:colOff>19050</xdr:colOff>
                    <xdr:row>32</xdr:row>
                    <xdr:rowOff>95250</xdr:rowOff>
                  </from>
                  <to>
                    <xdr:col>12</xdr:col>
                    <xdr:colOff>19050</xdr:colOff>
                    <xdr:row>34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tabColor theme="4" tint="0.39997558519241921"/>
  </sheetPr>
  <dimension ref="A1:M45"/>
  <sheetViews>
    <sheetView tabSelected="1" view="pageLayout" topLeftCell="B1" zoomScaleNormal="100" workbookViewId="0">
      <selection activeCell="G1" sqref="G1"/>
    </sheetView>
  </sheetViews>
  <sheetFormatPr defaultColWidth="11.42578125" defaultRowHeight="12.75"/>
  <cols>
    <col min="1" max="1" width="11.42578125" style="18" customWidth="1"/>
    <col min="2" max="2" width="14.140625" style="18" customWidth="1"/>
    <col min="3" max="3" width="12.28515625" style="18" customWidth="1"/>
    <col min="4" max="4" width="11.42578125" style="18" customWidth="1"/>
    <col min="5" max="5" width="14.140625" style="18" customWidth="1"/>
    <col min="6" max="8" width="11.42578125" style="18" customWidth="1"/>
    <col min="9" max="9" width="12.7109375" style="18" customWidth="1"/>
    <col min="10" max="10" width="2.42578125" style="18" customWidth="1"/>
    <col min="11" max="12" width="11.42578125" style="18" customWidth="1"/>
    <col min="13" max="13" width="14.140625" style="18" customWidth="1"/>
    <col min="14" max="16384" width="11.42578125" style="18"/>
  </cols>
  <sheetData>
    <row r="1" spans="1:13" s="1541" customFormat="1">
      <c r="A1" s="103" t="str">
        <f>COMPANY</f>
        <v>DUKE ENERGY KENTUCKY, INC.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</row>
    <row r="2" spans="1:13" s="1541" customFormat="1">
      <c r="A2" s="103" t="str">
        <f>CASE</f>
        <v>CASE NO. 2017-00321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</row>
    <row r="3" spans="1:13" s="1541" customFormat="1">
      <c r="A3" s="103" t="s">
        <v>1282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</row>
    <row r="4" spans="1:13" s="1541" customFormat="1">
      <c r="A4" s="76" t="str">
        <f>"AS OF " &amp;RIGHT(TESTYR,(LEN(TESTYR)-16))</f>
        <v>AS OF NOVEMBER 30, 2017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</row>
    <row r="5" spans="1:13" s="1541" customFormat="1">
      <c r="A5" s="2585"/>
      <c r="B5" s="2585"/>
      <c r="C5" s="2585"/>
      <c r="D5" s="2585"/>
      <c r="E5" s="2585"/>
      <c r="F5" s="2585"/>
      <c r="G5" s="2585"/>
      <c r="H5" s="2585"/>
      <c r="I5" s="2585"/>
      <c r="J5" s="2585"/>
      <c r="K5" s="2585"/>
    </row>
    <row r="6" spans="1:13" s="1541" customFormat="1"/>
    <row r="7" spans="1:13" s="1541" customFormat="1"/>
    <row r="8" spans="1:13" s="1541" customFormat="1">
      <c r="A8" s="1506" t="str">
        <f>Data</f>
        <v>DATA: "X" BASE PERIOD   FORECASTED PERIOD</v>
      </c>
      <c r="K8" s="1506" t="s">
        <v>1283</v>
      </c>
    </row>
    <row r="9" spans="1:13" s="1541" customFormat="1">
      <c r="A9" s="1506" t="str">
        <f>Type</f>
        <v xml:space="preserve">TYPE OF FILING:  "X" ORIGINAL   UPDATED    REVISED  </v>
      </c>
      <c r="K9" s="1506" t="s">
        <v>1458</v>
      </c>
    </row>
    <row r="10" spans="1:13" s="1541" customFormat="1">
      <c r="A10" s="1506" t="s">
        <v>1879</v>
      </c>
      <c r="K10" s="2586" t="str">
        <f>'SCH B-2'!F11</f>
        <v>WITNESS RESPONSIBLE:</v>
      </c>
    </row>
    <row r="11" spans="1:13" s="1541" customFormat="1">
      <c r="K11" s="2586" t="str">
        <f>_WIT7</f>
        <v>R. H. PRATT / C. S. LEE</v>
      </c>
    </row>
    <row r="12" spans="1:13" s="1541" customFormat="1"/>
    <row r="13" spans="1:13" s="1541" customFormat="1"/>
    <row r="14" spans="1:13" s="1541" customFormat="1">
      <c r="J14" s="2587"/>
      <c r="L14" s="2587"/>
      <c r="M14" s="2587"/>
    </row>
    <row r="15" spans="1:13" s="1541" customFormat="1">
      <c r="A15" s="1621"/>
      <c r="B15" s="1621"/>
      <c r="C15" s="1621"/>
      <c r="D15" s="1621"/>
      <c r="E15" s="1621"/>
      <c r="F15" s="1621"/>
      <c r="G15" s="2711"/>
      <c r="H15" s="1621"/>
      <c r="I15" s="1621"/>
      <c r="J15" s="89"/>
      <c r="K15" s="1621"/>
    </row>
    <row r="16" spans="1:13" s="1541" customFormat="1">
      <c r="B16" s="1505" t="s">
        <v>1119</v>
      </c>
      <c r="F16" s="1505" t="s">
        <v>1585</v>
      </c>
      <c r="G16" s="100" t="s">
        <v>1284</v>
      </c>
      <c r="H16" s="100"/>
      <c r="I16" s="100"/>
      <c r="J16" s="90"/>
      <c r="K16" s="2588" t="s">
        <v>1626</v>
      </c>
      <c r="L16" s="2588"/>
      <c r="M16" s="2588"/>
    </row>
    <row r="17" spans="1:13" s="1541" customFormat="1">
      <c r="A17" s="1505" t="s">
        <v>1240</v>
      </c>
      <c r="B17" s="1505" t="s">
        <v>327</v>
      </c>
      <c r="C17" s="1505" t="s">
        <v>1735</v>
      </c>
      <c r="D17" s="1505" t="s">
        <v>1588</v>
      </c>
      <c r="E17" s="1505" t="s">
        <v>328</v>
      </c>
      <c r="F17" s="1505" t="s">
        <v>1588</v>
      </c>
      <c r="H17" s="1505" t="s">
        <v>1164</v>
      </c>
      <c r="L17" s="1505" t="s">
        <v>1164</v>
      </c>
    </row>
    <row r="18" spans="1:13" s="1541" customFormat="1">
      <c r="A18" s="1505" t="s">
        <v>1241</v>
      </c>
      <c r="B18" s="1505" t="s">
        <v>1739</v>
      </c>
      <c r="C18" s="1505" t="s">
        <v>1591</v>
      </c>
      <c r="D18" s="1505" t="s">
        <v>1592</v>
      </c>
      <c r="E18" s="1505" t="s">
        <v>329</v>
      </c>
      <c r="F18" s="1505" t="s">
        <v>1592</v>
      </c>
      <c r="G18" s="1505" t="s">
        <v>646</v>
      </c>
      <c r="H18" s="1505" t="s">
        <v>1241</v>
      </c>
      <c r="I18" s="1506" t="s">
        <v>1119</v>
      </c>
      <c r="J18" s="1506"/>
      <c r="K18" s="1505" t="s">
        <v>646</v>
      </c>
      <c r="L18" s="1505" t="s">
        <v>1241</v>
      </c>
      <c r="M18" s="1505" t="s">
        <v>1119</v>
      </c>
    </row>
    <row r="19" spans="1:13" s="1541" customFormat="1">
      <c r="J19" s="2587"/>
      <c r="L19" s="2587"/>
      <c r="M19" s="2587"/>
    </row>
    <row r="20" spans="1:13" s="1541" customFormat="1">
      <c r="A20" s="1621"/>
      <c r="B20" s="1621"/>
      <c r="C20" s="1621"/>
      <c r="D20" s="1621"/>
      <c r="E20" s="1621"/>
      <c r="F20" s="1621"/>
      <c r="G20" s="1621"/>
      <c r="H20" s="1621"/>
      <c r="I20" s="1621"/>
      <c r="J20" s="89"/>
      <c r="K20" s="1621"/>
    </row>
    <row r="21" spans="1:13" s="1541" customFormat="1">
      <c r="C21" s="1541" t="s">
        <v>1550</v>
      </c>
    </row>
    <row r="22" spans="1:13" s="1541" customFormat="1"/>
    <row r="23" spans="1:13" s="1541" customFormat="1"/>
    <row r="24" spans="1:13">
      <c r="A24" s="1631"/>
      <c r="B24" s="1631"/>
      <c r="C24" s="1631"/>
      <c r="D24" s="1631"/>
      <c r="E24" s="1631"/>
      <c r="F24" s="1631"/>
      <c r="G24" s="1631"/>
      <c r="H24" s="1631"/>
      <c r="I24" s="1631"/>
      <c r="J24" s="1631"/>
      <c r="K24" s="1631"/>
      <c r="L24" s="1631"/>
      <c r="M24" s="1631"/>
    </row>
    <row r="25" spans="1:13">
      <c r="A25" s="103" t="str">
        <f>COMPANY</f>
        <v>DUKE ENERGY KENTUCKY, INC.</v>
      </c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</row>
    <row r="26" spans="1:13">
      <c r="A26" s="103" t="str">
        <f>CASE</f>
        <v>CASE NO. 2017-00321</v>
      </c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</row>
    <row r="27" spans="1:13">
      <c r="A27" s="103" t="s">
        <v>1282</v>
      </c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</row>
    <row r="28" spans="1:13">
      <c r="A28" s="76" t="str">
        <f>"AS OF " &amp;RIGHT(Forecast,(LEN(Forecast)-16))</f>
        <v>AS OF MARCH 31, 2019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</row>
    <row r="29" spans="1:13">
      <c r="A29" s="2585"/>
      <c r="B29" s="2585"/>
      <c r="C29" s="2585"/>
      <c r="D29" s="2585"/>
      <c r="E29" s="2585"/>
      <c r="F29" s="2585"/>
      <c r="G29" s="2585"/>
      <c r="H29" s="2585"/>
      <c r="I29" s="2585"/>
      <c r="J29" s="2585"/>
      <c r="K29" s="2585"/>
      <c r="L29" s="1541"/>
      <c r="M29" s="1541"/>
    </row>
    <row r="30" spans="1:13">
      <c r="A30" s="1541"/>
      <c r="B30" s="1541"/>
      <c r="C30" s="1541"/>
      <c r="D30" s="1541"/>
      <c r="E30" s="1541"/>
      <c r="F30" s="1541"/>
      <c r="G30" s="1541"/>
      <c r="H30" s="1541"/>
      <c r="I30" s="1541"/>
      <c r="J30" s="1541"/>
      <c r="K30" s="1541"/>
      <c r="L30" s="1541"/>
      <c r="M30" s="1541"/>
    </row>
    <row r="31" spans="1:13">
      <c r="A31" s="1541"/>
      <c r="B31" s="1541"/>
      <c r="C31" s="1541"/>
      <c r="D31" s="1541"/>
      <c r="E31" s="1541"/>
      <c r="F31" s="1541"/>
      <c r="G31" s="1541"/>
      <c r="H31" s="1541"/>
      <c r="I31" s="1541"/>
      <c r="J31" s="1541"/>
      <c r="K31" s="1541"/>
      <c r="L31" s="1541"/>
      <c r="M31" s="1541"/>
    </row>
    <row r="32" spans="1:13">
      <c r="A32" s="1506" t="str">
        <f>DataF</f>
        <v>DATA:  BASE PERIOD  "X" FORECASTED PERIOD</v>
      </c>
      <c r="B32" s="1541"/>
      <c r="C32" s="1541"/>
      <c r="D32" s="1541"/>
      <c r="E32" s="1541"/>
      <c r="F32" s="1541"/>
      <c r="G32" s="1541"/>
      <c r="H32" s="1541"/>
      <c r="I32" s="1541"/>
      <c r="J32" s="1541"/>
      <c r="K32" s="1506" t="s">
        <v>1283</v>
      </c>
      <c r="L32" s="1541"/>
      <c r="M32" s="1541"/>
    </row>
    <row r="33" spans="1:13">
      <c r="A33" s="1506" t="str">
        <f>Type</f>
        <v xml:space="preserve">TYPE OF FILING:  "X" ORIGINAL   UPDATED    REVISED  </v>
      </c>
      <c r="B33" s="1541"/>
      <c r="C33" s="1541"/>
      <c r="D33" s="1541"/>
      <c r="E33" s="1541"/>
      <c r="F33" s="1541"/>
      <c r="G33" s="1541"/>
      <c r="H33" s="1541"/>
      <c r="I33" s="1541"/>
      <c r="J33" s="1541"/>
      <c r="K33" s="1506" t="s">
        <v>86</v>
      </c>
      <c r="L33" s="1541"/>
      <c r="M33" s="1541"/>
    </row>
    <row r="34" spans="1:13">
      <c r="A34" s="1506" t="s">
        <v>1879</v>
      </c>
      <c r="B34" s="1541"/>
      <c r="C34" s="1541"/>
      <c r="D34" s="1541"/>
      <c r="E34" s="1541"/>
      <c r="F34" s="1541"/>
      <c r="G34" s="1541"/>
      <c r="H34" s="1541"/>
      <c r="I34" s="1541"/>
      <c r="J34" s="1541"/>
      <c r="K34" s="2586" t="str">
        <f>K10</f>
        <v>WITNESS RESPONSIBLE:</v>
      </c>
      <c r="L34" s="1541"/>
      <c r="M34" s="1541"/>
    </row>
    <row r="35" spans="1:13">
      <c r="A35" s="1541"/>
      <c r="B35" s="1541"/>
      <c r="C35" s="1541"/>
      <c r="D35" s="1541"/>
      <c r="E35" s="1541"/>
      <c r="F35" s="1541"/>
      <c r="G35" s="1541"/>
      <c r="H35" s="1541"/>
      <c r="I35" s="1541"/>
      <c r="J35" s="1541"/>
      <c r="K35" s="2586" t="str">
        <f>_WIT7</f>
        <v>R. H. PRATT / C. S. LEE</v>
      </c>
      <c r="L35" s="1541"/>
      <c r="M35" s="1541"/>
    </row>
    <row r="36" spans="1:13">
      <c r="A36" s="1541"/>
      <c r="B36" s="1541"/>
      <c r="C36" s="1541"/>
      <c r="D36" s="1541"/>
      <c r="E36" s="1541"/>
      <c r="F36" s="1541"/>
      <c r="G36" s="1541"/>
      <c r="H36" s="1541"/>
      <c r="I36" s="1541"/>
      <c r="J36" s="1541"/>
      <c r="K36" s="1541"/>
      <c r="L36" s="1541"/>
      <c r="M36" s="1541"/>
    </row>
    <row r="37" spans="1:13">
      <c r="A37" s="1541"/>
      <c r="B37" s="1541"/>
      <c r="C37" s="1541"/>
      <c r="D37" s="1541"/>
      <c r="E37" s="1541"/>
      <c r="F37" s="1541"/>
      <c r="G37" s="1541"/>
      <c r="H37" s="1541"/>
      <c r="I37" s="1541"/>
      <c r="J37" s="1541"/>
      <c r="K37" s="1541"/>
      <c r="L37" s="1541"/>
      <c r="M37" s="1541"/>
    </row>
    <row r="38" spans="1:13">
      <c r="A38" s="1541"/>
      <c r="B38" s="1541"/>
      <c r="C38" s="1541"/>
      <c r="D38" s="1541"/>
      <c r="E38" s="1541"/>
      <c r="F38" s="1541"/>
      <c r="G38" s="1541"/>
      <c r="H38" s="1541"/>
      <c r="I38" s="1541"/>
      <c r="J38" s="2587"/>
      <c r="K38" s="1541"/>
      <c r="L38" s="2587"/>
      <c r="M38" s="2587"/>
    </row>
    <row r="39" spans="1:13">
      <c r="A39" s="1621"/>
      <c r="B39" s="1621"/>
      <c r="C39" s="1621"/>
      <c r="D39" s="1621"/>
      <c r="E39" s="1621"/>
      <c r="F39" s="1621"/>
      <c r="G39" s="2711"/>
      <c r="H39" s="1621"/>
      <c r="I39" s="1621"/>
      <c r="J39" s="89"/>
      <c r="K39" s="1621"/>
      <c r="L39" s="1541"/>
      <c r="M39" s="1541"/>
    </row>
    <row r="40" spans="1:13">
      <c r="A40" s="1541"/>
      <c r="B40" s="1505" t="s">
        <v>1119</v>
      </c>
      <c r="C40" s="1541"/>
      <c r="D40" s="1541"/>
      <c r="E40" s="1541"/>
      <c r="F40" s="1505" t="s">
        <v>1585</v>
      </c>
      <c r="G40" s="100" t="s">
        <v>1284</v>
      </c>
      <c r="H40" s="100"/>
      <c r="I40" s="100"/>
      <c r="J40" s="90"/>
      <c r="K40" s="2588" t="s">
        <v>1626</v>
      </c>
      <c r="L40" s="2588"/>
      <c r="M40" s="2588"/>
    </row>
    <row r="41" spans="1:13">
      <c r="A41" s="1505" t="s">
        <v>1240</v>
      </c>
      <c r="B41" s="1505" t="s">
        <v>327</v>
      </c>
      <c r="C41" s="1505" t="s">
        <v>1735</v>
      </c>
      <c r="D41" s="1505" t="s">
        <v>1588</v>
      </c>
      <c r="E41" s="1505" t="s">
        <v>328</v>
      </c>
      <c r="F41" s="1505" t="s">
        <v>1588</v>
      </c>
      <c r="G41" s="1541"/>
      <c r="H41" s="1505" t="s">
        <v>1164</v>
      </c>
      <c r="I41" s="1541"/>
      <c r="J41" s="1541"/>
      <c r="K41" s="1541"/>
      <c r="L41" s="1505" t="s">
        <v>1164</v>
      </c>
      <c r="M41" s="1541"/>
    </row>
    <row r="42" spans="1:13">
      <c r="A42" s="1505" t="s">
        <v>1241</v>
      </c>
      <c r="B42" s="1505" t="s">
        <v>1739</v>
      </c>
      <c r="C42" s="1505" t="s">
        <v>1591</v>
      </c>
      <c r="D42" s="1505" t="s">
        <v>1592</v>
      </c>
      <c r="E42" s="1505" t="s">
        <v>329</v>
      </c>
      <c r="F42" s="1505" t="s">
        <v>1592</v>
      </c>
      <c r="G42" s="1505" t="s">
        <v>646</v>
      </c>
      <c r="H42" s="1505" t="s">
        <v>1241</v>
      </c>
      <c r="I42" s="1506" t="s">
        <v>1119</v>
      </c>
      <c r="J42" s="1506"/>
      <c r="K42" s="1505" t="s">
        <v>646</v>
      </c>
      <c r="L42" s="1505" t="s">
        <v>1241</v>
      </c>
      <c r="M42" s="1505" t="s">
        <v>1119</v>
      </c>
    </row>
    <row r="43" spans="1:13">
      <c r="A43" s="1541"/>
      <c r="B43" s="1541"/>
      <c r="C43" s="1541"/>
      <c r="D43" s="1541"/>
      <c r="E43" s="1541"/>
      <c r="F43" s="1541"/>
      <c r="G43" s="1541"/>
      <c r="H43" s="1541"/>
      <c r="I43" s="1541"/>
      <c r="J43" s="2587"/>
      <c r="K43" s="1541"/>
      <c r="L43" s="2587"/>
      <c r="M43" s="2587"/>
    </row>
    <row r="44" spans="1:13">
      <c r="A44" s="1621"/>
      <c r="B44" s="1621"/>
      <c r="C44" s="1621"/>
      <c r="D44" s="1621"/>
      <c r="E44" s="1621"/>
      <c r="F44" s="1621"/>
      <c r="G44" s="1621"/>
      <c r="H44" s="1621"/>
      <c r="I44" s="1621"/>
      <c r="J44" s="89"/>
      <c r="K44" s="1621"/>
      <c r="L44" s="1541"/>
      <c r="M44" s="1541"/>
    </row>
    <row r="45" spans="1:13">
      <c r="A45" s="1541"/>
      <c r="B45" s="1541"/>
      <c r="C45" s="1541" t="s">
        <v>1550</v>
      </c>
      <c r="D45" s="1541"/>
      <c r="E45" s="1541"/>
      <c r="F45" s="1541"/>
      <c r="G45" s="1541"/>
      <c r="H45" s="1541"/>
      <c r="I45" s="1541"/>
      <c r="J45" s="1541"/>
      <c r="K45" s="1541"/>
      <c r="L45" s="1541"/>
      <c r="M45" s="1541"/>
    </row>
  </sheetData>
  <printOptions horizontalCentered="1"/>
  <pageMargins left="0.75" right="0.75" top="1" bottom="1" header="0.5" footer="0.5"/>
  <pageSetup scale="59" orientation="landscape" horizontalDpi="300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theme="4" tint="0.39997558519241921"/>
  </sheetPr>
  <dimension ref="A1:K51"/>
  <sheetViews>
    <sheetView tabSelected="1" view="pageLayout" topLeftCell="B1" zoomScaleNormal="80" workbookViewId="0">
      <selection activeCell="G1" sqref="G1"/>
    </sheetView>
  </sheetViews>
  <sheetFormatPr defaultColWidth="11.42578125" defaultRowHeight="12.75"/>
  <cols>
    <col min="1" max="1" width="7.28515625" style="18" customWidth="1"/>
    <col min="2" max="2" width="11.42578125" style="18" customWidth="1"/>
    <col min="3" max="3" width="20.140625" style="18" customWidth="1"/>
    <col min="4" max="9" width="11.42578125" style="18" customWidth="1"/>
    <col min="10" max="10" width="13.85546875" style="18" customWidth="1"/>
    <col min="11" max="11" width="24.7109375" style="18" customWidth="1"/>
    <col min="12" max="16384" width="11.42578125" style="18"/>
  </cols>
  <sheetData>
    <row r="1" spans="1:11" s="2717" customFormat="1" ht="15">
      <c r="A1" s="2565" t="str">
        <f>COMPANY</f>
        <v>DUKE ENERGY KENTUCKY, INC.</v>
      </c>
      <c r="B1" s="2566"/>
      <c r="C1" s="2566"/>
      <c r="D1" s="2566"/>
      <c r="E1" s="2566"/>
      <c r="F1" s="2566"/>
      <c r="G1" s="2566"/>
      <c r="H1" s="2567"/>
      <c r="I1" s="2568"/>
      <c r="J1" s="2566"/>
      <c r="K1" s="2566"/>
    </row>
    <row r="2" spans="1:11" s="2717" customFormat="1" ht="15">
      <c r="A2" s="2565" t="str">
        <f>CASE</f>
        <v>CASE NO. 2017-00321</v>
      </c>
      <c r="B2" s="2566"/>
      <c r="C2" s="2566"/>
      <c r="D2" s="2566"/>
      <c r="E2" s="2566"/>
      <c r="F2" s="2566"/>
      <c r="G2" s="2566"/>
      <c r="H2" s="2567"/>
      <c r="I2" s="2568"/>
      <c r="J2" s="2566"/>
      <c r="K2" s="2566"/>
    </row>
    <row r="3" spans="1:11" s="2717" customFormat="1" ht="15">
      <c r="A3" s="2565" t="s">
        <v>1551</v>
      </c>
      <c r="B3" s="2566"/>
      <c r="C3" s="2566"/>
      <c r="D3" s="2566"/>
      <c r="E3" s="2566"/>
      <c r="F3" s="2566"/>
      <c r="G3" s="2566"/>
      <c r="H3" s="2567"/>
      <c r="I3" s="2568"/>
      <c r="J3" s="2566"/>
      <c r="K3" s="2566"/>
    </row>
    <row r="4" spans="1:11" s="2717" customFormat="1" ht="15">
      <c r="A4" s="2565" t="s">
        <v>511</v>
      </c>
      <c r="B4" s="2566"/>
      <c r="C4" s="2566"/>
      <c r="D4" s="2566"/>
      <c r="E4" s="2566"/>
      <c r="F4" s="2566"/>
      <c r="G4" s="2566"/>
      <c r="H4" s="2567"/>
      <c r="I4" s="2568"/>
      <c r="J4" s="2566"/>
      <c r="K4" s="2566"/>
    </row>
    <row r="5" spans="1:11" s="2717" customFormat="1" ht="15">
      <c r="A5" s="76" t="str">
        <f>"AS OF " &amp;RIGHT(TESTYR,(LEN(TESTYR)-16))</f>
        <v>AS OF NOVEMBER 30, 2017</v>
      </c>
      <c r="B5" s="2566"/>
      <c r="C5" s="2566"/>
      <c r="D5" s="2566"/>
      <c r="E5" s="2566"/>
      <c r="F5" s="2566"/>
      <c r="G5" s="2566"/>
      <c r="H5" s="2567"/>
      <c r="I5" s="2568"/>
      <c r="J5" s="2566"/>
      <c r="K5" s="2566"/>
    </row>
    <row r="6" spans="1:11" s="2717" customFormat="1" ht="15">
      <c r="A6" s="2565"/>
      <c r="B6" s="2566"/>
      <c r="C6" s="2566"/>
      <c r="D6" s="2566"/>
      <c r="E6" s="2566"/>
      <c r="F6" s="2566"/>
      <c r="G6" s="2566"/>
      <c r="H6" s="2567"/>
      <c r="I6" s="2568"/>
      <c r="J6" s="2566"/>
      <c r="K6" s="2566"/>
    </row>
    <row r="7" spans="1:11" s="2717" customFormat="1" ht="15">
      <c r="A7" s="2569" t="s">
        <v>1799</v>
      </c>
      <c r="B7" s="2566"/>
      <c r="C7" s="2566"/>
      <c r="D7" s="2566"/>
      <c r="E7" s="2566"/>
      <c r="F7" s="2566"/>
      <c r="G7" s="2566"/>
      <c r="H7" s="2567"/>
      <c r="I7" s="2568"/>
      <c r="J7" s="2566"/>
      <c r="K7" s="2566"/>
    </row>
    <row r="8" spans="1:11" s="2717" customFormat="1" ht="15">
      <c r="A8" s="2570"/>
      <c r="B8" s="2570"/>
      <c r="C8" s="2570"/>
      <c r="D8" s="2570"/>
      <c r="E8" s="2570"/>
      <c r="F8" s="2570"/>
      <c r="G8" s="2570"/>
      <c r="H8" s="1542"/>
      <c r="I8" s="2571"/>
      <c r="J8" s="2570"/>
      <c r="K8" s="2570"/>
    </row>
    <row r="9" spans="1:11" s="2717" customFormat="1" ht="15">
      <c r="A9" s="2570"/>
      <c r="B9" s="2570"/>
      <c r="C9" s="2570"/>
      <c r="D9" s="2570"/>
      <c r="E9" s="2570"/>
      <c r="F9" s="2570"/>
      <c r="G9" s="2570"/>
      <c r="H9" s="1542"/>
      <c r="I9" s="2571"/>
      <c r="J9" s="2570"/>
      <c r="K9" s="2570"/>
    </row>
    <row r="10" spans="1:11" s="2717" customFormat="1" ht="15">
      <c r="A10" s="2572" t="str">
        <f>Data</f>
        <v>DATA: "X" BASE PERIOD   FORECASTED PERIOD</v>
      </c>
      <c r="B10" s="2570"/>
      <c r="C10" s="2570"/>
      <c r="D10" s="2570"/>
      <c r="E10" s="2570"/>
      <c r="F10" s="2570"/>
      <c r="G10" s="2570"/>
      <c r="H10" s="1542"/>
      <c r="I10" s="2571"/>
      <c r="J10" s="2572" t="s">
        <v>512</v>
      </c>
      <c r="K10" s="2570"/>
    </row>
    <row r="11" spans="1:11" s="2717" customFormat="1" ht="15">
      <c r="A11" s="2572" t="str">
        <f>Type</f>
        <v xml:space="preserve">TYPE OF FILING:  "X" ORIGINAL   UPDATED    REVISED  </v>
      </c>
      <c r="B11" s="2570"/>
      <c r="C11" s="2570"/>
      <c r="D11" s="2570"/>
      <c r="E11" s="2570"/>
      <c r="F11" s="2570"/>
      <c r="G11" s="2570"/>
      <c r="H11" s="1542"/>
      <c r="I11" s="2571"/>
      <c r="J11" s="2572" t="s">
        <v>1458</v>
      </c>
      <c r="K11" s="2570"/>
    </row>
    <row r="12" spans="1:11" s="2717" customFormat="1" ht="15">
      <c r="A12" s="2572" t="s">
        <v>1653</v>
      </c>
      <c r="B12" s="2570"/>
      <c r="C12" s="2570"/>
      <c r="D12" s="2570"/>
      <c r="E12" s="2570"/>
      <c r="F12" s="2570"/>
      <c r="G12" s="2570"/>
      <c r="H12" s="1542"/>
      <c r="I12" s="2571"/>
      <c r="J12" s="2573" t="s">
        <v>622</v>
      </c>
      <c r="K12" s="2570"/>
    </row>
    <row r="13" spans="1:11" s="2717" customFormat="1" ht="15">
      <c r="A13" s="2570"/>
      <c r="B13" s="2570"/>
      <c r="C13" s="2570"/>
      <c r="D13" s="2570"/>
      <c r="E13" s="2570"/>
      <c r="F13" s="2570"/>
      <c r="G13" s="2570"/>
      <c r="H13" s="1542"/>
      <c r="I13" s="2571"/>
      <c r="J13" s="2573" t="str">
        <f>_WIT7</f>
        <v>R. H. PRATT / C. S. LEE</v>
      </c>
      <c r="K13" s="2570"/>
    </row>
    <row r="14" spans="1:11" s="2717" customFormat="1" ht="15">
      <c r="A14" s="2570"/>
      <c r="B14" s="2570"/>
      <c r="C14" s="2570"/>
      <c r="D14" s="2570"/>
      <c r="E14" s="2570"/>
      <c r="F14" s="2570"/>
      <c r="G14" s="2570"/>
      <c r="H14" s="1542"/>
      <c r="I14" s="2571"/>
      <c r="J14" s="2570"/>
      <c r="K14" s="2570"/>
    </row>
    <row r="15" spans="1:11" s="2717" customFormat="1" ht="15">
      <c r="A15" s="2570"/>
      <c r="B15" s="2570"/>
      <c r="C15" s="2570"/>
      <c r="D15" s="2570"/>
      <c r="E15" s="2570"/>
      <c r="F15" s="2570"/>
      <c r="G15" s="2570"/>
      <c r="H15" s="1542"/>
      <c r="I15" s="2571"/>
      <c r="J15" s="2570"/>
      <c r="K15" s="2570"/>
    </row>
    <row r="16" spans="1:11" s="2717" customFormat="1" ht="15">
      <c r="A16" s="2570"/>
      <c r="B16" s="2570"/>
      <c r="C16" s="2570"/>
      <c r="D16" s="2570"/>
      <c r="E16" s="2570"/>
      <c r="F16" s="2574"/>
      <c r="G16" s="2570"/>
      <c r="H16" s="1542"/>
      <c r="I16" s="2571"/>
      <c r="J16" s="2570"/>
      <c r="K16" s="2570"/>
    </row>
    <row r="17" spans="1:11" s="2717" customFormat="1" ht="15">
      <c r="A17" s="2712"/>
      <c r="B17" s="2712"/>
      <c r="C17" s="2712"/>
      <c r="D17" s="2712"/>
      <c r="E17" s="2712"/>
      <c r="F17" s="2575" t="s">
        <v>1589</v>
      </c>
      <c r="G17" s="2712"/>
      <c r="H17" s="2716" t="s">
        <v>1018</v>
      </c>
      <c r="I17" s="2715"/>
      <c r="J17" s="2714"/>
      <c r="K17" s="2712"/>
    </row>
    <row r="18" spans="1:11" s="2717" customFormat="1" ht="15">
      <c r="A18" s="2570"/>
      <c r="B18" s="2575" t="s">
        <v>1750</v>
      </c>
      <c r="C18" s="2570"/>
      <c r="D18" s="2570"/>
      <c r="E18" s="2570"/>
      <c r="F18" s="2575" t="s">
        <v>1593</v>
      </c>
      <c r="G18" s="2575" t="s">
        <v>1585</v>
      </c>
      <c r="H18" s="2576" t="s">
        <v>513</v>
      </c>
      <c r="I18" s="2577"/>
      <c r="J18" s="2578"/>
      <c r="K18" s="2570"/>
    </row>
    <row r="19" spans="1:11" s="2717" customFormat="1" ht="15">
      <c r="A19" s="2575" t="s">
        <v>1240</v>
      </c>
      <c r="B19" s="2575" t="s">
        <v>1164</v>
      </c>
      <c r="C19" s="2575" t="s">
        <v>1586</v>
      </c>
      <c r="D19" s="2575" t="s">
        <v>1587</v>
      </c>
      <c r="E19" s="2575" t="s">
        <v>1588</v>
      </c>
      <c r="F19" s="2579" t="s">
        <v>514</v>
      </c>
      <c r="G19" s="2575" t="s">
        <v>1588</v>
      </c>
      <c r="H19" s="1542"/>
      <c r="I19" s="2580" t="s">
        <v>1164</v>
      </c>
      <c r="J19" s="2570"/>
      <c r="K19" s="2575" t="s">
        <v>515</v>
      </c>
    </row>
    <row r="20" spans="1:11" s="2717" customFormat="1" ht="15">
      <c r="A20" s="2575" t="s">
        <v>1241</v>
      </c>
      <c r="B20" s="2575" t="s">
        <v>1241</v>
      </c>
      <c r="C20" s="2575" t="s">
        <v>1590</v>
      </c>
      <c r="D20" s="2575" t="s">
        <v>1591</v>
      </c>
      <c r="E20" s="2575" t="s">
        <v>1592</v>
      </c>
      <c r="F20" s="2579" t="s">
        <v>516</v>
      </c>
      <c r="G20" s="2575" t="s">
        <v>1592</v>
      </c>
      <c r="H20" s="2581" t="s">
        <v>646</v>
      </c>
      <c r="I20" s="2580" t="s">
        <v>1241</v>
      </c>
      <c r="J20" s="2572" t="s">
        <v>1119</v>
      </c>
      <c r="K20" s="2575" t="s">
        <v>1594</v>
      </c>
    </row>
    <row r="21" spans="1:11" s="2717" customFormat="1" ht="15">
      <c r="A21" s="2570"/>
      <c r="B21" s="2570"/>
      <c r="C21" s="2570"/>
      <c r="D21" s="2570"/>
      <c r="E21" s="2570"/>
      <c r="F21" s="2570"/>
      <c r="G21" s="2570"/>
      <c r="H21" s="1542"/>
      <c r="I21" s="2571"/>
      <c r="J21" s="2570"/>
      <c r="K21" s="2570"/>
    </row>
    <row r="22" spans="1:11" s="2717" customFormat="1" ht="15">
      <c r="A22" s="2712"/>
      <c r="B22" s="2712"/>
      <c r="C22" s="2712"/>
      <c r="D22" s="2712"/>
      <c r="E22" s="2712"/>
      <c r="F22" s="2712"/>
      <c r="G22" s="2712"/>
      <c r="H22" s="2689"/>
      <c r="I22" s="2713"/>
      <c r="J22" s="2712"/>
      <c r="K22" s="2712"/>
    </row>
    <row r="23" spans="1:11" s="2717" customFormat="1" ht="15">
      <c r="A23" s="2582"/>
      <c r="B23" s="2582"/>
      <c r="C23" s="2570"/>
      <c r="D23" s="2583"/>
      <c r="E23" s="2584"/>
      <c r="F23" s="2584"/>
      <c r="G23" s="2584"/>
      <c r="H23" s="1542"/>
      <c r="I23" s="2582"/>
      <c r="J23" s="2570"/>
      <c r="K23" s="2570"/>
    </row>
    <row r="24" spans="1:11" s="2717" customFormat="1" ht="15">
      <c r="A24" s="2571"/>
      <c r="B24" s="2570"/>
      <c r="C24" s="2570" t="s">
        <v>1093</v>
      </c>
      <c r="D24" s="2571"/>
      <c r="E24" s="2584"/>
      <c r="F24" s="2584"/>
      <c r="G24" s="2584"/>
      <c r="H24" s="1542"/>
      <c r="I24" s="2582"/>
      <c r="J24" s="2570"/>
      <c r="K24" s="2570"/>
    </row>
    <row r="25" spans="1:11" s="2717" customFormat="1" ht="15">
      <c r="A25" s="2721"/>
      <c r="D25" s="2721"/>
      <c r="E25" s="2719"/>
      <c r="F25" s="2719"/>
      <c r="G25" s="2719"/>
      <c r="H25" s="2710"/>
      <c r="I25" s="2718"/>
    </row>
    <row r="26" spans="1:11" s="2717" customFormat="1" ht="15">
      <c r="A26" s="2718"/>
      <c r="B26" s="2718"/>
      <c r="D26" s="2720"/>
      <c r="E26" s="2719"/>
      <c r="F26" s="2719"/>
      <c r="G26" s="2719"/>
      <c r="H26" s="2710"/>
      <c r="I26" s="2718"/>
    </row>
    <row r="27" spans="1:11" s="2717" customFormat="1" ht="15">
      <c r="A27" s="1631"/>
      <c r="B27" s="1631"/>
      <c r="C27" s="1631"/>
      <c r="D27" s="1631"/>
      <c r="E27" s="1631"/>
      <c r="F27" s="1631"/>
      <c r="G27" s="1631"/>
      <c r="H27" s="1631"/>
      <c r="I27" s="1631"/>
      <c r="J27" s="1631"/>
      <c r="K27" s="1631"/>
    </row>
    <row r="28" spans="1:11" s="2717" customFormat="1" ht="15">
      <c r="A28" s="2565" t="str">
        <f>COMPANY</f>
        <v>DUKE ENERGY KENTUCKY, INC.</v>
      </c>
      <c r="B28" s="2566"/>
      <c r="C28" s="2566"/>
      <c r="D28" s="2566"/>
      <c r="E28" s="2566"/>
      <c r="F28" s="2566"/>
      <c r="G28" s="2566"/>
      <c r="H28" s="2567"/>
      <c r="I28" s="2568"/>
      <c r="J28" s="2566"/>
      <c r="K28" s="2566"/>
    </row>
    <row r="29" spans="1:11">
      <c r="A29" s="2565" t="str">
        <f>CASE</f>
        <v>CASE NO. 2017-00321</v>
      </c>
      <c r="B29" s="2566"/>
      <c r="C29" s="2566"/>
      <c r="D29" s="2566"/>
      <c r="E29" s="2566"/>
      <c r="F29" s="2566"/>
      <c r="G29" s="2566"/>
      <c r="H29" s="2567"/>
      <c r="I29" s="2568"/>
      <c r="J29" s="2566"/>
      <c r="K29" s="2566"/>
    </row>
    <row r="30" spans="1:11">
      <c r="A30" s="2565" t="s">
        <v>1551</v>
      </c>
      <c r="B30" s="2566"/>
      <c r="C30" s="2566"/>
      <c r="D30" s="2566"/>
      <c r="E30" s="2566"/>
      <c r="F30" s="2566"/>
      <c r="G30" s="2566"/>
      <c r="H30" s="2567"/>
      <c r="I30" s="2568"/>
      <c r="J30" s="2566"/>
      <c r="K30" s="2566"/>
    </row>
    <row r="31" spans="1:11">
      <c r="A31" s="2565" t="s">
        <v>511</v>
      </c>
      <c r="B31" s="2566"/>
      <c r="C31" s="2566"/>
      <c r="D31" s="2566"/>
      <c r="E31" s="2566"/>
      <c r="F31" s="2566"/>
      <c r="G31" s="2566"/>
      <c r="H31" s="2567"/>
      <c r="I31" s="2568"/>
      <c r="J31" s="2566"/>
      <c r="K31" s="2566"/>
    </row>
    <row r="32" spans="1:11">
      <c r="A32" s="76" t="str">
        <f>"AS OF " &amp;RIGHT(Forecast,(LEN(Forecast)-16))</f>
        <v>AS OF MARCH 31, 2019</v>
      </c>
      <c r="B32" s="2566"/>
      <c r="C32" s="2566"/>
      <c r="D32" s="2566"/>
      <c r="E32" s="2566"/>
      <c r="F32" s="2566"/>
      <c r="G32" s="2566"/>
      <c r="H32" s="2567"/>
      <c r="I32" s="2568"/>
      <c r="J32" s="2566"/>
      <c r="K32" s="2566"/>
    </row>
    <row r="33" spans="1:11">
      <c r="A33" s="2565"/>
      <c r="B33" s="2566"/>
      <c r="C33" s="2566"/>
      <c r="D33" s="2566"/>
      <c r="E33" s="2566"/>
      <c r="F33" s="2566"/>
      <c r="G33" s="2566"/>
      <c r="H33" s="2567"/>
      <c r="I33" s="2568"/>
      <c r="J33" s="2566"/>
      <c r="K33" s="2566"/>
    </row>
    <row r="34" spans="1:11">
      <c r="A34" s="2569" t="s">
        <v>1799</v>
      </c>
      <c r="B34" s="2566"/>
      <c r="C34" s="2566"/>
      <c r="D34" s="2566"/>
      <c r="E34" s="2566"/>
      <c r="F34" s="2566"/>
      <c r="G34" s="2566"/>
      <c r="H34" s="2567"/>
      <c r="I34" s="2568"/>
      <c r="J34" s="2566"/>
      <c r="K34" s="2566"/>
    </row>
    <row r="35" spans="1:11">
      <c r="A35" s="2570"/>
      <c r="B35" s="2570"/>
      <c r="C35" s="2570"/>
      <c r="D35" s="2570"/>
      <c r="E35" s="2570"/>
      <c r="F35" s="2570"/>
      <c r="G35" s="2570"/>
      <c r="H35" s="1542"/>
      <c r="I35" s="2571"/>
      <c r="J35" s="2570"/>
      <c r="K35" s="2570"/>
    </row>
    <row r="36" spans="1:11">
      <c r="A36" s="2570"/>
      <c r="B36" s="2570"/>
      <c r="C36" s="2570"/>
      <c r="D36" s="2570"/>
      <c r="E36" s="2570"/>
      <c r="F36" s="2570"/>
      <c r="G36" s="2570"/>
      <c r="H36" s="1542"/>
      <c r="I36" s="2571"/>
      <c r="J36" s="2570"/>
      <c r="K36" s="2570"/>
    </row>
    <row r="37" spans="1:11">
      <c r="A37" s="2572" t="str">
        <f>DataF</f>
        <v>DATA:  BASE PERIOD  "X" FORECASTED PERIOD</v>
      </c>
      <c r="B37" s="2570"/>
      <c r="C37" s="2570"/>
      <c r="D37" s="2570"/>
      <c r="E37" s="2570"/>
      <c r="F37" s="2570"/>
      <c r="G37" s="2570"/>
      <c r="H37" s="1542"/>
      <c r="I37" s="2571"/>
      <c r="J37" s="2572" t="s">
        <v>512</v>
      </c>
      <c r="K37" s="2570"/>
    </row>
    <row r="38" spans="1:11">
      <c r="A38" s="2572" t="str">
        <f>Type</f>
        <v xml:space="preserve">TYPE OF FILING:  "X" ORIGINAL   UPDATED    REVISED  </v>
      </c>
      <c r="B38" s="2570"/>
      <c r="C38" s="2570"/>
      <c r="D38" s="2570"/>
      <c r="E38" s="2570"/>
      <c r="F38" s="2570"/>
      <c r="G38" s="2570"/>
      <c r="H38" s="1542"/>
      <c r="I38" s="2571"/>
      <c r="J38" s="2572" t="s">
        <v>86</v>
      </c>
      <c r="K38" s="2570"/>
    </row>
    <row r="39" spans="1:11">
      <c r="A39" s="2572" t="s">
        <v>1653</v>
      </c>
      <c r="B39" s="2570"/>
      <c r="C39" s="2570"/>
      <c r="D39" s="2570"/>
      <c r="E39" s="2570"/>
      <c r="F39" s="2570"/>
      <c r="G39" s="2570"/>
      <c r="H39" s="1542"/>
      <c r="I39" s="2571"/>
      <c r="J39" s="2573" t="s">
        <v>622</v>
      </c>
      <c r="K39" s="2570"/>
    </row>
    <row r="40" spans="1:11">
      <c r="A40" s="2570"/>
      <c r="B40" s="2570"/>
      <c r="C40" s="2570"/>
      <c r="D40" s="2570"/>
      <c r="E40" s="2570"/>
      <c r="F40" s="2570"/>
      <c r="G40" s="2570"/>
      <c r="H40" s="1542"/>
      <c r="I40" s="2571"/>
      <c r="J40" s="2573" t="str">
        <f>_WIT7</f>
        <v>R. H. PRATT / C. S. LEE</v>
      </c>
      <c r="K40" s="2570"/>
    </row>
    <row r="41" spans="1:11">
      <c r="A41" s="2570"/>
      <c r="B41" s="2570"/>
      <c r="C41" s="2570"/>
      <c r="D41" s="2570"/>
      <c r="E41" s="2570"/>
      <c r="F41" s="2570"/>
      <c r="G41" s="2570"/>
      <c r="H41" s="1542"/>
      <c r="I41" s="2571"/>
      <c r="J41" s="2570"/>
      <c r="K41" s="2570"/>
    </row>
    <row r="42" spans="1:11">
      <c r="A42" s="2570"/>
      <c r="B42" s="2570"/>
      <c r="C42" s="2570"/>
      <c r="D42" s="2570"/>
      <c r="E42" s="2570"/>
      <c r="F42" s="2570"/>
      <c r="G42" s="2570"/>
      <c r="H42" s="1542"/>
      <c r="I42" s="2571"/>
      <c r="J42" s="2570"/>
      <c r="K42" s="2570"/>
    </row>
    <row r="43" spans="1:11">
      <c r="A43" s="2570"/>
      <c r="B43" s="2570"/>
      <c r="C43" s="2570"/>
      <c r="D43" s="2570"/>
      <c r="E43" s="2570"/>
      <c r="F43" s="2574"/>
      <c r="G43" s="2570"/>
      <c r="H43" s="1542"/>
      <c r="I43" s="2571"/>
      <c r="J43" s="2570"/>
      <c r="K43" s="2570"/>
    </row>
    <row r="44" spans="1:11">
      <c r="A44" s="2712"/>
      <c r="B44" s="2712"/>
      <c r="C44" s="2712"/>
      <c r="D44" s="2712"/>
      <c r="E44" s="2712"/>
      <c r="F44" s="2575" t="s">
        <v>1589</v>
      </c>
      <c r="G44" s="2712"/>
      <c r="H44" s="2716" t="s">
        <v>1018</v>
      </c>
      <c r="I44" s="2715"/>
      <c r="J44" s="2714"/>
      <c r="K44" s="2712"/>
    </row>
    <row r="45" spans="1:11">
      <c r="A45" s="2570"/>
      <c r="B45" s="2575" t="s">
        <v>1750</v>
      </c>
      <c r="C45" s="2570"/>
      <c r="D45" s="2570"/>
      <c r="E45" s="2570"/>
      <c r="F45" s="2575" t="s">
        <v>1593</v>
      </c>
      <c r="G45" s="2575" t="s">
        <v>1585</v>
      </c>
      <c r="H45" s="2576" t="s">
        <v>513</v>
      </c>
      <c r="I45" s="2577"/>
      <c r="J45" s="2578"/>
      <c r="K45" s="2570"/>
    </row>
    <row r="46" spans="1:11">
      <c r="A46" s="2575" t="s">
        <v>1240</v>
      </c>
      <c r="B46" s="2575" t="s">
        <v>1164</v>
      </c>
      <c r="C46" s="2575" t="s">
        <v>1586</v>
      </c>
      <c r="D46" s="2575" t="s">
        <v>1587</v>
      </c>
      <c r="E46" s="2575" t="s">
        <v>1588</v>
      </c>
      <c r="F46" s="2579" t="s">
        <v>514</v>
      </c>
      <c r="G46" s="2575" t="s">
        <v>1588</v>
      </c>
      <c r="H46" s="1542"/>
      <c r="I46" s="2580" t="s">
        <v>1164</v>
      </c>
      <c r="J46" s="2570"/>
      <c r="K46" s="2575" t="s">
        <v>515</v>
      </c>
    </row>
    <row r="47" spans="1:11">
      <c r="A47" s="2575" t="s">
        <v>1241</v>
      </c>
      <c r="B47" s="2575" t="s">
        <v>1241</v>
      </c>
      <c r="C47" s="2575" t="s">
        <v>1590</v>
      </c>
      <c r="D47" s="2575" t="s">
        <v>1591</v>
      </c>
      <c r="E47" s="2575" t="s">
        <v>1592</v>
      </c>
      <c r="F47" s="2579" t="s">
        <v>516</v>
      </c>
      <c r="G47" s="2575" t="s">
        <v>1592</v>
      </c>
      <c r="H47" s="2581" t="s">
        <v>646</v>
      </c>
      <c r="I47" s="2580" t="s">
        <v>1241</v>
      </c>
      <c r="J47" s="2572" t="s">
        <v>1119</v>
      </c>
      <c r="K47" s="2575" t="s">
        <v>1594</v>
      </c>
    </row>
    <row r="48" spans="1:11">
      <c r="A48" s="2570"/>
      <c r="B48" s="2570"/>
      <c r="C48" s="2570"/>
      <c r="D48" s="2570"/>
      <c r="E48" s="2570"/>
      <c r="F48" s="2570"/>
      <c r="G48" s="2570"/>
      <c r="H48" s="1542"/>
      <c r="I48" s="2571"/>
      <c r="J48" s="2570"/>
      <c r="K48" s="2570"/>
    </row>
    <row r="49" spans="1:11">
      <c r="A49" s="2712"/>
      <c r="B49" s="2712"/>
      <c r="C49" s="2712"/>
      <c r="D49" s="2712"/>
      <c r="E49" s="2712"/>
      <c r="F49" s="2712"/>
      <c r="G49" s="2712"/>
      <c r="H49" s="2689"/>
      <c r="I49" s="2713"/>
      <c r="J49" s="2712"/>
      <c r="K49" s="2712"/>
    </row>
    <row r="50" spans="1:11">
      <c r="A50" s="2582"/>
      <c r="B50" s="2582"/>
      <c r="C50" s="2570"/>
      <c r="D50" s="2583"/>
      <c r="E50" s="2584"/>
      <c r="F50" s="2584"/>
      <c r="G50" s="2584"/>
      <c r="H50" s="1542"/>
      <c r="I50" s="2582"/>
      <c r="J50" s="2570"/>
      <c r="K50" s="2570"/>
    </row>
    <row r="51" spans="1:11">
      <c r="A51" s="2571"/>
      <c r="B51" s="2570"/>
      <c r="C51" s="2570" t="s">
        <v>1093</v>
      </c>
      <c r="D51" s="2571"/>
      <c r="E51" s="2584"/>
      <c r="F51" s="2584"/>
      <c r="G51" s="2584"/>
      <c r="H51" s="1542"/>
      <c r="I51" s="2582"/>
      <c r="J51" s="2570"/>
      <c r="K51" s="2570"/>
    </row>
  </sheetData>
  <printOptions horizontalCentered="1"/>
  <pageMargins left="0.75" right="0.75" top="1" bottom="1" header="0.5" footer="0.5"/>
  <pageSetup scale="59" orientation="landscape" horizontalDpi="300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theme="4" tint="0.39997558519241921"/>
  </sheetPr>
  <dimension ref="A1:O555"/>
  <sheetViews>
    <sheetView tabSelected="1" view="pageLayout" topLeftCell="C1" zoomScaleNormal="100" workbookViewId="0">
      <selection activeCell="G1" sqref="G1"/>
    </sheetView>
  </sheetViews>
  <sheetFormatPr defaultColWidth="11.42578125" defaultRowHeight="12.75"/>
  <cols>
    <col min="1" max="1" width="8.7109375" style="18" customWidth="1"/>
    <col min="2" max="2" width="11.42578125" style="18" customWidth="1"/>
    <col min="3" max="3" width="12.28515625" style="18" customWidth="1"/>
    <col min="4" max="4" width="53.85546875" style="18" customWidth="1"/>
    <col min="5" max="5" width="17.140625" style="18" customWidth="1"/>
    <col min="6" max="6" width="4" style="18" customWidth="1"/>
    <col min="7" max="7" width="16.28515625" style="18" customWidth="1"/>
    <col min="8" max="8" width="15.140625" style="18" customWidth="1"/>
    <col min="9" max="9" width="18.140625" style="18" customWidth="1"/>
    <col min="10" max="10" width="17.140625" style="18" customWidth="1"/>
    <col min="11" max="11" width="16.28515625" style="18" customWidth="1"/>
    <col min="12" max="13" width="11.42578125" style="18"/>
    <col min="14" max="14" width="13.7109375" style="18" customWidth="1"/>
    <col min="15" max="16384" width="11.42578125" style="18"/>
  </cols>
  <sheetData>
    <row r="1" spans="1:15">
      <c r="A1" s="1654" t="str">
        <f>COMPANY</f>
        <v>DUKE ENERGY KENTUCKY, INC.</v>
      </c>
      <c r="B1" s="1655"/>
      <c r="C1" s="1655"/>
      <c r="D1" s="2530"/>
      <c r="E1" s="2530"/>
      <c r="F1" s="2531"/>
      <c r="G1" s="1655"/>
      <c r="H1" s="2532"/>
      <c r="I1" s="2533"/>
      <c r="J1" s="2533"/>
      <c r="K1" s="2533"/>
      <c r="L1" s="2534"/>
      <c r="M1" s="2534"/>
      <c r="N1" s="2534"/>
      <c r="O1" s="2534"/>
    </row>
    <row r="2" spans="1:15">
      <c r="A2" s="1654" t="str">
        <f>CASE</f>
        <v>CASE NO. 2017-00321</v>
      </c>
      <c r="B2" s="1655"/>
      <c r="C2" s="1655"/>
      <c r="D2" s="2530"/>
      <c r="E2" s="2530"/>
      <c r="F2" s="2531"/>
      <c r="G2" s="1655"/>
      <c r="H2" s="2535"/>
      <c r="I2" s="2533"/>
      <c r="J2" s="2533"/>
      <c r="K2" s="2533"/>
      <c r="L2" s="2534"/>
      <c r="M2" s="2534"/>
      <c r="N2" s="2534"/>
      <c r="O2" s="2534"/>
    </row>
    <row r="3" spans="1:15">
      <c r="A3" s="1654" t="s">
        <v>1326</v>
      </c>
      <c r="B3" s="1655"/>
      <c r="C3" s="1655"/>
      <c r="D3" s="2530"/>
      <c r="E3" s="2530"/>
      <c r="F3" s="2531"/>
      <c r="G3" s="1655"/>
      <c r="H3" s="2532"/>
      <c r="I3" s="2533"/>
      <c r="J3" s="2533"/>
      <c r="K3" s="2533"/>
      <c r="L3" s="2534"/>
      <c r="M3" s="2534"/>
      <c r="N3" s="2534"/>
      <c r="O3" s="2534"/>
    </row>
    <row r="4" spans="1:15">
      <c r="A4" s="76" t="str">
        <f>"AS OF " &amp;RIGHT(TESTYR,(LEN(TESTYR)-16))</f>
        <v>AS OF NOVEMBER 30, 2017</v>
      </c>
      <c r="B4" s="1655"/>
      <c r="C4" s="1655"/>
      <c r="D4" s="2530"/>
      <c r="E4" s="2530"/>
      <c r="F4" s="2531"/>
      <c r="G4" s="1655"/>
      <c r="H4" s="2532"/>
      <c r="I4" s="2533"/>
      <c r="J4" s="2533"/>
      <c r="K4" s="2533"/>
      <c r="L4" s="2534"/>
      <c r="M4" s="2534"/>
      <c r="N4" s="2534"/>
      <c r="O4" s="2534"/>
    </row>
    <row r="5" spans="1:15">
      <c r="A5" s="1655"/>
      <c r="B5" s="1655"/>
      <c r="C5" s="1655"/>
      <c r="D5" s="2530"/>
      <c r="E5" s="2530"/>
      <c r="F5" s="2531"/>
      <c r="G5" s="1655"/>
      <c r="H5" s="2532"/>
      <c r="I5" s="2533"/>
      <c r="J5" s="2533"/>
      <c r="K5" s="2533"/>
      <c r="L5" s="2534"/>
      <c r="M5" s="2534"/>
      <c r="N5" s="2534"/>
      <c r="O5" s="2534"/>
    </row>
    <row r="6" spans="1:15">
      <c r="A6" s="1654" t="s">
        <v>333</v>
      </c>
      <c r="B6" s="1655"/>
      <c r="C6" s="1655"/>
      <c r="D6" s="2530"/>
      <c r="E6" s="2530"/>
      <c r="F6" s="2531"/>
      <c r="G6" s="1655"/>
      <c r="H6" s="2532"/>
      <c r="I6" s="2533"/>
      <c r="J6" s="2533"/>
      <c r="K6" s="2533"/>
      <c r="L6" s="2534"/>
      <c r="M6" s="2534"/>
      <c r="N6" s="2534"/>
      <c r="O6" s="2534"/>
    </row>
    <row r="7" spans="1:15">
      <c r="A7" s="1657" t="s">
        <v>1799</v>
      </c>
      <c r="B7" s="1655"/>
      <c r="C7" s="1655"/>
      <c r="D7" s="2530"/>
      <c r="E7" s="2530"/>
      <c r="F7" s="2531"/>
      <c r="G7" s="1655"/>
      <c r="H7" s="2532"/>
      <c r="I7" s="2533"/>
      <c r="J7" s="2533"/>
      <c r="K7" s="2533"/>
      <c r="L7" s="2534"/>
      <c r="M7" s="2534"/>
      <c r="N7" s="2534"/>
      <c r="O7" s="2534"/>
    </row>
    <row r="8" spans="1:15">
      <c r="A8" s="123"/>
      <c r="B8" s="123"/>
      <c r="C8" s="123"/>
      <c r="D8" s="123"/>
      <c r="E8" s="123"/>
      <c r="F8" s="112"/>
      <c r="G8" s="123"/>
      <c r="H8" s="1679"/>
      <c r="I8" s="1671"/>
      <c r="J8" s="1671"/>
      <c r="K8" s="1671"/>
      <c r="L8" s="2534"/>
      <c r="M8" s="2534"/>
      <c r="N8" s="2534"/>
      <c r="O8" s="2534"/>
    </row>
    <row r="9" spans="1:15">
      <c r="A9" s="123"/>
      <c r="B9" s="123"/>
      <c r="C9" s="123"/>
      <c r="D9" s="123"/>
      <c r="E9" s="123"/>
      <c r="F9" s="112"/>
      <c r="G9" s="123"/>
      <c r="H9" s="2536"/>
      <c r="I9" s="123"/>
      <c r="J9" s="123"/>
      <c r="K9" s="123"/>
      <c r="L9" s="2534"/>
      <c r="M9" s="2534"/>
      <c r="N9" s="2534"/>
      <c r="O9" s="2534"/>
    </row>
    <row r="10" spans="1:15">
      <c r="A10" s="121" t="str">
        <f>Data</f>
        <v>DATA: "X" BASE PERIOD   FORECASTED PERIOD</v>
      </c>
      <c r="B10" s="123"/>
      <c r="C10" s="123"/>
      <c r="D10" s="123"/>
      <c r="E10" s="123"/>
      <c r="F10" s="112"/>
      <c r="G10" s="1671"/>
      <c r="H10" s="1679"/>
      <c r="I10" s="1671"/>
      <c r="J10" s="1658" t="s">
        <v>1327</v>
      </c>
      <c r="K10" s="1671"/>
      <c r="L10" s="2534"/>
      <c r="M10" s="2534"/>
      <c r="N10" s="2534"/>
      <c r="O10" s="2534"/>
    </row>
    <row r="11" spans="1:15">
      <c r="A11" s="121" t="str">
        <f>Type</f>
        <v xml:space="preserve">TYPE OF FILING:  "X" ORIGINAL   UPDATED    REVISED  </v>
      </c>
      <c r="B11" s="123"/>
      <c r="C11" s="123"/>
      <c r="D11" s="123"/>
      <c r="E11" s="123"/>
      <c r="F11" s="112"/>
      <c r="G11" s="1671"/>
      <c r="H11" s="1679"/>
      <c r="I11" s="1671"/>
      <c r="J11" s="1658" t="s">
        <v>1911</v>
      </c>
      <c r="K11" s="1671"/>
      <c r="L11" s="2534"/>
      <c r="M11" s="2534"/>
      <c r="N11" s="2534"/>
      <c r="O11" s="2534"/>
    </row>
    <row r="12" spans="1:15">
      <c r="A12" s="121" t="s">
        <v>1835</v>
      </c>
      <c r="B12" s="123"/>
      <c r="C12" s="123"/>
      <c r="D12" s="123"/>
      <c r="E12" s="123"/>
      <c r="F12" s="112"/>
      <c r="G12" s="1671"/>
      <c r="H12" s="1679"/>
      <c r="I12" s="1671"/>
      <c r="J12" s="1658" t="s">
        <v>622</v>
      </c>
      <c r="K12" s="1671"/>
      <c r="L12" s="2534"/>
      <c r="M12" s="2534"/>
      <c r="N12" s="2534"/>
      <c r="O12" s="2534"/>
    </row>
    <row r="13" spans="1:15">
      <c r="A13" s="123"/>
      <c r="B13" s="123"/>
      <c r="C13" s="123"/>
      <c r="D13" s="123"/>
      <c r="E13" s="123"/>
      <c r="F13" s="112"/>
      <c r="G13" s="1671"/>
      <c r="H13" s="1679"/>
      <c r="I13" s="1671"/>
      <c r="J13" s="2515" t="str">
        <f>_WIT7</f>
        <v>R. H. PRATT / C. S. LEE</v>
      </c>
      <c r="K13" s="1671"/>
      <c r="L13" s="2534"/>
      <c r="M13" s="2534"/>
      <c r="N13" s="2534"/>
      <c r="O13" s="2534"/>
    </row>
    <row r="14" spans="1:15">
      <c r="A14" s="123"/>
      <c r="B14" s="123"/>
      <c r="C14" s="123"/>
      <c r="D14" s="123"/>
      <c r="E14" s="123"/>
      <c r="F14" s="112"/>
      <c r="G14" s="1671"/>
      <c r="H14" s="1679"/>
      <c r="I14" s="1671"/>
      <c r="J14" s="1671"/>
      <c r="K14" s="1671"/>
      <c r="L14" s="2534"/>
      <c r="M14" s="2534"/>
      <c r="N14" s="2534"/>
      <c r="O14" s="2534"/>
    </row>
    <row r="15" spans="1:15">
      <c r="A15" s="123"/>
      <c r="B15" s="123"/>
      <c r="C15" s="123"/>
      <c r="D15" s="123"/>
      <c r="E15" s="123"/>
      <c r="F15" s="1659"/>
      <c r="G15" s="1671"/>
      <c r="H15" s="1679"/>
      <c r="I15" s="1671"/>
      <c r="J15" s="1671"/>
      <c r="K15" s="1671"/>
      <c r="L15" s="2534"/>
      <c r="M15" s="2534"/>
      <c r="N15" s="2534"/>
      <c r="O15" s="2534"/>
    </row>
    <row r="16" spans="1:15">
      <c r="A16" s="2724"/>
      <c r="B16" s="2730"/>
      <c r="C16" s="2729"/>
      <c r="D16" s="2724"/>
      <c r="E16" s="2521" t="s">
        <v>1117</v>
      </c>
      <c r="F16" s="106"/>
      <c r="G16" s="2722"/>
      <c r="H16" s="2723"/>
      <c r="I16" s="2722"/>
      <c r="J16" s="2722"/>
      <c r="K16" s="2722"/>
      <c r="L16" s="2534"/>
      <c r="M16" s="2534"/>
      <c r="N16" s="2534"/>
      <c r="O16" s="2534"/>
    </row>
    <row r="17" spans="1:15">
      <c r="A17" s="107"/>
      <c r="B17" s="108" t="s">
        <v>943</v>
      </c>
      <c r="C17" s="108" t="s">
        <v>1750</v>
      </c>
      <c r="D17" s="107"/>
      <c r="E17" s="109" t="s">
        <v>1120</v>
      </c>
      <c r="F17" s="106"/>
      <c r="G17" s="110" t="s">
        <v>1798</v>
      </c>
      <c r="H17" s="111"/>
      <c r="I17" s="111"/>
      <c r="J17" s="111"/>
      <c r="K17" s="111"/>
      <c r="L17" s="2534"/>
      <c r="M17" s="2534"/>
      <c r="N17" s="2534"/>
      <c r="O17" s="2534"/>
    </row>
    <row r="18" spans="1:15">
      <c r="A18" s="1650" t="s">
        <v>1240</v>
      </c>
      <c r="B18" s="1650" t="s">
        <v>1164</v>
      </c>
      <c r="C18" s="1650" t="s">
        <v>1164</v>
      </c>
      <c r="D18" s="123"/>
      <c r="E18" s="2537" t="s">
        <v>1929</v>
      </c>
      <c r="F18" s="109"/>
      <c r="G18" s="2537" t="s">
        <v>1929</v>
      </c>
      <c r="H18" s="2538" t="s">
        <v>802</v>
      </c>
      <c r="I18" s="2537" t="s">
        <v>802</v>
      </c>
      <c r="J18" s="1671"/>
      <c r="K18" s="2537" t="s">
        <v>574</v>
      </c>
      <c r="L18" s="2534"/>
      <c r="M18" s="2534"/>
      <c r="N18" s="2534"/>
      <c r="O18" s="2534"/>
    </row>
    <row r="19" spans="1:15">
      <c r="A19" s="2539" t="s">
        <v>1241</v>
      </c>
      <c r="B19" s="2539" t="s">
        <v>1241</v>
      </c>
      <c r="C19" s="2539" t="s">
        <v>1241</v>
      </c>
      <c r="D19" s="2539" t="s">
        <v>1165</v>
      </c>
      <c r="E19" s="2540" t="s">
        <v>1377</v>
      </c>
      <c r="F19" s="2539"/>
      <c r="G19" s="2540" t="s">
        <v>1750</v>
      </c>
      <c r="H19" s="2541" t="s">
        <v>363</v>
      </c>
      <c r="I19" s="2540" t="s">
        <v>1929</v>
      </c>
      <c r="J19" s="2540" t="s">
        <v>573</v>
      </c>
      <c r="K19" s="2540" t="s">
        <v>1449</v>
      </c>
      <c r="L19" s="2534"/>
      <c r="M19" s="2534"/>
      <c r="N19" s="2534"/>
      <c r="O19" s="2534"/>
    </row>
    <row r="20" spans="1:15">
      <c r="A20" s="1650" t="s">
        <v>529</v>
      </c>
      <c r="B20" s="123"/>
      <c r="C20" s="123"/>
      <c r="D20" s="123"/>
      <c r="E20" s="2537" t="s">
        <v>1705</v>
      </c>
      <c r="F20" s="2542"/>
      <c r="G20" s="2537" t="s">
        <v>1705</v>
      </c>
      <c r="H20" s="2536"/>
      <c r="I20" s="2537" t="s">
        <v>1705</v>
      </c>
      <c r="J20" s="2537" t="s">
        <v>1705</v>
      </c>
      <c r="K20" s="2537" t="s">
        <v>1705</v>
      </c>
      <c r="L20" s="2534"/>
      <c r="M20" s="2534"/>
      <c r="N20" s="2534"/>
      <c r="O20" s="2534"/>
    </row>
    <row r="21" spans="1:15">
      <c r="A21" s="123"/>
      <c r="B21" s="123"/>
      <c r="C21" s="123"/>
      <c r="D21" s="123"/>
      <c r="E21" s="123"/>
      <c r="F21" s="112"/>
      <c r="G21" s="1671"/>
      <c r="H21" s="1679"/>
      <c r="I21" s="1671"/>
      <c r="J21" s="1671"/>
      <c r="K21" s="1671"/>
      <c r="L21" s="2534"/>
      <c r="M21" s="2534"/>
      <c r="N21" s="2534"/>
      <c r="O21" s="2534"/>
    </row>
    <row r="22" spans="1:15">
      <c r="A22" s="1650" t="s">
        <v>1166</v>
      </c>
      <c r="B22" s="1505">
        <v>310</v>
      </c>
      <c r="C22" s="1505">
        <v>3100</v>
      </c>
      <c r="D22" s="1506" t="s">
        <v>849</v>
      </c>
      <c r="E22" s="1514">
        <f>'SCH B-2.1'!I23</f>
        <v>7047301</v>
      </c>
      <c r="F22" s="1592"/>
      <c r="G22" s="1543">
        <v>60798</v>
      </c>
      <c r="H22" s="2543">
        <v>1</v>
      </c>
      <c r="I22" s="1671">
        <f t="shared" ref="I22:I38" si="0">ROUND((G22*H22),0)</f>
        <v>60798</v>
      </c>
      <c r="J22" s="2544"/>
      <c r="K22" s="1671">
        <f t="shared" ref="K22:K38" si="1">I22+J22</f>
        <v>60798</v>
      </c>
      <c r="L22" s="2534"/>
      <c r="M22" s="2534"/>
      <c r="N22" s="2534"/>
      <c r="O22" s="2534"/>
    </row>
    <row r="23" spans="1:15">
      <c r="A23" s="1650" t="s">
        <v>1167</v>
      </c>
      <c r="B23" s="1505">
        <v>311</v>
      </c>
      <c r="C23" s="1505">
        <v>3110</v>
      </c>
      <c r="D23" s="1506" t="s">
        <v>1170</v>
      </c>
      <c r="E23" s="1514">
        <f>'SCH B-2.1'!I24</f>
        <v>53167993</v>
      </c>
      <c r="F23" s="1592"/>
      <c r="G23" s="1543">
        <v>40277857</v>
      </c>
      <c r="H23" s="2543">
        <v>1</v>
      </c>
      <c r="I23" s="1671">
        <f t="shared" si="0"/>
        <v>40277857</v>
      </c>
      <c r="J23" s="1671"/>
      <c r="K23" s="1671">
        <f t="shared" si="1"/>
        <v>40277857</v>
      </c>
      <c r="L23" s="2534"/>
      <c r="M23" s="2534"/>
      <c r="N23" s="2534"/>
      <c r="O23" s="2534"/>
    </row>
    <row r="24" spans="1:15">
      <c r="A24" s="1650" t="s">
        <v>1169</v>
      </c>
      <c r="B24" s="1505">
        <v>311</v>
      </c>
      <c r="C24" s="1505" t="s">
        <v>2291</v>
      </c>
      <c r="D24" s="1506" t="s">
        <v>1170</v>
      </c>
      <c r="E24" s="1514">
        <f>'SCH B-2.1'!I25</f>
        <v>18409562</v>
      </c>
      <c r="F24" s="1592"/>
      <c r="G24" s="1543">
        <v>1536868</v>
      </c>
      <c r="H24" s="2543">
        <v>1</v>
      </c>
      <c r="I24" s="1671">
        <f t="shared" si="0"/>
        <v>1536868</v>
      </c>
      <c r="J24" s="1671"/>
      <c r="K24" s="1671">
        <f t="shared" si="1"/>
        <v>1536868</v>
      </c>
      <c r="L24" s="2534"/>
      <c r="M24" s="2534"/>
      <c r="N24" s="2534"/>
      <c r="O24" s="2534"/>
    </row>
    <row r="25" spans="1:15">
      <c r="A25" s="1650" t="s">
        <v>1171</v>
      </c>
      <c r="B25" s="1505">
        <v>312</v>
      </c>
      <c r="C25" s="1505">
        <v>3120</v>
      </c>
      <c r="D25" s="1506" t="s">
        <v>334</v>
      </c>
      <c r="E25" s="1514">
        <f>'SCH B-2.1'!I26</f>
        <v>206947630</v>
      </c>
      <c r="F25" s="1593"/>
      <c r="G25" s="1543">
        <v>152912355</v>
      </c>
      <c r="H25" s="2543">
        <v>1</v>
      </c>
      <c r="I25" s="1671">
        <f t="shared" si="0"/>
        <v>152912355</v>
      </c>
      <c r="J25" s="1671"/>
      <c r="K25" s="1671">
        <f t="shared" si="1"/>
        <v>152912355</v>
      </c>
      <c r="L25" s="2534"/>
      <c r="M25" s="2534"/>
      <c r="N25" s="2534"/>
      <c r="O25" s="2534"/>
    </row>
    <row r="26" spans="1:15">
      <c r="A26" s="1650" t="s">
        <v>977</v>
      </c>
      <c r="B26" s="1505">
        <v>312</v>
      </c>
      <c r="C26" s="1505" t="s">
        <v>2292</v>
      </c>
      <c r="D26" s="1506" t="s">
        <v>334</v>
      </c>
      <c r="E26" s="1514">
        <f>'SCH B-2.1'!I27</f>
        <v>242761035</v>
      </c>
      <c r="F26" s="1593"/>
      <c r="G26" s="1543">
        <v>154425740</v>
      </c>
      <c r="H26" s="2543">
        <v>1</v>
      </c>
      <c r="I26" s="1671">
        <f t="shared" si="0"/>
        <v>154425740</v>
      </c>
      <c r="J26" s="1671"/>
      <c r="K26" s="1671">
        <f t="shared" si="1"/>
        <v>154425740</v>
      </c>
      <c r="L26" s="2534"/>
      <c r="M26" s="2534"/>
      <c r="N26" s="2534"/>
      <c r="O26" s="2534"/>
    </row>
    <row r="27" spans="1:15">
      <c r="A27" s="1650" t="s">
        <v>1596</v>
      </c>
      <c r="B27" s="1505"/>
      <c r="C27" s="1505"/>
      <c r="D27" s="1506" t="s">
        <v>3278</v>
      </c>
      <c r="E27" s="1514">
        <f>'SCH B-2.1'!I28</f>
        <v>0</v>
      </c>
      <c r="F27" s="1593"/>
      <c r="G27" s="1543">
        <v>0</v>
      </c>
      <c r="H27" s="2543">
        <v>1</v>
      </c>
      <c r="I27" s="1671">
        <f t="shared" si="0"/>
        <v>0</v>
      </c>
      <c r="J27" s="1671"/>
      <c r="K27" s="1671">
        <f t="shared" si="1"/>
        <v>0</v>
      </c>
      <c r="L27" s="2534"/>
      <c r="M27" s="2534"/>
      <c r="N27" s="2534"/>
      <c r="O27" s="2534"/>
    </row>
    <row r="28" spans="1:15">
      <c r="A28" s="1650" t="s">
        <v>978</v>
      </c>
      <c r="B28" s="1505">
        <v>312</v>
      </c>
      <c r="C28" s="1505" t="s">
        <v>2293</v>
      </c>
      <c r="D28" s="1506" t="s">
        <v>335</v>
      </c>
      <c r="E28" s="1514">
        <f>'SCH B-2.1'!I29</f>
        <v>5420680</v>
      </c>
      <c r="F28" s="1593"/>
      <c r="G28" s="1543">
        <v>3370351</v>
      </c>
      <c r="H28" s="2543">
        <v>1</v>
      </c>
      <c r="I28" s="1671">
        <f t="shared" si="0"/>
        <v>3370351</v>
      </c>
      <c r="J28" s="1671"/>
      <c r="K28" s="1671">
        <f t="shared" si="1"/>
        <v>3370351</v>
      </c>
      <c r="L28" s="2534"/>
      <c r="M28" s="2534"/>
      <c r="N28" s="2534"/>
      <c r="O28" s="2534"/>
    </row>
    <row r="29" spans="1:15">
      <c r="A29" s="1650" t="s">
        <v>979</v>
      </c>
      <c r="B29" s="1505">
        <v>314</v>
      </c>
      <c r="C29" s="1505">
        <v>3140</v>
      </c>
      <c r="D29" s="1506" t="s">
        <v>336</v>
      </c>
      <c r="E29" s="1514">
        <f>'SCH B-2.1'!I30</f>
        <v>89782860</v>
      </c>
      <c r="F29" s="1592"/>
      <c r="G29" s="1543">
        <v>59595088</v>
      </c>
      <c r="H29" s="2543">
        <v>1</v>
      </c>
      <c r="I29" s="1671">
        <f t="shared" si="0"/>
        <v>59595088</v>
      </c>
      <c r="J29" s="1671"/>
      <c r="K29" s="1671">
        <f t="shared" si="1"/>
        <v>59595088</v>
      </c>
      <c r="L29" s="2534"/>
      <c r="M29" s="2534"/>
      <c r="N29" s="2534"/>
      <c r="O29" s="2534"/>
    </row>
    <row r="30" spans="1:15">
      <c r="A30" s="1650" t="s">
        <v>980</v>
      </c>
      <c r="B30" s="1505">
        <v>314</v>
      </c>
      <c r="C30" s="1505" t="s">
        <v>2294</v>
      </c>
      <c r="D30" s="1506" t="s">
        <v>336</v>
      </c>
      <c r="E30" s="1514">
        <f>'SCH B-2.1'!I31</f>
        <v>10590194</v>
      </c>
      <c r="F30" s="1592"/>
      <c r="G30" s="1543">
        <v>8408609</v>
      </c>
      <c r="H30" s="2543">
        <v>1</v>
      </c>
      <c r="I30" s="1671">
        <f t="shared" si="0"/>
        <v>8408609</v>
      </c>
      <c r="J30" s="1671"/>
      <c r="K30" s="1671">
        <f t="shared" si="1"/>
        <v>8408609</v>
      </c>
      <c r="L30" s="2534"/>
      <c r="M30" s="2534"/>
      <c r="N30" s="2534"/>
      <c r="O30" s="2534"/>
    </row>
    <row r="31" spans="1:15">
      <c r="A31" s="1650" t="s">
        <v>850</v>
      </c>
      <c r="B31" s="1505">
        <v>315</v>
      </c>
      <c r="C31" s="1505">
        <v>3150</v>
      </c>
      <c r="D31" s="1506" t="s">
        <v>337</v>
      </c>
      <c r="E31" s="1514">
        <f>'SCH B-2.1'!I32</f>
        <v>28222456</v>
      </c>
      <c r="F31" s="1592"/>
      <c r="G31" s="1543">
        <v>20279883</v>
      </c>
      <c r="H31" s="2543">
        <v>1</v>
      </c>
      <c r="I31" s="1671">
        <f t="shared" si="0"/>
        <v>20279883</v>
      </c>
      <c r="J31" s="1671"/>
      <c r="K31" s="1671">
        <f t="shared" si="1"/>
        <v>20279883</v>
      </c>
      <c r="L31" s="2534"/>
      <c r="M31" s="2534"/>
      <c r="N31" s="2534"/>
      <c r="O31" s="2534"/>
    </row>
    <row r="32" spans="1:15">
      <c r="A32" s="1650" t="s">
        <v>851</v>
      </c>
      <c r="B32" s="1505">
        <v>315</v>
      </c>
      <c r="C32" s="1505" t="s">
        <v>2295</v>
      </c>
      <c r="D32" s="1506" t="s">
        <v>337</v>
      </c>
      <c r="E32" s="1514">
        <f>'SCH B-2.1'!I33</f>
        <v>16979176</v>
      </c>
      <c r="F32" s="1592"/>
      <c r="G32" s="1543">
        <v>10122122</v>
      </c>
      <c r="H32" s="2543">
        <v>1</v>
      </c>
      <c r="I32" s="1671">
        <f t="shared" si="0"/>
        <v>10122122</v>
      </c>
      <c r="J32" s="1671"/>
      <c r="K32" s="1671">
        <f t="shared" si="1"/>
        <v>10122122</v>
      </c>
      <c r="L32" s="2534"/>
      <c r="M32" s="2534"/>
      <c r="N32" s="2534"/>
      <c r="O32" s="2534"/>
    </row>
    <row r="33" spans="1:15">
      <c r="A33" s="1650" t="s">
        <v>852</v>
      </c>
      <c r="B33" s="1505">
        <v>316</v>
      </c>
      <c r="C33" s="1505">
        <v>3160</v>
      </c>
      <c r="D33" s="1506" t="s">
        <v>338</v>
      </c>
      <c r="E33" s="1514">
        <f>'SCH B-2.1'!I34</f>
        <v>14501994</v>
      </c>
      <c r="F33" s="1592"/>
      <c r="G33" s="1543">
        <v>7793354</v>
      </c>
      <c r="H33" s="2543">
        <v>1</v>
      </c>
      <c r="I33" s="1671">
        <f t="shared" si="0"/>
        <v>7793354</v>
      </c>
      <c r="J33" s="1671"/>
      <c r="K33" s="1671">
        <f t="shared" si="1"/>
        <v>7793354</v>
      </c>
      <c r="L33" s="2534"/>
      <c r="M33" s="2534"/>
      <c r="N33" s="2534"/>
      <c r="O33" s="2534"/>
    </row>
    <row r="34" spans="1:15">
      <c r="A34" s="1650" t="s">
        <v>853</v>
      </c>
      <c r="B34" s="1505">
        <v>317</v>
      </c>
      <c r="C34" s="1505" t="s">
        <v>2296</v>
      </c>
      <c r="D34" s="1506" t="s">
        <v>338</v>
      </c>
      <c r="E34" s="1514">
        <f>'SCH B-2.1'!I35</f>
        <v>5796351</v>
      </c>
      <c r="F34" s="1592"/>
      <c r="G34" s="1543">
        <v>1556245</v>
      </c>
      <c r="H34" s="2543">
        <v>1</v>
      </c>
      <c r="I34" s="1671">
        <f t="shared" si="0"/>
        <v>1556245</v>
      </c>
      <c r="J34" s="1671"/>
      <c r="K34" s="1671">
        <f t="shared" si="1"/>
        <v>1556245</v>
      </c>
      <c r="L34" s="2534"/>
      <c r="M34" s="2534"/>
      <c r="N34" s="2534"/>
      <c r="O34" s="2534"/>
    </row>
    <row r="35" spans="1:15">
      <c r="A35" s="1650" t="s">
        <v>854</v>
      </c>
      <c r="B35" s="1505">
        <v>317</v>
      </c>
      <c r="C35" s="1505" t="s">
        <v>2753</v>
      </c>
      <c r="D35" s="1506" t="s">
        <v>2747</v>
      </c>
      <c r="E35" s="1514">
        <f>'SCH B-2.1'!I36</f>
        <v>0</v>
      </c>
      <c r="F35" s="1592"/>
      <c r="G35" s="1543">
        <v>8527076</v>
      </c>
      <c r="H35" s="2543">
        <v>1</v>
      </c>
      <c r="I35" s="1671">
        <f t="shared" si="0"/>
        <v>8527076</v>
      </c>
      <c r="J35" s="1671">
        <f>'SCH B-3.1'!G22</f>
        <v>-8527076</v>
      </c>
      <c r="K35" s="1671">
        <f t="shared" si="1"/>
        <v>0</v>
      </c>
      <c r="L35" s="2534"/>
      <c r="M35" s="2534"/>
      <c r="N35" s="2534"/>
      <c r="O35" s="2534"/>
    </row>
    <row r="36" spans="1:15">
      <c r="A36" s="1650" t="s">
        <v>855</v>
      </c>
      <c r="B36" s="1506"/>
      <c r="C36" s="1506"/>
      <c r="D36" s="1506" t="s">
        <v>1483</v>
      </c>
      <c r="E36" s="1514">
        <f>'SCH B-2.1'!I37</f>
        <v>0</v>
      </c>
      <c r="F36" s="1592"/>
      <c r="G36" s="1543">
        <v>189858</v>
      </c>
      <c r="H36" s="2543">
        <v>1</v>
      </c>
      <c r="I36" s="1671">
        <f t="shared" si="0"/>
        <v>189858</v>
      </c>
      <c r="J36" s="1671"/>
      <c r="K36" s="1671">
        <f t="shared" si="1"/>
        <v>189858</v>
      </c>
      <c r="L36" s="2534"/>
      <c r="M36" s="2534"/>
      <c r="N36" s="2534"/>
      <c r="O36" s="2534"/>
    </row>
    <row r="37" spans="1:15">
      <c r="A37" s="1650" t="s">
        <v>2904</v>
      </c>
      <c r="B37" s="1506"/>
      <c r="C37" s="1505" t="s">
        <v>3103</v>
      </c>
      <c r="D37" s="1506" t="s">
        <v>1483</v>
      </c>
      <c r="E37" s="1514">
        <f>'SCH B-2.1'!I38</f>
        <v>133316</v>
      </c>
      <c r="F37" s="1592"/>
      <c r="G37" s="1543">
        <v>6365</v>
      </c>
      <c r="H37" s="2543">
        <v>1</v>
      </c>
      <c r="I37" s="1671">
        <f t="shared" si="0"/>
        <v>6365</v>
      </c>
      <c r="J37" s="1671"/>
      <c r="K37" s="1671">
        <f t="shared" si="1"/>
        <v>6365</v>
      </c>
      <c r="L37" s="2534"/>
      <c r="M37" s="2534"/>
      <c r="N37" s="2534"/>
      <c r="O37" s="2534"/>
    </row>
    <row r="38" spans="1:15">
      <c r="A38" s="1650" t="s">
        <v>2905</v>
      </c>
      <c r="B38" s="123"/>
      <c r="C38" s="1650">
        <v>108</v>
      </c>
      <c r="D38" s="1506" t="s">
        <v>1329</v>
      </c>
      <c r="E38" s="1514"/>
      <c r="F38" s="1592"/>
      <c r="G38" s="1543">
        <v>-8583255</v>
      </c>
      <c r="H38" s="2543">
        <v>1</v>
      </c>
      <c r="I38" s="1671">
        <f t="shared" si="0"/>
        <v>-8583255</v>
      </c>
      <c r="J38" s="1671"/>
      <c r="K38" s="1671">
        <f t="shared" si="1"/>
        <v>-8583255</v>
      </c>
      <c r="L38" s="2534"/>
      <c r="M38" s="2534"/>
      <c r="N38" s="2534"/>
      <c r="O38" s="2534"/>
    </row>
    <row r="39" spans="1:15">
      <c r="A39" s="123"/>
      <c r="B39" s="123"/>
      <c r="C39" s="123"/>
      <c r="D39" s="123"/>
      <c r="E39" s="123"/>
      <c r="F39" s="112"/>
      <c r="G39" s="2545"/>
      <c r="H39" s="2543"/>
      <c r="I39" s="1671"/>
      <c r="J39" s="1671"/>
      <c r="K39" s="1671"/>
      <c r="L39" s="2534"/>
      <c r="M39" s="2534"/>
      <c r="N39" s="2534"/>
      <c r="O39" s="2534"/>
    </row>
    <row r="40" spans="1:15">
      <c r="A40" s="123"/>
      <c r="B40" s="123"/>
      <c r="C40" s="123"/>
      <c r="D40" s="123"/>
      <c r="E40" s="123"/>
      <c r="F40" s="1659"/>
      <c r="G40" s="123"/>
      <c r="H40" s="2536"/>
      <c r="I40" s="123"/>
      <c r="J40" s="123"/>
      <c r="K40" s="123"/>
      <c r="L40" s="2534"/>
      <c r="M40" s="2534"/>
      <c r="N40" s="2534"/>
      <c r="O40" s="2534"/>
    </row>
    <row r="41" spans="1:15">
      <c r="A41" s="2724"/>
      <c r="B41" s="2724"/>
      <c r="C41" s="2724"/>
      <c r="D41" s="2724"/>
      <c r="E41" s="2724"/>
      <c r="F41" s="107"/>
      <c r="G41" s="2724"/>
      <c r="H41" s="2726"/>
      <c r="I41" s="2724"/>
      <c r="J41" s="2724"/>
      <c r="K41" s="2724"/>
      <c r="L41" s="2534"/>
      <c r="M41" s="2534"/>
      <c r="N41" s="2534"/>
      <c r="O41" s="2534"/>
    </row>
    <row r="42" spans="1:15">
      <c r="A42" s="1650">
        <v>18</v>
      </c>
      <c r="B42" s="123"/>
      <c r="C42" s="123"/>
      <c r="D42" s="121" t="s">
        <v>777</v>
      </c>
      <c r="E42" s="1514">
        <f>SUM(E22:E41)</f>
        <v>699760548</v>
      </c>
      <c r="F42" s="1592"/>
      <c r="G42" s="1514">
        <f>SUM(G22:G41)</f>
        <v>460479314</v>
      </c>
      <c r="H42" s="1679"/>
      <c r="I42" s="1514">
        <f>SUM(I22:I41)</f>
        <v>460479314</v>
      </c>
      <c r="J42" s="1514">
        <f>SUM(J22:J41)</f>
        <v>-8527076</v>
      </c>
      <c r="K42" s="1514">
        <f>SUM(K22:K41)</f>
        <v>451952238</v>
      </c>
      <c r="L42" s="2534"/>
      <c r="M42" s="2534"/>
      <c r="N42" s="2682" t="str">
        <f>IF(E42='SCH B-2.1'!I42,"BALANCED","ERROR")</f>
        <v>BALANCED</v>
      </c>
      <c r="O42" s="2534"/>
    </row>
    <row r="43" spans="1:15">
      <c r="A43" s="123"/>
      <c r="B43" s="123"/>
      <c r="C43" s="123"/>
      <c r="D43" s="123"/>
      <c r="E43" s="123"/>
      <c r="F43" s="1659"/>
      <c r="G43" s="1671"/>
      <c r="H43" s="1679"/>
      <c r="I43" s="1671"/>
      <c r="J43" s="1671"/>
      <c r="K43" s="1671"/>
      <c r="L43" s="2534"/>
      <c r="M43" s="2534"/>
      <c r="N43" s="2534"/>
      <c r="O43" s="2534"/>
    </row>
    <row r="44" spans="1:15">
      <c r="A44" s="2724"/>
      <c r="B44" s="2724"/>
      <c r="C44" s="2724"/>
      <c r="D44" s="2724"/>
      <c r="E44" s="2724"/>
      <c r="F44" s="107"/>
      <c r="G44" s="2724"/>
      <c r="H44" s="2726"/>
      <c r="I44" s="2724"/>
      <c r="J44" s="2724"/>
      <c r="K44" s="2724"/>
      <c r="L44" s="2534"/>
      <c r="M44" s="2534"/>
      <c r="N44" s="2534"/>
      <c r="O44" s="2534"/>
    </row>
    <row r="45" spans="1:15">
      <c r="A45" s="1644" t="s">
        <v>1668</v>
      </c>
      <c r="B45" s="123"/>
      <c r="C45" s="123"/>
      <c r="D45" s="123"/>
      <c r="E45" s="123"/>
      <c r="F45" s="112"/>
      <c r="G45" s="123"/>
      <c r="H45" s="2536"/>
      <c r="I45" s="123"/>
      <c r="J45" s="123"/>
      <c r="K45" s="123"/>
      <c r="L45" s="2534"/>
      <c r="M45" s="2534"/>
      <c r="N45" s="2534"/>
      <c r="O45" s="2534"/>
    </row>
    <row r="46" spans="1:15">
      <c r="A46" s="1644"/>
      <c r="B46" s="123"/>
      <c r="C46" s="123"/>
      <c r="D46" s="123"/>
      <c r="E46" s="123"/>
      <c r="F46" s="112"/>
      <c r="G46" s="123"/>
      <c r="H46" s="2536"/>
      <c r="I46" s="123"/>
      <c r="J46" s="123"/>
      <c r="K46" s="123"/>
      <c r="L46" s="2534"/>
      <c r="M46" s="2534"/>
      <c r="N46" s="2534"/>
      <c r="O46" s="2534"/>
    </row>
    <row r="47" spans="1:15">
      <c r="A47" s="1654" t="str">
        <f>COMPANY</f>
        <v>DUKE ENERGY KENTUCKY, INC.</v>
      </c>
      <c r="B47" s="1655"/>
      <c r="C47" s="1655"/>
      <c r="D47" s="2530"/>
      <c r="E47" s="2530"/>
      <c r="F47" s="2531"/>
      <c r="G47" s="1655"/>
      <c r="H47" s="2532"/>
      <c r="I47" s="2533"/>
      <c r="J47" s="2533"/>
      <c r="K47" s="2533"/>
      <c r="L47" s="2534"/>
      <c r="M47" s="2534"/>
      <c r="N47" s="2534"/>
      <c r="O47" s="2534"/>
    </row>
    <row r="48" spans="1:15">
      <c r="A48" s="1654" t="str">
        <f>CASE</f>
        <v>CASE NO. 2017-00321</v>
      </c>
      <c r="B48" s="1655"/>
      <c r="C48" s="1655"/>
      <c r="D48" s="2530"/>
      <c r="E48" s="2530"/>
      <c r="F48" s="2531"/>
      <c r="G48" s="1655"/>
      <c r="H48" s="2535"/>
      <c r="I48" s="2533"/>
      <c r="J48" s="2533"/>
      <c r="K48" s="2533"/>
      <c r="L48" s="2534"/>
      <c r="M48" s="2534"/>
      <c r="N48" s="2534"/>
      <c r="O48" s="2534"/>
    </row>
    <row r="49" spans="1:15">
      <c r="A49" s="1654" t="s">
        <v>1326</v>
      </c>
      <c r="B49" s="1655"/>
      <c r="C49" s="1655"/>
      <c r="D49" s="2530"/>
      <c r="E49" s="2530"/>
      <c r="F49" s="2531"/>
      <c r="G49" s="1655"/>
      <c r="H49" s="2532"/>
      <c r="I49" s="2533"/>
      <c r="J49" s="2533"/>
      <c r="K49" s="2533"/>
      <c r="L49" s="2534"/>
      <c r="M49" s="2534"/>
      <c r="N49" s="2534"/>
      <c r="O49" s="2534"/>
    </row>
    <row r="50" spans="1:15">
      <c r="A50" s="76" t="str">
        <f>"AS OF " &amp;RIGHT(TESTYR,(LEN(TESTYR)-16))</f>
        <v>AS OF NOVEMBER 30, 2017</v>
      </c>
      <c r="B50" s="1655"/>
      <c r="C50" s="1655"/>
      <c r="D50" s="2530"/>
      <c r="E50" s="2530"/>
      <c r="F50" s="2531"/>
      <c r="G50" s="1655"/>
      <c r="H50" s="2532"/>
      <c r="I50" s="2533"/>
      <c r="J50" s="2533"/>
      <c r="K50" s="2533"/>
      <c r="L50" s="2534"/>
      <c r="M50" s="2534"/>
      <c r="N50" s="2534"/>
      <c r="O50" s="2534"/>
    </row>
    <row r="51" spans="1:15">
      <c r="A51" s="1655"/>
      <c r="B51" s="1655"/>
      <c r="C51" s="1655"/>
      <c r="D51" s="2530"/>
      <c r="E51" s="2530"/>
      <c r="F51" s="2531"/>
      <c r="G51" s="1655"/>
      <c r="H51" s="2532"/>
      <c r="I51" s="2533"/>
      <c r="J51" s="2533"/>
      <c r="K51" s="2533"/>
      <c r="L51" s="2534"/>
      <c r="M51" s="2534"/>
      <c r="N51" s="2534"/>
      <c r="O51" s="2534"/>
    </row>
    <row r="52" spans="1:15">
      <c r="A52" s="1654" t="s">
        <v>340</v>
      </c>
      <c r="B52" s="1655"/>
      <c r="C52" s="1655"/>
      <c r="D52" s="2530"/>
      <c r="E52" s="2530"/>
      <c r="F52" s="2531"/>
      <c r="G52" s="1655"/>
      <c r="H52" s="2532"/>
      <c r="I52" s="2533"/>
      <c r="J52" s="2533"/>
      <c r="K52" s="2533"/>
      <c r="L52" s="2534"/>
      <c r="M52" s="2534"/>
      <c r="N52" s="2534"/>
      <c r="O52" s="2534"/>
    </row>
    <row r="53" spans="1:15">
      <c r="A53" s="1657" t="s">
        <v>1799</v>
      </c>
      <c r="B53" s="1655"/>
      <c r="C53" s="1655"/>
      <c r="D53" s="2530"/>
      <c r="E53" s="2530"/>
      <c r="F53" s="2531"/>
      <c r="G53" s="1655"/>
      <c r="H53" s="2532"/>
      <c r="I53" s="2533"/>
      <c r="J53" s="2533"/>
      <c r="K53" s="2533"/>
      <c r="L53" s="2534"/>
      <c r="M53" s="2534"/>
      <c r="N53" s="2534"/>
      <c r="O53" s="2534"/>
    </row>
    <row r="54" spans="1:15">
      <c r="A54" s="123"/>
      <c r="B54" s="123"/>
      <c r="C54" s="123"/>
      <c r="D54" s="123"/>
      <c r="E54" s="123"/>
      <c r="F54" s="112"/>
      <c r="G54" s="123"/>
      <c r="H54" s="1679"/>
      <c r="I54" s="1671"/>
      <c r="J54" s="1671"/>
      <c r="K54" s="1671"/>
      <c r="L54" s="2534"/>
      <c r="M54" s="2534"/>
      <c r="N54" s="2534"/>
      <c r="O54" s="2534"/>
    </row>
    <row r="55" spans="1:15">
      <c r="A55" s="123"/>
      <c r="B55" s="123"/>
      <c r="C55" s="123"/>
      <c r="D55" s="123"/>
      <c r="E55" s="123"/>
      <c r="F55" s="112"/>
      <c r="G55" s="123"/>
      <c r="H55" s="2536"/>
      <c r="I55" s="123"/>
      <c r="J55" s="123"/>
      <c r="K55" s="123"/>
      <c r="L55" s="2534"/>
      <c r="M55" s="2534"/>
      <c r="N55" s="2534"/>
      <c r="O55" s="2534"/>
    </row>
    <row r="56" spans="1:15">
      <c r="A56" s="121" t="str">
        <f>Data</f>
        <v>DATA: "X" BASE PERIOD   FORECASTED PERIOD</v>
      </c>
      <c r="B56" s="123"/>
      <c r="C56" s="123"/>
      <c r="D56" s="123"/>
      <c r="E56" s="123"/>
      <c r="F56" s="112"/>
      <c r="G56" s="1671"/>
      <c r="H56" s="1679"/>
      <c r="I56" s="1671"/>
      <c r="J56" s="1658" t="s">
        <v>1327</v>
      </c>
      <c r="K56" s="1671"/>
      <c r="L56" s="2534"/>
      <c r="M56" s="2534"/>
      <c r="N56" s="2534"/>
      <c r="O56" s="2534"/>
    </row>
    <row r="57" spans="1:15">
      <c r="A57" s="121" t="str">
        <f>Type</f>
        <v xml:space="preserve">TYPE OF FILING:  "X" ORIGINAL   UPDATED    REVISED  </v>
      </c>
      <c r="B57" s="123"/>
      <c r="C57" s="123"/>
      <c r="D57" s="123"/>
      <c r="E57" s="123"/>
      <c r="F57" s="112"/>
      <c r="G57" s="1671"/>
      <c r="H57" s="1679"/>
      <c r="I57" s="1671"/>
      <c r="J57" s="1658" t="s">
        <v>1910</v>
      </c>
      <c r="K57" s="1671"/>
      <c r="L57" s="2534"/>
      <c r="M57" s="2534"/>
      <c r="N57" s="2534"/>
      <c r="O57" s="2534"/>
    </row>
    <row r="58" spans="1:15">
      <c r="A58" s="121" t="s">
        <v>1835</v>
      </c>
      <c r="B58" s="123"/>
      <c r="C58" s="123"/>
      <c r="D58" s="123"/>
      <c r="E58" s="123"/>
      <c r="F58" s="112"/>
      <c r="G58" s="1671"/>
      <c r="H58" s="1679"/>
      <c r="I58" s="1671"/>
      <c r="J58" s="1658" t="s">
        <v>622</v>
      </c>
      <c r="K58" s="1671"/>
      <c r="L58" s="2534"/>
      <c r="M58" s="2534"/>
      <c r="N58" s="2534"/>
      <c r="O58" s="2534"/>
    </row>
    <row r="59" spans="1:15">
      <c r="A59" s="123"/>
      <c r="B59" s="123"/>
      <c r="C59" s="123"/>
      <c r="D59" s="123"/>
      <c r="E59" s="123"/>
      <c r="F59" s="112"/>
      <c r="G59" s="1671"/>
      <c r="H59" s="1679"/>
      <c r="I59" s="1671"/>
      <c r="J59" s="2515" t="str">
        <f>_WIT7</f>
        <v>R. H. PRATT / C. S. LEE</v>
      </c>
      <c r="K59" s="1671"/>
      <c r="L59" s="2534"/>
      <c r="M59" s="2534"/>
      <c r="N59" s="2534"/>
      <c r="O59" s="2534"/>
    </row>
    <row r="60" spans="1:15">
      <c r="A60" s="123"/>
      <c r="B60" s="123"/>
      <c r="C60" s="123"/>
      <c r="D60" s="123"/>
      <c r="E60" s="123"/>
      <c r="F60" s="112"/>
      <c r="G60" s="1671"/>
      <c r="H60" s="1679"/>
      <c r="I60" s="1671"/>
      <c r="J60" s="1671"/>
      <c r="K60" s="1671"/>
      <c r="L60" s="2534"/>
      <c r="M60" s="2534"/>
      <c r="N60" s="2534"/>
      <c r="O60" s="2534"/>
    </row>
    <row r="61" spans="1:15">
      <c r="A61" s="123"/>
      <c r="B61" s="123"/>
      <c r="C61" s="123"/>
      <c r="D61" s="123"/>
      <c r="E61" s="123"/>
      <c r="F61" s="1659"/>
      <c r="G61" s="1671"/>
      <c r="H61" s="1679"/>
      <c r="I61" s="1671"/>
      <c r="J61" s="1671"/>
      <c r="K61" s="1671"/>
      <c r="L61" s="2534"/>
      <c r="M61" s="2534"/>
      <c r="N61" s="2534"/>
      <c r="O61" s="2534"/>
    </row>
    <row r="62" spans="1:15">
      <c r="A62" s="2724"/>
      <c r="B62" s="2730"/>
      <c r="C62" s="2729"/>
      <c r="D62" s="2724"/>
      <c r="E62" s="2521" t="s">
        <v>1117</v>
      </c>
      <c r="F62" s="106"/>
      <c r="G62" s="2722"/>
      <c r="H62" s="2723"/>
      <c r="I62" s="2722"/>
      <c r="J62" s="2722"/>
      <c r="K62" s="2722"/>
      <c r="L62" s="2534"/>
      <c r="M62" s="2534"/>
      <c r="N62" s="2534"/>
      <c r="O62" s="2534"/>
    </row>
    <row r="63" spans="1:15">
      <c r="A63" s="107"/>
      <c r="B63" s="108" t="s">
        <v>943</v>
      </c>
      <c r="C63" s="108" t="s">
        <v>1750</v>
      </c>
      <c r="D63" s="107"/>
      <c r="E63" s="109" t="s">
        <v>1120</v>
      </c>
      <c r="F63" s="106"/>
      <c r="G63" s="110" t="s">
        <v>1798</v>
      </c>
      <c r="H63" s="111"/>
      <c r="I63" s="111"/>
      <c r="J63" s="111"/>
      <c r="K63" s="111"/>
      <c r="L63" s="2534"/>
      <c r="M63" s="2534"/>
      <c r="N63" s="2534"/>
      <c r="O63" s="2534"/>
    </row>
    <row r="64" spans="1:15">
      <c r="A64" s="1650" t="s">
        <v>1240</v>
      </c>
      <c r="B64" s="1650" t="s">
        <v>1164</v>
      </c>
      <c r="C64" s="1650" t="s">
        <v>1164</v>
      </c>
      <c r="D64" s="123"/>
      <c r="E64" s="2537" t="s">
        <v>1929</v>
      </c>
      <c r="F64" s="109"/>
      <c r="G64" s="2537" t="s">
        <v>1929</v>
      </c>
      <c r="H64" s="2538" t="s">
        <v>802</v>
      </c>
      <c r="I64" s="2537" t="s">
        <v>802</v>
      </c>
      <c r="J64" s="1671"/>
      <c r="K64" s="2537" t="s">
        <v>574</v>
      </c>
      <c r="L64" s="2534"/>
      <c r="M64" s="2534"/>
      <c r="N64" s="2534"/>
      <c r="O64" s="2534"/>
    </row>
    <row r="65" spans="1:15">
      <c r="A65" s="2539" t="s">
        <v>1241</v>
      </c>
      <c r="B65" s="2539" t="s">
        <v>1241</v>
      </c>
      <c r="C65" s="2539" t="s">
        <v>1241</v>
      </c>
      <c r="D65" s="2539" t="s">
        <v>1165</v>
      </c>
      <c r="E65" s="2540" t="s">
        <v>1377</v>
      </c>
      <c r="F65" s="2539"/>
      <c r="G65" s="2540" t="s">
        <v>1750</v>
      </c>
      <c r="H65" s="2541" t="s">
        <v>363</v>
      </c>
      <c r="I65" s="2540" t="s">
        <v>1929</v>
      </c>
      <c r="J65" s="2540" t="s">
        <v>573</v>
      </c>
      <c r="K65" s="2540" t="s">
        <v>1449</v>
      </c>
      <c r="L65" s="2534"/>
      <c r="M65" s="2534"/>
      <c r="N65" s="2534"/>
      <c r="O65" s="2534"/>
    </row>
    <row r="66" spans="1:15">
      <c r="A66" s="1650" t="s">
        <v>529</v>
      </c>
      <c r="B66" s="123"/>
      <c r="C66" s="123"/>
      <c r="D66" s="123"/>
      <c r="E66" s="2537" t="s">
        <v>1705</v>
      </c>
      <c r="F66" s="2542"/>
      <c r="G66" s="2537" t="s">
        <v>1705</v>
      </c>
      <c r="H66" s="2536"/>
      <c r="I66" s="2537" t="s">
        <v>1705</v>
      </c>
      <c r="J66" s="2537" t="s">
        <v>1705</v>
      </c>
      <c r="K66" s="2537" t="s">
        <v>1705</v>
      </c>
      <c r="L66" s="2534"/>
      <c r="M66" s="2534"/>
      <c r="N66" s="2534"/>
      <c r="O66" s="2534"/>
    </row>
    <row r="67" spans="1:15">
      <c r="A67" s="123"/>
      <c r="B67" s="123"/>
      <c r="C67" s="123"/>
      <c r="D67" s="123"/>
      <c r="E67" s="123"/>
      <c r="F67" s="112"/>
      <c r="G67" s="1671"/>
      <c r="H67" s="1679"/>
      <c r="I67" s="1671"/>
      <c r="J67" s="1671"/>
      <c r="K67" s="1671"/>
      <c r="L67" s="2534"/>
      <c r="M67" s="2534"/>
      <c r="N67" s="2534"/>
      <c r="O67" s="2534"/>
    </row>
    <row r="68" spans="1:15">
      <c r="A68" s="1650" t="s">
        <v>1166</v>
      </c>
      <c r="B68" s="1505">
        <v>340</v>
      </c>
      <c r="C68" s="1505">
        <v>3400</v>
      </c>
      <c r="D68" s="1506" t="s">
        <v>849</v>
      </c>
      <c r="E68" s="1514">
        <f>'SCH B-2.1'!I67</f>
        <v>2258588</v>
      </c>
      <c r="F68" s="1592"/>
      <c r="G68" s="1543">
        <v>0</v>
      </c>
      <c r="H68" s="2543">
        <v>1</v>
      </c>
      <c r="I68" s="1671">
        <f t="shared" ref="I68:I81" si="2">ROUND((G68*H68),0)</f>
        <v>0</v>
      </c>
      <c r="J68" s="2544"/>
      <c r="K68" s="1671">
        <f t="shared" ref="K68:K81" si="3">I68+J68</f>
        <v>0</v>
      </c>
      <c r="L68" s="2534"/>
      <c r="M68" s="2534"/>
      <c r="N68" s="2534"/>
      <c r="O68" s="2534"/>
    </row>
    <row r="69" spans="1:15">
      <c r="A69" s="1650" t="s">
        <v>1167</v>
      </c>
      <c r="B69" s="1505">
        <v>340</v>
      </c>
      <c r="C69" s="1505">
        <v>3401</v>
      </c>
      <c r="D69" s="1506" t="s">
        <v>1168</v>
      </c>
      <c r="E69" s="1514">
        <f>'SCH B-2.1'!I68</f>
        <v>651684</v>
      </c>
      <c r="F69" s="1592"/>
      <c r="G69" s="1543">
        <v>292822</v>
      </c>
      <c r="H69" s="2543">
        <v>1</v>
      </c>
      <c r="I69" s="1671">
        <f t="shared" si="2"/>
        <v>292822</v>
      </c>
      <c r="J69" s="1671"/>
      <c r="K69" s="1671">
        <f t="shared" si="3"/>
        <v>292822</v>
      </c>
      <c r="L69" s="2534"/>
      <c r="M69" s="2534"/>
      <c r="N69" s="2534"/>
      <c r="O69" s="2534"/>
    </row>
    <row r="70" spans="1:15">
      <c r="A70" s="1650" t="s">
        <v>1169</v>
      </c>
      <c r="B70" s="1505">
        <v>341</v>
      </c>
      <c r="C70" s="1505">
        <v>3410</v>
      </c>
      <c r="D70" s="1506" t="s">
        <v>1170</v>
      </c>
      <c r="E70" s="1514">
        <f>'SCH B-2.1'!I69</f>
        <v>32162550</v>
      </c>
      <c r="F70" s="1592"/>
      <c r="G70" s="1543">
        <v>22159093</v>
      </c>
      <c r="H70" s="2543">
        <v>1</v>
      </c>
      <c r="I70" s="1671">
        <f t="shared" si="2"/>
        <v>22159093</v>
      </c>
      <c r="J70" s="1671"/>
      <c r="K70" s="1671">
        <f t="shared" si="3"/>
        <v>22159093</v>
      </c>
      <c r="L70" s="2534"/>
      <c r="M70" s="2534"/>
      <c r="N70" s="2534"/>
      <c r="O70" s="2534"/>
    </row>
    <row r="71" spans="1:15">
      <c r="A71" s="1650" t="s">
        <v>1171</v>
      </c>
      <c r="B71" s="1505">
        <v>341</v>
      </c>
      <c r="C71" s="1505">
        <v>3410</v>
      </c>
      <c r="D71" s="1506" t="s">
        <v>3337</v>
      </c>
      <c r="E71" s="1514">
        <f>'SCH B-2.1'!I70</f>
        <v>3958749</v>
      </c>
      <c r="F71" s="1593"/>
      <c r="G71" s="1543">
        <v>2207152</v>
      </c>
      <c r="H71" s="2543">
        <v>1</v>
      </c>
      <c r="I71" s="1671">
        <f t="shared" si="2"/>
        <v>2207152</v>
      </c>
      <c r="J71" s="1671"/>
      <c r="K71" s="1671">
        <f t="shared" si="3"/>
        <v>2207152</v>
      </c>
      <c r="L71" s="2534"/>
      <c r="M71" s="2534"/>
      <c r="N71" s="2534"/>
      <c r="O71" s="2534"/>
    </row>
    <row r="72" spans="1:15">
      <c r="A72" s="1650" t="s">
        <v>977</v>
      </c>
      <c r="B72" s="1505">
        <v>342</v>
      </c>
      <c r="C72" s="1505">
        <v>3420</v>
      </c>
      <c r="D72" s="1506" t="s">
        <v>341</v>
      </c>
      <c r="E72" s="1514">
        <f>'SCH B-2.1'!I71</f>
        <v>15756166</v>
      </c>
      <c r="F72" s="1593"/>
      <c r="G72" s="1543">
        <v>11703808</v>
      </c>
      <c r="H72" s="2543">
        <v>1</v>
      </c>
      <c r="I72" s="1671">
        <f t="shared" si="2"/>
        <v>11703808</v>
      </c>
      <c r="J72" s="1671"/>
      <c r="K72" s="1671">
        <f t="shared" si="3"/>
        <v>11703808</v>
      </c>
      <c r="L72" s="2534"/>
      <c r="M72" s="2534"/>
      <c r="N72" s="2534"/>
      <c r="O72" s="2534"/>
    </row>
    <row r="73" spans="1:15">
      <c r="A73" s="1650" t="s">
        <v>1596</v>
      </c>
      <c r="B73" s="1505">
        <v>344</v>
      </c>
      <c r="C73" s="1505">
        <v>3440</v>
      </c>
      <c r="D73" s="1506" t="s">
        <v>1717</v>
      </c>
      <c r="E73" s="1514">
        <f>'SCH B-2.1'!I72</f>
        <v>205583571</v>
      </c>
      <c r="F73" s="1592"/>
      <c r="G73" s="1543">
        <v>109853986</v>
      </c>
      <c r="H73" s="2543">
        <v>1</v>
      </c>
      <c r="I73" s="1671">
        <f t="shared" si="2"/>
        <v>109853986</v>
      </c>
      <c r="J73" s="1671"/>
      <c r="K73" s="1671">
        <f t="shared" si="3"/>
        <v>109853986</v>
      </c>
      <c r="L73" s="2534"/>
      <c r="M73" s="2534"/>
      <c r="N73" s="2534"/>
      <c r="O73" s="2534"/>
    </row>
    <row r="74" spans="1:15">
      <c r="A74" s="1650" t="s">
        <v>978</v>
      </c>
      <c r="B74" s="1505">
        <v>344</v>
      </c>
      <c r="C74" s="1505">
        <v>3440</v>
      </c>
      <c r="D74" s="1506" t="s">
        <v>3338</v>
      </c>
      <c r="E74" s="1514">
        <f>'SCH B-2.1'!I73</f>
        <v>10451088</v>
      </c>
      <c r="F74" s="1592"/>
      <c r="G74" s="1543">
        <v>7176915</v>
      </c>
      <c r="H74" s="2543">
        <v>1</v>
      </c>
      <c r="I74" s="1671">
        <f t="shared" si="2"/>
        <v>7176915</v>
      </c>
      <c r="J74" s="1671"/>
      <c r="K74" s="1671">
        <f t="shared" si="3"/>
        <v>7176915</v>
      </c>
      <c r="L74" s="2534"/>
      <c r="M74" s="2534"/>
      <c r="N74" s="2534"/>
      <c r="O74" s="2534"/>
    </row>
    <row r="75" spans="1:15">
      <c r="A75" s="1650" t="s">
        <v>979</v>
      </c>
      <c r="B75" s="1505">
        <v>344</v>
      </c>
      <c r="C75" s="1505" t="s">
        <v>2707</v>
      </c>
      <c r="D75" s="1506" t="s">
        <v>1717</v>
      </c>
      <c r="E75" s="1514">
        <f>'SCH B-2.1'!I74</f>
        <v>122710</v>
      </c>
      <c r="F75" s="1592"/>
      <c r="G75" s="1543">
        <v>0</v>
      </c>
      <c r="H75" s="2543">
        <v>1</v>
      </c>
      <c r="I75" s="1671">
        <f t="shared" si="2"/>
        <v>0</v>
      </c>
      <c r="J75" s="1671"/>
      <c r="K75" s="1671">
        <f t="shared" si="3"/>
        <v>0</v>
      </c>
      <c r="L75" s="2534"/>
      <c r="M75" s="2534"/>
      <c r="N75" s="2534"/>
      <c r="O75" s="2534"/>
    </row>
    <row r="76" spans="1:15">
      <c r="A76" s="1650" t="s">
        <v>980</v>
      </c>
      <c r="B76" s="1505">
        <v>345</v>
      </c>
      <c r="C76" s="1505">
        <v>3450</v>
      </c>
      <c r="D76" s="1506" t="s">
        <v>337</v>
      </c>
      <c r="E76" s="1514">
        <f>'SCH B-2.1'!I75</f>
        <v>20983988</v>
      </c>
      <c r="F76" s="1592"/>
      <c r="G76" s="1543">
        <v>10896188</v>
      </c>
      <c r="H76" s="2543">
        <v>1</v>
      </c>
      <c r="I76" s="1671">
        <f t="shared" si="2"/>
        <v>10896188</v>
      </c>
      <c r="J76" s="1671"/>
      <c r="K76" s="1671">
        <f t="shared" si="3"/>
        <v>10896188</v>
      </c>
      <c r="L76" s="2534"/>
      <c r="M76" s="2534"/>
      <c r="N76" s="2534"/>
      <c r="O76" s="2534"/>
    </row>
    <row r="77" spans="1:15">
      <c r="A77" s="1650" t="s">
        <v>850</v>
      </c>
      <c r="B77" s="1505">
        <v>345</v>
      </c>
      <c r="C77" s="1505">
        <v>3450</v>
      </c>
      <c r="D77" s="1506" t="s">
        <v>3339</v>
      </c>
      <c r="E77" s="1514">
        <f>'SCH B-2.1'!I76</f>
        <v>582196</v>
      </c>
      <c r="F77" s="1592"/>
      <c r="G77" s="1543">
        <v>320693</v>
      </c>
      <c r="H77" s="2543">
        <v>1</v>
      </c>
      <c r="I77" s="1671">
        <f t="shared" si="2"/>
        <v>320693</v>
      </c>
      <c r="J77" s="1671"/>
      <c r="K77" s="1671">
        <f t="shared" si="3"/>
        <v>320693</v>
      </c>
      <c r="L77" s="2534"/>
      <c r="M77" s="2534"/>
      <c r="N77" s="2534"/>
      <c r="O77" s="2534"/>
    </row>
    <row r="78" spans="1:15">
      <c r="A78" s="1650" t="s">
        <v>851</v>
      </c>
      <c r="B78" s="1505">
        <v>346</v>
      </c>
      <c r="C78" s="1505">
        <v>3460</v>
      </c>
      <c r="D78" s="1506" t="s">
        <v>1718</v>
      </c>
      <c r="E78" s="1514">
        <f>'SCH B-2.1'!I77</f>
        <v>3933098</v>
      </c>
      <c r="F78" s="1592"/>
      <c r="G78" s="1543">
        <v>2279912</v>
      </c>
      <c r="H78" s="2543">
        <v>1</v>
      </c>
      <c r="I78" s="1671">
        <f t="shared" si="2"/>
        <v>2279912</v>
      </c>
      <c r="J78" s="1671"/>
      <c r="K78" s="1671">
        <f t="shared" si="3"/>
        <v>2279912</v>
      </c>
      <c r="L78" s="2534"/>
      <c r="M78" s="2534"/>
      <c r="N78" s="2534"/>
      <c r="O78" s="2534"/>
    </row>
    <row r="79" spans="1:15">
      <c r="A79" s="1650" t="s">
        <v>852</v>
      </c>
      <c r="B79" s="1505">
        <v>346</v>
      </c>
      <c r="C79" s="1505">
        <v>3460</v>
      </c>
      <c r="D79" s="1506" t="s">
        <v>3340</v>
      </c>
      <c r="E79" s="1514">
        <f>'SCH B-2.1'!I78</f>
        <v>601418</v>
      </c>
      <c r="F79" s="1592"/>
      <c r="G79" s="1543">
        <v>357508</v>
      </c>
      <c r="H79" s="2543">
        <v>1</v>
      </c>
      <c r="I79" s="1671">
        <f t="shared" si="2"/>
        <v>357508</v>
      </c>
      <c r="J79" s="1671"/>
      <c r="K79" s="1671">
        <f t="shared" si="3"/>
        <v>357508</v>
      </c>
      <c r="L79" s="2534"/>
      <c r="M79" s="2534"/>
      <c r="N79" s="2534"/>
      <c r="O79" s="2534"/>
    </row>
    <row r="80" spans="1:15">
      <c r="A80" s="1650" t="s">
        <v>853</v>
      </c>
      <c r="B80" s="1505"/>
      <c r="C80" s="1505"/>
      <c r="D80" s="1506" t="s">
        <v>1483</v>
      </c>
      <c r="E80" s="1514">
        <f>'SCH B-2.1'!I79</f>
        <v>0</v>
      </c>
      <c r="F80" s="1592"/>
      <c r="G80" s="1543">
        <v>36659</v>
      </c>
      <c r="H80" s="2543">
        <v>1</v>
      </c>
      <c r="I80" s="1671">
        <f t="shared" si="2"/>
        <v>36659</v>
      </c>
      <c r="J80" s="1671"/>
      <c r="K80" s="1671">
        <f t="shared" si="3"/>
        <v>36659</v>
      </c>
      <c r="L80" s="2534"/>
      <c r="M80" s="2534"/>
      <c r="N80" s="2534"/>
      <c r="O80" s="2534"/>
    </row>
    <row r="81" spans="1:15">
      <c r="A81" s="1650" t="s">
        <v>854</v>
      </c>
      <c r="B81" s="123"/>
      <c r="C81" s="1650">
        <v>108</v>
      </c>
      <c r="D81" s="1506" t="s">
        <v>1329</v>
      </c>
      <c r="E81" s="1514"/>
      <c r="F81" s="1592"/>
      <c r="G81" s="1543">
        <v>2829059</v>
      </c>
      <c r="H81" s="2543">
        <v>1</v>
      </c>
      <c r="I81" s="1671">
        <f t="shared" si="2"/>
        <v>2829059</v>
      </c>
      <c r="J81" s="1671"/>
      <c r="K81" s="1671">
        <f t="shared" si="3"/>
        <v>2829059</v>
      </c>
      <c r="L81" s="2534"/>
      <c r="M81" s="2534"/>
      <c r="N81" s="2534"/>
      <c r="O81" s="2534"/>
    </row>
    <row r="82" spans="1:15">
      <c r="A82" s="123"/>
      <c r="B82" s="123"/>
      <c r="C82" s="123"/>
      <c r="D82" s="123"/>
      <c r="E82" s="123"/>
      <c r="F82" s="112"/>
      <c r="G82" s="2545"/>
      <c r="H82" s="1679"/>
      <c r="I82" s="1671"/>
      <c r="J82" s="1671"/>
      <c r="K82" s="1671"/>
      <c r="L82" s="2534"/>
      <c r="M82" s="2534"/>
      <c r="N82" s="2534"/>
      <c r="O82" s="2534"/>
    </row>
    <row r="83" spans="1:15">
      <c r="A83" s="123"/>
      <c r="B83" s="123"/>
      <c r="C83" s="123"/>
      <c r="D83" s="123"/>
      <c r="E83" s="123"/>
      <c r="F83" s="1659"/>
      <c r="G83" s="123"/>
      <c r="H83" s="2536"/>
      <c r="I83" s="123"/>
      <c r="J83" s="123"/>
      <c r="K83" s="123"/>
      <c r="L83" s="2534"/>
      <c r="M83" s="2534"/>
      <c r="N83" s="2534"/>
      <c r="O83" s="2534"/>
    </row>
    <row r="84" spans="1:15">
      <c r="A84" s="2724"/>
      <c r="B84" s="2724"/>
      <c r="C84" s="2724"/>
      <c r="D84" s="2724"/>
      <c r="E84" s="2724"/>
      <c r="F84" s="107"/>
      <c r="G84" s="2724"/>
      <c r="H84" s="2726"/>
      <c r="I84" s="2724"/>
      <c r="J84" s="2724"/>
      <c r="K84" s="2724"/>
      <c r="L84" s="2534"/>
      <c r="M84" s="2534"/>
      <c r="N84" s="2534"/>
      <c r="O84" s="2534"/>
    </row>
    <row r="85" spans="1:15">
      <c r="A85" s="1650">
        <v>15</v>
      </c>
      <c r="B85" s="123"/>
      <c r="C85" s="123"/>
      <c r="D85" s="121" t="s">
        <v>778</v>
      </c>
      <c r="E85" s="1514">
        <f>SUM(E68:E84)</f>
        <v>297045806</v>
      </c>
      <c r="F85" s="1592"/>
      <c r="G85" s="1514">
        <f>SUM(G68:G84)</f>
        <v>170113795</v>
      </c>
      <c r="H85" s="1679"/>
      <c r="I85" s="1514">
        <f>SUM(I68:I84)</f>
        <v>170113795</v>
      </c>
      <c r="J85" s="1514">
        <f>SUM(J68:J84)</f>
        <v>0</v>
      </c>
      <c r="K85" s="1514">
        <f>SUM(K68:K84)</f>
        <v>170113795</v>
      </c>
      <c r="L85" s="2534"/>
      <c r="M85" s="2534"/>
      <c r="N85" s="2682" t="str">
        <f>IF(E85='SCH B-2.1'!I83,"BALANCED","ERROR")</f>
        <v>BALANCED</v>
      </c>
      <c r="O85" s="2534"/>
    </row>
    <row r="86" spans="1:15">
      <c r="A86" s="123"/>
      <c r="B86" s="123"/>
      <c r="C86" s="123"/>
      <c r="D86" s="123"/>
      <c r="E86" s="123"/>
      <c r="F86" s="1659"/>
      <c r="G86" s="1671"/>
      <c r="H86" s="1679"/>
      <c r="I86" s="1671"/>
      <c r="J86" s="1671"/>
      <c r="K86" s="1671"/>
      <c r="L86" s="2534"/>
      <c r="M86" s="2534"/>
      <c r="N86" s="2534"/>
      <c r="O86" s="2534"/>
    </row>
    <row r="87" spans="1:15">
      <c r="A87" s="2724"/>
      <c r="B87" s="2724"/>
      <c r="C87" s="2724"/>
      <c r="D87" s="2724"/>
      <c r="E87" s="2724"/>
      <c r="F87" s="107"/>
      <c r="G87" s="2724"/>
      <c r="H87" s="2726"/>
      <c r="I87" s="2724"/>
      <c r="J87" s="2724"/>
      <c r="K87" s="2724"/>
      <c r="L87" s="2534"/>
      <c r="M87" s="2534"/>
      <c r="N87" s="2534"/>
      <c r="O87" s="2534"/>
    </row>
    <row r="88" spans="1:15">
      <c r="A88" s="1644" t="s">
        <v>1668</v>
      </c>
      <c r="B88" s="107"/>
      <c r="C88" s="107"/>
      <c r="D88" s="107"/>
      <c r="E88" s="107"/>
      <c r="F88" s="107"/>
      <c r="G88" s="107"/>
      <c r="H88" s="1367"/>
      <c r="I88" s="107"/>
      <c r="J88" s="107"/>
      <c r="K88" s="107"/>
      <c r="L88" s="2534"/>
      <c r="M88" s="2534"/>
      <c r="N88" s="2534"/>
      <c r="O88" s="2534"/>
    </row>
    <row r="89" spans="1:15">
      <c r="A89" s="107"/>
      <c r="B89" s="107"/>
      <c r="C89" s="107"/>
      <c r="D89" s="107"/>
      <c r="E89" s="107"/>
      <c r="F89" s="107"/>
      <c r="G89" s="107"/>
      <c r="H89" s="1367"/>
      <c r="I89" s="107"/>
      <c r="J89" s="107"/>
      <c r="K89" s="107"/>
      <c r="L89" s="2534"/>
      <c r="M89" s="2534"/>
      <c r="N89" s="2534"/>
      <c r="O89" s="2534"/>
    </row>
    <row r="90" spans="1:15">
      <c r="A90" s="1654" t="str">
        <f>A1</f>
        <v>DUKE ENERGY KENTUCKY, INC.</v>
      </c>
      <c r="B90" s="120"/>
      <c r="C90" s="120"/>
      <c r="D90" s="120"/>
      <c r="E90" s="120"/>
      <c r="F90" s="120"/>
      <c r="G90" s="120"/>
      <c r="H90" s="1368"/>
      <c r="I90" s="120"/>
      <c r="J90" s="120"/>
      <c r="K90" s="120"/>
      <c r="L90" s="2534"/>
      <c r="M90" s="2534"/>
      <c r="N90" s="2534"/>
      <c r="O90" s="2534"/>
    </row>
    <row r="91" spans="1:15">
      <c r="A91" s="1654" t="str">
        <f>A2</f>
        <v>CASE NO. 2017-00321</v>
      </c>
      <c r="B91" s="120"/>
      <c r="C91" s="120"/>
      <c r="D91" s="120"/>
      <c r="E91" s="120"/>
      <c r="F91" s="120"/>
      <c r="G91" s="120"/>
      <c r="H91" s="1368"/>
      <c r="I91" s="120"/>
      <c r="J91" s="120"/>
      <c r="K91" s="120"/>
      <c r="L91" s="2534"/>
      <c r="M91" s="2534"/>
      <c r="N91" s="2534"/>
      <c r="O91" s="2534"/>
    </row>
    <row r="92" spans="1:15">
      <c r="A92" s="1654" t="str">
        <f>A3</f>
        <v>ACCUMULATED DEPRECIATION AND AMORTIZATION</v>
      </c>
      <c r="B92" s="1655"/>
      <c r="C92" s="1655"/>
      <c r="D92" s="1654"/>
      <c r="E92" s="1654"/>
      <c r="F92" s="2546"/>
      <c r="G92" s="1655"/>
      <c r="H92" s="2535"/>
      <c r="I92" s="1655"/>
      <c r="J92" s="1655"/>
      <c r="K92" s="1655"/>
      <c r="L92" s="2534"/>
      <c r="M92" s="2534"/>
      <c r="N92" s="2534"/>
      <c r="O92" s="2534"/>
    </row>
    <row r="93" spans="1:15">
      <c r="A93" s="76" t="str">
        <f>"AS OF " &amp;RIGHT(TESTYR,(LEN(TESTYR)-16))</f>
        <v>AS OF NOVEMBER 30, 2017</v>
      </c>
      <c r="B93" s="1655"/>
      <c r="C93" s="1655"/>
      <c r="D93" s="1654"/>
      <c r="E93" s="1654"/>
      <c r="F93" s="2546"/>
      <c r="G93" s="1655"/>
      <c r="H93" s="2535"/>
      <c r="I93" s="1655"/>
      <c r="J93" s="1655"/>
      <c r="K93" s="1655"/>
      <c r="L93" s="2534"/>
      <c r="M93" s="2534"/>
      <c r="N93" s="2534"/>
      <c r="O93" s="2534"/>
    </row>
    <row r="94" spans="1:15">
      <c r="A94" s="1655"/>
      <c r="B94" s="1655"/>
      <c r="C94" s="1655"/>
      <c r="D94" s="1655"/>
      <c r="E94" s="1655"/>
      <c r="F94" s="2547"/>
      <c r="G94" s="1655"/>
      <c r="H94" s="2535"/>
      <c r="I94" s="1655"/>
      <c r="J94" s="1655"/>
      <c r="K94" s="1655"/>
      <c r="L94" s="2534"/>
      <c r="M94" s="2534"/>
      <c r="N94" s="2534"/>
      <c r="O94" s="2534"/>
    </row>
    <row r="95" spans="1:15">
      <c r="A95" s="1654" t="s">
        <v>1447</v>
      </c>
      <c r="B95" s="1655"/>
      <c r="C95" s="1655"/>
      <c r="D95" s="1654"/>
      <c r="E95" s="1654"/>
      <c r="F95" s="2546"/>
      <c r="G95" s="1655"/>
      <c r="H95" s="2535"/>
      <c r="I95" s="1655"/>
      <c r="J95" s="1655"/>
      <c r="K95" s="1655"/>
      <c r="L95" s="2534"/>
      <c r="M95" s="2534"/>
      <c r="N95" s="2534"/>
      <c r="O95" s="2534"/>
    </row>
    <row r="96" spans="1:15">
      <c r="A96" s="1657" t="s">
        <v>1799</v>
      </c>
      <c r="B96" s="1655"/>
      <c r="C96" s="1655"/>
      <c r="D96" s="1654"/>
      <c r="E96" s="1654"/>
      <c r="F96" s="2546"/>
      <c r="G96" s="1655"/>
      <c r="H96" s="2535"/>
      <c r="I96" s="1655"/>
      <c r="J96" s="1655"/>
      <c r="K96" s="1655"/>
      <c r="L96" s="2534"/>
      <c r="M96" s="2534"/>
      <c r="N96" s="2534"/>
      <c r="O96" s="2534"/>
    </row>
    <row r="97" spans="1:15">
      <c r="A97" s="1656"/>
      <c r="B97" s="123"/>
      <c r="C97" s="123"/>
      <c r="D97" s="123"/>
      <c r="E97" s="123"/>
      <c r="F97" s="112"/>
      <c r="G97" s="123"/>
      <c r="H97" s="2536"/>
      <c r="I97" s="123"/>
      <c r="J97" s="123"/>
      <c r="K97" s="123"/>
      <c r="L97" s="2534"/>
      <c r="M97" s="2534"/>
      <c r="N97" s="2534"/>
      <c r="O97" s="2534"/>
    </row>
    <row r="98" spans="1:15">
      <c r="A98" s="1656"/>
      <c r="B98" s="123"/>
      <c r="C98" s="123"/>
      <c r="D98" s="123"/>
      <c r="E98" s="123"/>
      <c r="F98" s="112"/>
      <c r="G98" s="123"/>
      <c r="H98" s="2536"/>
      <c r="I98" s="123"/>
      <c r="J98" s="121"/>
      <c r="K98" s="123"/>
      <c r="L98" s="2534"/>
      <c r="M98" s="2534"/>
      <c r="N98" s="2534"/>
      <c r="O98" s="2534"/>
    </row>
    <row r="99" spans="1:15">
      <c r="A99" s="121" t="str">
        <f>Data</f>
        <v>DATA: "X" BASE PERIOD   FORECASTED PERIOD</v>
      </c>
      <c r="B99" s="123"/>
      <c r="C99" s="123"/>
      <c r="D99" s="123"/>
      <c r="E99" s="123"/>
      <c r="F99" s="112"/>
      <c r="G99" s="123"/>
      <c r="H99" s="2536"/>
      <c r="I99" s="123"/>
      <c r="J99" s="1658" t="s">
        <v>1327</v>
      </c>
      <c r="K99" s="123"/>
      <c r="L99" s="2534"/>
      <c r="M99" s="2534"/>
      <c r="N99" s="2534"/>
      <c r="O99" s="2534"/>
    </row>
    <row r="100" spans="1:15">
      <c r="A100" s="121" t="str">
        <f>Type</f>
        <v xml:space="preserve">TYPE OF FILING:  "X" ORIGINAL   UPDATED    REVISED  </v>
      </c>
      <c r="B100" s="123"/>
      <c r="C100" s="123"/>
      <c r="D100" s="123"/>
      <c r="E100" s="123"/>
      <c r="F100" s="112"/>
      <c r="G100" s="123"/>
      <c r="H100" s="2536"/>
      <c r="I100" s="123"/>
      <c r="J100" s="1658" t="s">
        <v>1909</v>
      </c>
      <c r="K100" s="123"/>
      <c r="L100" s="2534"/>
      <c r="M100" s="2534"/>
      <c r="N100" s="2534"/>
      <c r="O100" s="2534"/>
    </row>
    <row r="101" spans="1:15">
      <c r="A101" s="121" t="str">
        <f>A12</f>
        <v>WORK PAPER REFERENCE NO(S).: SCHEDULE B-2.1, SCHEDULE B-3.1</v>
      </c>
      <c r="B101" s="123"/>
      <c r="C101" s="123"/>
      <c r="D101" s="123"/>
      <c r="E101" s="123"/>
      <c r="F101" s="112"/>
      <c r="G101" s="123"/>
      <c r="H101" s="2536"/>
      <c r="I101" s="123"/>
      <c r="J101" s="1658" t="s">
        <v>622</v>
      </c>
      <c r="K101" s="123"/>
      <c r="L101" s="2534"/>
      <c r="M101" s="2534"/>
      <c r="N101" s="2534"/>
      <c r="O101" s="2534"/>
    </row>
    <row r="102" spans="1:15">
      <c r="A102" s="123"/>
      <c r="B102" s="123"/>
      <c r="C102" s="123"/>
      <c r="D102" s="123"/>
      <c r="E102" s="123"/>
      <c r="F102" s="112"/>
      <c r="G102" s="123"/>
      <c r="H102" s="2536"/>
      <c r="I102" s="123"/>
      <c r="J102" s="2515" t="str">
        <f>_WIT7</f>
        <v>R. H. PRATT / C. S. LEE</v>
      </c>
      <c r="K102" s="123"/>
      <c r="L102" s="2534"/>
      <c r="M102" s="2534"/>
      <c r="N102" s="2534"/>
      <c r="O102" s="2534"/>
    </row>
    <row r="103" spans="1:15">
      <c r="A103" s="123"/>
      <c r="B103" s="123"/>
      <c r="C103" s="123"/>
      <c r="D103" s="123"/>
      <c r="E103" s="123"/>
      <c r="F103" s="112"/>
      <c r="G103" s="123"/>
      <c r="H103" s="2536"/>
      <c r="I103" s="123"/>
      <c r="J103" s="123"/>
      <c r="K103" s="123"/>
      <c r="L103" s="2534"/>
      <c r="M103" s="2534"/>
      <c r="N103" s="2534"/>
      <c r="O103" s="2534"/>
    </row>
    <row r="104" spans="1:15">
      <c r="A104" s="123"/>
      <c r="B104" s="123"/>
      <c r="C104" s="123"/>
      <c r="D104" s="123"/>
      <c r="E104" s="123"/>
      <c r="F104" s="1659"/>
      <c r="G104" s="123"/>
      <c r="H104" s="2536"/>
      <c r="I104" s="123"/>
      <c r="J104" s="123"/>
      <c r="K104" s="123"/>
      <c r="L104" s="2534"/>
      <c r="M104" s="2534"/>
      <c r="N104" s="2534"/>
      <c r="O104" s="2534"/>
    </row>
    <row r="105" spans="1:15">
      <c r="A105" s="2522"/>
      <c r="B105" s="2730"/>
      <c r="C105" s="2729" t="s">
        <v>1799</v>
      </c>
      <c r="D105" s="2522"/>
      <c r="E105" s="2521" t="str">
        <f>E16</f>
        <v>Base</v>
      </c>
      <c r="F105" s="109"/>
      <c r="G105" s="2522"/>
      <c r="H105" s="2732"/>
      <c r="I105" s="2522"/>
      <c r="J105" s="2522"/>
      <c r="K105" s="2522"/>
      <c r="L105" s="2534"/>
      <c r="M105" s="2534"/>
      <c r="N105" s="2534"/>
      <c r="O105" s="2534"/>
    </row>
    <row r="106" spans="1:15">
      <c r="A106" s="112"/>
      <c r="B106" s="108" t="s">
        <v>943</v>
      </c>
      <c r="C106" s="108" t="s">
        <v>1750</v>
      </c>
      <c r="D106" s="112"/>
      <c r="E106" s="109" t="str">
        <f>E17</f>
        <v>Period</v>
      </c>
      <c r="F106" s="109"/>
      <c r="G106" s="113" t="str">
        <f>G17</f>
        <v>Base Period Accumulated Balances</v>
      </c>
      <c r="H106" s="114"/>
      <c r="I106" s="114"/>
      <c r="J106" s="114"/>
      <c r="K106" s="114"/>
      <c r="L106" s="2534"/>
      <c r="M106" s="2534"/>
      <c r="N106" s="2534"/>
      <c r="O106" s="2534"/>
    </row>
    <row r="107" spans="1:15">
      <c r="A107" s="1650" t="s">
        <v>1240</v>
      </c>
      <c r="B107" s="1650" t="s">
        <v>1164</v>
      </c>
      <c r="C107" s="1650" t="s">
        <v>1164</v>
      </c>
      <c r="D107" s="123"/>
      <c r="E107" s="2537" t="str">
        <f>E18</f>
        <v>Total</v>
      </c>
      <c r="F107" s="109"/>
      <c r="G107" s="1650" t="s">
        <v>1929</v>
      </c>
      <c r="H107" s="2538" t="s">
        <v>450</v>
      </c>
      <c r="I107" s="1650" t="s">
        <v>1669</v>
      </c>
      <c r="J107" s="123"/>
      <c r="K107" s="1650" t="s">
        <v>574</v>
      </c>
      <c r="L107" s="2534"/>
      <c r="M107" s="2534"/>
      <c r="N107" s="2534"/>
      <c r="O107" s="2534"/>
    </row>
    <row r="108" spans="1:15">
      <c r="A108" s="1650" t="s">
        <v>1241</v>
      </c>
      <c r="B108" s="1650" t="s">
        <v>1241</v>
      </c>
      <c r="C108" s="1650" t="s">
        <v>1241</v>
      </c>
      <c r="D108" s="1650" t="s">
        <v>1165</v>
      </c>
      <c r="E108" s="2540" t="str">
        <f>E19</f>
        <v>Company (1)</v>
      </c>
      <c r="F108" s="2539"/>
      <c r="G108" s="2539" t="s">
        <v>1750</v>
      </c>
      <c r="H108" s="2541" t="s">
        <v>363</v>
      </c>
      <c r="I108" s="2539" t="s">
        <v>1929</v>
      </c>
      <c r="J108" s="2539" t="s">
        <v>573</v>
      </c>
      <c r="K108" s="2539" t="s">
        <v>1449</v>
      </c>
      <c r="L108" s="2534"/>
      <c r="M108" s="2534"/>
      <c r="N108" s="2534"/>
      <c r="O108" s="2534"/>
    </row>
    <row r="109" spans="1:15">
      <c r="A109" s="2724"/>
      <c r="B109" s="2724"/>
      <c r="C109" s="2724"/>
      <c r="D109" s="2724"/>
      <c r="E109" s="2724"/>
      <c r="F109" s="107"/>
      <c r="G109" s="1650" t="s">
        <v>1705</v>
      </c>
      <c r="H109" s="2536"/>
      <c r="I109" s="1650" t="s">
        <v>1705</v>
      </c>
      <c r="J109" s="1650" t="s">
        <v>1705</v>
      </c>
      <c r="K109" s="1650" t="s">
        <v>1705</v>
      </c>
      <c r="L109" s="2534"/>
      <c r="M109" s="2534"/>
      <c r="N109" s="2534"/>
      <c r="O109" s="2534"/>
    </row>
    <row r="110" spans="1:15">
      <c r="A110" s="1650" t="s">
        <v>529</v>
      </c>
      <c r="B110" s="123"/>
      <c r="C110" s="123"/>
      <c r="D110" s="123"/>
      <c r="E110" s="123"/>
      <c r="F110" s="112"/>
      <c r="G110" s="2534"/>
      <c r="H110" s="2548"/>
      <c r="I110" s="2534"/>
      <c r="J110" s="2534"/>
      <c r="K110" s="2534"/>
      <c r="L110" s="2534"/>
      <c r="M110" s="2534"/>
      <c r="N110" s="2534"/>
      <c r="O110" s="2534"/>
    </row>
    <row r="111" spans="1:15">
      <c r="A111" s="1650">
        <v>1</v>
      </c>
      <c r="B111" s="321">
        <v>350</v>
      </c>
      <c r="C111" s="321">
        <v>3500</v>
      </c>
      <c r="D111" s="315" t="s">
        <v>1595</v>
      </c>
      <c r="E111" s="1514">
        <f>'SCH B-2.1'!I108</f>
        <v>246667</v>
      </c>
      <c r="F111" s="1592"/>
      <c r="G111" s="1543">
        <v>0</v>
      </c>
      <c r="H111" s="2543">
        <v>1</v>
      </c>
      <c r="I111" s="1514">
        <f t="shared" ref="I111:I122" si="4">ROUND((G111*H111),0)</f>
        <v>0</v>
      </c>
      <c r="J111" s="1514"/>
      <c r="K111" s="1514">
        <f t="shared" ref="K111:K122" si="5">I111+J111</f>
        <v>0</v>
      </c>
      <c r="L111" s="2534"/>
      <c r="M111" s="2534"/>
      <c r="N111" s="2534"/>
      <c r="O111" s="2534"/>
    </row>
    <row r="112" spans="1:15">
      <c r="A112" s="1650">
        <v>2</v>
      </c>
      <c r="B112" s="321">
        <v>350</v>
      </c>
      <c r="C112" s="321">
        <v>3501</v>
      </c>
      <c r="D112" s="315" t="s">
        <v>1168</v>
      </c>
      <c r="E112" s="1514">
        <f>'SCH B-2.1'!I109</f>
        <v>1092199</v>
      </c>
      <c r="F112" s="1592"/>
      <c r="G112" s="1543">
        <v>658984</v>
      </c>
      <c r="H112" s="2543">
        <v>1</v>
      </c>
      <c r="I112" s="1514">
        <f t="shared" si="4"/>
        <v>658984</v>
      </c>
      <c r="J112" s="1514"/>
      <c r="K112" s="1514">
        <f t="shared" si="5"/>
        <v>658984</v>
      </c>
      <c r="L112" s="2534"/>
      <c r="M112" s="2534"/>
      <c r="N112" s="2534"/>
      <c r="O112" s="2534"/>
    </row>
    <row r="113" spans="1:15">
      <c r="A113" s="1650">
        <v>3</v>
      </c>
      <c r="B113" s="321">
        <v>352</v>
      </c>
      <c r="C113" s="321">
        <v>3520</v>
      </c>
      <c r="D113" s="315" t="s">
        <v>1170</v>
      </c>
      <c r="E113" s="1514">
        <f>'SCH B-2.1'!I110</f>
        <v>1470865</v>
      </c>
      <c r="F113" s="1593"/>
      <c r="G113" s="1543">
        <v>235905</v>
      </c>
      <c r="H113" s="2543">
        <v>1</v>
      </c>
      <c r="I113" s="1514">
        <f t="shared" si="4"/>
        <v>235905</v>
      </c>
      <c r="J113" s="1514"/>
      <c r="K113" s="1514">
        <f t="shared" si="5"/>
        <v>235905</v>
      </c>
      <c r="L113" s="2534"/>
      <c r="M113" s="2534"/>
      <c r="N113" s="2534"/>
      <c r="O113" s="2534"/>
    </row>
    <row r="114" spans="1:15" s="2554" customFormat="1">
      <c r="A114" s="2549">
        <v>4</v>
      </c>
      <c r="B114" s="321">
        <v>353</v>
      </c>
      <c r="C114" s="321">
        <v>3530</v>
      </c>
      <c r="D114" s="315" t="s">
        <v>1721</v>
      </c>
      <c r="E114" s="1514">
        <f>'SCH B-2.1'!I111</f>
        <v>17168426</v>
      </c>
      <c r="F114" s="2550"/>
      <c r="G114" s="1543">
        <v>4644354</v>
      </c>
      <c r="H114" s="2551">
        <v>1</v>
      </c>
      <c r="I114" s="1514">
        <f t="shared" si="4"/>
        <v>4644354</v>
      </c>
      <c r="J114" s="2552"/>
      <c r="K114" s="1514">
        <f t="shared" si="5"/>
        <v>4644354</v>
      </c>
      <c r="L114" s="2553"/>
      <c r="M114" s="2553"/>
      <c r="N114" s="2553"/>
      <c r="O114" s="2553"/>
    </row>
    <row r="115" spans="1:15" s="2554" customFormat="1">
      <c r="A115" s="1650">
        <v>5</v>
      </c>
      <c r="B115" s="321">
        <v>353</v>
      </c>
      <c r="C115" s="321">
        <v>3531</v>
      </c>
      <c r="D115" s="315" t="s">
        <v>2926</v>
      </c>
      <c r="E115" s="1514">
        <f>'SCH B-2.1'!I112</f>
        <v>9373634</v>
      </c>
      <c r="F115" s="2550"/>
      <c r="G115" s="1543">
        <v>3966296</v>
      </c>
      <c r="H115" s="2543">
        <v>1</v>
      </c>
      <c r="I115" s="1514">
        <f t="shared" si="4"/>
        <v>3966296</v>
      </c>
      <c r="J115" s="2552"/>
      <c r="K115" s="1514">
        <f t="shared" si="5"/>
        <v>3966296</v>
      </c>
      <c r="L115" s="2553"/>
      <c r="M115" s="2553"/>
      <c r="N115" s="2553"/>
      <c r="O115" s="2553"/>
    </row>
    <row r="116" spans="1:15" s="2554" customFormat="1">
      <c r="A116" s="1650">
        <v>6</v>
      </c>
      <c r="B116" s="321">
        <v>353</v>
      </c>
      <c r="C116" s="321">
        <v>3532</v>
      </c>
      <c r="D116" s="315" t="s">
        <v>2927</v>
      </c>
      <c r="E116" s="1514">
        <f>'SCH B-2.1'!I113</f>
        <v>5937978</v>
      </c>
      <c r="F116" s="2550"/>
      <c r="G116" s="1543">
        <v>1822505</v>
      </c>
      <c r="H116" s="2543">
        <v>1</v>
      </c>
      <c r="I116" s="1514">
        <f t="shared" si="4"/>
        <v>1822505</v>
      </c>
      <c r="J116" s="2552"/>
      <c r="K116" s="1514">
        <f t="shared" si="5"/>
        <v>1822505</v>
      </c>
      <c r="L116" s="2553"/>
      <c r="M116" s="2553"/>
      <c r="N116" s="2553"/>
      <c r="O116" s="2553"/>
    </row>
    <row r="117" spans="1:15" s="2554" customFormat="1">
      <c r="A117" s="1650">
        <v>7</v>
      </c>
      <c r="B117" s="321">
        <v>353</v>
      </c>
      <c r="C117" s="321">
        <v>3534</v>
      </c>
      <c r="D117" s="315" t="s">
        <v>2928</v>
      </c>
      <c r="E117" s="1514">
        <f>'SCH B-2.1'!I114</f>
        <v>7057290</v>
      </c>
      <c r="F117" s="2550"/>
      <c r="G117" s="1543">
        <v>911203</v>
      </c>
      <c r="H117" s="2543">
        <v>1</v>
      </c>
      <c r="I117" s="1514">
        <f t="shared" si="4"/>
        <v>911203</v>
      </c>
      <c r="J117" s="2552"/>
      <c r="K117" s="1514">
        <f t="shared" si="5"/>
        <v>911203</v>
      </c>
      <c r="L117" s="2553"/>
      <c r="M117" s="2553"/>
      <c r="N117" s="2553"/>
      <c r="O117" s="2553"/>
    </row>
    <row r="118" spans="1:15">
      <c r="A118" s="1650">
        <v>8</v>
      </c>
      <c r="B118" s="321">
        <v>355</v>
      </c>
      <c r="C118" s="321">
        <v>3550</v>
      </c>
      <c r="D118" s="315" t="s">
        <v>1722</v>
      </c>
      <c r="E118" s="1514">
        <f>'SCH B-2.1'!I115</f>
        <v>7529956</v>
      </c>
      <c r="F118" s="1593"/>
      <c r="G118" s="1543">
        <v>4025646</v>
      </c>
      <c r="H118" s="2543">
        <v>1</v>
      </c>
      <c r="I118" s="1514">
        <f t="shared" si="4"/>
        <v>4025646</v>
      </c>
      <c r="J118" s="2555"/>
      <c r="K118" s="1514">
        <f t="shared" si="5"/>
        <v>4025646</v>
      </c>
      <c r="L118" s="2534"/>
      <c r="M118" s="2534"/>
      <c r="N118" s="2534"/>
      <c r="O118" s="2534"/>
    </row>
    <row r="119" spans="1:15">
      <c r="A119" s="2549">
        <v>9</v>
      </c>
      <c r="B119" s="321">
        <v>356</v>
      </c>
      <c r="C119" s="321">
        <v>3560</v>
      </c>
      <c r="D119" s="315" t="s">
        <v>1723</v>
      </c>
      <c r="E119" s="1514">
        <f>'SCH B-2.1'!I116</f>
        <v>5841843</v>
      </c>
      <c r="F119" s="1593"/>
      <c r="G119" s="1543">
        <v>3596558</v>
      </c>
      <c r="H119" s="2543">
        <v>1</v>
      </c>
      <c r="I119" s="1514">
        <f t="shared" si="4"/>
        <v>3596558</v>
      </c>
      <c r="J119" s="1514"/>
      <c r="K119" s="1514">
        <f t="shared" si="5"/>
        <v>3596558</v>
      </c>
      <c r="L119" s="2534"/>
      <c r="M119" s="2534"/>
      <c r="N119" s="2534"/>
      <c r="O119" s="2534"/>
    </row>
    <row r="120" spans="1:15">
      <c r="A120" s="1650">
        <v>10</v>
      </c>
      <c r="B120" s="321">
        <v>356</v>
      </c>
      <c r="C120" s="321">
        <v>3561</v>
      </c>
      <c r="D120" s="315" t="s">
        <v>2751</v>
      </c>
      <c r="E120" s="1514">
        <f>'SCH B-2.1'!I117</f>
        <v>296574</v>
      </c>
      <c r="F120" s="1593"/>
      <c r="G120" s="1543">
        <v>6008</v>
      </c>
      <c r="H120" s="2543">
        <v>1</v>
      </c>
      <c r="I120" s="1514">
        <f t="shared" si="4"/>
        <v>6008</v>
      </c>
      <c r="J120" s="1514"/>
      <c r="K120" s="1514">
        <f t="shared" si="5"/>
        <v>6008</v>
      </c>
      <c r="L120" s="2534"/>
      <c r="M120" s="2534"/>
      <c r="N120" s="2534"/>
      <c r="O120" s="2534"/>
    </row>
    <row r="121" spans="1:15">
      <c r="A121" s="1650">
        <v>11</v>
      </c>
      <c r="B121" s="321"/>
      <c r="C121" s="321"/>
      <c r="D121" s="315" t="s">
        <v>1483</v>
      </c>
      <c r="E121" s="1514">
        <f>'SCH B-2.1'!I118</f>
        <v>5742038</v>
      </c>
      <c r="F121" s="1593"/>
      <c r="G121" s="1543">
        <v>35731</v>
      </c>
      <c r="H121" s="2543">
        <v>1</v>
      </c>
      <c r="I121" s="1514">
        <f t="shared" si="4"/>
        <v>35731</v>
      </c>
      <c r="J121" s="1514"/>
      <c r="K121" s="1514">
        <f t="shared" si="5"/>
        <v>35731</v>
      </c>
      <c r="L121" s="2534"/>
      <c r="M121" s="2534"/>
      <c r="N121" s="2534"/>
      <c r="O121" s="2534"/>
    </row>
    <row r="122" spans="1:15">
      <c r="A122" s="1650">
        <v>12</v>
      </c>
      <c r="B122" s="123"/>
      <c r="C122" s="1650">
        <v>108</v>
      </c>
      <c r="D122" s="121" t="s">
        <v>1329</v>
      </c>
      <c r="E122" s="1514"/>
      <c r="F122" s="1592"/>
      <c r="G122" s="1543">
        <v>-1213586</v>
      </c>
      <c r="H122" s="2543">
        <v>1</v>
      </c>
      <c r="I122" s="1671">
        <f t="shared" si="4"/>
        <v>-1213586</v>
      </c>
      <c r="J122" s="2556"/>
      <c r="K122" s="1671">
        <f t="shared" si="5"/>
        <v>-1213586</v>
      </c>
      <c r="L122" s="2534"/>
      <c r="M122" s="2534"/>
      <c r="N122" s="2534"/>
      <c r="O122" s="2534"/>
    </row>
    <row r="123" spans="1:15">
      <c r="A123" s="1650"/>
      <c r="B123" s="123"/>
      <c r="C123" s="1650"/>
      <c r="D123" s="121"/>
      <c r="E123" s="1514"/>
      <c r="F123" s="1592"/>
      <c r="G123" s="1514"/>
      <c r="H123" s="2543"/>
      <c r="I123" s="1671"/>
      <c r="J123" s="2556"/>
      <c r="K123" s="1671"/>
      <c r="L123" s="2534"/>
      <c r="M123" s="2534"/>
      <c r="N123" s="2534"/>
      <c r="O123" s="2534"/>
    </row>
    <row r="124" spans="1:15">
      <c r="A124" s="123"/>
      <c r="B124" s="123"/>
      <c r="C124" s="123"/>
      <c r="D124" s="123"/>
      <c r="E124" s="123"/>
      <c r="F124" s="1659"/>
      <c r="G124" s="1671"/>
      <c r="H124" s="1679"/>
      <c r="I124" s="1671"/>
      <c r="J124" s="1671"/>
      <c r="K124" s="1671"/>
      <c r="L124" s="2534"/>
      <c r="M124" s="2534"/>
      <c r="N124" s="2534"/>
      <c r="O124" s="2534"/>
    </row>
    <row r="125" spans="1:15">
      <c r="A125" s="2724"/>
      <c r="B125" s="2724"/>
      <c r="C125" s="2724"/>
      <c r="D125" s="2724"/>
      <c r="E125" s="2724"/>
      <c r="F125" s="107"/>
      <c r="G125" s="2722"/>
      <c r="H125" s="2723"/>
      <c r="I125" s="2722"/>
      <c r="J125" s="2722"/>
      <c r="K125" s="2722"/>
      <c r="L125" s="2534"/>
      <c r="M125" s="2534"/>
      <c r="N125" s="2534"/>
      <c r="O125" s="2534"/>
    </row>
    <row r="126" spans="1:15">
      <c r="A126" s="1650">
        <v>13</v>
      </c>
      <c r="B126" s="123"/>
      <c r="C126" s="123"/>
      <c r="D126" s="121" t="s">
        <v>1446</v>
      </c>
      <c r="E126" s="1671">
        <f>SUM(E111:E122)</f>
        <v>61757470</v>
      </c>
      <c r="F126" s="1592"/>
      <c r="G126" s="1671">
        <f>SUM(G111:G122)</f>
        <v>18689604</v>
      </c>
      <c r="H126" s="1679"/>
      <c r="I126" s="1671">
        <f>SUM(I111:I122)</f>
        <v>18689604</v>
      </c>
      <c r="J126" s="1671">
        <f>SUM(J111:J122)</f>
        <v>0</v>
      </c>
      <c r="K126" s="1671">
        <f>SUM(K111:K122)</f>
        <v>18689604</v>
      </c>
      <c r="L126" s="2534"/>
      <c r="M126" s="2534"/>
      <c r="N126" s="2682" t="str">
        <f>IF(E126='SCH B-2.1'!I122,"BALANCED","ERROR")</f>
        <v>BALANCED</v>
      </c>
      <c r="O126" s="2534"/>
    </row>
    <row r="127" spans="1:15">
      <c r="A127" s="123"/>
      <c r="B127" s="123"/>
      <c r="C127" s="123"/>
      <c r="D127" s="123"/>
      <c r="E127" s="123"/>
      <c r="F127" s="1659"/>
      <c r="G127" s="1671"/>
      <c r="H127" s="1679"/>
      <c r="I127" s="1671"/>
      <c r="J127" s="1671"/>
      <c r="K127" s="1671"/>
      <c r="L127" s="2534"/>
      <c r="M127" s="2534"/>
      <c r="N127" s="2534"/>
      <c r="O127" s="2534"/>
    </row>
    <row r="128" spans="1:15">
      <c r="A128" s="2724"/>
      <c r="B128" s="2724"/>
      <c r="C128" s="2724"/>
      <c r="D128" s="2724"/>
      <c r="E128" s="2724"/>
      <c r="F128" s="107"/>
      <c r="G128" s="2722"/>
      <c r="H128" s="2723"/>
      <c r="I128" s="2722"/>
      <c r="J128" s="2722"/>
      <c r="K128" s="2722"/>
      <c r="L128" s="2534"/>
      <c r="M128" s="2534"/>
      <c r="N128" s="2534"/>
      <c r="O128" s="2534"/>
    </row>
    <row r="129" spans="1:15">
      <c r="A129" s="1644" t="s">
        <v>1668</v>
      </c>
      <c r="B129" s="123"/>
      <c r="C129" s="123"/>
      <c r="D129" s="123"/>
      <c r="E129" s="123"/>
      <c r="F129" s="112"/>
      <c r="G129" s="1671"/>
      <c r="H129" s="1679"/>
      <c r="I129" s="1671"/>
      <c r="J129" s="1671"/>
      <c r="K129" s="1671"/>
      <c r="L129" s="2534"/>
      <c r="M129" s="2534"/>
      <c r="N129" s="2534"/>
      <c r="O129" s="2534"/>
    </row>
    <row r="130" spans="1:15">
      <c r="A130" s="123"/>
      <c r="B130" s="123"/>
      <c r="C130" s="123"/>
      <c r="D130" s="123"/>
      <c r="E130" s="123"/>
      <c r="F130" s="112"/>
      <c r="G130" s="1671"/>
      <c r="H130" s="1679"/>
      <c r="I130" s="1671"/>
      <c r="J130" s="1671"/>
      <c r="K130" s="1671"/>
      <c r="L130" s="2534"/>
      <c r="M130" s="2534"/>
      <c r="N130" s="2534"/>
      <c r="O130" s="2534"/>
    </row>
    <row r="131" spans="1:15">
      <c r="A131" s="1654" t="str">
        <f>COMPANY</f>
        <v>DUKE ENERGY KENTUCKY, INC.</v>
      </c>
      <c r="B131" s="1655"/>
      <c r="C131" s="1655"/>
      <c r="D131" s="1654"/>
      <c r="E131" s="1654"/>
      <c r="F131" s="2546"/>
      <c r="G131" s="1655"/>
      <c r="H131" s="2535"/>
      <c r="I131" s="1655"/>
      <c r="J131" s="1655"/>
      <c r="K131" s="1655"/>
      <c r="L131" s="2534"/>
      <c r="M131" s="2534"/>
      <c r="N131" s="2534"/>
      <c r="O131" s="2534"/>
    </row>
    <row r="132" spans="1:15">
      <c r="A132" s="1654" t="str">
        <f>CASE</f>
        <v>CASE NO. 2017-00321</v>
      </c>
      <c r="B132" s="1655"/>
      <c r="C132" s="1655"/>
      <c r="D132" s="1654"/>
      <c r="E132" s="1654"/>
      <c r="F132" s="2546"/>
      <c r="G132" s="1655"/>
      <c r="H132" s="2535"/>
      <c r="I132" s="1655"/>
      <c r="J132" s="1655"/>
      <c r="K132" s="1655"/>
      <c r="L132" s="2534"/>
      <c r="M132" s="2534"/>
      <c r="N132" s="2534"/>
      <c r="O132" s="2534"/>
    </row>
    <row r="133" spans="1:15">
      <c r="A133" s="1654" t="str">
        <f>A3</f>
        <v>ACCUMULATED DEPRECIATION AND AMORTIZATION</v>
      </c>
      <c r="B133" s="1655"/>
      <c r="C133" s="1655"/>
      <c r="D133" s="1654"/>
      <c r="E133" s="1654"/>
      <c r="F133" s="2546"/>
      <c r="G133" s="1655"/>
      <c r="H133" s="2535"/>
      <c r="I133" s="1655"/>
      <c r="J133" s="1655"/>
      <c r="K133" s="1655"/>
      <c r="L133" s="2534"/>
      <c r="M133" s="2534"/>
      <c r="N133" s="2534"/>
      <c r="O133" s="2534"/>
    </row>
    <row r="134" spans="1:15">
      <c r="A134" s="76" t="str">
        <f>"AS OF " &amp;RIGHT(TESTYR,(LEN(TESTYR)-16))</f>
        <v>AS OF NOVEMBER 30, 2017</v>
      </c>
      <c r="B134" s="1655"/>
      <c r="C134" s="1655"/>
      <c r="D134" s="1654"/>
      <c r="E134" s="1654"/>
      <c r="F134" s="2546"/>
      <c r="G134" s="1655"/>
      <c r="H134" s="2535"/>
      <c r="I134" s="1655"/>
      <c r="J134" s="1655"/>
      <c r="K134" s="1655"/>
      <c r="L134" s="2534"/>
      <c r="M134" s="2534"/>
      <c r="N134" s="2534"/>
      <c r="O134" s="2534"/>
    </row>
    <row r="135" spans="1:15">
      <c r="A135" s="1655"/>
      <c r="B135" s="1655"/>
      <c r="C135" s="1655"/>
      <c r="D135" s="1655"/>
      <c r="E135" s="1655"/>
      <c r="F135" s="2547"/>
      <c r="G135" s="1655"/>
      <c r="H135" s="2535"/>
      <c r="I135" s="1655"/>
      <c r="J135" s="1655"/>
      <c r="K135" s="1655"/>
      <c r="L135" s="2534"/>
      <c r="M135" s="2534"/>
      <c r="N135" s="2534"/>
      <c r="O135" s="2534"/>
    </row>
    <row r="136" spans="1:15">
      <c r="A136" s="1654" t="s">
        <v>1172</v>
      </c>
      <c r="B136" s="1655"/>
      <c r="C136" s="1655"/>
      <c r="D136" s="1654"/>
      <c r="E136" s="1654"/>
      <c r="F136" s="2546"/>
      <c r="G136" s="1655"/>
      <c r="H136" s="2535"/>
      <c r="I136" s="1655"/>
      <c r="J136" s="1655"/>
      <c r="K136" s="1655"/>
      <c r="L136" s="2534"/>
      <c r="M136" s="2534"/>
      <c r="N136" s="2534"/>
      <c r="O136" s="2534"/>
    </row>
    <row r="137" spans="1:15">
      <c r="A137" s="1657" t="s">
        <v>1799</v>
      </c>
      <c r="B137" s="1655"/>
      <c r="C137" s="1655"/>
      <c r="D137" s="1654"/>
      <c r="E137" s="1654"/>
      <c r="F137" s="2546"/>
      <c r="G137" s="1655"/>
      <c r="H137" s="2535"/>
      <c r="I137" s="1655"/>
      <c r="J137" s="1655"/>
      <c r="K137" s="1655"/>
      <c r="L137" s="2534"/>
      <c r="M137" s="2534"/>
      <c r="N137" s="2534"/>
      <c r="O137" s="2534"/>
    </row>
    <row r="138" spans="1:15">
      <c r="A138" s="1656"/>
      <c r="B138" s="123"/>
      <c r="C138" s="123"/>
      <c r="D138" s="123"/>
      <c r="E138" s="123"/>
      <c r="F138" s="112"/>
      <c r="G138" s="123"/>
      <c r="H138" s="2536"/>
      <c r="I138" s="123"/>
      <c r="J138" s="123"/>
      <c r="K138" s="123"/>
      <c r="L138" s="2534"/>
      <c r="M138" s="2534"/>
      <c r="N138" s="2534"/>
      <c r="O138" s="2534"/>
    </row>
    <row r="139" spans="1:15">
      <c r="A139" s="1656"/>
      <c r="B139" s="123"/>
      <c r="C139" s="123"/>
      <c r="D139" s="123"/>
      <c r="E139" s="123"/>
      <c r="F139" s="112"/>
      <c r="G139" s="123"/>
      <c r="H139" s="2536"/>
      <c r="I139" s="123"/>
      <c r="J139" s="121"/>
      <c r="K139" s="123"/>
      <c r="L139" s="2534"/>
      <c r="M139" s="2534"/>
      <c r="N139" s="2534"/>
      <c r="O139" s="2534"/>
    </row>
    <row r="140" spans="1:15">
      <c r="A140" s="121" t="str">
        <f>Data</f>
        <v>DATA: "X" BASE PERIOD   FORECASTED PERIOD</v>
      </c>
      <c r="B140" s="123"/>
      <c r="C140" s="123"/>
      <c r="D140" s="123"/>
      <c r="E140" s="123"/>
      <c r="F140" s="112"/>
      <c r="G140" s="123"/>
      <c r="H140" s="2536"/>
      <c r="I140" s="123"/>
      <c r="J140" s="1658" t="str">
        <f>J10</f>
        <v>SCHEDULE B-3</v>
      </c>
      <c r="K140" s="123"/>
      <c r="L140" s="2534"/>
      <c r="M140" s="2534"/>
      <c r="N140" s="2534"/>
      <c r="O140" s="2534"/>
    </row>
    <row r="141" spans="1:15">
      <c r="A141" s="121" t="str">
        <f>Type</f>
        <v xml:space="preserve">TYPE OF FILING:  "X" ORIGINAL   UPDATED    REVISED  </v>
      </c>
      <c r="B141" s="123"/>
      <c r="C141" s="123"/>
      <c r="D141" s="123"/>
      <c r="E141" s="123"/>
      <c r="F141" s="112"/>
      <c r="G141" s="123"/>
      <c r="H141" s="2536"/>
      <c r="I141" s="123"/>
      <c r="J141" s="1658" t="s">
        <v>1908</v>
      </c>
      <c r="K141" s="123"/>
      <c r="L141" s="2534"/>
      <c r="M141" s="2534"/>
      <c r="N141" s="2534"/>
      <c r="O141" s="2534"/>
    </row>
    <row r="142" spans="1:15">
      <c r="A142" s="121" t="str">
        <f>A12</f>
        <v>WORK PAPER REFERENCE NO(S).: SCHEDULE B-2.1, SCHEDULE B-3.1</v>
      </c>
      <c r="B142" s="123"/>
      <c r="C142" s="123"/>
      <c r="D142" s="123"/>
      <c r="E142" s="123"/>
      <c r="F142" s="112"/>
      <c r="G142" s="123"/>
      <c r="H142" s="2536"/>
      <c r="I142" s="123"/>
      <c r="J142" s="1671" t="str">
        <f>J12</f>
        <v>WITNESS RESPONSIBLE:</v>
      </c>
      <c r="K142" s="123"/>
      <c r="L142" s="2534"/>
      <c r="M142" s="2534"/>
      <c r="N142" s="2534"/>
      <c r="O142" s="2534"/>
    </row>
    <row r="143" spans="1:15">
      <c r="A143" s="123"/>
      <c r="B143" s="123"/>
      <c r="C143" s="123"/>
      <c r="D143" s="123"/>
      <c r="E143" s="123"/>
      <c r="F143" s="112"/>
      <c r="G143" s="123"/>
      <c r="H143" s="2536"/>
      <c r="I143" s="123"/>
      <c r="J143" s="123" t="str">
        <f>J13</f>
        <v>R. H. PRATT / C. S. LEE</v>
      </c>
      <c r="K143" s="123"/>
      <c r="L143" s="2534"/>
      <c r="M143" s="2534"/>
      <c r="N143" s="2534"/>
      <c r="O143" s="2534"/>
    </row>
    <row r="144" spans="1:15">
      <c r="A144" s="123"/>
      <c r="B144" s="123"/>
      <c r="C144" s="123"/>
      <c r="D144" s="123"/>
      <c r="E144" s="123"/>
      <c r="F144" s="112"/>
      <c r="G144" s="123"/>
      <c r="H144" s="2536"/>
      <c r="I144" s="123"/>
      <c r="J144" s="123"/>
      <c r="K144" s="123"/>
      <c r="L144" s="2534"/>
      <c r="M144" s="2534"/>
      <c r="N144" s="2534"/>
      <c r="O144" s="2534"/>
    </row>
    <row r="145" spans="1:15">
      <c r="A145" s="123"/>
      <c r="B145" s="123"/>
      <c r="C145" s="123"/>
      <c r="D145" s="123"/>
      <c r="E145" s="123"/>
      <c r="F145" s="1659"/>
      <c r="G145" s="123"/>
      <c r="H145" s="2536"/>
      <c r="I145" s="123"/>
      <c r="J145" s="123"/>
      <c r="K145" s="123"/>
      <c r="L145" s="2534"/>
      <c r="M145" s="2534"/>
      <c r="N145" s="2534"/>
      <c r="O145" s="2534"/>
    </row>
    <row r="146" spans="1:15">
      <c r="A146" s="2522"/>
      <c r="B146" s="2730"/>
      <c r="C146" s="2729" t="s">
        <v>1799</v>
      </c>
      <c r="D146" s="2522"/>
      <c r="E146" s="2521" t="str">
        <f>E16</f>
        <v>Base</v>
      </c>
      <c r="F146" s="109"/>
      <c r="G146" s="2522"/>
      <c r="H146" s="2732"/>
      <c r="I146" s="2522"/>
      <c r="J146" s="2522"/>
      <c r="K146" s="2522"/>
      <c r="L146" s="2534"/>
      <c r="M146" s="2534"/>
      <c r="N146" s="2534"/>
      <c r="O146" s="2534"/>
    </row>
    <row r="147" spans="1:15">
      <c r="A147" s="112"/>
      <c r="B147" s="108" t="s">
        <v>943</v>
      </c>
      <c r="C147" s="108" t="s">
        <v>1750</v>
      </c>
      <c r="D147" s="112"/>
      <c r="E147" s="109" t="str">
        <f>E17</f>
        <v>Period</v>
      </c>
      <c r="F147" s="109"/>
      <c r="G147" s="113" t="str">
        <f>G17</f>
        <v>Base Period Accumulated Balances</v>
      </c>
      <c r="H147" s="114"/>
      <c r="I147" s="114"/>
      <c r="J147" s="114"/>
      <c r="K147" s="114"/>
      <c r="L147" s="2534"/>
      <c r="M147" s="2534"/>
      <c r="N147" s="2534"/>
      <c r="O147" s="2534"/>
    </row>
    <row r="148" spans="1:15">
      <c r="A148" s="1650" t="s">
        <v>1240</v>
      </c>
      <c r="B148" s="1650" t="s">
        <v>1164</v>
      </c>
      <c r="C148" s="1650" t="s">
        <v>1164</v>
      </c>
      <c r="D148" s="123"/>
      <c r="E148" s="1647" t="str">
        <f>E18</f>
        <v>Total</v>
      </c>
      <c r="F148" s="109"/>
      <c r="G148" s="1650" t="s">
        <v>1929</v>
      </c>
      <c r="H148" s="2538" t="s">
        <v>450</v>
      </c>
      <c r="I148" s="1650" t="s">
        <v>1669</v>
      </c>
      <c r="J148" s="123"/>
      <c r="K148" s="1650" t="s">
        <v>574</v>
      </c>
      <c r="L148" s="2534"/>
      <c r="M148" s="2534"/>
      <c r="N148" s="2534"/>
      <c r="O148" s="2534"/>
    </row>
    <row r="149" spans="1:15">
      <c r="A149" s="1650" t="s">
        <v>1241</v>
      </c>
      <c r="B149" s="1650" t="s">
        <v>1241</v>
      </c>
      <c r="C149" s="1650" t="s">
        <v>1241</v>
      </c>
      <c r="D149" s="1650" t="s">
        <v>1165</v>
      </c>
      <c r="E149" s="2537" t="str">
        <f>E19</f>
        <v>Company (1)</v>
      </c>
      <c r="F149" s="2539"/>
      <c r="G149" s="2539" t="s">
        <v>1750</v>
      </c>
      <c r="H149" s="2541" t="s">
        <v>363</v>
      </c>
      <c r="I149" s="2539" t="s">
        <v>1929</v>
      </c>
      <c r="J149" s="2539" t="s">
        <v>573</v>
      </c>
      <c r="K149" s="2539" t="s">
        <v>1449</v>
      </c>
      <c r="L149" s="2534"/>
      <c r="M149" s="2534"/>
      <c r="N149" s="2534"/>
      <c r="O149" s="2534"/>
    </row>
    <row r="150" spans="1:15">
      <c r="A150" s="2724"/>
      <c r="B150" s="2724"/>
      <c r="C150" s="2724"/>
      <c r="D150" s="2724"/>
      <c r="E150" s="2724"/>
      <c r="F150" s="107"/>
      <c r="G150" s="1650" t="s">
        <v>1705</v>
      </c>
      <c r="H150" s="2536"/>
      <c r="I150" s="1650" t="s">
        <v>1705</v>
      </c>
      <c r="J150" s="1650" t="s">
        <v>1705</v>
      </c>
      <c r="K150" s="1650" t="s">
        <v>1705</v>
      </c>
      <c r="L150" s="2534"/>
      <c r="M150" s="2534"/>
      <c r="N150" s="2534"/>
      <c r="O150" s="2534"/>
    </row>
    <row r="151" spans="1:15">
      <c r="A151" s="1650" t="s">
        <v>529</v>
      </c>
      <c r="B151" s="123"/>
      <c r="C151" s="123"/>
      <c r="D151" s="123"/>
      <c r="E151" s="123"/>
      <c r="F151" s="112"/>
      <c r="G151" s="2534"/>
      <c r="H151" s="2548"/>
      <c r="I151" s="2534"/>
      <c r="J151" s="2534"/>
      <c r="K151" s="2534"/>
      <c r="L151" s="2534"/>
      <c r="M151" s="2534"/>
      <c r="N151" s="2534"/>
      <c r="O151" s="2534"/>
    </row>
    <row r="152" spans="1:15">
      <c r="A152" s="1650">
        <v>1</v>
      </c>
      <c r="B152" s="1505">
        <v>360</v>
      </c>
      <c r="C152" s="1505">
        <v>3600</v>
      </c>
      <c r="D152" s="1506" t="s">
        <v>849</v>
      </c>
      <c r="E152" s="1514">
        <f>'SCH B-2.1'!I147</f>
        <v>6821750</v>
      </c>
      <c r="F152" s="1592"/>
      <c r="G152" s="1543">
        <v>0</v>
      </c>
      <c r="H152" s="2543">
        <v>1</v>
      </c>
      <c r="I152" s="1671">
        <f t="shared" ref="I152:I177" si="6">ROUND((G152*H152),0)</f>
        <v>0</v>
      </c>
      <c r="J152" s="1514"/>
      <c r="K152" s="1671">
        <f t="shared" ref="K152:K177" si="7">I152+J152</f>
        <v>0</v>
      </c>
      <c r="L152" s="2534"/>
      <c r="M152" s="2534"/>
      <c r="N152" s="2534"/>
      <c r="O152" s="2534"/>
    </row>
    <row r="153" spans="1:15">
      <c r="A153" s="1650">
        <v>2</v>
      </c>
      <c r="B153" s="1505">
        <v>360</v>
      </c>
      <c r="C153" s="1505">
        <v>3601</v>
      </c>
      <c r="D153" s="1506" t="s">
        <v>1168</v>
      </c>
      <c r="E153" s="1514">
        <f>'SCH B-2.1'!I148</f>
        <v>6441140</v>
      </c>
      <c r="F153" s="1592"/>
      <c r="G153" s="1543">
        <v>3005422</v>
      </c>
      <c r="H153" s="2543">
        <v>1</v>
      </c>
      <c r="I153" s="1671">
        <f t="shared" si="6"/>
        <v>3005422</v>
      </c>
      <c r="J153" s="1514"/>
      <c r="K153" s="1671">
        <f t="shared" si="7"/>
        <v>3005422</v>
      </c>
      <c r="L153" s="2534"/>
      <c r="M153" s="2534"/>
      <c r="N153" s="2534"/>
      <c r="O153" s="2534"/>
    </row>
    <row r="154" spans="1:15">
      <c r="A154" s="1650">
        <v>3</v>
      </c>
      <c r="B154" s="1505">
        <v>361</v>
      </c>
      <c r="C154" s="1505">
        <v>3610</v>
      </c>
      <c r="D154" s="1506" t="s">
        <v>1170</v>
      </c>
      <c r="E154" s="1514">
        <f>'SCH B-2.1'!I149</f>
        <v>1402409</v>
      </c>
      <c r="F154" s="1593"/>
      <c r="G154" s="1543">
        <v>-3047</v>
      </c>
      <c r="H154" s="2543">
        <v>1</v>
      </c>
      <c r="I154" s="1671">
        <f t="shared" si="6"/>
        <v>-3047</v>
      </c>
      <c r="J154" s="1514"/>
      <c r="K154" s="1671">
        <f t="shared" si="7"/>
        <v>-3047</v>
      </c>
      <c r="L154" s="2534"/>
      <c r="M154" s="2534"/>
      <c r="N154" s="2534"/>
      <c r="O154" s="2534"/>
    </row>
    <row r="155" spans="1:15">
      <c r="A155" s="1650">
        <v>4</v>
      </c>
      <c r="B155" s="1505">
        <v>362</v>
      </c>
      <c r="C155" s="1505">
        <v>3620</v>
      </c>
      <c r="D155" s="1506" t="s">
        <v>1721</v>
      </c>
      <c r="E155" s="1514">
        <f>'SCH B-2.1'!I150</f>
        <v>37395698</v>
      </c>
      <c r="F155" s="1593"/>
      <c r="G155" s="1543">
        <v>11451597</v>
      </c>
      <c r="H155" s="2543">
        <v>1</v>
      </c>
      <c r="I155" s="1671">
        <f t="shared" si="6"/>
        <v>11451597</v>
      </c>
      <c r="J155" s="2555"/>
      <c r="K155" s="1671">
        <f t="shared" si="7"/>
        <v>11451597</v>
      </c>
      <c r="L155" s="2534"/>
      <c r="M155" s="2534"/>
      <c r="N155" s="2534"/>
      <c r="O155" s="2534"/>
    </row>
    <row r="156" spans="1:15">
      <c r="A156" s="1650">
        <v>5</v>
      </c>
      <c r="B156" s="1505">
        <v>362</v>
      </c>
      <c r="C156" s="1505">
        <v>3622</v>
      </c>
      <c r="D156" s="1506" t="s">
        <v>2927</v>
      </c>
      <c r="E156" s="1514">
        <f>'SCH B-2.1'!I151</f>
        <v>25229057</v>
      </c>
      <c r="F156" s="1593"/>
      <c r="G156" s="1543">
        <v>9662476</v>
      </c>
      <c r="H156" s="2543">
        <v>1</v>
      </c>
      <c r="I156" s="1671">
        <f t="shared" si="6"/>
        <v>9662476</v>
      </c>
      <c r="J156" s="2555"/>
      <c r="K156" s="1671">
        <f t="shared" si="7"/>
        <v>9662476</v>
      </c>
      <c r="L156" s="2534"/>
      <c r="M156" s="2534"/>
      <c r="N156" s="2534"/>
      <c r="O156" s="2534"/>
    </row>
    <row r="157" spans="1:15">
      <c r="A157" s="1650">
        <v>6</v>
      </c>
      <c r="B157" s="1505">
        <v>364</v>
      </c>
      <c r="C157" s="1505">
        <v>3640</v>
      </c>
      <c r="D157" s="1506" t="s">
        <v>1724</v>
      </c>
      <c r="E157" s="1514">
        <f>'SCH B-2.1'!I152</f>
        <v>57115882</v>
      </c>
      <c r="F157" s="1593"/>
      <c r="G157" s="1543">
        <v>29125619</v>
      </c>
      <c r="H157" s="2543">
        <v>1</v>
      </c>
      <c r="I157" s="1671">
        <f t="shared" si="6"/>
        <v>29125619</v>
      </c>
      <c r="J157" s="2555"/>
      <c r="K157" s="1671">
        <f t="shared" si="7"/>
        <v>29125619</v>
      </c>
      <c r="L157" s="2534"/>
      <c r="M157" s="2534"/>
      <c r="N157" s="2534"/>
      <c r="O157" s="2534"/>
    </row>
    <row r="158" spans="1:15">
      <c r="A158" s="1650">
        <v>7</v>
      </c>
      <c r="B158" s="1505">
        <v>365</v>
      </c>
      <c r="C158" s="1505">
        <v>3650</v>
      </c>
      <c r="D158" s="1506" t="s">
        <v>1723</v>
      </c>
      <c r="E158" s="1514">
        <f>'SCH B-2.1'!I153</f>
        <v>116315018</v>
      </c>
      <c r="F158" s="1593"/>
      <c r="G158" s="1543">
        <v>35956834</v>
      </c>
      <c r="H158" s="2543">
        <v>1</v>
      </c>
      <c r="I158" s="1671">
        <f t="shared" si="6"/>
        <v>35956834</v>
      </c>
      <c r="J158" s="2555"/>
      <c r="K158" s="1671">
        <f t="shared" si="7"/>
        <v>35956834</v>
      </c>
      <c r="L158" s="2534"/>
      <c r="M158" s="2534"/>
      <c r="N158" s="2534"/>
      <c r="O158" s="2534"/>
    </row>
    <row r="159" spans="1:15">
      <c r="A159" s="1650">
        <v>8</v>
      </c>
      <c r="B159" s="1505">
        <v>365</v>
      </c>
      <c r="C159" s="1505">
        <v>3651</v>
      </c>
      <c r="D159" s="1506" t="s">
        <v>2751</v>
      </c>
      <c r="E159" s="1514">
        <f>'SCH B-2.1'!I154</f>
        <v>1864393</v>
      </c>
      <c r="F159" s="1593"/>
      <c r="G159" s="1543">
        <v>132903</v>
      </c>
      <c r="H159" s="2543">
        <v>1</v>
      </c>
      <c r="I159" s="1671">
        <f t="shared" si="6"/>
        <v>132903</v>
      </c>
      <c r="J159" s="2555"/>
      <c r="K159" s="1671">
        <f t="shared" si="7"/>
        <v>132903</v>
      </c>
      <c r="L159" s="2534"/>
      <c r="M159" s="2534"/>
      <c r="N159" s="2534"/>
      <c r="O159" s="2534"/>
    </row>
    <row r="160" spans="1:15">
      <c r="A160" s="1650">
        <v>9</v>
      </c>
      <c r="B160" s="1505">
        <v>366</v>
      </c>
      <c r="C160" s="1505">
        <v>3660</v>
      </c>
      <c r="D160" s="1506" t="s">
        <v>1725</v>
      </c>
      <c r="E160" s="1514">
        <f>'SCH B-2.1'!I155</f>
        <v>19191988</v>
      </c>
      <c r="F160" s="1593"/>
      <c r="G160" s="1543">
        <v>6454263</v>
      </c>
      <c r="H160" s="2543">
        <v>1</v>
      </c>
      <c r="I160" s="1671">
        <f t="shared" si="6"/>
        <v>6454263</v>
      </c>
      <c r="J160" s="2555"/>
      <c r="K160" s="1671">
        <f t="shared" si="7"/>
        <v>6454263</v>
      </c>
      <c r="L160" s="2534"/>
      <c r="M160" s="2534"/>
      <c r="N160" s="2534"/>
      <c r="O160" s="2534"/>
    </row>
    <row r="161" spans="1:15">
      <c r="A161" s="1650">
        <v>10</v>
      </c>
      <c r="B161" s="1505">
        <v>367</v>
      </c>
      <c r="C161" s="1505">
        <v>3670</v>
      </c>
      <c r="D161" s="1506" t="s">
        <v>638</v>
      </c>
      <c r="E161" s="1514">
        <f>'SCH B-2.1'!I156</f>
        <v>59755437</v>
      </c>
      <c r="F161" s="1593"/>
      <c r="G161" s="1543">
        <v>16257188</v>
      </c>
      <c r="H161" s="2543">
        <v>1</v>
      </c>
      <c r="I161" s="1671">
        <f t="shared" si="6"/>
        <v>16257188</v>
      </c>
      <c r="J161" s="2555"/>
      <c r="K161" s="1671">
        <f t="shared" si="7"/>
        <v>16257188</v>
      </c>
      <c r="L161" s="2534"/>
      <c r="M161" s="2534"/>
      <c r="N161" s="2534"/>
      <c r="O161" s="2534"/>
    </row>
    <row r="162" spans="1:15">
      <c r="A162" s="1650">
        <v>11</v>
      </c>
      <c r="B162" s="1505">
        <v>368</v>
      </c>
      <c r="C162" s="1505">
        <v>3680</v>
      </c>
      <c r="D162" s="1506" t="s">
        <v>639</v>
      </c>
      <c r="E162" s="1514">
        <f>'SCH B-2.1'!I157</f>
        <v>56217572</v>
      </c>
      <c r="F162" s="1593"/>
      <c r="G162" s="1543">
        <v>28620699</v>
      </c>
      <c r="H162" s="2543">
        <v>1</v>
      </c>
      <c r="I162" s="1671">
        <f t="shared" si="6"/>
        <v>28620699</v>
      </c>
      <c r="J162" s="2555"/>
      <c r="K162" s="1671">
        <f t="shared" si="7"/>
        <v>28620699</v>
      </c>
      <c r="L162" s="2534"/>
      <c r="M162" s="2534"/>
      <c r="N162" s="2534"/>
      <c r="O162" s="2534"/>
    </row>
    <row r="163" spans="1:15">
      <c r="A163" s="1650">
        <v>12</v>
      </c>
      <c r="B163" s="1505">
        <v>368</v>
      </c>
      <c r="C163" s="1505">
        <v>3682</v>
      </c>
      <c r="D163" s="1506" t="s">
        <v>640</v>
      </c>
      <c r="E163" s="1514">
        <f>'SCH B-2.1'!I158</f>
        <v>273661</v>
      </c>
      <c r="F163" s="1593"/>
      <c r="G163" s="1543">
        <v>279531</v>
      </c>
      <c r="H163" s="2543">
        <v>1</v>
      </c>
      <c r="I163" s="1671">
        <f t="shared" si="6"/>
        <v>279531</v>
      </c>
      <c r="J163" s="2555"/>
      <c r="K163" s="1671">
        <f t="shared" si="7"/>
        <v>279531</v>
      </c>
      <c r="L163" s="2534"/>
      <c r="M163" s="2534"/>
      <c r="N163" s="2534"/>
      <c r="O163" s="2534"/>
    </row>
    <row r="164" spans="1:15">
      <c r="A164" s="1650">
        <v>13</v>
      </c>
      <c r="B164" s="1505">
        <v>369</v>
      </c>
      <c r="C164" s="1505">
        <v>3691</v>
      </c>
      <c r="D164" s="1506" t="s">
        <v>641</v>
      </c>
      <c r="E164" s="1514">
        <f>'SCH B-2.1'!I159</f>
        <v>2393707</v>
      </c>
      <c r="F164" s="1592"/>
      <c r="G164" s="1543">
        <v>510629</v>
      </c>
      <c r="H164" s="2543">
        <v>1</v>
      </c>
      <c r="I164" s="1671">
        <f t="shared" si="6"/>
        <v>510629</v>
      </c>
      <c r="J164" s="2555"/>
      <c r="K164" s="1671">
        <f t="shared" si="7"/>
        <v>510629</v>
      </c>
      <c r="L164" s="2534"/>
      <c r="M164" s="2534"/>
      <c r="N164" s="2534"/>
      <c r="O164" s="2534"/>
    </row>
    <row r="165" spans="1:15">
      <c r="A165" s="1650">
        <v>14</v>
      </c>
      <c r="B165" s="1505">
        <v>369</v>
      </c>
      <c r="C165" s="1505">
        <v>3692</v>
      </c>
      <c r="D165" s="1506" t="s">
        <v>642</v>
      </c>
      <c r="E165" s="1514">
        <f>'SCH B-2.1'!I160</f>
        <v>15833643</v>
      </c>
      <c r="F165" s="1592"/>
      <c r="G165" s="1543">
        <v>10250550</v>
      </c>
      <c r="H165" s="2543">
        <v>1</v>
      </c>
      <c r="I165" s="1671">
        <f t="shared" si="6"/>
        <v>10250550</v>
      </c>
      <c r="J165" s="2555"/>
      <c r="K165" s="1671">
        <f t="shared" si="7"/>
        <v>10250550</v>
      </c>
      <c r="L165" s="2534"/>
      <c r="M165" s="2534"/>
      <c r="N165" s="2534"/>
      <c r="O165" s="2534"/>
    </row>
    <row r="166" spans="1:15">
      <c r="A166" s="1650">
        <v>15</v>
      </c>
      <c r="B166" s="1505">
        <v>370</v>
      </c>
      <c r="C166" s="1505">
        <v>3700</v>
      </c>
      <c r="D166" s="1506" t="s">
        <v>2539</v>
      </c>
      <c r="E166" s="1514">
        <f>'SCH B-2.1'!I161</f>
        <v>1106006</v>
      </c>
      <c r="F166" s="1593"/>
      <c r="G166" s="1543">
        <v>2093595</v>
      </c>
      <c r="H166" s="2543">
        <v>1</v>
      </c>
      <c r="I166" s="1671">
        <f t="shared" si="6"/>
        <v>2093595</v>
      </c>
      <c r="J166" s="1671">
        <f>'SCH B-3.1'!G25</f>
        <v>-1855718</v>
      </c>
      <c r="K166" s="1671">
        <f t="shared" si="7"/>
        <v>237877</v>
      </c>
      <c r="L166" s="2534"/>
      <c r="M166" s="2534"/>
      <c r="N166" s="2534"/>
      <c r="O166" s="2534"/>
    </row>
    <row r="167" spans="1:15">
      <c r="A167" s="1650">
        <v>16</v>
      </c>
      <c r="B167" s="1505">
        <v>370</v>
      </c>
      <c r="C167" s="1505">
        <v>3700</v>
      </c>
      <c r="D167" s="1506" t="s">
        <v>2749</v>
      </c>
      <c r="E167" s="1514">
        <f>'SCH B-2.1'!I162</f>
        <v>714387</v>
      </c>
      <c r="F167" s="1593"/>
      <c r="G167" s="1543">
        <v>297589</v>
      </c>
      <c r="H167" s="2543">
        <v>1</v>
      </c>
      <c r="I167" s="1671">
        <f t="shared" si="6"/>
        <v>297589</v>
      </c>
      <c r="J167" s="2555"/>
      <c r="K167" s="1671">
        <f t="shared" si="7"/>
        <v>297589</v>
      </c>
      <c r="L167" s="2534"/>
      <c r="M167" s="2534"/>
      <c r="N167" s="2534"/>
      <c r="O167" s="2534"/>
    </row>
    <row r="168" spans="1:15">
      <c r="A168" s="1650">
        <v>17</v>
      </c>
      <c r="B168" s="1505">
        <v>370</v>
      </c>
      <c r="C168" s="1505">
        <v>3701</v>
      </c>
      <c r="D168" s="1506" t="s">
        <v>376</v>
      </c>
      <c r="E168" s="1514">
        <f>'SCH B-2.1'!I163</f>
        <v>0</v>
      </c>
      <c r="F168" s="1593"/>
      <c r="G168" s="1543">
        <v>1384398</v>
      </c>
      <c r="H168" s="2543">
        <v>1</v>
      </c>
      <c r="I168" s="1671">
        <f t="shared" si="6"/>
        <v>1384398</v>
      </c>
      <c r="J168" s="1671">
        <f>'SCH B-3.1'!G26</f>
        <v>-1384398</v>
      </c>
      <c r="K168" s="1671">
        <f t="shared" si="7"/>
        <v>0</v>
      </c>
      <c r="L168" s="2534"/>
      <c r="M168" s="2534"/>
      <c r="N168" s="2534"/>
      <c r="O168" s="2534"/>
    </row>
    <row r="169" spans="1:15">
      <c r="A169" s="1650">
        <v>18</v>
      </c>
      <c r="B169" s="1505">
        <v>370</v>
      </c>
      <c r="C169" s="1505">
        <v>3702</v>
      </c>
      <c r="D169" s="1506" t="s">
        <v>2748</v>
      </c>
      <c r="E169" s="1514">
        <f>'SCH B-2.1'!I164</f>
        <v>5118529</v>
      </c>
      <c r="F169" s="1593"/>
      <c r="G169" s="1543">
        <v>12596</v>
      </c>
      <c r="H169" s="2543">
        <v>1</v>
      </c>
      <c r="I169" s="1671">
        <f t="shared" si="6"/>
        <v>12596</v>
      </c>
      <c r="J169" s="2555"/>
      <c r="K169" s="1671">
        <f t="shared" si="7"/>
        <v>12596</v>
      </c>
      <c r="L169" s="2534"/>
      <c r="M169" s="2534"/>
      <c r="N169" s="2534"/>
      <c r="O169" s="2534"/>
    </row>
    <row r="170" spans="1:15">
      <c r="A170" s="1650">
        <v>19</v>
      </c>
      <c r="B170" s="1505">
        <v>371</v>
      </c>
      <c r="C170" s="1505" t="s">
        <v>2297</v>
      </c>
      <c r="D170" s="1506" t="s">
        <v>2298</v>
      </c>
      <c r="E170" s="1514">
        <f>'SCH B-2.1'!I165</f>
        <v>421102</v>
      </c>
      <c r="F170" s="1593"/>
      <c r="G170" s="1543">
        <v>16246</v>
      </c>
      <c r="H170" s="2543">
        <v>1</v>
      </c>
      <c r="I170" s="1671">
        <f t="shared" si="6"/>
        <v>16246</v>
      </c>
      <c r="J170" s="2555"/>
      <c r="K170" s="1671">
        <f t="shared" si="7"/>
        <v>16246</v>
      </c>
      <c r="L170" s="2534"/>
      <c r="M170" s="2534"/>
      <c r="N170" s="2534"/>
      <c r="O170" s="2534"/>
    </row>
    <row r="171" spans="1:15">
      <c r="A171" s="1650">
        <v>20</v>
      </c>
      <c r="B171" s="1505">
        <v>372</v>
      </c>
      <c r="C171" s="1505">
        <v>3720</v>
      </c>
      <c r="D171" s="1506" t="s">
        <v>643</v>
      </c>
      <c r="E171" s="1514">
        <f>'SCH B-2.1'!I166</f>
        <v>9647</v>
      </c>
      <c r="F171" s="1593"/>
      <c r="G171" s="1543">
        <v>9647</v>
      </c>
      <c r="H171" s="2543">
        <v>1</v>
      </c>
      <c r="I171" s="1671">
        <f t="shared" si="6"/>
        <v>9647</v>
      </c>
      <c r="J171" s="2555"/>
      <c r="K171" s="1671">
        <f t="shared" si="7"/>
        <v>9647</v>
      </c>
      <c r="L171" s="2534"/>
      <c r="M171" s="2534"/>
      <c r="N171" s="2534"/>
      <c r="O171" s="2534"/>
    </row>
    <row r="172" spans="1:15">
      <c r="A172" s="1650">
        <v>21</v>
      </c>
      <c r="B172" s="1505">
        <v>373</v>
      </c>
      <c r="C172" s="1505">
        <v>3731</v>
      </c>
      <c r="D172" s="1506" t="s">
        <v>771</v>
      </c>
      <c r="E172" s="1514">
        <f>'SCH B-2.1'!I167</f>
        <v>2676279</v>
      </c>
      <c r="F172" s="1593"/>
      <c r="G172" s="1543">
        <v>2305869</v>
      </c>
      <c r="H172" s="2543">
        <v>1</v>
      </c>
      <c r="I172" s="1671">
        <f t="shared" si="6"/>
        <v>2305869</v>
      </c>
      <c r="J172" s="1671"/>
      <c r="K172" s="1671">
        <f t="shared" si="7"/>
        <v>2305869</v>
      </c>
      <c r="L172" s="2534"/>
      <c r="M172" s="2534"/>
      <c r="N172" s="2534"/>
      <c r="O172" s="2534"/>
    </row>
    <row r="173" spans="1:15">
      <c r="A173" s="1650">
        <v>22</v>
      </c>
      <c r="B173" s="1505">
        <v>373</v>
      </c>
      <c r="C173" s="1505">
        <v>3732</v>
      </c>
      <c r="D173" s="1506" t="s">
        <v>772</v>
      </c>
      <c r="E173" s="1514">
        <f>'SCH B-2.1'!I168</f>
        <v>3360750</v>
      </c>
      <c r="F173" s="1593"/>
      <c r="G173" s="1543">
        <v>2465836</v>
      </c>
      <c r="H173" s="2543">
        <v>1</v>
      </c>
      <c r="I173" s="1671">
        <f t="shared" si="6"/>
        <v>2465836</v>
      </c>
      <c r="J173" s="1671"/>
      <c r="K173" s="1671">
        <f t="shared" si="7"/>
        <v>2465836</v>
      </c>
      <c r="L173" s="2534"/>
      <c r="M173" s="2534"/>
      <c r="N173" s="2534"/>
      <c r="O173" s="2534"/>
    </row>
    <row r="174" spans="1:15">
      <c r="A174" s="1650">
        <v>23</v>
      </c>
      <c r="B174" s="1505">
        <v>373</v>
      </c>
      <c r="C174" s="1505">
        <v>3733</v>
      </c>
      <c r="D174" s="1506" t="s">
        <v>773</v>
      </c>
      <c r="E174" s="1514">
        <f>'SCH B-2.1'!I169</f>
        <v>0</v>
      </c>
      <c r="F174" s="1593"/>
      <c r="G174" s="1543">
        <v>1496756</v>
      </c>
      <c r="H174" s="2543">
        <v>1</v>
      </c>
      <c r="I174" s="1671">
        <f t="shared" si="6"/>
        <v>1496756</v>
      </c>
      <c r="J174" s="1671">
        <f>'SCH B-3.1'!G23</f>
        <v>-1496756</v>
      </c>
      <c r="K174" s="1671">
        <f t="shared" si="7"/>
        <v>0</v>
      </c>
      <c r="L174" s="2534"/>
      <c r="M174" s="2534"/>
      <c r="N174" s="2534"/>
      <c r="O174" s="2534"/>
    </row>
    <row r="175" spans="1:15">
      <c r="A175" s="1650">
        <v>24</v>
      </c>
      <c r="B175" s="1505">
        <v>373</v>
      </c>
      <c r="C175" s="1505">
        <v>3734</v>
      </c>
      <c r="D175" s="1506" t="s">
        <v>2288</v>
      </c>
      <c r="E175" s="1514">
        <f>'SCH B-2.1'!I170</f>
        <v>0</v>
      </c>
      <c r="F175" s="1593"/>
      <c r="G175" s="1543">
        <v>-106770</v>
      </c>
      <c r="H175" s="2543">
        <v>1</v>
      </c>
      <c r="I175" s="1671">
        <f t="shared" si="6"/>
        <v>-106770</v>
      </c>
      <c r="J175" s="1671">
        <f>'SCH B-3.1'!G24</f>
        <v>106770</v>
      </c>
      <c r="K175" s="1671">
        <f t="shared" si="7"/>
        <v>0</v>
      </c>
      <c r="L175" s="2534"/>
      <c r="M175" s="2534"/>
      <c r="N175" s="2534"/>
      <c r="O175" s="2534"/>
    </row>
    <row r="176" spans="1:15">
      <c r="A176" s="1650">
        <v>25</v>
      </c>
      <c r="B176" s="1505"/>
      <c r="C176" s="1505"/>
      <c r="D176" s="1506" t="s">
        <v>1483</v>
      </c>
      <c r="E176" s="1514">
        <f>'SCH B-2.1'!I171</f>
        <v>12913092</v>
      </c>
      <c r="F176" s="1593"/>
      <c r="G176" s="1543">
        <v>89019</v>
      </c>
      <c r="H176" s="2543">
        <v>1</v>
      </c>
      <c r="I176" s="1671">
        <f t="shared" si="6"/>
        <v>89019</v>
      </c>
      <c r="J176" s="2555"/>
      <c r="K176" s="1671">
        <f t="shared" si="7"/>
        <v>89019</v>
      </c>
      <c r="L176" s="2534"/>
      <c r="M176" s="2534"/>
      <c r="N176" s="2534"/>
      <c r="O176" s="2534"/>
    </row>
    <row r="177" spans="1:15">
      <c r="A177" s="1650">
        <v>26</v>
      </c>
      <c r="B177" s="123"/>
      <c r="C177" s="1650">
        <v>108</v>
      </c>
      <c r="D177" s="121" t="s">
        <v>1329</v>
      </c>
      <c r="E177" s="1514"/>
      <c r="F177" s="1592"/>
      <c r="G177" s="1543">
        <v>-5025266</v>
      </c>
      <c r="H177" s="2543">
        <v>1</v>
      </c>
      <c r="I177" s="1671">
        <f t="shared" si="6"/>
        <v>-5025266</v>
      </c>
      <c r="J177" s="2555"/>
      <c r="K177" s="1671">
        <f t="shared" si="7"/>
        <v>-5025266</v>
      </c>
      <c r="L177" s="2534"/>
      <c r="M177" s="2534"/>
      <c r="N177" s="2534"/>
      <c r="O177" s="2534"/>
    </row>
    <row r="178" spans="1:15">
      <c r="A178" s="1650"/>
      <c r="B178" s="123"/>
      <c r="C178" s="1650"/>
      <c r="E178" s="1514"/>
      <c r="F178" s="1592"/>
      <c r="G178" s="1514"/>
      <c r="H178" s="1679"/>
      <c r="I178" s="1671"/>
      <c r="J178" s="2556"/>
      <c r="K178" s="1671"/>
      <c r="L178" s="2534"/>
      <c r="M178" s="2534"/>
      <c r="N178" s="2534"/>
      <c r="O178" s="2534"/>
    </row>
    <row r="179" spans="1:15">
      <c r="A179" s="123"/>
      <c r="B179" s="123"/>
      <c r="C179" s="123"/>
      <c r="D179" s="123"/>
      <c r="E179" s="123"/>
      <c r="F179" s="1659"/>
      <c r="G179" s="1671"/>
      <c r="H179" s="1679"/>
      <c r="I179" s="1671"/>
      <c r="J179" s="1671"/>
      <c r="K179" s="1671"/>
      <c r="L179" s="2534"/>
      <c r="M179" s="2534"/>
      <c r="N179" s="2534"/>
      <c r="O179" s="2534"/>
    </row>
    <row r="180" spans="1:15">
      <c r="A180" s="2724"/>
      <c r="B180" s="2724"/>
      <c r="C180" s="2724"/>
      <c r="D180" s="2724"/>
      <c r="E180" s="2724"/>
      <c r="F180" s="107"/>
      <c r="G180" s="2722"/>
      <c r="H180" s="2723"/>
      <c r="I180" s="2722"/>
      <c r="J180" s="2722"/>
      <c r="K180" s="2722"/>
      <c r="L180" s="2534"/>
      <c r="M180" s="2534"/>
      <c r="N180" s="2534"/>
      <c r="O180" s="2534"/>
    </row>
    <row r="181" spans="1:15">
      <c r="A181" s="1650">
        <v>27</v>
      </c>
      <c r="B181" s="123"/>
      <c r="C181" s="123"/>
      <c r="D181" s="121" t="s">
        <v>1271</v>
      </c>
      <c r="E181" s="1671">
        <f>SUM(E152:E177)</f>
        <v>432571147</v>
      </c>
      <c r="F181" s="1592"/>
      <c r="G181" s="1671">
        <f>SUM(G152:G177)</f>
        <v>156744179</v>
      </c>
      <c r="H181" s="1679"/>
      <c r="I181" s="1671">
        <f>SUM(I152:I177)</f>
        <v>156744179</v>
      </c>
      <c r="J181" s="1671">
        <f>SUM(J152:J177)</f>
        <v>-4630102</v>
      </c>
      <c r="K181" s="1671">
        <f>SUM(K152:K177)</f>
        <v>152114077</v>
      </c>
      <c r="L181" s="2534"/>
      <c r="M181" s="2534"/>
      <c r="N181" s="2682" t="str">
        <f>IF(E181='SCH B-2.1'!I175,"BALANCED","ERROR")</f>
        <v>BALANCED</v>
      </c>
      <c r="O181" s="2534"/>
    </row>
    <row r="182" spans="1:15">
      <c r="A182" s="123"/>
      <c r="B182" s="123"/>
      <c r="C182" s="123"/>
      <c r="D182" s="123"/>
      <c r="E182" s="123"/>
      <c r="F182" s="1659"/>
      <c r="G182" s="1671"/>
      <c r="H182" s="1679"/>
      <c r="I182" s="1671"/>
      <c r="J182" s="1671"/>
      <c r="K182" s="1671"/>
      <c r="L182" s="2534"/>
      <c r="M182" s="2534"/>
      <c r="N182" s="2534"/>
      <c r="O182" s="2534"/>
    </row>
    <row r="183" spans="1:15">
      <c r="A183" s="2724"/>
      <c r="B183" s="2724"/>
      <c r="C183" s="2724"/>
      <c r="D183" s="2724"/>
      <c r="E183" s="2724"/>
      <c r="F183" s="107"/>
      <c r="G183" s="2722"/>
      <c r="H183" s="2723"/>
      <c r="I183" s="2722"/>
      <c r="J183" s="2722"/>
      <c r="K183" s="2722"/>
      <c r="L183" s="2534"/>
      <c r="M183" s="2534"/>
      <c r="N183" s="2534"/>
      <c r="O183" s="2534"/>
    </row>
    <row r="184" spans="1:15">
      <c r="A184" s="1644" t="s">
        <v>1668</v>
      </c>
      <c r="B184" s="123"/>
      <c r="C184" s="123"/>
      <c r="D184" s="123"/>
      <c r="E184" s="123"/>
      <c r="F184" s="112"/>
      <c r="G184" s="1671"/>
      <c r="H184" s="1679"/>
      <c r="I184" s="1671"/>
      <c r="J184" s="1671"/>
      <c r="K184" s="1671"/>
      <c r="L184" s="2534"/>
      <c r="M184" s="2534"/>
      <c r="N184" s="2534"/>
      <c r="O184" s="2534"/>
    </row>
    <row r="185" spans="1:15">
      <c r="A185" s="123"/>
      <c r="B185" s="123"/>
      <c r="C185" s="123"/>
      <c r="D185" s="123"/>
      <c r="E185" s="123"/>
      <c r="F185" s="112"/>
      <c r="G185" s="1671"/>
      <c r="H185" s="1679"/>
      <c r="I185" s="1671"/>
      <c r="J185" s="1671"/>
      <c r="K185" s="1671"/>
      <c r="L185" s="2534"/>
      <c r="M185" s="2534"/>
      <c r="N185" s="2534"/>
      <c r="O185" s="2534"/>
    </row>
    <row r="186" spans="1:15">
      <c r="A186" s="1654" t="str">
        <f>COMPANY</f>
        <v>DUKE ENERGY KENTUCKY, INC.</v>
      </c>
      <c r="B186" s="1655"/>
      <c r="C186" s="1655"/>
      <c r="D186" s="1654"/>
      <c r="E186" s="1654"/>
      <c r="F186" s="2546"/>
      <c r="G186" s="1655"/>
      <c r="H186" s="2535"/>
      <c r="I186" s="1655"/>
      <c r="J186" s="1655"/>
      <c r="K186" s="1655"/>
      <c r="L186" s="2534"/>
      <c r="M186" s="2534"/>
      <c r="N186" s="2534"/>
      <c r="O186" s="2534"/>
    </row>
    <row r="187" spans="1:15">
      <c r="A187" s="1654" t="str">
        <f>CASE</f>
        <v>CASE NO. 2017-00321</v>
      </c>
      <c r="B187" s="1655"/>
      <c r="C187" s="1655"/>
      <c r="D187" s="1654"/>
      <c r="E187" s="1654"/>
      <c r="F187" s="2546"/>
      <c r="G187" s="1655"/>
      <c r="H187" s="2535"/>
      <c r="I187" s="1655"/>
      <c r="J187" s="1655"/>
      <c r="K187" s="1655"/>
      <c r="L187" s="2534"/>
      <c r="M187" s="2534"/>
      <c r="N187" s="2534"/>
      <c r="O187" s="2534"/>
    </row>
    <row r="188" spans="1:15">
      <c r="A188" s="1654" t="str">
        <f>A3</f>
        <v>ACCUMULATED DEPRECIATION AND AMORTIZATION</v>
      </c>
      <c r="B188" s="1655"/>
      <c r="C188" s="1655"/>
      <c r="D188" s="1654"/>
      <c r="E188" s="1654"/>
      <c r="F188" s="2546"/>
      <c r="G188" s="1655"/>
      <c r="H188" s="2535"/>
      <c r="I188" s="1655"/>
      <c r="J188" s="1655"/>
      <c r="K188" s="1655"/>
      <c r="L188" s="2534"/>
      <c r="M188" s="2534"/>
      <c r="N188" s="2534"/>
      <c r="O188" s="2534"/>
    </row>
    <row r="189" spans="1:15">
      <c r="A189" s="76" t="str">
        <f>"AS OF " &amp;RIGHT(TESTYR,(LEN(TESTYR)-16))</f>
        <v>AS OF NOVEMBER 30, 2017</v>
      </c>
      <c r="B189" s="1655"/>
      <c r="C189" s="1655"/>
      <c r="D189" s="1654"/>
      <c r="E189" s="1654"/>
      <c r="F189" s="2546"/>
      <c r="G189" s="1655"/>
      <c r="H189" s="2535"/>
      <c r="I189" s="1655"/>
      <c r="J189" s="1655"/>
      <c r="K189" s="1655"/>
      <c r="L189" s="2534"/>
      <c r="M189" s="2534"/>
      <c r="N189" s="2534"/>
      <c r="O189" s="2534"/>
    </row>
    <row r="190" spans="1:15">
      <c r="A190" s="1655"/>
      <c r="B190" s="1655"/>
      <c r="C190" s="1655"/>
      <c r="D190" s="1655"/>
      <c r="E190" s="1655"/>
      <c r="F190" s="2547"/>
      <c r="G190" s="1655"/>
      <c r="H190" s="2535"/>
      <c r="I190" s="1655"/>
      <c r="J190" s="1655"/>
      <c r="K190" s="1655"/>
      <c r="L190" s="2534"/>
      <c r="M190" s="2534"/>
      <c r="N190" s="2534"/>
      <c r="O190" s="2534"/>
    </row>
    <row r="191" spans="1:15">
      <c r="A191" s="1654" t="s">
        <v>1272</v>
      </c>
      <c r="B191" s="1655"/>
      <c r="C191" s="1655"/>
      <c r="D191" s="1654"/>
      <c r="E191" s="1654"/>
      <c r="F191" s="2546"/>
      <c r="G191" s="1655"/>
      <c r="H191" s="2535"/>
      <c r="I191" s="1655"/>
      <c r="J191" s="1655"/>
      <c r="K191" s="1655"/>
      <c r="L191" s="2534"/>
      <c r="M191" s="2534"/>
      <c r="N191" s="2534"/>
      <c r="O191" s="2534"/>
    </row>
    <row r="192" spans="1:15">
      <c r="A192" s="1657" t="s">
        <v>1799</v>
      </c>
      <c r="B192" s="1655"/>
      <c r="C192" s="1655"/>
      <c r="D192" s="1654"/>
      <c r="E192" s="1654"/>
      <c r="F192" s="2546"/>
      <c r="G192" s="1655"/>
      <c r="H192" s="2535"/>
      <c r="I192" s="1655"/>
      <c r="J192" s="1655"/>
      <c r="K192" s="1655"/>
      <c r="L192" s="2534"/>
      <c r="M192" s="2534"/>
      <c r="N192" s="2534"/>
      <c r="O192" s="2534"/>
    </row>
    <row r="193" spans="1:15">
      <c r="A193" s="1656"/>
      <c r="B193" s="123"/>
      <c r="C193" s="123"/>
      <c r="D193" s="123"/>
      <c r="E193" s="123"/>
      <c r="F193" s="112"/>
      <c r="G193" s="123"/>
      <c r="H193" s="2536"/>
      <c r="I193" s="123"/>
      <c r="J193" s="123"/>
      <c r="K193" s="123"/>
      <c r="L193" s="2534"/>
      <c r="M193" s="2534"/>
      <c r="N193" s="2534"/>
      <c r="O193" s="2534"/>
    </row>
    <row r="194" spans="1:15">
      <c r="A194" s="2534"/>
      <c r="B194" s="123"/>
      <c r="C194" s="123"/>
      <c r="D194" s="123"/>
      <c r="E194" s="123"/>
      <c r="F194" s="112"/>
      <c r="G194" s="123"/>
      <c r="H194" s="2536"/>
      <c r="I194" s="123"/>
      <c r="J194" s="121"/>
      <c r="K194" s="123"/>
      <c r="L194" s="2534"/>
      <c r="M194" s="2534"/>
      <c r="N194" s="2534"/>
      <c r="O194" s="2534"/>
    </row>
    <row r="195" spans="1:15">
      <c r="A195" s="121" t="str">
        <f>Data</f>
        <v>DATA: "X" BASE PERIOD   FORECASTED PERIOD</v>
      </c>
      <c r="B195" s="123"/>
      <c r="C195" s="123"/>
      <c r="D195" s="123"/>
      <c r="E195" s="123"/>
      <c r="F195" s="112"/>
      <c r="G195" s="123"/>
      <c r="H195" s="2536"/>
      <c r="I195" s="123"/>
      <c r="J195" s="1658" t="str">
        <f>J10</f>
        <v>SCHEDULE B-3</v>
      </c>
      <c r="K195" s="123"/>
      <c r="L195" s="2534"/>
      <c r="M195" s="2534"/>
      <c r="N195" s="2534"/>
      <c r="O195" s="2534"/>
    </row>
    <row r="196" spans="1:15">
      <c r="A196" s="121" t="str">
        <f>Type</f>
        <v xml:space="preserve">TYPE OF FILING:  "X" ORIGINAL   UPDATED    REVISED  </v>
      </c>
      <c r="B196" s="123"/>
      <c r="C196" s="123"/>
      <c r="D196" s="123"/>
      <c r="E196" s="123"/>
      <c r="F196" s="112"/>
      <c r="G196" s="123"/>
      <c r="H196" s="2536"/>
      <c r="I196" s="123"/>
      <c r="J196" s="1658" t="s">
        <v>1907</v>
      </c>
      <c r="K196" s="123"/>
      <c r="L196" s="2534"/>
      <c r="M196" s="2534"/>
      <c r="N196" s="2534"/>
      <c r="O196" s="2534"/>
    </row>
    <row r="197" spans="1:15">
      <c r="A197" s="121" t="str">
        <f>A12</f>
        <v>WORK PAPER REFERENCE NO(S).: SCHEDULE B-2.1, SCHEDULE B-3.1</v>
      </c>
      <c r="B197" s="123"/>
      <c r="C197" s="123"/>
      <c r="D197" s="123"/>
      <c r="E197" s="123"/>
      <c r="F197" s="112"/>
      <c r="G197" s="123"/>
      <c r="H197" s="2536"/>
      <c r="I197" s="123"/>
      <c r="J197" s="1671" t="str">
        <f>J12</f>
        <v>WITNESS RESPONSIBLE:</v>
      </c>
      <c r="K197" s="123"/>
      <c r="L197" s="2534"/>
      <c r="M197" s="2534"/>
      <c r="N197" s="2534"/>
      <c r="O197" s="2534"/>
    </row>
    <row r="198" spans="1:15">
      <c r="A198" s="123"/>
      <c r="B198" s="123"/>
      <c r="C198" s="123"/>
      <c r="D198" s="123"/>
      <c r="E198" s="123"/>
      <c r="F198" s="112"/>
      <c r="G198" s="123"/>
      <c r="H198" s="2536"/>
      <c r="I198" s="123"/>
      <c r="J198" s="123" t="str">
        <f>J13</f>
        <v>R. H. PRATT / C. S. LEE</v>
      </c>
      <c r="K198" s="123"/>
      <c r="L198" s="2534"/>
      <c r="M198" s="2534"/>
      <c r="N198" s="2534"/>
      <c r="O198" s="2534"/>
    </row>
    <row r="199" spans="1:15">
      <c r="A199" s="123"/>
      <c r="B199" s="123"/>
      <c r="C199" s="123"/>
      <c r="D199" s="123"/>
      <c r="E199" s="123"/>
      <c r="F199" s="112"/>
      <c r="G199" s="123"/>
      <c r="H199" s="2536"/>
      <c r="I199" s="123"/>
      <c r="J199" s="123"/>
      <c r="K199" s="123"/>
      <c r="L199" s="2534"/>
      <c r="M199" s="2534"/>
      <c r="N199" s="2534"/>
      <c r="O199" s="2534"/>
    </row>
    <row r="200" spans="1:15">
      <c r="A200" s="123"/>
      <c r="B200" s="1659"/>
      <c r="C200" s="123"/>
      <c r="D200" s="123"/>
      <c r="E200" s="123"/>
      <c r="F200" s="1659"/>
      <c r="G200" s="123"/>
      <c r="H200" s="2536"/>
      <c r="I200" s="123"/>
      <c r="J200" s="123"/>
      <c r="K200" s="123"/>
      <c r="L200" s="2534"/>
      <c r="M200" s="2534"/>
      <c r="N200" s="2534"/>
      <c r="O200" s="2534"/>
    </row>
    <row r="201" spans="1:15">
      <c r="A201" s="2724"/>
      <c r="B201" s="115"/>
      <c r="C201" s="2727" t="s">
        <v>1799</v>
      </c>
      <c r="D201" s="2724"/>
      <c r="E201" s="2731" t="str">
        <f>E16</f>
        <v>Base</v>
      </c>
      <c r="F201" s="106"/>
      <c r="G201" s="2724"/>
      <c r="H201" s="2726"/>
      <c r="I201" s="2724"/>
      <c r="J201" s="2724"/>
      <c r="K201" s="2724"/>
      <c r="L201" s="2534"/>
      <c r="M201" s="2534"/>
      <c r="N201" s="2534"/>
      <c r="O201" s="2534"/>
    </row>
    <row r="202" spans="1:15">
      <c r="A202" s="107"/>
      <c r="B202" s="115" t="s">
        <v>943</v>
      </c>
      <c r="C202" s="115" t="s">
        <v>1750</v>
      </c>
      <c r="D202" s="107"/>
      <c r="E202" s="106" t="str">
        <f>E17</f>
        <v>Period</v>
      </c>
      <c r="F202" s="106"/>
      <c r="G202" s="116" t="str">
        <f>G17</f>
        <v>Base Period Accumulated Balances</v>
      </c>
      <c r="H202" s="117"/>
      <c r="I202" s="117"/>
      <c r="J202" s="117"/>
      <c r="K202" s="117"/>
      <c r="L202" s="2534"/>
      <c r="M202" s="2534"/>
      <c r="N202" s="2534"/>
      <c r="O202" s="2534"/>
    </row>
    <row r="203" spans="1:15">
      <c r="A203" s="1650" t="s">
        <v>1240</v>
      </c>
      <c r="B203" s="1650" t="s">
        <v>1164</v>
      </c>
      <c r="C203" s="1650" t="s">
        <v>1164</v>
      </c>
      <c r="D203" s="123"/>
      <c r="E203" s="1647" t="str">
        <f>E18</f>
        <v>Total</v>
      </c>
      <c r="F203" s="109"/>
      <c r="G203" s="1650" t="s">
        <v>826</v>
      </c>
      <c r="H203" s="2538" t="s">
        <v>450</v>
      </c>
      <c r="I203" s="1650" t="s">
        <v>1669</v>
      </c>
      <c r="J203" s="123"/>
      <c r="K203" s="1650" t="s">
        <v>574</v>
      </c>
      <c r="L203" s="2534"/>
      <c r="M203" s="2534"/>
      <c r="N203" s="2534"/>
      <c r="O203" s="2534"/>
    </row>
    <row r="204" spans="1:15">
      <c r="A204" s="1650" t="s">
        <v>1241</v>
      </c>
      <c r="B204" s="1650" t="s">
        <v>1241</v>
      </c>
      <c r="C204" s="1650" t="s">
        <v>1241</v>
      </c>
      <c r="D204" s="1650" t="s">
        <v>1165</v>
      </c>
      <c r="E204" s="2537" t="str">
        <f>E19</f>
        <v>Company (1)</v>
      </c>
      <c r="F204" s="2539"/>
      <c r="G204" s="2539" t="s">
        <v>1750</v>
      </c>
      <c r="H204" s="2541" t="s">
        <v>363</v>
      </c>
      <c r="I204" s="2539" t="s">
        <v>1929</v>
      </c>
      <c r="J204" s="2539" t="s">
        <v>573</v>
      </c>
      <c r="K204" s="2539" t="s">
        <v>1449</v>
      </c>
      <c r="L204" s="2534"/>
      <c r="M204" s="2534"/>
      <c r="N204" s="2534"/>
      <c r="O204" s="2534"/>
    </row>
    <row r="205" spans="1:15">
      <c r="A205" s="2724"/>
      <c r="B205" s="2724"/>
      <c r="C205" s="2724"/>
      <c r="D205" s="2724"/>
      <c r="E205" s="2724"/>
      <c r="F205" s="107"/>
      <c r="G205" s="1650" t="s">
        <v>1705</v>
      </c>
      <c r="H205" s="2536"/>
      <c r="I205" s="1650" t="s">
        <v>1705</v>
      </c>
      <c r="J205" s="1650" t="s">
        <v>1705</v>
      </c>
      <c r="K205" s="1650" t="s">
        <v>1705</v>
      </c>
      <c r="L205" s="2534"/>
      <c r="M205" s="2534"/>
      <c r="N205" s="2534"/>
      <c r="O205" s="2534"/>
    </row>
    <row r="206" spans="1:15">
      <c r="A206" s="123"/>
      <c r="B206" s="123"/>
      <c r="C206" s="123"/>
      <c r="D206" s="123"/>
      <c r="E206" s="123"/>
      <c r="F206" s="112"/>
      <c r="G206" s="2534"/>
      <c r="H206" s="2548"/>
      <c r="I206" s="2534"/>
      <c r="J206" s="2534"/>
      <c r="K206" s="2534"/>
      <c r="L206" s="2534"/>
      <c r="M206" s="2534"/>
      <c r="N206" s="2534"/>
      <c r="O206" s="2534"/>
    </row>
    <row r="207" spans="1:15">
      <c r="A207" s="1650">
        <v>1</v>
      </c>
      <c r="B207" s="1505">
        <v>303</v>
      </c>
      <c r="C207" s="1505">
        <v>3030</v>
      </c>
      <c r="D207" s="1506" t="s">
        <v>1273</v>
      </c>
      <c r="E207" s="1514">
        <f>'SCH B-2.1'!I201</f>
        <v>12504384</v>
      </c>
      <c r="F207" s="112"/>
      <c r="G207" s="1543">
        <v>8933939</v>
      </c>
      <c r="H207" s="2543">
        <v>1</v>
      </c>
      <c r="I207" s="1671">
        <f t="shared" ref="I207:I217" si="8">ROUND(G207*H207,0)</f>
        <v>8933939</v>
      </c>
      <c r="J207" s="1650"/>
      <c r="K207" s="1671">
        <f t="shared" ref="K207:K217" si="9">I207+J207</f>
        <v>8933939</v>
      </c>
      <c r="L207" s="2534"/>
      <c r="M207" s="2534"/>
      <c r="N207" s="2534"/>
      <c r="O207" s="2534"/>
    </row>
    <row r="208" spans="1:15">
      <c r="A208" s="1650">
        <v>2</v>
      </c>
      <c r="B208" s="1505">
        <v>390</v>
      </c>
      <c r="C208" s="1505">
        <v>3900</v>
      </c>
      <c r="D208" s="1506" t="s">
        <v>1170</v>
      </c>
      <c r="E208" s="1514">
        <f>'SCH B-2.1'!I202</f>
        <v>144984</v>
      </c>
      <c r="F208" s="1592"/>
      <c r="G208" s="1543">
        <v>46055</v>
      </c>
      <c r="H208" s="2543">
        <v>1</v>
      </c>
      <c r="I208" s="1671">
        <f t="shared" si="8"/>
        <v>46055</v>
      </c>
      <c r="J208" s="1671"/>
      <c r="K208" s="1671">
        <f t="shared" si="9"/>
        <v>46055</v>
      </c>
      <c r="L208" s="2534"/>
      <c r="M208" s="2534"/>
      <c r="N208" s="2534"/>
      <c r="O208" s="2534"/>
    </row>
    <row r="209" spans="1:15">
      <c r="A209" s="1650">
        <v>3</v>
      </c>
      <c r="B209" s="1505">
        <v>391</v>
      </c>
      <c r="C209" s="1505">
        <v>3910</v>
      </c>
      <c r="D209" s="1506" t="s">
        <v>1274</v>
      </c>
      <c r="E209" s="1514">
        <f>'SCH B-2.1'!I203</f>
        <v>15317</v>
      </c>
      <c r="F209" s="1592"/>
      <c r="G209" s="1543">
        <v>16572</v>
      </c>
      <c r="H209" s="2543">
        <v>1</v>
      </c>
      <c r="I209" s="1671">
        <f t="shared" si="8"/>
        <v>16572</v>
      </c>
      <c r="J209" s="1658"/>
      <c r="K209" s="1671">
        <f t="shared" si="9"/>
        <v>16572</v>
      </c>
      <c r="L209" s="2534"/>
      <c r="M209" s="2534"/>
      <c r="N209" s="2534"/>
      <c r="O209" s="2534"/>
    </row>
    <row r="210" spans="1:15">
      <c r="A210" s="1650">
        <v>4</v>
      </c>
      <c r="B210" s="1505">
        <v>391</v>
      </c>
      <c r="C210" s="1505">
        <v>3911</v>
      </c>
      <c r="D210" s="1506" t="s">
        <v>2289</v>
      </c>
      <c r="E210" s="1514">
        <f>'SCH B-2.1'!I204</f>
        <v>2474271</v>
      </c>
      <c r="F210" s="1593"/>
      <c r="G210" s="1543">
        <v>1817462</v>
      </c>
      <c r="H210" s="2543">
        <v>1</v>
      </c>
      <c r="I210" s="1671">
        <f t="shared" si="8"/>
        <v>1817462</v>
      </c>
      <c r="J210" s="1658"/>
      <c r="K210" s="1671">
        <f t="shared" si="9"/>
        <v>1817462</v>
      </c>
      <c r="L210" s="2534"/>
      <c r="M210" s="2534"/>
      <c r="N210" s="2534"/>
      <c r="O210" s="2534"/>
    </row>
    <row r="211" spans="1:15">
      <c r="A211" s="1650">
        <v>5</v>
      </c>
      <c r="B211" s="1505">
        <v>392</v>
      </c>
      <c r="C211" s="1505">
        <v>3920</v>
      </c>
      <c r="D211" s="1506" t="s">
        <v>2750</v>
      </c>
      <c r="E211" s="1514">
        <f>'SCH B-2.1'!I206</f>
        <v>201060</v>
      </c>
      <c r="F211" s="1593"/>
      <c r="G211" s="1543">
        <v>11393</v>
      </c>
      <c r="H211" s="2543">
        <v>1</v>
      </c>
      <c r="I211" s="1671">
        <f t="shared" si="8"/>
        <v>11393</v>
      </c>
      <c r="J211" s="1671"/>
      <c r="K211" s="1671">
        <f t="shared" si="9"/>
        <v>11393</v>
      </c>
      <c r="L211" s="2534"/>
      <c r="M211" s="2534"/>
      <c r="N211" s="2534"/>
      <c r="O211" s="2534"/>
    </row>
    <row r="212" spans="1:15">
      <c r="A212" s="1650">
        <v>6</v>
      </c>
      <c r="B212" s="1505">
        <v>392</v>
      </c>
      <c r="C212" s="1505">
        <v>3921</v>
      </c>
      <c r="D212" s="1506" t="s">
        <v>1275</v>
      </c>
      <c r="E212" s="1514">
        <f>'SCH B-2.1'!I205</f>
        <v>218720</v>
      </c>
      <c r="F212" s="1593"/>
      <c r="G212" s="1543">
        <v>126203</v>
      </c>
      <c r="H212" s="2543">
        <v>1</v>
      </c>
      <c r="I212" s="1671">
        <f t="shared" si="8"/>
        <v>126203</v>
      </c>
      <c r="J212" s="1671"/>
      <c r="K212" s="1671">
        <f t="shared" si="9"/>
        <v>126203</v>
      </c>
      <c r="L212" s="2534"/>
      <c r="M212" s="2534"/>
      <c r="N212" s="2534"/>
      <c r="O212" s="2534"/>
    </row>
    <row r="213" spans="1:15">
      <c r="A213" s="1650">
        <v>7</v>
      </c>
      <c r="B213" s="1505">
        <v>394</v>
      </c>
      <c r="C213" s="1505">
        <v>3940</v>
      </c>
      <c r="D213" s="1506" t="s">
        <v>774</v>
      </c>
      <c r="E213" s="1514">
        <f>'SCH B-2.1'!I207</f>
        <v>2074710</v>
      </c>
      <c r="F213" s="1592"/>
      <c r="G213" s="1543">
        <v>490923</v>
      </c>
      <c r="H213" s="2543">
        <v>1</v>
      </c>
      <c r="I213" s="1671">
        <f t="shared" si="8"/>
        <v>490923</v>
      </c>
      <c r="J213" s="1658"/>
      <c r="K213" s="1671">
        <f t="shared" si="9"/>
        <v>490923</v>
      </c>
      <c r="L213" s="2534"/>
      <c r="M213" s="2534"/>
      <c r="N213" s="2534"/>
      <c r="O213" s="2534"/>
    </row>
    <row r="214" spans="1:15">
      <c r="A214" s="1650">
        <v>8</v>
      </c>
      <c r="B214" s="1505">
        <v>396</v>
      </c>
      <c r="C214" s="1505">
        <v>3960</v>
      </c>
      <c r="D214" s="1506" t="s">
        <v>1277</v>
      </c>
      <c r="E214" s="1514">
        <f>'SCH B-2.1'!I208</f>
        <v>11770</v>
      </c>
      <c r="F214" s="1592"/>
      <c r="G214" s="1543">
        <v>6048</v>
      </c>
      <c r="H214" s="2543">
        <v>1</v>
      </c>
      <c r="I214" s="1671">
        <f t="shared" si="8"/>
        <v>6048</v>
      </c>
      <c r="J214" s="1671"/>
      <c r="K214" s="1671">
        <f t="shared" si="9"/>
        <v>6048</v>
      </c>
      <c r="L214" s="2534"/>
      <c r="M214" s="2534"/>
      <c r="N214" s="2534"/>
      <c r="O214" s="2534"/>
    </row>
    <row r="215" spans="1:15">
      <c r="A215" s="1650">
        <v>9</v>
      </c>
      <c r="B215" s="1505">
        <v>397</v>
      </c>
      <c r="C215" s="1505">
        <v>3970</v>
      </c>
      <c r="D215" s="1506" t="s">
        <v>1330</v>
      </c>
      <c r="E215" s="1514">
        <f>'SCH B-2.1'!I209</f>
        <v>2909712</v>
      </c>
      <c r="F215" s="1592"/>
      <c r="G215" s="1543">
        <v>1334376</v>
      </c>
      <c r="H215" s="2543">
        <v>1</v>
      </c>
      <c r="I215" s="1671">
        <f t="shared" si="8"/>
        <v>1334376</v>
      </c>
      <c r="J215" s="1671"/>
      <c r="K215" s="1671">
        <f t="shared" si="9"/>
        <v>1334376</v>
      </c>
      <c r="L215" s="2534"/>
      <c r="M215" s="2534"/>
      <c r="N215" s="2534"/>
      <c r="O215" s="2534"/>
    </row>
    <row r="216" spans="1:15">
      <c r="A216" s="1650">
        <v>10</v>
      </c>
      <c r="B216" s="1505"/>
      <c r="C216" s="1505"/>
      <c r="D216" s="1506" t="s">
        <v>1483</v>
      </c>
      <c r="E216" s="1514">
        <f>'SCH B-2.1'!I210</f>
        <v>1807792</v>
      </c>
      <c r="F216" s="1592"/>
      <c r="G216" s="1543">
        <v>593539</v>
      </c>
      <c r="H216" s="2543">
        <v>1</v>
      </c>
      <c r="I216" s="1671">
        <f t="shared" si="8"/>
        <v>593539</v>
      </c>
      <c r="J216" s="1671"/>
      <c r="K216" s="1671">
        <f t="shared" si="9"/>
        <v>593539</v>
      </c>
      <c r="L216" s="2534"/>
      <c r="M216" s="2534"/>
      <c r="N216" s="2534"/>
      <c r="O216" s="2534"/>
    </row>
    <row r="217" spans="1:15">
      <c r="A217" s="1650">
        <v>11</v>
      </c>
      <c r="B217" s="1506"/>
      <c r="C217" s="1650">
        <v>108</v>
      </c>
      <c r="D217" s="121" t="s">
        <v>1329</v>
      </c>
      <c r="E217" s="1514"/>
      <c r="F217" s="1592"/>
      <c r="G217" s="1543">
        <v>11572</v>
      </c>
      <c r="H217" s="2543">
        <v>1</v>
      </c>
      <c r="I217" s="1671">
        <f t="shared" si="8"/>
        <v>11572</v>
      </c>
      <c r="J217" s="1671"/>
      <c r="K217" s="1671">
        <f t="shared" si="9"/>
        <v>11572</v>
      </c>
      <c r="L217" s="2534"/>
      <c r="M217" s="2534"/>
      <c r="N217" s="2534"/>
      <c r="O217" s="2534"/>
    </row>
    <row r="218" spans="1:15">
      <c r="A218" s="123"/>
      <c r="B218" s="123"/>
      <c r="C218" s="121"/>
      <c r="D218" s="123"/>
      <c r="E218" s="123"/>
      <c r="F218" s="112"/>
      <c r="G218" s="2557" t="s">
        <v>529</v>
      </c>
      <c r="H218" s="2543"/>
      <c r="I218" s="1658" t="s">
        <v>529</v>
      </c>
      <c r="J218" s="1671"/>
      <c r="K218" s="1671"/>
      <c r="L218" s="2534"/>
      <c r="M218" s="2534"/>
      <c r="N218" s="2534"/>
      <c r="O218" s="2534"/>
    </row>
    <row r="219" spans="1:15">
      <c r="A219" s="123"/>
      <c r="B219" s="123"/>
      <c r="C219" s="123"/>
      <c r="D219" s="123"/>
      <c r="E219" s="123"/>
      <c r="F219" s="1659"/>
      <c r="G219" s="1671"/>
      <c r="H219" s="1679"/>
      <c r="I219" s="1671"/>
      <c r="J219" s="1671"/>
      <c r="K219" s="1671"/>
      <c r="L219" s="2534"/>
      <c r="M219" s="2534"/>
      <c r="N219" s="2534"/>
      <c r="O219" s="2534"/>
    </row>
    <row r="220" spans="1:15">
      <c r="A220" s="2724"/>
      <c r="B220" s="2724"/>
      <c r="C220" s="2724"/>
      <c r="D220" s="2724"/>
      <c r="E220" s="2724"/>
      <c r="F220" s="107"/>
      <c r="G220" s="2722"/>
      <c r="H220" s="2723"/>
      <c r="I220" s="2722"/>
      <c r="J220" s="2722"/>
      <c r="K220" s="2722"/>
      <c r="L220" s="2534"/>
      <c r="M220" s="2534"/>
      <c r="N220" s="2534"/>
      <c r="O220" s="2534"/>
    </row>
    <row r="221" spans="1:15">
      <c r="A221" s="1650">
        <v>12</v>
      </c>
      <c r="B221" s="123"/>
      <c r="C221" s="123"/>
      <c r="D221" s="121" t="s">
        <v>1279</v>
      </c>
      <c r="E221" s="1514">
        <f>SUM(E207:E220)</f>
        <v>22362720</v>
      </c>
      <c r="F221" s="1592"/>
      <c r="G221" s="1671">
        <f>SUM(G207:G220)</f>
        <v>13388082</v>
      </c>
      <c r="H221" s="1679"/>
      <c r="I221" s="1671">
        <f>SUM(I207:I220)</f>
        <v>13388082</v>
      </c>
      <c r="J221" s="1671">
        <f>SUM(J208:J220)</f>
        <v>0</v>
      </c>
      <c r="K221" s="1671">
        <f>SUM(K207:K220)</f>
        <v>13388082</v>
      </c>
      <c r="L221" s="2534"/>
      <c r="M221" s="2534"/>
      <c r="N221" s="2682" t="str">
        <f>IF(E221='SCH B-2.1'!I214,"BALANCED","ERROR")</f>
        <v>BALANCED</v>
      </c>
      <c r="O221" s="2534"/>
    </row>
    <row r="222" spans="1:15">
      <c r="A222" s="123"/>
      <c r="B222" s="123"/>
      <c r="C222" s="123"/>
      <c r="D222" s="123"/>
      <c r="E222" s="123"/>
      <c r="F222" s="1659"/>
      <c r="G222" s="1671"/>
      <c r="H222" s="1679"/>
      <c r="I222" s="1671"/>
      <c r="J222" s="1671"/>
      <c r="K222" s="1671"/>
      <c r="L222" s="2534"/>
      <c r="M222" s="2534"/>
      <c r="N222" s="2534"/>
      <c r="O222" s="2534"/>
    </row>
    <row r="223" spans="1:15">
      <c r="A223" s="2724"/>
      <c r="B223" s="2724"/>
      <c r="C223" s="2724"/>
      <c r="D223" s="2724"/>
      <c r="E223" s="2724"/>
      <c r="F223" s="107"/>
      <c r="G223" s="2722"/>
      <c r="H223" s="2723"/>
      <c r="I223" s="2722"/>
      <c r="J223" s="2722"/>
      <c r="K223" s="2722"/>
      <c r="L223" s="2534"/>
      <c r="M223" s="2534"/>
      <c r="N223" s="2534"/>
      <c r="O223" s="2534"/>
    </row>
    <row r="224" spans="1:15">
      <c r="A224" s="1650">
        <v>13</v>
      </c>
      <c r="B224" s="123"/>
      <c r="C224" s="123"/>
      <c r="D224" s="121" t="s">
        <v>56</v>
      </c>
      <c r="E224" s="1671">
        <f>E42+E85+E126+E181+E221</f>
        <v>1513497691</v>
      </c>
      <c r="F224" s="1592"/>
      <c r="G224" s="1671">
        <f>G42+G85+G126+G181+G221</f>
        <v>819414974</v>
      </c>
      <c r="H224" s="2536"/>
      <c r="I224" s="1671">
        <f>I42+I85+I126+I181+I221</f>
        <v>819414974</v>
      </c>
      <c r="J224" s="1671">
        <f>J42+J85+J126+J181+J221</f>
        <v>-13157178</v>
      </c>
      <c r="K224" s="1671">
        <f>K42+K85+K126+K181+K221</f>
        <v>806257796</v>
      </c>
      <c r="L224" s="2534"/>
      <c r="M224" s="2534"/>
      <c r="N224" s="2682" t="str">
        <f>IF(E224='SCH B-2.1'!I217,"BALANCED","ERROR")</f>
        <v>BALANCED</v>
      </c>
      <c r="O224" s="2534"/>
    </row>
    <row r="225" spans="1:15">
      <c r="A225" s="123"/>
      <c r="B225" s="123"/>
      <c r="C225" s="123"/>
      <c r="D225" s="123"/>
      <c r="E225" s="123"/>
      <c r="F225" s="1659"/>
      <c r="G225" s="123"/>
      <c r="H225" s="2536"/>
      <c r="I225" s="123"/>
      <c r="J225" s="123"/>
      <c r="K225" s="123"/>
      <c r="L225" s="2534"/>
      <c r="M225" s="2534"/>
      <c r="N225" s="2534"/>
      <c r="O225" s="2534"/>
    </row>
    <row r="226" spans="1:15">
      <c r="A226" s="2724"/>
      <c r="B226" s="2724"/>
      <c r="C226" s="2724"/>
      <c r="D226" s="2724"/>
      <c r="E226" s="2724"/>
      <c r="F226" s="107"/>
      <c r="G226" s="2724"/>
      <c r="H226" s="2726"/>
      <c r="I226" s="2724"/>
      <c r="J226" s="2724"/>
      <c r="K226" s="2724"/>
      <c r="L226" s="2534"/>
      <c r="M226" s="2534"/>
      <c r="N226" s="2534"/>
      <c r="O226" s="2534"/>
    </row>
    <row r="227" spans="1:15">
      <c r="A227" s="1644" t="s">
        <v>1668</v>
      </c>
      <c r="B227" s="123"/>
      <c r="C227" s="123"/>
      <c r="D227" s="123"/>
      <c r="E227" s="123"/>
      <c r="F227" s="112"/>
      <c r="G227" s="123"/>
      <c r="H227" s="2536"/>
      <c r="I227" s="123"/>
      <c r="J227" s="123"/>
      <c r="K227" s="123"/>
      <c r="L227" s="2534"/>
      <c r="M227" s="2534"/>
      <c r="N227" s="2534"/>
      <c r="O227" s="2534"/>
    </row>
    <row r="228" spans="1:15">
      <c r="A228" s="123"/>
      <c r="B228" s="123"/>
      <c r="C228" s="123"/>
      <c r="D228" s="123"/>
      <c r="E228" s="123"/>
      <c r="F228" s="112"/>
      <c r="G228" s="1671"/>
      <c r="H228" s="1679"/>
      <c r="I228" s="1671"/>
      <c r="J228" s="1671"/>
      <c r="K228" s="1671"/>
      <c r="L228" s="2534"/>
      <c r="M228" s="2534"/>
      <c r="N228" s="2534"/>
      <c r="O228" s="2534"/>
    </row>
    <row r="229" spans="1:15">
      <c r="A229" s="1654" t="str">
        <f>COMPANY</f>
        <v>DUKE ENERGY KENTUCKY, INC.</v>
      </c>
      <c r="B229" s="1655"/>
      <c r="C229" s="1655"/>
      <c r="D229" s="1654"/>
      <c r="E229" s="1654"/>
      <c r="F229" s="2546"/>
      <c r="G229" s="1655"/>
      <c r="H229" s="2535"/>
      <c r="I229" s="1655"/>
      <c r="J229" s="1655"/>
      <c r="K229" s="1655"/>
      <c r="L229" s="2534"/>
      <c r="M229" s="2534"/>
      <c r="N229" s="2534"/>
      <c r="O229" s="2534"/>
    </row>
    <row r="230" spans="1:15">
      <c r="A230" s="1654" t="str">
        <f>CASE</f>
        <v>CASE NO. 2017-00321</v>
      </c>
      <c r="B230" s="1655"/>
      <c r="C230" s="1655"/>
      <c r="D230" s="1654"/>
      <c r="E230" s="1654"/>
      <c r="F230" s="2546"/>
      <c r="G230" s="1655"/>
      <c r="H230" s="2535"/>
      <c r="I230" s="1655"/>
      <c r="J230" s="1655"/>
      <c r="K230" s="1655"/>
      <c r="L230" s="2534"/>
      <c r="M230" s="2534"/>
      <c r="N230" s="2534"/>
      <c r="O230" s="2534"/>
    </row>
    <row r="231" spans="1:15">
      <c r="A231" s="1654" t="str">
        <f>A3</f>
        <v>ACCUMULATED DEPRECIATION AND AMORTIZATION</v>
      </c>
      <c r="B231" s="1655"/>
      <c r="C231" s="1655"/>
      <c r="D231" s="1654"/>
      <c r="E231" s="1654"/>
      <c r="F231" s="2546"/>
      <c r="G231" s="1655"/>
      <c r="H231" s="2535"/>
      <c r="I231" s="1655"/>
      <c r="J231" s="1655"/>
      <c r="K231" s="1655"/>
      <c r="L231" s="2534"/>
      <c r="M231" s="2534"/>
      <c r="N231" s="2534"/>
      <c r="O231" s="2534"/>
    </row>
    <row r="232" spans="1:15">
      <c r="A232" s="76" t="str">
        <f>"AS OF " &amp;RIGHT(TESTYR,(LEN(TESTYR)-16))</f>
        <v>AS OF NOVEMBER 30, 2017</v>
      </c>
      <c r="B232" s="1655"/>
      <c r="C232" s="1655"/>
      <c r="D232" s="1654"/>
      <c r="E232" s="1654"/>
      <c r="F232" s="2546"/>
      <c r="G232" s="1655"/>
      <c r="H232" s="2535"/>
      <c r="I232" s="1655"/>
      <c r="J232" s="1655"/>
      <c r="K232" s="1655"/>
      <c r="L232" s="2534"/>
      <c r="M232" s="2534"/>
      <c r="N232" s="2534"/>
      <c r="O232" s="2534"/>
    </row>
    <row r="233" spans="1:15">
      <c r="A233" s="1655"/>
      <c r="B233" s="1655"/>
      <c r="C233" s="1655"/>
      <c r="D233" s="1655"/>
      <c r="E233" s="1655"/>
      <c r="F233" s="2547"/>
      <c r="G233" s="1655"/>
      <c r="H233" s="2535"/>
      <c r="I233" s="1655"/>
      <c r="J233" s="1655"/>
      <c r="K233" s="1655"/>
      <c r="L233" s="2534"/>
      <c r="M233" s="2534"/>
      <c r="N233" s="2534"/>
      <c r="O233" s="2534"/>
    </row>
    <row r="234" spans="1:15">
      <c r="A234" s="1654" t="s">
        <v>1280</v>
      </c>
      <c r="B234" s="1655"/>
      <c r="C234" s="1655"/>
      <c r="D234" s="1654"/>
      <c r="E234" s="1654"/>
      <c r="F234" s="2546"/>
      <c r="G234" s="1655"/>
      <c r="H234" s="2535"/>
      <c r="I234" s="1655"/>
      <c r="J234" s="1655"/>
      <c r="K234" s="1655"/>
      <c r="L234" s="2534"/>
      <c r="M234" s="2534"/>
      <c r="N234" s="2534"/>
      <c r="O234" s="2534"/>
    </row>
    <row r="235" spans="1:15">
      <c r="A235" s="1657" t="s">
        <v>1799</v>
      </c>
      <c r="B235" s="1655"/>
      <c r="C235" s="1655"/>
      <c r="D235" s="1654"/>
      <c r="E235" s="1654"/>
      <c r="F235" s="2546"/>
      <c r="G235" s="1655"/>
      <c r="H235" s="2535"/>
      <c r="I235" s="1655"/>
      <c r="J235" s="1655"/>
      <c r="K235" s="1655"/>
      <c r="L235" s="2534"/>
      <c r="M235" s="2534"/>
      <c r="N235" s="2534"/>
      <c r="O235" s="2534"/>
    </row>
    <row r="236" spans="1:15">
      <c r="A236" s="1656"/>
      <c r="B236" s="123"/>
      <c r="C236" s="123"/>
      <c r="D236" s="123"/>
      <c r="E236" s="123"/>
      <c r="F236" s="112"/>
      <c r="G236" s="123"/>
      <c r="H236" s="2536"/>
      <c r="I236" s="123"/>
      <c r="J236" s="123"/>
      <c r="K236" s="123"/>
      <c r="L236" s="2534"/>
      <c r="M236" s="2534"/>
      <c r="N236" s="2534"/>
      <c r="O236" s="2534"/>
    </row>
    <row r="237" spans="1:15">
      <c r="A237" s="121"/>
      <c r="B237" s="123"/>
      <c r="C237" s="123"/>
      <c r="D237" s="123"/>
      <c r="E237" s="123"/>
      <c r="F237" s="112"/>
      <c r="G237" s="123"/>
      <c r="H237" s="2536"/>
      <c r="I237" s="123"/>
      <c r="J237" s="121"/>
      <c r="K237" s="123"/>
      <c r="L237" s="2534"/>
      <c r="M237" s="2534"/>
      <c r="N237" s="2534"/>
      <c r="O237" s="2534"/>
    </row>
    <row r="238" spans="1:15">
      <c r="A238" s="121" t="str">
        <f>Data</f>
        <v>DATA: "X" BASE PERIOD   FORECASTED PERIOD</v>
      </c>
      <c r="B238" s="123"/>
      <c r="C238" s="123"/>
      <c r="D238" s="123"/>
      <c r="E238" s="123"/>
      <c r="F238" s="112"/>
      <c r="G238" s="123"/>
      <c r="H238" s="2536"/>
      <c r="I238" s="123"/>
      <c r="J238" s="1658" t="str">
        <f>J10</f>
        <v>SCHEDULE B-3</v>
      </c>
      <c r="K238" s="123"/>
      <c r="L238" s="2534"/>
      <c r="M238" s="2534"/>
      <c r="N238" s="2534"/>
      <c r="O238" s="2534"/>
    </row>
    <row r="239" spans="1:15">
      <c r="A239" s="121" t="str">
        <f>Type</f>
        <v xml:space="preserve">TYPE OF FILING:  "X" ORIGINAL   UPDATED    REVISED  </v>
      </c>
      <c r="B239" s="123"/>
      <c r="C239" s="123"/>
      <c r="D239" s="123"/>
      <c r="E239" s="123"/>
      <c r="F239" s="112"/>
      <c r="G239" s="123"/>
      <c r="H239" s="2536"/>
      <c r="I239" s="123"/>
      <c r="J239" s="1658" t="s">
        <v>1906</v>
      </c>
      <c r="K239" s="123"/>
      <c r="L239" s="2534"/>
      <c r="M239" s="2534"/>
      <c r="N239" s="2534"/>
      <c r="O239" s="2534"/>
    </row>
    <row r="240" spans="1:15">
      <c r="A240" s="123" t="s">
        <v>1835</v>
      </c>
      <c r="B240" s="123"/>
      <c r="C240" s="123"/>
      <c r="D240" s="123"/>
      <c r="E240" s="123"/>
      <c r="F240" s="112"/>
      <c r="G240" s="123"/>
      <c r="H240" s="2536"/>
      <c r="I240" s="123"/>
      <c r="J240" s="1671" t="str">
        <f>J12</f>
        <v>WITNESS RESPONSIBLE:</v>
      </c>
      <c r="K240" s="123"/>
      <c r="L240" s="2534"/>
      <c r="M240" s="2534"/>
      <c r="N240" s="2534"/>
      <c r="O240" s="2534"/>
    </row>
    <row r="241" spans="1:15">
      <c r="A241" s="123"/>
      <c r="B241" s="123"/>
      <c r="C241" s="123"/>
      <c r="D241" s="123"/>
      <c r="E241" s="123"/>
      <c r="F241" s="112"/>
      <c r="G241" s="123"/>
      <c r="H241" s="2536"/>
      <c r="I241" s="123"/>
      <c r="J241" s="123" t="str">
        <f>J13</f>
        <v>R. H. PRATT / C. S. LEE</v>
      </c>
      <c r="K241" s="123"/>
      <c r="L241" s="2534"/>
      <c r="M241" s="2534"/>
      <c r="N241" s="2534"/>
      <c r="O241" s="2534"/>
    </row>
    <row r="242" spans="1:15">
      <c r="A242" s="123"/>
      <c r="B242" s="123"/>
      <c r="C242" s="123"/>
      <c r="D242" s="123"/>
      <c r="E242" s="123"/>
      <c r="F242" s="112"/>
      <c r="G242" s="123"/>
      <c r="H242" s="2536"/>
      <c r="I242" s="123"/>
      <c r="J242" s="123"/>
      <c r="K242" s="123"/>
      <c r="L242" s="2534"/>
      <c r="M242" s="2534"/>
      <c r="N242" s="2534"/>
      <c r="O242" s="2534"/>
    </row>
    <row r="243" spans="1:15">
      <c r="A243" s="123"/>
      <c r="B243" s="123"/>
      <c r="C243" s="123"/>
      <c r="D243" s="123"/>
      <c r="E243" s="123"/>
      <c r="F243" s="1659"/>
      <c r="G243" s="123"/>
      <c r="H243" s="2536"/>
      <c r="I243" s="123"/>
      <c r="J243" s="123"/>
      <c r="K243" s="123"/>
      <c r="L243" s="2534"/>
      <c r="M243" s="2534"/>
      <c r="N243" s="2534"/>
      <c r="O243" s="2534"/>
    </row>
    <row r="244" spans="1:15">
      <c r="A244" s="2724"/>
      <c r="B244" s="2728"/>
      <c r="C244" s="2727" t="s">
        <v>1799</v>
      </c>
      <c r="D244" s="2724"/>
      <c r="E244" s="2731" t="str">
        <f>E16</f>
        <v>Base</v>
      </c>
      <c r="F244" s="106"/>
      <c r="G244" s="2724"/>
      <c r="H244" s="2726"/>
      <c r="I244" s="2724"/>
      <c r="J244" s="2724"/>
      <c r="K244" s="2724"/>
      <c r="L244" s="2534"/>
      <c r="M244" s="2534"/>
      <c r="N244" s="2534"/>
      <c r="O244" s="2534"/>
    </row>
    <row r="245" spans="1:15">
      <c r="A245" s="107"/>
      <c r="B245" s="115" t="s">
        <v>943</v>
      </c>
      <c r="C245" s="115" t="s">
        <v>1750</v>
      </c>
      <c r="D245" s="107"/>
      <c r="E245" s="106" t="str">
        <f>E17</f>
        <v>Period</v>
      </c>
      <c r="F245" s="106"/>
      <c r="G245" s="116" t="str">
        <f>G17</f>
        <v>Base Period Accumulated Balances</v>
      </c>
      <c r="H245" s="117"/>
      <c r="I245" s="117"/>
      <c r="J245" s="117"/>
      <c r="K245" s="117"/>
      <c r="L245" s="2534"/>
      <c r="M245" s="2534"/>
      <c r="N245" s="2534"/>
      <c r="O245" s="2534"/>
    </row>
    <row r="246" spans="1:15">
      <c r="A246" s="1650" t="s">
        <v>1240</v>
      </c>
      <c r="B246" s="1650" t="s">
        <v>1164</v>
      </c>
      <c r="C246" s="1650" t="s">
        <v>1164</v>
      </c>
      <c r="D246" s="123"/>
      <c r="E246" s="1647" t="str">
        <f>E18</f>
        <v>Total</v>
      </c>
      <c r="F246" s="109"/>
      <c r="G246" s="1650" t="s">
        <v>1929</v>
      </c>
      <c r="H246" s="2538" t="s">
        <v>450</v>
      </c>
      <c r="I246" s="1650" t="s">
        <v>1669</v>
      </c>
      <c r="J246" s="123"/>
      <c r="K246" s="1650" t="s">
        <v>574</v>
      </c>
      <c r="L246" s="2534"/>
      <c r="M246" s="2534"/>
      <c r="N246" s="2534"/>
      <c r="O246" s="2534"/>
    </row>
    <row r="247" spans="1:15">
      <c r="A247" s="1650" t="s">
        <v>1241</v>
      </c>
      <c r="B247" s="1650" t="s">
        <v>1241</v>
      </c>
      <c r="C247" s="1650" t="s">
        <v>1241</v>
      </c>
      <c r="D247" s="1650" t="s">
        <v>1165</v>
      </c>
      <c r="E247" s="2537" t="str">
        <f>E19</f>
        <v>Company (1)</v>
      </c>
      <c r="F247" s="2539"/>
      <c r="G247" s="2539" t="s">
        <v>1750</v>
      </c>
      <c r="H247" s="2541" t="s">
        <v>363</v>
      </c>
      <c r="I247" s="2539" t="s">
        <v>1929</v>
      </c>
      <c r="J247" s="2539" t="s">
        <v>573</v>
      </c>
      <c r="K247" s="2539" t="s">
        <v>1449</v>
      </c>
      <c r="L247" s="2534"/>
      <c r="M247" s="2534"/>
      <c r="N247" s="2534"/>
      <c r="O247" s="2534"/>
    </row>
    <row r="248" spans="1:15">
      <c r="A248" s="2724"/>
      <c r="B248" s="2724"/>
      <c r="C248" s="2724"/>
      <c r="D248" s="2724"/>
      <c r="E248" s="2724"/>
      <c r="F248" s="107"/>
      <c r="G248" s="1650" t="s">
        <v>1705</v>
      </c>
      <c r="H248" s="2536"/>
      <c r="I248" s="1650" t="s">
        <v>1705</v>
      </c>
      <c r="J248" s="1650" t="s">
        <v>1705</v>
      </c>
      <c r="K248" s="1650" t="s">
        <v>1705</v>
      </c>
      <c r="L248" s="2534"/>
      <c r="M248" s="2534"/>
      <c r="N248" s="2534"/>
      <c r="O248" s="2534"/>
    </row>
    <row r="249" spans="1:15">
      <c r="A249" s="123"/>
      <c r="B249" s="123"/>
      <c r="C249" s="123"/>
      <c r="D249" s="123"/>
      <c r="E249" s="123"/>
      <c r="F249" s="112"/>
      <c r="G249" s="2534"/>
      <c r="H249" s="2548"/>
      <c r="I249" s="2534"/>
      <c r="J249" s="2534"/>
      <c r="K249" s="2534"/>
      <c r="L249" s="2534"/>
      <c r="M249" s="2534"/>
      <c r="N249" s="2534"/>
      <c r="O249" s="2534"/>
    </row>
    <row r="250" spans="1:15">
      <c r="A250" s="1650" t="s">
        <v>1166</v>
      </c>
      <c r="B250" s="1645"/>
      <c r="C250" s="1505">
        <v>1030</v>
      </c>
      <c r="D250" s="1506" t="s">
        <v>1273</v>
      </c>
      <c r="E250" s="1514">
        <f>'SCH B-2.1'!I243</f>
        <v>22332073</v>
      </c>
      <c r="F250" s="1592"/>
      <c r="G250" s="1543">
        <v>22284289</v>
      </c>
      <c r="H250" s="2543">
        <v>1</v>
      </c>
      <c r="I250" s="1671">
        <f t="shared" ref="I250:I260" si="10">ROUND(G250*H250,0)</f>
        <v>22284289</v>
      </c>
      <c r="J250" s="123"/>
      <c r="K250" s="1671">
        <f t="shared" ref="K250:K260" si="11">I250+J250</f>
        <v>22284289</v>
      </c>
      <c r="L250" s="2534"/>
      <c r="M250" s="2534"/>
      <c r="N250" s="2534"/>
      <c r="O250" s="2534"/>
    </row>
    <row r="251" spans="1:15">
      <c r="A251" s="1650">
        <v>2</v>
      </c>
      <c r="B251" s="1645"/>
      <c r="C251" s="1505">
        <v>1701</v>
      </c>
      <c r="D251" s="1506" t="s">
        <v>2290</v>
      </c>
      <c r="E251" s="1514">
        <f>'SCH B-2.1'!I244</f>
        <v>0</v>
      </c>
      <c r="F251" s="1592"/>
      <c r="G251" s="1543">
        <v>0</v>
      </c>
      <c r="H251" s="2543">
        <v>1</v>
      </c>
      <c r="I251" s="1671">
        <f t="shared" si="10"/>
        <v>0</v>
      </c>
      <c r="J251" s="1671"/>
      <c r="K251" s="1671">
        <f t="shared" si="11"/>
        <v>0</v>
      </c>
      <c r="L251" s="2534"/>
      <c r="M251" s="2534"/>
      <c r="N251" s="2534"/>
      <c r="O251" s="2534"/>
    </row>
    <row r="252" spans="1:15">
      <c r="A252" s="1650">
        <v>3</v>
      </c>
      <c r="B252" s="1645"/>
      <c r="C252" s="1505">
        <v>1890</v>
      </c>
      <c r="D252" s="1506" t="s">
        <v>849</v>
      </c>
      <c r="E252" s="1514">
        <f>'SCH B-2.1'!I245</f>
        <v>154248</v>
      </c>
      <c r="F252" s="1593"/>
      <c r="G252" s="1543">
        <v>0</v>
      </c>
      <c r="H252" s="2543">
        <v>1</v>
      </c>
      <c r="I252" s="1671">
        <f t="shared" si="10"/>
        <v>0</v>
      </c>
      <c r="J252" s="1671"/>
      <c r="K252" s="1671">
        <f t="shared" si="11"/>
        <v>0</v>
      </c>
      <c r="L252" s="2534"/>
      <c r="M252" s="2534"/>
      <c r="N252" s="2534"/>
      <c r="O252" s="2534"/>
    </row>
    <row r="253" spans="1:15">
      <c r="A253" s="1650">
        <v>4</v>
      </c>
      <c r="B253" s="1645"/>
      <c r="C253" s="1505">
        <v>1900</v>
      </c>
      <c r="D253" s="1506" t="s">
        <v>1170</v>
      </c>
      <c r="E253" s="1514">
        <f>'SCH B-2.1'!I246</f>
        <v>11321610</v>
      </c>
      <c r="F253" s="1592"/>
      <c r="G253" s="1543">
        <v>6732563</v>
      </c>
      <c r="H253" s="2543">
        <v>1</v>
      </c>
      <c r="I253" s="1671">
        <f t="shared" si="10"/>
        <v>6732563</v>
      </c>
      <c r="J253" s="1671"/>
      <c r="K253" s="1671">
        <f t="shared" si="11"/>
        <v>6732563</v>
      </c>
      <c r="L253" s="2534"/>
      <c r="M253" s="2534"/>
      <c r="N253" s="2534"/>
      <c r="O253" s="2534"/>
    </row>
    <row r="254" spans="1:15">
      <c r="A254" s="1650">
        <v>5</v>
      </c>
      <c r="B254" s="1645"/>
      <c r="C254" s="1505">
        <v>1910</v>
      </c>
      <c r="D254" s="1506" t="s">
        <v>1274</v>
      </c>
      <c r="E254" s="1514">
        <f>'SCH B-2.1'!I247</f>
        <v>719196</v>
      </c>
      <c r="F254" s="1592"/>
      <c r="G254" s="1543">
        <v>23684</v>
      </c>
      <c r="H254" s="2543">
        <v>1</v>
      </c>
      <c r="I254" s="1671">
        <f t="shared" si="10"/>
        <v>23684</v>
      </c>
      <c r="J254" s="1671"/>
      <c r="K254" s="1671">
        <f t="shared" si="11"/>
        <v>23684</v>
      </c>
      <c r="L254" s="2534"/>
      <c r="M254" s="2534"/>
      <c r="N254" s="2534"/>
      <c r="O254" s="2534"/>
    </row>
    <row r="255" spans="1:15">
      <c r="A255" s="1650">
        <v>6</v>
      </c>
      <c r="B255" s="1645"/>
      <c r="C255" s="1505">
        <v>1911</v>
      </c>
      <c r="D255" s="1506" t="s">
        <v>776</v>
      </c>
      <c r="E255" s="1514">
        <f>'SCH B-2.1'!I248</f>
        <v>801805</v>
      </c>
      <c r="F255" s="1592"/>
      <c r="G255" s="1543">
        <v>630064</v>
      </c>
      <c r="H255" s="2543">
        <v>1</v>
      </c>
      <c r="I255" s="1671">
        <f t="shared" si="10"/>
        <v>630064</v>
      </c>
      <c r="J255" s="1671"/>
      <c r="K255" s="1671">
        <f t="shared" si="11"/>
        <v>630064</v>
      </c>
      <c r="L255" s="2534"/>
      <c r="M255" s="2534"/>
      <c r="N255" s="2534"/>
      <c r="O255" s="2534"/>
    </row>
    <row r="256" spans="1:15">
      <c r="A256" s="1650">
        <v>7</v>
      </c>
      <c r="B256" s="1645"/>
      <c r="C256" s="1505">
        <v>1940</v>
      </c>
      <c r="D256" s="1506" t="s">
        <v>1276</v>
      </c>
      <c r="E256" s="1514">
        <f>'SCH B-2.1'!I249</f>
        <v>123493</v>
      </c>
      <c r="F256" s="1592"/>
      <c r="G256" s="1543">
        <v>71386</v>
      </c>
      <c r="H256" s="2543">
        <v>1</v>
      </c>
      <c r="I256" s="1671">
        <f t="shared" si="10"/>
        <v>71386</v>
      </c>
      <c r="J256" s="1671"/>
      <c r="K256" s="1671">
        <f t="shared" si="11"/>
        <v>71386</v>
      </c>
      <c r="L256" s="2534"/>
      <c r="M256" s="2534"/>
      <c r="N256" s="2534"/>
      <c r="O256" s="2534"/>
    </row>
    <row r="257" spans="1:15">
      <c r="A257" s="1650">
        <v>8</v>
      </c>
      <c r="B257" s="1645"/>
      <c r="C257" s="1505">
        <v>1970</v>
      </c>
      <c r="D257" s="1506" t="s">
        <v>1330</v>
      </c>
      <c r="E257" s="1514">
        <f>'SCH B-2.1'!I250</f>
        <v>7719786</v>
      </c>
      <c r="F257" s="1592"/>
      <c r="G257" s="1543">
        <v>8436892</v>
      </c>
      <c r="H257" s="2543">
        <v>1</v>
      </c>
      <c r="I257" s="1671">
        <f t="shared" si="10"/>
        <v>8436892</v>
      </c>
      <c r="J257" s="1671"/>
      <c r="K257" s="1671">
        <f t="shared" si="11"/>
        <v>8436892</v>
      </c>
      <c r="L257" s="2534"/>
      <c r="M257" s="2534"/>
      <c r="N257" s="2534"/>
      <c r="O257" s="2534"/>
    </row>
    <row r="258" spans="1:15">
      <c r="A258" s="1650">
        <v>9</v>
      </c>
      <c r="B258" s="1645"/>
      <c r="C258" s="1505">
        <v>1980</v>
      </c>
      <c r="D258" s="1506" t="s">
        <v>1278</v>
      </c>
      <c r="E258" s="1514">
        <f>'SCH B-2.1'!I251</f>
        <v>41504</v>
      </c>
      <c r="F258" s="1592"/>
      <c r="G258" s="1543">
        <v>14186</v>
      </c>
      <c r="H258" s="2543">
        <v>1</v>
      </c>
      <c r="I258" s="1671">
        <f t="shared" si="10"/>
        <v>14186</v>
      </c>
      <c r="J258" s="1671"/>
      <c r="K258" s="1671">
        <f t="shared" si="11"/>
        <v>14186</v>
      </c>
      <c r="L258" s="2534"/>
      <c r="M258" s="2534"/>
      <c r="N258" s="2534"/>
      <c r="O258" s="2534"/>
    </row>
    <row r="259" spans="1:15">
      <c r="A259" s="1650">
        <v>10</v>
      </c>
      <c r="B259" s="1645"/>
      <c r="C259" s="1505"/>
      <c r="D259" s="1506" t="s">
        <v>1483</v>
      </c>
      <c r="E259" s="1514">
        <f>'SCH B-2.1'!I252</f>
        <v>0</v>
      </c>
      <c r="F259" s="1592"/>
      <c r="G259" s="1543">
        <v>0</v>
      </c>
      <c r="H259" s="2543">
        <v>1</v>
      </c>
      <c r="I259" s="1671">
        <f t="shared" si="10"/>
        <v>0</v>
      </c>
      <c r="J259" s="1671"/>
      <c r="K259" s="1671">
        <f t="shared" si="11"/>
        <v>0</v>
      </c>
      <c r="L259" s="2534"/>
      <c r="M259" s="2534"/>
      <c r="N259" s="2534"/>
      <c r="O259" s="2534"/>
    </row>
    <row r="260" spans="1:15">
      <c r="A260" s="1650">
        <v>11</v>
      </c>
      <c r="B260" s="123"/>
      <c r="C260" s="1650">
        <v>108</v>
      </c>
      <c r="D260" s="121" t="s">
        <v>1329</v>
      </c>
      <c r="E260" s="1514"/>
      <c r="F260" s="1592"/>
      <c r="G260" s="1543">
        <v>-146811</v>
      </c>
      <c r="H260" s="2543">
        <v>1</v>
      </c>
      <c r="I260" s="1671">
        <f t="shared" si="10"/>
        <v>-146811</v>
      </c>
      <c r="J260" s="1671"/>
      <c r="K260" s="1671">
        <f t="shared" si="11"/>
        <v>-146811</v>
      </c>
      <c r="L260" s="2534"/>
      <c r="M260" s="2534"/>
      <c r="N260" s="2534"/>
      <c r="O260" s="2534"/>
    </row>
    <row r="261" spans="1:15">
      <c r="A261" s="1650"/>
      <c r="B261" s="123"/>
      <c r="C261" s="1650"/>
      <c r="D261" s="121"/>
      <c r="E261" s="1514"/>
      <c r="F261" s="1592"/>
      <c r="G261" s="1514"/>
      <c r="H261" s="1679"/>
      <c r="I261" s="1671"/>
      <c r="J261" s="1671"/>
      <c r="K261" s="1671"/>
      <c r="L261" s="2534"/>
      <c r="M261" s="2534"/>
      <c r="N261" s="2534"/>
      <c r="O261" s="2534"/>
    </row>
    <row r="262" spans="1:15">
      <c r="A262" s="123"/>
      <c r="B262" s="123"/>
      <c r="C262" s="123"/>
      <c r="D262" s="123"/>
      <c r="E262" s="123"/>
      <c r="F262" s="1659"/>
      <c r="G262" s="123"/>
      <c r="H262" s="2536"/>
      <c r="I262" s="123"/>
      <c r="J262" s="123"/>
      <c r="K262" s="123"/>
      <c r="L262" s="2534"/>
      <c r="M262" s="2534"/>
      <c r="N262" s="2534"/>
      <c r="O262" s="2534"/>
    </row>
    <row r="263" spans="1:15">
      <c r="A263" s="2724"/>
      <c r="B263" s="2724"/>
      <c r="C263" s="2724"/>
      <c r="D263" s="2724"/>
      <c r="E263" s="2724"/>
      <c r="F263" s="107"/>
      <c r="G263" s="2722"/>
      <c r="H263" s="2723"/>
      <c r="I263" s="2722"/>
      <c r="J263" s="2722"/>
      <c r="K263" s="2722"/>
      <c r="L263" s="2534"/>
      <c r="M263" s="2534"/>
      <c r="N263" s="2534"/>
      <c r="O263" s="2534"/>
    </row>
    <row r="264" spans="1:15">
      <c r="A264" s="1650">
        <v>12</v>
      </c>
      <c r="B264" s="123"/>
      <c r="C264" s="123"/>
      <c r="D264" s="121" t="s">
        <v>1476</v>
      </c>
      <c r="E264" s="1671">
        <f>SUM(E250:E262)</f>
        <v>43213715</v>
      </c>
      <c r="F264" s="1592"/>
      <c r="G264" s="1671">
        <f>SUM(G250:G262)</f>
        <v>38046253</v>
      </c>
      <c r="H264" s="1679"/>
      <c r="I264" s="1671">
        <f>SUM(I250:I262)</f>
        <v>38046253</v>
      </c>
      <c r="J264" s="1671">
        <f>SUM(J250:J262)</f>
        <v>0</v>
      </c>
      <c r="K264" s="1671">
        <f>SUM(K250:K262)</f>
        <v>38046253</v>
      </c>
      <c r="L264" s="2534"/>
      <c r="M264" s="2534"/>
      <c r="N264" s="2682" t="str">
        <f>IF(E264='SCH B-2.1'!I256,"BALANCED","ERROR")</f>
        <v>BALANCED</v>
      </c>
      <c r="O264" s="2534"/>
    </row>
    <row r="265" spans="1:15">
      <c r="A265" s="123"/>
      <c r="B265" s="123"/>
      <c r="C265" s="123"/>
      <c r="D265" s="123"/>
      <c r="E265" s="123"/>
      <c r="F265" s="1659"/>
      <c r="G265" s="123"/>
      <c r="H265" s="2536"/>
      <c r="I265" s="123"/>
      <c r="J265" s="123"/>
      <c r="K265" s="123"/>
      <c r="L265" s="2534"/>
      <c r="M265" s="2534"/>
      <c r="N265" s="2534"/>
      <c r="O265" s="2534"/>
    </row>
    <row r="266" spans="1:15">
      <c r="A266" s="2724"/>
      <c r="B266" s="2724"/>
      <c r="C266" s="2724"/>
      <c r="D266" s="2724"/>
      <c r="E266" s="2724"/>
      <c r="F266" s="107"/>
      <c r="G266" s="2722"/>
      <c r="H266" s="2723"/>
      <c r="I266" s="2722"/>
      <c r="J266" s="2722"/>
      <c r="K266" s="2722"/>
      <c r="L266" s="2534"/>
      <c r="M266" s="2534"/>
      <c r="N266" s="2534"/>
      <c r="O266" s="2534"/>
    </row>
    <row r="267" spans="1:15">
      <c r="A267" s="2534"/>
      <c r="B267" s="123"/>
      <c r="C267" s="1679"/>
      <c r="D267" s="121" t="s">
        <v>30</v>
      </c>
      <c r="E267" s="2534"/>
      <c r="F267" s="1592"/>
      <c r="G267" s="2534"/>
      <c r="H267" s="1679"/>
      <c r="I267" s="2534"/>
      <c r="J267" s="2534"/>
      <c r="K267" s="2534"/>
      <c r="L267" s="2534"/>
      <c r="M267" s="2534"/>
      <c r="N267" s="2534"/>
      <c r="O267" s="2534"/>
    </row>
    <row r="268" spans="1:15">
      <c r="A268" s="1650">
        <v>13</v>
      </c>
      <c r="B268" s="123"/>
      <c r="C268" s="1679">
        <f>CommonE</f>
        <v>0.72819999999999996</v>
      </c>
      <c r="D268" s="121" t="s">
        <v>405</v>
      </c>
      <c r="E268" s="1671">
        <f>ROUND(E264*CommonE,0)</f>
        <v>31468227</v>
      </c>
      <c r="F268" s="1592"/>
      <c r="G268" s="1671"/>
      <c r="H268" s="1679"/>
      <c r="I268" s="1671"/>
      <c r="J268" s="1671"/>
      <c r="K268" s="1671"/>
      <c r="L268" s="2534"/>
      <c r="M268" s="2534"/>
      <c r="N268" s="2534"/>
      <c r="O268" s="2534"/>
    </row>
    <row r="269" spans="1:15">
      <c r="A269" s="1650">
        <v>14</v>
      </c>
      <c r="B269" s="123"/>
      <c r="C269" s="1679">
        <f>C268</f>
        <v>0.72819999999999996</v>
      </c>
      <c r="D269" s="121" t="s">
        <v>1670</v>
      </c>
      <c r="E269" s="1671"/>
      <c r="F269" s="1592"/>
      <c r="G269" s="1671">
        <f>ROUND(G264*CommonE,0)</f>
        <v>27705281</v>
      </c>
      <c r="H269" s="1679"/>
      <c r="I269" s="1671">
        <f>G269</f>
        <v>27705281</v>
      </c>
      <c r="J269" s="1671">
        <f>ROUND(J264*CommonE,0)</f>
        <v>0</v>
      </c>
      <c r="K269" s="1671">
        <f>I269+J269</f>
        <v>27705281</v>
      </c>
      <c r="L269" s="2534"/>
      <c r="M269" s="2534"/>
      <c r="N269" s="2682" t="str">
        <f>IF(E268='SCH B-2.1'!I259,"BALANCED","ERROR")</f>
        <v>BALANCED</v>
      </c>
      <c r="O269" s="2534"/>
    </row>
    <row r="270" spans="1:15">
      <c r="A270" s="123"/>
      <c r="B270" s="123"/>
      <c r="C270" s="123"/>
      <c r="D270" s="123"/>
      <c r="E270" s="123"/>
      <c r="F270" s="1659"/>
      <c r="G270" s="123"/>
      <c r="H270" s="2536"/>
      <c r="I270" s="123"/>
      <c r="J270" s="123"/>
      <c r="K270" s="123"/>
      <c r="L270" s="2534"/>
      <c r="M270" s="2534"/>
      <c r="N270" s="2534"/>
      <c r="O270" s="2534"/>
    </row>
    <row r="271" spans="1:15">
      <c r="A271" s="2724"/>
      <c r="B271" s="2724"/>
      <c r="C271" s="2724"/>
      <c r="D271" s="2724"/>
      <c r="E271" s="2724"/>
      <c r="F271" s="107"/>
      <c r="G271" s="2722"/>
      <c r="H271" s="2723"/>
      <c r="I271" s="2722"/>
      <c r="J271" s="2722"/>
      <c r="K271" s="2722"/>
      <c r="L271" s="2534"/>
      <c r="M271" s="2534"/>
      <c r="N271" s="2534"/>
      <c r="O271" s="2534"/>
    </row>
    <row r="272" spans="1:15">
      <c r="A272" s="1650">
        <v>15</v>
      </c>
      <c r="B272" s="123"/>
      <c r="C272" s="123"/>
      <c r="D272" s="121" t="s">
        <v>57</v>
      </c>
      <c r="E272" s="1671">
        <f>E224+E268</f>
        <v>1544965918</v>
      </c>
      <c r="F272" s="1592"/>
      <c r="G272" s="1671">
        <f>G224+G269</f>
        <v>847120255</v>
      </c>
      <c r="H272" s="1679"/>
      <c r="I272" s="1671">
        <f>I224+I269</f>
        <v>847120255</v>
      </c>
      <c r="J272" s="1671">
        <f>J224+J269</f>
        <v>-13157178</v>
      </c>
      <c r="K272" s="1671">
        <f>K224+K269</f>
        <v>833963077</v>
      </c>
      <c r="L272" s="2534"/>
      <c r="M272" s="2534"/>
      <c r="N272" s="2682" t="str">
        <f>IF(E272='SCH B-2.1'!I262,"BALANCED","ERROR")</f>
        <v>BALANCED</v>
      </c>
      <c r="O272" s="2534"/>
    </row>
    <row r="273" spans="1:15">
      <c r="A273" s="123"/>
      <c r="B273" s="123"/>
      <c r="C273" s="123"/>
      <c r="D273" s="123"/>
      <c r="E273" s="123"/>
      <c r="F273" s="1659"/>
      <c r="G273" s="123"/>
      <c r="H273" s="2536"/>
      <c r="I273" s="123"/>
      <c r="J273" s="123"/>
      <c r="K273" s="123"/>
      <c r="L273" s="2534"/>
      <c r="M273" s="2534"/>
      <c r="N273" s="2534"/>
      <c r="O273" s="2534"/>
    </row>
    <row r="274" spans="1:15">
      <c r="A274" s="2724"/>
      <c r="B274" s="2724"/>
      <c r="C274" s="2724"/>
      <c r="D274" s="2724"/>
      <c r="E274" s="2724"/>
      <c r="F274" s="107"/>
      <c r="G274" s="2722"/>
      <c r="H274" s="2723"/>
      <c r="I274" s="2722"/>
      <c r="J274" s="2722"/>
      <c r="K274" s="2722"/>
      <c r="L274" s="2534"/>
      <c r="M274" s="2534"/>
      <c r="N274" s="2534"/>
      <c r="O274" s="2534"/>
    </row>
    <row r="275" spans="1:15">
      <c r="A275" s="1644" t="s">
        <v>1668</v>
      </c>
      <c r="B275" s="123"/>
      <c r="C275" s="123"/>
      <c r="D275" s="123"/>
      <c r="E275" s="123"/>
      <c r="F275" s="112"/>
      <c r="G275" s="1671"/>
      <c r="H275" s="1679"/>
      <c r="I275" s="1671"/>
      <c r="J275" s="1671"/>
      <c r="K275" s="1671"/>
      <c r="L275" s="2534"/>
      <c r="M275" s="2534"/>
      <c r="N275" s="2534"/>
      <c r="O275" s="2534"/>
    </row>
    <row r="276" spans="1:15">
      <c r="A276" s="123"/>
      <c r="B276" s="123"/>
      <c r="C276" s="123"/>
      <c r="D276" s="123"/>
      <c r="E276" s="123"/>
      <c r="F276" s="112"/>
      <c r="G276" s="1671"/>
      <c r="H276" s="1679"/>
      <c r="I276" s="1671"/>
      <c r="J276" s="1671"/>
      <c r="K276" s="1671"/>
      <c r="L276" s="2534"/>
      <c r="M276" s="2534"/>
      <c r="N276" s="2534"/>
      <c r="O276" s="2534"/>
    </row>
    <row r="277" spans="1:15">
      <c r="A277" s="2534"/>
      <c r="B277" s="2534"/>
      <c r="C277" s="2534"/>
      <c r="D277" s="2534"/>
      <c r="E277" s="2534"/>
      <c r="F277" s="2558"/>
      <c r="G277" s="2534"/>
      <c r="H277" s="2548"/>
      <c r="I277" s="2534"/>
      <c r="J277" s="2534"/>
      <c r="K277" s="2534"/>
      <c r="L277" s="2534"/>
      <c r="M277" s="2534"/>
      <c r="N277" s="2534"/>
      <c r="O277" s="2534"/>
    </row>
    <row r="278" spans="1:15">
      <c r="A278" s="1654" t="str">
        <f>COMPANY</f>
        <v>DUKE ENERGY KENTUCKY, INC.</v>
      </c>
      <c r="B278" s="1655"/>
      <c r="C278" s="1655"/>
      <c r="D278" s="2530"/>
      <c r="E278" s="2530"/>
      <c r="F278" s="2531"/>
      <c r="G278" s="1655"/>
      <c r="H278" s="2532"/>
      <c r="I278" s="2533"/>
      <c r="J278" s="2533"/>
      <c r="K278" s="2533"/>
      <c r="L278" s="2534"/>
      <c r="M278" s="2534"/>
      <c r="N278" s="2534"/>
      <c r="O278" s="2534"/>
    </row>
    <row r="279" spans="1:15">
      <c r="A279" s="1654" t="str">
        <f>CASE</f>
        <v>CASE NO. 2017-00321</v>
      </c>
      <c r="B279" s="1655"/>
      <c r="C279" s="1655"/>
      <c r="D279" s="2530"/>
      <c r="E279" s="2530"/>
      <c r="F279" s="2531"/>
      <c r="G279" s="1655"/>
      <c r="H279" s="2535"/>
      <c r="I279" s="2533"/>
      <c r="J279" s="2533"/>
      <c r="K279" s="2533"/>
      <c r="L279" s="2534"/>
      <c r="M279" s="2534"/>
      <c r="N279" s="2534"/>
      <c r="O279" s="2534"/>
    </row>
    <row r="280" spans="1:15">
      <c r="A280" s="1654" t="s">
        <v>1326</v>
      </c>
      <c r="B280" s="1655"/>
      <c r="C280" s="1655"/>
      <c r="D280" s="2530"/>
      <c r="E280" s="2530"/>
      <c r="F280" s="2531"/>
      <c r="G280" s="1655"/>
      <c r="H280" s="2532"/>
      <c r="I280" s="2533"/>
      <c r="J280" s="2533"/>
      <c r="K280" s="2533"/>
      <c r="L280" s="2534"/>
      <c r="M280" s="2534"/>
      <c r="N280" s="2534"/>
      <c r="O280" s="2534"/>
    </row>
    <row r="281" spans="1:15">
      <c r="A281" s="76" t="str">
        <f>"AS OF " &amp;RIGHT(Forecast,(LEN(Forecast)-16))</f>
        <v>AS OF MARCH 31, 2019</v>
      </c>
      <c r="B281" s="1655"/>
      <c r="C281" s="1655"/>
      <c r="D281" s="2530"/>
      <c r="E281" s="2530"/>
      <c r="F281" s="2531"/>
      <c r="G281" s="1655"/>
      <c r="H281" s="2532"/>
      <c r="I281" s="2533"/>
      <c r="J281" s="2533"/>
      <c r="K281" s="2533"/>
      <c r="L281" s="2534"/>
      <c r="M281" s="2534"/>
      <c r="N281" s="2534"/>
      <c r="O281" s="2534"/>
    </row>
    <row r="282" spans="1:15">
      <c r="A282" s="1655"/>
      <c r="B282" s="1655"/>
      <c r="C282" s="1655"/>
      <c r="D282" s="2530"/>
      <c r="E282" s="2530"/>
      <c r="F282" s="2531"/>
      <c r="G282" s="1655"/>
      <c r="H282" s="2532"/>
      <c r="I282" s="2533"/>
      <c r="J282" s="2533"/>
      <c r="K282" s="2533"/>
      <c r="L282" s="2534"/>
      <c r="M282" s="2534"/>
      <c r="N282" s="2534"/>
      <c r="O282" s="2534"/>
    </row>
    <row r="283" spans="1:15">
      <c r="A283" s="1654" t="s">
        <v>333</v>
      </c>
      <c r="B283" s="1655"/>
      <c r="C283" s="1655"/>
      <c r="D283" s="2530"/>
      <c r="E283" s="2530"/>
      <c r="F283" s="2531"/>
      <c r="G283" s="1655"/>
      <c r="H283" s="2532"/>
      <c r="I283" s="2533"/>
      <c r="J283" s="2533"/>
      <c r="K283" s="2533"/>
      <c r="L283" s="2534"/>
      <c r="M283" s="2534"/>
      <c r="N283" s="2534"/>
      <c r="O283" s="2534"/>
    </row>
    <row r="284" spans="1:15">
      <c r="A284" s="1657" t="s">
        <v>1799</v>
      </c>
      <c r="B284" s="1655"/>
      <c r="C284" s="1655"/>
      <c r="D284" s="2530"/>
      <c r="E284" s="2530"/>
      <c r="F284" s="2531"/>
      <c r="G284" s="1655"/>
      <c r="H284" s="2532"/>
      <c r="I284" s="2533"/>
      <c r="J284" s="2533"/>
      <c r="K284" s="2533"/>
      <c r="L284" s="2534"/>
      <c r="M284" s="2534"/>
      <c r="N284" s="2534"/>
      <c r="O284" s="2534"/>
    </row>
    <row r="285" spans="1:15">
      <c r="A285" s="123"/>
      <c r="B285" s="123"/>
      <c r="C285" s="123"/>
      <c r="D285" s="123"/>
      <c r="E285" s="123"/>
      <c r="F285" s="112"/>
      <c r="G285" s="123"/>
      <c r="H285" s="1679"/>
      <c r="I285" s="1671"/>
      <c r="J285" s="1671"/>
      <c r="K285" s="1671"/>
      <c r="L285" s="2534"/>
      <c r="M285" s="2534"/>
      <c r="N285" s="2534"/>
      <c r="O285" s="2534"/>
    </row>
    <row r="286" spans="1:15">
      <c r="A286" s="123"/>
      <c r="B286" s="123"/>
      <c r="C286" s="123"/>
      <c r="D286" s="123"/>
      <c r="E286" s="123"/>
      <c r="F286" s="112"/>
      <c r="G286" s="123"/>
      <c r="H286" s="2536"/>
      <c r="I286" s="123"/>
      <c r="J286" s="123"/>
      <c r="K286" s="123"/>
      <c r="L286" s="2534"/>
      <c r="M286" s="2534"/>
      <c r="N286" s="2534"/>
      <c r="O286" s="2534"/>
    </row>
    <row r="287" spans="1:15">
      <c r="A287" s="121" t="str">
        <f>DataF</f>
        <v>DATA:  BASE PERIOD  "X" FORECASTED PERIOD</v>
      </c>
      <c r="B287" s="123"/>
      <c r="C287" s="123"/>
      <c r="D287" s="123"/>
      <c r="E287" s="123"/>
      <c r="F287" s="112"/>
      <c r="G287" s="1671"/>
      <c r="H287" s="1679"/>
      <c r="I287" s="1671"/>
      <c r="J287" s="1658" t="s">
        <v>1327</v>
      </c>
      <c r="K287" s="1671"/>
      <c r="L287" s="2534"/>
      <c r="M287" s="2534"/>
      <c r="N287" s="2534"/>
      <c r="O287" s="2534"/>
    </row>
    <row r="288" spans="1:15">
      <c r="A288" s="121" t="str">
        <f>Type</f>
        <v xml:space="preserve">TYPE OF FILING:  "X" ORIGINAL   UPDATED    REVISED  </v>
      </c>
      <c r="B288" s="123"/>
      <c r="C288" s="123"/>
      <c r="D288" s="123"/>
      <c r="E288" s="123"/>
      <c r="F288" s="112"/>
      <c r="G288" s="1671"/>
      <c r="H288" s="1679"/>
      <c r="I288" s="1671"/>
      <c r="J288" s="1658" t="s">
        <v>783</v>
      </c>
      <c r="K288" s="1671"/>
      <c r="L288" s="2534"/>
      <c r="M288" s="2534"/>
      <c r="N288" s="2534"/>
      <c r="O288" s="2534"/>
    </row>
    <row r="289" spans="1:15">
      <c r="A289" s="121" t="s">
        <v>1835</v>
      </c>
      <c r="B289" s="123"/>
      <c r="C289" s="123"/>
      <c r="D289" s="123"/>
      <c r="E289" s="123"/>
      <c r="F289" s="112"/>
      <c r="G289" s="1671"/>
      <c r="H289" s="1679"/>
      <c r="I289" s="1671"/>
      <c r="J289" s="1658" t="s">
        <v>622</v>
      </c>
      <c r="K289" s="1671"/>
      <c r="L289" s="2534"/>
      <c r="M289" s="2534"/>
      <c r="N289" s="2534"/>
      <c r="O289" s="2534"/>
    </row>
    <row r="290" spans="1:15">
      <c r="A290" s="123"/>
      <c r="B290" s="123"/>
      <c r="C290" s="123"/>
      <c r="D290" s="123"/>
      <c r="E290" s="123"/>
      <c r="F290" s="112"/>
      <c r="G290" s="1671"/>
      <c r="H290" s="1679"/>
      <c r="I290" s="1671"/>
      <c r="J290" s="2515" t="str">
        <f>_WIT7</f>
        <v>R. H. PRATT / C. S. LEE</v>
      </c>
      <c r="K290" s="1671"/>
      <c r="L290" s="2534"/>
      <c r="M290" s="2534"/>
      <c r="N290" s="2534"/>
      <c r="O290" s="2534"/>
    </row>
    <row r="291" spans="1:15">
      <c r="A291" s="123"/>
      <c r="B291" s="123"/>
      <c r="C291" s="123"/>
      <c r="D291" s="123"/>
      <c r="E291" s="123"/>
      <c r="F291" s="112"/>
      <c r="G291" s="1671"/>
      <c r="H291" s="1679"/>
      <c r="I291" s="1671"/>
      <c r="J291" s="1671"/>
      <c r="K291" s="1671"/>
      <c r="L291" s="2534"/>
      <c r="M291" s="2534"/>
      <c r="N291" s="2534"/>
      <c r="O291" s="2534"/>
    </row>
    <row r="292" spans="1:15">
      <c r="A292" s="123"/>
      <c r="B292" s="123"/>
      <c r="C292" s="123"/>
      <c r="D292" s="123"/>
      <c r="E292" s="123"/>
      <c r="F292" s="1659"/>
      <c r="G292" s="1671"/>
      <c r="H292" s="1679"/>
      <c r="I292" s="1671"/>
      <c r="J292" s="1671"/>
      <c r="K292" s="1671"/>
      <c r="L292" s="2534"/>
      <c r="M292" s="2534"/>
      <c r="N292" s="2534"/>
      <c r="O292" s="2534"/>
    </row>
    <row r="293" spans="1:15">
      <c r="A293" s="2724"/>
      <c r="B293" s="2730"/>
      <c r="C293" s="2729"/>
      <c r="D293" s="2724"/>
      <c r="E293" s="2521" t="s">
        <v>1967</v>
      </c>
      <c r="F293" s="106"/>
      <c r="G293" s="2722"/>
      <c r="H293" s="2723"/>
      <c r="I293" s="2722"/>
      <c r="J293" s="2722"/>
      <c r="K293" s="2722"/>
      <c r="L293" s="2534"/>
      <c r="M293" s="2534"/>
      <c r="N293" s="2534"/>
      <c r="O293" s="2534"/>
    </row>
    <row r="294" spans="1:15">
      <c r="A294" s="107"/>
      <c r="B294" s="108" t="s">
        <v>943</v>
      </c>
      <c r="C294" s="108" t="s">
        <v>1750</v>
      </c>
      <c r="D294" s="107"/>
      <c r="E294" s="109" t="s">
        <v>873</v>
      </c>
      <c r="F294" s="106"/>
      <c r="G294" s="110" t="s">
        <v>2598</v>
      </c>
      <c r="H294" s="111"/>
      <c r="I294" s="111"/>
      <c r="J294" s="111"/>
      <c r="K294" s="111"/>
      <c r="L294" s="2534"/>
      <c r="M294" s="2534"/>
      <c r="N294" s="2534"/>
      <c r="O294" s="2534"/>
    </row>
    <row r="295" spans="1:15">
      <c r="A295" s="1650" t="s">
        <v>1240</v>
      </c>
      <c r="B295" s="1650" t="s">
        <v>1164</v>
      </c>
      <c r="C295" s="1650" t="s">
        <v>1164</v>
      </c>
      <c r="D295" s="123"/>
      <c r="E295" s="2537" t="s">
        <v>626</v>
      </c>
      <c r="F295" s="109"/>
      <c r="G295" s="2537" t="s">
        <v>1929</v>
      </c>
      <c r="H295" s="2538" t="s">
        <v>802</v>
      </c>
      <c r="I295" s="2537" t="s">
        <v>802</v>
      </c>
      <c r="J295" s="1671"/>
      <c r="K295" s="2537" t="s">
        <v>574</v>
      </c>
      <c r="L295" s="2534"/>
      <c r="M295" s="2534"/>
      <c r="N295" s="2534"/>
      <c r="O295" s="2534"/>
    </row>
    <row r="296" spans="1:15">
      <c r="A296" s="2539" t="s">
        <v>1241</v>
      </c>
      <c r="B296" s="2539" t="s">
        <v>1241</v>
      </c>
      <c r="C296" s="2539" t="s">
        <v>1241</v>
      </c>
      <c r="D296" s="2539" t="s">
        <v>1165</v>
      </c>
      <c r="E296" s="2540" t="s">
        <v>1566</v>
      </c>
      <c r="F296" s="2539"/>
      <c r="G296" s="2540" t="s">
        <v>1750</v>
      </c>
      <c r="H296" s="2541" t="s">
        <v>363</v>
      </c>
      <c r="I296" s="2540" t="s">
        <v>1929</v>
      </c>
      <c r="J296" s="2540" t="s">
        <v>573</v>
      </c>
      <c r="K296" s="2540" t="s">
        <v>1449</v>
      </c>
      <c r="L296" s="2534"/>
      <c r="M296" s="2534"/>
      <c r="N296" s="2534"/>
      <c r="O296" s="2534"/>
    </row>
    <row r="297" spans="1:15">
      <c r="A297" s="1650" t="s">
        <v>529</v>
      </c>
      <c r="B297" s="123"/>
      <c r="C297" s="123"/>
      <c r="D297" s="123"/>
      <c r="E297" s="2537" t="s">
        <v>1705</v>
      </c>
      <c r="F297" s="2542"/>
      <c r="G297" s="2537" t="s">
        <v>1705</v>
      </c>
      <c r="H297" s="2536"/>
      <c r="I297" s="2537" t="s">
        <v>1705</v>
      </c>
      <c r="J297" s="2537" t="s">
        <v>1705</v>
      </c>
      <c r="K297" s="2537" t="s">
        <v>1705</v>
      </c>
      <c r="L297" s="2534"/>
      <c r="M297" s="2534"/>
      <c r="N297" s="2534"/>
      <c r="O297" s="2534"/>
    </row>
    <row r="298" spans="1:15">
      <c r="A298" s="123"/>
      <c r="B298" s="123"/>
      <c r="C298" s="123"/>
      <c r="D298" s="123"/>
      <c r="E298" s="123"/>
      <c r="F298" s="112"/>
      <c r="G298" s="1671"/>
      <c r="H298" s="1679"/>
      <c r="I298" s="1671"/>
      <c r="J298" s="1671"/>
      <c r="K298" s="1671"/>
      <c r="L298" s="2534"/>
      <c r="M298" s="2534"/>
      <c r="N298" s="2534"/>
      <c r="O298" s="2534"/>
    </row>
    <row r="299" spans="1:15">
      <c r="A299" s="1650" t="s">
        <v>1166</v>
      </c>
      <c r="B299" s="1505">
        <v>310</v>
      </c>
      <c r="C299" s="1505">
        <v>3100</v>
      </c>
      <c r="D299" s="1506" t="s">
        <v>849</v>
      </c>
      <c r="E299" s="1514">
        <f>'SCH B-2.1'!I288</f>
        <v>7047301</v>
      </c>
      <c r="F299" s="1592"/>
      <c r="G299" s="105">
        <v>60798</v>
      </c>
      <c r="H299" s="2543">
        <v>1</v>
      </c>
      <c r="I299" s="1671">
        <f t="shared" ref="I299:I315" si="12">ROUND((G299*H299),0)</f>
        <v>60798</v>
      </c>
      <c r="J299" s="2545"/>
      <c r="K299" s="1671">
        <f t="shared" ref="K299:K315" si="13">I299+J299</f>
        <v>60798</v>
      </c>
      <c r="L299" s="2534"/>
      <c r="M299" s="2534"/>
      <c r="N299" s="2534"/>
      <c r="O299" s="2534"/>
    </row>
    <row r="300" spans="1:15">
      <c r="A300" s="1650" t="s">
        <v>1167</v>
      </c>
      <c r="B300" s="1505">
        <v>311</v>
      </c>
      <c r="C300" s="1505">
        <v>3110</v>
      </c>
      <c r="D300" s="1506" t="s">
        <v>1170</v>
      </c>
      <c r="E300" s="1514">
        <f>'SCH B-2.1'!I289</f>
        <v>52961753</v>
      </c>
      <c r="F300" s="1592"/>
      <c r="G300" s="105">
        <v>40777710</v>
      </c>
      <c r="H300" s="2543">
        <v>1</v>
      </c>
      <c r="I300" s="1671">
        <f t="shared" si="12"/>
        <v>40777710</v>
      </c>
      <c r="J300" s="2545"/>
      <c r="K300" s="1671">
        <f t="shared" si="13"/>
        <v>40777710</v>
      </c>
      <c r="L300" s="2534"/>
      <c r="M300" s="2534"/>
      <c r="N300" s="2534"/>
      <c r="O300" s="2534"/>
    </row>
    <row r="301" spans="1:15">
      <c r="A301" s="1650" t="s">
        <v>1169</v>
      </c>
      <c r="B301" s="1505">
        <v>311</v>
      </c>
      <c r="C301" s="1505" t="s">
        <v>2291</v>
      </c>
      <c r="D301" s="1506" t="s">
        <v>1170</v>
      </c>
      <c r="E301" s="1514">
        <f>'SCH B-2.1'!I290</f>
        <v>18409562</v>
      </c>
      <c r="F301" s="1592"/>
      <c r="G301" s="105">
        <v>1536868</v>
      </c>
      <c r="H301" s="2543">
        <v>1</v>
      </c>
      <c r="I301" s="1671">
        <f t="shared" si="12"/>
        <v>1536868</v>
      </c>
      <c r="J301" s="2545"/>
      <c r="K301" s="1671">
        <f t="shared" si="13"/>
        <v>1536868</v>
      </c>
      <c r="L301" s="2534"/>
      <c r="M301" s="2534"/>
      <c r="N301" s="2534"/>
      <c r="O301" s="2534"/>
    </row>
    <row r="302" spans="1:15">
      <c r="A302" s="1650" t="s">
        <v>1171</v>
      </c>
      <c r="B302" s="1505">
        <v>312</v>
      </c>
      <c r="C302" s="1505">
        <v>3120</v>
      </c>
      <c r="D302" s="1506" t="s">
        <v>334</v>
      </c>
      <c r="E302" s="1514">
        <f>'SCH B-2.1'!I291</f>
        <v>200625191</v>
      </c>
      <c r="F302" s="1593"/>
      <c r="G302" s="105">
        <v>152272188</v>
      </c>
      <c r="H302" s="2543">
        <v>1</v>
      </c>
      <c r="I302" s="1671">
        <f t="shared" si="12"/>
        <v>152272188</v>
      </c>
      <c r="J302" s="2545"/>
      <c r="K302" s="1671">
        <f t="shared" si="13"/>
        <v>152272188</v>
      </c>
      <c r="L302" s="2534"/>
      <c r="M302" s="2534"/>
      <c r="N302" s="2534"/>
      <c r="O302" s="2534"/>
    </row>
    <row r="303" spans="1:15">
      <c r="A303" s="1650" t="s">
        <v>977</v>
      </c>
      <c r="B303" s="1505">
        <v>312</v>
      </c>
      <c r="C303" s="1505" t="s">
        <v>2292</v>
      </c>
      <c r="D303" s="1506" t="s">
        <v>334</v>
      </c>
      <c r="E303" s="1514">
        <f>'SCH B-2.1'!I292</f>
        <v>242407848</v>
      </c>
      <c r="F303" s="1593"/>
      <c r="G303" s="105">
        <v>154924925</v>
      </c>
      <c r="H303" s="2543">
        <v>1</v>
      </c>
      <c r="I303" s="1671">
        <f t="shared" si="12"/>
        <v>154924925</v>
      </c>
      <c r="J303" s="2545"/>
      <c r="K303" s="1671">
        <f t="shared" si="13"/>
        <v>154924925</v>
      </c>
      <c r="L303" s="2534"/>
      <c r="M303" s="2534"/>
      <c r="N303" s="2534"/>
      <c r="O303" s="2534"/>
    </row>
    <row r="304" spans="1:15">
      <c r="A304" s="1650" t="s">
        <v>1596</v>
      </c>
      <c r="B304" s="1505"/>
      <c r="C304" s="1505"/>
      <c r="D304" s="1506" t="s">
        <v>3278</v>
      </c>
      <c r="E304" s="1514">
        <f>'SCH B-2.1'!I293</f>
        <v>11284211</v>
      </c>
      <c r="F304" s="1593"/>
      <c r="G304" s="105">
        <v>0</v>
      </c>
      <c r="H304" s="2543">
        <v>1</v>
      </c>
      <c r="I304" s="1671">
        <f t="shared" si="12"/>
        <v>0</v>
      </c>
      <c r="J304" s="2545"/>
      <c r="K304" s="1671">
        <f t="shared" si="13"/>
        <v>0</v>
      </c>
      <c r="L304" s="2534"/>
      <c r="M304" s="2534"/>
      <c r="N304" s="2534"/>
      <c r="O304" s="2534"/>
    </row>
    <row r="305" spans="1:15">
      <c r="A305" s="1650" t="s">
        <v>978</v>
      </c>
      <c r="B305" s="1505">
        <v>312</v>
      </c>
      <c r="C305" s="1505" t="s">
        <v>2293</v>
      </c>
      <c r="D305" s="1506" t="s">
        <v>335</v>
      </c>
      <c r="E305" s="1514">
        <f>'SCH B-2.1'!I294</f>
        <v>5420680</v>
      </c>
      <c r="F305" s="1593"/>
      <c r="G305" s="105">
        <v>3370351</v>
      </c>
      <c r="H305" s="2543">
        <v>1</v>
      </c>
      <c r="I305" s="1671">
        <f t="shared" si="12"/>
        <v>3370351</v>
      </c>
      <c r="J305" s="2545"/>
      <c r="K305" s="1671">
        <f t="shared" si="13"/>
        <v>3370351</v>
      </c>
      <c r="L305" s="2534"/>
      <c r="M305" s="2534"/>
      <c r="N305" s="2534"/>
      <c r="O305" s="2534"/>
    </row>
    <row r="306" spans="1:15">
      <c r="A306" s="1650" t="s">
        <v>979</v>
      </c>
      <c r="B306" s="1505">
        <v>314</v>
      </c>
      <c r="C306" s="1505">
        <v>3140</v>
      </c>
      <c r="D306" s="1506" t="s">
        <v>336</v>
      </c>
      <c r="E306" s="1514">
        <f>'SCH B-2.1'!I295</f>
        <v>89138655</v>
      </c>
      <c r="F306" s="1592"/>
      <c r="G306" s="105">
        <v>60584949</v>
      </c>
      <c r="H306" s="2543">
        <v>1</v>
      </c>
      <c r="I306" s="1671">
        <f t="shared" si="12"/>
        <v>60584949</v>
      </c>
      <c r="J306" s="2545"/>
      <c r="K306" s="1671">
        <f t="shared" si="13"/>
        <v>60584949</v>
      </c>
      <c r="L306" s="2534"/>
      <c r="M306" s="2534"/>
      <c r="N306" s="2534"/>
      <c r="O306" s="2534"/>
    </row>
    <row r="307" spans="1:15">
      <c r="A307" s="1650" t="s">
        <v>980</v>
      </c>
      <c r="B307" s="1505">
        <v>314</v>
      </c>
      <c r="C307" s="1505" t="s">
        <v>2294</v>
      </c>
      <c r="D307" s="1506" t="s">
        <v>336</v>
      </c>
      <c r="E307" s="1514">
        <f>'SCH B-2.1'!I296</f>
        <v>10590194</v>
      </c>
      <c r="F307" s="1592"/>
      <c r="G307" s="105">
        <v>8408609</v>
      </c>
      <c r="H307" s="2543">
        <v>1</v>
      </c>
      <c r="I307" s="1671">
        <f t="shared" si="12"/>
        <v>8408609</v>
      </c>
      <c r="J307" s="2545"/>
      <c r="K307" s="1671">
        <f t="shared" si="13"/>
        <v>8408609</v>
      </c>
      <c r="L307" s="2534"/>
      <c r="M307" s="2534"/>
      <c r="N307" s="2534"/>
      <c r="O307" s="2534"/>
    </row>
    <row r="308" spans="1:15">
      <c r="A308" s="1650" t="s">
        <v>850</v>
      </c>
      <c r="B308" s="1505">
        <v>315</v>
      </c>
      <c r="C308" s="1505">
        <v>3150</v>
      </c>
      <c r="D308" s="1506" t="s">
        <v>337</v>
      </c>
      <c r="E308" s="1514">
        <f>'SCH B-2.1'!I297</f>
        <v>29007957</v>
      </c>
      <c r="F308" s="1592"/>
      <c r="G308" s="105">
        <v>21664146</v>
      </c>
      <c r="H308" s="2543">
        <v>1</v>
      </c>
      <c r="I308" s="1671">
        <f t="shared" si="12"/>
        <v>21664146</v>
      </c>
      <c r="J308" s="2545"/>
      <c r="K308" s="1671">
        <f t="shared" si="13"/>
        <v>21664146</v>
      </c>
      <c r="L308" s="2534"/>
      <c r="M308" s="2534"/>
      <c r="N308" s="2534"/>
      <c r="O308" s="2534"/>
    </row>
    <row r="309" spans="1:15">
      <c r="A309" s="1650" t="s">
        <v>851</v>
      </c>
      <c r="B309" s="1505">
        <v>315</v>
      </c>
      <c r="C309" s="1505" t="s">
        <v>2295</v>
      </c>
      <c r="D309" s="1506" t="s">
        <v>337</v>
      </c>
      <c r="E309" s="1514">
        <f>'SCH B-2.1'!I298</f>
        <v>16979176</v>
      </c>
      <c r="F309" s="1592"/>
      <c r="G309" s="105">
        <v>10122122</v>
      </c>
      <c r="H309" s="2543">
        <v>1</v>
      </c>
      <c r="I309" s="1671">
        <f t="shared" si="12"/>
        <v>10122122</v>
      </c>
      <c r="J309" s="2545"/>
      <c r="K309" s="1671">
        <f t="shared" si="13"/>
        <v>10122122</v>
      </c>
      <c r="L309" s="2534"/>
      <c r="M309" s="2534"/>
      <c r="N309" s="2534"/>
      <c r="O309" s="2534"/>
    </row>
    <row r="310" spans="1:15">
      <c r="A310" s="1650" t="s">
        <v>852</v>
      </c>
      <c r="B310" s="1505">
        <v>316</v>
      </c>
      <c r="C310" s="1505">
        <v>3160</v>
      </c>
      <c r="D310" s="1506" t="s">
        <v>338</v>
      </c>
      <c r="E310" s="1514">
        <f>'SCH B-2.1'!I299</f>
        <v>14453902</v>
      </c>
      <c r="F310" s="1592"/>
      <c r="G310" s="105">
        <v>8091553</v>
      </c>
      <c r="H310" s="2543">
        <v>1</v>
      </c>
      <c r="I310" s="1671">
        <f t="shared" si="12"/>
        <v>8091553</v>
      </c>
      <c r="J310" s="2545"/>
      <c r="K310" s="1671">
        <f t="shared" si="13"/>
        <v>8091553</v>
      </c>
      <c r="L310" s="2534"/>
      <c r="M310" s="2534"/>
      <c r="N310" s="2534"/>
      <c r="O310" s="2534"/>
    </row>
    <row r="311" spans="1:15">
      <c r="A311" s="1650" t="s">
        <v>853</v>
      </c>
      <c r="B311" s="1505">
        <v>317</v>
      </c>
      <c r="C311" s="1505" t="s">
        <v>2296</v>
      </c>
      <c r="D311" s="1506" t="s">
        <v>338</v>
      </c>
      <c r="E311" s="1514">
        <f>'SCH B-2.1'!I300</f>
        <v>5796351</v>
      </c>
      <c r="F311" s="1592"/>
      <c r="G311" s="105">
        <v>1556245</v>
      </c>
      <c r="H311" s="2543">
        <v>1</v>
      </c>
      <c r="I311" s="1671">
        <f t="shared" si="12"/>
        <v>1556245</v>
      </c>
      <c r="J311" s="2545"/>
      <c r="K311" s="1671">
        <f t="shared" si="13"/>
        <v>1556245</v>
      </c>
      <c r="L311" s="2534"/>
      <c r="M311" s="2534"/>
      <c r="N311" s="2534"/>
      <c r="O311" s="2534"/>
    </row>
    <row r="312" spans="1:15">
      <c r="A312" s="1650" t="s">
        <v>854</v>
      </c>
      <c r="B312" s="1505">
        <v>317</v>
      </c>
      <c r="C312" s="1505" t="s">
        <v>2753</v>
      </c>
      <c r="D312" s="1506" t="s">
        <v>2747</v>
      </c>
      <c r="E312" s="1514">
        <f>'SCH B-2.1'!I301</f>
        <v>0</v>
      </c>
      <c r="F312" s="1592"/>
      <c r="G312" s="105">
        <v>9880323</v>
      </c>
      <c r="H312" s="2543">
        <v>1</v>
      </c>
      <c r="I312" s="1671">
        <f t="shared" si="12"/>
        <v>9880323</v>
      </c>
      <c r="J312" s="1671">
        <f>'SCH B-3.1'!G57</f>
        <v>-9880323</v>
      </c>
      <c r="K312" s="1671">
        <f t="shared" si="13"/>
        <v>0</v>
      </c>
      <c r="L312" s="2534"/>
      <c r="M312" s="2534"/>
      <c r="N312" s="2534"/>
      <c r="O312" s="2534"/>
    </row>
    <row r="313" spans="1:15">
      <c r="A313" s="1650" t="s">
        <v>855</v>
      </c>
      <c r="B313" s="1506"/>
      <c r="C313" s="1506"/>
      <c r="D313" s="1506" t="s">
        <v>1483</v>
      </c>
      <c r="E313" s="1514">
        <f>'SCH B-2.1'!I302</f>
        <v>82239531</v>
      </c>
      <c r="F313" s="1592"/>
      <c r="G313" s="105">
        <v>1190646</v>
      </c>
      <c r="H313" s="2543">
        <v>1</v>
      </c>
      <c r="I313" s="1671">
        <f t="shared" si="12"/>
        <v>1190646</v>
      </c>
      <c r="J313" s="2545"/>
      <c r="K313" s="1671">
        <f t="shared" si="13"/>
        <v>1190646</v>
      </c>
      <c r="L313" s="2534"/>
      <c r="M313" s="2534"/>
      <c r="N313" s="2534"/>
      <c r="O313" s="2534"/>
    </row>
    <row r="314" spans="1:15">
      <c r="A314" s="1650" t="s">
        <v>2904</v>
      </c>
      <c r="B314" s="1506"/>
      <c r="C314" s="1505" t="s">
        <v>3103</v>
      </c>
      <c r="D314" s="1506" t="s">
        <v>1483</v>
      </c>
      <c r="E314" s="1514">
        <f>'SCH B-2.1'!I303</f>
        <v>13268572</v>
      </c>
      <c r="F314" s="1592"/>
      <c r="G314" s="105">
        <v>16965</v>
      </c>
      <c r="H314" s="2543">
        <v>1</v>
      </c>
      <c r="I314" s="1671">
        <f t="shared" si="12"/>
        <v>16965</v>
      </c>
      <c r="J314" s="2545"/>
      <c r="K314" s="1671">
        <f t="shared" si="13"/>
        <v>16965</v>
      </c>
      <c r="L314" s="2534"/>
      <c r="M314" s="2534"/>
      <c r="N314" s="2534"/>
      <c r="O314" s="2534"/>
    </row>
    <row r="315" spans="1:15">
      <c r="A315" s="1650" t="s">
        <v>2905</v>
      </c>
      <c r="B315" s="123"/>
      <c r="C315" s="1650">
        <v>108</v>
      </c>
      <c r="D315" s="1506" t="s">
        <v>1329</v>
      </c>
      <c r="E315" s="1514"/>
      <c r="F315" s="1592"/>
      <c r="G315" s="105">
        <v>-13134991</v>
      </c>
      <c r="H315" s="2543">
        <v>1</v>
      </c>
      <c r="I315" s="1671">
        <f t="shared" si="12"/>
        <v>-13134991</v>
      </c>
      <c r="J315" s="2545"/>
      <c r="K315" s="1671">
        <f t="shared" si="13"/>
        <v>-13134991</v>
      </c>
      <c r="L315" s="2534"/>
      <c r="M315" s="2534"/>
      <c r="N315" s="2534"/>
      <c r="O315" s="2534"/>
    </row>
    <row r="316" spans="1:15">
      <c r="A316" s="1650"/>
      <c r="B316" s="123"/>
      <c r="C316" s="1650"/>
      <c r="D316" s="121"/>
      <c r="E316" s="1514"/>
      <c r="F316" s="1592"/>
      <c r="G316" s="105"/>
      <c r="H316" s="2543"/>
      <c r="I316" s="1671"/>
      <c r="J316" s="2545"/>
      <c r="K316" s="1671"/>
      <c r="L316" s="2534"/>
      <c r="M316" s="2534"/>
      <c r="N316" s="2534"/>
      <c r="O316" s="2534"/>
    </row>
    <row r="317" spans="1:15">
      <c r="A317" s="123"/>
      <c r="B317" s="123"/>
      <c r="C317" s="123"/>
      <c r="D317" s="123"/>
      <c r="E317" s="123"/>
      <c r="F317" s="1659"/>
      <c r="G317" s="123"/>
      <c r="H317" s="2559"/>
      <c r="I317" s="123"/>
      <c r="J317" s="123"/>
      <c r="K317" s="123"/>
      <c r="L317" s="2534"/>
      <c r="M317" s="2534"/>
      <c r="N317" s="2534"/>
      <c r="O317" s="2534"/>
    </row>
    <row r="318" spans="1:15">
      <c r="A318" s="2724"/>
      <c r="B318" s="2724"/>
      <c r="C318" s="2724"/>
      <c r="D318" s="2724"/>
      <c r="E318" s="2724"/>
      <c r="F318" s="107"/>
      <c r="G318" s="2724"/>
      <c r="H318" s="2726"/>
      <c r="I318" s="2724"/>
      <c r="J318" s="2724"/>
      <c r="K318" s="2724"/>
      <c r="L318" s="2534"/>
      <c r="M318" s="2534"/>
      <c r="N318" s="2534"/>
      <c r="O318" s="2534"/>
    </row>
    <row r="319" spans="1:15">
      <c r="A319" s="1650">
        <v>18</v>
      </c>
      <c r="B319" s="123"/>
      <c r="C319" s="123"/>
      <c r="D319" s="121" t="s">
        <v>777</v>
      </c>
      <c r="E319" s="1514">
        <f>SUM(E299:E318)</f>
        <v>799630884</v>
      </c>
      <c r="F319" s="1592"/>
      <c r="G319" s="1514">
        <f>SUM(G299:G318)</f>
        <v>461323407</v>
      </c>
      <c r="H319" s="1679"/>
      <c r="I319" s="1514">
        <f>SUM(I299:I318)</f>
        <v>461323407</v>
      </c>
      <c r="J319" s="1514">
        <f>SUM(J299:J318)</f>
        <v>-9880323</v>
      </c>
      <c r="K319" s="1514">
        <f>SUM(K299:K318)</f>
        <v>451443084</v>
      </c>
      <c r="L319" s="2534"/>
      <c r="M319" s="2534"/>
      <c r="N319" s="2682" t="str">
        <f>IF(E319='SCH B-2.1'!I307,"BALANCED","ERROR")</f>
        <v>BALANCED</v>
      </c>
      <c r="O319" s="2534"/>
    </row>
    <row r="320" spans="1:15">
      <c r="A320" s="123"/>
      <c r="B320" s="123"/>
      <c r="C320" s="123"/>
      <c r="D320" s="123"/>
      <c r="E320" s="123"/>
      <c r="F320" s="1659"/>
      <c r="G320" s="1671"/>
      <c r="H320" s="1679"/>
      <c r="I320" s="1671"/>
      <c r="J320" s="1671"/>
      <c r="K320" s="1671"/>
      <c r="L320" s="2534"/>
      <c r="M320" s="2534"/>
      <c r="N320" s="2534"/>
      <c r="O320" s="2534"/>
    </row>
    <row r="321" spans="1:15">
      <c r="A321" s="2724"/>
      <c r="B321" s="2724"/>
      <c r="C321" s="2724"/>
      <c r="D321" s="2724"/>
      <c r="E321" s="2724"/>
      <c r="F321" s="107"/>
      <c r="G321" s="2724"/>
      <c r="H321" s="2726"/>
      <c r="I321" s="2724"/>
      <c r="J321" s="2724"/>
      <c r="K321" s="2724"/>
      <c r="L321" s="2534"/>
      <c r="M321" s="2534"/>
      <c r="N321" s="2534"/>
      <c r="O321" s="2534"/>
    </row>
    <row r="322" spans="1:15">
      <c r="A322" s="1644" t="s">
        <v>1668</v>
      </c>
      <c r="B322" s="123"/>
      <c r="C322" s="123"/>
      <c r="D322" s="123"/>
      <c r="E322" s="123"/>
      <c r="F322" s="112"/>
      <c r="G322" s="123"/>
      <c r="H322" s="2536"/>
      <c r="I322" s="123"/>
      <c r="J322" s="123"/>
      <c r="K322" s="123"/>
      <c r="L322" s="2534"/>
      <c r="M322" s="2534"/>
      <c r="N322" s="2534"/>
      <c r="O322" s="2534"/>
    </row>
    <row r="323" spans="1:15">
      <c r="A323" s="1644"/>
      <c r="B323" s="123"/>
      <c r="C323" s="123"/>
      <c r="D323" s="123"/>
      <c r="E323" s="123"/>
      <c r="F323" s="112"/>
      <c r="G323" s="123"/>
      <c r="H323" s="2536"/>
      <c r="I323" s="123"/>
      <c r="J323" s="123"/>
      <c r="K323" s="123"/>
      <c r="L323" s="2534"/>
      <c r="M323" s="2534"/>
      <c r="N323" s="2534"/>
      <c r="O323" s="2534"/>
    </row>
    <row r="324" spans="1:15">
      <c r="A324" s="1654" t="str">
        <f>COMPANY</f>
        <v>DUKE ENERGY KENTUCKY, INC.</v>
      </c>
      <c r="B324" s="1655"/>
      <c r="C324" s="1655"/>
      <c r="D324" s="2530"/>
      <c r="E324" s="2530"/>
      <c r="F324" s="2531"/>
      <c r="G324" s="1655"/>
      <c r="H324" s="2532"/>
      <c r="I324" s="2533"/>
      <c r="J324" s="2533"/>
      <c r="K324" s="2533"/>
      <c r="L324" s="2534"/>
      <c r="M324" s="2534"/>
      <c r="N324" s="2534"/>
      <c r="O324" s="2534"/>
    </row>
    <row r="325" spans="1:15">
      <c r="A325" s="1654" t="str">
        <f>CASE</f>
        <v>CASE NO. 2017-00321</v>
      </c>
      <c r="B325" s="1655"/>
      <c r="C325" s="1655"/>
      <c r="D325" s="2530"/>
      <c r="E325" s="2530"/>
      <c r="F325" s="2531"/>
      <c r="G325" s="1655"/>
      <c r="H325" s="2535"/>
      <c r="I325" s="2533"/>
      <c r="J325" s="2533"/>
      <c r="K325" s="2533"/>
      <c r="L325" s="2534"/>
      <c r="M325" s="2534"/>
      <c r="N325" s="2534"/>
      <c r="O325" s="2534"/>
    </row>
    <row r="326" spans="1:15">
      <c r="A326" s="1654" t="s">
        <v>1326</v>
      </c>
      <c r="B326" s="1655"/>
      <c r="C326" s="1655"/>
      <c r="D326" s="2530"/>
      <c r="E326" s="2530"/>
      <c r="F326" s="2531"/>
      <c r="G326" s="1655"/>
      <c r="H326" s="2532"/>
      <c r="I326" s="2533"/>
      <c r="J326" s="2533"/>
      <c r="K326" s="2533"/>
      <c r="L326" s="2534"/>
      <c r="M326" s="2534"/>
      <c r="N326" s="2534"/>
      <c r="O326" s="2534"/>
    </row>
    <row r="327" spans="1:15">
      <c r="A327" s="76" t="str">
        <f>"AS OF " &amp;RIGHT(Forecast,(LEN(Forecast)-16))</f>
        <v>AS OF MARCH 31, 2019</v>
      </c>
      <c r="B327" s="1655"/>
      <c r="C327" s="1655"/>
      <c r="D327" s="2530"/>
      <c r="E327" s="2530"/>
      <c r="F327" s="2531"/>
      <c r="G327" s="1655"/>
      <c r="H327" s="2532"/>
      <c r="I327" s="2533"/>
      <c r="J327" s="2533"/>
      <c r="K327" s="2533"/>
      <c r="L327" s="2534"/>
      <c r="M327" s="2534"/>
      <c r="N327" s="2534"/>
      <c r="O327" s="2534"/>
    </row>
    <row r="328" spans="1:15">
      <c r="A328" s="1655"/>
      <c r="B328" s="1655"/>
      <c r="C328" s="1655"/>
      <c r="D328" s="2530"/>
      <c r="E328" s="2530"/>
      <c r="F328" s="2531"/>
      <c r="G328" s="1655"/>
      <c r="H328" s="2532"/>
      <c r="I328" s="2533"/>
      <c r="J328" s="2533"/>
      <c r="K328" s="2533"/>
      <c r="L328" s="2534"/>
      <c r="M328" s="2534"/>
      <c r="N328" s="2534"/>
      <c r="O328" s="2534"/>
    </row>
    <row r="329" spans="1:15">
      <c r="A329" s="1654" t="s">
        <v>340</v>
      </c>
      <c r="B329" s="1655"/>
      <c r="C329" s="1655"/>
      <c r="D329" s="2530"/>
      <c r="E329" s="2530"/>
      <c r="F329" s="2531"/>
      <c r="G329" s="1655"/>
      <c r="H329" s="2532"/>
      <c r="I329" s="2533"/>
      <c r="J329" s="2533"/>
      <c r="K329" s="2533"/>
      <c r="L329" s="2534"/>
      <c r="M329" s="2534"/>
      <c r="N329" s="2534"/>
      <c r="O329" s="2534"/>
    </row>
    <row r="330" spans="1:15">
      <c r="A330" s="1657" t="s">
        <v>1799</v>
      </c>
      <c r="B330" s="1655"/>
      <c r="C330" s="1655"/>
      <c r="D330" s="2530"/>
      <c r="E330" s="2530"/>
      <c r="F330" s="2531"/>
      <c r="G330" s="1655"/>
      <c r="H330" s="2532"/>
      <c r="I330" s="2533"/>
      <c r="J330" s="2533"/>
      <c r="K330" s="2533"/>
      <c r="L330" s="2534"/>
      <c r="M330" s="2534"/>
      <c r="N330" s="2534"/>
      <c r="O330" s="2534"/>
    </row>
    <row r="331" spans="1:15">
      <c r="A331" s="123"/>
      <c r="B331" s="123"/>
      <c r="C331" s="123"/>
      <c r="D331" s="123"/>
      <c r="E331" s="123"/>
      <c r="F331" s="112"/>
      <c r="G331" s="123"/>
      <c r="H331" s="1679"/>
      <c r="I331" s="1671"/>
      <c r="J331" s="1671"/>
      <c r="K331" s="1671"/>
      <c r="L331" s="2534"/>
      <c r="M331" s="2534"/>
      <c r="N331" s="2534"/>
      <c r="O331" s="2534"/>
    </row>
    <row r="332" spans="1:15">
      <c r="A332" s="123"/>
      <c r="B332" s="123"/>
      <c r="C332" s="123"/>
      <c r="D332" s="123"/>
      <c r="E332" s="123"/>
      <c r="F332" s="112"/>
      <c r="G332" s="123"/>
      <c r="H332" s="2536"/>
      <c r="I332" s="123"/>
      <c r="J332" s="123"/>
      <c r="K332" s="123"/>
      <c r="L332" s="2534"/>
      <c r="M332" s="2534"/>
      <c r="N332" s="2534"/>
      <c r="O332" s="2534"/>
    </row>
    <row r="333" spans="1:15">
      <c r="A333" s="121" t="str">
        <f>DataF</f>
        <v>DATA:  BASE PERIOD  "X" FORECASTED PERIOD</v>
      </c>
      <c r="B333" s="123"/>
      <c r="C333" s="123"/>
      <c r="D333" s="123"/>
      <c r="E333" s="123"/>
      <c r="F333" s="112"/>
      <c r="G333" s="1671"/>
      <c r="H333" s="1679"/>
      <c r="I333" s="1671"/>
      <c r="J333" s="1658" t="s">
        <v>1327</v>
      </c>
      <c r="K333" s="1671"/>
      <c r="L333" s="2534"/>
      <c r="M333" s="2534"/>
      <c r="N333" s="2534"/>
      <c r="O333" s="2534"/>
    </row>
    <row r="334" spans="1:15">
      <c r="A334" s="121" t="str">
        <f>Type</f>
        <v xml:space="preserve">TYPE OF FILING:  "X" ORIGINAL   UPDATED    REVISED  </v>
      </c>
      <c r="B334" s="123"/>
      <c r="C334" s="123"/>
      <c r="D334" s="123"/>
      <c r="E334" s="123"/>
      <c r="F334" s="112"/>
      <c r="G334" s="1671"/>
      <c r="H334" s="1679"/>
      <c r="I334" s="1671"/>
      <c r="J334" s="1658" t="s">
        <v>1901</v>
      </c>
      <c r="K334" s="1671"/>
      <c r="L334" s="2534"/>
      <c r="M334" s="2534"/>
      <c r="N334" s="2534"/>
      <c r="O334" s="2534"/>
    </row>
    <row r="335" spans="1:15">
      <c r="A335" s="121" t="s">
        <v>1835</v>
      </c>
      <c r="B335" s="123"/>
      <c r="C335" s="123"/>
      <c r="D335" s="123"/>
      <c r="E335" s="123"/>
      <c r="F335" s="112"/>
      <c r="G335" s="1671"/>
      <c r="H335" s="1679"/>
      <c r="I335" s="1671"/>
      <c r="J335" s="1658" t="s">
        <v>622</v>
      </c>
      <c r="K335" s="1671"/>
      <c r="L335" s="2534"/>
      <c r="M335" s="2534"/>
      <c r="N335" s="2534"/>
      <c r="O335" s="2534"/>
    </row>
    <row r="336" spans="1:15">
      <c r="A336" s="123"/>
      <c r="B336" s="123"/>
      <c r="C336" s="123"/>
      <c r="D336" s="123"/>
      <c r="E336" s="123"/>
      <c r="F336" s="112"/>
      <c r="G336" s="1671"/>
      <c r="H336" s="1679"/>
      <c r="I336" s="1671"/>
      <c r="J336" s="2515" t="str">
        <f>_WIT7</f>
        <v>R. H. PRATT / C. S. LEE</v>
      </c>
      <c r="K336" s="1671"/>
      <c r="L336" s="2534"/>
      <c r="M336" s="2534"/>
      <c r="N336" s="2534"/>
      <c r="O336" s="2534"/>
    </row>
    <row r="337" spans="1:15">
      <c r="A337" s="123"/>
      <c r="B337" s="123"/>
      <c r="C337" s="123"/>
      <c r="D337" s="123"/>
      <c r="E337" s="123"/>
      <c r="F337" s="112"/>
      <c r="G337" s="1671"/>
      <c r="H337" s="1679"/>
      <c r="I337" s="1671"/>
      <c r="J337" s="1671"/>
      <c r="K337" s="1671"/>
      <c r="L337" s="2534"/>
      <c r="M337" s="2534"/>
      <c r="N337" s="2534"/>
      <c r="O337" s="2534"/>
    </row>
    <row r="338" spans="1:15">
      <c r="A338" s="123"/>
      <c r="B338" s="123"/>
      <c r="C338" s="123"/>
      <c r="D338" s="123"/>
      <c r="E338" s="123"/>
      <c r="F338" s="1659"/>
      <c r="G338" s="1671"/>
      <c r="H338" s="1679"/>
      <c r="I338" s="1671"/>
      <c r="J338" s="1671"/>
      <c r="K338" s="1671"/>
      <c r="L338" s="2534"/>
      <c r="M338" s="2534"/>
      <c r="N338" s="2534"/>
      <c r="O338" s="2534"/>
    </row>
    <row r="339" spans="1:15">
      <c r="A339" s="2724"/>
      <c r="B339" s="2730"/>
      <c r="C339" s="2729"/>
      <c r="D339" s="2724"/>
      <c r="E339" s="2521" t="s">
        <v>1967</v>
      </c>
      <c r="F339" s="106"/>
      <c r="G339" s="2722"/>
      <c r="H339" s="2723"/>
      <c r="I339" s="2722"/>
      <c r="J339" s="2722"/>
      <c r="K339" s="2722"/>
      <c r="L339" s="2534"/>
      <c r="M339" s="2534"/>
      <c r="N339" s="2534"/>
      <c r="O339" s="2534"/>
    </row>
    <row r="340" spans="1:15">
      <c r="A340" s="107"/>
      <c r="B340" s="108" t="s">
        <v>943</v>
      </c>
      <c r="C340" s="108" t="s">
        <v>1750</v>
      </c>
      <c r="D340" s="107"/>
      <c r="E340" s="109" t="s">
        <v>873</v>
      </c>
      <c r="F340" s="106"/>
      <c r="G340" s="110" t="s">
        <v>1836</v>
      </c>
      <c r="H340" s="111"/>
      <c r="I340" s="111"/>
      <c r="J340" s="111"/>
      <c r="K340" s="111"/>
      <c r="L340" s="2534"/>
      <c r="M340" s="2534"/>
      <c r="N340" s="2534"/>
      <c r="O340" s="2534"/>
    </row>
    <row r="341" spans="1:15">
      <c r="A341" s="1650" t="s">
        <v>1240</v>
      </c>
      <c r="B341" s="1650" t="s">
        <v>1164</v>
      </c>
      <c r="C341" s="1650" t="s">
        <v>1164</v>
      </c>
      <c r="D341" s="123"/>
      <c r="E341" s="2537" t="s">
        <v>626</v>
      </c>
      <c r="F341" s="109"/>
      <c r="G341" s="2537" t="s">
        <v>1929</v>
      </c>
      <c r="H341" s="2538" t="s">
        <v>802</v>
      </c>
      <c r="I341" s="2537" t="s">
        <v>802</v>
      </c>
      <c r="J341" s="1671"/>
      <c r="K341" s="2537" t="s">
        <v>574</v>
      </c>
      <c r="L341" s="2534"/>
      <c r="M341" s="2534"/>
      <c r="N341" s="2534"/>
      <c r="O341" s="2534"/>
    </row>
    <row r="342" spans="1:15">
      <c r="A342" s="2539" t="s">
        <v>1241</v>
      </c>
      <c r="B342" s="2539" t="s">
        <v>1241</v>
      </c>
      <c r="C342" s="2539" t="s">
        <v>1241</v>
      </c>
      <c r="D342" s="2539" t="s">
        <v>1165</v>
      </c>
      <c r="E342" s="2540" t="s">
        <v>1566</v>
      </c>
      <c r="F342" s="2539"/>
      <c r="G342" s="2540" t="s">
        <v>1750</v>
      </c>
      <c r="H342" s="2541" t="s">
        <v>363</v>
      </c>
      <c r="I342" s="2540" t="s">
        <v>1929</v>
      </c>
      <c r="J342" s="2540" t="s">
        <v>573</v>
      </c>
      <c r="K342" s="2540" t="s">
        <v>1449</v>
      </c>
      <c r="L342" s="2534"/>
      <c r="M342" s="2534"/>
      <c r="N342" s="2534"/>
      <c r="O342" s="2534"/>
    </row>
    <row r="343" spans="1:15">
      <c r="A343" s="1650" t="s">
        <v>529</v>
      </c>
      <c r="B343" s="123"/>
      <c r="C343" s="123"/>
      <c r="D343" s="123"/>
      <c r="E343" s="2537" t="s">
        <v>1705</v>
      </c>
      <c r="F343" s="2542"/>
      <c r="G343" s="2537" t="s">
        <v>1705</v>
      </c>
      <c r="H343" s="2536"/>
      <c r="I343" s="2537" t="s">
        <v>1705</v>
      </c>
      <c r="J343" s="2537" t="s">
        <v>1705</v>
      </c>
      <c r="K343" s="2537" t="s">
        <v>1705</v>
      </c>
      <c r="L343" s="2534"/>
      <c r="M343" s="2534"/>
      <c r="N343" s="2534"/>
      <c r="O343" s="2534"/>
    </row>
    <row r="344" spans="1:15">
      <c r="A344" s="123"/>
      <c r="B344" s="123"/>
      <c r="C344" s="123"/>
      <c r="D344" s="123"/>
      <c r="E344" s="123"/>
      <c r="F344" s="112"/>
      <c r="G344" s="1671"/>
      <c r="H344" s="1679"/>
      <c r="I344" s="1671"/>
      <c r="J344" s="1671"/>
      <c r="K344" s="1671"/>
      <c r="L344" s="2534"/>
      <c r="M344" s="2534"/>
      <c r="N344" s="2534"/>
      <c r="O344" s="2534"/>
    </row>
    <row r="345" spans="1:15">
      <c r="A345" s="1650" t="s">
        <v>1166</v>
      </c>
      <c r="B345" s="1505">
        <v>340</v>
      </c>
      <c r="C345" s="1505">
        <v>3400</v>
      </c>
      <c r="D345" s="1506" t="s">
        <v>849</v>
      </c>
      <c r="E345" s="1514">
        <f>'SCH B-2.1'!I332</f>
        <v>2258588</v>
      </c>
      <c r="F345" s="1592"/>
      <c r="G345" s="1543">
        <v>0</v>
      </c>
      <c r="H345" s="2543">
        <v>1</v>
      </c>
      <c r="I345" s="1671">
        <f t="shared" ref="I345:I358" si="14">ROUND((G345*H345),0)</f>
        <v>0</v>
      </c>
      <c r="J345" s="2544"/>
      <c r="K345" s="1671">
        <f t="shared" ref="K345:K358" si="15">I345+J345</f>
        <v>0</v>
      </c>
      <c r="L345" s="2534"/>
      <c r="M345" s="2534"/>
      <c r="N345" s="2534"/>
      <c r="O345" s="2534"/>
    </row>
    <row r="346" spans="1:15">
      <c r="A346" s="1650" t="s">
        <v>1167</v>
      </c>
      <c r="B346" s="1505">
        <v>340</v>
      </c>
      <c r="C346" s="1505">
        <v>3401</v>
      </c>
      <c r="D346" s="1506" t="s">
        <v>1168</v>
      </c>
      <c r="E346" s="1514">
        <f>'SCH B-2.1'!I333</f>
        <v>651684</v>
      </c>
      <c r="F346" s="1592"/>
      <c r="G346" s="1543">
        <v>312535</v>
      </c>
      <c r="H346" s="2543">
        <v>1</v>
      </c>
      <c r="I346" s="1671">
        <f t="shared" si="14"/>
        <v>312535</v>
      </c>
      <c r="J346" s="1671"/>
      <c r="K346" s="1671">
        <f t="shared" si="15"/>
        <v>312535</v>
      </c>
      <c r="L346" s="2534"/>
      <c r="M346" s="2534"/>
      <c r="N346" s="2534"/>
      <c r="O346" s="2534"/>
    </row>
    <row r="347" spans="1:15">
      <c r="A347" s="1650" t="s">
        <v>1169</v>
      </c>
      <c r="B347" s="1505">
        <v>341</v>
      </c>
      <c r="C347" s="1505">
        <v>3410</v>
      </c>
      <c r="D347" s="1506" t="s">
        <v>1170</v>
      </c>
      <c r="E347" s="1514">
        <f>'SCH B-2.1'!I334</f>
        <v>32107779</v>
      </c>
      <c r="F347" s="1593"/>
      <c r="G347" s="1543">
        <v>22684580</v>
      </c>
      <c r="H347" s="2543">
        <v>1</v>
      </c>
      <c r="I347" s="1671">
        <f t="shared" si="14"/>
        <v>22684580</v>
      </c>
      <c r="J347" s="1671"/>
      <c r="K347" s="1671">
        <f t="shared" si="15"/>
        <v>22684580</v>
      </c>
      <c r="L347" s="2534"/>
      <c r="M347" s="2534"/>
      <c r="N347" s="2534"/>
      <c r="O347" s="2534"/>
    </row>
    <row r="348" spans="1:15">
      <c r="A348" s="1650" t="s">
        <v>1171</v>
      </c>
      <c r="B348" s="1505">
        <v>341</v>
      </c>
      <c r="C348" s="1505">
        <v>3410</v>
      </c>
      <c r="D348" s="1506" t="s">
        <v>3337</v>
      </c>
      <c r="E348" s="1514">
        <f>'SCH B-2.1'!I335</f>
        <v>3958749</v>
      </c>
      <c r="F348" s="1593"/>
      <c r="G348" s="1543">
        <v>2207152</v>
      </c>
      <c r="H348" s="2543">
        <v>1</v>
      </c>
      <c r="I348" s="1671">
        <f t="shared" si="14"/>
        <v>2207152</v>
      </c>
      <c r="J348" s="1671"/>
      <c r="K348" s="1671">
        <f t="shared" si="15"/>
        <v>2207152</v>
      </c>
      <c r="L348" s="2534"/>
      <c r="M348" s="2534"/>
      <c r="N348" s="2534"/>
      <c r="O348" s="2534"/>
    </row>
    <row r="349" spans="1:15">
      <c r="A349" s="1650" t="s">
        <v>977</v>
      </c>
      <c r="B349" s="1505">
        <v>342</v>
      </c>
      <c r="C349" s="1505">
        <v>3420</v>
      </c>
      <c r="D349" s="1506" t="s">
        <v>341</v>
      </c>
      <c r="E349" s="1514">
        <f>'SCH B-2.1'!I336</f>
        <v>15706122</v>
      </c>
      <c r="F349" s="1593"/>
      <c r="G349" s="1543">
        <v>11867540</v>
      </c>
      <c r="H349" s="2543">
        <v>1</v>
      </c>
      <c r="I349" s="1671">
        <f t="shared" si="14"/>
        <v>11867540</v>
      </c>
      <c r="J349" s="1671"/>
      <c r="K349" s="1671">
        <f t="shared" si="15"/>
        <v>11867540</v>
      </c>
      <c r="L349" s="2534"/>
      <c r="M349" s="2534"/>
      <c r="N349" s="2534"/>
      <c r="O349" s="2534"/>
    </row>
    <row r="350" spans="1:15">
      <c r="A350" s="1650" t="s">
        <v>1596</v>
      </c>
      <c r="B350" s="1505">
        <v>344</v>
      </c>
      <c r="C350" s="1505">
        <v>3440</v>
      </c>
      <c r="D350" s="1506" t="s">
        <v>1717</v>
      </c>
      <c r="E350" s="1514">
        <f>'SCH B-2.1'!I337</f>
        <v>206269908</v>
      </c>
      <c r="F350" s="1592"/>
      <c r="G350" s="1543">
        <v>114439303</v>
      </c>
      <c r="H350" s="2543">
        <v>1</v>
      </c>
      <c r="I350" s="1671">
        <f t="shared" si="14"/>
        <v>114439303</v>
      </c>
      <c r="J350" s="1671"/>
      <c r="K350" s="1671">
        <f t="shared" si="15"/>
        <v>114439303</v>
      </c>
      <c r="L350" s="2534"/>
      <c r="M350" s="2534"/>
      <c r="N350" s="2534"/>
      <c r="O350" s="2534"/>
    </row>
    <row r="351" spans="1:15">
      <c r="A351" s="1650" t="s">
        <v>978</v>
      </c>
      <c r="B351" s="1505">
        <v>344</v>
      </c>
      <c r="C351" s="1505">
        <v>3440</v>
      </c>
      <c r="D351" s="1506" t="s">
        <v>3338</v>
      </c>
      <c r="E351" s="1514">
        <f>'SCH B-2.1'!I338</f>
        <v>10451088</v>
      </c>
      <c r="F351" s="1592"/>
      <c r="G351" s="1543">
        <v>7176915</v>
      </c>
      <c r="H351" s="2543">
        <v>1</v>
      </c>
      <c r="I351" s="1671">
        <f t="shared" si="14"/>
        <v>7176915</v>
      </c>
      <c r="J351" s="1671"/>
      <c r="K351" s="1671">
        <f t="shared" si="15"/>
        <v>7176915</v>
      </c>
      <c r="L351" s="2534"/>
      <c r="M351" s="2534"/>
      <c r="N351" s="2534"/>
      <c r="O351" s="2534"/>
    </row>
    <row r="352" spans="1:15">
      <c r="A352" s="1650" t="s">
        <v>979</v>
      </c>
      <c r="B352" s="1505">
        <v>344</v>
      </c>
      <c r="C352" s="1505" t="s">
        <v>2707</v>
      </c>
      <c r="D352" s="1506" t="s">
        <v>1717</v>
      </c>
      <c r="E352" s="1514">
        <f>'SCH B-2.1'!I339</f>
        <v>14573894</v>
      </c>
      <c r="F352" s="1592"/>
      <c r="G352" s="1543">
        <v>0</v>
      </c>
      <c r="H352" s="2543">
        <v>1</v>
      </c>
      <c r="I352" s="1671">
        <f t="shared" si="14"/>
        <v>0</v>
      </c>
      <c r="J352" s="1671"/>
      <c r="K352" s="1671">
        <f t="shared" si="15"/>
        <v>0</v>
      </c>
      <c r="L352" s="2534"/>
      <c r="M352" s="2534"/>
      <c r="N352" s="2534"/>
      <c r="O352" s="2534"/>
    </row>
    <row r="353" spans="1:15">
      <c r="A353" s="1650" t="s">
        <v>980</v>
      </c>
      <c r="B353" s="1505">
        <v>345</v>
      </c>
      <c r="C353" s="1505">
        <v>3450</v>
      </c>
      <c r="D353" s="1506" t="s">
        <v>337</v>
      </c>
      <c r="E353" s="1514">
        <f>'SCH B-2.1'!I340</f>
        <v>21204320</v>
      </c>
      <c r="F353" s="1592"/>
      <c r="G353" s="1543">
        <v>11315846</v>
      </c>
      <c r="H353" s="2543">
        <v>1</v>
      </c>
      <c r="I353" s="1671">
        <f t="shared" si="14"/>
        <v>11315846</v>
      </c>
      <c r="J353" s="1671"/>
      <c r="K353" s="1671">
        <f t="shared" si="15"/>
        <v>11315846</v>
      </c>
      <c r="L353" s="2534"/>
      <c r="M353" s="2534"/>
      <c r="N353" s="2534"/>
      <c r="O353" s="2534"/>
    </row>
    <row r="354" spans="1:15">
      <c r="A354" s="1650" t="s">
        <v>850</v>
      </c>
      <c r="B354" s="1505">
        <v>345</v>
      </c>
      <c r="C354" s="1505">
        <v>3450</v>
      </c>
      <c r="D354" s="1506" t="s">
        <v>3339</v>
      </c>
      <c r="E354" s="1514">
        <f>'SCH B-2.1'!I341</f>
        <v>456133</v>
      </c>
      <c r="F354" s="1592"/>
      <c r="G354" s="1543">
        <v>320693</v>
      </c>
      <c r="H354" s="2543">
        <v>1</v>
      </c>
      <c r="I354" s="1671">
        <f t="shared" si="14"/>
        <v>320693</v>
      </c>
      <c r="J354" s="1671"/>
      <c r="K354" s="1671">
        <f t="shared" si="15"/>
        <v>320693</v>
      </c>
      <c r="L354" s="2534"/>
      <c r="M354" s="2534"/>
      <c r="N354" s="2534"/>
      <c r="O354" s="2534"/>
    </row>
    <row r="355" spans="1:15">
      <c r="A355" s="1650" t="s">
        <v>851</v>
      </c>
      <c r="B355" s="1505">
        <v>346</v>
      </c>
      <c r="C355" s="1505">
        <v>3460</v>
      </c>
      <c r="D355" s="1506" t="s">
        <v>1718</v>
      </c>
      <c r="E355" s="1514">
        <f>'SCH B-2.1'!I342</f>
        <v>4040664</v>
      </c>
      <c r="F355" s="1592"/>
      <c r="G355" s="1543">
        <v>2338966</v>
      </c>
      <c r="H355" s="2543">
        <v>1</v>
      </c>
      <c r="I355" s="1671">
        <f t="shared" si="14"/>
        <v>2338966</v>
      </c>
      <c r="J355" s="1671"/>
      <c r="K355" s="1671">
        <f t="shared" si="15"/>
        <v>2338966</v>
      </c>
      <c r="L355" s="2534"/>
      <c r="M355" s="2534"/>
      <c r="N355" s="2534"/>
      <c r="O355" s="2534"/>
    </row>
    <row r="356" spans="1:15">
      <c r="A356" s="1650" t="s">
        <v>852</v>
      </c>
      <c r="B356" s="1505">
        <v>346</v>
      </c>
      <c r="C356" s="1505">
        <v>3460</v>
      </c>
      <c r="D356" s="1506" t="s">
        <v>3340</v>
      </c>
      <c r="E356" s="1514">
        <f>'SCH B-2.1'!I343</f>
        <v>601418</v>
      </c>
      <c r="F356" s="1592"/>
      <c r="G356" s="1543">
        <v>357508</v>
      </c>
      <c r="H356" s="2543">
        <v>1</v>
      </c>
      <c r="I356" s="1671">
        <f t="shared" si="14"/>
        <v>357508</v>
      </c>
      <c r="J356" s="1671"/>
      <c r="K356" s="1671">
        <f t="shared" si="15"/>
        <v>357508</v>
      </c>
      <c r="L356" s="2534"/>
      <c r="M356" s="2534"/>
      <c r="N356" s="2534"/>
      <c r="O356" s="2534"/>
    </row>
    <row r="357" spans="1:15">
      <c r="A357" s="1650" t="s">
        <v>853</v>
      </c>
      <c r="B357" s="1505"/>
      <c r="C357" s="1505"/>
      <c r="D357" s="1506" t="s">
        <v>1483</v>
      </c>
      <c r="E357" s="1514">
        <f>'SCH B-2.1'!I344</f>
        <v>21866881</v>
      </c>
      <c r="F357" s="1592"/>
      <c r="G357" s="1543">
        <v>182082</v>
      </c>
      <c r="H357" s="2543">
        <v>1</v>
      </c>
      <c r="I357" s="1671">
        <f t="shared" si="14"/>
        <v>182082</v>
      </c>
      <c r="J357" s="1671"/>
      <c r="K357" s="1671">
        <f t="shared" si="15"/>
        <v>182082</v>
      </c>
      <c r="L357" s="2534"/>
      <c r="M357" s="2534"/>
      <c r="N357" s="2534"/>
      <c r="O357" s="2534"/>
    </row>
    <row r="358" spans="1:15">
      <c r="A358" s="1650" t="s">
        <v>854</v>
      </c>
      <c r="B358" s="123"/>
      <c r="C358" s="1650">
        <v>108</v>
      </c>
      <c r="D358" s="1506" t="s">
        <v>1329</v>
      </c>
      <c r="E358" s="1514"/>
      <c r="F358" s="1592"/>
      <c r="G358" s="1543">
        <v>-3991608</v>
      </c>
      <c r="H358" s="2543">
        <v>1</v>
      </c>
      <c r="I358" s="1671">
        <f t="shared" si="14"/>
        <v>-3991608</v>
      </c>
      <c r="J358" s="1671"/>
      <c r="K358" s="1671">
        <f t="shared" si="15"/>
        <v>-3991608</v>
      </c>
      <c r="L358" s="2534"/>
      <c r="M358" s="2534"/>
      <c r="N358" s="2534"/>
      <c r="O358" s="2534"/>
    </row>
    <row r="359" spans="1:15">
      <c r="A359" s="123"/>
      <c r="B359" s="123"/>
      <c r="C359" s="123"/>
      <c r="D359" s="123"/>
      <c r="E359" s="123"/>
      <c r="F359" s="112"/>
      <c r="G359" s="1671"/>
      <c r="H359" s="1679"/>
      <c r="I359" s="1671"/>
      <c r="J359" s="1671"/>
      <c r="K359" s="1671"/>
      <c r="L359" s="2534"/>
      <c r="M359" s="2534"/>
      <c r="N359" s="2534"/>
      <c r="O359" s="2534"/>
    </row>
    <row r="360" spans="1:15">
      <c r="A360" s="123"/>
      <c r="B360" s="123"/>
      <c r="C360" s="123"/>
      <c r="D360" s="123"/>
      <c r="E360" s="123"/>
      <c r="F360" s="1659"/>
      <c r="G360" s="123"/>
      <c r="H360" s="2536"/>
      <c r="I360" s="123"/>
      <c r="J360" s="123"/>
      <c r="K360" s="123"/>
      <c r="L360" s="2534"/>
      <c r="M360" s="2534"/>
      <c r="N360" s="2534"/>
      <c r="O360" s="2534"/>
    </row>
    <row r="361" spans="1:15">
      <c r="A361" s="2724"/>
      <c r="B361" s="2724"/>
      <c r="C361" s="2724"/>
      <c r="D361" s="2724"/>
      <c r="E361" s="2724"/>
      <c r="F361" s="107"/>
      <c r="G361" s="2724"/>
      <c r="H361" s="2726"/>
      <c r="I361" s="2724"/>
      <c r="J361" s="2724"/>
      <c r="K361" s="2724"/>
      <c r="L361" s="2534"/>
      <c r="M361" s="2534"/>
      <c r="N361" s="2534"/>
      <c r="O361" s="2534"/>
    </row>
    <row r="362" spans="1:15">
      <c r="A362" s="1650">
        <v>15</v>
      </c>
      <c r="B362" s="123"/>
      <c r="C362" s="123"/>
      <c r="D362" s="121" t="s">
        <v>778</v>
      </c>
      <c r="E362" s="1514">
        <f>SUM(E345:E361)</f>
        <v>334147228</v>
      </c>
      <c r="F362" s="1592"/>
      <c r="G362" s="1514">
        <f>SUM(G345:G361)</f>
        <v>169211512</v>
      </c>
      <c r="H362" s="1679"/>
      <c r="I362" s="1514">
        <f>SUM(I345:I361)</f>
        <v>169211512</v>
      </c>
      <c r="J362" s="1514">
        <f>SUM(J345:J361)</f>
        <v>0</v>
      </c>
      <c r="K362" s="1514">
        <f>SUM(K345:K361)</f>
        <v>169211512</v>
      </c>
      <c r="L362" s="2534"/>
      <c r="M362" s="2534"/>
      <c r="N362" s="2682" t="str">
        <f>IF(E362='SCH B-2.1'!I348,"BALANCED","ERROR")</f>
        <v>BALANCED</v>
      </c>
      <c r="O362" s="2534"/>
    </row>
    <row r="363" spans="1:15">
      <c r="A363" s="1659"/>
      <c r="B363" s="1659"/>
      <c r="C363" s="1659"/>
      <c r="D363" s="1659"/>
      <c r="E363" s="1659"/>
      <c r="F363" s="1659"/>
      <c r="G363" s="2560"/>
      <c r="H363" s="2561"/>
      <c r="I363" s="2560"/>
      <c r="J363" s="2560"/>
      <c r="K363" s="2560"/>
      <c r="L363" s="2534"/>
      <c r="M363" s="2534"/>
      <c r="N363" s="2534"/>
      <c r="O363" s="2534"/>
    </row>
    <row r="364" spans="1:15">
      <c r="A364" s="1644"/>
      <c r="B364" s="123"/>
      <c r="C364" s="123"/>
      <c r="D364" s="123"/>
      <c r="E364" s="123"/>
      <c r="F364" s="112"/>
      <c r="G364" s="123"/>
      <c r="H364" s="2536"/>
      <c r="I364" s="123"/>
      <c r="J364" s="123"/>
      <c r="K364" s="123"/>
      <c r="L364" s="2534"/>
      <c r="M364" s="2534"/>
      <c r="N364" s="2534"/>
      <c r="O364" s="2534"/>
    </row>
    <row r="365" spans="1:15">
      <c r="A365" s="1654" t="str">
        <f>COMPANY</f>
        <v>DUKE ENERGY KENTUCKY, INC.</v>
      </c>
      <c r="B365" s="1655"/>
      <c r="C365" s="1655"/>
      <c r="D365" s="1654"/>
      <c r="E365" s="1654"/>
      <c r="F365" s="2546"/>
      <c r="G365" s="1655"/>
      <c r="H365" s="2535"/>
      <c r="I365" s="1655"/>
      <c r="J365" s="1655"/>
      <c r="K365" s="1655"/>
      <c r="L365" s="2534"/>
      <c r="M365" s="2534"/>
      <c r="N365" s="2534"/>
      <c r="O365" s="2534"/>
    </row>
    <row r="366" spans="1:15">
      <c r="A366" s="1654" t="str">
        <f>CASE</f>
        <v>CASE NO. 2017-00321</v>
      </c>
      <c r="B366" s="1655"/>
      <c r="C366" s="1655"/>
      <c r="D366" s="1654"/>
      <c r="E366" s="1654"/>
      <c r="F366" s="2546"/>
      <c r="G366" s="1655"/>
      <c r="H366" s="2535"/>
      <c r="I366" s="1655"/>
      <c r="J366" s="1655"/>
      <c r="K366" s="1655"/>
      <c r="L366" s="2534"/>
      <c r="M366" s="2534"/>
      <c r="N366" s="2534"/>
      <c r="O366" s="2534"/>
    </row>
    <row r="367" spans="1:15">
      <c r="A367" s="1654" t="str">
        <f>A3</f>
        <v>ACCUMULATED DEPRECIATION AND AMORTIZATION</v>
      </c>
      <c r="B367" s="1655"/>
      <c r="C367" s="1655"/>
      <c r="D367" s="1654"/>
      <c r="E367" s="1654"/>
      <c r="F367" s="2546"/>
      <c r="G367" s="1655"/>
      <c r="H367" s="2535"/>
      <c r="I367" s="1655"/>
      <c r="J367" s="1655"/>
      <c r="K367" s="1655"/>
      <c r="L367" s="2534"/>
      <c r="M367" s="2534"/>
      <c r="N367" s="2534"/>
      <c r="O367" s="2534"/>
    </row>
    <row r="368" spans="1:15">
      <c r="A368" s="76" t="str">
        <f>"AS OF " &amp;RIGHT(Forecast,(LEN(Forecast)-16))</f>
        <v>AS OF MARCH 31, 2019</v>
      </c>
      <c r="B368" s="1655"/>
      <c r="C368" s="1655"/>
      <c r="D368" s="1654"/>
      <c r="E368" s="1654"/>
      <c r="F368" s="2546"/>
      <c r="G368" s="1655"/>
      <c r="H368" s="2535"/>
      <c r="I368" s="1655"/>
      <c r="J368" s="1655"/>
      <c r="K368" s="1655"/>
      <c r="L368" s="2534"/>
      <c r="M368" s="2534"/>
      <c r="N368" s="2534"/>
      <c r="O368" s="2534"/>
    </row>
    <row r="369" spans="1:15">
      <c r="A369" s="1655"/>
      <c r="B369" s="1655"/>
      <c r="C369" s="1655"/>
      <c r="D369" s="1655"/>
      <c r="E369" s="1655"/>
      <c r="F369" s="2547"/>
      <c r="G369" s="1655"/>
      <c r="H369" s="2535"/>
      <c r="I369" s="1655"/>
      <c r="J369" s="1655"/>
      <c r="K369" s="1655"/>
      <c r="L369" s="2534"/>
      <c r="M369" s="2534"/>
      <c r="N369" s="2534"/>
      <c r="O369" s="2534"/>
    </row>
    <row r="370" spans="1:15">
      <c r="A370" s="1654" t="s">
        <v>1447</v>
      </c>
      <c r="B370" s="1655"/>
      <c r="C370" s="1655"/>
      <c r="D370" s="1654"/>
      <c r="E370" s="1654"/>
      <c r="F370" s="2546"/>
      <c r="G370" s="1655"/>
      <c r="H370" s="2535"/>
      <c r="I370" s="1655"/>
      <c r="J370" s="1655"/>
      <c r="K370" s="1655"/>
      <c r="L370" s="2534"/>
      <c r="M370" s="2534"/>
      <c r="N370" s="2534"/>
      <c r="O370" s="2534"/>
    </row>
    <row r="371" spans="1:15">
      <c r="A371" s="1657" t="s">
        <v>1799</v>
      </c>
      <c r="B371" s="1655"/>
      <c r="C371" s="1655"/>
      <c r="D371" s="1654"/>
      <c r="E371" s="1654"/>
      <c r="F371" s="2546"/>
      <c r="G371" s="1655"/>
      <c r="H371" s="2535"/>
      <c r="I371" s="1655"/>
      <c r="J371" s="1655"/>
      <c r="K371" s="1655"/>
      <c r="L371" s="2534"/>
      <c r="M371" s="2534"/>
      <c r="N371" s="2534"/>
      <c r="O371" s="2534"/>
    </row>
    <row r="372" spans="1:15">
      <c r="A372" s="1656"/>
      <c r="B372" s="123"/>
      <c r="C372" s="123"/>
      <c r="D372" s="123"/>
      <c r="E372" s="123"/>
      <c r="F372" s="112"/>
      <c r="G372" s="123"/>
      <c r="H372" s="2536"/>
      <c r="I372" s="123"/>
      <c r="J372" s="123"/>
      <c r="K372" s="123"/>
      <c r="L372" s="2534"/>
      <c r="M372" s="2534"/>
      <c r="N372" s="2534"/>
      <c r="O372" s="2534"/>
    </row>
    <row r="373" spans="1:15">
      <c r="A373" s="1656"/>
      <c r="B373" s="123"/>
      <c r="C373" s="123"/>
      <c r="D373" s="123"/>
      <c r="E373" s="123"/>
      <c r="F373" s="112"/>
      <c r="G373" s="123"/>
      <c r="H373" s="2536"/>
      <c r="I373" s="123"/>
      <c r="J373" s="121"/>
      <c r="K373" s="123"/>
      <c r="L373" s="2534"/>
      <c r="M373" s="2534"/>
      <c r="N373" s="2534"/>
      <c r="O373" s="2534"/>
    </row>
    <row r="374" spans="1:15">
      <c r="A374" s="121" t="str">
        <f>DataF</f>
        <v>DATA:  BASE PERIOD  "X" FORECASTED PERIOD</v>
      </c>
      <c r="B374" s="123"/>
      <c r="C374" s="123"/>
      <c r="D374" s="123"/>
      <c r="E374" s="123"/>
      <c r="F374" s="112"/>
      <c r="G374" s="123"/>
      <c r="H374" s="2536"/>
      <c r="I374" s="123"/>
      <c r="J374" s="1658" t="str">
        <f>J287</f>
        <v>SCHEDULE B-3</v>
      </c>
      <c r="K374" s="123"/>
      <c r="L374" s="2534"/>
      <c r="M374" s="2534"/>
      <c r="N374" s="2534"/>
      <c r="O374" s="2534"/>
    </row>
    <row r="375" spans="1:15">
      <c r="A375" s="121" t="str">
        <f>Type</f>
        <v xml:space="preserve">TYPE OF FILING:  "X" ORIGINAL   UPDATED    REVISED  </v>
      </c>
      <c r="B375" s="123"/>
      <c r="C375" s="123"/>
      <c r="D375" s="123"/>
      <c r="E375" s="123"/>
      <c r="F375" s="112"/>
      <c r="G375" s="123"/>
      <c r="H375" s="2536"/>
      <c r="I375" s="123"/>
      <c r="J375" s="1658" t="s">
        <v>1902</v>
      </c>
      <c r="K375" s="123"/>
      <c r="L375" s="2534"/>
      <c r="M375" s="2534"/>
      <c r="N375" s="2534"/>
      <c r="O375" s="2534"/>
    </row>
    <row r="376" spans="1:15">
      <c r="A376" s="121" t="str">
        <f>A12</f>
        <v>WORK PAPER REFERENCE NO(S).: SCHEDULE B-2.1, SCHEDULE B-3.1</v>
      </c>
      <c r="B376" s="123"/>
      <c r="C376" s="123"/>
      <c r="D376" s="123"/>
      <c r="E376" s="123"/>
      <c r="F376" s="112"/>
      <c r="G376" s="123"/>
      <c r="H376" s="2536"/>
      <c r="I376" s="123"/>
      <c r="J376" s="1658" t="str">
        <f>J289</f>
        <v>WITNESS RESPONSIBLE:</v>
      </c>
      <c r="K376" s="123"/>
      <c r="L376" s="2534"/>
      <c r="M376" s="2534"/>
      <c r="N376" s="2534"/>
      <c r="O376" s="2534"/>
    </row>
    <row r="377" spans="1:15">
      <c r="A377" s="123"/>
      <c r="B377" s="123"/>
      <c r="C377" s="123"/>
      <c r="D377" s="123"/>
      <c r="E377" s="123"/>
      <c r="F377" s="112"/>
      <c r="G377" s="123"/>
      <c r="H377" s="2536"/>
      <c r="I377" s="123"/>
      <c r="J377" s="123" t="str">
        <f>_WIT7</f>
        <v>R. H. PRATT / C. S. LEE</v>
      </c>
      <c r="K377" s="123"/>
      <c r="L377" s="2534"/>
      <c r="M377" s="2534"/>
      <c r="N377" s="2534"/>
      <c r="O377" s="2534"/>
    </row>
    <row r="378" spans="1:15">
      <c r="A378" s="123"/>
      <c r="B378" s="123"/>
      <c r="C378" s="123"/>
      <c r="D378" s="123"/>
      <c r="E378" s="123"/>
      <c r="F378" s="112"/>
      <c r="G378" s="123"/>
      <c r="H378" s="2536"/>
      <c r="I378" s="123"/>
      <c r="J378" s="123"/>
      <c r="K378" s="123"/>
      <c r="L378" s="2534"/>
      <c r="M378" s="2534"/>
      <c r="N378" s="2534"/>
      <c r="O378" s="2534"/>
    </row>
    <row r="379" spans="1:15">
      <c r="A379" s="123"/>
      <c r="B379" s="123"/>
      <c r="C379" s="123"/>
      <c r="D379" s="123"/>
      <c r="E379" s="123"/>
      <c r="F379" s="1659"/>
      <c r="G379" s="123"/>
      <c r="H379" s="2536"/>
      <c r="I379" s="123"/>
      <c r="J379" s="123"/>
      <c r="K379" s="123"/>
      <c r="L379" s="2534"/>
      <c r="M379" s="2534"/>
      <c r="N379" s="2534"/>
      <c r="O379" s="2534"/>
    </row>
    <row r="380" spans="1:15">
      <c r="A380" s="2724"/>
      <c r="B380" s="2728"/>
      <c r="C380" s="2727" t="s">
        <v>1799</v>
      </c>
      <c r="D380" s="2724"/>
      <c r="E380" s="2521" t="str">
        <f>E293</f>
        <v>13 Month</v>
      </c>
      <c r="F380" s="106"/>
      <c r="G380" s="2724"/>
      <c r="H380" s="2726"/>
      <c r="I380" s="2724"/>
      <c r="J380" s="2724"/>
      <c r="K380" s="2724"/>
      <c r="L380" s="2534"/>
      <c r="M380" s="2534"/>
      <c r="N380" s="2534"/>
      <c r="O380" s="2534"/>
    </row>
    <row r="381" spans="1:15">
      <c r="A381" s="107"/>
      <c r="B381" s="115" t="s">
        <v>943</v>
      </c>
      <c r="C381" s="115" t="s">
        <v>1750</v>
      </c>
      <c r="D381" s="107"/>
      <c r="E381" s="109" t="str">
        <f>E294</f>
        <v>Average</v>
      </c>
      <c r="F381" s="106"/>
      <c r="G381" s="116" t="str">
        <f>G294</f>
        <v>13 Month Average Forecasted Period Accumulated Balances</v>
      </c>
      <c r="H381" s="117"/>
      <c r="I381" s="117"/>
      <c r="J381" s="117"/>
      <c r="K381" s="117"/>
      <c r="L381" s="2534"/>
      <c r="M381" s="2534"/>
      <c r="N381" s="2534"/>
      <c r="O381" s="2534"/>
    </row>
    <row r="382" spans="1:15">
      <c r="A382" s="1650" t="s">
        <v>1240</v>
      </c>
      <c r="B382" s="1650" t="s">
        <v>1164</v>
      </c>
      <c r="C382" s="1650" t="s">
        <v>1164</v>
      </c>
      <c r="D382" s="123"/>
      <c r="E382" s="2537" t="str">
        <f>E295</f>
        <v>Forecasted</v>
      </c>
      <c r="F382" s="109"/>
      <c r="G382" s="1650" t="s">
        <v>1929</v>
      </c>
      <c r="H382" s="2538" t="s">
        <v>450</v>
      </c>
      <c r="I382" s="1650" t="s">
        <v>1669</v>
      </c>
      <c r="J382" s="123"/>
      <c r="K382" s="1650" t="s">
        <v>574</v>
      </c>
      <c r="L382" s="2534"/>
      <c r="M382" s="2534"/>
      <c r="N382" s="2534"/>
      <c r="O382" s="2534"/>
    </row>
    <row r="383" spans="1:15">
      <c r="A383" s="1650" t="s">
        <v>1241</v>
      </c>
      <c r="B383" s="1650" t="s">
        <v>1241</v>
      </c>
      <c r="C383" s="1650" t="s">
        <v>1241</v>
      </c>
      <c r="D383" s="1650" t="s">
        <v>1165</v>
      </c>
      <c r="E383" s="2540" t="str">
        <f>E296</f>
        <v>Period (1)</v>
      </c>
      <c r="F383" s="2539"/>
      <c r="G383" s="2539" t="s">
        <v>1750</v>
      </c>
      <c r="H383" s="2541" t="s">
        <v>363</v>
      </c>
      <c r="I383" s="2539" t="s">
        <v>1929</v>
      </c>
      <c r="J383" s="2539" t="s">
        <v>573</v>
      </c>
      <c r="K383" s="2539" t="s">
        <v>1449</v>
      </c>
      <c r="L383" s="2534"/>
      <c r="M383" s="2534"/>
      <c r="N383" s="2534"/>
      <c r="O383" s="2534"/>
    </row>
    <row r="384" spans="1:15">
      <c r="A384" s="2724"/>
      <c r="B384" s="2724"/>
      <c r="C384" s="2724"/>
      <c r="D384" s="2724"/>
      <c r="E384" s="2724"/>
      <c r="F384" s="107"/>
      <c r="G384" s="1650" t="s">
        <v>1705</v>
      </c>
      <c r="H384" s="2536"/>
      <c r="I384" s="1650" t="s">
        <v>1705</v>
      </c>
      <c r="J384" s="1650" t="s">
        <v>1705</v>
      </c>
      <c r="K384" s="1650" t="s">
        <v>1705</v>
      </c>
      <c r="L384" s="2534"/>
      <c r="M384" s="2534"/>
      <c r="N384" s="2534"/>
      <c r="O384" s="2534"/>
    </row>
    <row r="385" spans="1:15">
      <c r="A385" s="1650" t="s">
        <v>529</v>
      </c>
      <c r="B385" s="123"/>
      <c r="C385" s="123"/>
      <c r="D385" s="123"/>
      <c r="E385" s="123"/>
      <c r="F385" s="112"/>
      <c r="G385" s="2534"/>
      <c r="H385" s="2548"/>
      <c r="I385" s="2534"/>
      <c r="J385" s="2534"/>
      <c r="K385" s="2534"/>
      <c r="L385" s="2534"/>
      <c r="M385" s="2534"/>
      <c r="N385" s="2534"/>
      <c r="O385" s="2534"/>
    </row>
    <row r="386" spans="1:15">
      <c r="A386" s="1650">
        <v>1</v>
      </c>
      <c r="B386" s="321">
        <v>350</v>
      </c>
      <c r="C386" s="321">
        <v>3500</v>
      </c>
      <c r="D386" s="315" t="s">
        <v>1595</v>
      </c>
      <c r="E386" s="1514">
        <f>'SCH B-2.1'!I373</f>
        <v>246667</v>
      </c>
      <c r="F386" s="1592"/>
      <c r="G386" s="105">
        <v>0</v>
      </c>
      <c r="H386" s="2543">
        <v>1</v>
      </c>
      <c r="I386" s="1671">
        <f t="shared" ref="I386:I397" si="16">ROUND((G386*H386),0)</f>
        <v>0</v>
      </c>
      <c r="J386" s="1514"/>
      <c r="K386" s="1671">
        <f t="shared" ref="K386:K397" si="17">I386+J386</f>
        <v>0</v>
      </c>
      <c r="L386" s="2534"/>
      <c r="M386" s="2534"/>
      <c r="N386" s="2534"/>
      <c r="O386" s="2534"/>
    </row>
    <row r="387" spans="1:15">
      <c r="A387" s="1650">
        <v>2</v>
      </c>
      <c r="B387" s="321">
        <v>350</v>
      </c>
      <c r="C387" s="321">
        <v>3501</v>
      </c>
      <c r="D387" s="315" t="s">
        <v>1168</v>
      </c>
      <c r="E387" s="1514">
        <f>'SCH B-2.1'!I374</f>
        <v>1092199</v>
      </c>
      <c r="F387" s="1592"/>
      <c r="G387" s="105">
        <v>672455</v>
      </c>
      <c r="H387" s="2543">
        <v>1</v>
      </c>
      <c r="I387" s="1671">
        <f t="shared" si="16"/>
        <v>672455</v>
      </c>
      <c r="J387" s="1514"/>
      <c r="K387" s="1671">
        <f t="shared" si="17"/>
        <v>672455</v>
      </c>
      <c r="L387" s="2534"/>
      <c r="M387" s="2534"/>
      <c r="N387" s="2534"/>
      <c r="O387" s="2534"/>
    </row>
    <row r="388" spans="1:15">
      <c r="A388" s="1650">
        <v>3</v>
      </c>
      <c r="B388" s="321">
        <v>352</v>
      </c>
      <c r="C388" s="321">
        <v>3520</v>
      </c>
      <c r="D388" s="315" t="s">
        <v>1170</v>
      </c>
      <c r="E388" s="1514">
        <f>'SCH B-2.1'!I375</f>
        <v>1454732</v>
      </c>
      <c r="F388" s="1593"/>
      <c r="G388" s="105">
        <v>222524</v>
      </c>
      <c r="H388" s="2543">
        <v>1</v>
      </c>
      <c r="I388" s="1671">
        <f t="shared" si="16"/>
        <v>222524</v>
      </c>
      <c r="J388" s="1514"/>
      <c r="K388" s="1671">
        <f t="shared" si="17"/>
        <v>222524</v>
      </c>
      <c r="L388" s="2534"/>
      <c r="M388" s="2534"/>
      <c r="N388" s="2534"/>
      <c r="O388" s="2534"/>
    </row>
    <row r="389" spans="1:15">
      <c r="A389" s="1650">
        <v>4</v>
      </c>
      <c r="B389" s="321">
        <v>353</v>
      </c>
      <c r="C389" s="321">
        <v>3530</v>
      </c>
      <c r="D389" s="315" t="s">
        <v>1721</v>
      </c>
      <c r="E389" s="1514">
        <f>'SCH B-2.1'!I376</f>
        <v>17084779</v>
      </c>
      <c r="F389" s="1593"/>
      <c r="G389" s="105">
        <v>4850127</v>
      </c>
      <c r="H389" s="2543">
        <v>1</v>
      </c>
      <c r="I389" s="1671">
        <f t="shared" si="16"/>
        <v>4850127</v>
      </c>
      <c r="J389" s="1514"/>
      <c r="K389" s="1671">
        <f t="shared" si="17"/>
        <v>4850127</v>
      </c>
      <c r="L389" s="2534"/>
      <c r="M389" s="2534"/>
      <c r="N389" s="2534"/>
      <c r="O389" s="2534"/>
    </row>
    <row r="390" spans="1:15">
      <c r="A390" s="1650">
        <v>5</v>
      </c>
      <c r="B390" s="321">
        <v>353</v>
      </c>
      <c r="C390" s="321">
        <v>3531</v>
      </c>
      <c r="D390" s="315" t="s">
        <v>2926</v>
      </c>
      <c r="E390" s="1514">
        <f>'SCH B-2.1'!I377</f>
        <v>9373634</v>
      </c>
      <c r="F390" s="1593"/>
      <c r="G390" s="105">
        <v>4078780</v>
      </c>
      <c r="H390" s="2543">
        <v>1</v>
      </c>
      <c r="I390" s="1671">
        <f t="shared" si="16"/>
        <v>4078780</v>
      </c>
      <c r="J390" s="1514"/>
      <c r="K390" s="1671">
        <f t="shared" si="17"/>
        <v>4078780</v>
      </c>
      <c r="L390" s="2534"/>
      <c r="M390" s="2534"/>
      <c r="N390" s="2534"/>
      <c r="O390" s="2534"/>
    </row>
    <row r="391" spans="1:15">
      <c r="A391" s="1650">
        <v>6</v>
      </c>
      <c r="B391" s="321">
        <v>353</v>
      </c>
      <c r="C391" s="321">
        <v>3532</v>
      </c>
      <c r="D391" s="315" t="s">
        <v>2927</v>
      </c>
      <c r="E391" s="1514">
        <f>'SCH B-2.1'!I378</f>
        <v>5891325</v>
      </c>
      <c r="F391" s="1593"/>
      <c r="G391" s="105">
        <v>1868091</v>
      </c>
      <c r="H391" s="2543">
        <v>1</v>
      </c>
      <c r="I391" s="1671">
        <f t="shared" si="16"/>
        <v>1868091</v>
      </c>
      <c r="J391" s="1514"/>
      <c r="K391" s="1671">
        <f t="shared" si="17"/>
        <v>1868091</v>
      </c>
      <c r="L391" s="2534"/>
      <c r="M391" s="2534"/>
      <c r="N391" s="2534"/>
      <c r="O391" s="2534"/>
    </row>
    <row r="392" spans="1:15">
      <c r="A392" s="1650">
        <v>7</v>
      </c>
      <c r="B392" s="321">
        <v>353</v>
      </c>
      <c r="C392" s="321">
        <v>3534</v>
      </c>
      <c r="D392" s="315" t="s">
        <v>2928</v>
      </c>
      <c r="E392" s="1514">
        <f>'SCH B-2.1'!I379</f>
        <v>7057290</v>
      </c>
      <c r="F392" s="1593"/>
      <c r="G392" s="105">
        <v>1010005</v>
      </c>
      <c r="H392" s="2543">
        <v>1</v>
      </c>
      <c r="I392" s="1671">
        <f t="shared" si="16"/>
        <v>1010005</v>
      </c>
      <c r="J392" s="1514"/>
      <c r="K392" s="1671">
        <f t="shared" si="17"/>
        <v>1010005</v>
      </c>
      <c r="L392" s="2534"/>
      <c r="M392" s="2534"/>
      <c r="N392" s="2534"/>
      <c r="O392" s="2534"/>
    </row>
    <row r="393" spans="1:15">
      <c r="A393" s="1650">
        <v>8</v>
      </c>
      <c r="B393" s="321">
        <v>355</v>
      </c>
      <c r="C393" s="321">
        <v>3550</v>
      </c>
      <c r="D393" s="315" t="s">
        <v>1722</v>
      </c>
      <c r="E393" s="1514">
        <f>'SCH B-2.1'!I380</f>
        <v>7523996</v>
      </c>
      <c r="F393" s="1593"/>
      <c r="G393" s="105">
        <v>4107887</v>
      </c>
      <c r="H393" s="2543">
        <v>1</v>
      </c>
      <c r="I393" s="1671">
        <f t="shared" si="16"/>
        <v>4107887</v>
      </c>
      <c r="J393" s="1514"/>
      <c r="K393" s="1671">
        <f t="shared" si="17"/>
        <v>4107887</v>
      </c>
      <c r="L393" s="2534"/>
      <c r="M393" s="2534"/>
      <c r="N393" s="2534"/>
      <c r="O393" s="2534"/>
    </row>
    <row r="394" spans="1:15">
      <c r="A394" s="1650">
        <v>9</v>
      </c>
      <c r="B394" s="321">
        <v>356</v>
      </c>
      <c r="C394" s="321">
        <v>3560</v>
      </c>
      <c r="D394" s="315" t="s">
        <v>1723</v>
      </c>
      <c r="E394" s="1514">
        <f>'SCH B-2.1'!I381</f>
        <v>5837424</v>
      </c>
      <c r="F394" s="1593"/>
      <c r="G394" s="105">
        <v>3682327</v>
      </c>
      <c r="H394" s="2543">
        <v>1</v>
      </c>
      <c r="I394" s="1671">
        <f t="shared" si="16"/>
        <v>3682327</v>
      </c>
      <c r="J394" s="1514"/>
      <c r="K394" s="1671">
        <f t="shared" si="17"/>
        <v>3682327</v>
      </c>
      <c r="L394" s="2534"/>
      <c r="M394" s="2534"/>
      <c r="N394" s="2534"/>
      <c r="O394" s="2534"/>
    </row>
    <row r="395" spans="1:15">
      <c r="A395" s="1650">
        <v>10</v>
      </c>
      <c r="B395" s="321">
        <v>356</v>
      </c>
      <c r="C395" s="321">
        <v>3561</v>
      </c>
      <c r="D395" s="315" t="s">
        <v>2287</v>
      </c>
      <c r="E395" s="1514">
        <f>'SCH B-2.1'!I382</f>
        <v>296574</v>
      </c>
      <c r="F395" s="1593"/>
      <c r="G395" s="105">
        <v>9331</v>
      </c>
      <c r="H395" s="2543">
        <v>1</v>
      </c>
      <c r="I395" s="1671">
        <f t="shared" si="16"/>
        <v>9331</v>
      </c>
      <c r="J395" s="1514"/>
      <c r="K395" s="1671">
        <f t="shared" si="17"/>
        <v>9331</v>
      </c>
      <c r="L395" s="2534"/>
      <c r="M395" s="2534"/>
      <c r="N395" s="2534"/>
      <c r="O395" s="2534"/>
    </row>
    <row r="396" spans="1:15">
      <c r="A396" s="1650">
        <v>11</v>
      </c>
      <c r="B396" s="321"/>
      <c r="C396" s="321"/>
      <c r="D396" s="315" t="s">
        <v>1483</v>
      </c>
      <c r="E396" s="1514">
        <f>'SCH B-2.1'!I383</f>
        <v>9890615</v>
      </c>
      <c r="F396" s="1593"/>
      <c r="G396" s="105">
        <v>177004</v>
      </c>
      <c r="H396" s="2543">
        <v>1</v>
      </c>
      <c r="I396" s="1671">
        <f t="shared" si="16"/>
        <v>177004</v>
      </c>
      <c r="J396" s="1514"/>
      <c r="K396" s="1671">
        <f t="shared" si="17"/>
        <v>177004</v>
      </c>
      <c r="L396" s="2534"/>
      <c r="M396" s="2534"/>
      <c r="N396" s="2534"/>
      <c r="O396" s="2534"/>
    </row>
    <row r="397" spans="1:15">
      <c r="A397" s="1650">
        <v>12</v>
      </c>
      <c r="B397" s="321"/>
      <c r="C397" s="321">
        <v>108</v>
      </c>
      <c r="D397" s="315" t="s">
        <v>1329</v>
      </c>
      <c r="E397" s="1514">
        <f>'SCH B-2.1'!I384</f>
        <v>0</v>
      </c>
      <c r="F397" s="1593"/>
      <c r="G397" s="105">
        <v>-1791360</v>
      </c>
      <c r="H397" s="2543">
        <v>1</v>
      </c>
      <c r="I397" s="1671">
        <f t="shared" si="16"/>
        <v>-1791360</v>
      </c>
      <c r="J397" s="1514"/>
      <c r="K397" s="1671">
        <f t="shared" si="17"/>
        <v>-1791360</v>
      </c>
      <c r="L397" s="2534"/>
      <c r="M397" s="2534"/>
      <c r="N397" s="2534"/>
      <c r="O397" s="2534"/>
    </row>
    <row r="398" spans="1:15">
      <c r="A398" s="1650"/>
      <c r="B398" s="123"/>
      <c r="C398" s="1650"/>
      <c r="D398" s="121"/>
      <c r="E398" s="1514"/>
      <c r="F398" s="1593"/>
      <c r="G398" s="105"/>
      <c r="H398" s="1679"/>
      <c r="I398" s="1671"/>
      <c r="J398" s="1514"/>
      <c r="K398" s="1671"/>
      <c r="L398" s="2534"/>
      <c r="M398" s="2534"/>
      <c r="N398" s="2534"/>
      <c r="O398" s="2534"/>
    </row>
    <row r="399" spans="1:15">
      <c r="A399" s="1650"/>
      <c r="B399" s="123"/>
      <c r="C399" s="1650"/>
      <c r="D399" s="121"/>
      <c r="E399" s="1514"/>
      <c r="F399" s="1593"/>
      <c r="G399" s="105"/>
      <c r="H399" s="1679"/>
      <c r="I399" s="1671"/>
      <c r="J399" s="1514"/>
      <c r="K399" s="1671"/>
      <c r="L399" s="2534"/>
      <c r="M399" s="2534"/>
      <c r="N399" s="2534"/>
      <c r="O399" s="2534"/>
    </row>
    <row r="400" spans="1:15">
      <c r="A400" s="123"/>
      <c r="B400" s="123"/>
      <c r="C400" s="123"/>
      <c r="D400" s="123"/>
      <c r="E400" s="123"/>
      <c r="F400" s="1659"/>
      <c r="G400" s="1671"/>
      <c r="H400" s="1679"/>
      <c r="I400" s="1671"/>
      <c r="J400" s="1671"/>
      <c r="K400" s="1671"/>
      <c r="L400" s="2534"/>
      <c r="M400" s="2534"/>
      <c r="N400" s="2534"/>
      <c r="O400" s="2534"/>
    </row>
    <row r="401" spans="1:15">
      <c r="A401" s="2724"/>
      <c r="B401" s="2724"/>
      <c r="C401" s="2724"/>
      <c r="D401" s="2724"/>
      <c r="E401" s="2724"/>
      <c r="F401" s="107"/>
      <c r="G401" s="2722"/>
      <c r="H401" s="2723"/>
      <c r="I401" s="2722"/>
      <c r="J401" s="2722"/>
      <c r="K401" s="2722"/>
      <c r="L401" s="2534"/>
      <c r="M401" s="2534"/>
      <c r="N401" s="2534"/>
      <c r="O401" s="2534"/>
    </row>
    <row r="402" spans="1:15">
      <c r="A402" s="1650">
        <v>13</v>
      </c>
      <c r="B402" s="123"/>
      <c r="C402" s="123"/>
      <c r="D402" s="121" t="s">
        <v>1446</v>
      </c>
      <c r="E402" s="1671">
        <f>SUM(E386:E398)</f>
        <v>65749235</v>
      </c>
      <c r="F402" s="1592"/>
      <c r="G402" s="1671">
        <f>SUM(G386:G398)</f>
        <v>18887171</v>
      </c>
      <c r="H402" s="1679"/>
      <c r="I402" s="1671">
        <f>SUM(I386:I398)</f>
        <v>18887171</v>
      </c>
      <c r="J402" s="1671">
        <f>SUM(J386:J398)</f>
        <v>0</v>
      </c>
      <c r="K402" s="1671">
        <f>SUM(K386:K398)</f>
        <v>18887171</v>
      </c>
      <c r="L402" s="2534"/>
      <c r="M402" s="2534"/>
      <c r="N402" s="2682" t="str">
        <f>IF(E402='SCH B-2.1'!I387,"BALANCED","ERROR")</f>
        <v>BALANCED</v>
      </c>
      <c r="O402" s="2534"/>
    </row>
    <row r="403" spans="1:15">
      <c r="A403" s="123"/>
      <c r="B403" s="123"/>
      <c r="C403" s="123"/>
      <c r="D403" s="123"/>
      <c r="E403" s="123"/>
      <c r="F403" s="1659"/>
      <c r="G403" s="1671"/>
      <c r="H403" s="1679"/>
      <c r="I403" s="1671"/>
      <c r="J403" s="1671"/>
      <c r="K403" s="1671"/>
      <c r="L403" s="2534"/>
      <c r="M403" s="2534"/>
      <c r="N403" s="2534"/>
      <c r="O403" s="2534"/>
    </row>
    <row r="404" spans="1:15">
      <c r="A404" s="2724"/>
      <c r="B404" s="2724"/>
      <c r="C404" s="2724"/>
      <c r="D404" s="2724"/>
      <c r="E404" s="2724"/>
      <c r="F404" s="107"/>
      <c r="G404" s="2722"/>
      <c r="H404" s="2723"/>
      <c r="I404" s="2722"/>
      <c r="J404" s="2722"/>
      <c r="K404" s="2722"/>
      <c r="L404" s="2534"/>
      <c r="M404" s="2534"/>
      <c r="N404" s="2534"/>
      <c r="O404" s="2534"/>
    </row>
    <row r="405" spans="1:15">
      <c r="A405" s="1644" t="s">
        <v>1668</v>
      </c>
      <c r="B405" s="123"/>
      <c r="C405" s="123"/>
      <c r="D405" s="123"/>
      <c r="E405" s="123"/>
      <c r="F405" s="112"/>
      <c r="G405" s="1671"/>
      <c r="H405" s="1679"/>
      <c r="I405" s="1671"/>
      <c r="J405" s="1671"/>
      <c r="K405" s="1671"/>
      <c r="L405" s="2534"/>
      <c r="M405" s="2534"/>
      <c r="N405" s="2534"/>
      <c r="O405" s="2534"/>
    </row>
    <row r="406" spans="1:15">
      <c r="A406" s="123"/>
      <c r="B406" s="123"/>
      <c r="C406" s="123"/>
      <c r="D406" s="123"/>
      <c r="E406" s="123"/>
      <c r="F406" s="112"/>
      <c r="G406" s="1671"/>
      <c r="H406" s="1679"/>
      <c r="I406" s="1671"/>
      <c r="J406" s="1671"/>
      <c r="K406" s="1671"/>
      <c r="L406" s="2534"/>
      <c r="M406" s="2534"/>
      <c r="N406" s="2534"/>
      <c r="O406" s="2534"/>
    </row>
    <row r="407" spans="1:15">
      <c r="A407" s="1654" t="str">
        <f>COMPANY</f>
        <v>DUKE ENERGY KENTUCKY, INC.</v>
      </c>
      <c r="B407" s="1655"/>
      <c r="C407" s="1655"/>
      <c r="D407" s="1654"/>
      <c r="E407" s="1654"/>
      <c r="F407" s="2546"/>
      <c r="G407" s="1655"/>
      <c r="H407" s="2535"/>
      <c r="I407" s="1655"/>
      <c r="J407" s="1655"/>
      <c r="K407" s="1655"/>
      <c r="L407" s="2534"/>
      <c r="M407" s="2534"/>
      <c r="N407" s="2534"/>
      <c r="O407" s="2534"/>
    </row>
    <row r="408" spans="1:15">
      <c r="A408" s="1654" t="str">
        <f>CASE</f>
        <v>CASE NO. 2017-00321</v>
      </c>
      <c r="B408" s="1655"/>
      <c r="C408" s="1655"/>
      <c r="D408" s="1654"/>
      <c r="E408" s="1654"/>
      <c r="F408" s="2546"/>
      <c r="G408" s="1655"/>
      <c r="H408" s="2535"/>
      <c r="I408" s="1655"/>
      <c r="J408" s="1655"/>
      <c r="K408" s="1655"/>
      <c r="L408" s="2534"/>
      <c r="M408" s="2534"/>
      <c r="N408" s="2534"/>
      <c r="O408" s="2534"/>
    </row>
    <row r="409" spans="1:15">
      <c r="A409" s="1654" t="str">
        <f>A280</f>
        <v>ACCUMULATED DEPRECIATION AND AMORTIZATION</v>
      </c>
      <c r="B409" s="1655"/>
      <c r="C409" s="1655"/>
      <c r="D409" s="1654"/>
      <c r="E409" s="1654"/>
      <c r="F409" s="2546"/>
      <c r="G409" s="1655"/>
      <c r="H409" s="2535"/>
      <c r="I409" s="1655"/>
      <c r="J409" s="1655"/>
      <c r="K409" s="1655"/>
      <c r="L409" s="2534"/>
      <c r="M409" s="2534"/>
      <c r="N409" s="2534"/>
      <c r="O409" s="2534"/>
    </row>
    <row r="410" spans="1:15">
      <c r="A410" s="76" t="str">
        <f>"AS OF " &amp;RIGHT(Forecast,(LEN(Forecast)-16))</f>
        <v>AS OF MARCH 31, 2019</v>
      </c>
      <c r="B410" s="1655"/>
      <c r="C410" s="1655"/>
      <c r="D410" s="1654"/>
      <c r="E410" s="1654"/>
      <c r="F410" s="2546"/>
      <c r="G410" s="1655"/>
      <c r="H410" s="2535"/>
      <c r="I410" s="1655"/>
      <c r="J410" s="1655"/>
      <c r="K410" s="1655"/>
      <c r="L410" s="2534"/>
      <c r="M410" s="2534"/>
      <c r="N410" s="2534"/>
      <c r="O410" s="2534"/>
    </row>
    <row r="411" spans="1:15">
      <c r="A411" s="1655"/>
      <c r="B411" s="1655"/>
      <c r="C411" s="1655"/>
      <c r="D411" s="1655"/>
      <c r="E411" s="1655"/>
      <c r="F411" s="2547"/>
      <c r="G411" s="1655"/>
      <c r="H411" s="2535"/>
      <c r="I411" s="1655"/>
      <c r="J411" s="1655"/>
      <c r="K411" s="1655"/>
      <c r="L411" s="2534"/>
      <c r="M411" s="2534"/>
      <c r="N411" s="2534"/>
      <c r="O411" s="2534"/>
    </row>
    <row r="412" spans="1:15">
      <c r="A412" s="1654" t="s">
        <v>1172</v>
      </c>
      <c r="B412" s="1655"/>
      <c r="C412" s="1655"/>
      <c r="D412" s="1654"/>
      <c r="E412" s="1654"/>
      <c r="F412" s="2546"/>
      <c r="G412" s="1655"/>
      <c r="H412" s="2535"/>
      <c r="I412" s="1655"/>
      <c r="J412" s="1655"/>
      <c r="K412" s="1655"/>
      <c r="L412" s="2534"/>
      <c r="M412" s="2534"/>
      <c r="N412" s="2534"/>
      <c r="O412" s="2534"/>
    </row>
    <row r="413" spans="1:15">
      <c r="A413" s="1657" t="s">
        <v>1799</v>
      </c>
      <c r="B413" s="1655"/>
      <c r="C413" s="1655"/>
      <c r="D413" s="1654"/>
      <c r="E413" s="1654"/>
      <c r="F413" s="2546"/>
      <c r="G413" s="1655"/>
      <c r="H413" s="2535"/>
      <c r="I413" s="1655"/>
      <c r="J413" s="1655"/>
      <c r="K413" s="1655"/>
      <c r="L413" s="2534"/>
      <c r="M413" s="2534"/>
      <c r="N413" s="2534"/>
      <c r="O413" s="2534"/>
    </row>
    <row r="414" spans="1:15">
      <c r="A414" s="1656"/>
      <c r="B414" s="123"/>
      <c r="C414" s="123"/>
      <c r="D414" s="123"/>
      <c r="E414" s="123"/>
      <c r="F414" s="112"/>
      <c r="G414" s="123"/>
      <c r="H414" s="2536"/>
      <c r="I414" s="123"/>
      <c r="J414" s="123"/>
      <c r="K414" s="123"/>
      <c r="L414" s="2534"/>
      <c r="M414" s="2534"/>
      <c r="N414" s="2534"/>
      <c r="O414" s="2534"/>
    </row>
    <row r="415" spans="1:15">
      <c r="A415" s="1656"/>
      <c r="B415" s="123"/>
      <c r="C415" s="123"/>
      <c r="D415" s="123"/>
      <c r="E415" s="123"/>
      <c r="F415" s="112"/>
      <c r="G415" s="123"/>
      <c r="H415" s="2536"/>
      <c r="I415" s="123"/>
      <c r="J415" s="121"/>
      <c r="K415" s="123"/>
      <c r="L415" s="2534"/>
      <c r="M415" s="2534"/>
      <c r="N415" s="2534"/>
      <c r="O415" s="2534"/>
    </row>
    <row r="416" spans="1:15">
      <c r="A416" s="121" t="str">
        <f>DataF</f>
        <v>DATA:  BASE PERIOD  "X" FORECASTED PERIOD</v>
      </c>
      <c r="B416" s="123"/>
      <c r="C416" s="123"/>
      <c r="D416" s="123"/>
      <c r="E416" s="123"/>
      <c r="F416" s="112"/>
      <c r="G416" s="123"/>
      <c r="H416" s="2536"/>
      <c r="I416" s="123"/>
      <c r="J416" s="1658" t="str">
        <f>J287</f>
        <v>SCHEDULE B-3</v>
      </c>
      <c r="K416" s="123"/>
      <c r="L416" s="2534"/>
      <c r="M416" s="2534"/>
      <c r="N416" s="2534"/>
      <c r="O416" s="2534"/>
    </row>
    <row r="417" spans="1:15">
      <c r="A417" s="121" t="str">
        <f>Type</f>
        <v xml:space="preserve">TYPE OF FILING:  "X" ORIGINAL   UPDATED    REVISED  </v>
      </c>
      <c r="B417" s="123"/>
      <c r="C417" s="123"/>
      <c r="D417" s="123"/>
      <c r="E417" s="123"/>
      <c r="F417" s="112"/>
      <c r="G417" s="123"/>
      <c r="H417" s="2536"/>
      <c r="I417" s="123"/>
      <c r="J417" s="1658" t="s">
        <v>1903</v>
      </c>
      <c r="K417" s="123"/>
      <c r="L417" s="2534"/>
      <c r="M417" s="2534"/>
      <c r="N417" s="2534"/>
      <c r="O417" s="2534"/>
    </row>
    <row r="418" spans="1:15">
      <c r="A418" s="121" t="str">
        <f>A289</f>
        <v>WORK PAPER REFERENCE NO(S).: SCHEDULE B-2.1, SCHEDULE B-3.1</v>
      </c>
      <c r="B418" s="123"/>
      <c r="C418" s="123"/>
      <c r="D418" s="123"/>
      <c r="E418" s="123"/>
      <c r="F418" s="112"/>
      <c r="G418" s="123"/>
      <c r="H418" s="2536"/>
      <c r="I418" s="123"/>
      <c r="J418" s="1671" t="str">
        <f>J289</f>
        <v>WITNESS RESPONSIBLE:</v>
      </c>
      <c r="K418" s="123"/>
      <c r="L418" s="2534"/>
      <c r="M418" s="2534"/>
      <c r="N418" s="2534"/>
      <c r="O418" s="2534"/>
    </row>
    <row r="419" spans="1:15">
      <c r="A419" s="123"/>
      <c r="B419" s="123"/>
      <c r="C419" s="123"/>
      <c r="D419" s="123"/>
      <c r="E419" s="123"/>
      <c r="F419" s="112"/>
      <c r="G419" s="123"/>
      <c r="H419" s="2536"/>
      <c r="I419" s="123"/>
      <c r="J419" s="123" t="str">
        <f>J290</f>
        <v>R. H. PRATT / C. S. LEE</v>
      </c>
      <c r="K419" s="123"/>
      <c r="L419" s="2534"/>
      <c r="M419" s="2534"/>
      <c r="N419" s="2534"/>
      <c r="O419" s="2534"/>
    </row>
    <row r="420" spans="1:15">
      <c r="A420" s="123"/>
      <c r="B420" s="123"/>
      <c r="C420" s="123"/>
      <c r="D420" s="123"/>
      <c r="E420" s="123"/>
      <c r="F420" s="112"/>
      <c r="G420" s="123"/>
      <c r="H420" s="2536"/>
      <c r="I420" s="123"/>
      <c r="J420" s="123"/>
      <c r="K420" s="123"/>
      <c r="L420" s="2534"/>
      <c r="M420" s="2534"/>
      <c r="N420" s="2534"/>
      <c r="O420" s="2534"/>
    </row>
    <row r="421" spans="1:15">
      <c r="A421" s="123"/>
      <c r="B421" s="123"/>
      <c r="C421" s="123"/>
      <c r="D421" s="123"/>
      <c r="E421" s="123"/>
      <c r="F421" s="1659"/>
      <c r="G421" s="123"/>
      <c r="H421" s="2536"/>
      <c r="I421" s="123"/>
      <c r="J421" s="123"/>
      <c r="K421" s="123"/>
      <c r="L421" s="2534"/>
      <c r="M421" s="2534"/>
      <c r="N421" s="2534"/>
      <c r="O421" s="2534"/>
    </row>
    <row r="422" spans="1:15">
      <c r="A422" s="2724"/>
      <c r="B422" s="2728"/>
      <c r="C422" s="2727" t="s">
        <v>1799</v>
      </c>
      <c r="D422" s="2724"/>
      <c r="E422" s="2521" t="str">
        <f>E293</f>
        <v>13 Month</v>
      </c>
      <c r="F422" s="106"/>
      <c r="G422" s="2724"/>
      <c r="H422" s="2726"/>
      <c r="I422" s="2724"/>
      <c r="J422" s="2724"/>
      <c r="K422" s="2724"/>
      <c r="L422" s="2534"/>
      <c r="M422" s="2534"/>
      <c r="N422" s="2534"/>
      <c r="O422" s="2534"/>
    </row>
    <row r="423" spans="1:15">
      <c r="A423" s="107"/>
      <c r="B423" s="115" t="s">
        <v>943</v>
      </c>
      <c r="C423" s="115" t="s">
        <v>1750</v>
      </c>
      <c r="D423" s="107"/>
      <c r="E423" s="109" t="str">
        <f>E294</f>
        <v>Average</v>
      </c>
      <c r="F423" s="106"/>
      <c r="G423" s="116" t="str">
        <f>G294</f>
        <v>13 Month Average Forecasted Period Accumulated Balances</v>
      </c>
      <c r="H423" s="117"/>
      <c r="I423" s="117"/>
      <c r="J423" s="117"/>
      <c r="K423" s="117"/>
      <c r="L423" s="2534"/>
      <c r="M423" s="2534"/>
      <c r="N423" s="2534"/>
      <c r="O423" s="2534"/>
    </row>
    <row r="424" spans="1:15">
      <c r="A424" s="1650" t="s">
        <v>1240</v>
      </c>
      <c r="B424" s="1650" t="s">
        <v>1164</v>
      </c>
      <c r="C424" s="1650" t="s">
        <v>1164</v>
      </c>
      <c r="D424" s="123"/>
      <c r="E424" s="1647" t="str">
        <f>E295</f>
        <v>Forecasted</v>
      </c>
      <c r="F424" s="109"/>
      <c r="G424" s="1650" t="s">
        <v>1929</v>
      </c>
      <c r="H424" s="2538" t="s">
        <v>450</v>
      </c>
      <c r="I424" s="1650" t="s">
        <v>1669</v>
      </c>
      <c r="J424" s="123"/>
      <c r="K424" s="1650" t="s">
        <v>574</v>
      </c>
      <c r="L424" s="2534"/>
      <c r="M424" s="2534"/>
      <c r="N424" s="2534"/>
      <c r="O424" s="2534"/>
    </row>
    <row r="425" spans="1:15">
      <c r="A425" s="1650" t="s">
        <v>1241</v>
      </c>
      <c r="B425" s="1650" t="s">
        <v>1241</v>
      </c>
      <c r="C425" s="1650" t="s">
        <v>1241</v>
      </c>
      <c r="D425" s="1650" t="s">
        <v>1165</v>
      </c>
      <c r="E425" s="2537" t="str">
        <f>E296</f>
        <v>Period (1)</v>
      </c>
      <c r="F425" s="2539"/>
      <c r="G425" s="2539" t="s">
        <v>1750</v>
      </c>
      <c r="H425" s="2541" t="s">
        <v>363</v>
      </c>
      <c r="I425" s="2539" t="s">
        <v>1929</v>
      </c>
      <c r="J425" s="2539" t="s">
        <v>573</v>
      </c>
      <c r="K425" s="2539" t="s">
        <v>1449</v>
      </c>
      <c r="L425" s="2534"/>
      <c r="M425" s="2534"/>
      <c r="N425" s="2534"/>
      <c r="O425" s="2534"/>
    </row>
    <row r="426" spans="1:15">
      <c r="A426" s="2724"/>
      <c r="B426" s="2724"/>
      <c r="C426" s="2724"/>
      <c r="D426" s="2724"/>
      <c r="E426" s="2724"/>
      <c r="F426" s="107"/>
      <c r="G426" s="1650" t="s">
        <v>1705</v>
      </c>
      <c r="H426" s="2536"/>
      <c r="I426" s="1650" t="s">
        <v>1705</v>
      </c>
      <c r="J426" s="1650" t="s">
        <v>1705</v>
      </c>
      <c r="K426" s="1650" t="s">
        <v>1705</v>
      </c>
      <c r="L426" s="2534"/>
      <c r="M426" s="2534"/>
      <c r="N426" s="2534"/>
      <c r="O426" s="2534"/>
    </row>
    <row r="427" spans="1:15">
      <c r="A427" s="1650" t="s">
        <v>529</v>
      </c>
      <c r="B427" s="123"/>
      <c r="C427" s="123"/>
      <c r="D427" s="123"/>
      <c r="E427" s="123"/>
      <c r="F427" s="112"/>
      <c r="G427" s="2534"/>
      <c r="H427" s="2548"/>
      <c r="I427" s="2534"/>
      <c r="J427" s="2534"/>
      <c r="K427" s="2534"/>
      <c r="L427" s="2534"/>
      <c r="M427" s="2534"/>
      <c r="N427" s="2534"/>
      <c r="O427" s="2534"/>
    </row>
    <row r="428" spans="1:15">
      <c r="A428" s="1650">
        <v>1</v>
      </c>
      <c r="B428" s="1505">
        <v>360</v>
      </c>
      <c r="C428" s="1505">
        <v>3600</v>
      </c>
      <c r="D428" s="1506" t="s">
        <v>849</v>
      </c>
      <c r="E428" s="1514">
        <f>'SCH B-2.1'!I412</f>
        <v>6821750</v>
      </c>
      <c r="F428" s="1592"/>
      <c r="G428" s="105">
        <v>0</v>
      </c>
      <c r="H428" s="2543">
        <v>1</v>
      </c>
      <c r="I428" s="1671">
        <f t="shared" ref="I428:I453" si="18">ROUND((G428*H428),0)</f>
        <v>0</v>
      </c>
      <c r="J428" s="1514"/>
      <c r="K428" s="1671">
        <f t="shared" ref="K428:K453" si="19">I428+J428</f>
        <v>0</v>
      </c>
      <c r="L428" s="2534"/>
      <c r="M428" s="2534"/>
      <c r="N428" s="2562"/>
      <c r="O428" s="2534"/>
    </row>
    <row r="429" spans="1:15">
      <c r="A429" s="1650">
        <v>2</v>
      </c>
      <c r="B429" s="1505">
        <v>360</v>
      </c>
      <c r="C429" s="1505">
        <v>3601</v>
      </c>
      <c r="D429" s="1506" t="s">
        <v>1168</v>
      </c>
      <c r="E429" s="1514">
        <f>'SCH B-2.1'!I413</f>
        <v>6441140</v>
      </c>
      <c r="F429" s="1592"/>
      <c r="G429" s="105">
        <v>3062845</v>
      </c>
      <c r="H429" s="2543">
        <v>1</v>
      </c>
      <c r="I429" s="1671">
        <f t="shared" si="18"/>
        <v>3062845</v>
      </c>
      <c r="J429" s="1514"/>
      <c r="K429" s="1671">
        <f t="shared" si="19"/>
        <v>3062845</v>
      </c>
      <c r="L429" s="2534"/>
      <c r="M429" s="2534"/>
      <c r="N429" s="2562"/>
      <c r="O429" s="2534"/>
    </row>
    <row r="430" spans="1:15">
      <c r="A430" s="1650">
        <v>3</v>
      </c>
      <c r="B430" s="1505">
        <v>361</v>
      </c>
      <c r="C430" s="1505">
        <v>3610</v>
      </c>
      <c r="D430" s="1506" t="s">
        <v>1170</v>
      </c>
      <c r="E430" s="1514">
        <f>'SCH B-2.1'!I414</f>
        <v>1381960</v>
      </c>
      <c r="F430" s="1593"/>
      <c r="G430" s="105">
        <v>-14376</v>
      </c>
      <c r="H430" s="2543">
        <v>1</v>
      </c>
      <c r="I430" s="1671">
        <f t="shared" si="18"/>
        <v>-14376</v>
      </c>
      <c r="J430" s="1514"/>
      <c r="K430" s="1671">
        <f t="shared" si="19"/>
        <v>-14376</v>
      </c>
      <c r="L430" s="2534"/>
      <c r="M430" s="2534"/>
      <c r="N430" s="2562"/>
      <c r="O430" s="2534"/>
    </row>
    <row r="431" spans="1:15">
      <c r="A431" s="1650">
        <v>4</v>
      </c>
      <c r="B431" s="1505">
        <v>362</v>
      </c>
      <c r="C431" s="1505">
        <v>3620</v>
      </c>
      <c r="D431" s="1506" t="s">
        <v>1721</v>
      </c>
      <c r="E431" s="1514">
        <f>'SCH B-2.1'!I415</f>
        <v>37037167</v>
      </c>
      <c r="F431" s="1593"/>
      <c r="G431" s="105">
        <v>11863277</v>
      </c>
      <c r="H431" s="2543">
        <v>1</v>
      </c>
      <c r="I431" s="1671">
        <f t="shared" si="18"/>
        <v>11863277</v>
      </c>
      <c r="J431" s="1514"/>
      <c r="K431" s="1671">
        <f t="shared" si="19"/>
        <v>11863277</v>
      </c>
      <c r="L431" s="2534"/>
      <c r="M431" s="2534"/>
      <c r="N431" s="2562"/>
      <c r="O431" s="2534"/>
    </row>
    <row r="432" spans="1:15">
      <c r="A432" s="1650">
        <v>5</v>
      </c>
      <c r="B432" s="1505">
        <v>362</v>
      </c>
      <c r="C432" s="1505">
        <v>3622</v>
      </c>
      <c r="D432" s="1506" t="s">
        <v>2927</v>
      </c>
      <c r="E432" s="1514">
        <f>'SCH B-2.1'!I416</f>
        <v>25188158</v>
      </c>
      <c r="F432" s="1593"/>
      <c r="G432" s="105">
        <v>10132073</v>
      </c>
      <c r="H432" s="2543">
        <v>1</v>
      </c>
      <c r="I432" s="1671">
        <f t="shared" si="18"/>
        <v>10132073</v>
      </c>
      <c r="J432" s="1514"/>
      <c r="K432" s="1671">
        <f t="shared" si="19"/>
        <v>10132073</v>
      </c>
      <c r="L432" s="2534"/>
      <c r="M432" s="2534"/>
      <c r="N432" s="2562"/>
      <c r="O432" s="2534"/>
    </row>
    <row r="433" spans="1:15">
      <c r="A433" s="1650">
        <v>6</v>
      </c>
      <c r="B433" s="1505">
        <v>364</v>
      </c>
      <c r="C433" s="1505">
        <v>3640</v>
      </c>
      <c r="D433" s="1506" t="s">
        <v>1724</v>
      </c>
      <c r="E433" s="1514">
        <f>'SCH B-2.1'!I417</f>
        <v>56761153</v>
      </c>
      <c r="F433" s="1593"/>
      <c r="G433" s="105">
        <v>29992097</v>
      </c>
      <c r="H433" s="2543">
        <v>1</v>
      </c>
      <c r="I433" s="1671">
        <f t="shared" si="18"/>
        <v>29992097</v>
      </c>
      <c r="J433" s="1514"/>
      <c r="K433" s="1671">
        <f t="shared" si="19"/>
        <v>29992097</v>
      </c>
      <c r="L433" s="2534"/>
      <c r="M433" s="2534"/>
      <c r="N433" s="2562"/>
      <c r="O433" s="2534"/>
    </row>
    <row r="434" spans="1:15">
      <c r="A434" s="1650">
        <v>7</v>
      </c>
      <c r="B434" s="1505">
        <v>365</v>
      </c>
      <c r="C434" s="1505">
        <v>3650</v>
      </c>
      <c r="D434" s="1506" t="s">
        <v>1723</v>
      </c>
      <c r="E434" s="1514">
        <f>'SCH B-2.1'!I418</f>
        <v>113759469</v>
      </c>
      <c r="F434" s="1593"/>
      <c r="G434" s="105">
        <v>35050808</v>
      </c>
      <c r="H434" s="2543">
        <v>1</v>
      </c>
      <c r="I434" s="1671">
        <f t="shared" si="18"/>
        <v>35050808</v>
      </c>
      <c r="J434" s="1514"/>
      <c r="K434" s="1671">
        <f t="shared" si="19"/>
        <v>35050808</v>
      </c>
      <c r="L434" s="2534"/>
      <c r="M434" s="2534"/>
      <c r="N434" s="2562"/>
      <c r="O434" s="2534"/>
    </row>
    <row r="435" spans="1:15">
      <c r="A435" s="1650">
        <v>8</v>
      </c>
      <c r="B435" s="1505">
        <v>365</v>
      </c>
      <c r="C435" s="1505">
        <v>3651</v>
      </c>
      <c r="D435" s="1506" t="s">
        <v>2751</v>
      </c>
      <c r="E435" s="1514">
        <f>'SCH B-2.1'!I419</f>
        <v>1864393</v>
      </c>
      <c r="F435" s="1593"/>
      <c r="G435" s="105">
        <v>159246</v>
      </c>
      <c r="H435" s="2543">
        <v>1</v>
      </c>
      <c r="I435" s="1671">
        <f t="shared" si="18"/>
        <v>159246</v>
      </c>
      <c r="J435" s="1514"/>
      <c r="K435" s="1671">
        <f t="shared" si="19"/>
        <v>159246</v>
      </c>
      <c r="L435" s="2534"/>
      <c r="M435" s="2534"/>
      <c r="N435" s="2562"/>
      <c r="O435" s="2534"/>
    </row>
    <row r="436" spans="1:15">
      <c r="A436" s="1650">
        <v>9</v>
      </c>
      <c r="B436" s="1505">
        <v>366</v>
      </c>
      <c r="C436" s="1505">
        <v>3660</v>
      </c>
      <c r="D436" s="1506" t="s">
        <v>1725</v>
      </c>
      <c r="E436" s="1514">
        <f>'SCH B-2.1'!I420</f>
        <v>19177499</v>
      </c>
      <c r="F436" s="1593"/>
      <c r="G436" s="105">
        <v>6700527</v>
      </c>
      <c r="H436" s="2543">
        <v>1</v>
      </c>
      <c r="I436" s="1671">
        <f t="shared" si="18"/>
        <v>6700527</v>
      </c>
      <c r="J436" s="1514"/>
      <c r="K436" s="1671">
        <f t="shared" si="19"/>
        <v>6700527</v>
      </c>
      <c r="L436" s="2534"/>
      <c r="M436" s="2534"/>
      <c r="N436" s="2562"/>
      <c r="O436" s="2534"/>
    </row>
    <row r="437" spans="1:15">
      <c r="A437" s="1650">
        <v>10</v>
      </c>
      <c r="B437" s="1505">
        <v>367</v>
      </c>
      <c r="C437" s="1505">
        <v>3670</v>
      </c>
      <c r="D437" s="1506" t="s">
        <v>638</v>
      </c>
      <c r="E437" s="1514">
        <f>'SCH B-2.1'!I421</f>
        <v>59568516</v>
      </c>
      <c r="F437" s="1593"/>
      <c r="G437" s="105">
        <v>16903360</v>
      </c>
      <c r="H437" s="2543">
        <v>1</v>
      </c>
      <c r="I437" s="1671">
        <f t="shared" si="18"/>
        <v>16903360</v>
      </c>
      <c r="J437" s="1514"/>
      <c r="K437" s="1671">
        <f t="shared" si="19"/>
        <v>16903360</v>
      </c>
      <c r="L437" s="2534"/>
      <c r="M437" s="2534"/>
      <c r="N437" s="2562"/>
      <c r="O437" s="2534"/>
    </row>
    <row r="438" spans="1:15">
      <c r="A438" s="1650">
        <v>11</v>
      </c>
      <c r="B438" s="1505">
        <v>368</v>
      </c>
      <c r="C438" s="1505">
        <v>3680</v>
      </c>
      <c r="D438" s="1506" t="s">
        <v>639</v>
      </c>
      <c r="E438" s="1514">
        <f>'SCH B-2.1'!I422</f>
        <v>55367127</v>
      </c>
      <c r="F438" s="1593"/>
      <c r="G438" s="105">
        <v>28873475</v>
      </c>
      <c r="H438" s="2543">
        <v>1</v>
      </c>
      <c r="I438" s="1671">
        <f t="shared" si="18"/>
        <v>28873475</v>
      </c>
      <c r="J438" s="1514"/>
      <c r="K438" s="1671">
        <f t="shared" si="19"/>
        <v>28873475</v>
      </c>
      <c r="L438" s="2534"/>
      <c r="M438" s="2534"/>
      <c r="N438" s="2562"/>
      <c r="O438" s="2534"/>
    </row>
    <row r="439" spans="1:15">
      <c r="A439" s="1650">
        <v>12</v>
      </c>
      <c r="B439" s="1505">
        <v>368</v>
      </c>
      <c r="C439" s="1505">
        <v>3682</v>
      </c>
      <c r="D439" s="1506" t="s">
        <v>640</v>
      </c>
      <c r="E439" s="1514">
        <f>'SCH B-2.1'!I423</f>
        <v>273661</v>
      </c>
      <c r="F439" s="1593"/>
      <c r="G439" s="105">
        <v>279531</v>
      </c>
      <c r="H439" s="2543">
        <v>1</v>
      </c>
      <c r="I439" s="1671">
        <f t="shared" si="18"/>
        <v>279531</v>
      </c>
      <c r="J439" s="1514"/>
      <c r="K439" s="1671">
        <f t="shared" si="19"/>
        <v>279531</v>
      </c>
      <c r="L439" s="2534"/>
      <c r="M439" s="2534"/>
      <c r="N439" s="2562"/>
      <c r="O439" s="2534"/>
    </row>
    <row r="440" spans="1:15">
      <c r="A440" s="1650">
        <v>13</v>
      </c>
      <c r="B440" s="1505">
        <v>369</v>
      </c>
      <c r="C440" s="1505">
        <v>3691</v>
      </c>
      <c r="D440" s="1506" t="s">
        <v>641</v>
      </c>
      <c r="E440" s="1514">
        <f>'SCH B-2.1'!I424</f>
        <v>2393707</v>
      </c>
      <c r="F440" s="1592"/>
      <c r="G440" s="105">
        <v>549327</v>
      </c>
      <c r="H440" s="2543">
        <v>1</v>
      </c>
      <c r="I440" s="1671">
        <f t="shared" si="18"/>
        <v>549327</v>
      </c>
      <c r="J440" s="1514"/>
      <c r="K440" s="1671">
        <f t="shared" si="19"/>
        <v>549327</v>
      </c>
      <c r="L440" s="2534"/>
      <c r="M440" s="2534"/>
      <c r="N440" s="2562"/>
      <c r="O440" s="2534"/>
    </row>
    <row r="441" spans="1:15">
      <c r="A441" s="1650">
        <v>14</v>
      </c>
      <c r="B441" s="1505">
        <v>369</v>
      </c>
      <c r="C441" s="1505">
        <v>3692</v>
      </c>
      <c r="D441" s="1506" t="s">
        <v>642</v>
      </c>
      <c r="E441" s="1514">
        <f>'SCH B-2.1'!I425</f>
        <v>15791511</v>
      </c>
      <c r="F441" s="1592"/>
      <c r="G441" s="105">
        <v>10401944</v>
      </c>
      <c r="H441" s="2543">
        <v>1</v>
      </c>
      <c r="I441" s="1671">
        <f t="shared" si="18"/>
        <v>10401944</v>
      </c>
      <c r="J441" s="1514"/>
      <c r="K441" s="1671">
        <f t="shared" si="19"/>
        <v>10401944</v>
      </c>
      <c r="L441" s="2534"/>
      <c r="M441" s="2534"/>
      <c r="N441" s="2562"/>
      <c r="O441" s="2534"/>
    </row>
    <row r="442" spans="1:15">
      <c r="A442" s="1650">
        <v>15</v>
      </c>
      <c r="B442" s="1505">
        <v>370</v>
      </c>
      <c r="C442" s="1505">
        <v>3700</v>
      </c>
      <c r="D442" s="1506" t="s">
        <v>2539</v>
      </c>
      <c r="E442" s="1514">
        <f>'SCH B-2.1'!I426</f>
        <v>1106006</v>
      </c>
      <c r="F442" s="1593"/>
      <c r="G442" s="105">
        <v>1556361</v>
      </c>
      <c r="H442" s="2543">
        <v>1</v>
      </c>
      <c r="I442" s="1671">
        <f t="shared" si="18"/>
        <v>1556361</v>
      </c>
      <c r="J442" s="1671">
        <f>'SCH B-3.1'!G60</f>
        <v>-1318484</v>
      </c>
      <c r="K442" s="1671">
        <f t="shared" si="19"/>
        <v>237877</v>
      </c>
      <c r="L442" s="2534"/>
      <c r="M442" s="2534"/>
      <c r="N442" s="2562"/>
      <c r="O442" s="2534"/>
    </row>
    <row r="443" spans="1:15">
      <c r="A443" s="1650">
        <v>16</v>
      </c>
      <c r="B443" s="1505">
        <v>370</v>
      </c>
      <c r="C443" s="1505">
        <v>3700</v>
      </c>
      <c r="D443" s="1506" t="s">
        <v>2749</v>
      </c>
      <c r="E443" s="1514">
        <f>'SCH B-2.1'!I427</f>
        <v>713359</v>
      </c>
      <c r="F443" s="1593"/>
      <c r="G443" s="105">
        <v>328137</v>
      </c>
      <c r="H443" s="2543">
        <v>1</v>
      </c>
      <c r="I443" s="1671">
        <f t="shared" si="18"/>
        <v>328137</v>
      </c>
      <c r="J443" s="1514"/>
      <c r="K443" s="1671">
        <f t="shared" si="19"/>
        <v>328137</v>
      </c>
      <c r="L443" s="2534"/>
      <c r="M443" s="2534"/>
      <c r="N443" s="2562"/>
      <c r="O443" s="2534"/>
    </row>
    <row r="444" spans="1:15">
      <c r="A444" s="1650">
        <v>17</v>
      </c>
      <c r="B444" s="1505">
        <v>370</v>
      </c>
      <c r="C444" s="1505">
        <v>3701</v>
      </c>
      <c r="D444" s="1506" t="s">
        <v>376</v>
      </c>
      <c r="E444" s="1514">
        <f>'SCH B-2.1'!I428</f>
        <v>0</v>
      </c>
      <c r="F444" s="1593"/>
      <c r="G444" s="105">
        <v>1498829</v>
      </c>
      <c r="H444" s="2543">
        <v>1</v>
      </c>
      <c r="I444" s="1671">
        <f t="shared" si="18"/>
        <v>1498829</v>
      </c>
      <c r="J444" s="1671">
        <f>'SCH B-3.1'!G61</f>
        <v>-1498829</v>
      </c>
      <c r="K444" s="1671">
        <f t="shared" si="19"/>
        <v>0</v>
      </c>
      <c r="L444" s="2534"/>
      <c r="M444" s="2534"/>
      <c r="N444" s="2562"/>
      <c r="O444" s="2534"/>
    </row>
    <row r="445" spans="1:15">
      <c r="A445" s="1650">
        <v>18</v>
      </c>
      <c r="B445" s="1505">
        <v>370</v>
      </c>
      <c r="C445" s="1505">
        <v>3702</v>
      </c>
      <c r="D445" s="1506" t="s">
        <v>2748</v>
      </c>
      <c r="E445" s="1514">
        <f>'SCH B-2.1'!I429</f>
        <v>22410553</v>
      </c>
      <c r="F445" s="1593"/>
      <c r="G445" s="105">
        <v>639726</v>
      </c>
      <c r="H445" s="2543">
        <v>1</v>
      </c>
      <c r="I445" s="1671">
        <f t="shared" si="18"/>
        <v>639726</v>
      </c>
      <c r="J445" s="1514"/>
      <c r="K445" s="1671">
        <f t="shared" si="19"/>
        <v>639726</v>
      </c>
      <c r="L445" s="2534"/>
      <c r="M445" s="2534"/>
      <c r="N445" s="2562"/>
      <c r="O445" s="2534"/>
    </row>
    <row r="446" spans="1:15">
      <c r="A446" s="1650">
        <v>19</v>
      </c>
      <c r="B446" s="1505">
        <v>371</v>
      </c>
      <c r="C446" s="1505" t="s">
        <v>2297</v>
      </c>
      <c r="D446" s="1506" t="s">
        <v>2298</v>
      </c>
      <c r="E446" s="1514">
        <f>'SCH B-2.1'!I430</f>
        <v>421102</v>
      </c>
      <c r="F446" s="1593"/>
      <c r="G446" s="105">
        <v>16246</v>
      </c>
      <c r="H446" s="2543">
        <v>1</v>
      </c>
      <c r="I446" s="1671">
        <f t="shared" si="18"/>
        <v>16246</v>
      </c>
      <c r="J446" s="1514"/>
      <c r="K446" s="1671">
        <f t="shared" si="19"/>
        <v>16246</v>
      </c>
      <c r="L446" s="2534"/>
      <c r="M446" s="2534"/>
      <c r="N446" s="2562"/>
      <c r="O446" s="2534"/>
    </row>
    <row r="447" spans="1:15">
      <c r="A447" s="1650">
        <v>20</v>
      </c>
      <c r="B447" s="1505">
        <v>372</v>
      </c>
      <c r="C447" s="1505">
        <v>3720</v>
      </c>
      <c r="D447" s="1506" t="s">
        <v>643</v>
      </c>
      <c r="E447" s="1514">
        <f>'SCH B-2.1'!I431</f>
        <v>9647</v>
      </c>
      <c r="F447" s="1593"/>
      <c r="G447" s="105">
        <v>9647</v>
      </c>
      <c r="H447" s="2543">
        <v>1</v>
      </c>
      <c r="I447" s="1671">
        <f t="shared" si="18"/>
        <v>9647</v>
      </c>
      <c r="J447" s="1514"/>
      <c r="K447" s="1671">
        <f t="shared" si="19"/>
        <v>9647</v>
      </c>
      <c r="L447" s="2534"/>
      <c r="M447" s="2534"/>
      <c r="N447" s="2562"/>
      <c r="O447" s="2534"/>
    </row>
    <row r="448" spans="1:15">
      <c r="A448" s="1650">
        <v>21</v>
      </c>
      <c r="B448" s="1505">
        <v>373</v>
      </c>
      <c r="C448" s="1505">
        <v>3731</v>
      </c>
      <c r="D448" s="1506" t="s">
        <v>771</v>
      </c>
      <c r="E448" s="1514">
        <f>'SCH B-2.1'!I432</f>
        <v>2640930</v>
      </c>
      <c r="F448" s="1593"/>
      <c r="G448" s="105">
        <v>2287522</v>
      </c>
      <c r="H448" s="2543">
        <v>1</v>
      </c>
      <c r="I448" s="1671">
        <f t="shared" si="18"/>
        <v>2287522</v>
      </c>
      <c r="J448" s="1671"/>
      <c r="K448" s="1671">
        <f t="shared" si="19"/>
        <v>2287522</v>
      </c>
      <c r="L448" s="2534"/>
      <c r="M448" s="2534"/>
      <c r="N448" s="2562"/>
      <c r="O448" s="2534"/>
    </row>
    <row r="449" spans="1:15">
      <c r="A449" s="1650">
        <v>22</v>
      </c>
      <c r="B449" s="1505">
        <v>373</v>
      </c>
      <c r="C449" s="1505">
        <v>3732</v>
      </c>
      <c r="D449" s="1506" t="s">
        <v>772</v>
      </c>
      <c r="E449" s="1514">
        <f>'SCH B-2.1'!I433</f>
        <v>3358901</v>
      </c>
      <c r="F449" s="1593"/>
      <c r="G449" s="105">
        <v>2556575</v>
      </c>
      <c r="H449" s="2543">
        <v>1</v>
      </c>
      <c r="I449" s="1671">
        <f t="shared" si="18"/>
        <v>2556575</v>
      </c>
      <c r="J449" s="1671"/>
      <c r="K449" s="1671">
        <f t="shared" si="19"/>
        <v>2556575</v>
      </c>
      <c r="L449" s="2534"/>
      <c r="M449" s="2534"/>
      <c r="N449" s="2562"/>
      <c r="O449" s="2534"/>
    </row>
    <row r="450" spans="1:15">
      <c r="A450" s="1650">
        <v>23</v>
      </c>
      <c r="B450" s="1505">
        <v>373</v>
      </c>
      <c r="C450" s="1505">
        <v>3733</v>
      </c>
      <c r="D450" s="1506" t="s">
        <v>773</v>
      </c>
      <c r="E450" s="1514">
        <f>'SCH B-2.1'!I434</f>
        <v>0</v>
      </c>
      <c r="F450" s="1593"/>
      <c r="G450" s="105">
        <v>1507219</v>
      </c>
      <c r="H450" s="2543">
        <v>1</v>
      </c>
      <c r="I450" s="1671">
        <f t="shared" si="18"/>
        <v>1507219</v>
      </c>
      <c r="J450" s="1671">
        <f>'SCH B-3.1'!G58</f>
        <v>-1507219</v>
      </c>
      <c r="K450" s="1671">
        <f t="shared" si="19"/>
        <v>0</v>
      </c>
      <c r="L450" s="2534"/>
      <c r="M450" s="2534"/>
      <c r="N450" s="2562"/>
      <c r="O450" s="2534"/>
    </row>
    <row r="451" spans="1:15">
      <c r="A451" s="1650">
        <v>24</v>
      </c>
      <c r="B451" s="1505">
        <v>373</v>
      </c>
      <c r="C451" s="1505">
        <v>3734</v>
      </c>
      <c r="D451" s="1506" t="s">
        <v>2288</v>
      </c>
      <c r="E451" s="1514">
        <f>'SCH B-2.1'!I435</f>
        <v>0</v>
      </c>
      <c r="F451" s="1593"/>
      <c r="G451" s="105">
        <v>-96236</v>
      </c>
      <c r="H451" s="2543">
        <v>1</v>
      </c>
      <c r="I451" s="1671">
        <f t="shared" si="18"/>
        <v>-96236</v>
      </c>
      <c r="J451" s="1671">
        <f>'SCH B-3.1'!G59</f>
        <v>96236</v>
      </c>
      <c r="K451" s="1671">
        <f t="shared" si="19"/>
        <v>0</v>
      </c>
      <c r="L451" s="2534"/>
      <c r="M451" s="2534"/>
      <c r="N451" s="2562"/>
      <c r="O451" s="2534"/>
    </row>
    <row r="452" spans="1:15">
      <c r="A452" s="1650">
        <v>25</v>
      </c>
      <c r="B452" s="123"/>
      <c r="C452" s="1650"/>
      <c r="D452" s="121" t="s">
        <v>1483</v>
      </c>
      <c r="E452" s="1514">
        <f>'SCH B-2.1'!I436</f>
        <v>38933705</v>
      </c>
      <c r="F452" s="1593"/>
      <c r="G452" s="105">
        <v>534286</v>
      </c>
      <c r="H452" s="2543">
        <v>1</v>
      </c>
      <c r="I452" s="1671">
        <f t="shared" si="18"/>
        <v>534286</v>
      </c>
      <c r="J452" s="1658"/>
      <c r="K452" s="1671">
        <f t="shared" si="19"/>
        <v>534286</v>
      </c>
      <c r="L452" s="2534"/>
      <c r="M452" s="2534"/>
      <c r="N452" s="2562"/>
      <c r="O452" s="2534"/>
    </row>
    <row r="453" spans="1:15">
      <c r="A453" s="1650"/>
      <c r="B453" s="123"/>
      <c r="C453" s="321">
        <v>108</v>
      </c>
      <c r="D453" s="315" t="s">
        <v>1329</v>
      </c>
      <c r="E453" s="1514"/>
      <c r="F453" s="1593"/>
      <c r="G453" s="105">
        <v>-6653083</v>
      </c>
      <c r="H453" s="2543">
        <v>1</v>
      </c>
      <c r="I453" s="1671">
        <f t="shared" si="18"/>
        <v>-6653083</v>
      </c>
      <c r="J453" s="1658"/>
      <c r="K453" s="1671">
        <f t="shared" si="19"/>
        <v>-6653083</v>
      </c>
      <c r="L453" s="2534"/>
      <c r="M453" s="2534"/>
      <c r="N453" s="2562"/>
      <c r="O453" s="2534"/>
    </row>
    <row r="454" spans="1:15">
      <c r="A454" s="123"/>
      <c r="B454" s="123"/>
      <c r="C454" s="123"/>
      <c r="D454" s="123"/>
      <c r="E454" s="123"/>
      <c r="F454" s="1659"/>
      <c r="G454" s="1671"/>
      <c r="H454" s="2543"/>
      <c r="I454" s="1671"/>
      <c r="J454" s="1671"/>
      <c r="K454" s="1671"/>
      <c r="L454" s="2534"/>
      <c r="N454" s="2534"/>
      <c r="O454" s="2534"/>
    </row>
    <row r="455" spans="1:15">
      <c r="A455" s="2724"/>
      <c r="B455" s="2724"/>
      <c r="C455" s="2724"/>
      <c r="D455" s="2724"/>
      <c r="E455" s="2724"/>
      <c r="F455" s="107"/>
      <c r="G455" s="2722"/>
      <c r="H455" s="2723"/>
      <c r="I455" s="2722"/>
      <c r="J455" s="2722"/>
      <c r="K455" s="2722"/>
      <c r="L455" s="2534"/>
      <c r="M455" s="2534"/>
      <c r="N455" s="2534"/>
      <c r="O455" s="2534"/>
    </row>
    <row r="456" spans="1:15">
      <c r="A456" s="1650">
        <v>26</v>
      </c>
      <c r="B456" s="123"/>
      <c r="C456" s="123"/>
      <c r="D456" s="121" t="s">
        <v>1271</v>
      </c>
      <c r="E456" s="1671">
        <f>SUM(E428:E452)</f>
        <v>471421414</v>
      </c>
      <c r="F456" s="1592"/>
      <c r="G456" s="1671">
        <f>SUM(G428:G453)</f>
        <v>158139363</v>
      </c>
      <c r="H456" s="1679"/>
      <c r="I456" s="1671">
        <f>SUM(I428:I453)</f>
        <v>158139363</v>
      </c>
      <c r="J456" s="1671">
        <f>SUM(J428:J453)</f>
        <v>-4228296</v>
      </c>
      <c r="K456" s="1671">
        <f>SUM(K428:K453)</f>
        <v>153911067</v>
      </c>
      <c r="L456" s="2534"/>
      <c r="M456" s="2534"/>
      <c r="N456" s="2682" t="str">
        <f>IF(E456='SCH B-2.1'!I440,"BALANCED","ERROR")</f>
        <v>BALANCED</v>
      </c>
      <c r="O456" s="2534"/>
    </row>
    <row r="457" spans="1:15">
      <c r="A457" s="123"/>
      <c r="B457" s="123"/>
      <c r="C457" s="123"/>
      <c r="D457" s="123"/>
      <c r="E457" s="123"/>
      <c r="F457" s="1659"/>
      <c r="G457" s="1671"/>
      <c r="H457" s="1679"/>
      <c r="I457" s="1671"/>
      <c r="J457" s="1671"/>
      <c r="K457" s="1671"/>
      <c r="L457" s="2534"/>
      <c r="M457" s="2534"/>
      <c r="N457" s="2534"/>
      <c r="O457" s="2534"/>
    </row>
    <row r="458" spans="1:15">
      <c r="A458" s="2724"/>
      <c r="B458" s="2724"/>
      <c r="C458" s="2724"/>
      <c r="D458" s="2724"/>
      <c r="E458" s="2724"/>
      <c r="F458" s="107"/>
      <c r="G458" s="2722"/>
      <c r="H458" s="2723"/>
      <c r="I458" s="2722"/>
      <c r="J458" s="2722"/>
      <c r="K458" s="2722"/>
      <c r="L458" s="2534"/>
      <c r="M458" s="2534"/>
      <c r="N458" s="2534"/>
      <c r="O458" s="2534"/>
    </row>
    <row r="459" spans="1:15">
      <c r="A459" s="1644" t="s">
        <v>1668</v>
      </c>
      <c r="B459" s="123"/>
      <c r="C459" s="123"/>
      <c r="D459" s="123"/>
      <c r="E459" s="123"/>
      <c r="F459" s="112"/>
      <c r="G459" s="1671"/>
      <c r="H459" s="1679"/>
      <c r="I459" s="1671"/>
      <c r="J459" s="1671"/>
      <c r="K459" s="1671"/>
      <c r="L459" s="2534"/>
      <c r="M459" s="2534"/>
      <c r="N459" s="2534"/>
      <c r="O459" s="2534"/>
    </row>
    <row r="460" spans="1:15">
      <c r="A460" s="123"/>
      <c r="B460" s="123"/>
      <c r="C460" s="123"/>
      <c r="D460" s="123"/>
      <c r="E460" s="123"/>
      <c r="F460" s="112"/>
      <c r="G460" s="1671"/>
      <c r="H460" s="1679"/>
      <c r="I460" s="1671"/>
      <c r="J460" s="1671"/>
      <c r="K460" s="1671"/>
      <c r="L460" s="2534"/>
      <c r="M460" s="2534"/>
      <c r="N460" s="2534"/>
      <c r="O460" s="2534"/>
    </row>
    <row r="461" spans="1:15">
      <c r="A461" s="1654" t="str">
        <f>COMPANY</f>
        <v>DUKE ENERGY KENTUCKY, INC.</v>
      </c>
      <c r="B461" s="1655"/>
      <c r="C461" s="1655"/>
      <c r="D461" s="1654"/>
      <c r="E461" s="1654"/>
      <c r="F461" s="2546"/>
      <c r="G461" s="1655"/>
      <c r="H461" s="2535"/>
      <c r="I461" s="1655"/>
      <c r="J461" s="1655"/>
      <c r="K461" s="1655"/>
      <c r="L461" s="2534"/>
      <c r="M461" s="2534"/>
      <c r="N461" s="2534"/>
      <c r="O461" s="2534"/>
    </row>
    <row r="462" spans="1:15">
      <c r="A462" s="1654" t="str">
        <f>CASE</f>
        <v>CASE NO. 2017-00321</v>
      </c>
      <c r="B462" s="1655"/>
      <c r="C462" s="1655"/>
      <c r="D462" s="1654"/>
      <c r="E462" s="1654"/>
      <c r="F462" s="2546"/>
      <c r="G462" s="1655"/>
      <c r="H462" s="2535"/>
      <c r="I462" s="1655"/>
      <c r="J462" s="1655"/>
      <c r="K462" s="1655"/>
      <c r="L462" s="2534"/>
      <c r="M462" s="2534"/>
      <c r="N462" s="2534"/>
      <c r="O462" s="2534"/>
    </row>
    <row r="463" spans="1:15">
      <c r="A463" s="1654" t="str">
        <f>A280</f>
        <v>ACCUMULATED DEPRECIATION AND AMORTIZATION</v>
      </c>
      <c r="B463" s="1655"/>
      <c r="C463" s="1655"/>
      <c r="D463" s="1654"/>
      <c r="E463" s="1654"/>
      <c r="F463" s="2546"/>
      <c r="G463" s="1655"/>
      <c r="H463" s="2535"/>
      <c r="I463" s="1655"/>
      <c r="J463" s="1655"/>
      <c r="K463" s="1655"/>
      <c r="L463" s="2534"/>
      <c r="M463" s="2534"/>
      <c r="N463" s="2534"/>
      <c r="O463" s="2534"/>
    </row>
    <row r="464" spans="1:15">
      <c r="A464" s="76" t="str">
        <f>"AS OF " &amp;RIGHT(Forecast,(LEN(Forecast)-16))</f>
        <v>AS OF MARCH 31, 2019</v>
      </c>
      <c r="B464" s="1655"/>
      <c r="C464" s="1655"/>
      <c r="D464" s="1654"/>
      <c r="E464" s="1654"/>
      <c r="F464" s="2546"/>
      <c r="G464" s="1655"/>
      <c r="H464" s="2535"/>
      <c r="I464" s="1655"/>
      <c r="J464" s="1655"/>
      <c r="K464" s="1655"/>
      <c r="L464" s="2534"/>
      <c r="M464" s="2534"/>
      <c r="N464" s="2534"/>
      <c r="O464" s="2534"/>
    </row>
    <row r="465" spans="1:15">
      <c r="A465" s="1655"/>
      <c r="B465" s="1655"/>
      <c r="C465" s="1655"/>
      <c r="D465" s="1655"/>
      <c r="E465" s="1655"/>
      <c r="F465" s="2547"/>
      <c r="G465" s="1655"/>
      <c r="H465" s="2535"/>
      <c r="I465" s="1655"/>
      <c r="J465" s="1655"/>
      <c r="K465" s="1655"/>
      <c r="L465" s="2534"/>
      <c r="M465" s="2534"/>
      <c r="N465" s="2534"/>
      <c r="O465" s="2534"/>
    </row>
    <row r="466" spans="1:15">
      <c r="A466" s="1654" t="s">
        <v>1272</v>
      </c>
      <c r="B466" s="1655"/>
      <c r="C466" s="1655"/>
      <c r="D466" s="1654"/>
      <c r="E466" s="1654"/>
      <c r="F466" s="2546"/>
      <c r="G466" s="1655"/>
      <c r="H466" s="2535"/>
      <c r="I466" s="1655"/>
      <c r="J466" s="1655"/>
      <c r="K466" s="1655"/>
      <c r="L466" s="2534"/>
      <c r="M466" s="2534"/>
      <c r="N466" s="2534"/>
      <c r="O466" s="2534"/>
    </row>
    <row r="467" spans="1:15">
      <c r="A467" s="1657" t="s">
        <v>1799</v>
      </c>
      <c r="B467" s="1655"/>
      <c r="C467" s="1655"/>
      <c r="D467" s="1654"/>
      <c r="E467" s="1654"/>
      <c r="F467" s="2546"/>
      <c r="G467" s="1655"/>
      <c r="H467" s="2535"/>
      <c r="I467" s="1655"/>
      <c r="J467" s="1655"/>
      <c r="K467" s="1655"/>
      <c r="L467" s="2534"/>
      <c r="M467" s="2534"/>
      <c r="N467" s="2534"/>
      <c r="O467" s="2534"/>
    </row>
    <row r="468" spans="1:15">
      <c r="A468" s="1656"/>
      <c r="B468" s="123"/>
      <c r="C468" s="123"/>
      <c r="D468" s="123"/>
      <c r="E468" s="123"/>
      <c r="F468" s="112"/>
      <c r="G468" s="123"/>
      <c r="H468" s="2536"/>
      <c r="I468" s="123"/>
      <c r="J468" s="123"/>
      <c r="K468" s="123"/>
      <c r="L468" s="2534"/>
      <c r="M468" s="2534"/>
      <c r="N468" s="2534"/>
      <c r="O468" s="2534"/>
    </row>
    <row r="469" spans="1:15">
      <c r="A469" s="2534"/>
      <c r="B469" s="123"/>
      <c r="C469" s="123"/>
      <c r="D469" s="123"/>
      <c r="E469" s="123"/>
      <c r="F469" s="112"/>
      <c r="G469" s="123"/>
      <c r="H469" s="2536"/>
      <c r="I469" s="123"/>
      <c r="J469" s="121"/>
      <c r="K469" s="123"/>
      <c r="L469" s="2534"/>
      <c r="M469" s="2534"/>
      <c r="N469" s="2534"/>
      <c r="O469" s="2534"/>
    </row>
    <row r="470" spans="1:15">
      <c r="A470" s="121" t="str">
        <f>DataF</f>
        <v>DATA:  BASE PERIOD  "X" FORECASTED PERIOD</v>
      </c>
      <c r="B470" s="123"/>
      <c r="C470" s="123"/>
      <c r="D470" s="123"/>
      <c r="E470" s="123"/>
      <c r="F470" s="112"/>
      <c r="G470" s="123"/>
      <c r="H470" s="2536"/>
      <c r="I470" s="123"/>
      <c r="J470" s="1658" t="str">
        <f>J287</f>
        <v>SCHEDULE B-3</v>
      </c>
      <c r="K470" s="123"/>
      <c r="L470" s="2534"/>
      <c r="M470" s="2534"/>
      <c r="N470" s="2534"/>
      <c r="O470" s="2534"/>
    </row>
    <row r="471" spans="1:15">
      <c r="A471" s="121" t="str">
        <f>Type</f>
        <v xml:space="preserve">TYPE OF FILING:  "X" ORIGINAL   UPDATED    REVISED  </v>
      </c>
      <c r="B471" s="123"/>
      <c r="C471" s="123"/>
      <c r="D471" s="123"/>
      <c r="E471" s="123"/>
      <c r="F471" s="112"/>
      <c r="G471" s="123"/>
      <c r="H471" s="2536"/>
      <c r="I471" s="123"/>
      <c r="J471" s="1658" t="s">
        <v>1904</v>
      </c>
      <c r="K471" s="123"/>
      <c r="L471" s="2534"/>
      <c r="M471" s="2534"/>
      <c r="N471" s="2534"/>
      <c r="O471" s="2534"/>
    </row>
    <row r="472" spans="1:15">
      <c r="A472" s="121" t="str">
        <f>A289</f>
        <v>WORK PAPER REFERENCE NO(S).: SCHEDULE B-2.1, SCHEDULE B-3.1</v>
      </c>
      <c r="B472" s="123"/>
      <c r="C472" s="123"/>
      <c r="D472" s="123"/>
      <c r="E472" s="123"/>
      <c r="F472" s="112"/>
      <c r="G472" s="123"/>
      <c r="H472" s="2536"/>
      <c r="I472" s="123"/>
      <c r="J472" s="1671" t="str">
        <f>J289</f>
        <v>WITNESS RESPONSIBLE:</v>
      </c>
      <c r="K472" s="123"/>
      <c r="L472" s="2534"/>
      <c r="M472" s="2534"/>
      <c r="N472" s="2534"/>
      <c r="O472" s="2534"/>
    </row>
    <row r="473" spans="1:15">
      <c r="A473" s="123"/>
      <c r="B473" s="123"/>
      <c r="C473" s="123"/>
      <c r="D473" s="123"/>
      <c r="E473" s="123"/>
      <c r="F473" s="112"/>
      <c r="G473" s="123"/>
      <c r="H473" s="2536"/>
      <c r="I473" s="123"/>
      <c r="J473" s="123" t="str">
        <f>J290</f>
        <v>R. H. PRATT / C. S. LEE</v>
      </c>
      <c r="K473" s="123"/>
      <c r="L473" s="2534"/>
      <c r="M473" s="2534"/>
      <c r="N473" s="2534"/>
      <c r="O473" s="2534"/>
    </row>
    <row r="474" spans="1:15">
      <c r="A474" s="123"/>
      <c r="B474" s="123"/>
      <c r="C474" s="123"/>
      <c r="D474" s="123"/>
      <c r="E474" s="123"/>
      <c r="F474" s="112"/>
      <c r="G474" s="123"/>
      <c r="H474" s="2536"/>
      <c r="I474" s="123"/>
      <c r="J474" s="123"/>
      <c r="K474" s="123"/>
      <c r="L474" s="2534"/>
      <c r="M474" s="2534"/>
      <c r="N474" s="2534"/>
      <c r="O474" s="2534"/>
    </row>
    <row r="475" spans="1:15">
      <c r="A475" s="123"/>
      <c r="B475" s="1659"/>
      <c r="C475" s="123"/>
      <c r="D475" s="123"/>
      <c r="E475" s="123"/>
      <c r="F475" s="1659"/>
      <c r="G475" s="123"/>
      <c r="H475" s="2536"/>
      <c r="I475" s="123"/>
      <c r="J475" s="123"/>
      <c r="K475" s="123"/>
      <c r="L475" s="2534"/>
      <c r="M475" s="2534"/>
      <c r="N475" s="2534"/>
      <c r="O475" s="2534"/>
    </row>
    <row r="476" spans="1:15">
      <c r="A476" s="2724"/>
      <c r="B476" s="115"/>
      <c r="C476" s="2727" t="s">
        <v>1799</v>
      </c>
      <c r="D476" s="2724"/>
      <c r="E476" s="2521" t="str">
        <f>E293</f>
        <v>13 Month</v>
      </c>
      <c r="F476" s="106"/>
      <c r="G476" s="2724"/>
      <c r="H476" s="2726"/>
      <c r="I476" s="2724"/>
      <c r="J476" s="2724"/>
      <c r="K476" s="2724"/>
      <c r="L476" s="2534"/>
      <c r="M476" s="2534"/>
      <c r="N476" s="2534"/>
      <c r="O476" s="2534"/>
    </row>
    <row r="477" spans="1:15">
      <c r="A477" s="107"/>
      <c r="B477" s="115" t="s">
        <v>943</v>
      </c>
      <c r="C477" s="115" t="s">
        <v>1750</v>
      </c>
      <c r="D477" s="107"/>
      <c r="E477" s="109" t="str">
        <f>E294</f>
        <v>Average</v>
      </c>
      <c r="F477" s="106"/>
      <c r="G477" s="116" t="str">
        <f>G294</f>
        <v>13 Month Average Forecasted Period Accumulated Balances</v>
      </c>
      <c r="H477" s="117"/>
      <c r="I477" s="117"/>
      <c r="J477" s="117"/>
      <c r="K477" s="117"/>
      <c r="L477" s="2534"/>
      <c r="M477" s="2534"/>
      <c r="N477" s="2534"/>
      <c r="O477" s="2534"/>
    </row>
    <row r="478" spans="1:15">
      <c r="A478" s="1650" t="s">
        <v>1240</v>
      </c>
      <c r="B478" s="1650" t="s">
        <v>1164</v>
      </c>
      <c r="C478" s="1650" t="s">
        <v>1164</v>
      </c>
      <c r="D478" s="123"/>
      <c r="E478" s="1647" t="str">
        <f>E295</f>
        <v>Forecasted</v>
      </c>
      <c r="F478" s="109"/>
      <c r="G478" s="1650" t="s">
        <v>826</v>
      </c>
      <c r="H478" s="2538" t="s">
        <v>450</v>
      </c>
      <c r="I478" s="1650" t="s">
        <v>1669</v>
      </c>
      <c r="J478" s="123"/>
      <c r="K478" s="1650" t="s">
        <v>574</v>
      </c>
      <c r="L478" s="2534"/>
      <c r="M478" s="2534"/>
      <c r="N478" s="2534"/>
      <c r="O478" s="2534"/>
    </row>
    <row r="479" spans="1:15">
      <c r="A479" s="1650" t="s">
        <v>1241</v>
      </c>
      <c r="B479" s="1650" t="s">
        <v>1241</v>
      </c>
      <c r="C479" s="1650" t="s">
        <v>1241</v>
      </c>
      <c r="D479" s="1650" t="s">
        <v>1165</v>
      </c>
      <c r="E479" s="2537" t="str">
        <f>E296</f>
        <v>Period (1)</v>
      </c>
      <c r="F479" s="2539"/>
      <c r="G479" s="2539" t="s">
        <v>1750</v>
      </c>
      <c r="H479" s="2541" t="s">
        <v>363</v>
      </c>
      <c r="I479" s="2539" t="s">
        <v>1929</v>
      </c>
      <c r="J479" s="2539" t="s">
        <v>573</v>
      </c>
      <c r="K479" s="2539" t="s">
        <v>1449</v>
      </c>
      <c r="L479" s="2534"/>
      <c r="M479" s="2534"/>
      <c r="N479" s="2534"/>
      <c r="O479" s="2534"/>
    </row>
    <row r="480" spans="1:15">
      <c r="A480" s="2724"/>
      <c r="B480" s="2724"/>
      <c r="C480" s="2724"/>
      <c r="D480" s="2724"/>
      <c r="E480" s="2724"/>
      <c r="F480" s="107"/>
      <c r="G480" s="1650" t="s">
        <v>1705</v>
      </c>
      <c r="H480" s="2536"/>
      <c r="I480" s="1650" t="s">
        <v>1705</v>
      </c>
      <c r="J480" s="1650" t="s">
        <v>1705</v>
      </c>
      <c r="K480" s="1650" t="s">
        <v>1705</v>
      </c>
      <c r="L480" s="2534"/>
      <c r="M480" s="2534"/>
      <c r="N480" s="2534"/>
      <c r="O480" s="2534"/>
    </row>
    <row r="481" spans="1:15">
      <c r="A481" s="123"/>
      <c r="B481" s="123"/>
      <c r="C481" s="123"/>
      <c r="D481" s="123"/>
      <c r="E481" s="123"/>
      <c r="F481" s="112"/>
      <c r="G481" s="2534"/>
      <c r="H481" s="2548"/>
      <c r="I481" s="2534"/>
      <c r="J481" s="2534"/>
      <c r="K481" s="2534"/>
      <c r="L481" s="2534"/>
      <c r="M481" s="2534"/>
      <c r="N481" s="2534"/>
      <c r="O481" s="2534"/>
    </row>
    <row r="482" spans="1:15">
      <c r="A482" s="1650">
        <v>1</v>
      </c>
      <c r="B482" s="1505">
        <v>303</v>
      </c>
      <c r="C482" s="1505">
        <v>3030</v>
      </c>
      <c r="D482" s="1506" t="s">
        <v>1273</v>
      </c>
      <c r="E482" s="1514">
        <f>'SCH B-2.1'!I466</f>
        <v>12504384</v>
      </c>
      <c r="F482" s="112"/>
      <c r="G482" s="105">
        <v>9738135</v>
      </c>
      <c r="H482" s="1679">
        <v>1</v>
      </c>
      <c r="I482" s="1671">
        <f t="shared" ref="I482:I492" si="20">ROUND(G482*H482,0)</f>
        <v>9738135</v>
      </c>
      <c r="J482" s="105"/>
      <c r="K482" s="1671">
        <f t="shared" ref="K482:K492" si="21">I482+J482</f>
        <v>9738135</v>
      </c>
      <c r="L482" s="2534"/>
      <c r="M482" s="2534"/>
      <c r="N482" s="2534"/>
      <c r="O482" s="2534"/>
    </row>
    <row r="483" spans="1:15">
      <c r="A483" s="1650">
        <v>2</v>
      </c>
      <c r="B483" s="1505">
        <v>390</v>
      </c>
      <c r="C483" s="1505">
        <v>3900</v>
      </c>
      <c r="D483" s="1506" t="s">
        <v>1170</v>
      </c>
      <c r="E483" s="1514">
        <f>'SCH B-2.1'!I467</f>
        <v>144984</v>
      </c>
      <c r="F483" s="1592"/>
      <c r="G483" s="105">
        <v>47322</v>
      </c>
      <c r="H483" s="1679">
        <v>1</v>
      </c>
      <c r="I483" s="1671">
        <f t="shared" si="20"/>
        <v>47322</v>
      </c>
      <c r="J483" s="1671"/>
      <c r="K483" s="1671">
        <f t="shared" si="21"/>
        <v>47322</v>
      </c>
      <c r="L483" s="2534"/>
      <c r="M483" s="2534"/>
      <c r="N483" s="2534"/>
      <c r="O483" s="2534"/>
    </row>
    <row r="484" spans="1:15">
      <c r="A484" s="1650">
        <v>3</v>
      </c>
      <c r="B484" s="1505">
        <v>391</v>
      </c>
      <c r="C484" s="1505">
        <v>3910</v>
      </c>
      <c r="D484" s="1506" t="s">
        <v>1274</v>
      </c>
      <c r="E484" s="1514">
        <f>'SCH B-2.1'!I468</f>
        <v>15317</v>
      </c>
      <c r="F484" s="1592"/>
      <c r="G484" s="105">
        <v>16572</v>
      </c>
      <c r="H484" s="1679">
        <v>1</v>
      </c>
      <c r="I484" s="1671">
        <f t="shared" si="20"/>
        <v>16572</v>
      </c>
      <c r="J484" s="1658"/>
      <c r="K484" s="1671">
        <f t="shared" si="21"/>
        <v>16572</v>
      </c>
      <c r="L484" s="2534"/>
      <c r="M484" s="2534"/>
      <c r="N484" s="2534"/>
      <c r="O484" s="2534"/>
    </row>
    <row r="485" spans="1:15">
      <c r="A485" s="1650">
        <v>4</v>
      </c>
      <c r="B485" s="1505">
        <v>391</v>
      </c>
      <c r="C485" s="1505">
        <v>3911</v>
      </c>
      <c r="D485" s="1506" t="s">
        <v>2289</v>
      </c>
      <c r="E485" s="1514">
        <f>'SCH B-2.1'!I469</f>
        <v>2474271</v>
      </c>
      <c r="F485" s="1593"/>
      <c r="G485" s="105">
        <v>2071920</v>
      </c>
      <c r="H485" s="1679">
        <v>1</v>
      </c>
      <c r="I485" s="1671">
        <f t="shared" si="20"/>
        <v>2071920</v>
      </c>
      <c r="J485" s="1658"/>
      <c r="K485" s="1671">
        <f t="shared" si="21"/>
        <v>2071920</v>
      </c>
      <c r="L485" s="2534"/>
      <c r="M485" s="2534"/>
      <c r="N485" s="2534"/>
      <c r="O485" s="2534"/>
    </row>
    <row r="486" spans="1:15">
      <c r="A486" s="1650">
        <v>5</v>
      </c>
      <c r="B486" s="1505">
        <v>392</v>
      </c>
      <c r="C486" s="1505">
        <v>3920</v>
      </c>
      <c r="D486" s="1506" t="s">
        <v>2750</v>
      </c>
      <c r="E486" s="1514">
        <f>'SCH B-2.1'!I470</f>
        <v>218720</v>
      </c>
      <c r="F486" s="1593"/>
      <c r="G486" s="105">
        <v>16503</v>
      </c>
      <c r="H486" s="1679">
        <v>1</v>
      </c>
      <c r="I486" s="1671">
        <f t="shared" si="20"/>
        <v>16503</v>
      </c>
      <c r="J486" s="1658"/>
      <c r="K486" s="1671">
        <f t="shared" si="21"/>
        <v>16503</v>
      </c>
      <c r="L486" s="2534"/>
      <c r="M486" s="2534"/>
      <c r="N486" s="2534"/>
      <c r="O486" s="2534"/>
    </row>
    <row r="487" spans="1:15">
      <c r="A487" s="1650">
        <v>6</v>
      </c>
      <c r="B487" s="1505">
        <v>392</v>
      </c>
      <c r="C487" s="1505">
        <v>3921</v>
      </c>
      <c r="D487" s="1506" t="s">
        <v>1275</v>
      </c>
      <c r="E487" s="1514">
        <f>'SCH B-2.1'!I471</f>
        <v>201060</v>
      </c>
      <c r="F487" s="1593"/>
      <c r="G487" s="105">
        <v>131872</v>
      </c>
      <c r="H487" s="1679">
        <v>1</v>
      </c>
      <c r="I487" s="1671">
        <f t="shared" si="20"/>
        <v>131872</v>
      </c>
      <c r="J487" s="1671"/>
      <c r="K487" s="1671">
        <f t="shared" si="21"/>
        <v>131872</v>
      </c>
      <c r="L487" s="2534"/>
      <c r="M487" s="2534"/>
      <c r="N487" s="2534"/>
      <c r="O487" s="2534"/>
    </row>
    <row r="488" spans="1:15">
      <c r="A488" s="1650">
        <v>7</v>
      </c>
      <c r="B488" s="1505">
        <v>394</v>
      </c>
      <c r="C488" s="1505">
        <v>3940</v>
      </c>
      <c r="D488" s="1506" t="s">
        <v>774</v>
      </c>
      <c r="E488" s="1514">
        <f>'SCH B-2.1'!I472</f>
        <v>2071113</v>
      </c>
      <c r="F488" s="1592"/>
      <c r="G488" s="105">
        <v>535682</v>
      </c>
      <c r="H488" s="1679">
        <v>1</v>
      </c>
      <c r="I488" s="1671">
        <f t="shared" si="20"/>
        <v>535682</v>
      </c>
      <c r="J488" s="1658"/>
      <c r="K488" s="1671">
        <f t="shared" si="21"/>
        <v>535682</v>
      </c>
      <c r="L488" s="2534"/>
      <c r="M488" s="2534"/>
      <c r="N488" s="2534"/>
      <c r="O488" s="2534"/>
    </row>
    <row r="489" spans="1:15">
      <c r="A489" s="1650">
        <v>8</v>
      </c>
      <c r="B489" s="1505">
        <v>396</v>
      </c>
      <c r="C489" s="1505">
        <v>3960</v>
      </c>
      <c r="D489" s="1506" t="s">
        <v>1277</v>
      </c>
      <c r="E489" s="1514">
        <f>'SCH B-2.1'!I473</f>
        <v>11770</v>
      </c>
      <c r="F489" s="1592"/>
      <c r="G489" s="105">
        <v>6430</v>
      </c>
      <c r="H489" s="1679">
        <v>1</v>
      </c>
      <c r="I489" s="1671">
        <f t="shared" si="20"/>
        <v>6430</v>
      </c>
      <c r="J489" s="1671"/>
      <c r="K489" s="1671">
        <f t="shared" si="21"/>
        <v>6430</v>
      </c>
      <c r="L489" s="2534"/>
      <c r="M489" s="2534"/>
      <c r="N489" s="2534"/>
      <c r="O489" s="2534"/>
    </row>
    <row r="490" spans="1:15">
      <c r="A490" s="1650">
        <v>9</v>
      </c>
      <c r="B490" s="1505">
        <v>397</v>
      </c>
      <c r="C490" s="1505">
        <v>3970</v>
      </c>
      <c r="D490" s="1506" t="s">
        <v>1330</v>
      </c>
      <c r="E490" s="1514">
        <f>'SCH B-2.1'!I474</f>
        <v>2885563</v>
      </c>
      <c r="F490" s="1592"/>
      <c r="G490" s="105">
        <v>1425228</v>
      </c>
      <c r="H490" s="1679">
        <v>1</v>
      </c>
      <c r="I490" s="1671">
        <f t="shared" si="20"/>
        <v>1425228</v>
      </c>
      <c r="J490" s="1671"/>
      <c r="K490" s="1671">
        <f t="shared" si="21"/>
        <v>1425228</v>
      </c>
      <c r="L490" s="2534"/>
      <c r="M490" s="2534"/>
      <c r="N490" s="2534"/>
      <c r="O490" s="2534"/>
    </row>
    <row r="491" spans="1:15">
      <c r="A491" s="1650">
        <v>10</v>
      </c>
      <c r="B491" s="1505"/>
      <c r="C491" s="1505"/>
      <c r="D491" s="1506" t="s">
        <v>1483</v>
      </c>
      <c r="E491" s="1514">
        <f>'SCH B-2.1'!I475</f>
        <v>8026935</v>
      </c>
      <c r="F491" s="1592"/>
      <c r="G491" s="2563">
        <v>1662946</v>
      </c>
      <c r="H491" s="1679">
        <v>1</v>
      </c>
      <c r="I491" s="1671">
        <f t="shared" si="20"/>
        <v>1662946</v>
      </c>
      <c r="J491" s="1671"/>
      <c r="K491" s="1671">
        <f t="shared" si="21"/>
        <v>1662946</v>
      </c>
      <c r="L491" s="2534"/>
      <c r="M491" s="2534"/>
      <c r="N491" s="2534"/>
      <c r="O491" s="2534"/>
    </row>
    <row r="492" spans="1:15">
      <c r="A492" s="1650">
        <v>11</v>
      </c>
      <c r="B492" s="1506"/>
      <c r="C492" s="1650">
        <v>108</v>
      </c>
      <c r="D492" s="121" t="s">
        <v>1329</v>
      </c>
      <c r="E492" s="123"/>
      <c r="F492" s="112"/>
      <c r="G492" s="2563">
        <v>11548</v>
      </c>
      <c r="H492" s="1679">
        <v>1</v>
      </c>
      <c r="I492" s="1671">
        <f t="shared" si="20"/>
        <v>11548</v>
      </c>
      <c r="J492" s="1671"/>
      <c r="K492" s="1671">
        <f t="shared" si="21"/>
        <v>11548</v>
      </c>
      <c r="L492" s="2534"/>
      <c r="M492" s="2534"/>
      <c r="N492" s="2534"/>
      <c r="O492" s="2534"/>
    </row>
    <row r="493" spans="1:15">
      <c r="A493" s="123"/>
      <c r="B493" s="1506"/>
      <c r="C493" s="1650"/>
      <c r="D493" s="121"/>
      <c r="E493" s="123"/>
      <c r="F493" s="112"/>
      <c r="G493" s="1658"/>
      <c r="H493" s="1679"/>
      <c r="I493" s="1671"/>
      <c r="J493" s="1671"/>
      <c r="K493" s="1671"/>
      <c r="L493" s="2534"/>
      <c r="M493" s="2534"/>
      <c r="N493" s="2534"/>
      <c r="O493" s="2534"/>
    </row>
    <row r="494" spans="1:15">
      <c r="A494" s="123"/>
      <c r="B494" s="123"/>
      <c r="C494" s="123"/>
      <c r="D494" s="123"/>
      <c r="E494" s="123"/>
      <c r="F494" s="1659"/>
      <c r="G494" s="1671"/>
      <c r="H494" s="1679"/>
      <c r="I494" s="1671"/>
      <c r="J494" s="1671"/>
      <c r="K494" s="1671"/>
      <c r="L494" s="2534"/>
      <c r="M494" s="2534"/>
      <c r="N494" s="2534"/>
      <c r="O494" s="2534"/>
    </row>
    <row r="495" spans="1:15">
      <c r="A495" s="2724"/>
      <c r="B495" s="2724"/>
      <c r="C495" s="2724"/>
      <c r="D495" s="2724"/>
      <c r="E495" s="2724"/>
      <c r="F495" s="107"/>
      <c r="G495" s="2722"/>
      <c r="H495" s="2723"/>
      <c r="I495" s="2722"/>
      <c r="J495" s="2722"/>
      <c r="K495" s="2722"/>
      <c r="L495" s="2534"/>
      <c r="M495" s="2534"/>
      <c r="N495" s="2534"/>
      <c r="O495" s="2534"/>
    </row>
    <row r="496" spans="1:15">
      <c r="A496" s="1650">
        <v>12</v>
      </c>
      <c r="B496" s="123"/>
      <c r="C496" s="123"/>
      <c r="D496" s="121" t="s">
        <v>1279</v>
      </c>
      <c r="E496" s="1514">
        <f>SUM(E482:E495)</f>
        <v>28554117</v>
      </c>
      <c r="F496" s="1592"/>
      <c r="G496" s="1514">
        <f>SUM(G482:G495)</f>
        <v>15664158</v>
      </c>
      <c r="H496" s="1679"/>
      <c r="I496" s="1514">
        <f>SUM(I482:I495)</f>
        <v>15664158</v>
      </c>
      <c r="J496" s="1514">
        <f>SUM(J482:J495)</f>
        <v>0</v>
      </c>
      <c r="K496" s="1514">
        <f>SUM(K482:K495)</f>
        <v>15664158</v>
      </c>
      <c r="L496" s="2534"/>
      <c r="M496" s="2534"/>
      <c r="N496" s="2682" t="str">
        <f>IF(E496='SCH B-2.1'!I479,"BALANCED","ERROR")</f>
        <v>BALANCED</v>
      </c>
      <c r="O496" s="2534"/>
    </row>
    <row r="497" spans="1:15">
      <c r="A497" s="123"/>
      <c r="B497" s="123"/>
      <c r="C497" s="123"/>
      <c r="D497" s="123"/>
      <c r="E497" s="123"/>
      <c r="F497" s="1659"/>
      <c r="G497" s="1671"/>
      <c r="H497" s="1679"/>
      <c r="I497" s="1671"/>
      <c r="J497" s="1671"/>
      <c r="K497" s="1671"/>
      <c r="L497" s="2534"/>
      <c r="M497" s="2534"/>
      <c r="N497" s="2534"/>
      <c r="O497" s="2534"/>
    </row>
    <row r="498" spans="1:15">
      <c r="A498" s="2724"/>
      <c r="B498" s="2724"/>
      <c r="C498" s="2724"/>
      <c r="D498" s="2724"/>
      <c r="E498" s="2724"/>
      <c r="F498" s="107"/>
      <c r="G498" s="2722"/>
      <c r="H498" s="2723"/>
      <c r="I498" s="2722"/>
      <c r="J498" s="2722"/>
      <c r="K498" s="2722"/>
      <c r="L498" s="2534"/>
      <c r="M498" s="2534"/>
      <c r="N498" s="2534"/>
      <c r="O498" s="2534"/>
    </row>
    <row r="499" spans="1:15">
      <c r="A499" s="1650">
        <v>13</v>
      </c>
      <c r="B499" s="123"/>
      <c r="C499" s="123"/>
      <c r="D499" s="121" t="s">
        <v>56</v>
      </c>
      <c r="E499" s="1671">
        <f>E319+E362+E402+E456+E496</f>
        <v>1699502878</v>
      </c>
      <c r="F499" s="1592"/>
      <c r="G499" s="1671">
        <f>G319+G362+G402+G456+G496</f>
        <v>823225611</v>
      </c>
      <c r="H499" s="2536"/>
      <c r="I499" s="1671">
        <f>I319+I362+I402+I456+I496</f>
        <v>823225611</v>
      </c>
      <c r="J499" s="1671">
        <f>J319+J362+J402+J456+J496</f>
        <v>-14108619</v>
      </c>
      <c r="K499" s="1671">
        <f>K319+K362+K402+K456+K496</f>
        <v>809116992</v>
      </c>
      <c r="L499" s="2534"/>
      <c r="M499" s="2534"/>
      <c r="N499" s="2682" t="str">
        <f>IF(E499='SCH B-2.1'!I482,"BALANCED","ERROR")</f>
        <v>BALANCED</v>
      </c>
      <c r="O499" s="2534"/>
    </row>
    <row r="500" spans="1:15">
      <c r="A500" s="123"/>
      <c r="B500" s="123"/>
      <c r="C500" s="123"/>
      <c r="D500" s="123"/>
      <c r="E500" s="123"/>
      <c r="F500" s="1659"/>
      <c r="G500" s="123"/>
      <c r="H500" s="2536"/>
      <c r="I500" s="123"/>
      <c r="J500" s="123"/>
      <c r="K500" s="123"/>
      <c r="L500" s="2534"/>
      <c r="M500" s="2534"/>
      <c r="N500" s="2534"/>
      <c r="O500" s="2534"/>
    </row>
    <row r="501" spans="1:15">
      <c r="A501" s="2724"/>
      <c r="B501" s="2724"/>
      <c r="C501" s="2724"/>
      <c r="D501" s="2724"/>
      <c r="E501" s="2724"/>
      <c r="F501" s="107"/>
      <c r="G501" s="2724"/>
      <c r="H501" s="2726"/>
      <c r="I501" s="2724"/>
      <c r="J501" s="2724"/>
      <c r="K501" s="2724"/>
      <c r="L501" s="2534"/>
      <c r="M501" s="2534"/>
      <c r="N501" s="2534"/>
      <c r="O501" s="2534"/>
    </row>
    <row r="502" spans="1:15">
      <c r="A502" s="1644" t="s">
        <v>1668</v>
      </c>
      <c r="B502" s="123"/>
      <c r="C502" s="123"/>
      <c r="D502" s="123"/>
      <c r="E502" s="123"/>
      <c r="F502" s="112"/>
      <c r="G502" s="123"/>
      <c r="H502" s="2536"/>
      <c r="I502" s="123"/>
      <c r="J502" s="123"/>
      <c r="K502" s="123"/>
      <c r="L502" s="2534"/>
      <c r="M502" s="2534"/>
      <c r="N502" s="2534"/>
      <c r="O502" s="2534"/>
    </row>
    <row r="503" spans="1:15">
      <c r="A503" s="123"/>
      <c r="B503" s="123"/>
      <c r="C503" s="123"/>
      <c r="D503" s="123"/>
      <c r="E503" s="123"/>
      <c r="F503" s="112"/>
      <c r="G503" s="1671"/>
      <c r="H503" s="1679"/>
      <c r="I503" s="1671"/>
      <c r="J503" s="1671"/>
      <c r="K503" s="1671"/>
      <c r="L503" s="2534"/>
      <c r="M503" s="2534"/>
      <c r="N503" s="2534"/>
      <c r="O503" s="2534"/>
    </row>
    <row r="504" spans="1:15">
      <c r="A504" s="1654" t="str">
        <f>COMPANY</f>
        <v>DUKE ENERGY KENTUCKY, INC.</v>
      </c>
      <c r="B504" s="1655"/>
      <c r="C504" s="1655"/>
      <c r="D504" s="1654"/>
      <c r="E504" s="1654"/>
      <c r="F504" s="2546"/>
      <c r="G504" s="1655"/>
      <c r="H504" s="2535"/>
      <c r="I504" s="1655"/>
      <c r="J504" s="1655"/>
      <c r="K504" s="1655"/>
      <c r="L504" s="2534"/>
      <c r="M504" s="2534"/>
      <c r="N504" s="2534"/>
      <c r="O504" s="2534"/>
    </row>
    <row r="505" spans="1:15">
      <c r="A505" s="1654" t="str">
        <f>CASE</f>
        <v>CASE NO. 2017-00321</v>
      </c>
      <c r="B505" s="1655"/>
      <c r="C505" s="1655"/>
      <c r="D505" s="1654"/>
      <c r="E505" s="1654"/>
      <c r="F505" s="2546"/>
      <c r="G505" s="1655"/>
      <c r="H505" s="2535"/>
      <c r="I505" s="1655"/>
      <c r="J505" s="1655"/>
      <c r="K505" s="1655"/>
      <c r="L505" s="2534"/>
      <c r="M505" s="2534"/>
      <c r="N505" s="2534"/>
      <c r="O505" s="2534"/>
    </row>
    <row r="506" spans="1:15">
      <c r="A506" s="1654" t="str">
        <f>A280</f>
        <v>ACCUMULATED DEPRECIATION AND AMORTIZATION</v>
      </c>
      <c r="B506" s="1655"/>
      <c r="C506" s="1655"/>
      <c r="D506" s="1654"/>
      <c r="E506" s="1654"/>
      <c r="F506" s="2546"/>
      <c r="G506" s="1655"/>
      <c r="H506" s="2535"/>
      <c r="I506" s="1655"/>
      <c r="J506" s="1655"/>
      <c r="K506" s="1655"/>
      <c r="L506" s="2534"/>
      <c r="M506" s="2534"/>
      <c r="N506" s="2534"/>
      <c r="O506" s="2534"/>
    </row>
    <row r="507" spans="1:15">
      <c r="A507" s="76" t="str">
        <f>"AS OF " &amp;RIGHT(Forecast,(LEN(Forecast)-16))</f>
        <v>AS OF MARCH 31, 2019</v>
      </c>
      <c r="B507" s="1655"/>
      <c r="C507" s="1655"/>
      <c r="D507" s="1654"/>
      <c r="E507" s="1654"/>
      <c r="F507" s="2546"/>
      <c r="G507" s="1655"/>
      <c r="H507" s="2535"/>
      <c r="I507" s="1655"/>
      <c r="J507" s="1655"/>
      <c r="K507" s="1655"/>
      <c r="L507" s="2534"/>
      <c r="M507" s="2534"/>
      <c r="N507" s="2534"/>
      <c r="O507" s="2534"/>
    </row>
    <row r="508" spans="1:15">
      <c r="A508" s="1655"/>
      <c r="B508" s="1655"/>
      <c r="C508" s="1655"/>
      <c r="D508" s="1655"/>
      <c r="E508" s="1655"/>
      <c r="F508" s="2547"/>
      <c r="G508" s="1655"/>
      <c r="H508" s="2535"/>
      <c r="I508" s="1655"/>
      <c r="J508" s="1655"/>
      <c r="K508" s="1655"/>
      <c r="L508" s="2534"/>
      <c r="M508" s="2534"/>
      <c r="N508" s="2534"/>
      <c r="O508" s="2534"/>
    </row>
    <row r="509" spans="1:15">
      <c r="A509" s="1654" t="s">
        <v>1280</v>
      </c>
      <c r="B509" s="1655"/>
      <c r="C509" s="1655"/>
      <c r="D509" s="1654"/>
      <c r="E509" s="1654"/>
      <c r="F509" s="2546"/>
      <c r="G509" s="1655"/>
      <c r="H509" s="2535"/>
      <c r="I509" s="1655"/>
      <c r="J509" s="1655"/>
      <c r="K509" s="1655"/>
      <c r="L509" s="2534"/>
      <c r="M509" s="2534"/>
      <c r="N509" s="2534"/>
      <c r="O509" s="2534"/>
    </row>
    <row r="510" spans="1:15">
      <c r="A510" s="1657" t="s">
        <v>1799</v>
      </c>
      <c r="B510" s="1655"/>
      <c r="C510" s="1655"/>
      <c r="D510" s="1654"/>
      <c r="E510" s="1654"/>
      <c r="F510" s="2546"/>
      <c r="G510" s="1655"/>
      <c r="H510" s="2535"/>
      <c r="I510" s="1655"/>
      <c r="J510" s="1655"/>
      <c r="K510" s="1655"/>
      <c r="L510" s="2534"/>
      <c r="M510" s="2534"/>
      <c r="N510" s="2534"/>
      <c r="O510" s="2534"/>
    </row>
    <row r="511" spans="1:15">
      <c r="A511" s="1656"/>
      <c r="B511" s="123"/>
      <c r="C511" s="123"/>
      <c r="D511" s="123"/>
      <c r="E511" s="123"/>
      <c r="F511" s="112"/>
      <c r="G511" s="123"/>
      <c r="H511" s="2536"/>
      <c r="I511" s="123"/>
      <c r="J511" s="123"/>
      <c r="K511" s="123"/>
      <c r="L511" s="2534"/>
      <c r="M511" s="2534"/>
      <c r="N511" s="2534"/>
      <c r="O511" s="2534"/>
    </row>
    <row r="512" spans="1:15">
      <c r="A512" s="121"/>
      <c r="B512" s="123"/>
      <c r="C512" s="123"/>
      <c r="D512" s="123"/>
      <c r="E512" s="123"/>
      <c r="F512" s="112"/>
      <c r="G512" s="123"/>
      <c r="H512" s="2536"/>
      <c r="I512" s="123"/>
      <c r="J512" s="121"/>
      <c r="K512" s="123"/>
      <c r="L512" s="2534"/>
      <c r="M512" s="2534"/>
      <c r="N512" s="2534"/>
      <c r="O512" s="2534"/>
    </row>
    <row r="513" spans="1:15">
      <c r="A513" s="121" t="str">
        <f>DataF</f>
        <v>DATA:  BASE PERIOD  "X" FORECASTED PERIOD</v>
      </c>
      <c r="B513" s="123"/>
      <c r="C513" s="123"/>
      <c r="D513" s="123"/>
      <c r="E513" s="123"/>
      <c r="F513" s="112"/>
      <c r="G513" s="123"/>
      <c r="H513" s="2536"/>
      <c r="I513" s="123"/>
      <c r="J513" s="1658" t="str">
        <f>J287</f>
        <v>SCHEDULE B-3</v>
      </c>
      <c r="K513" s="123"/>
      <c r="L513" s="2534"/>
      <c r="M513" s="2534"/>
      <c r="N513" s="2534"/>
      <c r="O513" s="2534"/>
    </row>
    <row r="514" spans="1:15">
      <c r="A514" s="121" t="str">
        <f>Type</f>
        <v xml:space="preserve">TYPE OF FILING:  "X" ORIGINAL   UPDATED    REVISED  </v>
      </c>
      <c r="B514" s="123"/>
      <c r="C514" s="123"/>
      <c r="D514" s="123"/>
      <c r="E514" s="123"/>
      <c r="F514" s="112"/>
      <c r="G514" s="123"/>
      <c r="H514" s="2536"/>
      <c r="I514" s="123"/>
      <c r="J514" s="1658" t="s">
        <v>1905</v>
      </c>
      <c r="K514" s="123"/>
      <c r="L514" s="2534"/>
      <c r="M514" s="2534"/>
      <c r="N514" s="2534"/>
      <c r="O514" s="2534"/>
    </row>
    <row r="515" spans="1:15">
      <c r="A515" s="123" t="s">
        <v>1835</v>
      </c>
      <c r="B515" s="123"/>
      <c r="C515" s="123"/>
      <c r="D515" s="123"/>
      <c r="E515" s="123"/>
      <c r="F515" s="112"/>
      <c r="G515" s="123"/>
      <c r="H515" s="2536"/>
      <c r="I515" s="123"/>
      <c r="J515" s="1671" t="str">
        <f>J289</f>
        <v>WITNESS RESPONSIBLE:</v>
      </c>
      <c r="K515" s="123"/>
      <c r="L515" s="2534"/>
      <c r="M515" s="2534"/>
      <c r="N515" s="2534"/>
      <c r="O515" s="2534"/>
    </row>
    <row r="516" spans="1:15">
      <c r="A516" s="123"/>
      <c r="B516" s="123"/>
      <c r="C516" s="123"/>
      <c r="D516" s="123"/>
      <c r="E516" s="123"/>
      <c r="F516" s="112"/>
      <c r="G516" s="123"/>
      <c r="H516" s="2536"/>
      <c r="I516" s="123"/>
      <c r="J516" s="123" t="str">
        <f>J290</f>
        <v>R. H. PRATT / C. S. LEE</v>
      </c>
      <c r="K516" s="123"/>
      <c r="L516" s="2534"/>
      <c r="M516" s="2534"/>
      <c r="N516" s="2534"/>
      <c r="O516" s="2534"/>
    </row>
    <row r="517" spans="1:15">
      <c r="A517" s="123"/>
      <c r="B517" s="123"/>
      <c r="C517" s="123"/>
      <c r="D517" s="123"/>
      <c r="E517" s="123"/>
      <c r="F517" s="112"/>
      <c r="G517" s="123"/>
      <c r="H517" s="2536"/>
      <c r="I517" s="123"/>
      <c r="J517" s="123"/>
      <c r="K517" s="123"/>
      <c r="L517" s="2534"/>
      <c r="M517" s="2534"/>
      <c r="N517" s="2534"/>
      <c r="O517" s="2534"/>
    </row>
    <row r="518" spans="1:15">
      <c r="A518" s="123"/>
      <c r="B518" s="123"/>
      <c r="C518" s="123"/>
      <c r="D518" s="123"/>
      <c r="E518" s="123"/>
      <c r="F518" s="1659"/>
      <c r="G518" s="123"/>
      <c r="H518" s="2536"/>
      <c r="I518" s="123"/>
      <c r="J518" s="123"/>
      <c r="K518" s="123"/>
      <c r="L518" s="2534"/>
      <c r="M518" s="2534"/>
      <c r="N518" s="2534"/>
      <c r="O518" s="2534"/>
    </row>
    <row r="519" spans="1:15">
      <c r="A519" s="2724"/>
      <c r="B519" s="2728"/>
      <c r="C519" s="2727" t="s">
        <v>1799</v>
      </c>
      <c r="D519" s="2724"/>
      <c r="E519" s="2521" t="str">
        <f>E293</f>
        <v>13 Month</v>
      </c>
      <c r="F519" s="106"/>
      <c r="G519" s="2724"/>
      <c r="H519" s="2726"/>
      <c r="I519" s="2724"/>
      <c r="J519" s="2724"/>
      <c r="K519" s="2724"/>
      <c r="L519" s="2534"/>
      <c r="M519" s="2534"/>
      <c r="N519" s="2534"/>
      <c r="O519" s="2534"/>
    </row>
    <row r="520" spans="1:15">
      <c r="A520" s="107"/>
      <c r="B520" s="115" t="s">
        <v>943</v>
      </c>
      <c r="C520" s="115" t="s">
        <v>1750</v>
      </c>
      <c r="D520" s="107"/>
      <c r="E520" s="109" t="str">
        <f>E294</f>
        <v>Average</v>
      </c>
      <c r="F520" s="106"/>
      <c r="G520" s="116" t="str">
        <f>G294</f>
        <v>13 Month Average Forecasted Period Accumulated Balances</v>
      </c>
      <c r="H520" s="117"/>
      <c r="I520" s="117"/>
      <c r="J520" s="117"/>
      <c r="K520" s="117"/>
      <c r="L520" s="2534"/>
      <c r="M520" s="2534"/>
      <c r="N520" s="2534"/>
      <c r="O520" s="2534"/>
    </row>
    <row r="521" spans="1:15">
      <c r="A521" s="1650" t="s">
        <v>1240</v>
      </c>
      <c r="B521" s="1650" t="s">
        <v>1164</v>
      </c>
      <c r="C521" s="1650" t="s">
        <v>1164</v>
      </c>
      <c r="D521" s="123"/>
      <c r="E521" s="1647" t="str">
        <f>E295</f>
        <v>Forecasted</v>
      </c>
      <c r="F521" s="109"/>
      <c r="G521" s="1650" t="s">
        <v>1929</v>
      </c>
      <c r="H521" s="2538" t="s">
        <v>450</v>
      </c>
      <c r="I521" s="1650" t="s">
        <v>1669</v>
      </c>
      <c r="J521" s="123"/>
      <c r="K521" s="1650" t="s">
        <v>574</v>
      </c>
      <c r="L521" s="2534"/>
      <c r="M521" s="2534"/>
      <c r="N521" s="2534"/>
      <c r="O521" s="2534"/>
    </row>
    <row r="522" spans="1:15">
      <c r="A522" s="1650" t="s">
        <v>1241</v>
      </c>
      <c r="B522" s="1650" t="s">
        <v>1241</v>
      </c>
      <c r="C522" s="1650" t="s">
        <v>1241</v>
      </c>
      <c r="D522" s="1650" t="s">
        <v>1165</v>
      </c>
      <c r="E522" s="2537" t="str">
        <f>E296</f>
        <v>Period (1)</v>
      </c>
      <c r="F522" s="2539"/>
      <c r="G522" s="2539" t="s">
        <v>1750</v>
      </c>
      <c r="H522" s="2541" t="s">
        <v>363</v>
      </c>
      <c r="I522" s="2539" t="s">
        <v>1929</v>
      </c>
      <c r="J522" s="2539" t="s">
        <v>573</v>
      </c>
      <c r="K522" s="2539" t="s">
        <v>1449</v>
      </c>
      <c r="L522" s="2534"/>
      <c r="M522" s="2534"/>
      <c r="N522" s="2534"/>
      <c r="O522" s="2534"/>
    </row>
    <row r="523" spans="1:15">
      <c r="A523" s="2724"/>
      <c r="B523" s="2724"/>
      <c r="C523" s="2724"/>
      <c r="D523" s="2724"/>
      <c r="E523" s="2724"/>
      <c r="F523" s="107"/>
      <c r="G523" s="1650" t="s">
        <v>1705</v>
      </c>
      <c r="H523" s="2536"/>
      <c r="I523" s="1650" t="s">
        <v>1705</v>
      </c>
      <c r="J523" s="1650" t="s">
        <v>1705</v>
      </c>
      <c r="K523" s="1650" t="s">
        <v>1705</v>
      </c>
      <c r="L523" s="2534"/>
      <c r="M523" s="2534"/>
      <c r="N523" s="2534"/>
      <c r="O523" s="2534"/>
    </row>
    <row r="524" spans="1:15">
      <c r="A524" s="123"/>
      <c r="B524" s="123"/>
      <c r="C524" s="123"/>
      <c r="D524" s="123"/>
      <c r="E524" s="123"/>
      <c r="F524" s="112"/>
      <c r="G524" s="2534"/>
      <c r="H524" s="2564"/>
      <c r="I524" s="2534"/>
      <c r="J524" s="2534"/>
      <c r="K524" s="2534"/>
      <c r="L524" s="2534"/>
      <c r="M524" s="2534"/>
      <c r="N524" s="2534"/>
      <c r="O524" s="2534"/>
    </row>
    <row r="525" spans="1:15">
      <c r="A525" s="1650" t="s">
        <v>1166</v>
      </c>
      <c r="B525" s="123"/>
      <c r="C525" s="1505">
        <v>1030</v>
      </c>
      <c r="D525" s="1506" t="s">
        <v>775</v>
      </c>
      <c r="E525" s="1514">
        <f>'SCH B-2.1'!G508</f>
        <v>22332073</v>
      </c>
      <c r="F525" s="1592"/>
      <c r="G525" s="105">
        <v>22324247</v>
      </c>
      <c r="H525" s="2543">
        <v>1</v>
      </c>
      <c r="I525" s="1671">
        <f t="shared" ref="I525:I535" si="22">ROUND(G525*H525,0)</f>
        <v>22324247</v>
      </c>
      <c r="J525" s="123"/>
      <c r="K525" s="1671">
        <f t="shared" ref="K525:K535" si="23">I525+J525</f>
        <v>22324247</v>
      </c>
      <c r="L525" s="2534"/>
      <c r="M525" s="2534"/>
      <c r="N525" s="2534"/>
      <c r="O525" s="2534"/>
    </row>
    <row r="526" spans="1:15">
      <c r="A526" s="1650">
        <v>2</v>
      </c>
      <c r="B526" s="123"/>
      <c r="C526" s="1505">
        <v>1701</v>
      </c>
      <c r="D526" s="1506" t="s">
        <v>2290</v>
      </c>
      <c r="E526" s="1514">
        <f>'SCH B-2.1'!G509</f>
        <v>0</v>
      </c>
      <c r="F526" s="1592"/>
      <c r="G526" s="105">
        <v>0</v>
      </c>
      <c r="H526" s="2543">
        <v>1</v>
      </c>
      <c r="I526" s="1671">
        <f t="shared" si="22"/>
        <v>0</v>
      </c>
      <c r="J526" s="1671"/>
      <c r="K526" s="1671">
        <f t="shared" si="23"/>
        <v>0</v>
      </c>
      <c r="L526" s="2534"/>
      <c r="M526" s="2534"/>
      <c r="N526" s="2534"/>
      <c r="O526" s="2534"/>
    </row>
    <row r="527" spans="1:15">
      <c r="A527" s="1650">
        <v>3</v>
      </c>
      <c r="B527" s="123"/>
      <c r="C527" s="1505">
        <v>1890</v>
      </c>
      <c r="D527" s="1506" t="s">
        <v>849</v>
      </c>
      <c r="E527" s="1514">
        <f>'SCH B-2.1'!G510</f>
        <v>154248</v>
      </c>
      <c r="F527" s="1593"/>
      <c r="G527" s="105">
        <v>0</v>
      </c>
      <c r="H527" s="2543">
        <v>1</v>
      </c>
      <c r="I527" s="1671">
        <f t="shared" si="22"/>
        <v>0</v>
      </c>
      <c r="J527" s="1671"/>
      <c r="K527" s="1671">
        <f t="shared" si="23"/>
        <v>0</v>
      </c>
      <c r="L527" s="2534"/>
      <c r="M527" s="2534"/>
      <c r="N527" s="2534"/>
      <c r="O527" s="2534"/>
    </row>
    <row r="528" spans="1:15">
      <c r="A528" s="1650">
        <v>4</v>
      </c>
      <c r="B528" s="123"/>
      <c r="C528" s="1505">
        <v>1900</v>
      </c>
      <c r="D528" s="1506" t="s">
        <v>1170</v>
      </c>
      <c r="E528" s="1514">
        <f>'SCH B-2.1'!G511</f>
        <v>11174046</v>
      </c>
      <c r="F528" s="1592"/>
      <c r="G528" s="105">
        <v>7125478</v>
      </c>
      <c r="H528" s="2543">
        <v>1</v>
      </c>
      <c r="I528" s="1671">
        <f t="shared" si="22"/>
        <v>7125478</v>
      </c>
      <c r="J528" s="1671"/>
      <c r="K528" s="1671">
        <f t="shared" si="23"/>
        <v>7125478</v>
      </c>
      <c r="L528" s="2534"/>
      <c r="M528" s="2534"/>
      <c r="N528" s="2534"/>
      <c r="O528" s="2534"/>
    </row>
    <row r="529" spans="1:15">
      <c r="A529" s="1650">
        <v>5</v>
      </c>
      <c r="B529" s="123"/>
      <c r="C529" s="1505">
        <v>1910</v>
      </c>
      <c r="D529" s="1506" t="s">
        <v>1274</v>
      </c>
      <c r="E529" s="1514">
        <f>'SCH B-2.1'!G512</f>
        <v>719196</v>
      </c>
      <c r="F529" s="1592"/>
      <c r="G529" s="105">
        <v>30678</v>
      </c>
      <c r="H529" s="2543">
        <v>1</v>
      </c>
      <c r="I529" s="1671">
        <f t="shared" si="22"/>
        <v>30678</v>
      </c>
      <c r="J529" s="1671"/>
      <c r="K529" s="1671">
        <f t="shared" si="23"/>
        <v>30678</v>
      </c>
      <c r="L529" s="2534"/>
      <c r="M529" s="2534"/>
      <c r="N529" s="2534"/>
      <c r="O529" s="2534"/>
    </row>
    <row r="530" spans="1:15">
      <c r="A530" s="1650">
        <v>6</v>
      </c>
      <c r="B530" s="123"/>
      <c r="C530" s="1505">
        <v>1911</v>
      </c>
      <c r="D530" s="1506" t="s">
        <v>776</v>
      </c>
      <c r="E530" s="1514">
        <f>'SCH B-2.1'!G513</f>
        <v>792659</v>
      </c>
      <c r="F530" s="1592"/>
      <c r="G530" s="105">
        <v>753516</v>
      </c>
      <c r="H530" s="2543">
        <v>1</v>
      </c>
      <c r="I530" s="1671">
        <f t="shared" si="22"/>
        <v>753516</v>
      </c>
      <c r="J530" s="1671"/>
      <c r="K530" s="1671">
        <f t="shared" si="23"/>
        <v>753516</v>
      </c>
      <c r="L530" s="2534"/>
      <c r="M530" s="2534"/>
      <c r="N530" s="2534"/>
      <c r="O530" s="2534"/>
    </row>
    <row r="531" spans="1:15">
      <c r="A531" s="1650">
        <v>7</v>
      </c>
      <c r="B531" s="123"/>
      <c r="C531" s="1505">
        <v>1940</v>
      </c>
      <c r="D531" s="1506" t="s">
        <v>1276</v>
      </c>
      <c r="E531" s="1514">
        <f>'SCH B-2.1'!G514</f>
        <v>117019</v>
      </c>
      <c r="F531" s="1592"/>
      <c r="G531" s="105">
        <v>71156</v>
      </c>
      <c r="H531" s="2543">
        <v>1</v>
      </c>
      <c r="I531" s="1671">
        <f t="shared" si="22"/>
        <v>71156</v>
      </c>
      <c r="J531" s="1671"/>
      <c r="K531" s="1671">
        <f t="shared" si="23"/>
        <v>71156</v>
      </c>
      <c r="L531" s="2534"/>
      <c r="M531" s="2534"/>
      <c r="N531" s="2534"/>
      <c r="O531" s="2534"/>
    </row>
    <row r="532" spans="1:15">
      <c r="A532" s="1650">
        <v>8</v>
      </c>
      <c r="B532" s="123"/>
      <c r="C532" s="1505">
        <v>1970</v>
      </c>
      <c r="D532" s="1506" t="s">
        <v>1330</v>
      </c>
      <c r="E532" s="1514">
        <f>'SCH B-2.1'!G515</f>
        <v>7708586</v>
      </c>
      <c r="F532" s="1592"/>
      <c r="G532" s="105">
        <v>8425744</v>
      </c>
      <c r="H532" s="2543">
        <v>1</v>
      </c>
      <c r="I532" s="1671">
        <f t="shared" si="22"/>
        <v>8425744</v>
      </c>
      <c r="J532" s="1671"/>
      <c r="K532" s="1671">
        <f t="shared" si="23"/>
        <v>8425744</v>
      </c>
      <c r="L532" s="2534"/>
      <c r="M532" s="2534"/>
      <c r="N532" s="2534"/>
      <c r="O532" s="2534"/>
    </row>
    <row r="533" spans="1:15">
      <c r="A533" s="1650">
        <v>9</v>
      </c>
      <c r="B533" s="123"/>
      <c r="C533" s="1505">
        <v>1980</v>
      </c>
      <c r="D533" s="1506" t="s">
        <v>1278</v>
      </c>
      <c r="E533" s="1514">
        <f>'SCH B-2.1'!G516</f>
        <v>41504</v>
      </c>
      <c r="F533" s="1592"/>
      <c r="G533" s="105">
        <v>16486</v>
      </c>
      <c r="H533" s="2543">
        <v>1</v>
      </c>
      <c r="I533" s="1671">
        <f t="shared" si="22"/>
        <v>16486</v>
      </c>
      <c r="J533" s="1671"/>
      <c r="K533" s="1671">
        <f t="shared" si="23"/>
        <v>16486</v>
      </c>
      <c r="L533" s="2534"/>
      <c r="M533" s="2534"/>
      <c r="N533" s="2534"/>
      <c r="O533" s="2534"/>
    </row>
    <row r="534" spans="1:15">
      <c r="A534" s="1650">
        <v>10</v>
      </c>
      <c r="B534" s="123"/>
      <c r="C534" s="1505"/>
      <c r="D534" s="1506" t="s">
        <v>1483</v>
      </c>
      <c r="E534" s="1514">
        <f>'SCH B-2.1'!G517</f>
        <v>0</v>
      </c>
      <c r="F534" s="1592"/>
      <c r="G534" s="105">
        <v>0</v>
      </c>
      <c r="H534" s="2543">
        <v>1</v>
      </c>
      <c r="I534" s="1671">
        <f t="shared" si="22"/>
        <v>0</v>
      </c>
      <c r="J534" s="1671"/>
      <c r="K534" s="1671">
        <f t="shared" si="23"/>
        <v>0</v>
      </c>
      <c r="L534" s="2534"/>
      <c r="M534" s="2534"/>
      <c r="N534" s="2534"/>
      <c r="O534" s="2534"/>
    </row>
    <row r="535" spans="1:15">
      <c r="A535" s="1650">
        <v>11</v>
      </c>
      <c r="B535" s="123"/>
      <c r="C535" s="1650">
        <v>108</v>
      </c>
      <c r="D535" s="121" t="s">
        <v>1329</v>
      </c>
      <c r="E535" s="1514"/>
      <c r="F535" s="1592"/>
      <c r="G535" s="105">
        <v>-146811</v>
      </c>
      <c r="H535" s="2543">
        <v>1</v>
      </c>
      <c r="I535" s="1671">
        <f t="shared" si="22"/>
        <v>-146811</v>
      </c>
      <c r="J535" s="1671"/>
      <c r="K535" s="1671">
        <f t="shared" si="23"/>
        <v>-146811</v>
      </c>
      <c r="L535" s="2534"/>
      <c r="M535" s="2534"/>
      <c r="N535" s="2534"/>
      <c r="O535" s="2534"/>
    </row>
    <row r="536" spans="1:15">
      <c r="A536" s="1650"/>
      <c r="B536" s="123"/>
      <c r="C536" s="1650"/>
      <c r="D536" s="121"/>
      <c r="E536" s="1514"/>
      <c r="F536" s="1592"/>
      <c r="G536" s="105"/>
      <c r="H536" s="2543"/>
      <c r="I536" s="1671"/>
      <c r="J536" s="1671"/>
      <c r="K536" s="1671"/>
      <c r="L536" s="2534"/>
      <c r="M536" s="2534"/>
      <c r="N536" s="2534"/>
      <c r="O536" s="2534"/>
    </row>
    <row r="537" spans="1:15">
      <c r="A537" s="123"/>
      <c r="B537" s="123"/>
      <c r="C537" s="123"/>
      <c r="D537" s="123"/>
      <c r="E537" s="122"/>
      <c r="F537" s="1659"/>
      <c r="G537" s="123"/>
      <c r="H537" s="2536"/>
      <c r="I537" s="123"/>
      <c r="J537" s="123"/>
      <c r="K537" s="122"/>
      <c r="L537" s="2534"/>
      <c r="M537" s="2534"/>
      <c r="N537" s="2534"/>
      <c r="O537" s="2534"/>
    </row>
    <row r="538" spans="1:15">
      <c r="A538" s="2724"/>
      <c r="B538" s="2724"/>
      <c r="C538" s="2724"/>
      <c r="D538" s="2724"/>
      <c r="E538" s="2725"/>
      <c r="F538" s="107"/>
      <c r="G538" s="2722"/>
      <c r="H538" s="2723"/>
      <c r="I538" s="2722"/>
      <c r="J538" s="2722"/>
      <c r="K538" s="2722"/>
      <c r="L538" s="2534"/>
      <c r="M538" s="2534"/>
      <c r="N538" s="2534"/>
      <c r="O538" s="2534"/>
    </row>
    <row r="539" spans="1:15">
      <c r="A539" s="1650">
        <v>12</v>
      </c>
      <c r="B539" s="123"/>
      <c r="C539" s="123"/>
      <c r="D539" s="121" t="s">
        <v>1476</v>
      </c>
      <c r="E539" s="1671">
        <f>SUM(E525:E537)</f>
        <v>43039331</v>
      </c>
      <c r="F539" s="1592"/>
      <c r="G539" s="1671">
        <f>SUM(G525:G537)</f>
        <v>38600494</v>
      </c>
      <c r="H539" s="1679"/>
      <c r="I539" s="1671">
        <f>SUM(I525:I537)</f>
        <v>38600494</v>
      </c>
      <c r="J539" s="1671">
        <f>SUM(J525:J537)</f>
        <v>0</v>
      </c>
      <c r="K539" s="1671">
        <f>SUM(K525:K537)</f>
        <v>38600494</v>
      </c>
      <c r="L539" s="2534"/>
      <c r="M539" s="2534"/>
      <c r="N539" s="2682" t="str">
        <f>IF(E539='SCH B-2.1'!I521,"BALANCED","ERROR")</f>
        <v>BALANCED</v>
      </c>
      <c r="O539" s="2534"/>
    </row>
    <row r="540" spans="1:15">
      <c r="A540" s="123"/>
      <c r="B540" s="123"/>
      <c r="C540" s="123"/>
      <c r="D540" s="123"/>
      <c r="E540" s="122"/>
      <c r="F540" s="1659"/>
      <c r="G540" s="123"/>
      <c r="H540" s="2536"/>
      <c r="I540" s="123"/>
      <c r="J540" s="123"/>
      <c r="K540" s="122"/>
      <c r="L540" s="2534"/>
      <c r="M540" s="2534"/>
      <c r="N540" s="2534"/>
      <c r="O540" s="2534"/>
    </row>
    <row r="541" spans="1:15">
      <c r="A541" s="2724"/>
      <c r="B541" s="2724"/>
      <c r="C541" s="2724"/>
      <c r="D541" s="2724"/>
      <c r="E541" s="2724"/>
      <c r="F541" s="107"/>
      <c r="G541" s="2722"/>
      <c r="H541" s="2723"/>
      <c r="I541" s="2722"/>
      <c r="J541" s="2722"/>
      <c r="K541" s="2722"/>
      <c r="L541" s="2534"/>
      <c r="M541" s="2534"/>
      <c r="N541" s="2534"/>
      <c r="O541" s="2534"/>
    </row>
    <row r="542" spans="1:15">
      <c r="A542" s="2534"/>
      <c r="B542" s="123"/>
      <c r="C542" s="1679"/>
      <c r="D542" s="121" t="s">
        <v>30</v>
      </c>
      <c r="E542" s="2534"/>
      <c r="F542" s="1592"/>
      <c r="G542" s="2534"/>
      <c r="H542" s="1679"/>
      <c r="I542" s="2534"/>
      <c r="J542" s="2534"/>
      <c r="K542" s="2562"/>
      <c r="L542" s="2534"/>
      <c r="M542" s="2534"/>
      <c r="N542" s="2534"/>
      <c r="O542" s="2534"/>
    </row>
    <row r="543" spans="1:15">
      <c r="A543" s="1650">
        <v>13</v>
      </c>
      <c r="B543" s="123"/>
      <c r="C543" s="1679">
        <f>CommonE</f>
        <v>0.72819999999999996</v>
      </c>
      <c r="D543" s="121" t="s">
        <v>405</v>
      </c>
      <c r="E543" s="1671">
        <f>ROUND(E539*C543,0)</f>
        <v>31341241</v>
      </c>
      <c r="F543" s="1592"/>
      <c r="G543" s="1671"/>
      <c r="H543" s="1679"/>
      <c r="I543" s="1671"/>
      <c r="J543" s="1671"/>
      <c r="K543" s="1671"/>
      <c r="L543" s="2534"/>
      <c r="M543" s="2534"/>
      <c r="N543" s="2534"/>
      <c r="O543" s="2534"/>
    </row>
    <row r="544" spans="1:15">
      <c r="A544" s="1650">
        <v>14</v>
      </c>
      <c r="B544" s="123"/>
      <c r="C544" s="1679">
        <f>C269</f>
        <v>0.72819999999999996</v>
      </c>
      <c r="D544" s="121" t="s">
        <v>1670</v>
      </c>
      <c r="E544" s="1671"/>
      <c r="F544" s="1592"/>
      <c r="G544" s="1671">
        <f>ROUND(G539*C544,0)</f>
        <v>28108880</v>
      </c>
      <c r="H544" s="1679"/>
      <c r="I544" s="1671">
        <f>G544</f>
        <v>28108880</v>
      </c>
      <c r="J544" s="1671">
        <f>ROUND(J539*$C$269,0)</f>
        <v>0</v>
      </c>
      <c r="K544" s="1671">
        <f>I544+J544</f>
        <v>28108880</v>
      </c>
      <c r="L544" s="2534"/>
      <c r="M544" s="2534"/>
      <c r="N544" s="2682" t="str">
        <f>IF(E543='SCH B-2.1'!I524,"BALANCED","ERROR")</f>
        <v>BALANCED</v>
      </c>
      <c r="O544" s="2534"/>
    </row>
    <row r="545" spans="1:15">
      <c r="A545" s="123"/>
      <c r="B545" s="123"/>
      <c r="C545" s="123"/>
      <c r="D545" s="123"/>
      <c r="E545" s="123"/>
      <c r="F545" s="1659"/>
      <c r="G545" s="123"/>
      <c r="H545" s="2536"/>
      <c r="I545" s="123"/>
      <c r="J545" s="123"/>
      <c r="K545" s="122"/>
      <c r="L545" s="2534"/>
      <c r="M545" s="2534"/>
      <c r="N545" s="2534"/>
      <c r="O545" s="2534"/>
    </row>
    <row r="546" spans="1:15">
      <c r="A546" s="2724"/>
      <c r="B546" s="2724"/>
      <c r="C546" s="2724"/>
      <c r="D546" s="2724"/>
      <c r="E546" s="2724"/>
      <c r="F546" s="107"/>
      <c r="G546" s="2722"/>
      <c r="H546" s="2723"/>
      <c r="I546" s="2722"/>
      <c r="J546" s="2722"/>
      <c r="K546" s="2722"/>
      <c r="L546" s="2534"/>
      <c r="M546" s="2534"/>
      <c r="N546" s="2534"/>
      <c r="O546" s="2534"/>
    </row>
    <row r="547" spans="1:15">
      <c r="A547" s="1650">
        <v>15</v>
      </c>
      <c r="B547" s="123"/>
      <c r="C547" s="123"/>
      <c r="D547" s="121" t="s">
        <v>57</v>
      </c>
      <c r="E547" s="1671">
        <f>E499+E543</f>
        <v>1730844119</v>
      </c>
      <c r="F547" s="1592"/>
      <c r="G547" s="1671">
        <f>G499+G544</f>
        <v>851334491</v>
      </c>
      <c r="H547" s="1679"/>
      <c r="I547" s="1671">
        <f>I499+I544</f>
        <v>851334491</v>
      </c>
      <c r="J547" s="1671">
        <f>J499+J544</f>
        <v>-14108619</v>
      </c>
      <c r="K547" s="1671">
        <f>K499+K544</f>
        <v>837225872</v>
      </c>
      <c r="L547" s="2534"/>
      <c r="M547" s="2534"/>
      <c r="N547" s="2682" t="str">
        <f>IF(E547='SCH B-2.1'!I527,"BALANCED","ERROR")</f>
        <v>BALANCED</v>
      </c>
      <c r="O547" s="2534"/>
    </row>
    <row r="548" spans="1:15">
      <c r="A548" s="123"/>
      <c r="B548" s="123"/>
      <c r="C548" s="123"/>
      <c r="D548" s="123"/>
      <c r="E548" s="123"/>
      <c r="F548" s="1659"/>
      <c r="G548" s="123"/>
      <c r="H548" s="2536"/>
      <c r="I548" s="123"/>
      <c r="J548" s="123"/>
      <c r="K548" s="123"/>
      <c r="L548" s="2534"/>
      <c r="M548" s="2534"/>
      <c r="N548" s="2534"/>
      <c r="O548" s="2534"/>
    </row>
    <row r="549" spans="1:15">
      <c r="A549" s="2724"/>
      <c r="B549" s="2724"/>
      <c r="C549" s="2724"/>
      <c r="D549" s="2724"/>
      <c r="E549" s="2724"/>
      <c r="F549" s="107"/>
      <c r="G549" s="2722"/>
      <c r="H549" s="2723"/>
      <c r="I549" s="2722"/>
      <c r="J549" s="2722"/>
      <c r="K549" s="2722"/>
      <c r="L549" s="2534"/>
      <c r="M549" s="2534"/>
      <c r="N549" s="2534"/>
      <c r="O549" s="2534"/>
    </row>
    <row r="550" spans="1:15">
      <c r="A550" s="1644" t="s">
        <v>1668</v>
      </c>
      <c r="B550" s="123"/>
      <c r="C550" s="123"/>
      <c r="D550" s="123"/>
      <c r="E550" s="123"/>
      <c r="F550" s="112"/>
      <c r="G550" s="1671"/>
      <c r="H550" s="1679"/>
      <c r="I550" s="1671"/>
      <c r="J550" s="1671"/>
      <c r="K550" s="1671"/>
      <c r="L550" s="2534"/>
      <c r="M550" s="2534"/>
      <c r="N550" s="2534"/>
      <c r="O550" s="2534"/>
    </row>
    <row r="551" spans="1:15">
      <c r="A551" s="123"/>
      <c r="B551" s="123"/>
      <c r="C551" s="123"/>
      <c r="D551" s="123"/>
      <c r="E551" s="123"/>
      <c r="F551" s="112"/>
      <c r="G551" s="1671"/>
      <c r="H551" s="1679"/>
      <c r="I551" s="1671"/>
      <c r="J551" s="1671"/>
      <c r="K551" s="1671"/>
      <c r="L551" s="2534"/>
      <c r="M551" s="2534"/>
      <c r="N551" s="2534"/>
      <c r="O551" s="2534"/>
    </row>
    <row r="552" spans="1:15">
      <c r="A552" s="123"/>
      <c r="B552" s="123"/>
      <c r="C552" s="123"/>
      <c r="D552" s="123"/>
      <c r="E552" s="123"/>
      <c r="F552" s="112"/>
      <c r="G552" s="1671"/>
      <c r="H552" s="1679"/>
      <c r="I552" s="1671"/>
      <c r="J552" s="1671"/>
      <c r="K552" s="1671"/>
      <c r="L552" s="2534"/>
      <c r="M552" s="2534"/>
      <c r="N552" s="2534"/>
      <c r="O552" s="2534"/>
    </row>
    <row r="553" spans="1:15">
      <c r="A553" s="121"/>
      <c r="B553" s="123"/>
      <c r="C553" s="123"/>
      <c r="D553" s="123"/>
      <c r="E553" s="123"/>
      <c r="F553" s="112"/>
      <c r="G553" s="1671"/>
      <c r="H553" s="1679"/>
      <c r="I553" s="1671"/>
      <c r="J553" s="1671"/>
      <c r="K553" s="1671"/>
      <c r="L553" s="2534"/>
      <c r="M553" s="2534"/>
      <c r="N553" s="2534"/>
      <c r="O553" s="2534"/>
    </row>
    <row r="554" spans="1:15">
      <c r="A554" s="2534"/>
      <c r="B554" s="2534"/>
      <c r="C554" s="2534"/>
      <c r="D554" s="2534"/>
      <c r="E554" s="2534"/>
      <c r="F554" s="2558"/>
      <c r="G554" s="2534"/>
      <c r="H554" s="2548"/>
      <c r="I554" s="2534"/>
      <c r="J554" s="2534"/>
      <c r="K554" s="2534"/>
      <c r="L554" s="2534"/>
      <c r="M554" s="2534"/>
      <c r="N554" s="2534"/>
      <c r="O554" s="2534"/>
    </row>
    <row r="555" spans="1:15">
      <c r="A555" s="2534"/>
      <c r="B555" s="2534"/>
      <c r="C555" s="2534"/>
      <c r="D555" s="2534"/>
      <c r="E555" s="2534"/>
      <c r="F555" s="2558"/>
      <c r="G555" s="2534"/>
      <c r="H555" s="2548"/>
      <c r="I555" s="2534"/>
      <c r="J555" s="2534"/>
      <c r="K555" s="2534"/>
      <c r="L555" s="2534"/>
      <c r="M555" s="2534"/>
      <c r="N555" s="2534"/>
      <c r="O555" s="2534"/>
    </row>
  </sheetData>
  <printOptions horizontalCentered="1"/>
  <pageMargins left="0.75" right="0.75" top="1" bottom="1" header="0.5" footer="0.5"/>
  <pageSetup scale="59" orientation="landscape" horizontalDpi="300" r:id="rId1"/>
  <headerFooter alignWithMargins="0">
    <oddHeader>&amp;C&amp;A&amp;R&amp;"Times New Roman,Bold"KyPSC Case No. 2017-00321
STAFF-DR-01-071 SFRs Attachment
Page &amp;P of &amp;N</oddHeader>
    <oddFooter>Page &amp;P</oddFooter>
  </headerFooter>
  <rowBreaks count="3" manualBreakCount="3">
    <brk id="130" max="16383" man="1"/>
    <brk id="185" max="11" man="1"/>
    <brk id="228" max="11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theme="4" tint="0.39997558519241921"/>
  </sheetPr>
  <dimension ref="A1:J152"/>
  <sheetViews>
    <sheetView tabSelected="1" view="pageLayout" topLeftCell="B1" zoomScaleNormal="90" workbookViewId="0">
      <selection activeCell="G1" sqref="G1"/>
    </sheetView>
  </sheetViews>
  <sheetFormatPr defaultColWidth="11.42578125" defaultRowHeight="12.75"/>
  <cols>
    <col min="1" max="3" width="11.42578125" style="18" customWidth="1"/>
    <col min="4" max="4" width="42.28515625" style="18" customWidth="1"/>
    <col min="5" max="5" width="13" style="18" customWidth="1"/>
    <col min="6" max="6" width="15.5703125" style="18" customWidth="1"/>
    <col min="7" max="7" width="15.28515625" style="18" customWidth="1"/>
    <col min="8" max="8" width="15.85546875" style="18" customWidth="1"/>
    <col min="9" max="9" width="47.7109375" style="18" customWidth="1"/>
    <col min="10" max="10" width="11.42578125" style="18" customWidth="1"/>
    <col min="11" max="16384" width="11.42578125" style="18"/>
  </cols>
  <sheetData>
    <row r="1" spans="1:10">
      <c r="A1" s="1654" t="str">
        <f>COMPANY</f>
        <v>DUKE ENERGY KENTUCKY, INC.</v>
      </c>
      <c r="B1" s="1654"/>
      <c r="C1" s="1654"/>
      <c r="D1" s="1654"/>
      <c r="E1" s="1654"/>
      <c r="F1" s="1654"/>
      <c r="G1" s="1654"/>
      <c r="H1" s="1654"/>
      <c r="I1" s="1654"/>
      <c r="J1" s="123"/>
    </row>
    <row r="2" spans="1:10">
      <c r="A2" s="1654" t="str">
        <f>CASE</f>
        <v>CASE NO. 2017-00321</v>
      </c>
      <c r="B2" s="1654"/>
      <c r="C2" s="1654"/>
      <c r="D2" s="1654"/>
      <c r="E2" s="1654"/>
      <c r="F2" s="1654"/>
      <c r="G2" s="1654"/>
      <c r="H2" s="1654"/>
      <c r="I2" s="1654"/>
      <c r="J2" s="123"/>
    </row>
    <row r="3" spans="1:10">
      <c r="A3" s="1654" t="s">
        <v>1671</v>
      </c>
      <c r="B3" s="1654"/>
      <c r="C3" s="1654"/>
      <c r="D3" s="1654"/>
      <c r="E3" s="1654"/>
      <c r="F3" s="1654"/>
      <c r="G3" s="1654"/>
      <c r="H3" s="1654"/>
      <c r="I3" s="1654"/>
      <c r="J3" s="123"/>
    </row>
    <row r="4" spans="1:10">
      <c r="A4" s="76" t="str">
        <f>"AS OF " &amp;RIGHT(TESTYR,(LEN(TESTYR)-16))</f>
        <v>AS OF NOVEMBER 30, 2017</v>
      </c>
      <c r="B4" s="1654"/>
      <c r="C4" s="1654"/>
      <c r="D4" s="1654"/>
      <c r="E4" s="1654"/>
      <c r="F4" s="1654"/>
      <c r="G4" s="1654"/>
      <c r="H4" s="1654"/>
      <c r="I4" s="1654"/>
      <c r="J4" s="123"/>
    </row>
    <row r="5" spans="1:10">
      <c r="A5" s="1655"/>
      <c r="B5" s="1655"/>
      <c r="C5" s="1655"/>
      <c r="D5" s="1655"/>
      <c r="E5" s="1655"/>
      <c r="F5" s="1655"/>
      <c r="G5" s="1655"/>
      <c r="H5" s="123"/>
      <c r="I5" s="123"/>
      <c r="J5" s="123"/>
    </row>
    <row r="6" spans="1:10">
      <c r="A6" s="1654"/>
      <c r="B6" s="1654"/>
      <c r="C6" s="1654"/>
      <c r="D6" s="1654"/>
      <c r="E6" s="1654"/>
      <c r="F6" s="1654"/>
      <c r="G6" s="1654"/>
      <c r="H6" s="1654"/>
      <c r="I6" s="1654"/>
      <c r="J6" s="123"/>
    </row>
    <row r="7" spans="1:10">
      <c r="A7" s="1655"/>
      <c r="B7" s="1655"/>
      <c r="C7" s="1655"/>
      <c r="D7" s="1655"/>
      <c r="E7" s="1655"/>
      <c r="F7" s="1655"/>
      <c r="G7" s="1655"/>
      <c r="H7" s="123"/>
      <c r="I7" s="123"/>
      <c r="J7" s="123"/>
    </row>
    <row r="8" spans="1:10">
      <c r="A8" s="1655"/>
      <c r="B8" s="1655"/>
      <c r="C8" s="1655"/>
      <c r="D8" s="1655"/>
      <c r="E8" s="1655"/>
      <c r="F8" s="1655"/>
      <c r="G8" s="1655"/>
      <c r="H8" s="123"/>
      <c r="I8" s="123"/>
      <c r="J8" s="123"/>
    </row>
    <row r="9" spans="1:10">
      <c r="A9" s="121" t="str">
        <f>Data</f>
        <v>DATA: "X" BASE PERIOD   FORECASTED PERIOD</v>
      </c>
      <c r="B9" s="123"/>
      <c r="C9" s="123"/>
      <c r="D9" s="123"/>
      <c r="E9" s="123"/>
      <c r="F9" s="123"/>
      <c r="G9" s="123"/>
      <c r="H9" s="121" t="s">
        <v>1672</v>
      </c>
      <c r="I9" s="123"/>
      <c r="J9" s="123"/>
    </row>
    <row r="10" spans="1:10">
      <c r="A10" s="121" t="str">
        <f>Type</f>
        <v xml:space="preserve">TYPE OF FILING:  "X" ORIGINAL   UPDATED    REVISED  </v>
      </c>
      <c r="B10" s="123"/>
      <c r="C10" s="123"/>
      <c r="D10" s="123"/>
      <c r="E10" s="123"/>
      <c r="F10" s="123"/>
      <c r="G10" s="123"/>
      <c r="H10" s="121" t="s">
        <v>1458</v>
      </c>
      <c r="I10" s="123"/>
      <c r="J10" s="123"/>
    </row>
    <row r="11" spans="1:10">
      <c r="A11" s="121" t="s">
        <v>1792</v>
      </c>
      <c r="B11" s="123"/>
      <c r="C11" s="123"/>
      <c r="D11" s="123"/>
      <c r="E11" s="123"/>
      <c r="F11" s="123"/>
      <c r="G11" s="123"/>
      <c r="H11" s="1658" t="s">
        <v>622</v>
      </c>
      <c r="I11" s="123"/>
      <c r="J11" s="123"/>
    </row>
    <row r="12" spans="1:10">
      <c r="A12" s="123"/>
      <c r="B12" s="123"/>
      <c r="C12" s="123"/>
      <c r="D12" s="123"/>
      <c r="E12" s="123"/>
      <c r="F12" s="123"/>
      <c r="G12" s="123"/>
      <c r="H12" s="2515" t="str">
        <f>_WIT7</f>
        <v>R. H. PRATT / C. S. LEE</v>
      </c>
      <c r="I12" s="123"/>
      <c r="J12" s="123"/>
    </row>
    <row r="13" spans="1:10">
      <c r="A13" s="123"/>
      <c r="B13" s="123"/>
      <c r="C13" s="123"/>
      <c r="D13" s="123"/>
      <c r="E13" s="123"/>
      <c r="F13" s="123"/>
      <c r="G13" s="123"/>
      <c r="H13" s="123"/>
      <c r="I13" s="123"/>
      <c r="J13" s="123"/>
    </row>
    <row r="14" spans="1:10">
      <c r="A14" s="123"/>
      <c r="B14" s="123"/>
      <c r="C14" s="123"/>
      <c r="D14" s="123"/>
      <c r="E14" s="123"/>
      <c r="F14" s="123"/>
      <c r="G14" s="123"/>
      <c r="H14" s="123"/>
      <c r="I14" s="123"/>
      <c r="J14" s="123"/>
    </row>
    <row r="15" spans="1:10">
      <c r="A15" s="123"/>
      <c r="B15" s="123"/>
      <c r="C15" s="123"/>
      <c r="D15" s="123"/>
      <c r="E15" s="123"/>
      <c r="F15" s="123"/>
      <c r="G15" s="123"/>
      <c r="H15" s="1659"/>
      <c r="I15" s="1659"/>
      <c r="J15" s="123"/>
    </row>
    <row r="16" spans="1:10">
      <c r="A16" s="2724"/>
      <c r="B16" s="2724"/>
      <c r="C16" s="2727"/>
      <c r="D16" s="2724"/>
      <c r="E16" s="2724"/>
      <c r="F16" s="2724"/>
      <c r="G16" s="2724"/>
      <c r="H16" s="123"/>
      <c r="I16" s="123"/>
      <c r="J16" s="123"/>
    </row>
    <row r="17" spans="1:10">
      <c r="A17" s="123"/>
      <c r="B17" s="1650" t="s">
        <v>943</v>
      </c>
      <c r="C17" s="108" t="s">
        <v>1750</v>
      </c>
      <c r="D17" s="123"/>
      <c r="E17" s="1650"/>
      <c r="F17" s="123"/>
      <c r="G17" s="123"/>
      <c r="H17" s="123"/>
      <c r="I17" s="1645" t="s">
        <v>1479</v>
      </c>
      <c r="J17" s="123"/>
    </row>
    <row r="18" spans="1:10">
      <c r="A18" s="1650" t="s">
        <v>1240</v>
      </c>
      <c r="B18" s="1650" t="s">
        <v>1164</v>
      </c>
      <c r="C18" s="1650" t="s">
        <v>1164</v>
      </c>
      <c r="D18" s="121"/>
      <c r="E18" s="97" t="s">
        <v>1117</v>
      </c>
      <c r="F18" s="1650" t="s">
        <v>802</v>
      </c>
      <c r="G18" s="1650" t="s">
        <v>802</v>
      </c>
      <c r="H18" s="1645" t="s">
        <v>1480</v>
      </c>
      <c r="I18" s="1645" t="s">
        <v>1481</v>
      </c>
      <c r="J18" s="123"/>
    </row>
    <row r="19" spans="1:10">
      <c r="A19" s="1650" t="s">
        <v>1241</v>
      </c>
      <c r="B19" s="1650" t="s">
        <v>1241</v>
      </c>
      <c r="C19" s="108" t="s">
        <v>1241</v>
      </c>
      <c r="D19" s="1650" t="s">
        <v>1165</v>
      </c>
      <c r="E19" s="90" t="s">
        <v>1120</v>
      </c>
      <c r="F19" s="1650" t="s">
        <v>363</v>
      </c>
      <c r="G19" s="1650" t="s">
        <v>1242</v>
      </c>
      <c r="H19" s="1645" t="s">
        <v>1482</v>
      </c>
      <c r="I19" s="1645" t="s">
        <v>1242</v>
      </c>
      <c r="J19" s="123"/>
    </row>
    <row r="20" spans="1:10">
      <c r="A20" s="123"/>
      <c r="B20" s="123"/>
      <c r="C20" s="118"/>
      <c r="D20" s="123"/>
      <c r="E20" s="123"/>
      <c r="F20" s="123"/>
      <c r="G20" s="123"/>
      <c r="H20" s="1659"/>
      <c r="I20" s="1659"/>
      <c r="J20" s="123"/>
    </row>
    <row r="21" spans="1:10">
      <c r="A21" s="2724"/>
      <c r="B21" s="2724"/>
      <c r="C21" s="107"/>
      <c r="D21" s="2724"/>
      <c r="E21" s="2724"/>
      <c r="F21" s="2724"/>
      <c r="G21" s="2724"/>
      <c r="H21" s="123"/>
      <c r="I21" s="112"/>
      <c r="J21" s="123"/>
    </row>
    <row r="22" spans="1:10">
      <c r="A22" s="321">
        <v>1</v>
      </c>
      <c r="B22" s="321">
        <v>317</v>
      </c>
      <c r="C22" s="321" t="s">
        <v>2753</v>
      </c>
      <c r="D22" s="315" t="s">
        <v>2747</v>
      </c>
      <c r="E22" s="2685">
        <f>-'SCH B-3'!I35</f>
        <v>-8527076</v>
      </c>
      <c r="F22" s="2683">
        <v>1</v>
      </c>
      <c r="G22" s="2684">
        <f>E22*F22</f>
        <v>-8527076</v>
      </c>
      <c r="H22" s="2684"/>
      <c r="I22" s="2516" t="s">
        <v>2754</v>
      </c>
      <c r="J22" s="123"/>
    </row>
    <row r="23" spans="1:10">
      <c r="A23" s="90">
        <v>2</v>
      </c>
      <c r="B23" s="1505">
        <v>373</v>
      </c>
      <c r="C23" s="1505">
        <v>3733</v>
      </c>
      <c r="D23" s="1506" t="s">
        <v>773</v>
      </c>
      <c r="E23" s="1845">
        <f>-'SCH B-3'!I174</f>
        <v>-1496756</v>
      </c>
      <c r="F23" s="2683">
        <v>1</v>
      </c>
      <c r="G23" s="1542">
        <f>E23*F23</f>
        <v>-1496756</v>
      </c>
      <c r="H23" s="2517"/>
      <c r="I23" s="2516" t="s">
        <v>3105</v>
      </c>
      <c r="J23" s="123"/>
    </row>
    <row r="24" spans="1:10">
      <c r="A24" s="90">
        <v>3</v>
      </c>
      <c r="B24" s="1505">
        <v>373</v>
      </c>
      <c r="C24" s="1505">
        <v>3734</v>
      </c>
      <c r="D24" s="1506" t="s">
        <v>2288</v>
      </c>
      <c r="E24" s="1845">
        <f>-'SCH B-3'!I175</f>
        <v>106770</v>
      </c>
      <c r="F24" s="2683">
        <v>1</v>
      </c>
      <c r="G24" s="1542">
        <f>E24*F24</f>
        <v>106770</v>
      </c>
      <c r="H24" s="2517"/>
      <c r="I24" s="2516" t="s">
        <v>3105</v>
      </c>
      <c r="J24" s="123"/>
    </row>
    <row r="25" spans="1:10">
      <c r="A25" s="90">
        <v>4</v>
      </c>
      <c r="B25" s="1505">
        <v>370</v>
      </c>
      <c r="C25" s="1505">
        <v>3700</v>
      </c>
      <c r="D25" s="1506" t="s">
        <v>2539</v>
      </c>
      <c r="E25" s="2518">
        <v>-1855718</v>
      </c>
      <c r="F25" s="2683">
        <v>1</v>
      </c>
      <c r="G25" s="1542">
        <f>E25*F25</f>
        <v>-1855718</v>
      </c>
      <c r="H25" s="2517"/>
      <c r="I25" s="2516" t="s">
        <v>3222</v>
      </c>
      <c r="J25" s="123"/>
    </row>
    <row r="26" spans="1:10">
      <c r="A26" s="90">
        <v>5</v>
      </c>
      <c r="B26" s="97">
        <v>370</v>
      </c>
      <c r="C26" s="90">
        <v>3701</v>
      </c>
      <c r="D26" s="2519" t="s">
        <v>376</v>
      </c>
      <c r="E26" s="1845">
        <f>-'SCH B-3'!I168</f>
        <v>-1384398</v>
      </c>
      <c r="F26" s="2683">
        <v>1</v>
      </c>
      <c r="G26" s="1542">
        <f>E26*F26</f>
        <v>-1384398</v>
      </c>
      <c r="H26" s="2517"/>
      <c r="I26" s="2516" t="s">
        <v>3222</v>
      </c>
      <c r="J26" s="123"/>
    </row>
    <row r="27" spans="1:10">
      <c r="A27" s="1541"/>
      <c r="B27" s="1541"/>
      <c r="C27" s="1541"/>
      <c r="D27" s="1541"/>
      <c r="E27" s="1539"/>
      <c r="F27" s="1538"/>
      <c r="G27" s="1539"/>
      <c r="H27" s="1539"/>
      <c r="I27" s="1539"/>
      <c r="J27" s="123"/>
    </row>
    <row r="28" spans="1:10">
      <c r="A28" s="1621"/>
      <c r="B28" s="1621"/>
      <c r="C28" s="1621"/>
      <c r="D28" s="1621"/>
      <c r="E28" s="1622"/>
      <c r="F28" s="1623"/>
      <c r="G28" s="1622"/>
      <c r="H28" s="1622"/>
      <c r="I28" s="1622"/>
      <c r="J28" s="123"/>
    </row>
    <row r="29" spans="1:10">
      <c r="A29" s="1505">
        <v>6</v>
      </c>
      <c r="B29" s="1541"/>
      <c r="C29" s="1541"/>
      <c r="D29" s="2520" t="s">
        <v>3106</v>
      </c>
      <c r="E29" s="1539">
        <f>SUM(E22:E26)</f>
        <v>-13157178</v>
      </c>
      <c r="F29" s="2683">
        <v>1</v>
      </c>
      <c r="G29" s="1539">
        <f>SUM(G22:G26)</f>
        <v>-13157178</v>
      </c>
      <c r="H29" s="1539"/>
      <c r="I29" s="1539"/>
      <c r="J29" s="123"/>
    </row>
    <row r="30" spans="1:10">
      <c r="A30" s="1541"/>
      <c r="B30" s="1541"/>
      <c r="C30" s="1541"/>
      <c r="D30" s="1541"/>
      <c r="E30" s="1539"/>
      <c r="F30" s="1538"/>
      <c r="G30" s="1539"/>
      <c r="H30" s="1539"/>
      <c r="I30" s="1539"/>
      <c r="J30" s="123"/>
    </row>
    <row r="31" spans="1:10">
      <c r="A31" s="2521"/>
      <c r="B31" s="2521"/>
      <c r="C31" s="2522"/>
      <c r="D31" s="2522"/>
      <c r="E31" s="2523"/>
      <c r="F31" s="2524"/>
      <c r="G31" s="2525"/>
      <c r="H31" s="2522"/>
      <c r="I31" s="2522"/>
      <c r="J31" s="123"/>
    </row>
    <row r="32" spans="1:10">
      <c r="A32" s="109"/>
      <c r="B32" s="109"/>
      <c r="C32" s="112"/>
      <c r="D32" s="1592"/>
      <c r="E32" s="1845"/>
      <c r="F32" s="2526"/>
      <c r="G32" s="2527"/>
      <c r="H32" s="112"/>
      <c r="I32" s="112"/>
      <c r="J32" s="123"/>
    </row>
    <row r="33" spans="1:10">
      <c r="A33" s="109"/>
      <c r="B33" s="109"/>
      <c r="C33" s="112"/>
      <c r="D33" s="112"/>
      <c r="E33" s="1845"/>
      <c r="F33" s="2526"/>
      <c r="G33" s="2527"/>
      <c r="H33" s="112"/>
      <c r="I33" s="112"/>
      <c r="J33" s="123"/>
    </row>
    <row r="34" spans="1:10">
      <c r="A34" s="123"/>
      <c r="B34" s="123"/>
      <c r="C34" s="123"/>
      <c r="D34" s="123"/>
      <c r="E34" s="123"/>
      <c r="F34" s="123"/>
      <c r="G34" s="123"/>
      <c r="H34" s="123"/>
      <c r="I34" s="123"/>
      <c r="J34" s="123"/>
    </row>
    <row r="35" spans="1:10">
      <c r="A35" s="123"/>
      <c r="B35" s="123"/>
      <c r="C35" s="123"/>
      <c r="D35" s="123"/>
      <c r="E35" s="123"/>
      <c r="F35" s="123"/>
      <c r="G35" s="123"/>
      <c r="H35" s="123"/>
      <c r="I35" s="123"/>
      <c r="J35" s="123"/>
    </row>
    <row r="36" spans="1:10">
      <c r="A36" s="1654" t="str">
        <f>COMPANY</f>
        <v>DUKE ENERGY KENTUCKY, INC.</v>
      </c>
      <c r="B36" s="1654"/>
      <c r="C36" s="1654"/>
      <c r="D36" s="1654"/>
      <c r="E36" s="1654"/>
      <c r="F36" s="1654"/>
      <c r="G36" s="1654"/>
      <c r="H36" s="1654"/>
      <c r="I36" s="1654"/>
      <c r="J36" s="123"/>
    </row>
    <row r="37" spans="1:10">
      <c r="A37" s="1654" t="str">
        <f>CASE</f>
        <v>CASE NO. 2017-00321</v>
      </c>
      <c r="B37" s="1654"/>
      <c r="C37" s="1654"/>
      <c r="D37" s="1654"/>
      <c r="E37" s="1654"/>
      <c r="F37" s="1654"/>
      <c r="G37" s="1654"/>
      <c r="H37" s="1654"/>
      <c r="I37" s="1654"/>
      <c r="J37" s="123"/>
    </row>
    <row r="38" spans="1:10">
      <c r="A38" s="1654" t="s">
        <v>1671</v>
      </c>
      <c r="B38" s="1654"/>
      <c r="C38" s="1654"/>
      <c r="D38" s="1654"/>
      <c r="E38" s="1654"/>
      <c r="F38" s="1654"/>
      <c r="G38" s="1654"/>
      <c r="H38" s="1654"/>
      <c r="I38" s="1654"/>
      <c r="J38" s="123"/>
    </row>
    <row r="39" spans="1:10">
      <c r="A39" s="76" t="str">
        <f>"AS OF " &amp;RIGHT(Forecast,(LEN(Forecast)-16))</f>
        <v>AS OF MARCH 31, 2019</v>
      </c>
      <c r="B39" s="1654"/>
      <c r="C39" s="1654"/>
      <c r="D39" s="1654"/>
      <c r="E39" s="1654"/>
      <c r="F39" s="1654"/>
      <c r="G39" s="1654"/>
      <c r="H39" s="1654"/>
      <c r="I39" s="1654"/>
      <c r="J39" s="123"/>
    </row>
    <row r="40" spans="1:10">
      <c r="A40" s="1655"/>
      <c r="B40" s="1655"/>
      <c r="C40" s="1655"/>
      <c r="D40" s="1655"/>
      <c r="E40" s="1655"/>
      <c r="F40" s="1655"/>
      <c r="G40" s="1655"/>
      <c r="H40" s="123"/>
      <c r="I40" s="123"/>
      <c r="J40" s="123"/>
    </row>
    <row r="41" spans="1:10">
      <c r="A41" s="1654"/>
      <c r="B41" s="1654"/>
      <c r="C41" s="1654"/>
      <c r="D41" s="1654"/>
      <c r="E41" s="1654"/>
      <c r="F41" s="1654"/>
      <c r="G41" s="1654"/>
      <c r="H41" s="1654"/>
      <c r="I41" s="1654"/>
      <c r="J41" s="123"/>
    </row>
    <row r="42" spans="1:10">
      <c r="A42" s="1655"/>
      <c r="B42" s="1655"/>
      <c r="C42" s="1655"/>
      <c r="D42" s="1655"/>
      <c r="E42" s="1655"/>
      <c r="F42" s="1655"/>
      <c r="G42" s="1655"/>
      <c r="H42" s="123"/>
      <c r="I42" s="123"/>
      <c r="J42" s="123"/>
    </row>
    <row r="43" spans="1:10">
      <c r="A43" s="1655"/>
      <c r="B43" s="1655"/>
      <c r="C43" s="1655"/>
      <c r="D43" s="1655"/>
      <c r="E43" s="1655"/>
      <c r="F43" s="1655"/>
      <c r="G43" s="1655"/>
      <c r="H43" s="123"/>
      <c r="I43" s="123"/>
      <c r="J43" s="123"/>
    </row>
    <row r="44" spans="1:10">
      <c r="A44" s="121" t="str">
        <f>DataF</f>
        <v>DATA:  BASE PERIOD  "X" FORECASTED PERIOD</v>
      </c>
      <c r="B44" s="123"/>
      <c r="C44" s="123"/>
      <c r="D44" s="123"/>
      <c r="E44" s="123"/>
      <c r="F44" s="123"/>
      <c r="G44" s="123"/>
      <c r="H44" s="121" t="s">
        <v>1672</v>
      </c>
      <c r="I44" s="123"/>
      <c r="J44" s="123"/>
    </row>
    <row r="45" spans="1:10">
      <c r="A45" s="121" t="str">
        <f>Type</f>
        <v xml:space="preserve">TYPE OF FILING:  "X" ORIGINAL   UPDATED    REVISED  </v>
      </c>
      <c r="B45" s="123"/>
      <c r="C45" s="123"/>
      <c r="D45" s="123"/>
      <c r="E45" s="123"/>
      <c r="F45" s="123"/>
      <c r="G45" s="123"/>
      <c r="H45" s="121" t="s">
        <v>86</v>
      </c>
      <c r="I45" s="123"/>
      <c r="J45" s="123"/>
    </row>
    <row r="46" spans="1:10">
      <c r="A46" s="121" t="s">
        <v>1341</v>
      </c>
      <c r="B46" s="123"/>
      <c r="C46" s="123"/>
      <c r="D46" s="123"/>
      <c r="E46" s="123"/>
      <c r="F46" s="123"/>
      <c r="G46" s="123"/>
      <c r="H46" s="1658" t="s">
        <v>622</v>
      </c>
      <c r="I46" s="123"/>
      <c r="J46" s="123"/>
    </row>
    <row r="47" spans="1:10">
      <c r="A47" s="123"/>
      <c r="B47" s="123"/>
      <c r="C47" s="123"/>
      <c r="D47" s="123"/>
      <c r="E47" s="123"/>
      <c r="F47" s="123"/>
      <c r="G47" s="123"/>
      <c r="H47" s="2515" t="str">
        <f>_WIT7</f>
        <v>R. H. PRATT / C. S. LEE</v>
      </c>
      <c r="I47" s="123"/>
      <c r="J47" s="123"/>
    </row>
    <row r="48" spans="1:10">
      <c r="A48" s="123"/>
      <c r="B48" s="123"/>
      <c r="C48" s="123"/>
      <c r="D48" s="123"/>
      <c r="E48" s="123"/>
      <c r="F48" s="123"/>
      <c r="G48" s="123"/>
      <c r="H48" s="123"/>
      <c r="I48" s="123"/>
      <c r="J48" s="123"/>
    </row>
    <row r="49" spans="1:10">
      <c r="A49" s="123"/>
      <c r="B49" s="123"/>
      <c r="C49" s="123"/>
      <c r="D49" s="123"/>
      <c r="E49" s="123"/>
      <c r="F49" s="123"/>
      <c r="G49" s="123"/>
      <c r="H49" s="123"/>
      <c r="I49" s="123"/>
      <c r="J49" s="123"/>
    </row>
    <row r="50" spans="1:10">
      <c r="A50" s="123"/>
      <c r="B50" s="123"/>
      <c r="C50" s="123"/>
      <c r="D50" s="123"/>
      <c r="E50" s="123"/>
      <c r="F50" s="123"/>
      <c r="G50" s="123"/>
      <c r="H50" s="1659"/>
      <c r="I50" s="1659"/>
      <c r="J50" s="123"/>
    </row>
    <row r="51" spans="1:10">
      <c r="A51" s="2724"/>
      <c r="B51" s="2724"/>
      <c r="C51" s="2727"/>
      <c r="D51" s="2724"/>
      <c r="E51" s="2686" t="s">
        <v>1967</v>
      </c>
      <c r="F51" s="2724"/>
      <c r="G51" s="2724"/>
      <c r="H51" s="123"/>
      <c r="I51" s="123"/>
      <c r="J51" s="123"/>
    </row>
    <row r="52" spans="1:10">
      <c r="A52" s="123"/>
      <c r="B52" s="1650" t="s">
        <v>943</v>
      </c>
      <c r="C52" s="108" t="s">
        <v>1750</v>
      </c>
      <c r="D52" s="123"/>
      <c r="E52" s="1505" t="s">
        <v>873</v>
      </c>
      <c r="F52" s="123"/>
      <c r="G52" s="123"/>
      <c r="H52" s="123"/>
      <c r="I52" s="1645" t="s">
        <v>1479</v>
      </c>
      <c r="J52" s="123"/>
    </row>
    <row r="53" spans="1:10">
      <c r="A53" s="1650" t="s">
        <v>1240</v>
      </c>
      <c r="B53" s="1650" t="s">
        <v>1164</v>
      </c>
      <c r="C53" s="1650" t="s">
        <v>1164</v>
      </c>
      <c r="D53" s="121"/>
      <c r="E53" s="97" t="s">
        <v>626</v>
      </c>
      <c r="F53" s="1650" t="s">
        <v>802</v>
      </c>
      <c r="G53" s="1650" t="s">
        <v>802</v>
      </c>
      <c r="H53" s="1645" t="s">
        <v>1480</v>
      </c>
      <c r="I53" s="1645" t="s">
        <v>1481</v>
      </c>
      <c r="J53" s="123"/>
    </row>
    <row r="54" spans="1:10">
      <c r="A54" s="1650" t="s">
        <v>1241</v>
      </c>
      <c r="B54" s="1650" t="s">
        <v>1241</v>
      </c>
      <c r="C54" s="108" t="s">
        <v>1241</v>
      </c>
      <c r="D54" s="1650" t="s">
        <v>1165</v>
      </c>
      <c r="E54" s="90" t="s">
        <v>1120</v>
      </c>
      <c r="F54" s="1650" t="s">
        <v>363</v>
      </c>
      <c r="G54" s="1650" t="s">
        <v>1242</v>
      </c>
      <c r="H54" s="1645" t="s">
        <v>1482</v>
      </c>
      <c r="I54" s="1645" t="s">
        <v>1242</v>
      </c>
      <c r="J54" s="123"/>
    </row>
    <row r="55" spans="1:10">
      <c r="A55" s="123"/>
      <c r="B55" s="123"/>
      <c r="C55" s="118"/>
      <c r="D55" s="123"/>
      <c r="E55" s="123"/>
      <c r="F55" s="123"/>
      <c r="G55" s="123"/>
      <c r="H55" s="1659"/>
      <c r="I55" s="1659"/>
      <c r="J55" s="123"/>
    </row>
    <row r="56" spans="1:10">
      <c r="A56" s="2724"/>
      <c r="B56" s="2724"/>
      <c r="C56" s="107"/>
      <c r="D56" s="2724"/>
      <c r="E56" s="2724"/>
      <c r="F56" s="2724"/>
      <c r="G56" s="2724"/>
      <c r="H56" s="123"/>
      <c r="I56" s="112"/>
      <c r="J56" s="123"/>
    </row>
    <row r="57" spans="1:10">
      <c r="A57" s="321">
        <v>1</v>
      </c>
      <c r="B57" s="321">
        <v>317</v>
      </c>
      <c r="C57" s="321" t="s">
        <v>2753</v>
      </c>
      <c r="D57" s="315" t="s">
        <v>2747</v>
      </c>
      <c r="E57" s="2685">
        <f>-'SCH B-3'!I312</f>
        <v>-9880323</v>
      </c>
      <c r="F57" s="2683">
        <v>1</v>
      </c>
      <c r="G57" s="2684">
        <f>E57*F57</f>
        <v>-9880323</v>
      </c>
      <c r="H57" s="2684"/>
      <c r="I57" s="2516" t="s">
        <v>2754</v>
      </c>
      <c r="J57" s="123"/>
    </row>
    <row r="58" spans="1:10">
      <c r="A58" s="90">
        <v>2</v>
      </c>
      <c r="B58" s="1505">
        <v>373</v>
      </c>
      <c r="C58" s="1505">
        <v>3733</v>
      </c>
      <c r="D58" s="1506" t="s">
        <v>773</v>
      </c>
      <c r="E58" s="1845">
        <f>-'SCH B-3'!I450</f>
        <v>-1507219</v>
      </c>
      <c r="F58" s="2683">
        <v>1</v>
      </c>
      <c r="G58" s="2684">
        <f>E58*F58</f>
        <v>-1507219</v>
      </c>
      <c r="H58" s="2517"/>
      <c r="I58" s="2516" t="s">
        <v>3105</v>
      </c>
      <c r="J58" s="123"/>
    </row>
    <row r="59" spans="1:10">
      <c r="A59" s="90">
        <v>3</v>
      </c>
      <c r="B59" s="1505">
        <v>373</v>
      </c>
      <c r="C59" s="1505">
        <v>3734</v>
      </c>
      <c r="D59" s="1506" t="s">
        <v>2288</v>
      </c>
      <c r="E59" s="1845">
        <f>-'SCH B-3'!I451</f>
        <v>96236</v>
      </c>
      <c r="F59" s="2683">
        <v>1</v>
      </c>
      <c r="G59" s="2684">
        <f>E59*F59</f>
        <v>96236</v>
      </c>
      <c r="H59" s="2517"/>
      <c r="I59" s="2516" t="s">
        <v>3105</v>
      </c>
      <c r="J59" s="123"/>
    </row>
    <row r="60" spans="1:10">
      <c r="A60" s="90">
        <v>4</v>
      </c>
      <c r="B60" s="1505">
        <v>370</v>
      </c>
      <c r="C60" s="1505">
        <v>3700</v>
      </c>
      <c r="D60" s="1506" t="s">
        <v>2539</v>
      </c>
      <c r="E60" s="2518">
        <v>-1318484</v>
      </c>
      <c r="F60" s="2683">
        <v>1</v>
      </c>
      <c r="G60" s="2684">
        <f>E60*F60</f>
        <v>-1318484</v>
      </c>
      <c r="H60" s="2517"/>
      <c r="I60" s="2516" t="s">
        <v>3222</v>
      </c>
      <c r="J60" s="123"/>
    </row>
    <row r="61" spans="1:10">
      <c r="A61" s="90">
        <v>5</v>
      </c>
      <c r="B61" s="97">
        <v>370</v>
      </c>
      <c r="C61" s="90">
        <v>3701</v>
      </c>
      <c r="D61" s="2519" t="s">
        <v>376</v>
      </c>
      <c r="E61" s="1845">
        <f>-'SCH B-3'!I444</f>
        <v>-1498829</v>
      </c>
      <c r="F61" s="2683">
        <v>1</v>
      </c>
      <c r="G61" s="2684">
        <f>E61*F61</f>
        <v>-1498829</v>
      </c>
      <c r="H61" s="2517"/>
      <c r="I61" s="2516" t="s">
        <v>3222</v>
      </c>
      <c r="J61" s="123"/>
    </row>
    <row r="62" spans="1:10">
      <c r="A62" s="1541"/>
      <c r="B62" s="1541"/>
      <c r="C62" s="1541"/>
      <c r="D62" s="1541"/>
      <c r="E62" s="1539"/>
      <c r="F62" s="1538"/>
      <c r="G62" s="1539"/>
      <c r="H62" s="1539"/>
      <c r="I62" s="1539"/>
      <c r="J62" s="123"/>
    </row>
    <row r="63" spans="1:10">
      <c r="A63" s="1621"/>
      <c r="B63" s="1621"/>
      <c r="C63" s="1621"/>
      <c r="D63" s="1621"/>
      <c r="E63" s="1622"/>
      <c r="F63" s="1623"/>
      <c r="G63" s="1622"/>
      <c r="H63" s="1622"/>
      <c r="I63" s="1622"/>
      <c r="J63" s="123"/>
    </row>
    <row r="64" spans="1:10">
      <c r="A64" s="1505">
        <v>6</v>
      </c>
      <c r="B64" s="1541"/>
      <c r="C64" s="1541"/>
      <c r="D64" s="2520" t="s">
        <v>3106</v>
      </c>
      <c r="E64" s="1539">
        <f>SUM(E57:E61)</f>
        <v>-14108619</v>
      </c>
      <c r="F64" s="2683">
        <v>1</v>
      </c>
      <c r="G64" s="1539">
        <f>SUM(G57:G61)</f>
        <v>-14108619</v>
      </c>
      <c r="H64" s="1539"/>
      <c r="I64" s="1539"/>
      <c r="J64" s="123"/>
    </row>
    <row r="65" spans="1:10">
      <c r="A65" s="1541"/>
      <c r="B65" s="1541"/>
      <c r="C65" s="1541"/>
      <c r="D65" s="1541"/>
      <c r="E65" s="1539"/>
      <c r="F65" s="1538"/>
      <c r="G65" s="1539"/>
      <c r="H65" s="1539"/>
      <c r="I65" s="1539"/>
      <c r="J65" s="123"/>
    </row>
    <row r="66" spans="1:10">
      <c r="A66" s="2521"/>
      <c r="B66" s="2521"/>
      <c r="C66" s="2522"/>
      <c r="D66" s="2522"/>
      <c r="E66" s="2523"/>
      <c r="F66" s="2524"/>
      <c r="G66" s="2525"/>
      <c r="H66" s="2522"/>
      <c r="I66" s="2522"/>
      <c r="J66" s="123"/>
    </row>
    <row r="67" spans="1:10">
      <c r="A67" s="109"/>
      <c r="B67" s="109"/>
      <c r="C67" s="112"/>
      <c r="D67" s="112"/>
      <c r="E67" s="1845"/>
      <c r="F67" s="2526"/>
      <c r="G67" s="2527"/>
      <c r="H67" s="112"/>
      <c r="I67" s="112"/>
      <c r="J67" s="123"/>
    </row>
    <row r="68" spans="1:10">
      <c r="A68" s="109"/>
      <c r="B68" s="109"/>
      <c r="C68" s="112"/>
      <c r="D68" s="1592"/>
      <c r="E68" s="1845"/>
      <c r="F68" s="2526"/>
      <c r="G68" s="2527"/>
      <c r="H68" s="112"/>
      <c r="I68" s="112"/>
      <c r="J68" s="123"/>
    </row>
    <row r="69" spans="1:10">
      <c r="A69" s="109"/>
      <c r="B69" s="109"/>
      <c r="C69" s="112"/>
      <c r="D69" s="112"/>
      <c r="E69" s="1845"/>
      <c r="F69" s="2526"/>
      <c r="G69" s="2527"/>
      <c r="H69" s="112"/>
      <c r="I69" s="112"/>
      <c r="J69" s="123"/>
    </row>
    <row r="70" spans="1:10">
      <c r="A70" s="109"/>
      <c r="B70" s="109"/>
      <c r="C70" s="112"/>
      <c r="D70" s="112"/>
      <c r="E70" s="1845"/>
      <c r="F70" s="2526"/>
      <c r="G70" s="2527"/>
      <c r="H70" s="112"/>
      <c r="I70" s="112"/>
      <c r="J70" s="123"/>
    </row>
    <row r="71" spans="1:10">
      <c r="A71" s="109"/>
      <c r="B71" s="109"/>
      <c r="C71" s="112"/>
      <c r="D71" s="112"/>
      <c r="E71" s="1845"/>
      <c r="F71" s="2526"/>
      <c r="G71" s="2527"/>
      <c r="H71" s="112"/>
      <c r="I71" s="112"/>
      <c r="J71" s="123"/>
    </row>
    <row r="72" spans="1:10">
      <c r="A72" s="112"/>
      <c r="B72" s="112"/>
      <c r="C72" s="112"/>
      <c r="D72" s="112"/>
      <c r="E72" s="112"/>
      <c r="F72" s="112"/>
      <c r="G72" s="112"/>
      <c r="H72" s="112"/>
      <c r="I72" s="112"/>
      <c r="J72" s="123"/>
    </row>
    <row r="73" spans="1:10">
      <c r="A73" s="112"/>
      <c r="B73" s="112"/>
      <c r="C73" s="112"/>
      <c r="D73" s="112"/>
      <c r="E73" s="112"/>
      <c r="F73" s="112"/>
      <c r="G73" s="112"/>
      <c r="H73" s="112"/>
      <c r="I73" s="112"/>
      <c r="J73" s="123"/>
    </row>
    <row r="74" spans="1:10">
      <c r="A74" s="109"/>
      <c r="B74" s="112"/>
      <c r="C74" s="112"/>
      <c r="D74" s="112"/>
      <c r="E74" s="2528"/>
      <c r="F74" s="112"/>
      <c r="G74" s="2528"/>
      <c r="H74" s="112"/>
      <c r="I74" s="112"/>
      <c r="J74" s="123"/>
    </row>
    <row r="75" spans="1:10">
      <c r="A75" s="112"/>
      <c r="B75" s="112"/>
      <c r="C75" s="112"/>
      <c r="D75" s="112"/>
      <c r="E75" s="112"/>
      <c r="F75" s="112"/>
      <c r="G75" s="112"/>
      <c r="H75" s="112"/>
      <c r="I75" s="112"/>
      <c r="J75" s="123"/>
    </row>
    <row r="76" spans="1:10">
      <c r="A76" s="112"/>
      <c r="B76" s="2529"/>
      <c r="C76" s="112"/>
      <c r="D76" s="112"/>
      <c r="E76" s="112"/>
      <c r="F76" s="112"/>
      <c r="G76" s="112"/>
      <c r="H76" s="112"/>
      <c r="I76" s="112"/>
      <c r="J76" s="123"/>
    </row>
    <row r="77" spans="1:10">
      <c r="A77" s="109"/>
      <c r="B77" s="109"/>
      <c r="C77" s="109"/>
      <c r="D77" s="112"/>
      <c r="E77" s="1845"/>
      <c r="F77" s="2526"/>
      <c r="G77" s="2527"/>
      <c r="H77" s="112"/>
      <c r="I77" s="112"/>
      <c r="J77" s="123"/>
    </row>
    <row r="78" spans="1:10">
      <c r="A78" s="109"/>
      <c r="B78" s="109"/>
      <c r="C78" s="109"/>
      <c r="D78" s="112"/>
      <c r="E78" s="1845"/>
      <c r="F78" s="2526"/>
      <c r="G78" s="2527"/>
      <c r="H78" s="112"/>
      <c r="I78" s="112"/>
      <c r="J78" s="123"/>
    </row>
    <row r="79" spans="1:10">
      <c r="A79" s="109"/>
      <c r="B79" s="109"/>
      <c r="C79" s="109"/>
      <c r="D79" s="112"/>
      <c r="E79" s="1845"/>
      <c r="F79" s="2526"/>
      <c r="G79" s="2527"/>
      <c r="H79" s="112"/>
      <c r="I79" s="112"/>
      <c r="J79" s="123"/>
    </row>
    <row r="80" spans="1:10">
      <c r="A80" s="112"/>
      <c r="B80" s="109"/>
      <c r="C80" s="112"/>
      <c r="D80" s="112"/>
      <c r="E80" s="112"/>
      <c r="F80" s="112"/>
      <c r="G80" s="112"/>
      <c r="H80" s="112"/>
      <c r="I80" s="112"/>
      <c r="J80" s="123"/>
    </row>
    <row r="81" spans="1:10">
      <c r="A81" s="109"/>
      <c r="B81" s="112"/>
      <c r="C81" s="112"/>
      <c r="D81" s="112"/>
      <c r="E81" s="2528"/>
      <c r="F81" s="112"/>
      <c r="G81" s="2528"/>
      <c r="H81" s="112"/>
      <c r="I81" s="112"/>
      <c r="J81" s="123"/>
    </row>
    <row r="82" spans="1:10">
      <c r="A82" s="112"/>
      <c r="B82" s="112"/>
      <c r="C82" s="112"/>
      <c r="D82" s="112"/>
      <c r="E82" s="112"/>
      <c r="F82" s="112"/>
      <c r="G82" s="112"/>
      <c r="H82" s="112"/>
      <c r="I82" s="112"/>
      <c r="J82" s="123"/>
    </row>
    <row r="83" spans="1:10">
      <c r="A83" s="109"/>
      <c r="B83" s="112"/>
      <c r="C83" s="112"/>
      <c r="D83" s="112"/>
      <c r="E83" s="2528"/>
      <c r="F83" s="112"/>
      <c r="G83" s="2528"/>
      <c r="H83" s="112"/>
      <c r="I83" s="112"/>
      <c r="J83" s="123"/>
    </row>
    <row r="84" spans="1:10">
      <c r="A84" s="109"/>
      <c r="B84" s="112"/>
      <c r="C84" s="112"/>
      <c r="D84" s="112"/>
      <c r="E84" s="2528"/>
      <c r="F84" s="112"/>
      <c r="G84" s="2528"/>
      <c r="H84" s="112"/>
      <c r="I84" s="112"/>
      <c r="J84" s="123"/>
    </row>
    <row r="85" spans="1:10">
      <c r="A85" s="112"/>
      <c r="B85" s="112"/>
      <c r="C85" s="112"/>
      <c r="D85" s="112"/>
      <c r="E85" s="112"/>
      <c r="F85" s="112"/>
      <c r="G85" s="112"/>
      <c r="H85" s="112"/>
      <c r="I85" s="112"/>
      <c r="J85" s="123"/>
    </row>
    <row r="86" spans="1:10">
      <c r="A86" s="112"/>
      <c r="B86" s="112"/>
      <c r="C86" s="112"/>
      <c r="D86" s="112"/>
      <c r="E86" s="112"/>
      <c r="F86" s="112"/>
      <c r="G86" s="112"/>
      <c r="H86" s="112"/>
      <c r="I86" s="112"/>
      <c r="J86" s="123"/>
    </row>
    <row r="87" spans="1:10">
      <c r="A87" s="123"/>
      <c r="B87" s="123"/>
      <c r="C87" s="123"/>
      <c r="D87" s="123"/>
      <c r="E87" s="123"/>
      <c r="F87" s="123"/>
      <c r="G87" s="123"/>
      <c r="H87" s="123"/>
      <c r="I87" s="123"/>
      <c r="J87" s="123"/>
    </row>
    <row r="88" spans="1:10">
      <c r="A88" s="123"/>
      <c r="B88" s="123"/>
      <c r="C88" s="123"/>
      <c r="D88" s="123"/>
      <c r="E88" s="123"/>
      <c r="F88" s="123"/>
      <c r="G88" s="123"/>
      <c r="H88" s="123"/>
      <c r="I88" s="123"/>
      <c r="J88" s="123"/>
    </row>
    <row r="89" spans="1:10">
      <c r="A89" s="123"/>
      <c r="B89" s="123"/>
      <c r="C89" s="123"/>
      <c r="D89" s="123"/>
      <c r="E89" s="123"/>
      <c r="F89" s="123"/>
      <c r="G89" s="123"/>
      <c r="H89" s="123"/>
      <c r="I89" s="123"/>
      <c r="J89" s="123"/>
    </row>
    <row r="90" spans="1:10">
      <c r="A90" s="123"/>
      <c r="B90" s="123"/>
      <c r="C90" s="123"/>
      <c r="D90" s="123"/>
      <c r="E90" s="123"/>
      <c r="F90" s="123"/>
      <c r="G90" s="123"/>
      <c r="H90" s="123"/>
      <c r="I90" s="123"/>
      <c r="J90" s="123"/>
    </row>
    <row r="91" spans="1:10">
      <c r="A91" s="123"/>
      <c r="B91" s="123"/>
      <c r="C91" s="123"/>
      <c r="D91" s="123"/>
      <c r="E91" s="123"/>
      <c r="F91" s="123"/>
      <c r="G91" s="123"/>
      <c r="H91" s="123"/>
      <c r="I91" s="123"/>
      <c r="J91" s="123"/>
    </row>
    <row r="92" spans="1:10">
      <c r="A92" s="123"/>
      <c r="B92" s="123"/>
      <c r="C92" s="123"/>
      <c r="D92" s="123"/>
      <c r="E92" s="123"/>
      <c r="F92" s="123"/>
      <c r="G92" s="123"/>
      <c r="H92" s="123"/>
      <c r="I92" s="123"/>
      <c r="J92" s="123"/>
    </row>
    <row r="93" spans="1:10">
      <c r="A93" s="123"/>
      <c r="B93" s="123"/>
      <c r="C93" s="123"/>
      <c r="D93" s="123"/>
      <c r="E93" s="123"/>
      <c r="F93" s="123"/>
      <c r="G93" s="123"/>
      <c r="H93" s="123"/>
      <c r="I93" s="123"/>
      <c r="J93" s="123"/>
    </row>
    <row r="94" spans="1:10">
      <c r="A94" s="123"/>
      <c r="B94" s="123"/>
      <c r="C94" s="123"/>
      <c r="D94" s="123"/>
      <c r="E94" s="123"/>
      <c r="F94" s="123"/>
      <c r="G94" s="123"/>
      <c r="H94" s="123"/>
      <c r="I94" s="123"/>
      <c r="J94" s="123"/>
    </row>
    <row r="95" spans="1:10">
      <c r="A95" s="123"/>
      <c r="B95" s="123"/>
      <c r="C95" s="123"/>
      <c r="D95" s="123"/>
      <c r="E95" s="123"/>
      <c r="F95" s="123"/>
      <c r="G95" s="123"/>
      <c r="H95" s="123"/>
      <c r="I95" s="123"/>
      <c r="J95" s="123"/>
    </row>
    <row r="96" spans="1:10">
      <c r="A96" s="123"/>
      <c r="B96" s="123"/>
      <c r="C96" s="123"/>
      <c r="D96" s="123"/>
      <c r="E96" s="123"/>
      <c r="F96" s="123"/>
      <c r="G96" s="123"/>
      <c r="H96" s="123"/>
      <c r="I96" s="123"/>
      <c r="J96" s="123"/>
    </row>
    <row r="97" spans="1:10">
      <c r="A97" s="123"/>
      <c r="B97" s="123"/>
      <c r="C97" s="123"/>
      <c r="D97" s="123"/>
      <c r="E97" s="123"/>
      <c r="F97" s="123"/>
      <c r="G97" s="123"/>
      <c r="H97" s="123"/>
      <c r="I97" s="123"/>
      <c r="J97" s="123"/>
    </row>
    <row r="98" spans="1:10">
      <c r="A98" s="123"/>
      <c r="B98" s="123"/>
      <c r="C98" s="123"/>
      <c r="D98" s="123"/>
      <c r="E98" s="123"/>
      <c r="F98" s="123"/>
      <c r="G98" s="123"/>
      <c r="H98" s="123"/>
      <c r="I98" s="123"/>
      <c r="J98" s="123"/>
    </row>
    <row r="99" spans="1:10">
      <c r="A99" s="123"/>
      <c r="B99" s="123"/>
      <c r="C99" s="123"/>
      <c r="D99" s="123"/>
      <c r="E99" s="123"/>
      <c r="F99" s="123"/>
      <c r="G99" s="123"/>
      <c r="H99" s="123"/>
      <c r="I99" s="123"/>
      <c r="J99" s="123"/>
    </row>
    <row r="100" spans="1:10">
      <c r="A100" s="123"/>
      <c r="B100" s="123"/>
      <c r="C100" s="123"/>
      <c r="D100" s="123"/>
      <c r="E100" s="123"/>
      <c r="F100" s="123"/>
      <c r="G100" s="123"/>
      <c r="H100" s="123"/>
      <c r="I100" s="123"/>
      <c r="J100" s="123"/>
    </row>
    <row r="101" spans="1:10">
      <c r="A101" s="123"/>
      <c r="B101" s="123"/>
      <c r="C101" s="123"/>
      <c r="D101" s="123"/>
      <c r="E101" s="123"/>
      <c r="F101" s="123"/>
      <c r="G101" s="123"/>
      <c r="H101" s="123"/>
      <c r="I101" s="123"/>
      <c r="J101" s="123"/>
    </row>
    <row r="102" spans="1:10">
      <c r="A102" s="123"/>
      <c r="B102" s="123"/>
      <c r="C102" s="123"/>
      <c r="D102" s="123"/>
      <c r="E102" s="123"/>
      <c r="F102" s="123"/>
      <c r="G102" s="123"/>
      <c r="H102" s="123"/>
      <c r="I102" s="123"/>
      <c r="J102" s="123"/>
    </row>
    <row r="103" spans="1:10">
      <c r="A103" s="123"/>
      <c r="B103" s="123"/>
      <c r="C103" s="123"/>
      <c r="D103" s="123"/>
      <c r="E103" s="123"/>
      <c r="F103" s="123"/>
      <c r="G103" s="123"/>
      <c r="H103" s="123"/>
      <c r="I103" s="123"/>
      <c r="J103" s="123"/>
    </row>
    <row r="104" spans="1:10">
      <c r="A104" s="123"/>
      <c r="B104" s="123"/>
      <c r="C104" s="123"/>
      <c r="D104" s="123"/>
      <c r="E104" s="123"/>
      <c r="F104" s="123"/>
      <c r="G104" s="123"/>
      <c r="H104" s="123"/>
      <c r="I104" s="123"/>
      <c r="J104" s="123"/>
    </row>
    <row r="105" spans="1:10">
      <c r="A105" s="123"/>
      <c r="B105" s="123"/>
      <c r="C105" s="123"/>
      <c r="D105" s="123"/>
      <c r="E105" s="123"/>
      <c r="F105" s="123"/>
      <c r="G105" s="123"/>
      <c r="H105" s="123"/>
      <c r="I105" s="123"/>
      <c r="J105" s="123"/>
    </row>
    <row r="106" spans="1:10">
      <c r="A106" s="123"/>
      <c r="B106" s="123"/>
      <c r="C106" s="123"/>
      <c r="D106" s="123"/>
      <c r="E106" s="123"/>
      <c r="F106" s="123"/>
      <c r="G106" s="123"/>
      <c r="H106" s="123"/>
      <c r="I106" s="123"/>
      <c r="J106" s="123"/>
    </row>
    <row r="107" spans="1:10">
      <c r="A107" s="123"/>
      <c r="B107" s="123"/>
      <c r="C107" s="123"/>
      <c r="D107" s="123"/>
      <c r="E107" s="123"/>
      <c r="F107" s="123"/>
      <c r="G107" s="123"/>
      <c r="H107" s="123"/>
      <c r="I107" s="123"/>
      <c r="J107" s="123"/>
    </row>
    <row r="108" spans="1:10">
      <c r="A108" s="123"/>
      <c r="B108" s="123"/>
      <c r="C108" s="123"/>
      <c r="D108" s="123"/>
      <c r="E108" s="123"/>
      <c r="F108" s="123"/>
      <c r="G108" s="123"/>
      <c r="H108" s="123"/>
      <c r="I108" s="123"/>
      <c r="J108" s="123"/>
    </row>
    <row r="109" spans="1:10">
      <c r="A109" s="123"/>
      <c r="B109" s="123"/>
      <c r="C109" s="123"/>
      <c r="D109" s="123"/>
      <c r="E109" s="123"/>
      <c r="F109" s="123"/>
      <c r="G109" s="123"/>
      <c r="H109" s="123"/>
      <c r="I109" s="123"/>
      <c r="J109" s="123"/>
    </row>
    <row r="110" spans="1:10">
      <c r="A110" s="123"/>
      <c r="B110" s="123"/>
      <c r="C110" s="123"/>
      <c r="D110" s="123"/>
      <c r="E110" s="123"/>
      <c r="F110" s="123"/>
      <c r="G110" s="123"/>
      <c r="H110" s="123"/>
      <c r="I110" s="123"/>
      <c r="J110" s="123"/>
    </row>
    <row r="111" spans="1:10">
      <c r="A111" s="123"/>
      <c r="B111" s="123"/>
      <c r="C111" s="123"/>
      <c r="D111" s="123"/>
      <c r="E111" s="123"/>
      <c r="F111" s="123"/>
      <c r="G111" s="123"/>
      <c r="H111" s="123"/>
      <c r="I111" s="123"/>
      <c r="J111" s="123"/>
    </row>
    <row r="112" spans="1:10">
      <c r="A112" s="123"/>
      <c r="B112" s="123"/>
      <c r="C112" s="123"/>
      <c r="D112" s="123"/>
      <c r="E112" s="123"/>
      <c r="F112" s="123"/>
      <c r="G112" s="123"/>
      <c r="H112" s="123"/>
      <c r="I112" s="123"/>
      <c r="J112" s="123"/>
    </row>
    <row r="113" spans="1:10">
      <c r="A113" s="123"/>
      <c r="B113" s="123"/>
      <c r="C113" s="123"/>
      <c r="D113" s="123"/>
      <c r="E113" s="123"/>
      <c r="F113" s="123"/>
      <c r="G113" s="123"/>
      <c r="H113" s="123"/>
      <c r="I113" s="123"/>
      <c r="J113" s="123"/>
    </row>
    <row r="114" spans="1:10">
      <c r="A114" s="123"/>
      <c r="B114" s="123"/>
      <c r="C114" s="123"/>
      <c r="D114" s="123"/>
      <c r="E114" s="123"/>
      <c r="F114" s="123"/>
      <c r="G114" s="123"/>
      <c r="H114" s="123"/>
      <c r="I114" s="123"/>
      <c r="J114" s="123"/>
    </row>
    <row r="115" spans="1:10">
      <c r="A115" s="123"/>
      <c r="B115" s="123"/>
      <c r="C115" s="123"/>
      <c r="D115" s="123"/>
      <c r="E115" s="123"/>
      <c r="F115" s="123"/>
      <c r="G115" s="123"/>
      <c r="H115" s="123"/>
      <c r="I115" s="123"/>
      <c r="J115" s="123"/>
    </row>
    <row r="116" spans="1:10">
      <c r="A116" s="123"/>
      <c r="B116" s="123"/>
      <c r="C116" s="123"/>
      <c r="D116" s="123"/>
      <c r="E116" s="123"/>
      <c r="F116" s="123"/>
      <c r="G116" s="123"/>
      <c r="H116" s="123"/>
      <c r="I116" s="123"/>
      <c r="J116" s="123"/>
    </row>
    <row r="117" spans="1:10">
      <c r="A117" s="123"/>
      <c r="B117" s="123"/>
      <c r="C117" s="123"/>
      <c r="D117" s="123"/>
      <c r="E117" s="123"/>
      <c r="F117" s="123"/>
      <c r="G117" s="123"/>
      <c r="H117" s="123"/>
      <c r="I117" s="123"/>
      <c r="J117" s="123"/>
    </row>
    <row r="118" spans="1:10">
      <c r="A118" s="123"/>
      <c r="B118" s="123"/>
      <c r="C118" s="123"/>
      <c r="D118" s="123"/>
      <c r="E118" s="123"/>
      <c r="F118" s="123"/>
      <c r="G118" s="123"/>
      <c r="H118" s="123"/>
      <c r="I118" s="123"/>
      <c r="J118" s="123"/>
    </row>
    <row r="119" spans="1:10">
      <c r="A119" s="123"/>
      <c r="B119" s="123"/>
      <c r="C119" s="123"/>
      <c r="D119" s="123"/>
      <c r="E119" s="123"/>
      <c r="F119" s="123"/>
      <c r="G119" s="123"/>
      <c r="H119" s="123"/>
      <c r="I119" s="123"/>
      <c r="J119" s="123"/>
    </row>
    <row r="120" spans="1:10">
      <c r="A120" s="123"/>
      <c r="B120" s="123"/>
      <c r="C120" s="123"/>
      <c r="D120" s="123"/>
      <c r="E120" s="123"/>
      <c r="F120" s="123"/>
      <c r="G120" s="123"/>
      <c r="H120" s="123"/>
      <c r="I120" s="123"/>
      <c r="J120" s="123"/>
    </row>
    <row r="121" spans="1:10">
      <c r="A121" s="123"/>
      <c r="B121" s="123"/>
      <c r="C121" s="123"/>
      <c r="D121" s="123"/>
      <c r="E121" s="123"/>
      <c r="F121" s="123"/>
      <c r="G121" s="123"/>
      <c r="H121" s="123"/>
      <c r="I121" s="123"/>
      <c r="J121" s="123"/>
    </row>
    <row r="122" spans="1:10">
      <c r="A122" s="123"/>
      <c r="B122" s="123"/>
      <c r="C122" s="123"/>
      <c r="D122" s="123"/>
      <c r="E122" s="123"/>
      <c r="F122" s="123"/>
      <c r="G122" s="123"/>
      <c r="H122" s="123"/>
      <c r="I122" s="123"/>
      <c r="J122" s="123"/>
    </row>
    <row r="123" spans="1:10">
      <c r="A123" s="123"/>
      <c r="B123" s="123"/>
      <c r="C123" s="123"/>
      <c r="D123" s="123"/>
      <c r="E123" s="123"/>
      <c r="F123" s="123"/>
      <c r="G123" s="123"/>
      <c r="H123" s="123"/>
      <c r="I123" s="123"/>
      <c r="J123" s="123"/>
    </row>
    <row r="124" spans="1:10">
      <c r="A124" s="123"/>
      <c r="B124" s="123"/>
      <c r="C124" s="123"/>
      <c r="D124" s="123"/>
      <c r="E124" s="123"/>
      <c r="F124" s="123"/>
      <c r="G124" s="123"/>
      <c r="H124" s="123"/>
      <c r="I124" s="123"/>
      <c r="J124" s="123"/>
    </row>
    <row r="125" spans="1:10">
      <c r="A125" s="123"/>
      <c r="B125" s="123"/>
      <c r="C125" s="123"/>
      <c r="D125" s="123"/>
      <c r="E125" s="123"/>
      <c r="F125" s="123"/>
      <c r="G125" s="123"/>
      <c r="H125" s="123"/>
      <c r="I125" s="123"/>
      <c r="J125" s="123"/>
    </row>
    <row r="126" spans="1:10">
      <c r="A126" s="123"/>
      <c r="B126" s="123"/>
      <c r="C126" s="123"/>
      <c r="D126" s="123"/>
      <c r="E126" s="123"/>
      <c r="F126" s="123"/>
      <c r="G126" s="123"/>
      <c r="H126" s="123"/>
      <c r="I126" s="123"/>
      <c r="J126" s="123"/>
    </row>
    <row r="127" spans="1:10">
      <c r="A127" s="123"/>
      <c r="B127" s="123"/>
      <c r="C127" s="123"/>
      <c r="D127" s="123"/>
      <c r="E127" s="123"/>
      <c r="F127" s="123"/>
      <c r="G127" s="123"/>
      <c r="H127" s="123"/>
      <c r="I127" s="123"/>
      <c r="J127" s="123"/>
    </row>
    <row r="128" spans="1:10">
      <c r="A128" s="123"/>
      <c r="B128" s="123"/>
      <c r="C128" s="123"/>
      <c r="D128" s="123"/>
      <c r="E128" s="123"/>
      <c r="F128" s="123"/>
      <c r="G128" s="123"/>
      <c r="H128" s="123"/>
      <c r="I128" s="123"/>
      <c r="J128" s="123"/>
    </row>
    <row r="129" spans="1:10">
      <c r="A129" s="123"/>
      <c r="B129" s="123"/>
      <c r="C129" s="123"/>
      <c r="D129" s="123"/>
      <c r="E129" s="123"/>
      <c r="F129" s="123"/>
      <c r="G129" s="123"/>
      <c r="H129" s="123"/>
      <c r="I129" s="123"/>
      <c r="J129" s="123"/>
    </row>
    <row r="130" spans="1:10">
      <c r="A130" s="123"/>
      <c r="B130" s="123"/>
      <c r="C130" s="123"/>
      <c r="D130" s="123"/>
      <c r="E130" s="123"/>
      <c r="F130" s="123"/>
      <c r="G130" s="123"/>
      <c r="H130" s="123"/>
      <c r="I130" s="123"/>
      <c r="J130" s="123"/>
    </row>
    <row r="131" spans="1:10">
      <c r="A131" s="123"/>
      <c r="B131" s="123"/>
      <c r="C131" s="123"/>
      <c r="D131" s="123"/>
      <c r="E131" s="123"/>
      <c r="F131" s="123"/>
      <c r="G131" s="123"/>
      <c r="H131" s="123"/>
      <c r="I131" s="123"/>
      <c r="J131" s="123"/>
    </row>
    <row r="132" spans="1:10">
      <c r="A132" s="123"/>
      <c r="B132" s="123"/>
      <c r="C132" s="123"/>
      <c r="D132" s="123"/>
      <c r="E132" s="123"/>
      <c r="F132" s="123"/>
      <c r="G132" s="123"/>
      <c r="H132" s="123"/>
      <c r="I132" s="123"/>
      <c r="J132" s="123"/>
    </row>
    <row r="133" spans="1:10">
      <c r="A133" s="123"/>
      <c r="B133" s="123"/>
      <c r="C133" s="123"/>
      <c r="D133" s="123"/>
      <c r="E133" s="123"/>
      <c r="F133" s="123"/>
      <c r="G133" s="123"/>
      <c r="H133" s="123"/>
      <c r="I133" s="123"/>
      <c r="J133" s="123"/>
    </row>
    <row r="134" spans="1:10">
      <c r="A134" s="123"/>
      <c r="B134" s="123"/>
      <c r="C134" s="123"/>
      <c r="D134" s="123"/>
      <c r="E134" s="123"/>
      <c r="F134" s="123"/>
      <c r="G134" s="123"/>
      <c r="H134" s="123"/>
      <c r="I134" s="123"/>
      <c r="J134" s="123"/>
    </row>
    <row r="135" spans="1:10">
      <c r="A135" s="123"/>
      <c r="B135" s="123"/>
      <c r="C135" s="123"/>
      <c r="D135" s="123"/>
      <c r="E135" s="123"/>
      <c r="F135" s="123"/>
      <c r="G135" s="123"/>
      <c r="H135" s="123"/>
      <c r="I135" s="123"/>
      <c r="J135" s="123"/>
    </row>
    <row r="136" spans="1:10">
      <c r="A136" s="123"/>
      <c r="B136" s="123"/>
      <c r="C136" s="123"/>
      <c r="D136" s="123"/>
      <c r="E136" s="123"/>
      <c r="F136" s="123"/>
      <c r="G136" s="123"/>
      <c r="H136" s="123"/>
      <c r="I136" s="123"/>
      <c r="J136" s="123"/>
    </row>
    <row r="137" spans="1:10">
      <c r="A137" s="123"/>
      <c r="B137" s="123"/>
      <c r="C137" s="123"/>
      <c r="D137" s="123"/>
      <c r="E137" s="123"/>
      <c r="F137" s="123"/>
      <c r="G137" s="123"/>
      <c r="H137" s="123"/>
      <c r="I137" s="123"/>
      <c r="J137" s="123"/>
    </row>
    <row r="138" spans="1:10">
      <c r="A138" s="123"/>
      <c r="B138" s="123"/>
      <c r="C138" s="123"/>
      <c r="D138" s="123"/>
      <c r="E138" s="123"/>
      <c r="F138" s="123"/>
      <c r="G138" s="123"/>
      <c r="H138" s="123"/>
      <c r="I138" s="123"/>
      <c r="J138" s="123"/>
    </row>
    <row r="139" spans="1:10">
      <c r="A139" s="123"/>
      <c r="B139" s="123"/>
      <c r="C139" s="123"/>
      <c r="D139" s="123"/>
      <c r="E139" s="123"/>
      <c r="F139" s="123"/>
      <c r="G139" s="123"/>
      <c r="H139" s="123"/>
      <c r="I139" s="123"/>
      <c r="J139" s="123"/>
    </row>
    <row r="140" spans="1:10">
      <c r="A140" s="123"/>
      <c r="B140" s="123"/>
      <c r="C140" s="123"/>
      <c r="D140" s="123"/>
      <c r="E140" s="123"/>
      <c r="F140" s="123"/>
      <c r="G140" s="123"/>
      <c r="H140" s="123"/>
      <c r="I140" s="123"/>
      <c r="J140" s="123"/>
    </row>
    <row r="141" spans="1:10">
      <c r="A141" s="123"/>
      <c r="B141" s="123"/>
      <c r="C141" s="123"/>
      <c r="D141" s="123"/>
      <c r="E141" s="123"/>
      <c r="F141" s="123"/>
      <c r="G141" s="123"/>
      <c r="H141" s="123"/>
      <c r="I141" s="123"/>
      <c r="J141" s="123"/>
    </row>
    <row r="142" spans="1:10">
      <c r="A142" s="123"/>
      <c r="B142" s="123"/>
      <c r="C142" s="123"/>
      <c r="D142" s="123"/>
      <c r="E142" s="123"/>
      <c r="F142" s="123"/>
      <c r="G142" s="123"/>
      <c r="H142" s="123"/>
      <c r="I142" s="123"/>
      <c r="J142" s="123"/>
    </row>
    <row r="143" spans="1:10">
      <c r="A143" s="123"/>
      <c r="B143" s="123"/>
      <c r="C143" s="123"/>
      <c r="D143" s="123"/>
      <c r="E143" s="123"/>
      <c r="F143" s="123"/>
      <c r="G143" s="123"/>
      <c r="H143" s="123"/>
      <c r="I143" s="123"/>
      <c r="J143" s="123"/>
    </row>
    <row r="144" spans="1:10">
      <c r="A144" s="123"/>
      <c r="B144" s="123"/>
      <c r="C144" s="123"/>
      <c r="D144" s="123"/>
      <c r="E144" s="123"/>
      <c r="F144" s="123"/>
      <c r="G144" s="123"/>
      <c r="H144" s="123"/>
      <c r="I144" s="123"/>
      <c r="J144" s="123"/>
    </row>
    <row r="145" spans="1:10">
      <c r="A145" s="123"/>
      <c r="B145" s="123"/>
      <c r="C145" s="123"/>
      <c r="D145" s="123"/>
      <c r="E145" s="123"/>
      <c r="F145" s="123"/>
      <c r="G145" s="123"/>
      <c r="H145" s="123"/>
      <c r="I145" s="123"/>
      <c r="J145" s="123"/>
    </row>
    <row r="146" spans="1:10">
      <c r="A146" s="123"/>
      <c r="B146" s="123"/>
      <c r="C146" s="123"/>
      <c r="D146" s="123"/>
      <c r="E146" s="123"/>
      <c r="F146" s="123"/>
      <c r="G146" s="123"/>
      <c r="H146" s="123"/>
      <c r="I146" s="123"/>
      <c r="J146" s="123"/>
    </row>
    <row r="147" spans="1:10">
      <c r="A147" s="123"/>
      <c r="B147" s="123"/>
      <c r="C147" s="123"/>
      <c r="D147" s="123"/>
      <c r="E147" s="123"/>
      <c r="F147" s="123"/>
      <c r="G147" s="123"/>
      <c r="H147" s="123"/>
      <c r="I147" s="123"/>
      <c r="J147" s="123"/>
    </row>
    <row r="148" spans="1:10">
      <c r="A148" s="123"/>
      <c r="B148" s="123"/>
      <c r="C148" s="123"/>
      <c r="D148" s="123"/>
      <c r="E148" s="123"/>
      <c r="F148" s="123"/>
      <c r="G148" s="123"/>
      <c r="H148" s="123"/>
      <c r="I148" s="123"/>
      <c r="J148" s="123"/>
    </row>
    <row r="149" spans="1:10">
      <c r="A149" s="123"/>
      <c r="B149" s="123"/>
      <c r="C149" s="123"/>
      <c r="D149" s="123"/>
      <c r="E149" s="123"/>
      <c r="F149" s="123"/>
      <c r="G149" s="123"/>
      <c r="H149" s="123"/>
      <c r="I149" s="123"/>
      <c r="J149" s="123"/>
    </row>
    <row r="150" spans="1:10">
      <c r="A150" s="123"/>
      <c r="B150" s="123"/>
      <c r="C150" s="123"/>
      <c r="D150" s="123"/>
      <c r="E150" s="123"/>
      <c r="F150" s="123"/>
      <c r="G150" s="123"/>
      <c r="H150" s="123"/>
      <c r="I150" s="123"/>
      <c r="J150" s="123"/>
    </row>
    <row r="151" spans="1:10">
      <c r="A151" s="123"/>
      <c r="B151" s="123"/>
      <c r="C151" s="123"/>
      <c r="D151" s="123"/>
      <c r="E151" s="123"/>
      <c r="F151" s="123"/>
      <c r="G151" s="123"/>
      <c r="H151" s="123"/>
      <c r="I151" s="123"/>
      <c r="J151" s="123"/>
    </row>
    <row r="152" spans="1:10">
      <c r="A152" s="123"/>
      <c r="B152" s="123"/>
      <c r="C152" s="123"/>
      <c r="D152" s="123"/>
      <c r="E152" s="123"/>
      <c r="F152" s="123"/>
      <c r="G152" s="123"/>
      <c r="H152" s="123"/>
      <c r="I152" s="123"/>
      <c r="J152" s="123"/>
    </row>
  </sheetData>
  <printOptions horizontalCentered="1"/>
  <pageMargins left="0.75" right="0.75" top="1" bottom="1" header="0.5" footer="0.5"/>
  <pageSetup scale="59" orientation="landscape" horizontalDpi="300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theme="4" tint="0.39997558519241921"/>
  </sheetPr>
  <dimension ref="A1:Q316"/>
  <sheetViews>
    <sheetView tabSelected="1" view="pageLayout" topLeftCell="C49" zoomScaleNormal="90" workbookViewId="0">
      <selection activeCell="G1" sqref="G1"/>
    </sheetView>
  </sheetViews>
  <sheetFormatPr defaultColWidth="11.42578125" defaultRowHeight="12.75"/>
  <cols>
    <col min="1" max="1" width="7.7109375" style="18" customWidth="1"/>
    <col min="2" max="2" width="11.42578125" style="18" customWidth="1"/>
    <col min="3" max="3" width="14.7109375" style="18" customWidth="1"/>
    <col min="4" max="4" width="53.5703125" style="18" customWidth="1"/>
    <col min="5" max="5" width="2.140625" style="18" customWidth="1"/>
    <col min="6" max="6" width="15.42578125" style="18" customWidth="1"/>
    <col min="7" max="7" width="3.42578125" style="18" customWidth="1"/>
    <col min="8" max="8" width="14.140625" style="18" customWidth="1"/>
    <col min="9" max="9" width="3.140625" style="18" customWidth="1"/>
    <col min="10" max="10" width="11.42578125" style="18" customWidth="1"/>
    <col min="11" max="11" width="4" style="18" customWidth="1"/>
    <col min="12" max="12" width="14.7109375" style="18" customWidth="1"/>
    <col min="13" max="13" width="12.28515625" style="18" customWidth="1"/>
    <col min="14" max="14" width="11.42578125" style="18" customWidth="1"/>
    <col min="15" max="15" width="12.85546875" style="18" customWidth="1"/>
    <col min="16" max="16384" width="11.42578125" style="18"/>
  </cols>
  <sheetData>
    <row r="1" spans="1:17">
      <c r="A1" s="1654" t="str">
        <f>COMPANY</f>
        <v>DUKE ENERGY KENTUCKY, INC.</v>
      </c>
      <c r="B1" s="1654"/>
      <c r="C1" s="1654"/>
      <c r="D1" s="1654"/>
      <c r="E1" s="1654"/>
      <c r="F1" s="1654"/>
      <c r="G1" s="1654"/>
      <c r="H1" s="1654"/>
      <c r="I1" s="1654"/>
      <c r="J1" s="1654"/>
      <c r="K1" s="1654"/>
      <c r="L1" s="1654"/>
      <c r="M1" s="1654"/>
      <c r="N1" s="1654"/>
      <c r="O1" s="1654"/>
      <c r="P1" s="123"/>
      <c r="Q1" s="123"/>
    </row>
    <row r="2" spans="1:17">
      <c r="A2" s="1654" t="str">
        <f>CASE</f>
        <v>CASE NO. 2017-00321</v>
      </c>
      <c r="B2" s="1654"/>
      <c r="C2" s="1654"/>
      <c r="D2" s="1654"/>
      <c r="E2" s="1654"/>
      <c r="F2" s="1654"/>
      <c r="G2" s="1654"/>
      <c r="H2" s="1654"/>
      <c r="I2" s="1654"/>
      <c r="J2" s="1654"/>
      <c r="K2" s="1654"/>
      <c r="L2" s="1654"/>
      <c r="M2" s="1654"/>
      <c r="N2" s="1654"/>
      <c r="O2" s="1654"/>
      <c r="P2" s="123"/>
      <c r="Q2" s="123"/>
    </row>
    <row r="3" spans="1:17">
      <c r="A3" s="1654" t="s">
        <v>47</v>
      </c>
      <c r="B3" s="1654"/>
      <c r="C3" s="1654"/>
      <c r="D3" s="1654"/>
      <c r="E3" s="1654"/>
      <c r="F3" s="1654"/>
      <c r="G3" s="1654"/>
      <c r="H3" s="1654"/>
      <c r="I3" s="1654"/>
      <c r="J3" s="1654"/>
      <c r="K3" s="1654"/>
      <c r="L3" s="1654"/>
      <c r="M3" s="1654"/>
      <c r="N3" s="1654"/>
      <c r="O3" s="1654"/>
      <c r="P3" s="123"/>
      <c r="Q3" s="123"/>
    </row>
    <row r="4" spans="1:17">
      <c r="A4" s="1654" t="s">
        <v>48</v>
      </c>
      <c r="B4" s="1654"/>
      <c r="C4" s="1654"/>
      <c r="D4" s="1654"/>
      <c r="E4" s="1654"/>
      <c r="F4" s="1654"/>
      <c r="G4" s="1654"/>
      <c r="H4" s="1654"/>
      <c r="I4" s="1654"/>
      <c r="J4" s="1654"/>
      <c r="K4" s="1654"/>
      <c r="L4" s="1654"/>
      <c r="M4" s="1654"/>
      <c r="N4" s="1654"/>
      <c r="O4" s="1654"/>
      <c r="P4" s="123"/>
      <c r="Q4" s="123"/>
    </row>
    <row r="5" spans="1:17">
      <c r="A5" s="1654" t="s">
        <v>49</v>
      </c>
      <c r="B5" s="1654"/>
      <c r="C5" s="1654"/>
      <c r="D5" s="1654"/>
      <c r="E5" s="1654"/>
      <c r="F5" s="1654"/>
      <c r="G5" s="1654"/>
      <c r="H5" s="1654"/>
      <c r="I5" s="1654"/>
      <c r="J5" s="1654"/>
      <c r="K5" s="1654"/>
      <c r="L5" s="1654"/>
      <c r="M5" s="1654"/>
      <c r="N5" s="1654"/>
      <c r="O5" s="1654"/>
      <c r="P5" s="123"/>
      <c r="Q5" s="123"/>
    </row>
    <row r="6" spans="1:17">
      <c r="A6" s="76" t="str">
        <f>"THIRTEEN MONTH AVERAGE AS OF " &amp;RIGHT(Forecast,(LEN(Forecast)-16))</f>
        <v>THIRTEEN MONTH AVERAGE AS OF MARCH 31, 2019</v>
      </c>
      <c r="B6" s="1654"/>
      <c r="C6" s="1654"/>
      <c r="D6" s="1654"/>
      <c r="E6" s="1654"/>
      <c r="F6" s="1654"/>
      <c r="G6" s="1654"/>
      <c r="H6" s="1654"/>
      <c r="I6" s="1654"/>
      <c r="J6" s="1654"/>
      <c r="K6" s="1654"/>
      <c r="L6" s="1654"/>
      <c r="M6" s="1654"/>
      <c r="N6" s="1654"/>
      <c r="O6" s="1654"/>
      <c r="P6" s="123"/>
      <c r="Q6" s="123"/>
    </row>
    <row r="7" spans="1:17">
      <c r="A7" s="1654"/>
      <c r="B7" s="1655"/>
      <c r="C7" s="1655"/>
      <c r="D7" s="1655"/>
      <c r="E7" s="1655"/>
      <c r="F7" s="1655"/>
      <c r="G7" s="1655"/>
      <c r="H7" s="1656"/>
      <c r="I7" s="1656"/>
      <c r="J7" s="1656"/>
      <c r="K7" s="1656"/>
      <c r="L7" s="1656"/>
      <c r="M7" s="1656"/>
      <c r="N7" s="1656"/>
      <c r="O7" s="1656"/>
      <c r="P7" s="123"/>
      <c r="Q7" s="123"/>
    </row>
    <row r="8" spans="1:17">
      <c r="A8" s="1654" t="s">
        <v>333</v>
      </c>
      <c r="B8" s="1654"/>
      <c r="C8" s="1654"/>
      <c r="D8" s="1654"/>
      <c r="E8" s="1654"/>
      <c r="F8" s="1654"/>
      <c r="G8" s="1654"/>
      <c r="H8" s="1654"/>
      <c r="I8" s="1654"/>
      <c r="J8" s="1654"/>
      <c r="K8" s="1654"/>
      <c r="L8" s="1654"/>
      <c r="M8" s="1654"/>
      <c r="N8" s="1654"/>
      <c r="O8" s="1654"/>
      <c r="P8" s="123"/>
      <c r="Q8" s="123"/>
    </row>
    <row r="9" spans="1:17">
      <c r="A9" s="1657" t="s">
        <v>1799</v>
      </c>
      <c r="B9" s="1657"/>
      <c r="C9" s="1657"/>
      <c r="D9" s="1657"/>
      <c r="E9" s="1657"/>
      <c r="F9" s="1657"/>
      <c r="G9" s="1657"/>
      <c r="H9" s="1657"/>
      <c r="I9" s="1657"/>
      <c r="J9" s="1657"/>
      <c r="K9" s="1657"/>
      <c r="L9" s="1657"/>
      <c r="M9" s="1657"/>
      <c r="N9" s="1657"/>
      <c r="O9" s="1657"/>
      <c r="P9" s="123"/>
      <c r="Q9" s="123"/>
    </row>
    <row r="10" spans="1:17">
      <c r="A10" s="123"/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</row>
    <row r="11" spans="1:17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</row>
    <row r="12" spans="1:17">
      <c r="A12" s="121" t="str">
        <f>DataF</f>
        <v>DATA:  BASE PERIOD  "X" FORECASTED PERIOD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658" t="s">
        <v>1324</v>
      </c>
      <c r="N12" s="123"/>
      <c r="O12" s="123"/>
      <c r="P12" s="123"/>
      <c r="Q12" s="123"/>
    </row>
    <row r="13" spans="1:17">
      <c r="A13" s="121" t="str">
        <f>Type</f>
        <v xml:space="preserve">TYPE OF FILING:  "X" ORIGINAL   UPDATED    REVISED  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658" t="s">
        <v>1912</v>
      </c>
      <c r="N13" s="123"/>
      <c r="O13" s="123"/>
      <c r="P13" s="123"/>
      <c r="Q13" s="123"/>
    </row>
    <row r="14" spans="1:17">
      <c r="A14" s="121" t="s">
        <v>1325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658" t="str">
        <f>'SCH B-3'!J12</f>
        <v>WITNESS RESPONSIBLE:</v>
      </c>
      <c r="N14" s="123"/>
      <c r="O14" s="123"/>
      <c r="P14" s="123"/>
      <c r="Q14" s="123"/>
    </row>
    <row r="15" spans="1:17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658" t="str">
        <f>_WIT7</f>
        <v>R. H. PRATT / C. S. LEE</v>
      </c>
      <c r="N15" s="123"/>
      <c r="O15" s="123"/>
      <c r="P15" s="123"/>
      <c r="Q15" s="123"/>
    </row>
    <row r="16" spans="1:17">
      <c r="A16" s="123"/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</row>
    <row r="17" spans="1:17">
      <c r="A17" s="123"/>
      <c r="B17" s="123"/>
      <c r="C17" s="123"/>
      <c r="D17" s="123"/>
      <c r="E17" s="123"/>
      <c r="F17" s="1659"/>
      <c r="G17" s="1659"/>
      <c r="H17" s="1659"/>
      <c r="I17" s="1659"/>
      <c r="J17" s="1659"/>
      <c r="K17" s="1659"/>
      <c r="L17" s="1659"/>
      <c r="M17" s="1659"/>
      <c r="N17" s="1659"/>
      <c r="O17" s="1659"/>
      <c r="P17" s="123"/>
      <c r="Q17" s="123"/>
    </row>
    <row r="18" spans="1:17">
      <c r="A18" s="2724"/>
      <c r="B18" s="2728"/>
      <c r="C18" s="2727"/>
      <c r="D18" s="2724"/>
      <c r="E18" s="2724"/>
      <c r="F18" s="120" t="s">
        <v>911</v>
      </c>
      <c r="G18" s="120"/>
      <c r="H18" s="120"/>
      <c r="I18" s="123"/>
      <c r="J18" s="123"/>
      <c r="K18" s="123"/>
      <c r="L18" s="123"/>
      <c r="M18" s="123"/>
      <c r="N18" s="123"/>
      <c r="O18" s="123"/>
      <c r="P18" s="123"/>
      <c r="Q18" s="123"/>
    </row>
    <row r="19" spans="1:17">
      <c r="A19" s="107"/>
      <c r="B19" s="115" t="s">
        <v>943</v>
      </c>
      <c r="C19" s="115" t="s">
        <v>1750</v>
      </c>
      <c r="D19" s="1650" t="s">
        <v>1165</v>
      </c>
      <c r="E19" s="1650"/>
      <c r="F19" s="2799" t="s">
        <v>1424</v>
      </c>
      <c r="G19" s="2799"/>
      <c r="H19" s="2799"/>
      <c r="I19" s="123"/>
      <c r="J19" s="1645" t="s">
        <v>2995</v>
      </c>
      <c r="K19" s="123"/>
      <c r="L19" s="1645" t="s">
        <v>913</v>
      </c>
      <c r="M19" s="123"/>
      <c r="N19" s="1645" t="s">
        <v>873</v>
      </c>
      <c r="O19" s="123"/>
      <c r="P19" s="123"/>
      <c r="Q19" s="123"/>
    </row>
    <row r="20" spans="1:17">
      <c r="A20" s="1650" t="s">
        <v>1240</v>
      </c>
      <c r="B20" s="1650" t="s">
        <v>1164</v>
      </c>
      <c r="C20" s="1650" t="s">
        <v>1164</v>
      </c>
      <c r="D20" s="1645" t="s">
        <v>914</v>
      </c>
      <c r="E20" s="1645"/>
      <c r="F20" s="1645" t="s">
        <v>1328</v>
      </c>
      <c r="G20" s="1645"/>
      <c r="H20" s="1645" t="s">
        <v>328</v>
      </c>
      <c r="I20" s="123"/>
      <c r="J20" s="1645" t="s">
        <v>915</v>
      </c>
      <c r="K20" s="123"/>
      <c r="L20" s="1645" t="s">
        <v>0</v>
      </c>
      <c r="M20" s="1642" t="s">
        <v>1</v>
      </c>
      <c r="N20" s="1645" t="s">
        <v>2</v>
      </c>
      <c r="O20" s="1645" t="s">
        <v>3</v>
      </c>
      <c r="P20" s="123"/>
      <c r="Q20" s="123"/>
    </row>
    <row r="21" spans="1:17">
      <c r="A21" s="1650" t="s">
        <v>1241</v>
      </c>
      <c r="B21" s="1650" t="s">
        <v>1241</v>
      </c>
      <c r="C21" s="1650" t="s">
        <v>1241</v>
      </c>
      <c r="D21" s="1650" t="s">
        <v>4</v>
      </c>
      <c r="E21" s="1650"/>
      <c r="F21" s="1650" t="s">
        <v>1376</v>
      </c>
      <c r="G21" s="1650"/>
      <c r="H21" s="1645" t="s">
        <v>123</v>
      </c>
      <c r="I21" s="123"/>
      <c r="J21" s="1645" t="s">
        <v>1312</v>
      </c>
      <c r="K21" s="123"/>
      <c r="L21" s="1645" t="s">
        <v>478</v>
      </c>
      <c r="M21" s="1645" t="s">
        <v>5</v>
      </c>
      <c r="N21" s="1645" t="s">
        <v>6</v>
      </c>
      <c r="O21" s="1645" t="s">
        <v>7</v>
      </c>
      <c r="P21" s="123"/>
      <c r="Q21" s="123"/>
    </row>
    <row r="22" spans="1:17">
      <c r="A22" s="1660" t="s">
        <v>296</v>
      </c>
      <c r="B22" s="1660" t="s">
        <v>8</v>
      </c>
      <c r="C22" s="1660" t="s">
        <v>9</v>
      </c>
      <c r="D22" s="1660" t="s">
        <v>303</v>
      </c>
      <c r="E22" s="1660"/>
      <c r="F22" s="1660" t="s">
        <v>944</v>
      </c>
      <c r="G22" s="1661"/>
      <c r="H22" s="1662" t="s">
        <v>1935</v>
      </c>
      <c r="I22" s="1659"/>
      <c r="J22" s="1662" t="s">
        <v>298</v>
      </c>
      <c r="K22" s="1662"/>
      <c r="L22" s="1662" t="s">
        <v>10</v>
      </c>
      <c r="M22" s="1662" t="s">
        <v>11</v>
      </c>
      <c r="N22" s="1662" t="s">
        <v>945</v>
      </c>
      <c r="O22" s="1662" t="s">
        <v>12</v>
      </c>
      <c r="P22" s="123"/>
      <c r="Q22" s="123"/>
    </row>
    <row r="23" spans="1:17">
      <c r="A23" s="2724"/>
      <c r="B23" s="2724"/>
      <c r="C23" s="2724"/>
      <c r="D23" s="2724"/>
      <c r="E23" s="2724"/>
      <c r="F23" s="2731" t="s">
        <v>1705</v>
      </c>
      <c r="G23" s="107"/>
      <c r="H23" s="1645" t="s">
        <v>1705</v>
      </c>
      <c r="I23" s="123"/>
      <c r="J23" s="123"/>
      <c r="K23" s="123"/>
      <c r="L23" s="1645" t="s">
        <v>1705</v>
      </c>
      <c r="M23" s="123"/>
      <c r="N23" s="123"/>
      <c r="O23" s="123"/>
      <c r="P23" s="123"/>
      <c r="Q23" s="123"/>
    </row>
    <row r="24" spans="1:17">
      <c r="A24" s="123"/>
      <c r="B24" s="166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</row>
    <row r="25" spans="1:17">
      <c r="A25" s="1650" t="s">
        <v>1166</v>
      </c>
      <c r="B25" s="1505">
        <v>310</v>
      </c>
      <c r="C25" s="1505">
        <v>3100</v>
      </c>
      <c r="D25" s="1506" t="s">
        <v>849</v>
      </c>
      <c r="E25" s="121"/>
      <c r="F25" s="1514">
        <f>'SCH B-2.1'!I288</f>
        <v>7047301</v>
      </c>
      <c r="G25" s="121"/>
      <c r="H25" s="122">
        <f>'SCH B-3'!K299</f>
        <v>60798</v>
      </c>
      <c r="I25" s="123"/>
      <c r="J25" s="1521">
        <v>0</v>
      </c>
      <c r="K25" s="123"/>
      <c r="L25" s="122">
        <f t="shared" ref="L25:L37" si="0">ROUND(F25*J25,0)</f>
        <v>0</v>
      </c>
      <c r="M25" s="45" t="s">
        <v>13</v>
      </c>
      <c r="N25" s="45"/>
      <c r="O25" s="45"/>
      <c r="P25" s="123"/>
      <c r="Q25" s="123"/>
    </row>
    <row r="26" spans="1:17">
      <c r="A26" s="1650" t="s">
        <v>1167</v>
      </c>
      <c r="B26" s="1505">
        <v>311</v>
      </c>
      <c r="C26" s="1505">
        <v>3110</v>
      </c>
      <c r="D26" s="1506" t="s">
        <v>1170</v>
      </c>
      <c r="E26" s="121"/>
      <c r="F26" s="1514">
        <f>'SCH B-2.1'!I289</f>
        <v>52961753</v>
      </c>
      <c r="G26" s="121"/>
      <c r="H26" s="122">
        <f>'SCH B-3'!K300</f>
        <v>40777710</v>
      </c>
      <c r="I26" s="123"/>
      <c r="J26" s="1521">
        <v>2.5399999999999999E-2</v>
      </c>
      <c r="K26" s="1644"/>
      <c r="L26" s="122">
        <f t="shared" si="0"/>
        <v>1345229</v>
      </c>
      <c r="M26" s="1521">
        <v>-0.17</v>
      </c>
      <c r="N26" s="52">
        <v>100</v>
      </c>
      <c r="O26" s="52" t="s">
        <v>1141</v>
      </c>
      <c r="P26" s="123"/>
      <c r="Q26" s="123"/>
    </row>
    <row r="27" spans="1:17">
      <c r="A27" s="1650" t="s">
        <v>1169</v>
      </c>
      <c r="B27" s="1505">
        <v>311</v>
      </c>
      <c r="C27" s="1505" t="s">
        <v>2291</v>
      </c>
      <c r="D27" s="1506" t="s">
        <v>1170</v>
      </c>
      <c r="E27" s="121"/>
      <c r="F27" s="1514">
        <f>'SCH B-2.1'!I290</f>
        <v>18409562</v>
      </c>
      <c r="G27" s="121"/>
      <c r="H27" s="122">
        <f>'SCH B-3'!K301</f>
        <v>1536868</v>
      </c>
      <c r="I27" s="123"/>
      <c r="J27" s="1521">
        <v>2.5399999999999999E-2</v>
      </c>
      <c r="K27" s="1644"/>
      <c r="L27" s="122">
        <f t="shared" si="0"/>
        <v>467603</v>
      </c>
      <c r="M27" s="1521">
        <v>-0.17</v>
      </c>
      <c r="N27" s="52">
        <v>100</v>
      </c>
      <c r="O27" s="52" t="s">
        <v>1141</v>
      </c>
      <c r="P27" s="123"/>
      <c r="Q27" s="123"/>
    </row>
    <row r="28" spans="1:17">
      <c r="A28" s="1650" t="s">
        <v>1171</v>
      </c>
      <c r="B28" s="1505">
        <v>312</v>
      </c>
      <c r="C28" s="1505">
        <v>3120</v>
      </c>
      <c r="D28" s="1506" t="s">
        <v>334</v>
      </c>
      <c r="E28" s="121"/>
      <c r="F28" s="1514">
        <f>'SCH B-2.1'!I291</f>
        <v>200625191</v>
      </c>
      <c r="G28" s="121"/>
      <c r="H28" s="122">
        <f>'SCH B-3'!K302</f>
        <v>152272188</v>
      </c>
      <c r="I28" s="123"/>
      <c r="J28" s="1521">
        <v>2.5399999999999999E-2</v>
      </c>
      <c r="K28" s="123"/>
      <c r="L28" s="122">
        <f t="shared" si="0"/>
        <v>5095880</v>
      </c>
      <c r="M28" s="1521">
        <v>-0.17</v>
      </c>
      <c r="N28" s="52">
        <v>45</v>
      </c>
      <c r="O28" s="52" t="s">
        <v>1141</v>
      </c>
      <c r="P28" s="123"/>
      <c r="Q28" s="123"/>
    </row>
    <row r="29" spans="1:17">
      <c r="A29" s="1650" t="s">
        <v>977</v>
      </c>
      <c r="B29" s="1505">
        <v>312</v>
      </c>
      <c r="C29" s="1505" t="s">
        <v>2292</v>
      </c>
      <c r="D29" s="1506" t="s">
        <v>334</v>
      </c>
      <c r="E29" s="121"/>
      <c r="F29" s="1514">
        <f>'SCH B-2.1'!I292</f>
        <v>242407848</v>
      </c>
      <c r="G29" s="121"/>
      <c r="H29" s="122">
        <f>'SCH B-3'!K303</f>
        <v>154924925</v>
      </c>
      <c r="I29" s="123"/>
      <c r="J29" s="1521">
        <v>2.5399999999999999E-2</v>
      </c>
      <c r="K29" s="123"/>
      <c r="L29" s="122">
        <f t="shared" si="0"/>
        <v>6157159</v>
      </c>
      <c r="M29" s="1521">
        <v>-0.17</v>
      </c>
      <c r="N29" s="52">
        <v>45</v>
      </c>
      <c r="O29" s="52" t="s">
        <v>1141</v>
      </c>
      <c r="P29" s="123"/>
      <c r="Q29" s="123"/>
    </row>
    <row r="30" spans="1:17">
      <c r="A30" s="1650" t="s">
        <v>1596</v>
      </c>
      <c r="B30" s="1505"/>
      <c r="C30" s="1505"/>
      <c r="D30" s="1506" t="str">
        <f>+'SCH B-2.1'!D293</f>
        <v>Case 2015-120 Acq.of DPL share of East Bend</v>
      </c>
      <c r="E30" s="121"/>
      <c r="F30" s="1514">
        <f>'SCH B-2.1'!I293</f>
        <v>11284211</v>
      </c>
      <c r="G30" s="121"/>
      <c r="H30" s="122">
        <f>'SCH B-3'!K304</f>
        <v>0</v>
      </c>
      <c r="I30" s="123"/>
      <c r="J30" s="1521">
        <v>0</v>
      </c>
      <c r="K30" s="123"/>
      <c r="L30" s="122">
        <f t="shared" si="0"/>
        <v>0</v>
      </c>
      <c r="M30" s="1521"/>
      <c r="N30" s="52"/>
      <c r="O30" s="52"/>
      <c r="P30" s="123"/>
      <c r="Q30" s="123"/>
    </row>
    <row r="31" spans="1:17">
      <c r="A31" s="1650" t="s">
        <v>978</v>
      </c>
      <c r="B31" s="1505">
        <v>312</v>
      </c>
      <c r="C31" s="1505" t="s">
        <v>2293</v>
      </c>
      <c r="D31" s="1506" t="s">
        <v>335</v>
      </c>
      <c r="E31" s="121"/>
      <c r="F31" s="1514">
        <f>'SCH B-2.1'!I294</f>
        <v>5420680</v>
      </c>
      <c r="G31" s="121"/>
      <c r="H31" s="122">
        <f>'SCH B-3'!K305</f>
        <v>3370351</v>
      </c>
      <c r="I31" s="123"/>
      <c r="J31" s="1521">
        <v>5.1299999999999998E-2</v>
      </c>
      <c r="K31" s="1664"/>
      <c r="L31" s="122">
        <f t="shared" si="0"/>
        <v>278081</v>
      </c>
      <c r="M31" s="1521">
        <v>0</v>
      </c>
      <c r="N31" s="52">
        <v>10</v>
      </c>
      <c r="O31" s="52" t="s">
        <v>1140</v>
      </c>
      <c r="P31" s="123"/>
      <c r="Q31" s="123"/>
    </row>
    <row r="32" spans="1:17">
      <c r="A32" s="1650" t="s">
        <v>979</v>
      </c>
      <c r="B32" s="1505">
        <v>314</v>
      </c>
      <c r="C32" s="1505">
        <v>3140</v>
      </c>
      <c r="D32" s="1506" t="s">
        <v>336</v>
      </c>
      <c r="E32" s="121"/>
      <c r="F32" s="1514">
        <f>'SCH B-2.1'!I295</f>
        <v>89138655</v>
      </c>
      <c r="G32" s="121"/>
      <c r="H32" s="122">
        <f>'SCH B-3'!K306</f>
        <v>60584949</v>
      </c>
      <c r="I32" s="123"/>
      <c r="J32" s="1521">
        <v>2.6599999999999999E-2</v>
      </c>
      <c r="K32" s="123"/>
      <c r="L32" s="122">
        <f t="shared" si="0"/>
        <v>2371088</v>
      </c>
      <c r="M32" s="1521">
        <v>-0.17</v>
      </c>
      <c r="N32" s="52">
        <v>40</v>
      </c>
      <c r="O32" s="52" t="s">
        <v>1141</v>
      </c>
      <c r="P32" s="123"/>
      <c r="Q32" s="123"/>
    </row>
    <row r="33" spans="1:17">
      <c r="A33" s="1650" t="s">
        <v>980</v>
      </c>
      <c r="B33" s="1505">
        <v>314</v>
      </c>
      <c r="C33" s="1505" t="s">
        <v>2294</v>
      </c>
      <c r="D33" s="1506" t="s">
        <v>336</v>
      </c>
      <c r="E33" s="121"/>
      <c r="F33" s="1514">
        <f>'SCH B-2.1'!I296</f>
        <v>10590194</v>
      </c>
      <c r="G33" s="121"/>
      <c r="H33" s="122">
        <f>'SCH B-3'!K307</f>
        <v>8408609</v>
      </c>
      <c r="I33" s="123"/>
      <c r="J33" s="1521">
        <v>2.6599999999999999E-2</v>
      </c>
      <c r="K33" s="123"/>
      <c r="L33" s="122">
        <f t="shared" si="0"/>
        <v>281699</v>
      </c>
      <c r="M33" s="1521">
        <v>-0.17</v>
      </c>
      <c r="N33" s="52">
        <v>40</v>
      </c>
      <c r="O33" s="52" t="s">
        <v>1141</v>
      </c>
      <c r="P33" s="123"/>
      <c r="Q33" s="123"/>
    </row>
    <row r="34" spans="1:17">
      <c r="A34" s="1650" t="s">
        <v>850</v>
      </c>
      <c r="B34" s="1505">
        <v>315</v>
      </c>
      <c r="C34" s="1505">
        <v>3150</v>
      </c>
      <c r="D34" s="1506" t="s">
        <v>337</v>
      </c>
      <c r="E34" s="121"/>
      <c r="F34" s="1514">
        <f>'SCH B-2.1'!I297</f>
        <v>29007957</v>
      </c>
      <c r="G34" s="121"/>
      <c r="H34" s="122">
        <f>'SCH B-3'!K308</f>
        <v>21664146</v>
      </c>
      <c r="I34" s="123"/>
      <c r="J34" s="1521">
        <v>2.4299999999999999E-2</v>
      </c>
      <c r="K34" s="123"/>
      <c r="L34" s="122">
        <f t="shared" si="0"/>
        <v>704893</v>
      </c>
      <c r="M34" s="1521">
        <v>-0.17</v>
      </c>
      <c r="N34" s="52">
        <v>55</v>
      </c>
      <c r="O34" s="52" t="s">
        <v>1005</v>
      </c>
      <c r="P34" s="123"/>
      <c r="Q34" s="123"/>
    </row>
    <row r="35" spans="1:17">
      <c r="A35" s="1650" t="s">
        <v>851</v>
      </c>
      <c r="B35" s="1505">
        <v>315</v>
      </c>
      <c r="C35" s="1505" t="s">
        <v>2295</v>
      </c>
      <c r="D35" s="1506" t="s">
        <v>337</v>
      </c>
      <c r="E35" s="121"/>
      <c r="F35" s="1514">
        <f>'SCH B-2.1'!I298</f>
        <v>16979176</v>
      </c>
      <c r="G35" s="121"/>
      <c r="H35" s="122">
        <f>'SCH B-3'!K309</f>
        <v>10122122</v>
      </c>
      <c r="I35" s="123"/>
      <c r="J35" s="1521">
        <v>2.4299999999999999E-2</v>
      </c>
      <c r="K35" s="123"/>
      <c r="L35" s="122">
        <f t="shared" si="0"/>
        <v>412594</v>
      </c>
      <c r="M35" s="1521">
        <v>-0.17</v>
      </c>
      <c r="N35" s="52">
        <v>55</v>
      </c>
      <c r="O35" s="52" t="s">
        <v>1005</v>
      </c>
      <c r="P35" s="123"/>
      <c r="Q35" s="123"/>
    </row>
    <row r="36" spans="1:17">
      <c r="A36" s="1650" t="s">
        <v>852</v>
      </c>
      <c r="B36" s="1505">
        <v>316</v>
      </c>
      <c r="C36" s="1505">
        <v>3160</v>
      </c>
      <c r="D36" s="1506" t="s">
        <v>338</v>
      </c>
      <c r="E36" s="121"/>
      <c r="F36" s="1514">
        <f>'SCH B-2.1'!I299</f>
        <v>14453902</v>
      </c>
      <c r="G36" s="121"/>
      <c r="H36" s="122">
        <f>'SCH B-3'!K310</f>
        <v>8091553</v>
      </c>
      <c r="I36" s="123"/>
      <c r="J36" s="1521">
        <v>3.6400000000000002E-2</v>
      </c>
      <c r="K36" s="123"/>
      <c r="L36" s="122">
        <f t="shared" si="0"/>
        <v>526122</v>
      </c>
      <c r="M36" s="1521">
        <v>-0.17</v>
      </c>
      <c r="N36" s="52">
        <v>45</v>
      </c>
      <c r="O36" s="52" t="s">
        <v>1006</v>
      </c>
      <c r="P36" s="123"/>
      <c r="Q36" s="123"/>
    </row>
    <row r="37" spans="1:17">
      <c r="A37" s="1650" t="s">
        <v>853</v>
      </c>
      <c r="B37" s="1505">
        <v>317</v>
      </c>
      <c r="C37" s="1505" t="s">
        <v>2296</v>
      </c>
      <c r="D37" s="1506" t="s">
        <v>338</v>
      </c>
      <c r="E37" s="121"/>
      <c r="F37" s="1514">
        <f>'SCH B-2.1'!I300</f>
        <v>5796351</v>
      </c>
      <c r="G37" s="121"/>
      <c r="H37" s="122">
        <f>'SCH B-3'!K311</f>
        <v>1556245</v>
      </c>
      <c r="I37" s="123"/>
      <c r="J37" s="1521">
        <v>3.6400000000000002E-2</v>
      </c>
      <c r="K37" s="123"/>
      <c r="L37" s="122">
        <f t="shared" si="0"/>
        <v>210987</v>
      </c>
      <c r="M37" s="1521">
        <v>-0.17</v>
      </c>
      <c r="N37" s="52">
        <v>45</v>
      </c>
      <c r="O37" s="52" t="s">
        <v>1006</v>
      </c>
      <c r="P37" s="123"/>
      <c r="Q37" s="123"/>
    </row>
    <row r="38" spans="1:17">
      <c r="A38" s="1650" t="s">
        <v>854</v>
      </c>
      <c r="B38" s="1505">
        <v>317</v>
      </c>
      <c r="C38" s="1505">
        <v>3170</v>
      </c>
      <c r="D38" s="1506" t="s">
        <v>339</v>
      </c>
      <c r="E38" s="121"/>
      <c r="F38" s="1514">
        <f>'SCH B-2.1'!I301</f>
        <v>0</v>
      </c>
      <c r="G38" s="121"/>
      <c r="H38" s="122">
        <f>'SCH B-3'!K312</f>
        <v>0</v>
      </c>
      <c r="I38" s="123"/>
      <c r="J38" s="1643" t="s">
        <v>1209</v>
      </c>
      <c r="K38" s="123"/>
      <c r="L38" s="122"/>
      <c r="M38" s="1651" t="s">
        <v>275</v>
      </c>
      <c r="N38" s="45"/>
      <c r="O38" s="45"/>
      <c r="P38" s="123"/>
      <c r="Q38" s="123"/>
    </row>
    <row r="39" spans="1:17">
      <c r="A39" s="1650" t="s">
        <v>855</v>
      </c>
      <c r="B39" s="1505"/>
      <c r="C39" s="1505"/>
      <c r="D39" s="1506" t="s">
        <v>1483</v>
      </c>
      <c r="E39" s="121"/>
      <c r="F39" s="1514">
        <f>'SCH B-2.1'!I302</f>
        <v>82239531</v>
      </c>
      <c r="G39" s="121"/>
      <c r="H39" s="122">
        <f>'SCH B-3'!K313</f>
        <v>1190646</v>
      </c>
      <c r="I39" s="123"/>
      <c r="J39" s="1521">
        <v>2.5999999999999999E-2</v>
      </c>
      <c r="K39" s="123"/>
      <c r="L39" s="122">
        <f>ROUND(F39*J39,0)</f>
        <v>2138228</v>
      </c>
      <c r="M39" s="1651"/>
      <c r="N39" s="45"/>
      <c r="O39" s="45"/>
      <c r="P39" s="123"/>
      <c r="Q39" s="123"/>
    </row>
    <row r="40" spans="1:17">
      <c r="A40" s="1650" t="s">
        <v>2904</v>
      </c>
      <c r="B40" s="1505"/>
      <c r="C40" s="1505" t="s">
        <v>3103</v>
      </c>
      <c r="D40" s="1506" t="s">
        <v>1483</v>
      </c>
      <c r="E40" s="121"/>
      <c r="F40" s="1514">
        <f>'SCH B-2.1'!I303</f>
        <v>13268572</v>
      </c>
      <c r="G40" s="121"/>
      <c r="H40" s="122">
        <f>'SCH B-3'!K314</f>
        <v>16965</v>
      </c>
      <c r="I40" s="123"/>
      <c r="J40" s="1521">
        <v>2.5999999999999999E-2</v>
      </c>
      <c r="K40" s="123"/>
      <c r="L40" s="122">
        <f>ROUND(F40*J40,0)</f>
        <v>344983</v>
      </c>
      <c r="M40" s="1651"/>
      <c r="N40" s="45"/>
      <c r="O40" s="45"/>
      <c r="P40" s="123"/>
      <c r="Q40" s="123"/>
    </row>
    <row r="41" spans="1:17">
      <c r="A41" s="1650" t="s">
        <v>2905</v>
      </c>
      <c r="B41" s="1505"/>
      <c r="C41" s="1505">
        <v>108</v>
      </c>
      <c r="D41" s="1506" t="s">
        <v>1329</v>
      </c>
      <c r="E41" s="121"/>
      <c r="F41" s="1514">
        <f>'SCH B-2.1'!I304</f>
        <v>0</v>
      </c>
      <c r="G41" s="121"/>
      <c r="H41" s="122">
        <f>'SCH B-3'!K315</f>
        <v>-13134991</v>
      </c>
      <c r="I41" s="123"/>
      <c r="J41" s="1651"/>
      <c r="K41" s="123"/>
      <c r="L41" s="122">
        <f>ROUND(F41*J41,0)</f>
        <v>0</v>
      </c>
      <c r="M41" s="45"/>
      <c r="N41" s="45"/>
      <c r="O41" s="45"/>
      <c r="P41" s="123"/>
      <c r="Q41" s="123"/>
    </row>
    <row r="42" spans="1:17">
      <c r="A42" s="123"/>
      <c r="B42" s="123"/>
      <c r="C42" s="123"/>
      <c r="D42" s="123"/>
      <c r="E42" s="123"/>
      <c r="F42" s="1659"/>
      <c r="G42" s="1659"/>
      <c r="H42" s="1659"/>
      <c r="I42" s="1659"/>
      <c r="J42" s="1659"/>
      <c r="K42" s="1659"/>
      <c r="L42" s="1665"/>
      <c r="M42" s="1659"/>
      <c r="N42" s="1659"/>
      <c r="O42" s="1659"/>
      <c r="P42" s="123"/>
      <c r="Q42" s="123"/>
    </row>
    <row r="43" spans="1:17">
      <c r="A43" s="2724"/>
      <c r="B43" s="2724"/>
      <c r="C43" s="2724"/>
      <c r="D43" s="2724"/>
      <c r="E43" s="2724"/>
      <c r="F43" s="107"/>
      <c r="G43" s="107"/>
      <c r="H43" s="123"/>
      <c r="I43" s="123"/>
      <c r="J43" s="123"/>
      <c r="K43" s="123"/>
      <c r="L43" s="122"/>
      <c r="M43" s="123"/>
      <c r="N43" s="123"/>
      <c r="O43" s="123"/>
      <c r="P43" s="123"/>
      <c r="Q43" s="123"/>
    </row>
    <row r="44" spans="1:17">
      <c r="A44" s="1650">
        <v>18</v>
      </c>
      <c r="B44" s="123"/>
      <c r="C44" s="123"/>
      <c r="D44" s="121" t="s">
        <v>781</v>
      </c>
      <c r="E44" s="121"/>
      <c r="F44" s="122">
        <f>SUM(F25:F43)</f>
        <v>799630884</v>
      </c>
      <c r="G44" s="121"/>
      <c r="H44" s="122">
        <f>SUM(H25:H43)</f>
        <v>451443084</v>
      </c>
      <c r="I44" s="123"/>
      <c r="J44" s="123"/>
      <c r="K44" s="123"/>
      <c r="L44" s="122">
        <f>SUM(L25:L43)</f>
        <v>20334546</v>
      </c>
      <c r="M44" s="123"/>
      <c r="N44" s="123"/>
      <c r="O44" s="123"/>
      <c r="P44" s="123"/>
      <c r="Q44" s="123"/>
    </row>
    <row r="45" spans="1:17">
      <c r="A45" s="123"/>
      <c r="B45" s="123"/>
      <c r="C45" s="123"/>
      <c r="D45" s="123"/>
      <c r="E45" s="123"/>
      <c r="F45" s="123"/>
      <c r="G45" s="1659"/>
      <c r="H45" s="1659"/>
      <c r="I45" s="1659"/>
      <c r="J45" s="1659"/>
      <c r="K45" s="1659"/>
      <c r="L45" s="1659"/>
      <c r="M45" s="1659"/>
      <c r="N45" s="1659"/>
      <c r="O45" s="1659"/>
      <c r="P45" s="123"/>
      <c r="Q45" s="123"/>
    </row>
    <row r="46" spans="1:17">
      <c r="A46" s="2724"/>
      <c r="B46" s="2724"/>
      <c r="C46" s="2724"/>
      <c r="D46" s="2724"/>
      <c r="E46" s="2724"/>
      <c r="F46" s="2724"/>
      <c r="G46" s="107"/>
      <c r="H46" s="123"/>
      <c r="I46" s="123"/>
      <c r="J46" s="123"/>
      <c r="K46" s="123"/>
      <c r="L46" s="123"/>
      <c r="M46" s="123"/>
      <c r="N46" s="123"/>
      <c r="O46" s="123"/>
      <c r="P46" s="123"/>
      <c r="Q46" s="123"/>
    </row>
    <row r="47" spans="1:17">
      <c r="A47" s="1644" t="s">
        <v>1922</v>
      </c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</row>
    <row r="48" spans="1:17">
      <c r="A48" s="1644"/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</row>
    <row r="49" spans="1:17">
      <c r="A49" s="1644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</row>
    <row r="50" spans="1:17">
      <c r="A50" s="1654" t="str">
        <f>COMPANY</f>
        <v>DUKE ENERGY KENTUCKY, INC.</v>
      </c>
      <c r="B50" s="1654"/>
      <c r="C50" s="1654"/>
      <c r="D50" s="1654"/>
      <c r="E50" s="1654"/>
      <c r="F50" s="1654"/>
      <c r="G50" s="1654"/>
      <c r="H50" s="1654"/>
      <c r="I50" s="1654"/>
      <c r="J50" s="1654"/>
      <c r="K50" s="1654"/>
      <c r="L50" s="1654"/>
      <c r="M50" s="1654"/>
      <c r="N50" s="1654"/>
      <c r="O50" s="1654"/>
      <c r="P50" s="123"/>
      <c r="Q50" s="123"/>
    </row>
    <row r="51" spans="1:17">
      <c r="A51" s="1654" t="str">
        <f>CASE</f>
        <v>CASE NO. 2017-00321</v>
      </c>
      <c r="B51" s="1654"/>
      <c r="C51" s="1654"/>
      <c r="D51" s="1654"/>
      <c r="E51" s="1654"/>
      <c r="F51" s="1654"/>
      <c r="G51" s="1654"/>
      <c r="H51" s="1654"/>
      <c r="I51" s="1654"/>
      <c r="J51" s="1654"/>
      <c r="K51" s="1654"/>
      <c r="L51" s="1654"/>
      <c r="M51" s="1654"/>
      <c r="N51" s="1654"/>
      <c r="O51" s="1654"/>
      <c r="P51" s="123"/>
      <c r="Q51" s="123"/>
    </row>
    <row r="52" spans="1:17">
      <c r="A52" s="1654" t="s">
        <v>47</v>
      </c>
      <c r="B52" s="1654"/>
      <c r="C52" s="1654"/>
      <c r="D52" s="1654"/>
      <c r="E52" s="1654"/>
      <c r="F52" s="1654"/>
      <c r="G52" s="1654"/>
      <c r="H52" s="1654"/>
      <c r="I52" s="1654"/>
      <c r="J52" s="1654"/>
      <c r="K52" s="1654"/>
      <c r="L52" s="1654"/>
      <c r="M52" s="1654"/>
      <c r="N52" s="1654"/>
      <c r="O52" s="1654"/>
      <c r="P52" s="123"/>
      <c r="Q52" s="123"/>
    </row>
    <row r="53" spans="1:17">
      <c r="A53" s="1654" t="s">
        <v>48</v>
      </c>
      <c r="B53" s="1654"/>
      <c r="C53" s="1654"/>
      <c r="D53" s="1654"/>
      <c r="E53" s="1654"/>
      <c r="F53" s="1654"/>
      <c r="G53" s="1654"/>
      <c r="H53" s="1654"/>
      <c r="I53" s="1654"/>
      <c r="J53" s="1654"/>
      <c r="K53" s="1654"/>
      <c r="L53" s="1654"/>
      <c r="M53" s="1654"/>
      <c r="N53" s="1654"/>
      <c r="O53" s="1654"/>
      <c r="P53" s="123"/>
      <c r="Q53" s="123"/>
    </row>
    <row r="54" spans="1:17">
      <c r="A54" s="1654" t="s">
        <v>49</v>
      </c>
      <c r="B54" s="1654"/>
      <c r="C54" s="1654"/>
      <c r="D54" s="1654"/>
      <c r="E54" s="1654"/>
      <c r="F54" s="1654"/>
      <c r="G54" s="1654"/>
      <c r="H54" s="1654"/>
      <c r="I54" s="1654"/>
      <c r="J54" s="1654"/>
      <c r="K54" s="1654"/>
      <c r="L54" s="1654"/>
      <c r="M54" s="1654"/>
      <c r="N54" s="1654"/>
      <c r="O54" s="1654"/>
      <c r="P54" s="123"/>
      <c r="Q54" s="123"/>
    </row>
    <row r="55" spans="1:17">
      <c r="A55" s="76" t="str">
        <f>"THIRTEEN MONTH AVERAGE AS OF " &amp;RIGHT(Forecast,(LEN(Forecast)-16))</f>
        <v>THIRTEEN MONTH AVERAGE AS OF MARCH 31, 2019</v>
      </c>
      <c r="B55" s="1654"/>
      <c r="C55" s="1654"/>
      <c r="D55" s="1654"/>
      <c r="E55" s="1654"/>
      <c r="F55" s="1654"/>
      <c r="G55" s="1654"/>
      <c r="H55" s="1654"/>
      <c r="I55" s="1654"/>
      <c r="J55" s="1654"/>
      <c r="K55" s="1654"/>
      <c r="L55" s="1654"/>
      <c r="M55" s="1654"/>
      <c r="N55" s="1654"/>
      <c r="O55" s="1654"/>
      <c r="P55" s="123"/>
      <c r="Q55" s="123"/>
    </row>
    <row r="56" spans="1:17">
      <c r="A56" s="1654"/>
      <c r="B56" s="1655"/>
      <c r="C56" s="1655"/>
      <c r="D56" s="1655"/>
      <c r="E56" s="1655"/>
      <c r="F56" s="1655"/>
      <c r="G56" s="1655"/>
      <c r="H56" s="1656"/>
      <c r="I56" s="1656"/>
      <c r="J56" s="1656"/>
      <c r="K56" s="1656"/>
      <c r="L56" s="1656"/>
      <c r="M56" s="1656"/>
      <c r="N56" s="1656"/>
      <c r="O56" s="1656"/>
      <c r="P56" s="123"/>
      <c r="Q56" s="123"/>
    </row>
    <row r="57" spans="1:17">
      <c r="A57" s="1654" t="s">
        <v>340</v>
      </c>
      <c r="B57" s="1654"/>
      <c r="C57" s="1654"/>
      <c r="D57" s="1654"/>
      <c r="E57" s="1654"/>
      <c r="F57" s="1654"/>
      <c r="G57" s="1654"/>
      <c r="H57" s="1654"/>
      <c r="I57" s="1654"/>
      <c r="J57" s="1654"/>
      <c r="K57" s="1654"/>
      <c r="L57" s="1654"/>
      <c r="M57" s="1654"/>
      <c r="N57" s="1654"/>
      <c r="O57" s="1654"/>
      <c r="P57" s="123"/>
      <c r="Q57" s="123"/>
    </row>
    <row r="58" spans="1:17">
      <c r="A58" s="1657" t="s">
        <v>1799</v>
      </c>
      <c r="B58" s="1657"/>
      <c r="C58" s="1657"/>
      <c r="D58" s="1657"/>
      <c r="E58" s="1657"/>
      <c r="F58" s="1657"/>
      <c r="G58" s="1657"/>
      <c r="H58" s="1657"/>
      <c r="I58" s="1657"/>
      <c r="J58" s="1657"/>
      <c r="K58" s="1657"/>
      <c r="L58" s="1657"/>
      <c r="M58" s="1657"/>
      <c r="N58" s="1657"/>
      <c r="O58" s="1657"/>
      <c r="P58" s="123"/>
      <c r="Q58" s="123"/>
    </row>
    <row r="59" spans="1:17">
      <c r="A59" s="123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</row>
    <row r="60" spans="1:17">
      <c r="A60" s="123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</row>
    <row r="61" spans="1:17">
      <c r="A61" s="121" t="str">
        <f>DataF</f>
        <v>DATA:  BASE PERIOD  "X" FORECASTED PERIOD</v>
      </c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658" t="s">
        <v>1324</v>
      </c>
      <c r="N61" s="123"/>
      <c r="O61" s="123"/>
      <c r="P61" s="123"/>
      <c r="Q61" s="123"/>
    </row>
    <row r="62" spans="1:17">
      <c r="A62" s="121" t="str">
        <f>Type</f>
        <v xml:space="preserve">TYPE OF FILING:  "X" ORIGINAL   UPDATED    REVISED  </v>
      </c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658" t="s">
        <v>1913</v>
      </c>
      <c r="N62" s="123"/>
      <c r="O62" s="123"/>
      <c r="P62" s="123"/>
      <c r="Q62" s="123"/>
    </row>
    <row r="63" spans="1:17">
      <c r="A63" s="121" t="s">
        <v>1325</v>
      </c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658" t="str">
        <f>M14</f>
        <v>WITNESS RESPONSIBLE:</v>
      </c>
      <c r="N63" s="123"/>
      <c r="O63" s="123"/>
      <c r="P63" s="123"/>
      <c r="Q63" s="123"/>
    </row>
    <row r="64" spans="1:17">
      <c r="A64" s="123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658" t="str">
        <f>_WIT7</f>
        <v>R. H. PRATT / C. S. LEE</v>
      </c>
      <c r="N64" s="123"/>
      <c r="O64" s="123"/>
      <c r="P64" s="123"/>
      <c r="Q64" s="123"/>
    </row>
    <row r="65" spans="1:17">
      <c r="A65" s="123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</row>
    <row r="66" spans="1:17">
      <c r="A66" s="123"/>
      <c r="B66" s="123"/>
      <c r="C66" s="123"/>
      <c r="D66" s="123"/>
      <c r="E66" s="123"/>
      <c r="F66" s="1659"/>
      <c r="G66" s="1659"/>
      <c r="H66" s="1659"/>
      <c r="I66" s="1659"/>
      <c r="J66" s="1659"/>
      <c r="K66" s="1659"/>
      <c r="L66" s="1659"/>
      <c r="M66" s="1659"/>
      <c r="N66" s="1659"/>
      <c r="O66" s="1659"/>
      <c r="P66" s="123"/>
      <c r="Q66" s="123"/>
    </row>
    <row r="67" spans="1:17">
      <c r="A67" s="2724"/>
      <c r="B67" s="2728"/>
      <c r="C67" s="2727"/>
      <c r="D67" s="2724"/>
      <c r="E67" s="2724"/>
      <c r="F67" s="120" t="s">
        <v>911</v>
      </c>
      <c r="G67" s="120"/>
      <c r="H67" s="120"/>
      <c r="I67" s="123"/>
      <c r="J67" s="123"/>
      <c r="K67" s="123"/>
      <c r="L67" s="123"/>
      <c r="M67" s="123"/>
      <c r="N67" s="123"/>
      <c r="O67" s="123"/>
      <c r="P67" s="123"/>
      <c r="Q67" s="123"/>
    </row>
    <row r="68" spans="1:17">
      <c r="A68" s="107"/>
      <c r="B68" s="115" t="s">
        <v>943</v>
      </c>
      <c r="C68" s="115" t="s">
        <v>1750</v>
      </c>
      <c r="D68" s="1650" t="s">
        <v>1165</v>
      </c>
      <c r="E68" s="1650"/>
      <c r="F68" s="2799" t="s">
        <v>1424</v>
      </c>
      <c r="G68" s="2799"/>
      <c r="H68" s="2799"/>
      <c r="I68" s="123"/>
      <c r="J68" s="1645" t="s">
        <v>2995</v>
      </c>
      <c r="K68" s="123"/>
      <c r="L68" s="1645" t="s">
        <v>913</v>
      </c>
      <c r="M68" s="123"/>
      <c r="N68" s="1645" t="s">
        <v>873</v>
      </c>
      <c r="O68" s="123"/>
      <c r="P68" s="123"/>
      <c r="Q68" s="123"/>
    </row>
    <row r="69" spans="1:17">
      <c r="A69" s="1650" t="s">
        <v>1240</v>
      </c>
      <c r="B69" s="1650" t="s">
        <v>1164</v>
      </c>
      <c r="C69" s="1650" t="s">
        <v>1164</v>
      </c>
      <c r="D69" s="1645" t="s">
        <v>914</v>
      </c>
      <c r="E69" s="1645"/>
      <c r="F69" s="1645" t="s">
        <v>1328</v>
      </c>
      <c r="G69" s="1645"/>
      <c r="H69" s="1645" t="s">
        <v>328</v>
      </c>
      <c r="I69" s="123"/>
      <c r="J69" s="1645" t="s">
        <v>915</v>
      </c>
      <c r="K69" s="123"/>
      <c r="L69" s="1645" t="s">
        <v>0</v>
      </c>
      <c r="M69" s="1642" t="s">
        <v>1</v>
      </c>
      <c r="N69" s="1645" t="s">
        <v>2</v>
      </c>
      <c r="O69" s="1645" t="s">
        <v>3</v>
      </c>
      <c r="P69" s="123"/>
      <c r="Q69" s="123"/>
    </row>
    <row r="70" spans="1:17">
      <c r="A70" s="1650" t="s">
        <v>1241</v>
      </c>
      <c r="B70" s="1650" t="s">
        <v>1241</v>
      </c>
      <c r="C70" s="1650" t="s">
        <v>1241</v>
      </c>
      <c r="D70" s="1650" t="s">
        <v>4</v>
      </c>
      <c r="E70" s="1650"/>
      <c r="F70" s="1650" t="s">
        <v>1376</v>
      </c>
      <c r="G70" s="1650"/>
      <c r="H70" s="1645" t="s">
        <v>123</v>
      </c>
      <c r="I70" s="123"/>
      <c r="J70" s="1645" t="s">
        <v>1312</v>
      </c>
      <c r="K70" s="123"/>
      <c r="L70" s="1645" t="s">
        <v>478</v>
      </c>
      <c r="M70" s="1645" t="s">
        <v>5</v>
      </c>
      <c r="N70" s="1645" t="s">
        <v>6</v>
      </c>
      <c r="O70" s="1645" t="s">
        <v>7</v>
      </c>
      <c r="P70" s="123"/>
      <c r="Q70" s="123"/>
    </row>
    <row r="71" spans="1:17">
      <c r="A71" s="1660" t="s">
        <v>296</v>
      </c>
      <c r="B71" s="1660" t="s">
        <v>8</v>
      </c>
      <c r="C71" s="1660" t="s">
        <v>9</v>
      </c>
      <c r="D71" s="1660" t="s">
        <v>303</v>
      </c>
      <c r="E71" s="1660"/>
      <c r="F71" s="1660" t="s">
        <v>944</v>
      </c>
      <c r="G71" s="1661"/>
      <c r="H71" s="1662" t="s">
        <v>1935</v>
      </c>
      <c r="I71" s="1659"/>
      <c r="J71" s="1662" t="s">
        <v>298</v>
      </c>
      <c r="K71" s="1662"/>
      <c r="L71" s="1662" t="s">
        <v>10</v>
      </c>
      <c r="M71" s="1662" t="s">
        <v>11</v>
      </c>
      <c r="N71" s="1662" t="s">
        <v>945</v>
      </c>
      <c r="O71" s="1662" t="s">
        <v>12</v>
      </c>
      <c r="P71" s="123"/>
      <c r="Q71" s="123"/>
    </row>
    <row r="72" spans="1:17">
      <c r="A72" s="2724"/>
      <c r="B72" s="2724"/>
      <c r="C72" s="2724"/>
      <c r="D72" s="2724"/>
      <c r="E72" s="2724"/>
      <c r="F72" s="2731" t="s">
        <v>1705</v>
      </c>
      <c r="G72" s="107"/>
      <c r="H72" s="1645" t="s">
        <v>1705</v>
      </c>
      <c r="I72" s="123"/>
      <c r="J72" s="123"/>
      <c r="K72" s="123"/>
      <c r="L72" s="1645" t="s">
        <v>1705</v>
      </c>
      <c r="M72" s="123"/>
      <c r="N72" s="123"/>
      <c r="O72" s="123"/>
      <c r="P72" s="123"/>
      <c r="Q72" s="123"/>
    </row>
    <row r="73" spans="1:17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</row>
    <row r="74" spans="1:17">
      <c r="A74" s="1650" t="s">
        <v>1166</v>
      </c>
      <c r="B74" s="1505">
        <v>340</v>
      </c>
      <c r="C74" s="1505">
        <v>3400</v>
      </c>
      <c r="D74" s="1506" t="s">
        <v>849</v>
      </c>
      <c r="E74" s="121"/>
      <c r="F74" s="1514">
        <f>'SCH B-2.1'!I332</f>
        <v>2258588</v>
      </c>
      <c r="G74" s="121"/>
      <c r="H74" s="122">
        <f>'SCH B-3'!K345</f>
        <v>0</v>
      </c>
      <c r="I74" s="123"/>
      <c r="J74" s="1521">
        <v>0</v>
      </c>
      <c r="K74" s="123"/>
      <c r="L74" s="122">
        <f t="shared" ref="L74:L86" si="1">ROUND(F74*J74,0)</f>
        <v>0</v>
      </c>
      <c r="M74" s="45" t="s">
        <v>13</v>
      </c>
      <c r="N74" s="45"/>
      <c r="O74" s="45"/>
      <c r="P74" s="123"/>
      <c r="Q74" s="123"/>
    </row>
    <row r="75" spans="1:17">
      <c r="A75" s="1650">
        <v>2</v>
      </c>
      <c r="B75" s="1505">
        <v>340</v>
      </c>
      <c r="C75" s="1505">
        <v>3401</v>
      </c>
      <c r="D75" s="1506" t="s">
        <v>1168</v>
      </c>
      <c r="E75" s="121"/>
      <c r="F75" s="1514">
        <f>'SCH B-2.1'!I333</f>
        <v>651684</v>
      </c>
      <c r="G75" s="121"/>
      <c r="H75" s="122">
        <f>'SCH B-3'!K346</f>
        <v>312535</v>
      </c>
      <c r="I75" s="123"/>
      <c r="J75" s="1521">
        <v>3.7699999999999997E-2</v>
      </c>
      <c r="K75" s="1644"/>
      <c r="L75" s="122">
        <f t="shared" si="1"/>
        <v>24568</v>
      </c>
      <c r="M75" s="1666">
        <v>0</v>
      </c>
      <c r="N75" s="1667">
        <v>40</v>
      </c>
      <c r="O75" s="1667" t="s">
        <v>14</v>
      </c>
      <c r="P75" s="123"/>
      <c r="Q75" s="123"/>
    </row>
    <row r="76" spans="1:17">
      <c r="A76" s="1650">
        <v>3</v>
      </c>
      <c r="B76" s="1505">
        <v>341</v>
      </c>
      <c r="C76" s="1505">
        <v>3410</v>
      </c>
      <c r="D76" s="1506" t="s">
        <v>1170</v>
      </c>
      <c r="E76" s="121"/>
      <c r="F76" s="1514">
        <f>'SCH B-2.1'!I334</f>
        <v>32107779</v>
      </c>
      <c r="G76" s="121"/>
      <c r="H76" s="122">
        <f>'SCH B-3'!K347</f>
        <v>22684580</v>
      </c>
      <c r="I76" s="123"/>
      <c r="J76" s="1521">
        <v>2.53E-2</v>
      </c>
      <c r="K76" s="123"/>
      <c r="L76" s="122">
        <f t="shared" si="1"/>
        <v>812327</v>
      </c>
      <c r="M76" s="1666">
        <v>-0.04</v>
      </c>
      <c r="N76" s="1667">
        <v>60</v>
      </c>
      <c r="O76" s="1667" t="s">
        <v>1923</v>
      </c>
      <c r="P76" s="123"/>
      <c r="Q76" s="123"/>
    </row>
    <row r="77" spans="1:17">
      <c r="A77" s="1650">
        <v>4</v>
      </c>
      <c r="B77" s="1505">
        <v>341</v>
      </c>
      <c r="C77" s="1505">
        <v>3410</v>
      </c>
      <c r="D77" s="1506" t="s">
        <v>3337</v>
      </c>
      <c r="E77" s="121"/>
      <c r="F77" s="1514">
        <f>'SCH B-2.1'!I335</f>
        <v>3958749</v>
      </c>
      <c r="G77" s="121"/>
      <c r="H77" s="122">
        <f>'SCH B-3'!K348</f>
        <v>2207152</v>
      </c>
      <c r="I77" s="123"/>
      <c r="J77" s="1521">
        <v>2.53E-2</v>
      </c>
      <c r="K77" s="123"/>
      <c r="L77" s="122">
        <f t="shared" si="1"/>
        <v>100156</v>
      </c>
      <c r="M77" s="1666">
        <v>-0.04</v>
      </c>
      <c r="N77" s="1667">
        <v>60</v>
      </c>
      <c r="O77" s="1667" t="s">
        <v>1923</v>
      </c>
      <c r="P77" s="123"/>
      <c r="Q77" s="123"/>
    </row>
    <row r="78" spans="1:17">
      <c r="A78" s="1650">
        <v>5</v>
      </c>
      <c r="B78" s="1505">
        <v>342</v>
      </c>
      <c r="C78" s="1505">
        <v>3420</v>
      </c>
      <c r="D78" s="1506" t="s">
        <v>341</v>
      </c>
      <c r="E78" s="121"/>
      <c r="F78" s="1514">
        <f>'SCH B-2.1'!I336</f>
        <v>15706122</v>
      </c>
      <c r="G78" s="121"/>
      <c r="H78" s="122">
        <f>'SCH B-3'!K349</f>
        <v>11867540</v>
      </c>
      <c r="I78" s="123"/>
      <c r="J78" s="1521">
        <v>2.1700000000000001E-2</v>
      </c>
      <c r="K78" s="123"/>
      <c r="L78" s="122">
        <f t="shared" si="1"/>
        <v>340823</v>
      </c>
      <c r="M78" s="1666">
        <v>-0.04</v>
      </c>
      <c r="N78" s="1667">
        <v>55</v>
      </c>
      <c r="O78" s="1667" t="s">
        <v>1140</v>
      </c>
      <c r="P78" s="123"/>
      <c r="Q78" s="123"/>
    </row>
    <row r="79" spans="1:17">
      <c r="A79" s="1650">
        <v>6</v>
      </c>
      <c r="B79" s="1505">
        <v>344</v>
      </c>
      <c r="C79" s="1505">
        <v>3440</v>
      </c>
      <c r="D79" s="1506" t="s">
        <v>1717</v>
      </c>
      <c r="E79" s="121"/>
      <c r="F79" s="1514">
        <f>'SCH B-2.1'!I337</f>
        <v>206269908</v>
      </c>
      <c r="G79" s="121"/>
      <c r="H79" s="122">
        <f>'SCH B-3'!K350</f>
        <v>114439303</v>
      </c>
      <c r="I79" s="123"/>
      <c r="J79" s="1521">
        <v>3.4799999999999998E-2</v>
      </c>
      <c r="K79" s="123"/>
      <c r="L79" s="122">
        <f t="shared" si="1"/>
        <v>7178193</v>
      </c>
      <c r="M79" s="1666">
        <v>-0.04</v>
      </c>
      <c r="N79" s="1667">
        <v>45</v>
      </c>
      <c r="O79" s="1667" t="s">
        <v>1005</v>
      </c>
      <c r="P79" s="123"/>
      <c r="Q79" s="123"/>
    </row>
    <row r="80" spans="1:17">
      <c r="A80" s="1650">
        <v>7</v>
      </c>
      <c r="B80" s="1505">
        <v>344</v>
      </c>
      <c r="C80" s="1505">
        <v>3440</v>
      </c>
      <c r="D80" s="1506" t="s">
        <v>3338</v>
      </c>
      <c r="E80" s="121"/>
      <c r="F80" s="1514">
        <f>'SCH B-2.1'!I338</f>
        <v>10451088</v>
      </c>
      <c r="G80" s="121"/>
      <c r="H80" s="122">
        <f>'SCH B-3'!K351</f>
        <v>7176915</v>
      </c>
      <c r="I80" s="123"/>
      <c r="J80" s="1521">
        <v>3.4799999999999998E-2</v>
      </c>
      <c r="K80" s="123"/>
      <c r="L80" s="122">
        <f t="shared" si="1"/>
        <v>363698</v>
      </c>
      <c r="M80" s="1666">
        <v>-0.04</v>
      </c>
      <c r="N80" s="1667">
        <v>45</v>
      </c>
      <c r="O80" s="1667" t="s">
        <v>1005</v>
      </c>
      <c r="P80" s="123"/>
      <c r="Q80" s="123"/>
    </row>
    <row r="81" spans="1:17">
      <c r="A81" s="1650">
        <v>8</v>
      </c>
      <c r="B81" s="1505">
        <v>344</v>
      </c>
      <c r="C81" s="1505" t="s">
        <v>2707</v>
      </c>
      <c r="D81" s="1506" t="s">
        <v>1717</v>
      </c>
      <c r="E81" s="121"/>
      <c r="F81" s="1514">
        <f>'SCH B-2.1'!I339</f>
        <v>14573894</v>
      </c>
      <c r="G81" s="121"/>
      <c r="H81" s="122">
        <f>'SCH B-3'!K352</f>
        <v>0</v>
      </c>
      <c r="I81" s="123"/>
      <c r="J81" s="1521">
        <v>4.7199999999999999E-2</v>
      </c>
      <c r="K81" s="123"/>
      <c r="L81" s="122">
        <f t="shared" si="1"/>
        <v>687888</v>
      </c>
      <c r="M81" s="1668" t="s">
        <v>1209</v>
      </c>
      <c r="N81" s="1668" t="s">
        <v>1209</v>
      </c>
      <c r="O81" s="1668" t="s">
        <v>1209</v>
      </c>
      <c r="P81" s="123"/>
      <c r="Q81" s="123"/>
    </row>
    <row r="82" spans="1:17">
      <c r="A82" s="1650">
        <v>9</v>
      </c>
      <c r="B82" s="1505">
        <v>345</v>
      </c>
      <c r="C82" s="1505">
        <v>3450</v>
      </c>
      <c r="D82" s="1506" t="s">
        <v>337</v>
      </c>
      <c r="E82" s="121"/>
      <c r="F82" s="1514">
        <f>'SCH B-2.1'!I340</f>
        <v>21204320</v>
      </c>
      <c r="G82" s="121"/>
      <c r="H82" s="122">
        <f>'SCH B-3'!K353</f>
        <v>11315846</v>
      </c>
      <c r="I82" s="123"/>
      <c r="J82" s="1521">
        <v>4.0300000000000002E-2</v>
      </c>
      <c r="K82" s="123"/>
      <c r="L82" s="122">
        <f t="shared" si="1"/>
        <v>854534</v>
      </c>
      <c r="M82" s="1666">
        <v>-0.04</v>
      </c>
      <c r="N82" s="1667">
        <v>40</v>
      </c>
      <c r="O82" s="1667" t="s">
        <v>1005</v>
      </c>
      <c r="P82" s="123"/>
      <c r="Q82" s="123"/>
    </row>
    <row r="83" spans="1:17">
      <c r="A83" s="1650">
        <v>10</v>
      </c>
      <c r="B83" s="1505">
        <v>345</v>
      </c>
      <c r="C83" s="1505">
        <v>3450</v>
      </c>
      <c r="D83" s="1506" t="s">
        <v>3339</v>
      </c>
      <c r="E83" s="121"/>
      <c r="F83" s="1514">
        <f>'SCH B-2.1'!I341</f>
        <v>456133</v>
      </c>
      <c r="G83" s="121"/>
      <c r="H83" s="122">
        <f>'SCH B-3'!K354</f>
        <v>320693</v>
      </c>
      <c r="I83" s="123"/>
      <c r="J83" s="1521">
        <v>4.0300000000000002E-2</v>
      </c>
      <c r="K83" s="123"/>
      <c r="L83" s="122">
        <f t="shared" si="1"/>
        <v>18382</v>
      </c>
      <c r="M83" s="1666">
        <v>-0.04</v>
      </c>
      <c r="N83" s="1667">
        <v>40</v>
      </c>
      <c r="O83" s="1667" t="s">
        <v>1005</v>
      </c>
      <c r="P83" s="123"/>
      <c r="Q83" s="123"/>
    </row>
    <row r="84" spans="1:17">
      <c r="A84" s="1650">
        <v>11</v>
      </c>
      <c r="B84" s="1505">
        <v>346</v>
      </c>
      <c r="C84" s="1505">
        <v>3460</v>
      </c>
      <c r="D84" s="1506" t="s">
        <v>1718</v>
      </c>
      <c r="E84" s="121"/>
      <c r="F84" s="1514">
        <f>'SCH B-2.1'!I342</f>
        <v>4040664</v>
      </c>
      <c r="G84" s="121"/>
      <c r="H84" s="122">
        <f>'SCH B-3'!K355</f>
        <v>2338966</v>
      </c>
      <c r="I84" s="123"/>
      <c r="J84" s="1521">
        <v>4.0099999999999997E-2</v>
      </c>
      <c r="K84" s="123"/>
      <c r="L84" s="122">
        <f t="shared" si="1"/>
        <v>162031</v>
      </c>
      <c r="M84" s="1666">
        <v>-0.04</v>
      </c>
      <c r="N84" s="1667">
        <v>35</v>
      </c>
      <c r="O84" s="1667" t="s">
        <v>1006</v>
      </c>
      <c r="P84" s="123"/>
      <c r="Q84" s="123"/>
    </row>
    <row r="85" spans="1:17">
      <c r="A85" s="1650">
        <v>12</v>
      </c>
      <c r="B85" s="1505">
        <v>346</v>
      </c>
      <c r="C85" s="1505">
        <v>3460</v>
      </c>
      <c r="D85" s="1506" t="s">
        <v>3340</v>
      </c>
      <c r="E85" s="121"/>
      <c r="F85" s="1514">
        <f>'SCH B-2.1'!I343</f>
        <v>601418</v>
      </c>
      <c r="G85" s="121"/>
      <c r="H85" s="122">
        <f>'SCH B-3'!K356</f>
        <v>357508</v>
      </c>
      <c r="I85" s="123"/>
      <c r="J85" s="1521">
        <v>4.0099999999999997E-2</v>
      </c>
      <c r="K85" s="123"/>
      <c r="L85" s="122">
        <f t="shared" si="1"/>
        <v>24117</v>
      </c>
      <c r="M85" s="1666">
        <v>-0.04</v>
      </c>
      <c r="N85" s="1667">
        <v>35</v>
      </c>
      <c r="O85" s="1667" t="s">
        <v>1006</v>
      </c>
      <c r="P85" s="123"/>
      <c r="Q85" s="123"/>
    </row>
    <row r="86" spans="1:17">
      <c r="A86" s="1650">
        <v>13</v>
      </c>
      <c r="B86" s="1505"/>
      <c r="C86" s="1505"/>
      <c r="D86" s="1506" t="s">
        <v>1483</v>
      </c>
      <c r="E86" s="121"/>
      <c r="F86" s="1514">
        <f>'SCH B-2.1'!I344</f>
        <v>21866881</v>
      </c>
      <c r="G86" s="121"/>
      <c r="H86" s="122">
        <f>'SCH B-3'!K357</f>
        <v>182082</v>
      </c>
      <c r="I86" s="123"/>
      <c r="J86" s="1521">
        <v>3.3399999999999999E-2</v>
      </c>
      <c r="K86" s="123"/>
      <c r="L86" s="122">
        <f t="shared" si="1"/>
        <v>730354</v>
      </c>
      <c r="M86" s="45"/>
      <c r="N86" s="45"/>
      <c r="O86" s="52"/>
      <c r="P86" s="123"/>
      <c r="Q86" s="123"/>
    </row>
    <row r="87" spans="1:17">
      <c r="A87" s="1650">
        <v>14</v>
      </c>
      <c r="B87" s="123"/>
      <c r="C87" s="1650">
        <v>108</v>
      </c>
      <c r="D87" s="1506" t="s">
        <v>1329</v>
      </c>
      <c r="E87" s="121"/>
      <c r="F87" s="1514">
        <f>'SCH B-2.1'!I345</f>
        <v>0</v>
      </c>
      <c r="G87" s="121"/>
      <c r="H87" s="122">
        <f>'SCH B-3'!K358</f>
        <v>-3991608</v>
      </c>
      <c r="I87" s="123"/>
      <c r="J87" s="123"/>
      <c r="K87" s="123"/>
      <c r="L87" s="122"/>
      <c r="M87" s="45"/>
      <c r="N87" s="45"/>
      <c r="O87" s="45"/>
      <c r="P87" s="123"/>
      <c r="Q87" s="123"/>
    </row>
    <row r="88" spans="1:17">
      <c r="A88" s="123"/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2"/>
      <c r="M88" s="123"/>
      <c r="N88" s="123"/>
      <c r="O88" s="123"/>
      <c r="P88" s="123"/>
      <c r="Q88" s="123"/>
    </row>
    <row r="89" spans="1:17">
      <c r="A89" s="123"/>
      <c r="B89" s="123"/>
      <c r="C89" s="123"/>
      <c r="D89" s="123"/>
      <c r="E89" s="123"/>
      <c r="F89" s="1659"/>
      <c r="G89" s="1659"/>
      <c r="H89" s="1659"/>
      <c r="I89" s="1659"/>
      <c r="J89" s="1659"/>
      <c r="K89" s="1659"/>
      <c r="L89" s="1665"/>
      <c r="M89" s="1659"/>
      <c r="N89" s="1659"/>
      <c r="O89" s="1659"/>
      <c r="P89" s="123"/>
      <c r="Q89" s="123"/>
    </row>
    <row r="90" spans="1:17">
      <c r="A90" s="2724"/>
      <c r="B90" s="2724"/>
      <c r="C90" s="2724"/>
      <c r="D90" s="2724"/>
      <c r="E90" s="2724"/>
      <c r="F90" s="107"/>
      <c r="G90" s="107"/>
      <c r="H90" s="123"/>
      <c r="I90" s="123"/>
      <c r="J90" s="123"/>
      <c r="K90" s="123"/>
      <c r="L90" s="122"/>
      <c r="M90" s="123"/>
      <c r="N90" s="123"/>
      <c r="O90" s="123"/>
      <c r="P90" s="123"/>
      <c r="Q90" s="123"/>
    </row>
    <row r="91" spans="1:17">
      <c r="A91" s="1650">
        <v>15</v>
      </c>
      <c r="B91" s="123"/>
      <c r="C91" s="123"/>
      <c r="D91" s="121" t="s">
        <v>782</v>
      </c>
      <c r="E91" s="121"/>
      <c r="F91" s="122">
        <f>SUM(F74:F90)</f>
        <v>334147228</v>
      </c>
      <c r="G91" s="121"/>
      <c r="H91" s="122">
        <f>SUM(H74:H90)</f>
        <v>169211512</v>
      </c>
      <c r="I91" s="123"/>
      <c r="J91" s="123"/>
      <c r="K91" s="123"/>
      <c r="L91" s="122">
        <f>SUM(L74:L90)</f>
        <v>11297071</v>
      </c>
      <c r="M91" s="123"/>
      <c r="N91" s="123"/>
      <c r="O91" s="123"/>
      <c r="P91" s="123"/>
      <c r="Q91" s="123"/>
    </row>
    <row r="92" spans="1:17">
      <c r="A92" s="123"/>
      <c r="B92" s="123"/>
      <c r="C92" s="123"/>
      <c r="D92" s="123"/>
      <c r="E92" s="123"/>
      <c r="F92" s="123"/>
      <c r="G92" s="1659"/>
      <c r="H92" s="1659"/>
      <c r="I92" s="1659"/>
      <c r="J92" s="1659"/>
      <c r="K92" s="1659"/>
      <c r="L92" s="1659"/>
      <c r="M92" s="1659"/>
      <c r="N92" s="1659"/>
      <c r="O92" s="1659"/>
      <c r="P92" s="123"/>
      <c r="Q92" s="123"/>
    </row>
    <row r="93" spans="1:17">
      <c r="A93" s="2724"/>
      <c r="B93" s="2724"/>
      <c r="C93" s="2724"/>
      <c r="D93" s="2724"/>
      <c r="E93" s="2724"/>
      <c r="F93" s="2724"/>
      <c r="G93" s="107"/>
      <c r="H93" s="123"/>
      <c r="I93" s="123"/>
      <c r="J93" s="123"/>
      <c r="K93" s="123"/>
      <c r="L93" s="123"/>
      <c r="M93" s="123"/>
      <c r="N93" s="123"/>
      <c r="O93" s="123"/>
      <c r="P93" s="123"/>
      <c r="Q93" s="123"/>
    </row>
    <row r="94" spans="1:17">
      <c r="A94" s="1644" t="s">
        <v>1922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</row>
    <row r="95" spans="1:17">
      <c r="A95" s="1644"/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</row>
    <row r="96" spans="1:17">
      <c r="A96" s="1644"/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</row>
    <row r="97" spans="1:17">
      <c r="A97" s="123"/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</row>
    <row r="98" spans="1:17">
      <c r="A98" s="1654" t="str">
        <f>COMPANY</f>
        <v>DUKE ENERGY KENTUCKY, INC.</v>
      </c>
      <c r="B98" s="1655"/>
      <c r="C98" s="1655"/>
      <c r="D98" s="1655"/>
      <c r="E98" s="1655"/>
      <c r="F98" s="1655"/>
      <c r="G98" s="1655"/>
      <c r="H98" s="1655"/>
      <c r="I98" s="1655"/>
      <c r="J98" s="1655"/>
      <c r="K98" s="1655"/>
      <c r="L98" s="1655"/>
      <c r="M98" s="1655"/>
      <c r="N98" s="1655"/>
      <c r="O98" s="1655"/>
      <c r="P98" s="123"/>
      <c r="Q98" s="123"/>
    </row>
    <row r="99" spans="1:17">
      <c r="A99" s="1654" t="str">
        <f>CASE</f>
        <v>CASE NO. 2017-00321</v>
      </c>
      <c r="B99" s="1655"/>
      <c r="C99" s="1655"/>
      <c r="D99" s="1655"/>
      <c r="E99" s="1655"/>
      <c r="F99" s="1655"/>
      <c r="G99" s="1655"/>
      <c r="H99" s="1655"/>
      <c r="I99" s="1655"/>
      <c r="J99" s="1655"/>
      <c r="K99" s="1655"/>
      <c r="L99" s="1655"/>
      <c r="M99" s="1655"/>
      <c r="N99" s="1655"/>
      <c r="O99" s="1655"/>
      <c r="P99" s="123"/>
      <c r="Q99" s="123"/>
    </row>
    <row r="100" spans="1:17">
      <c r="A100" s="1654" t="s">
        <v>47</v>
      </c>
      <c r="B100" s="1655"/>
      <c r="C100" s="1655"/>
      <c r="D100" s="1655"/>
      <c r="E100" s="1655"/>
      <c r="F100" s="1655"/>
      <c r="G100" s="1655"/>
      <c r="H100" s="1655"/>
      <c r="I100" s="1655"/>
      <c r="J100" s="1655"/>
      <c r="K100" s="1655"/>
      <c r="L100" s="1655"/>
      <c r="M100" s="1655"/>
      <c r="N100" s="1655"/>
      <c r="O100" s="1655"/>
      <c r="P100" s="123"/>
      <c r="Q100" s="123"/>
    </row>
    <row r="101" spans="1:17">
      <c r="A101" s="1654" t="s">
        <v>48</v>
      </c>
      <c r="B101" s="1655"/>
      <c r="C101" s="1655"/>
      <c r="D101" s="1655"/>
      <c r="E101" s="1655"/>
      <c r="F101" s="1655"/>
      <c r="G101" s="1655"/>
      <c r="H101" s="1655"/>
      <c r="I101" s="1655"/>
      <c r="J101" s="1655"/>
      <c r="K101" s="1655"/>
      <c r="L101" s="1655"/>
      <c r="M101" s="1655"/>
      <c r="N101" s="1655"/>
      <c r="O101" s="1655"/>
      <c r="P101" s="123"/>
      <c r="Q101" s="123"/>
    </row>
    <row r="102" spans="1:17">
      <c r="A102" s="1654" t="s">
        <v>49</v>
      </c>
      <c r="B102" s="1655"/>
      <c r="C102" s="1655"/>
      <c r="D102" s="1655"/>
      <c r="E102" s="1655"/>
      <c r="F102" s="1655"/>
      <c r="G102" s="1655"/>
      <c r="H102" s="1655"/>
      <c r="I102" s="1655"/>
      <c r="J102" s="1655"/>
      <c r="K102" s="1655"/>
      <c r="L102" s="1655"/>
      <c r="M102" s="1655"/>
      <c r="N102" s="1655"/>
      <c r="O102" s="1655"/>
      <c r="P102" s="123"/>
      <c r="Q102" s="123"/>
    </row>
    <row r="103" spans="1:17">
      <c r="A103" s="76" t="str">
        <f>"THIRTEEN MONTH AVERAGE AS OF " &amp;RIGHT(Forecast,(LEN(Forecast)-16))</f>
        <v>THIRTEEN MONTH AVERAGE AS OF MARCH 31, 2019</v>
      </c>
      <c r="B103" s="1655"/>
      <c r="C103" s="1655"/>
      <c r="D103" s="1655"/>
      <c r="E103" s="1655"/>
      <c r="F103" s="1655"/>
      <c r="G103" s="1655"/>
      <c r="H103" s="1655"/>
      <c r="I103" s="1655"/>
      <c r="J103" s="1655"/>
      <c r="K103" s="1655"/>
      <c r="L103" s="1655"/>
      <c r="M103" s="1655"/>
      <c r="N103" s="1655"/>
      <c r="O103" s="1655"/>
      <c r="P103" s="123"/>
      <c r="Q103" s="123"/>
    </row>
    <row r="104" spans="1:17">
      <c r="A104" s="1655"/>
      <c r="B104" s="1655"/>
      <c r="C104" s="1655"/>
      <c r="D104" s="1655"/>
      <c r="E104" s="1655"/>
      <c r="F104" s="1655"/>
      <c r="G104" s="1655"/>
      <c r="H104" s="1656"/>
      <c r="I104" s="1656"/>
      <c r="J104" s="1656"/>
      <c r="K104" s="1656"/>
      <c r="L104" s="1656"/>
      <c r="M104" s="1656"/>
      <c r="N104" s="1656"/>
      <c r="O104" s="1656"/>
      <c r="P104" s="123"/>
      <c r="Q104" s="123"/>
    </row>
    <row r="105" spans="1:17">
      <c r="A105" s="1654" t="s">
        <v>1447</v>
      </c>
      <c r="B105" s="1654"/>
      <c r="C105" s="1654"/>
      <c r="D105" s="1654"/>
      <c r="E105" s="1654"/>
      <c r="F105" s="1654"/>
      <c r="G105" s="1654"/>
      <c r="H105" s="1654"/>
      <c r="I105" s="1654"/>
      <c r="J105" s="1654"/>
      <c r="K105" s="1654"/>
      <c r="L105" s="1654"/>
      <c r="M105" s="1654"/>
      <c r="N105" s="1654"/>
      <c r="O105" s="1654"/>
      <c r="P105" s="123"/>
      <c r="Q105" s="123"/>
    </row>
    <row r="106" spans="1:17">
      <c r="A106" s="1657" t="s">
        <v>1799</v>
      </c>
      <c r="B106" s="1657"/>
      <c r="C106" s="1657"/>
      <c r="D106" s="1657"/>
      <c r="E106" s="1657"/>
      <c r="F106" s="1657"/>
      <c r="G106" s="1657"/>
      <c r="H106" s="1657"/>
      <c r="I106" s="1657"/>
      <c r="J106" s="1657"/>
      <c r="K106" s="1657"/>
      <c r="L106" s="1657"/>
      <c r="M106" s="1657"/>
      <c r="N106" s="1657"/>
      <c r="O106" s="1657"/>
      <c r="P106" s="123"/>
      <c r="Q106" s="123"/>
    </row>
    <row r="107" spans="1:17">
      <c r="A107" s="1656"/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</row>
    <row r="108" spans="1:17">
      <c r="A108" s="1656"/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</row>
    <row r="109" spans="1:17">
      <c r="A109" s="121" t="str">
        <f>DataF</f>
        <v>DATA:  BASE PERIOD  "X" FORECASTED PERIOD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658" t="s">
        <v>1324</v>
      </c>
      <c r="N109" s="123"/>
      <c r="O109" s="123"/>
      <c r="P109" s="123"/>
      <c r="Q109" s="123"/>
    </row>
    <row r="110" spans="1:17">
      <c r="A110" s="121" t="str">
        <f>Type</f>
        <v xml:space="preserve">TYPE OF FILING:  "X" ORIGINAL   UPDATED    REVISED  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658" t="s">
        <v>1914</v>
      </c>
      <c r="N110" s="123"/>
      <c r="O110" s="123"/>
      <c r="P110" s="123"/>
      <c r="Q110" s="123"/>
    </row>
    <row r="111" spans="1:17">
      <c r="A111" s="121" t="s">
        <v>1325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658" t="str">
        <f>M14</f>
        <v>WITNESS RESPONSIBLE:</v>
      </c>
      <c r="N111" s="123"/>
      <c r="O111" s="123"/>
      <c r="P111" s="123"/>
      <c r="Q111" s="123"/>
    </row>
    <row r="112" spans="1:17">
      <c r="A112" s="123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658" t="str">
        <f>_WIT7</f>
        <v>R. H. PRATT / C. S. LEE</v>
      </c>
      <c r="N112" s="123"/>
      <c r="O112" s="123"/>
      <c r="P112" s="123"/>
      <c r="Q112" s="123"/>
    </row>
    <row r="113" spans="1:17">
      <c r="A113" s="123"/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</row>
    <row r="114" spans="1:17">
      <c r="A114" s="123"/>
      <c r="B114" s="123"/>
      <c r="C114" s="123"/>
      <c r="D114" s="123"/>
      <c r="E114" s="123"/>
      <c r="F114" s="1659"/>
      <c r="G114" s="1659"/>
      <c r="H114" s="1659"/>
      <c r="I114" s="1659"/>
      <c r="J114" s="1659"/>
      <c r="K114" s="1659"/>
      <c r="L114" s="1659"/>
      <c r="M114" s="1659"/>
      <c r="N114" s="1659"/>
      <c r="O114" s="1659"/>
      <c r="P114" s="123"/>
      <c r="Q114" s="123"/>
    </row>
    <row r="115" spans="1:17">
      <c r="A115" s="2724"/>
      <c r="B115" s="2728"/>
      <c r="C115" s="2727"/>
      <c r="D115" s="2724"/>
      <c r="E115" s="2724"/>
      <c r="F115" s="120" t="s">
        <v>911</v>
      </c>
      <c r="G115" s="120"/>
      <c r="H115" s="120"/>
      <c r="I115" s="123"/>
      <c r="J115" s="123"/>
      <c r="K115" s="123"/>
      <c r="L115" s="123"/>
      <c r="M115" s="123"/>
      <c r="N115" s="123"/>
      <c r="O115" s="123"/>
      <c r="P115" s="123"/>
      <c r="Q115" s="123"/>
    </row>
    <row r="116" spans="1:17">
      <c r="A116" s="107"/>
      <c r="B116" s="115" t="s">
        <v>943</v>
      </c>
      <c r="C116" s="115" t="s">
        <v>1750</v>
      </c>
      <c r="D116" s="1650" t="s">
        <v>1165</v>
      </c>
      <c r="E116" s="1650"/>
      <c r="F116" s="2799" t="s">
        <v>1424</v>
      </c>
      <c r="G116" s="2799"/>
      <c r="H116" s="2799"/>
      <c r="I116" s="123"/>
      <c r="J116" s="1645" t="s">
        <v>2995</v>
      </c>
      <c r="K116" s="123"/>
      <c r="L116" s="1645" t="s">
        <v>913</v>
      </c>
      <c r="M116" s="123"/>
      <c r="N116" s="1645" t="s">
        <v>873</v>
      </c>
      <c r="O116" s="123"/>
      <c r="P116" s="123"/>
      <c r="Q116" s="123"/>
    </row>
    <row r="117" spans="1:17">
      <c r="A117" s="1650" t="s">
        <v>1240</v>
      </c>
      <c r="B117" s="1650" t="s">
        <v>1164</v>
      </c>
      <c r="C117" s="1650" t="s">
        <v>1164</v>
      </c>
      <c r="D117" s="1645" t="s">
        <v>914</v>
      </c>
      <c r="E117" s="1645"/>
      <c r="F117" s="1645" t="s">
        <v>1328</v>
      </c>
      <c r="G117" s="1645"/>
      <c r="H117" s="1645" t="s">
        <v>328</v>
      </c>
      <c r="I117" s="123"/>
      <c r="J117" s="1645" t="s">
        <v>915</v>
      </c>
      <c r="K117" s="123"/>
      <c r="L117" s="1645" t="s">
        <v>0</v>
      </c>
      <c r="M117" s="1642" t="s">
        <v>1</v>
      </c>
      <c r="N117" s="1645" t="s">
        <v>2</v>
      </c>
      <c r="O117" s="1645" t="s">
        <v>3</v>
      </c>
      <c r="P117" s="123"/>
      <c r="Q117" s="123"/>
    </row>
    <row r="118" spans="1:17">
      <c r="A118" s="1650" t="s">
        <v>1241</v>
      </c>
      <c r="B118" s="1650" t="s">
        <v>1241</v>
      </c>
      <c r="C118" s="1650" t="s">
        <v>1241</v>
      </c>
      <c r="D118" s="1650" t="s">
        <v>4</v>
      </c>
      <c r="E118" s="1650"/>
      <c r="F118" s="1650" t="s">
        <v>1376</v>
      </c>
      <c r="G118" s="1650"/>
      <c r="H118" s="1645" t="s">
        <v>123</v>
      </c>
      <c r="I118" s="123"/>
      <c r="J118" s="1645" t="s">
        <v>1312</v>
      </c>
      <c r="K118" s="123"/>
      <c r="L118" s="1645" t="s">
        <v>478</v>
      </c>
      <c r="M118" s="1645" t="s">
        <v>5</v>
      </c>
      <c r="N118" s="1645" t="s">
        <v>6</v>
      </c>
      <c r="O118" s="1645" t="s">
        <v>7</v>
      </c>
      <c r="P118" s="123"/>
      <c r="Q118" s="123"/>
    </row>
    <row r="119" spans="1:17">
      <c r="A119" s="1661" t="s">
        <v>296</v>
      </c>
      <c r="B119" s="1661" t="s">
        <v>8</v>
      </c>
      <c r="C119" s="1661" t="s">
        <v>9</v>
      </c>
      <c r="D119" s="1661" t="s">
        <v>303</v>
      </c>
      <c r="E119" s="1661"/>
      <c r="F119" s="1661" t="s">
        <v>944</v>
      </c>
      <c r="G119" s="1661"/>
      <c r="H119" s="1662" t="s">
        <v>1935</v>
      </c>
      <c r="I119" s="1659"/>
      <c r="J119" s="1662" t="s">
        <v>298</v>
      </c>
      <c r="K119" s="1662"/>
      <c r="L119" s="1662" t="s">
        <v>10</v>
      </c>
      <c r="M119" s="1662" t="s">
        <v>11</v>
      </c>
      <c r="N119" s="1662" t="s">
        <v>945</v>
      </c>
      <c r="O119" s="1662" t="s">
        <v>12</v>
      </c>
      <c r="P119" s="123"/>
      <c r="Q119" s="123"/>
    </row>
    <row r="120" spans="1:17">
      <c r="A120" s="1650" t="s">
        <v>529</v>
      </c>
      <c r="B120" s="123"/>
      <c r="C120" s="123"/>
      <c r="D120" s="123"/>
      <c r="E120" s="123"/>
      <c r="F120" s="1645" t="s">
        <v>1705</v>
      </c>
      <c r="G120" s="123"/>
      <c r="H120" s="1645" t="s">
        <v>1705</v>
      </c>
      <c r="I120" s="123"/>
      <c r="J120" s="123"/>
      <c r="K120" s="123"/>
      <c r="L120" s="1645" t="s">
        <v>1705</v>
      </c>
      <c r="M120" s="123"/>
      <c r="N120" s="123"/>
      <c r="O120" s="123"/>
      <c r="P120" s="123"/>
      <c r="Q120" s="123"/>
    </row>
    <row r="121" spans="1:17">
      <c r="A121" s="1650"/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</row>
    <row r="122" spans="1:17">
      <c r="A122" s="1650">
        <v>1</v>
      </c>
      <c r="B122" s="321">
        <v>350</v>
      </c>
      <c r="C122" s="321">
        <v>3500</v>
      </c>
      <c r="D122" s="315" t="s">
        <v>1595</v>
      </c>
      <c r="E122" s="121"/>
      <c r="F122" s="1514">
        <f>'SCH B-2.1'!I373</f>
        <v>246667</v>
      </c>
      <c r="G122" s="121"/>
      <c r="H122" s="122">
        <f>'SCH B-3'!G386</f>
        <v>0</v>
      </c>
      <c r="I122" s="123"/>
      <c r="J122" s="1519">
        <v>0</v>
      </c>
      <c r="K122" s="123"/>
      <c r="L122" s="122">
        <v>0</v>
      </c>
      <c r="M122" s="45" t="s">
        <v>13</v>
      </c>
      <c r="N122" s="45"/>
      <c r="O122" s="45"/>
      <c r="P122" s="123"/>
      <c r="Q122" s="123"/>
    </row>
    <row r="123" spans="1:17">
      <c r="A123" s="1650">
        <v>2</v>
      </c>
      <c r="B123" s="321">
        <v>350</v>
      </c>
      <c r="C123" s="321">
        <v>3501</v>
      </c>
      <c r="D123" s="315" t="s">
        <v>1168</v>
      </c>
      <c r="E123" s="121"/>
      <c r="F123" s="1514">
        <f>'SCH B-2.1'!I374</f>
        <v>1092199</v>
      </c>
      <c r="G123" s="121"/>
      <c r="H123" s="122">
        <f>'SCH B-3'!G387</f>
        <v>672455</v>
      </c>
      <c r="I123" s="123"/>
      <c r="J123" s="1519">
        <v>1.3899999999999999E-2</v>
      </c>
      <c r="K123" s="123"/>
      <c r="L123" s="122">
        <f t="shared" ref="L123:L133" si="2">ROUND(F123*J123,0)</f>
        <v>15182</v>
      </c>
      <c r="M123" s="1521">
        <v>0</v>
      </c>
      <c r="N123" s="1670">
        <v>65</v>
      </c>
      <c r="O123" s="1670" t="s">
        <v>1923</v>
      </c>
      <c r="P123" s="123"/>
      <c r="Q123" s="123"/>
    </row>
    <row r="124" spans="1:17">
      <c r="A124" s="1650">
        <v>3</v>
      </c>
      <c r="B124" s="321">
        <v>352</v>
      </c>
      <c r="C124" s="321">
        <v>3520</v>
      </c>
      <c r="D124" s="315" t="s">
        <v>1170</v>
      </c>
      <c r="E124" s="121"/>
      <c r="F124" s="1514">
        <f>'SCH B-2.1'!I375</f>
        <v>1454732</v>
      </c>
      <c r="G124" s="121"/>
      <c r="H124" s="122">
        <f>'SCH B-3'!G388</f>
        <v>222524</v>
      </c>
      <c r="I124" s="123"/>
      <c r="J124" s="1519">
        <v>2.35E-2</v>
      </c>
      <c r="K124" s="123"/>
      <c r="L124" s="122">
        <f t="shared" si="2"/>
        <v>34186</v>
      </c>
      <c r="M124" s="1521">
        <v>-0.1</v>
      </c>
      <c r="N124" s="1670">
        <v>65</v>
      </c>
      <c r="O124" s="1520" t="s">
        <v>1924</v>
      </c>
      <c r="P124" s="123"/>
      <c r="Q124" s="123"/>
    </row>
    <row r="125" spans="1:17">
      <c r="A125" s="1650">
        <v>4</v>
      </c>
      <c r="B125" s="321">
        <v>353</v>
      </c>
      <c r="C125" s="321">
        <v>3530</v>
      </c>
      <c r="D125" s="315" t="s">
        <v>1721</v>
      </c>
      <c r="E125" s="121"/>
      <c r="F125" s="1514">
        <f>'SCH B-2.1'!I376</f>
        <v>17084779</v>
      </c>
      <c r="G125" s="121"/>
      <c r="H125" s="122">
        <f>'SCH B-3'!G389</f>
        <v>4850127</v>
      </c>
      <c r="I125" s="123"/>
      <c r="J125" s="1519">
        <v>2.7900000000000001E-2</v>
      </c>
      <c r="K125" s="123"/>
      <c r="L125" s="122">
        <f t="shared" si="2"/>
        <v>476665</v>
      </c>
      <c r="M125" s="1521">
        <v>-0.15</v>
      </c>
      <c r="N125" s="1520">
        <v>50</v>
      </c>
      <c r="O125" s="1520" t="s">
        <v>1005</v>
      </c>
      <c r="P125" s="123"/>
      <c r="Q125" s="123"/>
    </row>
    <row r="126" spans="1:17">
      <c r="A126" s="1650">
        <v>5</v>
      </c>
      <c r="B126" s="321">
        <v>353</v>
      </c>
      <c r="C126" s="321">
        <v>3531</v>
      </c>
      <c r="D126" s="315" t="s">
        <v>2926</v>
      </c>
      <c r="E126" s="121"/>
      <c r="F126" s="1514">
        <f>'SCH B-2.1'!I377</f>
        <v>9373634</v>
      </c>
      <c r="G126" s="121"/>
      <c r="H126" s="122">
        <f>'SCH B-3'!G390</f>
        <v>4078780</v>
      </c>
      <c r="I126" s="123"/>
      <c r="J126" s="1519">
        <v>2.3599999999999999E-2</v>
      </c>
      <c r="K126" s="123"/>
      <c r="L126" s="122">
        <f t="shared" si="2"/>
        <v>221218</v>
      </c>
      <c r="M126" s="1521">
        <v>0</v>
      </c>
      <c r="N126" s="1520">
        <v>50</v>
      </c>
      <c r="O126" s="1520" t="s">
        <v>1924</v>
      </c>
      <c r="P126" s="123"/>
      <c r="Q126" s="123"/>
    </row>
    <row r="127" spans="1:17">
      <c r="A127" s="1650">
        <v>6</v>
      </c>
      <c r="B127" s="321">
        <v>353</v>
      </c>
      <c r="C127" s="321">
        <v>3532</v>
      </c>
      <c r="D127" s="315" t="s">
        <v>2927</v>
      </c>
      <c r="E127" s="121"/>
      <c r="F127" s="1514">
        <f>'SCH B-2.1'!I378</f>
        <v>5891325</v>
      </c>
      <c r="G127" s="121"/>
      <c r="H127" s="122">
        <f>'SCH B-3'!G391</f>
        <v>1868091</v>
      </c>
      <c r="I127" s="123"/>
      <c r="J127" s="1519">
        <v>2.1000000000000001E-2</v>
      </c>
      <c r="K127" s="123"/>
      <c r="L127" s="122">
        <f t="shared" si="2"/>
        <v>123718</v>
      </c>
      <c r="M127" s="1521">
        <v>-0.1</v>
      </c>
      <c r="N127" s="1520">
        <v>60</v>
      </c>
      <c r="O127" s="1520" t="s">
        <v>1924</v>
      </c>
      <c r="P127" s="123"/>
      <c r="Q127" s="123"/>
    </row>
    <row r="128" spans="1:17">
      <c r="A128" s="1650">
        <v>7</v>
      </c>
      <c r="B128" s="321">
        <v>353</v>
      </c>
      <c r="C128" s="321">
        <v>3534</v>
      </c>
      <c r="D128" s="315" t="s">
        <v>2928</v>
      </c>
      <c r="E128" s="121"/>
      <c r="F128" s="1514">
        <f>'SCH B-2.1'!I379</f>
        <v>7057290</v>
      </c>
      <c r="G128" s="121"/>
      <c r="H128" s="122">
        <f>'SCH B-3'!G392</f>
        <v>1010005</v>
      </c>
      <c r="I128" s="123"/>
      <c r="J128" s="1519">
        <v>4.9000000000000002E-2</v>
      </c>
      <c r="K128" s="123"/>
      <c r="L128" s="122">
        <f t="shared" si="2"/>
        <v>345807</v>
      </c>
      <c r="M128" s="1521">
        <v>0</v>
      </c>
      <c r="N128" s="1520">
        <v>30</v>
      </c>
      <c r="O128" s="1520" t="s">
        <v>1924</v>
      </c>
      <c r="P128" s="123"/>
      <c r="Q128" s="123"/>
    </row>
    <row r="129" spans="1:17">
      <c r="A129" s="1650">
        <v>8</v>
      </c>
      <c r="B129" s="321">
        <v>355</v>
      </c>
      <c r="C129" s="321">
        <v>3550</v>
      </c>
      <c r="D129" s="315" t="s">
        <v>1722</v>
      </c>
      <c r="E129" s="121"/>
      <c r="F129" s="1514">
        <f>'SCH B-2.1'!I380</f>
        <v>7523996</v>
      </c>
      <c r="G129" s="121"/>
      <c r="H129" s="122">
        <f>'SCH B-3'!G393</f>
        <v>4107887</v>
      </c>
      <c r="I129" s="123"/>
      <c r="J129" s="1519">
        <v>2.3900000000000001E-2</v>
      </c>
      <c r="K129" s="123"/>
      <c r="L129" s="122">
        <f t="shared" si="2"/>
        <v>179824</v>
      </c>
      <c r="M129" s="1521">
        <v>-0.3</v>
      </c>
      <c r="N129" s="1520">
        <v>55</v>
      </c>
      <c r="O129" s="1520" t="s">
        <v>1926</v>
      </c>
      <c r="P129" s="123"/>
      <c r="Q129" s="123"/>
    </row>
    <row r="130" spans="1:17">
      <c r="A130" s="1650">
        <v>9</v>
      </c>
      <c r="B130" s="321">
        <v>356</v>
      </c>
      <c r="C130" s="321">
        <v>3560</v>
      </c>
      <c r="D130" s="315" t="s">
        <v>1723</v>
      </c>
      <c r="E130" s="121"/>
      <c r="F130" s="1514">
        <f>'SCH B-2.1'!I381</f>
        <v>5837424</v>
      </c>
      <c r="G130" s="121"/>
      <c r="H130" s="122">
        <f>'SCH B-3'!G394</f>
        <v>3682327</v>
      </c>
      <c r="I130" s="123"/>
      <c r="J130" s="1519">
        <v>2.58E-2</v>
      </c>
      <c r="K130" s="123"/>
      <c r="L130" s="122">
        <f t="shared" si="2"/>
        <v>150606</v>
      </c>
      <c r="M130" s="1521">
        <v>-0.3</v>
      </c>
      <c r="N130" s="1520">
        <v>50</v>
      </c>
      <c r="O130" s="1520" t="s">
        <v>1925</v>
      </c>
      <c r="P130" s="123"/>
      <c r="Q130" s="123"/>
    </row>
    <row r="131" spans="1:17">
      <c r="A131" s="1650">
        <v>10</v>
      </c>
      <c r="B131" s="321">
        <v>356</v>
      </c>
      <c r="C131" s="321">
        <v>3561</v>
      </c>
      <c r="D131" s="315" t="s">
        <v>2751</v>
      </c>
      <c r="E131" s="121"/>
      <c r="F131" s="1514">
        <f>'SCH B-2.1'!I382</f>
        <v>296574</v>
      </c>
      <c r="G131" s="121"/>
      <c r="H131" s="122">
        <f>'SCH B-3'!G395</f>
        <v>9331</v>
      </c>
      <c r="I131" s="123"/>
      <c r="J131" s="1519">
        <v>2.0299999999999999E-2</v>
      </c>
      <c r="K131" s="123"/>
      <c r="L131" s="122">
        <f t="shared" si="2"/>
        <v>6020</v>
      </c>
      <c r="M131" s="1521">
        <v>0</v>
      </c>
      <c r="N131" s="1670">
        <v>60</v>
      </c>
      <c r="O131" s="1670" t="s">
        <v>15</v>
      </c>
      <c r="P131" s="123"/>
      <c r="Q131" s="123"/>
    </row>
    <row r="132" spans="1:17">
      <c r="A132" s="1650">
        <v>11</v>
      </c>
      <c r="B132" s="321"/>
      <c r="C132" s="321"/>
      <c r="D132" s="315" t="s">
        <v>1483</v>
      </c>
      <c r="E132" s="121"/>
      <c r="F132" s="1514">
        <f>'SCH B-2.1'!I383</f>
        <v>9890615</v>
      </c>
      <c r="G132" s="121"/>
      <c r="H132" s="122">
        <f>'SCH B-3'!G396</f>
        <v>177004</v>
      </c>
      <c r="I132" s="123"/>
      <c r="J132" s="1519">
        <v>2.7900000000000001E-2</v>
      </c>
      <c r="K132" s="123"/>
      <c r="L132" s="122">
        <f t="shared" si="2"/>
        <v>275948</v>
      </c>
      <c r="M132" s="1521"/>
      <c r="N132" s="1669"/>
      <c r="O132" s="1670"/>
      <c r="P132" s="123"/>
      <c r="Q132" s="123"/>
    </row>
    <row r="133" spans="1:17">
      <c r="A133" s="1650">
        <v>12</v>
      </c>
      <c r="B133" s="321"/>
      <c r="C133" s="321">
        <v>108</v>
      </c>
      <c r="D133" s="315" t="s">
        <v>1329</v>
      </c>
      <c r="E133" s="121"/>
      <c r="F133" s="1514">
        <f>'SCH B-2.1'!I384</f>
        <v>0</v>
      </c>
      <c r="G133" s="121"/>
      <c r="H133" s="122">
        <f>'SCH B-3'!G397</f>
        <v>-1791360</v>
      </c>
      <c r="I133" s="123"/>
      <c r="J133" s="1519">
        <v>0</v>
      </c>
      <c r="K133" s="123"/>
      <c r="L133" s="122">
        <f t="shared" si="2"/>
        <v>0</v>
      </c>
      <c r="M133" s="1651"/>
      <c r="N133" s="45"/>
      <c r="O133" s="52"/>
      <c r="P133" s="123"/>
      <c r="Q133" s="123"/>
    </row>
    <row r="134" spans="1:17">
      <c r="A134" s="1650"/>
      <c r="B134" s="123"/>
      <c r="C134" s="1650"/>
      <c r="D134" s="121"/>
      <c r="E134" s="121"/>
      <c r="F134" s="1514"/>
      <c r="G134" s="121"/>
      <c r="H134" s="122"/>
      <c r="I134" s="123"/>
      <c r="J134" s="1519"/>
      <c r="K134" s="123"/>
      <c r="L134" s="122"/>
      <c r="M134" s="1651"/>
      <c r="N134" s="45"/>
      <c r="O134" s="52"/>
      <c r="P134" s="123"/>
      <c r="Q134" s="123"/>
    </row>
    <row r="135" spans="1:17">
      <c r="A135" s="1650"/>
      <c r="B135" s="123"/>
      <c r="C135" s="1650"/>
      <c r="D135" s="121"/>
      <c r="E135" s="121"/>
      <c r="F135" s="1514"/>
      <c r="G135" s="121"/>
      <c r="H135" s="122"/>
      <c r="I135" s="123"/>
      <c r="J135" s="1519"/>
      <c r="K135" s="123"/>
      <c r="L135" s="122"/>
      <c r="M135" s="1651"/>
      <c r="N135" s="45"/>
      <c r="O135" s="52"/>
      <c r="P135" s="123"/>
      <c r="Q135" s="123"/>
    </row>
    <row r="136" spans="1:17">
      <c r="A136" s="123"/>
      <c r="B136" s="123"/>
      <c r="C136" s="123"/>
      <c r="D136" s="123"/>
      <c r="E136" s="123"/>
      <c r="F136" s="123"/>
      <c r="G136" s="1659"/>
      <c r="H136" s="1659"/>
      <c r="I136" s="1659"/>
      <c r="J136" s="1659"/>
      <c r="K136" s="1659"/>
      <c r="L136" s="1665"/>
      <c r="M136" s="1659"/>
      <c r="N136" s="1659"/>
      <c r="O136" s="1659"/>
      <c r="P136" s="123"/>
      <c r="Q136" s="123"/>
    </row>
    <row r="137" spans="1:17">
      <c r="A137" s="2724"/>
      <c r="B137" s="2724"/>
      <c r="C137" s="2724"/>
      <c r="D137" s="2724"/>
      <c r="E137" s="2724"/>
      <c r="F137" s="2724"/>
      <c r="G137" s="107"/>
      <c r="H137" s="123"/>
      <c r="I137" s="123"/>
      <c r="J137" s="123"/>
      <c r="K137" s="123"/>
      <c r="L137" s="122"/>
      <c r="M137" s="123"/>
      <c r="N137" s="123"/>
      <c r="O137" s="123"/>
      <c r="P137" s="123"/>
      <c r="Q137" s="123"/>
    </row>
    <row r="138" spans="1:17">
      <c r="A138" s="1650">
        <v>13</v>
      </c>
      <c r="B138" s="123"/>
      <c r="C138" s="123"/>
      <c r="D138" s="121" t="s">
        <v>1448</v>
      </c>
      <c r="E138" s="121"/>
      <c r="F138" s="1514">
        <f>SUM(F122:F137)</f>
        <v>65749235</v>
      </c>
      <c r="G138" s="121"/>
      <c r="H138" s="1514">
        <f>SUM(H122:H137)</f>
        <v>18887171</v>
      </c>
      <c r="I138" s="123"/>
      <c r="J138" s="123"/>
      <c r="K138" s="123"/>
      <c r="L138" s="1514">
        <f>SUM(L122:L137)</f>
        <v>1829174</v>
      </c>
      <c r="M138" s="123"/>
      <c r="N138" s="123"/>
      <c r="O138" s="123"/>
      <c r="P138" s="123"/>
      <c r="Q138" s="123"/>
    </row>
    <row r="139" spans="1:17">
      <c r="A139" s="123"/>
      <c r="B139" s="123"/>
      <c r="C139" s="123"/>
      <c r="D139" s="123"/>
      <c r="E139" s="123"/>
      <c r="F139" s="123"/>
      <c r="G139" s="1659"/>
      <c r="H139" s="1659"/>
      <c r="I139" s="1659"/>
      <c r="J139" s="1659"/>
      <c r="K139" s="1659"/>
      <c r="L139" s="1659"/>
      <c r="M139" s="1659"/>
      <c r="N139" s="1659"/>
      <c r="O139" s="1659"/>
      <c r="P139" s="123"/>
      <c r="Q139" s="123"/>
    </row>
    <row r="140" spans="1:17">
      <c r="A140" s="2724"/>
      <c r="B140" s="2724"/>
      <c r="C140" s="2724"/>
      <c r="D140" s="2724"/>
      <c r="E140" s="2724"/>
      <c r="F140" s="2724"/>
      <c r="G140" s="107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</row>
    <row r="141" spans="1:17">
      <c r="A141" s="1644" t="s">
        <v>1662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</row>
    <row r="142" spans="1:17">
      <c r="A142" s="123"/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</row>
    <row r="143" spans="1:17">
      <c r="A143" s="1655" t="str">
        <f t="shared" ref="A143:A148" si="3">A1</f>
        <v>DUKE ENERGY KENTUCKY, INC.</v>
      </c>
      <c r="B143" s="1655"/>
      <c r="C143" s="1655"/>
      <c r="D143" s="1655"/>
      <c r="E143" s="1655"/>
      <c r="F143" s="1655"/>
      <c r="G143" s="1655"/>
      <c r="H143" s="1655"/>
      <c r="I143" s="1655"/>
      <c r="J143" s="1655"/>
      <c r="K143" s="1655"/>
      <c r="L143" s="1655"/>
      <c r="M143" s="1655"/>
      <c r="N143" s="1655"/>
      <c r="O143" s="1655"/>
      <c r="P143" s="123"/>
      <c r="Q143" s="123"/>
    </row>
    <row r="144" spans="1:17">
      <c r="A144" s="1655" t="str">
        <f t="shared" si="3"/>
        <v>CASE NO. 2017-00321</v>
      </c>
      <c r="B144" s="1655"/>
      <c r="C144" s="1655"/>
      <c r="D144" s="1655"/>
      <c r="E144" s="1655"/>
      <c r="F144" s="1655"/>
      <c r="G144" s="1655"/>
      <c r="H144" s="1655"/>
      <c r="I144" s="1655"/>
      <c r="J144" s="1655"/>
      <c r="K144" s="1655"/>
      <c r="L144" s="1655"/>
      <c r="M144" s="1655"/>
      <c r="N144" s="1655"/>
      <c r="O144" s="1655"/>
      <c r="P144" s="123"/>
      <c r="Q144" s="123"/>
    </row>
    <row r="145" spans="1:17">
      <c r="A145" s="1655" t="str">
        <f t="shared" si="3"/>
        <v>DEPRECIATION AND AMORTIZATION ACCRUAL RATES AND</v>
      </c>
      <c r="B145" s="1655"/>
      <c r="C145" s="1655"/>
      <c r="D145" s="1655"/>
      <c r="E145" s="1655"/>
      <c r="F145" s="1655"/>
      <c r="G145" s="1655"/>
      <c r="H145" s="1655"/>
      <c r="I145" s="1655"/>
      <c r="J145" s="1655"/>
      <c r="K145" s="1655"/>
      <c r="L145" s="1655"/>
      <c r="M145" s="1655"/>
      <c r="N145" s="1655"/>
      <c r="O145" s="1655"/>
      <c r="P145" s="123"/>
      <c r="Q145" s="123"/>
    </row>
    <row r="146" spans="1:17">
      <c r="A146" s="1655" t="str">
        <f t="shared" si="3"/>
        <v>JURISDICTIONAL ACCUMULATED BALANCES BY ACCOUNTS,</v>
      </c>
      <c r="B146" s="1655"/>
      <c r="C146" s="1655"/>
      <c r="D146" s="1655"/>
      <c r="E146" s="1655"/>
      <c r="F146" s="1655"/>
      <c r="G146" s="1655"/>
      <c r="H146" s="1655"/>
      <c r="I146" s="1655"/>
      <c r="J146" s="1655"/>
      <c r="K146" s="1655"/>
      <c r="L146" s="1655"/>
      <c r="M146" s="1655"/>
      <c r="N146" s="1655"/>
      <c r="O146" s="1655"/>
      <c r="P146" s="123"/>
      <c r="Q146" s="123"/>
    </row>
    <row r="147" spans="1:17">
      <c r="A147" s="1655" t="str">
        <f t="shared" si="3"/>
        <v>FUNCTIONAL CLASS OR MAJOR PROPERTY GROUP</v>
      </c>
      <c r="B147" s="1655"/>
      <c r="C147" s="1655"/>
      <c r="D147" s="1655"/>
      <c r="E147" s="1655"/>
      <c r="F147" s="1655"/>
      <c r="G147" s="1655"/>
      <c r="H147" s="1655"/>
      <c r="I147" s="1655"/>
      <c r="J147" s="1655"/>
      <c r="K147" s="1655"/>
      <c r="L147" s="1655"/>
      <c r="M147" s="1655"/>
      <c r="N147" s="1655"/>
      <c r="O147" s="1655"/>
      <c r="P147" s="123"/>
      <c r="Q147" s="123"/>
    </row>
    <row r="148" spans="1:17">
      <c r="A148" s="1655" t="str">
        <f t="shared" si="3"/>
        <v>THIRTEEN MONTH AVERAGE AS OF MARCH 31, 2019</v>
      </c>
      <c r="B148" s="1655"/>
      <c r="C148" s="1655"/>
      <c r="D148" s="1655"/>
      <c r="E148" s="1655"/>
      <c r="F148" s="1655"/>
      <c r="G148" s="1655"/>
      <c r="H148" s="1655"/>
      <c r="I148" s="1655"/>
      <c r="J148" s="1655"/>
      <c r="K148" s="1655"/>
      <c r="L148" s="1655"/>
      <c r="M148" s="1655"/>
      <c r="N148" s="1655"/>
      <c r="O148" s="1655"/>
      <c r="P148" s="123"/>
      <c r="Q148" s="123"/>
    </row>
    <row r="149" spans="1:17">
      <c r="A149" s="1655"/>
      <c r="B149" s="1655"/>
      <c r="C149" s="1655"/>
      <c r="D149" s="1655"/>
      <c r="E149" s="1655"/>
      <c r="F149" s="1655"/>
      <c r="G149" s="1655"/>
      <c r="H149" s="1656"/>
      <c r="I149" s="1656"/>
      <c r="J149" s="1656"/>
      <c r="K149" s="1656"/>
      <c r="L149" s="1656"/>
      <c r="M149" s="1656"/>
      <c r="N149" s="1656"/>
      <c r="O149" s="1656"/>
      <c r="P149" s="123"/>
      <c r="Q149" s="123"/>
    </row>
    <row r="150" spans="1:17">
      <c r="A150" s="1654" t="s">
        <v>1172</v>
      </c>
      <c r="B150" s="1654"/>
      <c r="C150" s="1654"/>
      <c r="D150" s="1654"/>
      <c r="E150" s="1654"/>
      <c r="F150" s="1654"/>
      <c r="G150" s="1654"/>
      <c r="H150" s="1654"/>
      <c r="I150" s="1654"/>
      <c r="J150" s="1654"/>
      <c r="K150" s="1654"/>
      <c r="L150" s="1654"/>
      <c r="M150" s="1654"/>
      <c r="N150" s="1654"/>
      <c r="O150" s="1654"/>
      <c r="P150" s="123"/>
      <c r="Q150" s="123"/>
    </row>
    <row r="151" spans="1:17">
      <c r="A151" s="1657" t="s">
        <v>1799</v>
      </c>
      <c r="B151" s="1657"/>
      <c r="C151" s="1657"/>
      <c r="D151" s="1657"/>
      <c r="E151" s="1657"/>
      <c r="F151" s="1657"/>
      <c r="G151" s="1657"/>
      <c r="H151" s="1657"/>
      <c r="I151" s="1657"/>
      <c r="J151" s="1657"/>
      <c r="K151" s="1657"/>
      <c r="L151" s="1657"/>
      <c r="M151" s="1657"/>
      <c r="N151" s="1657"/>
      <c r="O151" s="1657"/>
      <c r="P151" s="123"/>
      <c r="Q151" s="123"/>
    </row>
    <row r="152" spans="1:17">
      <c r="A152" s="1656"/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</row>
    <row r="153" spans="1:17">
      <c r="A153" s="1656"/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</row>
    <row r="154" spans="1:17">
      <c r="A154" s="121" t="str">
        <f>A12</f>
        <v>DATA:  BASE PERIOD  "X" FORECASTED PERIOD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658" t="str">
        <f>M12</f>
        <v>SCHEDULE B-3.2</v>
      </c>
      <c r="N154" s="123"/>
      <c r="O154" s="123"/>
      <c r="P154" s="123"/>
      <c r="Q154" s="123"/>
    </row>
    <row r="155" spans="1:17">
      <c r="A155" s="121" t="str">
        <f>A13</f>
        <v xml:space="preserve">TYPE OF FILING:  "X" ORIGINAL   UPDATED    REVISED  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658" t="s">
        <v>1915</v>
      </c>
      <c r="N155" s="123"/>
      <c r="O155" s="123"/>
      <c r="P155" s="123"/>
      <c r="Q155" s="123"/>
    </row>
    <row r="156" spans="1:17">
      <c r="A156" s="121" t="str">
        <f>A14</f>
        <v>WORK PAPER REFERENCE NOS.: SCHEDULE B-2.1, SCHEDULE B-3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658" t="str">
        <f>M14</f>
        <v>WITNESS RESPONSIBLE:</v>
      </c>
      <c r="N156" s="123"/>
      <c r="O156" s="123"/>
      <c r="P156" s="123"/>
      <c r="Q156" s="123"/>
    </row>
    <row r="157" spans="1:17">
      <c r="A157" s="123"/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671" t="str">
        <f>M15</f>
        <v>R. H. PRATT / C. S. LEE</v>
      </c>
      <c r="N157" s="123"/>
      <c r="O157" s="123"/>
      <c r="P157" s="123"/>
      <c r="Q157" s="123"/>
    </row>
    <row r="158" spans="1:17">
      <c r="A158" s="123"/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</row>
    <row r="159" spans="1:17">
      <c r="A159" s="123"/>
      <c r="B159" s="123"/>
      <c r="C159" s="123"/>
      <c r="D159" s="123"/>
      <c r="E159" s="123"/>
      <c r="F159" s="1659"/>
      <c r="G159" s="1659"/>
      <c r="H159" s="1659"/>
      <c r="I159" s="1659"/>
      <c r="J159" s="1659"/>
      <c r="K159" s="1659"/>
      <c r="L159" s="1659"/>
      <c r="M159" s="1659"/>
      <c r="N159" s="1659"/>
      <c r="O159" s="1659"/>
      <c r="P159" s="123"/>
      <c r="Q159" s="123"/>
    </row>
    <row r="160" spans="1:17">
      <c r="A160" s="2724"/>
      <c r="B160" s="2728"/>
      <c r="C160" s="2727"/>
      <c r="D160" s="2724"/>
      <c r="E160" s="2724"/>
      <c r="F160" s="120" t="s">
        <v>911</v>
      </c>
      <c r="G160" s="120"/>
      <c r="H160" s="120"/>
      <c r="I160" s="123"/>
      <c r="J160" s="123"/>
      <c r="K160" s="123"/>
      <c r="L160" s="123"/>
      <c r="M160" s="123"/>
      <c r="N160" s="123"/>
      <c r="O160" s="123"/>
      <c r="P160" s="123"/>
      <c r="Q160" s="123"/>
    </row>
    <row r="161" spans="1:17">
      <c r="A161" s="107"/>
      <c r="B161" s="115" t="s">
        <v>943</v>
      </c>
      <c r="C161" s="115" t="s">
        <v>1750</v>
      </c>
      <c r="D161" s="1650" t="s">
        <v>1165</v>
      </c>
      <c r="E161" s="1650"/>
      <c r="F161" s="2799" t="s">
        <v>1424</v>
      </c>
      <c r="G161" s="2799"/>
      <c r="H161" s="2799"/>
      <c r="I161" s="123"/>
      <c r="J161" s="1645" t="s">
        <v>2995</v>
      </c>
      <c r="K161" s="123"/>
      <c r="L161" s="1645" t="s">
        <v>913</v>
      </c>
      <c r="M161" s="123"/>
      <c r="N161" s="1645" t="s">
        <v>873</v>
      </c>
      <c r="O161" s="123"/>
      <c r="P161" s="123"/>
      <c r="Q161" s="123"/>
    </row>
    <row r="162" spans="1:17">
      <c r="A162" s="1650" t="s">
        <v>1240</v>
      </c>
      <c r="B162" s="1650" t="s">
        <v>1164</v>
      </c>
      <c r="C162" s="1650" t="s">
        <v>1164</v>
      </c>
      <c r="D162" s="1645" t="s">
        <v>914</v>
      </c>
      <c r="E162" s="1645"/>
      <c r="F162" s="1645" t="s">
        <v>1328</v>
      </c>
      <c r="G162" s="1645"/>
      <c r="H162" s="1645" t="s">
        <v>328</v>
      </c>
      <c r="I162" s="123"/>
      <c r="J162" s="1645" t="s">
        <v>915</v>
      </c>
      <c r="K162" s="123"/>
      <c r="L162" s="1645" t="s">
        <v>0</v>
      </c>
      <c r="M162" s="1642" t="s">
        <v>1</v>
      </c>
      <c r="N162" s="1645" t="s">
        <v>2</v>
      </c>
      <c r="O162" s="1645" t="s">
        <v>3</v>
      </c>
      <c r="P162" s="123"/>
      <c r="Q162" s="123"/>
    </row>
    <row r="163" spans="1:17">
      <c r="A163" s="1650" t="s">
        <v>1241</v>
      </c>
      <c r="B163" s="1650" t="s">
        <v>1241</v>
      </c>
      <c r="C163" s="1650" t="s">
        <v>1241</v>
      </c>
      <c r="D163" s="1650" t="s">
        <v>4</v>
      </c>
      <c r="E163" s="1650"/>
      <c r="F163" s="1650" t="s">
        <v>1376</v>
      </c>
      <c r="G163" s="1650"/>
      <c r="H163" s="1645" t="s">
        <v>123</v>
      </c>
      <c r="I163" s="123"/>
      <c r="J163" s="1645" t="s">
        <v>1312</v>
      </c>
      <c r="K163" s="123"/>
      <c r="L163" s="1645" t="s">
        <v>478</v>
      </c>
      <c r="M163" s="1645" t="s">
        <v>5</v>
      </c>
      <c r="N163" s="1645" t="s">
        <v>6</v>
      </c>
      <c r="O163" s="1645" t="s">
        <v>7</v>
      </c>
      <c r="P163" s="123"/>
      <c r="Q163" s="123"/>
    </row>
    <row r="164" spans="1:17">
      <c r="A164" s="1661" t="s">
        <v>296</v>
      </c>
      <c r="B164" s="1661" t="s">
        <v>8</v>
      </c>
      <c r="C164" s="1661" t="s">
        <v>9</v>
      </c>
      <c r="D164" s="1661" t="s">
        <v>303</v>
      </c>
      <c r="E164" s="1661"/>
      <c r="F164" s="1661" t="s">
        <v>944</v>
      </c>
      <c r="G164" s="1661"/>
      <c r="H164" s="1662" t="s">
        <v>1935</v>
      </c>
      <c r="I164" s="1659"/>
      <c r="J164" s="1662" t="s">
        <v>298</v>
      </c>
      <c r="K164" s="1662"/>
      <c r="L164" s="1662" t="s">
        <v>10</v>
      </c>
      <c r="M164" s="1662" t="s">
        <v>11</v>
      </c>
      <c r="N164" s="1662" t="s">
        <v>945</v>
      </c>
      <c r="O164" s="1662" t="s">
        <v>12</v>
      </c>
      <c r="P164" s="123"/>
      <c r="Q164" s="123"/>
    </row>
    <row r="165" spans="1:17">
      <c r="A165" s="1650" t="s">
        <v>529</v>
      </c>
      <c r="B165" s="123"/>
      <c r="C165" s="123"/>
      <c r="D165" s="123"/>
      <c r="E165" s="123"/>
      <c r="F165" s="1645" t="s">
        <v>1705</v>
      </c>
      <c r="G165" s="123"/>
      <c r="H165" s="1645" t="s">
        <v>1705</v>
      </c>
      <c r="I165" s="123"/>
      <c r="J165" s="123"/>
      <c r="K165" s="123"/>
      <c r="L165" s="1645" t="s">
        <v>1705</v>
      </c>
      <c r="M165" s="123"/>
      <c r="N165" s="123"/>
      <c r="O165" s="123"/>
      <c r="P165" s="123"/>
      <c r="Q165" s="123"/>
    </row>
    <row r="166" spans="1:17">
      <c r="A166" s="1650"/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</row>
    <row r="167" spans="1:17">
      <c r="A167" s="1650">
        <v>1</v>
      </c>
      <c r="B167" s="1505">
        <v>360</v>
      </c>
      <c r="C167" s="1505">
        <v>3600</v>
      </c>
      <c r="D167" s="1506" t="s">
        <v>849</v>
      </c>
      <c r="E167" s="121"/>
      <c r="F167" s="1514">
        <f>'SCH B-2.1'!I412</f>
        <v>6821750</v>
      </c>
      <c r="G167" s="123"/>
      <c r="H167" s="122">
        <f>'SCH B-3'!K428</f>
        <v>0</v>
      </c>
      <c r="I167" s="123"/>
      <c r="J167" s="1519">
        <v>0</v>
      </c>
      <c r="K167" s="123"/>
      <c r="L167" s="122">
        <v>0</v>
      </c>
      <c r="M167" s="45" t="s">
        <v>13</v>
      </c>
      <c r="N167" s="45"/>
      <c r="O167" s="45"/>
      <c r="P167" s="123"/>
      <c r="Q167" s="123"/>
    </row>
    <row r="168" spans="1:17">
      <c r="A168" s="1650">
        <v>2</v>
      </c>
      <c r="B168" s="1505">
        <v>360</v>
      </c>
      <c r="C168" s="1505">
        <v>3601</v>
      </c>
      <c r="D168" s="1506" t="s">
        <v>1168</v>
      </c>
      <c r="E168" s="121"/>
      <c r="F168" s="1514">
        <f>'SCH B-2.1'!I413</f>
        <v>6441140</v>
      </c>
      <c r="G168" s="123"/>
      <c r="H168" s="122">
        <f>'SCH B-3'!K429</f>
        <v>3062845</v>
      </c>
      <c r="I168" s="123"/>
      <c r="J168" s="1519">
        <v>1.18E-2</v>
      </c>
      <c r="K168" s="123"/>
      <c r="L168" s="122">
        <f t="shared" ref="L168:L185" si="4">ROUND(F168*J168,0)</f>
        <v>76005</v>
      </c>
      <c r="M168" s="1519">
        <v>0</v>
      </c>
      <c r="N168" s="1520">
        <v>70</v>
      </c>
      <c r="O168" s="1520" t="s">
        <v>15</v>
      </c>
      <c r="P168" s="123"/>
      <c r="Q168" s="123"/>
    </row>
    <row r="169" spans="1:17">
      <c r="A169" s="1650">
        <v>3</v>
      </c>
      <c r="B169" s="1505">
        <v>361</v>
      </c>
      <c r="C169" s="1505">
        <v>3610</v>
      </c>
      <c r="D169" s="1506" t="s">
        <v>1170</v>
      </c>
      <c r="E169" s="121"/>
      <c r="F169" s="1514">
        <f>'SCH B-2.1'!I414</f>
        <v>1381960</v>
      </c>
      <c r="G169" s="123"/>
      <c r="H169" s="122">
        <f>'SCH B-3'!K430</f>
        <v>-14376</v>
      </c>
      <c r="I169" s="123"/>
      <c r="J169" s="1519">
        <v>2.7400000000000001E-2</v>
      </c>
      <c r="K169" s="123"/>
      <c r="L169" s="122">
        <f t="shared" si="4"/>
        <v>37866</v>
      </c>
      <c r="M169" s="1519">
        <v>-0.1</v>
      </c>
      <c r="N169" s="1520">
        <v>65</v>
      </c>
      <c r="O169" s="1520" t="s">
        <v>1924</v>
      </c>
      <c r="P169" s="123"/>
      <c r="Q169" s="123"/>
    </row>
    <row r="170" spans="1:17">
      <c r="A170" s="1650">
        <v>4</v>
      </c>
      <c r="B170" s="1505">
        <v>362</v>
      </c>
      <c r="C170" s="1505">
        <v>3620</v>
      </c>
      <c r="D170" s="1506" t="s">
        <v>1721</v>
      </c>
      <c r="E170" s="121"/>
      <c r="F170" s="1514">
        <f>'SCH B-2.1'!I415</f>
        <v>37037167</v>
      </c>
      <c r="G170" s="123"/>
      <c r="H170" s="122">
        <f>'SCH B-3'!K431</f>
        <v>11863277</v>
      </c>
      <c r="I170" s="123"/>
      <c r="J170" s="1519">
        <v>2.8500000000000001E-2</v>
      </c>
      <c r="K170" s="123"/>
      <c r="L170" s="122">
        <f t="shared" si="4"/>
        <v>1055559</v>
      </c>
      <c r="M170" s="1519">
        <v>-0.15</v>
      </c>
      <c r="N170" s="1520">
        <v>48</v>
      </c>
      <c r="O170" s="1520" t="s">
        <v>1924</v>
      </c>
      <c r="P170" s="123"/>
      <c r="Q170" s="123"/>
    </row>
    <row r="171" spans="1:17">
      <c r="A171" s="1650">
        <v>5</v>
      </c>
      <c r="B171" s="1505">
        <v>362</v>
      </c>
      <c r="C171" s="1505">
        <v>3622</v>
      </c>
      <c r="D171" s="1506" t="s">
        <v>2927</v>
      </c>
      <c r="E171" s="121"/>
      <c r="F171" s="1514">
        <f>'SCH B-2.1'!I416</f>
        <v>25188158</v>
      </c>
      <c r="G171" s="123"/>
      <c r="H171" s="122">
        <f>'SCH B-3'!K432</f>
        <v>10132073</v>
      </c>
      <c r="I171" s="123"/>
      <c r="J171" s="1519">
        <v>1.9199999999999998E-2</v>
      </c>
      <c r="K171" s="123"/>
      <c r="L171" s="122">
        <f t="shared" si="4"/>
        <v>483613</v>
      </c>
      <c r="M171" s="1519">
        <v>-0.1</v>
      </c>
      <c r="N171" s="1520">
        <v>60</v>
      </c>
      <c r="O171" s="1520" t="s">
        <v>1924</v>
      </c>
      <c r="P171" s="123"/>
      <c r="Q171" s="123"/>
    </row>
    <row r="172" spans="1:17">
      <c r="A172" s="1650">
        <v>6</v>
      </c>
      <c r="B172" s="1505">
        <v>364</v>
      </c>
      <c r="C172" s="1505">
        <v>3640</v>
      </c>
      <c r="D172" s="1506" t="s">
        <v>1724</v>
      </c>
      <c r="E172" s="121"/>
      <c r="F172" s="1514">
        <f>'SCH B-2.1'!I417</f>
        <v>56761153</v>
      </c>
      <c r="G172" s="123"/>
      <c r="H172" s="122">
        <f>'SCH B-3'!K433</f>
        <v>29992097</v>
      </c>
      <c r="I172" s="123"/>
      <c r="J172" s="1519">
        <v>3.2599999999999997E-2</v>
      </c>
      <c r="K172" s="123"/>
      <c r="L172" s="122">
        <f t="shared" si="4"/>
        <v>1850414</v>
      </c>
      <c r="M172" s="1519">
        <v>-0.4</v>
      </c>
      <c r="N172" s="1520">
        <v>52</v>
      </c>
      <c r="O172" s="1520" t="s">
        <v>1003</v>
      </c>
      <c r="P172" s="123"/>
      <c r="Q172" s="123"/>
    </row>
    <row r="173" spans="1:17">
      <c r="A173" s="1650">
        <v>7</v>
      </c>
      <c r="B173" s="1505">
        <v>365</v>
      </c>
      <c r="C173" s="1505">
        <v>3650</v>
      </c>
      <c r="D173" s="1506" t="s">
        <v>1723</v>
      </c>
      <c r="E173" s="121"/>
      <c r="F173" s="1514">
        <f>'SCH B-2.1'!I418</f>
        <v>113759469</v>
      </c>
      <c r="G173" s="123"/>
      <c r="H173" s="122">
        <f>'SCH B-3'!K434</f>
        <v>35050808</v>
      </c>
      <c r="I173" s="123"/>
      <c r="J173" s="1519">
        <v>3.56E-2</v>
      </c>
      <c r="K173" s="123"/>
      <c r="L173" s="122">
        <f t="shared" si="4"/>
        <v>4049837</v>
      </c>
      <c r="M173" s="1519">
        <v>-0.25</v>
      </c>
      <c r="N173" s="1520">
        <v>50</v>
      </c>
      <c r="O173" s="1520" t="s">
        <v>2305</v>
      </c>
      <c r="P173" s="123"/>
      <c r="Q173" s="123"/>
    </row>
    <row r="174" spans="1:17">
      <c r="A174" s="1650">
        <v>8</v>
      </c>
      <c r="B174" s="1505">
        <v>365</v>
      </c>
      <c r="C174" s="1505">
        <v>3651</v>
      </c>
      <c r="D174" s="1506" t="s">
        <v>2751</v>
      </c>
      <c r="E174" s="121"/>
      <c r="F174" s="1514">
        <f>'SCH B-2.1'!I419</f>
        <v>1864393</v>
      </c>
      <c r="G174" s="123"/>
      <c r="H174" s="122">
        <f>'SCH B-3'!K435</f>
        <v>159246</v>
      </c>
      <c r="I174" s="123"/>
      <c r="J174" s="1519">
        <v>2.1000000000000001E-2</v>
      </c>
      <c r="K174" s="123"/>
      <c r="L174" s="122">
        <f t="shared" si="4"/>
        <v>39152</v>
      </c>
      <c r="M174" s="1519">
        <v>0</v>
      </c>
      <c r="N174" s="1520">
        <v>60</v>
      </c>
      <c r="O174" s="1520" t="s">
        <v>1924</v>
      </c>
      <c r="P174" s="123"/>
      <c r="Q174" s="123"/>
    </row>
    <row r="175" spans="1:17">
      <c r="A175" s="1650">
        <v>9</v>
      </c>
      <c r="B175" s="1505">
        <v>366</v>
      </c>
      <c r="C175" s="1505">
        <v>3660</v>
      </c>
      <c r="D175" s="1506" t="s">
        <v>1725</v>
      </c>
      <c r="E175" s="121"/>
      <c r="F175" s="1514">
        <f>'SCH B-2.1'!I420</f>
        <v>19177499</v>
      </c>
      <c r="G175" s="123"/>
      <c r="H175" s="122">
        <f>'SCH B-3'!K436</f>
        <v>6700527</v>
      </c>
      <c r="I175" s="123"/>
      <c r="J175" s="1519">
        <v>2.0400000000000001E-2</v>
      </c>
      <c r="K175" s="123"/>
      <c r="L175" s="122">
        <f t="shared" si="4"/>
        <v>391221</v>
      </c>
      <c r="M175" s="1519">
        <v>-0.2</v>
      </c>
      <c r="N175" s="1520">
        <v>65</v>
      </c>
      <c r="O175" s="1520" t="s">
        <v>1140</v>
      </c>
      <c r="P175" s="123"/>
      <c r="Q175" s="123"/>
    </row>
    <row r="176" spans="1:17">
      <c r="A176" s="1650">
        <v>10</v>
      </c>
      <c r="B176" s="1505">
        <v>367</v>
      </c>
      <c r="C176" s="1505">
        <v>3670</v>
      </c>
      <c r="D176" s="1506" t="s">
        <v>638</v>
      </c>
      <c r="E176" s="121"/>
      <c r="F176" s="1514">
        <f>'SCH B-2.1'!I421</f>
        <v>59568516</v>
      </c>
      <c r="G176" s="123"/>
      <c r="H176" s="122">
        <f>'SCH B-3'!K437</f>
        <v>16903360</v>
      </c>
      <c r="I176" s="123"/>
      <c r="J176" s="1519">
        <v>2.6200000000000001E-2</v>
      </c>
      <c r="K176" s="123"/>
      <c r="L176" s="122">
        <f t="shared" si="4"/>
        <v>1560695</v>
      </c>
      <c r="M176" s="1519">
        <v>-0.2</v>
      </c>
      <c r="N176" s="1520">
        <v>58</v>
      </c>
      <c r="O176" s="1520" t="s">
        <v>1005</v>
      </c>
      <c r="P176" s="123"/>
      <c r="Q176" s="123"/>
    </row>
    <row r="177" spans="1:17">
      <c r="A177" s="1650">
        <v>11</v>
      </c>
      <c r="B177" s="1505">
        <v>368</v>
      </c>
      <c r="C177" s="1505">
        <v>3680</v>
      </c>
      <c r="D177" s="1506" t="s">
        <v>639</v>
      </c>
      <c r="E177" s="121"/>
      <c r="F177" s="1514">
        <f>'SCH B-2.1'!I422</f>
        <v>55367127</v>
      </c>
      <c r="G177" s="123"/>
      <c r="H177" s="122">
        <f>'SCH B-3'!K438</f>
        <v>28873475</v>
      </c>
      <c r="I177" s="123"/>
      <c r="J177" s="1519">
        <v>2.4899999999999999E-2</v>
      </c>
      <c r="K177" s="123"/>
      <c r="L177" s="122">
        <f t="shared" si="4"/>
        <v>1378641</v>
      </c>
      <c r="M177" s="1519">
        <v>-0.1</v>
      </c>
      <c r="N177" s="1520">
        <v>45</v>
      </c>
      <c r="O177" s="1520" t="s">
        <v>1003</v>
      </c>
      <c r="P177" s="123"/>
      <c r="Q177" s="123"/>
    </row>
    <row r="178" spans="1:17">
      <c r="A178" s="1650">
        <v>12</v>
      </c>
      <c r="B178" s="1505">
        <v>368</v>
      </c>
      <c r="C178" s="1505">
        <v>3682</v>
      </c>
      <c r="D178" s="1506" t="s">
        <v>640</v>
      </c>
      <c r="E178" s="121"/>
      <c r="F178" s="1514">
        <f>'SCH B-2.1'!I423</f>
        <v>273661</v>
      </c>
      <c r="G178" s="123"/>
      <c r="H178" s="122">
        <f>'SCH B-3'!K439</f>
        <v>279531</v>
      </c>
      <c r="I178" s="123"/>
      <c r="J178" s="1519">
        <v>3.8E-3</v>
      </c>
      <c r="K178" s="123"/>
      <c r="L178" s="122">
        <f t="shared" si="4"/>
        <v>1040</v>
      </c>
      <c r="M178" s="1519">
        <v>-0.1</v>
      </c>
      <c r="N178" s="1520">
        <v>50</v>
      </c>
      <c r="O178" s="1520" t="s">
        <v>1926</v>
      </c>
      <c r="P178" s="123"/>
      <c r="Q178" s="123"/>
    </row>
    <row r="179" spans="1:17">
      <c r="A179" s="1650">
        <v>13</v>
      </c>
      <c r="B179" s="1505">
        <v>369</v>
      </c>
      <c r="C179" s="1505">
        <v>3691</v>
      </c>
      <c r="D179" s="1506" t="s">
        <v>641</v>
      </c>
      <c r="E179" s="121"/>
      <c r="F179" s="1514">
        <f>'SCH B-2.1'!I424</f>
        <v>2393707</v>
      </c>
      <c r="G179" s="123"/>
      <c r="H179" s="122">
        <f>'SCH B-3'!K440</f>
        <v>549327</v>
      </c>
      <c r="I179" s="123"/>
      <c r="J179" s="1519">
        <v>2.5399999999999999E-2</v>
      </c>
      <c r="K179" s="123"/>
      <c r="L179" s="122">
        <f t="shared" si="4"/>
        <v>60800</v>
      </c>
      <c r="M179" s="1519">
        <v>-0.25</v>
      </c>
      <c r="N179" s="1520">
        <v>60</v>
      </c>
      <c r="O179" s="1520" t="s">
        <v>1005</v>
      </c>
      <c r="P179" s="123"/>
      <c r="Q179" s="123"/>
    </row>
    <row r="180" spans="1:17">
      <c r="A180" s="1650">
        <v>14</v>
      </c>
      <c r="B180" s="1505">
        <v>369</v>
      </c>
      <c r="C180" s="1505">
        <v>3692</v>
      </c>
      <c r="D180" s="1506" t="s">
        <v>642</v>
      </c>
      <c r="E180" s="121"/>
      <c r="F180" s="1514">
        <f>'SCH B-2.1'!I425</f>
        <v>15791511</v>
      </c>
      <c r="G180" s="123"/>
      <c r="H180" s="122">
        <f>'SCH B-3'!K441</f>
        <v>10401944</v>
      </c>
      <c r="I180" s="123"/>
      <c r="J180" s="1519">
        <v>1.8700000000000001E-2</v>
      </c>
      <c r="K180" s="123"/>
      <c r="L180" s="122">
        <f t="shared" si="4"/>
        <v>295301</v>
      </c>
      <c r="M180" s="1519">
        <v>-0.2</v>
      </c>
      <c r="N180" s="1520">
        <v>53</v>
      </c>
      <c r="O180" s="1520" t="s">
        <v>1925</v>
      </c>
      <c r="P180" s="123"/>
      <c r="Q180" s="123"/>
    </row>
    <row r="181" spans="1:17">
      <c r="A181" s="1650">
        <v>15</v>
      </c>
      <c r="B181" s="1505">
        <v>370</v>
      </c>
      <c r="C181" s="1505">
        <v>3700</v>
      </c>
      <c r="D181" s="1506" t="s">
        <v>2539</v>
      </c>
      <c r="E181" s="121"/>
      <c r="F181" s="1514">
        <f>'SCH B-2.1'!I426</f>
        <v>1106006</v>
      </c>
      <c r="G181" s="123"/>
      <c r="H181" s="122">
        <f>'SCH B-3'!K442</f>
        <v>237877</v>
      </c>
      <c r="I181" s="123"/>
      <c r="J181" s="1519">
        <v>6.3200000000000006E-2</v>
      </c>
      <c r="K181" s="1642" t="s">
        <v>319</v>
      </c>
      <c r="L181" s="122">
        <f t="shared" si="4"/>
        <v>69900</v>
      </c>
      <c r="M181" s="1519">
        <v>-0.01</v>
      </c>
      <c r="N181" s="1520">
        <v>24</v>
      </c>
      <c r="O181" s="1520" t="s">
        <v>3028</v>
      </c>
      <c r="P181" s="123"/>
      <c r="Q181" s="123"/>
    </row>
    <row r="182" spans="1:17">
      <c r="A182" s="1650">
        <v>16</v>
      </c>
      <c r="B182" s="1505">
        <v>370</v>
      </c>
      <c r="C182" s="1505">
        <v>3700</v>
      </c>
      <c r="D182" s="1506" t="s">
        <v>2749</v>
      </c>
      <c r="E182" s="121"/>
      <c r="F182" s="1514">
        <f>'SCH B-2.1'!I427</f>
        <v>713359</v>
      </c>
      <c r="G182" s="123"/>
      <c r="H182" s="122">
        <f>'SCH B-3'!K443</f>
        <v>328137</v>
      </c>
      <c r="I182" s="123"/>
      <c r="J182" s="1519">
        <v>0.11210000000000001</v>
      </c>
      <c r="K182" s="1645"/>
      <c r="L182" s="122">
        <f t="shared" si="4"/>
        <v>79968</v>
      </c>
      <c r="M182" s="1519">
        <v>-0.01</v>
      </c>
      <c r="N182" s="1520">
        <v>24</v>
      </c>
      <c r="O182" s="1520" t="s">
        <v>3028</v>
      </c>
      <c r="P182" s="123"/>
      <c r="Q182" s="123"/>
    </row>
    <row r="183" spans="1:17">
      <c r="A183" s="1650">
        <v>17</v>
      </c>
      <c r="B183" s="1505">
        <v>370</v>
      </c>
      <c r="C183" s="1505">
        <v>3701</v>
      </c>
      <c r="D183" s="1506" t="s">
        <v>376</v>
      </c>
      <c r="E183" s="121"/>
      <c r="F183" s="1514">
        <f>'SCH B-2.1'!I428</f>
        <v>0</v>
      </c>
      <c r="G183" s="123"/>
      <c r="H183" s="122">
        <f>'SCH B-3'!K444</f>
        <v>0</v>
      </c>
      <c r="I183" s="123"/>
      <c r="J183" s="1519">
        <v>6.3200000000000006E-2</v>
      </c>
      <c r="K183" s="1642" t="s">
        <v>319</v>
      </c>
      <c r="L183" s="122">
        <f t="shared" si="4"/>
        <v>0</v>
      </c>
      <c r="M183" s="1519">
        <v>-0.01</v>
      </c>
      <c r="N183" s="1520">
        <v>24</v>
      </c>
      <c r="O183" s="1520" t="s">
        <v>3028</v>
      </c>
      <c r="P183" s="123"/>
      <c r="Q183" s="123"/>
    </row>
    <row r="184" spans="1:17">
      <c r="A184" s="1650">
        <v>18</v>
      </c>
      <c r="B184" s="1505">
        <v>370</v>
      </c>
      <c r="C184" s="1505">
        <v>3702</v>
      </c>
      <c r="D184" s="1506" t="s">
        <v>2748</v>
      </c>
      <c r="E184" s="121"/>
      <c r="F184" s="1514">
        <f>'SCH B-2.1'!I429</f>
        <v>22410553</v>
      </c>
      <c r="G184" s="123"/>
      <c r="H184" s="122">
        <f>'SCH B-3'!K445</f>
        <v>639726</v>
      </c>
      <c r="I184" s="123"/>
      <c r="J184" s="1519">
        <v>7.5999999999999998E-2</v>
      </c>
      <c r="K184" s="1645"/>
      <c r="L184" s="122">
        <f t="shared" si="4"/>
        <v>1703202</v>
      </c>
      <c r="M184" s="1519">
        <v>0</v>
      </c>
      <c r="N184" s="1520">
        <v>15</v>
      </c>
      <c r="O184" s="1520" t="s">
        <v>1140</v>
      </c>
      <c r="P184" s="123"/>
      <c r="Q184" s="123"/>
    </row>
    <row r="185" spans="1:17">
      <c r="A185" s="1650">
        <v>19</v>
      </c>
      <c r="B185" s="1505">
        <v>371</v>
      </c>
      <c r="C185" s="1505" t="s">
        <v>2297</v>
      </c>
      <c r="D185" s="1506" t="s">
        <v>2298</v>
      </c>
      <c r="E185" s="121"/>
      <c r="F185" s="1514">
        <f>'SCH B-2.1'!I430</f>
        <v>421102</v>
      </c>
      <c r="G185" s="123"/>
      <c r="H185" s="122">
        <f>'SCH B-3'!K446</f>
        <v>16246</v>
      </c>
      <c r="I185" s="123"/>
      <c r="J185" s="1519">
        <v>7.3599999999999999E-2</v>
      </c>
      <c r="K185" s="1645"/>
      <c r="L185" s="122">
        <f t="shared" si="4"/>
        <v>30993</v>
      </c>
      <c r="M185" s="1519">
        <v>0</v>
      </c>
      <c r="N185" s="1520">
        <v>20</v>
      </c>
      <c r="O185" s="1520" t="s">
        <v>1141</v>
      </c>
      <c r="P185" s="123"/>
      <c r="Q185" s="123"/>
    </row>
    <row r="186" spans="1:17">
      <c r="A186" s="1650">
        <v>20</v>
      </c>
      <c r="B186" s="1505">
        <v>372</v>
      </c>
      <c r="C186" s="1505">
        <v>3720</v>
      </c>
      <c r="D186" s="1506" t="s">
        <v>643</v>
      </c>
      <c r="E186" s="121"/>
      <c r="F186" s="1514">
        <f>'SCH B-2.1'!I431</f>
        <v>9647</v>
      </c>
      <c r="G186" s="123"/>
      <c r="H186" s="122">
        <f>'SCH B-3'!K447</f>
        <v>9647</v>
      </c>
      <c r="I186" s="123"/>
      <c r="J186" s="1646" t="s">
        <v>1004</v>
      </c>
      <c r="K186" s="1642" t="s">
        <v>318</v>
      </c>
      <c r="L186" s="1647" t="s">
        <v>1940</v>
      </c>
      <c r="M186" s="1519">
        <v>0</v>
      </c>
      <c r="N186" s="1520">
        <v>25</v>
      </c>
      <c r="O186" s="1520" t="s">
        <v>3029</v>
      </c>
      <c r="P186" s="123"/>
      <c r="Q186" s="123"/>
    </row>
    <row r="187" spans="1:17">
      <c r="A187" s="1650">
        <v>21</v>
      </c>
      <c r="B187" s="1505">
        <v>373</v>
      </c>
      <c r="C187" s="1505">
        <v>3731</v>
      </c>
      <c r="D187" s="1506" t="s">
        <v>771</v>
      </c>
      <c r="E187" s="121"/>
      <c r="F187" s="1514">
        <f>'SCH B-2.1'!I432</f>
        <v>2640930</v>
      </c>
      <c r="G187" s="123"/>
      <c r="H187" s="122">
        <f>'SCH B-3'!K448</f>
        <v>2287522</v>
      </c>
      <c r="I187" s="123"/>
      <c r="J187" s="1519">
        <v>1.2200000000000001E-2</v>
      </c>
      <c r="K187" s="1644"/>
      <c r="L187" s="122">
        <f t="shared" ref="L187:L192" si="5">ROUND(F187*J187,0)</f>
        <v>32219</v>
      </c>
      <c r="M187" s="1519">
        <v>-0.1</v>
      </c>
      <c r="N187" s="1520">
        <v>32</v>
      </c>
      <c r="O187" s="1520" t="s">
        <v>2304</v>
      </c>
      <c r="P187" s="123"/>
      <c r="Q187" s="123"/>
    </row>
    <row r="188" spans="1:17">
      <c r="A188" s="1650">
        <v>22</v>
      </c>
      <c r="B188" s="1505">
        <v>373</v>
      </c>
      <c r="C188" s="1505">
        <v>3732</v>
      </c>
      <c r="D188" s="1506" t="s">
        <v>772</v>
      </c>
      <c r="E188" s="121"/>
      <c r="F188" s="1514">
        <f>'SCH B-2.1'!I433</f>
        <v>3358901</v>
      </c>
      <c r="G188" s="123"/>
      <c r="H188" s="122">
        <f>'SCH B-3'!K449</f>
        <v>2556575</v>
      </c>
      <c r="I188" s="123"/>
      <c r="J188" s="1519">
        <v>1.49E-2</v>
      </c>
      <c r="K188" s="123"/>
      <c r="L188" s="122">
        <f t="shared" si="5"/>
        <v>50048</v>
      </c>
      <c r="M188" s="1519">
        <v>-0.1</v>
      </c>
      <c r="N188" s="1520">
        <v>45</v>
      </c>
      <c r="O188" s="1520" t="s">
        <v>1926</v>
      </c>
      <c r="P188" s="123"/>
      <c r="Q188" s="123"/>
    </row>
    <row r="189" spans="1:17">
      <c r="A189" s="1650">
        <v>23</v>
      </c>
      <c r="B189" s="1505">
        <v>373</v>
      </c>
      <c r="C189" s="1505">
        <v>3733</v>
      </c>
      <c r="D189" s="1506" t="s">
        <v>773</v>
      </c>
      <c r="E189" s="121"/>
      <c r="F189" s="1514">
        <f>'SCH B-2.1'!I434</f>
        <v>0</v>
      </c>
      <c r="G189" s="123"/>
      <c r="H189" s="122">
        <f>'SCH B-3'!K450</f>
        <v>0</v>
      </c>
      <c r="I189" s="123"/>
      <c r="J189" s="1519">
        <v>4.8800000000000003E-2</v>
      </c>
      <c r="K189" s="123"/>
      <c r="L189" s="122">
        <f t="shared" si="5"/>
        <v>0</v>
      </c>
      <c r="M189" s="1519">
        <v>-0.1</v>
      </c>
      <c r="N189" s="1520">
        <v>30</v>
      </c>
      <c r="O189" s="1520" t="s">
        <v>2911</v>
      </c>
      <c r="P189" s="123"/>
      <c r="Q189" s="123"/>
    </row>
    <row r="190" spans="1:17">
      <c r="A190" s="1650">
        <v>24</v>
      </c>
      <c r="B190" s="1505">
        <v>373</v>
      </c>
      <c r="C190" s="1505">
        <v>3734</v>
      </c>
      <c r="D190" s="1506" t="s">
        <v>2288</v>
      </c>
      <c r="E190" s="121"/>
      <c r="F190" s="1514">
        <f>'SCH B-2.1'!I435</f>
        <v>0</v>
      </c>
      <c r="G190" s="123"/>
      <c r="H190" s="122">
        <f>'SCH B-3'!K451</f>
        <v>0</v>
      </c>
      <c r="I190" s="123"/>
      <c r="J190" s="1519">
        <v>4.8800000000000003E-2</v>
      </c>
      <c r="K190" s="123"/>
      <c r="L190" s="122">
        <f t="shared" si="5"/>
        <v>0</v>
      </c>
      <c r="M190" s="1648">
        <v>-0.1</v>
      </c>
      <c r="N190" s="1520">
        <v>30</v>
      </c>
      <c r="O190" s="1520" t="s">
        <v>2911</v>
      </c>
      <c r="P190" s="123"/>
      <c r="Q190" s="123"/>
    </row>
    <row r="191" spans="1:17">
      <c r="A191" s="1650">
        <v>25</v>
      </c>
      <c r="B191" s="1505"/>
      <c r="C191" s="1505"/>
      <c r="D191" s="1506" t="s">
        <v>1483</v>
      </c>
      <c r="E191" s="121"/>
      <c r="F191" s="1514">
        <f>'SCH B-2.1'!I436</f>
        <v>38933705</v>
      </c>
      <c r="G191" s="123"/>
      <c r="H191" s="122">
        <f>'SCH B-3'!K452</f>
        <v>534286</v>
      </c>
      <c r="I191" s="123"/>
      <c r="J191" s="1519">
        <v>2.9399999999999999E-2</v>
      </c>
      <c r="K191" s="123"/>
      <c r="L191" s="122">
        <f t="shared" si="5"/>
        <v>1144651</v>
      </c>
      <c r="M191" s="1648"/>
      <c r="N191" s="1649"/>
      <c r="O191" s="1520"/>
      <c r="P191" s="123"/>
      <c r="Q191" s="123"/>
    </row>
    <row r="192" spans="1:17">
      <c r="A192" s="1650">
        <v>26</v>
      </c>
      <c r="B192" s="123"/>
      <c r="C192" s="1650">
        <v>108</v>
      </c>
      <c r="D192" s="121" t="s">
        <v>1329</v>
      </c>
      <c r="E192" s="121"/>
      <c r="F192" s="1514">
        <f>'SCH B-2.1'!I437</f>
        <v>0</v>
      </c>
      <c r="G192" s="123"/>
      <c r="H192" s="122">
        <f>'SCH B-3'!K453</f>
        <v>-6653083</v>
      </c>
      <c r="I192" s="123"/>
      <c r="J192" s="1651">
        <v>0</v>
      </c>
      <c r="K192" s="123"/>
      <c r="L192" s="122">
        <f t="shared" si="5"/>
        <v>0</v>
      </c>
      <c r="M192" s="1651"/>
      <c r="N192" s="45"/>
      <c r="O192" s="52"/>
      <c r="P192" s="123"/>
      <c r="Q192" s="123"/>
    </row>
    <row r="193" spans="1:17">
      <c r="A193" s="1650"/>
      <c r="B193" s="123"/>
      <c r="C193" s="1650"/>
      <c r="D193" s="121"/>
      <c r="E193" s="121"/>
      <c r="F193" s="1514"/>
      <c r="G193" s="1644"/>
      <c r="H193" s="122"/>
      <c r="I193" s="123"/>
      <c r="J193" s="1651"/>
      <c r="K193" s="123"/>
      <c r="L193" s="122"/>
      <c r="M193" s="1651"/>
      <c r="N193" s="45"/>
      <c r="O193" s="52"/>
      <c r="P193" s="123"/>
      <c r="Q193" s="123"/>
    </row>
    <row r="194" spans="1:17">
      <c r="A194" s="123"/>
      <c r="B194" s="123"/>
      <c r="C194" s="123"/>
      <c r="D194" s="123"/>
      <c r="E194" s="123"/>
      <c r="F194" s="123"/>
      <c r="G194" s="1659"/>
      <c r="H194" s="1659"/>
      <c r="I194" s="1659"/>
      <c r="J194" s="1659"/>
      <c r="K194" s="1659"/>
      <c r="L194" s="1665"/>
      <c r="M194" s="1659"/>
      <c r="N194" s="1659"/>
      <c r="O194" s="1659"/>
      <c r="P194" s="123"/>
      <c r="Q194" s="123"/>
    </row>
    <row r="195" spans="1:17">
      <c r="A195" s="2724"/>
      <c r="B195" s="2724"/>
      <c r="C195" s="2724"/>
      <c r="D195" s="2724"/>
      <c r="E195" s="2724"/>
      <c r="F195" s="2724"/>
      <c r="G195" s="107"/>
      <c r="H195" s="123"/>
      <c r="I195" s="123"/>
      <c r="J195" s="123"/>
      <c r="K195" s="123"/>
      <c r="L195" s="122"/>
      <c r="M195" s="123"/>
      <c r="N195" s="123"/>
      <c r="O195" s="123"/>
      <c r="P195" s="123"/>
      <c r="Q195" s="123"/>
    </row>
    <row r="196" spans="1:17">
      <c r="A196" s="1650">
        <v>27</v>
      </c>
      <c r="B196" s="123"/>
      <c r="C196" s="123"/>
      <c r="D196" s="121" t="s">
        <v>1484</v>
      </c>
      <c r="E196" s="121"/>
      <c r="F196" s="1514">
        <f>SUM(F167:F195)</f>
        <v>471421414</v>
      </c>
      <c r="G196" s="121"/>
      <c r="H196" s="1514">
        <f>SUM(H167:H195)</f>
        <v>153911067</v>
      </c>
      <c r="I196" s="123"/>
      <c r="J196" s="123"/>
      <c r="K196" s="123"/>
      <c r="L196" s="1514">
        <f>SUM(L167:L195)</f>
        <v>14391125</v>
      </c>
      <c r="M196" s="123"/>
      <c r="N196" s="123"/>
      <c r="O196" s="123"/>
      <c r="P196" s="123"/>
      <c r="Q196" s="123"/>
    </row>
    <row r="197" spans="1:17">
      <c r="A197" s="123"/>
      <c r="B197" s="123"/>
      <c r="C197" s="123"/>
      <c r="D197" s="123"/>
      <c r="E197" s="123"/>
      <c r="F197" s="123"/>
      <c r="G197" s="1659"/>
      <c r="H197" s="1659"/>
      <c r="I197" s="1659"/>
      <c r="J197" s="1659"/>
      <c r="K197" s="1659"/>
      <c r="L197" s="1659"/>
      <c r="M197" s="1659"/>
      <c r="N197" s="1659"/>
      <c r="O197" s="1659"/>
      <c r="P197" s="123"/>
      <c r="Q197" s="123"/>
    </row>
    <row r="198" spans="1:17">
      <c r="A198" s="2724"/>
      <c r="B198" s="2724"/>
      <c r="C198" s="2724"/>
      <c r="D198" s="2724"/>
      <c r="E198" s="2724"/>
      <c r="F198" s="2724"/>
      <c r="G198" s="107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</row>
    <row r="199" spans="1:17">
      <c r="A199" s="1644" t="s">
        <v>1662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</row>
    <row r="200" spans="1:17">
      <c r="A200" s="1644" t="s">
        <v>133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</row>
    <row r="201" spans="1:17">
      <c r="A201" s="1624" t="s">
        <v>3107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</row>
    <row r="202" spans="1:17">
      <c r="A202" s="1624"/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</row>
    <row r="203" spans="1:17">
      <c r="A203" s="1655" t="str">
        <f t="shared" ref="A203:A208" si="6">A1</f>
        <v>DUKE ENERGY KENTUCKY, INC.</v>
      </c>
      <c r="B203" s="1655"/>
      <c r="C203" s="1655"/>
      <c r="D203" s="1655"/>
      <c r="E203" s="1655"/>
      <c r="F203" s="1655"/>
      <c r="G203" s="1655"/>
      <c r="H203" s="1655"/>
      <c r="I203" s="1655"/>
      <c r="J203" s="1655"/>
      <c r="K203" s="1655"/>
      <c r="L203" s="1655"/>
      <c r="M203" s="1655"/>
      <c r="N203" s="1655"/>
      <c r="O203" s="1655"/>
      <c r="P203" s="123"/>
      <c r="Q203" s="123"/>
    </row>
    <row r="204" spans="1:17">
      <c r="A204" s="1654" t="str">
        <f t="shared" si="6"/>
        <v>CASE NO. 2017-00321</v>
      </c>
      <c r="B204" s="1654"/>
      <c r="C204" s="1654"/>
      <c r="D204" s="1654"/>
      <c r="E204" s="1654"/>
      <c r="F204" s="1654"/>
      <c r="G204" s="1654"/>
      <c r="H204" s="1654"/>
      <c r="I204" s="1654"/>
      <c r="J204" s="1654"/>
      <c r="K204" s="1654"/>
      <c r="L204" s="1654"/>
      <c r="M204" s="1654"/>
      <c r="N204" s="1654"/>
      <c r="O204" s="1654"/>
      <c r="P204" s="123"/>
      <c r="Q204" s="123"/>
    </row>
    <row r="205" spans="1:17">
      <c r="A205" s="1654" t="str">
        <f t="shared" si="6"/>
        <v>DEPRECIATION AND AMORTIZATION ACCRUAL RATES AND</v>
      </c>
      <c r="B205" s="1654"/>
      <c r="C205" s="1654"/>
      <c r="D205" s="1654"/>
      <c r="E205" s="1654"/>
      <c r="F205" s="1654"/>
      <c r="G205" s="1654"/>
      <c r="H205" s="1654"/>
      <c r="I205" s="1654"/>
      <c r="J205" s="1654"/>
      <c r="K205" s="1654"/>
      <c r="L205" s="1654"/>
      <c r="M205" s="1654"/>
      <c r="N205" s="1654"/>
      <c r="O205" s="1654"/>
      <c r="P205" s="123"/>
      <c r="Q205" s="123"/>
    </row>
    <row r="206" spans="1:17">
      <c r="A206" s="1654" t="str">
        <f t="shared" si="6"/>
        <v>JURISDICTIONAL ACCUMULATED BALANCES BY ACCOUNTS,</v>
      </c>
      <c r="B206" s="1654"/>
      <c r="C206" s="1654"/>
      <c r="D206" s="1654"/>
      <c r="E206" s="1654"/>
      <c r="F206" s="1654"/>
      <c r="G206" s="1654"/>
      <c r="H206" s="1654"/>
      <c r="I206" s="1654"/>
      <c r="J206" s="1654"/>
      <c r="K206" s="1654"/>
      <c r="L206" s="1654"/>
      <c r="M206" s="1654"/>
      <c r="N206" s="1654"/>
      <c r="O206" s="1654"/>
      <c r="P206" s="123"/>
      <c r="Q206" s="123"/>
    </row>
    <row r="207" spans="1:17">
      <c r="A207" s="1654" t="str">
        <f t="shared" si="6"/>
        <v>FUNCTIONAL CLASS OR MAJOR PROPERTY GROUP</v>
      </c>
      <c r="B207" s="1654"/>
      <c r="C207" s="1654"/>
      <c r="D207" s="1654"/>
      <c r="E207" s="1654"/>
      <c r="F207" s="1654"/>
      <c r="G207" s="1654"/>
      <c r="H207" s="1654"/>
      <c r="I207" s="1654"/>
      <c r="J207" s="1654"/>
      <c r="K207" s="1654"/>
      <c r="L207" s="1654"/>
      <c r="M207" s="1654"/>
      <c r="N207" s="1654"/>
      <c r="O207" s="1654"/>
      <c r="P207" s="123"/>
      <c r="Q207" s="123"/>
    </row>
    <row r="208" spans="1:17">
      <c r="A208" s="1654" t="str">
        <f t="shared" si="6"/>
        <v>THIRTEEN MONTH AVERAGE AS OF MARCH 31, 2019</v>
      </c>
      <c r="B208" s="1654"/>
      <c r="C208" s="1654"/>
      <c r="D208" s="1654"/>
      <c r="E208" s="1654"/>
      <c r="F208" s="1654"/>
      <c r="G208" s="1654"/>
      <c r="H208" s="1654"/>
      <c r="I208" s="1654"/>
      <c r="J208" s="1654"/>
      <c r="K208" s="1654"/>
      <c r="L208" s="1654"/>
      <c r="M208" s="1654"/>
      <c r="N208" s="1654"/>
      <c r="O208" s="1654"/>
      <c r="P208" s="123"/>
      <c r="Q208" s="123"/>
    </row>
    <row r="209" spans="1:17">
      <c r="A209" s="1655"/>
      <c r="B209" s="1655"/>
      <c r="C209" s="1655"/>
      <c r="D209" s="1655"/>
      <c r="E209" s="1655"/>
      <c r="F209" s="1655"/>
      <c r="G209" s="1655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</row>
    <row r="210" spans="1:17">
      <c r="A210" s="1654" t="s">
        <v>1272</v>
      </c>
      <c r="B210" s="1654"/>
      <c r="C210" s="1654"/>
      <c r="D210" s="1654"/>
      <c r="E210" s="1654"/>
      <c r="F210" s="1654"/>
      <c r="G210" s="1654"/>
      <c r="H210" s="1654"/>
      <c r="I210" s="1654"/>
      <c r="J210" s="1654"/>
      <c r="K210" s="1654"/>
      <c r="L210" s="1654"/>
      <c r="M210" s="1654"/>
      <c r="N210" s="1654"/>
      <c r="O210" s="1654"/>
      <c r="P210" s="123"/>
      <c r="Q210" s="123"/>
    </row>
    <row r="211" spans="1:17">
      <c r="A211" s="1657" t="s">
        <v>1799</v>
      </c>
      <c r="B211" s="1657"/>
      <c r="C211" s="1657"/>
      <c r="D211" s="1657"/>
      <c r="E211" s="1657"/>
      <c r="F211" s="1657"/>
      <c r="G211" s="1657"/>
      <c r="H211" s="1657"/>
      <c r="I211" s="1657"/>
      <c r="J211" s="1657"/>
      <c r="K211" s="1657"/>
      <c r="L211" s="1657"/>
      <c r="M211" s="1657"/>
      <c r="N211" s="1657"/>
      <c r="O211" s="1657"/>
      <c r="P211" s="123"/>
      <c r="Q211" s="123"/>
    </row>
    <row r="212" spans="1:17">
      <c r="A212" s="1656"/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</row>
    <row r="213" spans="1:17">
      <c r="A213" s="121" t="str">
        <f>A12</f>
        <v>DATA:  BASE PERIOD  "X" FORECASTED PERIOD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658" t="str">
        <f>M12</f>
        <v>SCHEDULE B-3.2</v>
      </c>
      <c r="N213" s="123"/>
      <c r="O213" s="123"/>
      <c r="P213" s="123"/>
      <c r="Q213" s="123"/>
    </row>
    <row r="214" spans="1:17">
      <c r="A214" s="121" t="str">
        <f>A13</f>
        <v xml:space="preserve">TYPE OF FILING:  "X" ORIGINAL   UPDATED    REVISED  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658" t="s">
        <v>1916</v>
      </c>
      <c r="N214" s="123"/>
      <c r="O214" s="123"/>
      <c r="P214" s="123"/>
      <c r="Q214" s="123"/>
    </row>
    <row r="215" spans="1:17">
      <c r="A215" s="121" t="str">
        <f>A14</f>
        <v>WORK PAPER REFERENCE NOS.: SCHEDULE B-2.1, SCHEDULE B-3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658" t="str">
        <f>M14</f>
        <v>WITNESS RESPONSIBLE:</v>
      </c>
      <c r="N215" s="123"/>
      <c r="O215" s="123"/>
      <c r="P215" s="123"/>
      <c r="Q215" s="123"/>
    </row>
    <row r="216" spans="1:17">
      <c r="A216" s="123"/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671" t="str">
        <f>M15</f>
        <v>R. H. PRATT / C. S. LEE</v>
      </c>
      <c r="N216" s="123"/>
      <c r="O216" s="123"/>
      <c r="P216" s="123"/>
      <c r="Q216" s="123"/>
    </row>
    <row r="217" spans="1:17">
      <c r="A217" s="123"/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</row>
    <row r="218" spans="1:17">
      <c r="A218" s="123"/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</row>
    <row r="219" spans="1:17">
      <c r="A219" s="123"/>
      <c r="B219" s="1659"/>
      <c r="C219" s="123"/>
      <c r="D219" s="123"/>
      <c r="E219" s="123"/>
      <c r="F219" s="1659"/>
      <c r="G219" s="1659"/>
      <c r="H219" s="1659"/>
      <c r="I219" s="1659"/>
      <c r="J219" s="1659"/>
      <c r="K219" s="1659"/>
      <c r="L219" s="1659"/>
      <c r="M219" s="1659"/>
      <c r="N219" s="1659"/>
      <c r="O219" s="1659"/>
      <c r="P219" s="123"/>
      <c r="Q219" s="123"/>
    </row>
    <row r="220" spans="1:17">
      <c r="A220" s="2724"/>
      <c r="B220" s="2728"/>
      <c r="C220" s="2727"/>
      <c r="D220" s="2724"/>
      <c r="E220" s="2724"/>
      <c r="F220" s="120" t="s">
        <v>911</v>
      </c>
      <c r="G220" s="120"/>
      <c r="H220" s="120"/>
      <c r="I220" s="123"/>
      <c r="J220" s="123"/>
      <c r="K220" s="123"/>
      <c r="L220" s="123"/>
      <c r="M220" s="123"/>
      <c r="N220" s="123"/>
      <c r="O220" s="123"/>
      <c r="P220" s="123"/>
      <c r="Q220" s="123"/>
    </row>
    <row r="221" spans="1:17">
      <c r="A221" s="107"/>
      <c r="B221" s="115" t="s">
        <v>943</v>
      </c>
      <c r="C221" s="115" t="s">
        <v>1750</v>
      </c>
      <c r="D221" s="1650" t="s">
        <v>1165</v>
      </c>
      <c r="E221" s="1650"/>
      <c r="F221" s="2799" t="s">
        <v>1424</v>
      </c>
      <c r="G221" s="2799"/>
      <c r="H221" s="2799"/>
      <c r="I221" s="123"/>
      <c r="J221" s="1645" t="s">
        <v>2995</v>
      </c>
      <c r="K221" s="123"/>
      <c r="L221" s="1645" t="s">
        <v>913</v>
      </c>
      <c r="M221" s="123"/>
      <c r="N221" s="1645" t="s">
        <v>873</v>
      </c>
      <c r="O221" s="123"/>
      <c r="P221" s="123"/>
      <c r="Q221" s="123"/>
    </row>
    <row r="222" spans="1:17">
      <c r="A222" s="1650" t="s">
        <v>1240</v>
      </c>
      <c r="B222" s="1650" t="s">
        <v>1164</v>
      </c>
      <c r="C222" s="1650" t="s">
        <v>1164</v>
      </c>
      <c r="D222" s="1645" t="s">
        <v>914</v>
      </c>
      <c r="E222" s="1645"/>
      <c r="F222" s="1645" t="s">
        <v>1328</v>
      </c>
      <c r="G222" s="1645"/>
      <c r="H222" s="1645" t="s">
        <v>328</v>
      </c>
      <c r="I222" s="123"/>
      <c r="J222" s="1645" t="s">
        <v>915</v>
      </c>
      <c r="K222" s="123"/>
      <c r="L222" s="1645" t="s">
        <v>0</v>
      </c>
      <c r="M222" s="1642" t="s">
        <v>1</v>
      </c>
      <c r="N222" s="1645" t="s">
        <v>2</v>
      </c>
      <c r="O222" s="1645" t="s">
        <v>3</v>
      </c>
      <c r="P222" s="123"/>
      <c r="Q222" s="123"/>
    </row>
    <row r="223" spans="1:17">
      <c r="A223" s="1650" t="s">
        <v>1241</v>
      </c>
      <c r="B223" s="1650" t="s">
        <v>1241</v>
      </c>
      <c r="C223" s="1650" t="s">
        <v>1241</v>
      </c>
      <c r="D223" s="1650" t="s">
        <v>4</v>
      </c>
      <c r="E223" s="1650"/>
      <c r="F223" s="1650" t="s">
        <v>1376</v>
      </c>
      <c r="G223" s="1650"/>
      <c r="H223" s="1645" t="s">
        <v>123</v>
      </c>
      <c r="I223" s="123"/>
      <c r="J223" s="1645" t="s">
        <v>1312</v>
      </c>
      <c r="K223" s="123"/>
      <c r="L223" s="1645" t="s">
        <v>478</v>
      </c>
      <c r="M223" s="1645" t="s">
        <v>5</v>
      </c>
      <c r="N223" s="1645" t="s">
        <v>6</v>
      </c>
      <c r="O223" s="1645" t="s">
        <v>7</v>
      </c>
      <c r="P223" s="123"/>
      <c r="Q223" s="123"/>
    </row>
    <row r="224" spans="1:17">
      <c r="A224" s="1661" t="s">
        <v>296</v>
      </c>
      <c r="B224" s="1661" t="s">
        <v>8</v>
      </c>
      <c r="C224" s="1661" t="s">
        <v>9</v>
      </c>
      <c r="D224" s="1661" t="s">
        <v>303</v>
      </c>
      <c r="E224" s="1661"/>
      <c r="F224" s="1661" t="s">
        <v>944</v>
      </c>
      <c r="G224" s="1661"/>
      <c r="H224" s="1662" t="s">
        <v>1935</v>
      </c>
      <c r="I224" s="1659"/>
      <c r="J224" s="1662" t="s">
        <v>298</v>
      </c>
      <c r="K224" s="1662"/>
      <c r="L224" s="1662" t="s">
        <v>10</v>
      </c>
      <c r="M224" s="1662" t="s">
        <v>11</v>
      </c>
      <c r="N224" s="1662" t="s">
        <v>945</v>
      </c>
      <c r="O224" s="1662" t="s">
        <v>12</v>
      </c>
      <c r="P224" s="123"/>
      <c r="Q224" s="123"/>
    </row>
    <row r="225" spans="1:17">
      <c r="A225" s="1672"/>
      <c r="B225" s="1672"/>
      <c r="C225" s="1672"/>
      <c r="D225" s="1672"/>
      <c r="E225" s="1672"/>
      <c r="F225" s="108" t="s">
        <v>1705</v>
      </c>
      <c r="G225" s="1672"/>
      <c r="H225" s="109" t="s">
        <v>1705</v>
      </c>
      <c r="I225" s="112"/>
      <c r="J225" s="1673"/>
      <c r="K225" s="1673"/>
      <c r="L225" s="109" t="s">
        <v>1705</v>
      </c>
      <c r="M225" s="1673"/>
      <c r="N225" s="1673"/>
      <c r="O225" s="1673"/>
      <c r="P225" s="123"/>
      <c r="Q225" s="123"/>
    </row>
    <row r="226" spans="1:17">
      <c r="A226" s="123"/>
      <c r="B226" s="123"/>
      <c r="C226" s="123"/>
      <c r="D226" s="123"/>
      <c r="E226" s="123"/>
      <c r="F226" s="123"/>
      <c r="G226" s="123"/>
      <c r="H226" s="122"/>
      <c r="I226" s="123"/>
      <c r="J226" s="123"/>
      <c r="K226" s="123"/>
      <c r="L226" s="123"/>
      <c r="M226" s="123"/>
      <c r="N226" s="123"/>
      <c r="O226" s="123"/>
      <c r="P226" s="123"/>
      <c r="Q226" s="123"/>
    </row>
    <row r="227" spans="1:17">
      <c r="A227" s="1650">
        <v>1</v>
      </c>
      <c r="B227" s="1505">
        <v>303</v>
      </c>
      <c r="C227" s="1505">
        <v>3030</v>
      </c>
      <c r="D227" s="1506" t="s">
        <v>1273</v>
      </c>
      <c r="E227" s="123"/>
      <c r="F227" s="122">
        <f>'SCH B-2.1'!I466</f>
        <v>12504384</v>
      </c>
      <c r="G227" s="122"/>
      <c r="H227" s="122">
        <f>'SCH B-3'!K482</f>
        <v>9738135</v>
      </c>
      <c r="I227" s="123"/>
      <c r="J227" s="124" t="s">
        <v>1209</v>
      </c>
      <c r="K227" s="123"/>
      <c r="L227" s="1674">
        <v>1321273</v>
      </c>
      <c r="M227" s="45" t="s">
        <v>1378</v>
      </c>
      <c r="N227" s="45"/>
      <c r="O227" s="45"/>
      <c r="P227" s="123"/>
      <c r="Q227" s="123"/>
    </row>
    <row r="228" spans="1:17">
      <c r="A228" s="1650">
        <v>2</v>
      </c>
      <c r="B228" s="1505">
        <v>390</v>
      </c>
      <c r="C228" s="1505">
        <v>3900</v>
      </c>
      <c r="D228" s="1506" t="s">
        <v>1170</v>
      </c>
      <c r="E228" s="121"/>
      <c r="F228" s="122">
        <f>'SCH B-2.1'!I467</f>
        <v>144984</v>
      </c>
      <c r="G228" s="122"/>
      <c r="H228" s="122">
        <f>'SCH B-3'!K483</f>
        <v>47322</v>
      </c>
      <c r="I228" s="123"/>
      <c r="J228" s="1639">
        <v>5.3600000000000002E-2</v>
      </c>
      <c r="K228" s="123"/>
      <c r="L228" s="122">
        <f>ROUND(F228*J228,0)</f>
        <v>7771</v>
      </c>
      <c r="M228" s="1521">
        <v>-0.05</v>
      </c>
      <c r="N228" s="52">
        <v>35</v>
      </c>
      <c r="O228" s="52" t="s">
        <v>1139</v>
      </c>
      <c r="P228" s="123"/>
      <c r="Q228" s="123"/>
    </row>
    <row r="229" spans="1:17">
      <c r="A229" s="1650">
        <v>3</v>
      </c>
      <c r="B229" s="1505">
        <v>391</v>
      </c>
      <c r="C229" s="1505">
        <v>3910</v>
      </c>
      <c r="D229" s="1506" t="s">
        <v>1274</v>
      </c>
      <c r="E229" s="121"/>
      <c r="F229" s="122">
        <f>'SCH B-2.1'!I468</f>
        <v>15317</v>
      </c>
      <c r="G229" s="122"/>
      <c r="H229" s="122">
        <f>'SCH B-3'!K484</f>
        <v>16572</v>
      </c>
      <c r="I229" s="123"/>
      <c r="J229" s="1641" t="s">
        <v>1004</v>
      </c>
      <c r="K229" s="1642" t="s">
        <v>318</v>
      </c>
      <c r="L229" s="1647" t="s">
        <v>1004</v>
      </c>
      <c r="M229" s="1521">
        <v>0</v>
      </c>
      <c r="N229" s="52">
        <v>20</v>
      </c>
      <c r="O229" s="52" t="s">
        <v>14</v>
      </c>
      <c r="P229" s="123"/>
      <c r="Q229" s="123"/>
    </row>
    <row r="230" spans="1:17">
      <c r="A230" s="1650">
        <v>4</v>
      </c>
      <c r="B230" s="1505">
        <v>391</v>
      </c>
      <c r="C230" s="1505" t="s">
        <v>3144</v>
      </c>
      <c r="D230" s="1506" t="s">
        <v>1274</v>
      </c>
      <c r="E230" s="121"/>
      <c r="F230" s="122"/>
      <c r="G230" s="122"/>
      <c r="H230" s="1640">
        <v>1254</v>
      </c>
      <c r="I230" s="123"/>
      <c r="J230" s="1641" t="s">
        <v>1004</v>
      </c>
      <c r="K230" s="1642" t="s">
        <v>319</v>
      </c>
      <c r="L230" s="122">
        <f>-ROUND(H230/5,0)</f>
        <v>-251</v>
      </c>
      <c r="M230" s="1643" t="s">
        <v>1940</v>
      </c>
      <c r="N230" s="52" t="s">
        <v>1940</v>
      </c>
      <c r="O230" s="52" t="s">
        <v>1940</v>
      </c>
      <c r="P230" s="123"/>
      <c r="Q230" s="123"/>
    </row>
    <row r="231" spans="1:17">
      <c r="A231" s="1650">
        <v>5</v>
      </c>
      <c r="B231" s="1505">
        <v>391</v>
      </c>
      <c r="C231" s="1505">
        <v>3911</v>
      </c>
      <c r="D231" s="1506" t="s">
        <v>2289</v>
      </c>
      <c r="E231" s="121"/>
      <c r="F231" s="122">
        <f>'SCH B-2.1'!I469</f>
        <v>2474271</v>
      </c>
      <c r="G231" s="122"/>
      <c r="H231" s="122">
        <f>'SCH B-3'!K485</f>
        <v>2071920</v>
      </c>
      <c r="I231" s="123"/>
      <c r="J231" s="1639">
        <v>0.2</v>
      </c>
      <c r="K231" s="123"/>
      <c r="L231" s="122">
        <f>ROUND(F231*J231,0)</f>
        <v>494854</v>
      </c>
      <c r="M231" s="1521">
        <v>0</v>
      </c>
      <c r="N231" s="52">
        <v>5</v>
      </c>
      <c r="O231" s="52" t="s">
        <v>14</v>
      </c>
      <c r="P231" s="123"/>
      <c r="Q231" s="123"/>
    </row>
    <row r="232" spans="1:17">
      <c r="A232" s="1650">
        <v>6</v>
      </c>
      <c r="B232" s="1505">
        <v>391</v>
      </c>
      <c r="C232" s="1505" t="s">
        <v>3145</v>
      </c>
      <c r="D232" s="1506" t="s">
        <v>2289</v>
      </c>
      <c r="E232" s="121"/>
      <c r="F232" s="122"/>
      <c r="G232" s="122"/>
      <c r="H232" s="1640">
        <v>242000</v>
      </c>
      <c r="I232" s="123"/>
      <c r="J232" s="1641" t="s">
        <v>1004</v>
      </c>
      <c r="K232" s="1642" t="s">
        <v>319</v>
      </c>
      <c r="L232" s="122">
        <f>-ROUND(H232/5,0)</f>
        <v>-48400</v>
      </c>
      <c r="M232" s="1643" t="s">
        <v>1940</v>
      </c>
      <c r="N232" s="52" t="s">
        <v>1940</v>
      </c>
      <c r="O232" s="52" t="s">
        <v>1940</v>
      </c>
      <c r="P232" s="123"/>
      <c r="Q232" s="123"/>
    </row>
    <row r="233" spans="1:17">
      <c r="A233" s="1650">
        <v>7</v>
      </c>
      <c r="B233" s="1505">
        <v>392</v>
      </c>
      <c r="C233" s="1505">
        <v>3920</v>
      </c>
      <c r="D233" s="1506" t="s">
        <v>2750</v>
      </c>
      <c r="E233" s="121"/>
      <c r="F233" s="122">
        <f>'SCH B-2.1'!I470</f>
        <v>218720</v>
      </c>
      <c r="G233" s="122"/>
      <c r="H233" s="122">
        <f>'SCH B-3'!K486</f>
        <v>16503</v>
      </c>
      <c r="I233" s="123"/>
      <c r="J233" s="1639">
        <v>9.2299999999999993E-2</v>
      </c>
      <c r="K233" s="123"/>
      <c r="L233" s="122" t="s">
        <v>3030</v>
      </c>
      <c r="M233" s="1521">
        <v>0</v>
      </c>
      <c r="N233" s="52">
        <v>12</v>
      </c>
      <c r="O233" s="52" t="s">
        <v>2912</v>
      </c>
      <c r="P233" s="123"/>
      <c r="Q233" s="123"/>
    </row>
    <row r="234" spans="1:17">
      <c r="A234" s="1650">
        <v>8</v>
      </c>
      <c r="B234" s="1505">
        <v>392</v>
      </c>
      <c r="C234" s="1505">
        <v>3921</v>
      </c>
      <c r="D234" s="1506" t="s">
        <v>1275</v>
      </c>
      <c r="E234" s="121"/>
      <c r="F234" s="122">
        <f>'SCH B-2.1'!I471</f>
        <v>201060</v>
      </c>
      <c r="G234" s="122"/>
      <c r="H234" s="122">
        <f>'SCH B-3'!K487</f>
        <v>131872</v>
      </c>
      <c r="I234" s="123"/>
      <c r="J234" s="1639">
        <v>4.4999999999999998E-2</v>
      </c>
      <c r="K234" s="123"/>
      <c r="L234" s="122" t="s">
        <v>3030</v>
      </c>
      <c r="M234" s="1521">
        <v>0.05</v>
      </c>
      <c r="N234" s="52">
        <v>18</v>
      </c>
      <c r="O234" s="52" t="s">
        <v>1924</v>
      </c>
      <c r="P234" s="123"/>
      <c r="Q234" s="123"/>
    </row>
    <row r="235" spans="1:17">
      <c r="A235" s="1650">
        <v>9</v>
      </c>
      <c r="B235" s="1505">
        <v>394</v>
      </c>
      <c r="C235" s="1505">
        <v>3940</v>
      </c>
      <c r="D235" s="1506" t="s">
        <v>774</v>
      </c>
      <c r="E235" s="121"/>
      <c r="F235" s="122">
        <f>'SCH B-2.1'!I472</f>
        <v>2071113</v>
      </c>
      <c r="G235" s="122"/>
      <c r="H235" s="122">
        <f>'SCH B-3'!K488</f>
        <v>535682</v>
      </c>
      <c r="I235" s="123"/>
      <c r="J235" s="1639">
        <v>0.04</v>
      </c>
      <c r="K235" s="1644"/>
      <c r="L235" s="122">
        <f>ROUND(F235*J235,0)</f>
        <v>82845</v>
      </c>
      <c r="M235" s="1521">
        <v>0</v>
      </c>
      <c r="N235" s="52">
        <v>25</v>
      </c>
      <c r="O235" s="52" t="s">
        <v>14</v>
      </c>
      <c r="P235" s="123"/>
      <c r="Q235" s="123"/>
    </row>
    <row r="236" spans="1:17">
      <c r="A236" s="1650">
        <v>10</v>
      </c>
      <c r="B236" s="1505">
        <v>394</v>
      </c>
      <c r="C236" s="1505" t="s">
        <v>3146</v>
      </c>
      <c r="D236" s="1506" t="s">
        <v>774</v>
      </c>
      <c r="E236" s="121"/>
      <c r="F236" s="122"/>
      <c r="G236" s="122"/>
      <c r="H236" s="1640">
        <v>-43000</v>
      </c>
      <c r="I236" s="123"/>
      <c r="J236" s="1641" t="s">
        <v>1004</v>
      </c>
      <c r="K236" s="1642" t="s">
        <v>319</v>
      </c>
      <c r="L236" s="122">
        <f>-ROUND(H236/5,0)</f>
        <v>8600</v>
      </c>
      <c r="M236" s="1643" t="s">
        <v>1940</v>
      </c>
      <c r="N236" s="52" t="s">
        <v>1940</v>
      </c>
      <c r="O236" s="52" t="s">
        <v>1940</v>
      </c>
      <c r="P236" s="123"/>
      <c r="Q236" s="123"/>
    </row>
    <row r="237" spans="1:17">
      <c r="A237" s="1650">
        <v>11</v>
      </c>
      <c r="B237" s="1505">
        <v>396</v>
      </c>
      <c r="C237" s="1505">
        <v>3960</v>
      </c>
      <c r="D237" s="1506" t="s">
        <v>1277</v>
      </c>
      <c r="E237" s="121"/>
      <c r="F237" s="122">
        <f>'SCH B-2.1'!I473</f>
        <v>11770</v>
      </c>
      <c r="G237" s="122"/>
      <c r="H237" s="122">
        <f>'SCH B-3'!K489</f>
        <v>6430</v>
      </c>
      <c r="I237" s="123"/>
      <c r="J237" s="1639">
        <v>8.6199999999999999E-2</v>
      </c>
      <c r="K237" s="1644"/>
      <c r="L237" s="122" t="s">
        <v>3030</v>
      </c>
      <c r="M237" s="1521">
        <v>0</v>
      </c>
      <c r="N237" s="52">
        <v>15</v>
      </c>
      <c r="O237" s="52" t="s">
        <v>1007</v>
      </c>
      <c r="P237" s="123"/>
      <c r="Q237" s="123"/>
    </row>
    <row r="238" spans="1:17">
      <c r="A238" s="1650">
        <v>12</v>
      </c>
      <c r="B238" s="1505">
        <v>397</v>
      </c>
      <c r="C238" s="1505">
        <v>3970</v>
      </c>
      <c r="D238" s="1506" t="s">
        <v>1330</v>
      </c>
      <c r="E238" s="121"/>
      <c r="F238" s="122">
        <f>'SCH B-2.1'!I474</f>
        <v>2885563</v>
      </c>
      <c r="G238" s="122"/>
      <c r="H238" s="122">
        <f>'SCH B-3'!K490</f>
        <v>1425228</v>
      </c>
      <c r="I238" s="123"/>
      <c r="J238" s="1639">
        <v>6.6699999999999995E-2</v>
      </c>
      <c r="K238" s="123"/>
      <c r="L238" s="122">
        <f>ROUND(F238*J238,0)</f>
        <v>192467</v>
      </c>
      <c r="M238" s="1521">
        <v>0</v>
      </c>
      <c r="N238" s="1645">
        <v>15</v>
      </c>
      <c r="O238" s="1645" t="s">
        <v>14</v>
      </c>
      <c r="P238" s="123"/>
      <c r="Q238" s="123"/>
    </row>
    <row r="239" spans="1:17">
      <c r="A239" s="1650">
        <v>13</v>
      </c>
      <c r="B239" s="1505" t="s">
        <v>3147</v>
      </c>
      <c r="C239" s="1505">
        <v>3970</v>
      </c>
      <c r="D239" s="1506" t="s">
        <v>1330</v>
      </c>
      <c r="E239" s="121"/>
      <c r="F239" s="122"/>
      <c r="G239" s="122"/>
      <c r="H239" s="1640">
        <v>75000</v>
      </c>
      <c r="I239" s="123"/>
      <c r="J239" s="1641" t="s">
        <v>1004</v>
      </c>
      <c r="K239" s="1642" t="s">
        <v>319</v>
      </c>
      <c r="L239" s="122">
        <f>-ROUND(H239/5,0)</f>
        <v>-15000</v>
      </c>
      <c r="M239" s="1643" t="s">
        <v>1940</v>
      </c>
      <c r="N239" s="52" t="s">
        <v>1940</v>
      </c>
      <c r="O239" s="52" t="s">
        <v>1940</v>
      </c>
      <c r="P239" s="123"/>
      <c r="Q239" s="123"/>
    </row>
    <row r="240" spans="1:17">
      <c r="A240" s="1650">
        <v>14</v>
      </c>
      <c r="B240" s="1505"/>
      <c r="C240" s="1505"/>
      <c r="D240" s="1506" t="s">
        <v>1483</v>
      </c>
      <c r="E240" s="121"/>
      <c r="F240" s="122">
        <f>'SCH B-2.1'!I475</f>
        <v>8026935</v>
      </c>
      <c r="G240" s="122"/>
      <c r="H240" s="122">
        <f>'SCH B-3'!K491</f>
        <v>1662946</v>
      </c>
      <c r="I240" s="123"/>
      <c r="J240" s="1639">
        <v>9.98E-2</v>
      </c>
      <c r="K240" s="123"/>
      <c r="L240" s="122">
        <f>ROUND(F240*J240,0)</f>
        <v>801088</v>
      </c>
      <c r="M240" s="123"/>
      <c r="N240" s="123"/>
      <c r="O240" s="123"/>
      <c r="P240" s="123"/>
      <c r="Q240" s="123"/>
    </row>
    <row r="241" spans="1:17">
      <c r="A241" s="1650">
        <v>15</v>
      </c>
      <c r="B241" s="1506"/>
      <c r="C241" s="1650">
        <v>108</v>
      </c>
      <c r="D241" s="121" t="s">
        <v>1329</v>
      </c>
      <c r="E241" s="123"/>
      <c r="F241" s="122">
        <f>'SCH B-2.1'!I476</f>
        <v>0</v>
      </c>
      <c r="G241" s="122"/>
      <c r="H241" s="122">
        <f>'SCH B-3'!K492</f>
        <v>11548</v>
      </c>
      <c r="I241" s="123"/>
      <c r="J241" s="123"/>
      <c r="K241" s="123"/>
      <c r="L241" s="122"/>
      <c r="M241" s="123"/>
      <c r="N241" s="123"/>
      <c r="O241" s="123"/>
      <c r="P241" s="123"/>
      <c r="Q241" s="123"/>
    </row>
    <row r="242" spans="1:17">
      <c r="A242" s="123"/>
      <c r="B242" s="1506"/>
      <c r="C242" s="1650"/>
      <c r="D242" s="121"/>
      <c r="E242" s="123"/>
      <c r="F242" s="123"/>
      <c r="G242" s="123"/>
      <c r="H242" s="123"/>
      <c r="I242" s="123"/>
      <c r="J242" s="123"/>
      <c r="K242" s="123"/>
      <c r="L242" s="122"/>
      <c r="M242" s="123"/>
      <c r="N242" s="123"/>
      <c r="O242" s="123"/>
      <c r="P242" s="123"/>
      <c r="Q242" s="123"/>
    </row>
    <row r="243" spans="1:17">
      <c r="A243" s="123"/>
      <c r="B243" s="123"/>
      <c r="C243" s="123"/>
      <c r="D243" s="123"/>
      <c r="E243" s="123"/>
      <c r="F243" s="1659"/>
      <c r="G243" s="1659"/>
      <c r="H243" s="1659"/>
      <c r="I243" s="1659"/>
      <c r="J243" s="1659"/>
      <c r="K243" s="1659"/>
      <c r="L243" s="1665"/>
      <c r="M243" s="1659"/>
      <c r="N243" s="1659"/>
      <c r="O243" s="1659"/>
      <c r="P243" s="123"/>
      <c r="Q243" s="123"/>
    </row>
    <row r="244" spans="1:17">
      <c r="A244" s="2724"/>
      <c r="B244" s="2724"/>
      <c r="C244" s="2724"/>
      <c r="D244" s="2724"/>
      <c r="E244" s="2724"/>
      <c r="F244" s="107"/>
      <c r="G244" s="107"/>
      <c r="H244" s="123"/>
      <c r="I244" s="123"/>
      <c r="J244" s="123"/>
      <c r="K244" s="123"/>
      <c r="L244" s="122"/>
      <c r="M244" s="123"/>
      <c r="N244" s="123"/>
      <c r="O244" s="123"/>
      <c r="P244" s="123"/>
      <c r="Q244" s="123"/>
    </row>
    <row r="245" spans="1:17">
      <c r="A245" s="1650">
        <v>16</v>
      </c>
      <c r="B245" s="123"/>
      <c r="C245" s="123"/>
      <c r="D245" s="121" t="s">
        <v>1485</v>
      </c>
      <c r="E245" s="121"/>
      <c r="F245" s="1514">
        <f>SUM(F227:F244)</f>
        <v>28554117</v>
      </c>
      <c r="G245" s="1658"/>
      <c r="H245" s="1514">
        <f>SUM(H227:H244)</f>
        <v>15939412</v>
      </c>
      <c r="I245" s="123"/>
      <c r="J245" s="123"/>
      <c r="K245" s="123"/>
      <c r="L245" s="1514">
        <f>SUM(L227:L244)</f>
        <v>2845247</v>
      </c>
      <c r="M245" s="123"/>
      <c r="N245" s="123"/>
      <c r="O245" s="123"/>
      <c r="P245" s="123"/>
      <c r="Q245" s="123"/>
    </row>
    <row r="246" spans="1:17">
      <c r="A246" s="123"/>
      <c r="B246" s="123"/>
      <c r="C246" s="123"/>
      <c r="D246" s="123"/>
      <c r="E246" s="123"/>
      <c r="F246" s="1665"/>
      <c r="G246" s="1665"/>
      <c r="H246" s="1665"/>
      <c r="I246" s="1659"/>
      <c r="J246" s="1659"/>
      <c r="K246" s="1659"/>
      <c r="L246" s="1665"/>
      <c r="M246" s="1659"/>
      <c r="N246" s="1659"/>
      <c r="O246" s="1659"/>
      <c r="P246" s="123"/>
      <c r="Q246" s="123"/>
    </row>
    <row r="247" spans="1:17">
      <c r="A247" s="2724"/>
      <c r="B247" s="2724"/>
      <c r="C247" s="2724"/>
      <c r="D247" s="2724"/>
      <c r="E247" s="2724"/>
      <c r="F247" s="125"/>
      <c r="G247" s="125"/>
      <c r="H247" s="122"/>
      <c r="I247" s="123"/>
      <c r="J247" s="123"/>
      <c r="K247" s="123"/>
      <c r="L247" s="122"/>
      <c r="M247" s="123"/>
      <c r="N247" s="123"/>
      <c r="O247" s="123"/>
      <c r="P247" s="123"/>
      <c r="Q247" s="123"/>
    </row>
    <row r="248" spans="1:17">
      <c r="A248" s="1650">
        <v>17</v>
      </c>
      <c r="B248" s="123"/>
      <c r="C248" s="123"/>
      <c r="D248" s="121" t="s">
        <v>59</v>
      </c>
      <c r="E248" s="121"/>
      <c r="F248" s="1514">
        <f>F245+F196+F138+F91+F44</f>
        <v>1699502878</v>
      </c>
      <c r="G248" s="1658"/>
      <c r="H248" s="1514">
        <f>H245+H196+H138+H91+H44</f>
        <v>809392246</v>
      </c>
      <c r="I248" s="123"/>
      <c r="J248" s="123"/>
      <c r="K248" s="123"/>
      <c r="L248" s="1514">
        <f>L245+L196+L138+L91+L44</f>
        <v>50697163</v>
      </c>
      <c r="M248" s="123"/>
      <c r="N248" s="123"/>
      <c r="O248" s="123"/>
      <c r="P248" s="123"/>
      <c r="Q248" s="123"/>
    </row>
    <row r="249" spans="1:17">
      <c r="A249" s="123"/>
      <c r="B249" s="123"/>
      <c r="C249" s="123"/>
      <c r="D249" s="123"/>
      <c r="E249" s="123"/>
      <c r="F249" s="1659"/>
      <c r="G249" s="1659"/>
      <c r="H249" s="1659"/>
      <c r="I249" s="1659"/>
      <c r="J249" s="1659"/>
      <c r="K249" s="1659"/>
      <c r="L249" s="1659"/>
      <c r="M249" s="1659"/>
      <c r="N249" s="1659"/>
      <c r="O249" s="1659"/>
      <c r="P249" s="123"/>
      <c r="Q249" s="123"/>
    </row>
    <row r="250" spans="1:17">
      <c r="A250" s="2724"/>
      <c r="B250" s="2724"/>
      <c r="C250" s="2724"/>
      <c r="D250" s="2724"/>
      <c r="E250" s="2724"/>
      <c r="F250" s="107"/>
      <c r="G250" s="107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</row>
    <row r="251" spans="1:17">
      <c r="A251" s="1644" t="s">
        <v>1662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</row>
    <row r="252" spans="1:17">
      <c r="A252" s="1644" t="s">
        <v>133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</row>
    <row r="253" spans="1:17">
      <c r="A253" s="1644" t="s">
        <v>3148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</row>
    <row r="254" spans="1:17">
      <c r="A254" s="123"/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</row>
    <row r="255" spans="1:17">
      <c r="A255" s="1655" t="str">
        <f t="shared" ref="A255:A260" si="7">A1</f>
        <v>DUKE ENERGY KENTUCKY, INC.</v>
      </c>
      <c r="B255" s="1655"/>
      <c r="C255" s="1655"/>
      <c r="D255" s="1655"/>
      <c r="E255" s="1655"/>
      <c r="F255" s="1655"/>
      <c r="G255" s="1655"/>
      <c r="H255" s="1655"/>
      <c r="I255" s="1655"/>
      <c r="J255" s="1655"/>
      <c r="K255" s="1655"/>
      <c r="L255" s="1655"/>
      <c r="M255" s="1655"/>
      <c r="N255" s="1655"/>
      <c r="O255" s="1655"/>
      <c r="P255" s="123"/>
      <c r="Q255" s="123"/>
    </row>
    <row r="256" spans="1:17">
      <c r="A256" s="1654" t="str">
        <f t="shared" si="7"/>
        <v>CASE NO. 2017-00321</v>
      </c>
      <c r="B256" s="1654"/>
      <c r="C256" s="1654"/>
      <c r="D256" s="1654"/>
      <c r="E256" s="1654"/>
      <c r="F256" s="1654"/>
      <c r="G256" s="1654"/>
      <c r="H256" s="1654"/>
      <c r="I256" s="1654"/>
      <c r="J256" s="1654"/>
      <c r="K256" s="1654"/>
      <c r="L256" s="1654"/>
      <c r="M256" s="1654"/>
      <c r="N256" s="1654"/>
      <c r="O256" s="1654"/>
      <c r="P256" s="123"/>
      <c r="Q256" s="123"/>
    </row>
    <row r="257" spans="1:17">
      <c r="A257" s="1654" t="str">
        <f t="shared" si="7"/>
        <v>DEPRECIATION AND AMORTIZATION ACCRUAL RATES AND</v>
      </c>
      <c r="B257" s="1654"/>
      <c r="C257" s="1654"/>
      <c r="D257" s="1654"/>
      <c r="E257" s="1654"/>
      <c r="F257" s="1654"/>
      <c r="G257" s="1654"/>
      <c r="H257" s="1654"/>
      <c r="I257" s="1654"/>
      <c r="J257" s="1654"/>
      <c r="K257" s="1654"/>
      <c r="L257" s="1654"/>
      <c r="M257" s="1654"/>
      <c r="N257" s="1654"/>
      <c r="O257" s="1654"/>
      <c r="P257" s="123"/>
      <c r="Q257" s="123"/>
    </row>
    <row r="258" spans="1:17">
      <c r="A258" s="1654" t="str">
        <f t="shared" si="7"/>
        <v>JURISDICTIONAL ACCUMULATED BALANCES BY ACCOUNTS,</v>
      </c>
      <c r="B258" s="1654"/>
      <c r="C258" s="1654"/>
      <c r="D258" s="1654"/>
      <c r="E258" s="1654"/>
      <c r="F258" s="1654"/>
      <c r="G258" s="1654"/>
      <c r="H258" s="1654"/>
      <c r="I258" s="1654"/>
      <c r="J258" s="1654"/>
      <c r="K258" s="1654"/>
      <c r="L258" s="1654"/>
      <c r="M258" s="1654"/>
      <c r="N258" s="1654"/>
      <c r="O258" s="1654"/>
      <c r="P258" s="123"/>
      <c r="Q258" s="123"/>
    </row>
    <row r="259" spans="1:17">
      <c r="A259" s="1654" t="str">
        <f t="shared" si="7"/>
        <v>FUNCTIONAL CLASS OR MAJOR PROPERTY GROUP</v>
      </c>
      <c r="B259" s="1654"/>
      <c r="C259" s="1654"/>
      <c r="D259" s="1654"/>
      <c r="E259" s="1654"/>
      <c r="F259" s="1654"/>
      <c r="G259" s="1654"/>
      <c r="H259" s="1654"/>
      <c r="I259" s="1654"/>
      <c r="J259" s="1654"/>
      <c r="K259" s="1654"/>
      <c r="L259" s="1654"/>
      <c r="M259" s="1654"/>
      <c r="N259" s="1654"/>
      <c r="O259" s="1654"/>
      <c r="P259" s="123"/>
      <c r="Q259" s="123"/>
    </row>
    <row r="260" spans="1:17">
      <c r="A260" s="1654" t="str">
        <f t="shared" si="7"/>
        <v>THIRTEEN MONTH AVERAGE AS OF MARCH 31, 2019</v>
      </c>
      <c r="B260" s="1654"/>
      <c r="C260" s="1654"/>
      <c r="D260" s="1654"/>
      <c r="E260" s="1654"/>
      <c r="F260" s="1654"/>
      <c r="G260" s="1654"/>
      <c r="H260" s="1654"/>
      <c r="I260" s="1654"/>
      <c r="J260" s="1654"/>
      <c r="K260" s="1654"/>
      <c r="L260" s="1654"/>
      <c r="M260" s="1654"/>
      <c r="N260" s="1654"/>
      <c r="O260" s="1654"/>
      <c r="P260" s="123"/>
      <c r="Q260" s="123"/>
    </row>
    <row r="261" spans="1:17">
      <c r="A261" s="1655"/>
      <c r="B261" s="1655"/>
      <c r="C261" s="1655"/>
      <c r="D261" s="1655"/>
      <c r="E261" s="1655"/>
      <c r="F261" s="1655"/>
      <c r="G261" s="1655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</row>
    <row r="262" spans="1:17">
      <c r="A262" s="1654" t="s">
        <v>1280</v>
      </c>
      <c r="B262" s="1654"/>
      <c r="C262" s="1654"/>
      <c r="D262" s="1654"/>
      <c r="E262" s="1654"/>
      <c r="F262" s="1654"/>
      <c r="G262" s="1654"/>
      <c r="H262" s="1654"/>
      <c r="I262" s="1654"/>
      <c r="J262" s="1654"/>
      <c r="K262" s="1654"/>
      <c r="L262" s="1654"/>
      <c r="M262" s="1654"/>
      <c r="N262" s="1654"/>
      <c r="O262" s="1654"/>
      <c r="P262" s="123"/>
      <c r="Q262" s="123"/>
    </row>
    <row r="263" spans="1:17">
      <c r="A263" s="1657" t="s">
        <v>1799</v>
      </c>
      <c r="B263" s="1657"/>
      <c r="C263" s="1657"/>
      <c r="D263" s="1657"/>
      <c r="E263" s="1657"/>
      <c r="F263" s="1657"/>
      <c r="G263" s="1657"/>
      <c r="H263" s="1657"/>
      <c r="I263" s="1657"/>
      <c r="J263" s="1657"/>
      <c r="K263" s="1657"/>
      <c r="L263" s="1657"/>
      <c r="M263" s="1657"/>
      <c r="N263" s="1657"/>
      <c r="O263" s="1657"/>
      <c r="P263" s="123"/>
      <c r="Q263" s="123"/>
    </row>
    <row r="264" spans="1:17">
      <c r="A264" s="1656"/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</row>
    <row r="265" spans="1:17">
      <c r="A265" s="121" t="str">
        <f>A12</f>
        <v>DATA:  BASE PERIOD  "X" FORECASTED PERIOD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658" t="str">
        <f>M12</f>
        <v>SCHEDULE B-3.2</v>
      </c>
      <c r="N265" s="123"/>
      <c r="O265" s="123"/>
      <c r="P265" s="123"/>
      <c r="Q265" s="123"/>
    </row>
    <row r="266" spans="1:17">
      <c r="A266" s="121" t="str">
        <f>A13</f>
        <v xml:space="preserve">TYPE OF FILING:  "X" ORIGINAL   UPDATED    REVISED  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658" t="s">
        <v>1917</v>
      </c>
      <c r="N266" s="123"/>
      <c r="O266" s="123"/>
      <c r="P266" s="123"/>
      <c r="Q266" s="123"/>
    </row>
    <row r="267" spans="1:17">
      <c r="A267" s="121" t="str">
        <f>A14</f>
        <v>WORK PAPER REFERENCE NOS.: SCHEDULE B-2.1, SCHEDULE B-3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658" t="str">
        <f>M14</f>
        <v>WITNESS RESPONSIBLE:</v>
      </c>
      <c r="N267" s="123"/>
      <c r="O267" s="123"/>
      <c r="P267" s="123"/>
      <c r="Q267" s="123"/>
    </row>
    <row r="268" spans="1:17">
      <c r="A268" s="123"/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671" t="str">
        <f>M15</f>
        <v>R. H. PRATT / C. S. LEE</v>
      </c>
      <c r="N268" s="123"/>
      <c r="O268" s="123"/>
      <c r="P268" s="123"/>
      <c r="Q268" s="123"/>
    </row>
    <row r="269" spans="1:17">
      <c r="A269" s="123"/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</row>
    <row r="270" spans="1:17">
      <c r="A270" s="123"/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</row>
    <row r="271" spans="1:17">
      <c r="A271" s="123"/>
      <c r="B271" s="123"/>
      <c r="C271" s="123"/>
      <c r="D271" s="123"/>
      <c r="E271" s="123"/>
      <c r="F271" s="1659"/>
      <c r="G271" s="1659"/>
      <c r="H271" s="1659"/>
      <c r="I271" s="1659"/>
      <c r="J271" s="1659"/>
      <c r="K271" s="1659"/>
      <c r="L271" s="1659"/>
      <c r="M271" s="1659"/>
      <c r="N271" s="1659"/>
      <c r="O271" s="1659"/>
      <c r="P271" s="123"/>
      <c r="Q271" s="123"/>
    </row>
    <row r="272" spans="1:17">
      <c r="A272" s="2724"/>
      <c r="B272" s="2728"/>
      <c r="C272" s="2727"/>
      <c r="D272" s="2724"/>
      <c r="E272" s="2724"/>
      <c r="F272" s="120" t="s">
        <v>911</v>
      </c>
      <c r="G272" s="120"/>
      <c r="H272" s="120"/>
      <c r="I272" s="123"/>
      <c r="J272" s="123"/>
      <c r="K272" s="123"/>
      <c r="L272" s="123"/>
      <c r="M272" s="123"/>
      <c r="N272" s="123"/>
      <c r="O272" s="123"/>
      <c r="P272" s="123"/>
      <c r="Q272" s="123"/>
    </row>
    <row r="273" spans="1:17">
      <c r="A273" s="107"/>
      <c r="B273" s="115" t="s">
        <v>943</v>
      </c>
      <c r="C273" s="115" t="s">
        <v>1750</v>
      </c>
      <c r="D273" s="1650" t="s">
        <v>1165</v>
      </c>
      <c r="E273" s="1650"/>
      <c r="F273" s="2799" t="s">
        <v>1424</v>
      </c>
      <c r="G273" s="2799"/>
      <c r="H273" s="2799"/>
      <c r="I273" s="123"/>
      <c r="J273" s="1645" t="s">
        <v>2995</v>
      </c>
      <c r="K273" s="123"/>
      <c r="L273" s="1645" t="s">
        <v>913</v>
      </c>
      <c r="M273" s="123"/>
      <c r="N273" s="1645" t="s">
        <v>873</v>
      </c>
      <c r="O273" s="123"/>
      <c r="P273" s="123"/>
      <c r="Q273" s="123"/>
    </row>
    <row r="274" spans="1:17">
      <c r="A274" s="1650" t="s">
        <v>1240</v>
      </c>
      <c r="B274" s="1650" t="s">
        <v>1164</v>
      </c>
      <c r="C274" s="1650" t="s">
        <v>1164</v>
      </c>
      <c r="D274" s="1645" t="s">
        <v>914</v>
      </c>
      <c r="E274" s="1645"/>
      <c r="F274" s="1645" t="s">
        <v>1328</v>
      </c>
      <c r="G274" s="1645"/>
      <c r="H274" s="1645" t="s">
        <v>328</v>
      </c>
      <c r="I274" s="123"/>
      <c r="J274" s="1645" t="s">
        <v>915</v>
      </c>
      <c r="K274" s="123"/>
      <c r="L274" s="1645" t="s">
        <v>0</v>
      </c>
      <c r="M274" s="1642" t="s">
        <v>1</v>
      </c>
      <c r="N274" s="1645" t="s">
        <v>2</v>
      </c>
      <c r="O274" s="1645" t="s">
        <v>3</v>
      </c>
      <c r="P274" s="123"/>
      <c r="Q274" s="123"/>
    </row>
    <row r="275" spans="1:17">
      <c r="A275" s="1650" t="s">
        <v>1241</v>
      </c>
      <c r="B275" s="1650" t="s">
        <v>1241</v>
      </c>
      <c r="C275" s="1650" t="s">
        <v>1241</v>
      </c>
      <c r="D275" s="1650" t="s">
        <v>4</v>
      </c>
      <c r="E275" s="1650"/>
      <c r="F275" s="1650" t="s">
        <v>1376</v>
      </c>
      <c r="G275" s="1650"/>
      <c r="H275" s="1645" t="s">
        <v>123</v>
      </c>
      <c r="I275" s="123"/>
      <c r="J275" s="1645" t="s">
        <v>1312</v>
      </c>
      <c r="K275" s="123"/>
      <c r="L275" s="1645" t="s">
        <v>478</v>
      </c>
      <c r="M275" s="1645" t="s">
        <v>5</v>
      </c>
      <c r="N275" s="1645" t="s">
        <v>6</v>
      </c>
      <c r="O275" s="1645" t="s">
        <v>7</v>
      </c>
      <c r="P275" s="123"/>
      <c r="Q275" s="123"/>
    </row>
    <row r="276" spans="1:17">
      <c r="A276" s="1661" t="s">
        <v>296</v>
      </c>
      <c r="B276" s="1661" t="s">
        <v>8</v>
      </c>
      <c r="C276" s="1661" t="s">
        <v>9</v>
      </c>
      <c r="D276" s="1661" t="s">
        <v>303</v>
      </c>
      <c r="E276" s="1661"/>
      <c r="F276" s="1661" t="s">
        <v>944</v>
      </c>
      <c r="G276" s="1661"/>
      <c r="H276" s="1662" t="s">
        <v>1935</v>
      </c>
      <c r="I276" s="1659"/>
      <c r="J276" s="1662" t="s">
        <v>298</v>
      </c>
      <c r="K276" s="1662"/>
      <c r="L276" s="1662" t="s">
        <v>10</v>
      </c>
      <c r="M276" s="1662" t="s">
        <v>11</v>
      </c>
      <c r="N276" s="1662" t="s">
        <v>945</v>
      </c>
      <c r="O276" s="1662" t="s">
        <v>12</v>
      </c>
      <c r="P276" s="123"/>
      <c r="Q276" s="123"/>
    </row>
    <row r="277" spans="1:17">
      <c r="A277" s="1672"/>
      <c r="B277" s="1672"/>
      <c r="C277" s="1672"/>
      <c r="D277" s="1672"/>
      <c r="E277" s="1672"/>
      <c r="F277" s="108" t="s">
        <v>1705</v>
      </c>
      <c r="G277" s="1672"/>
      <c r="H277" s="109" t="s">
        <v>1705</v>
      </c>
      <c r="I277" s="112"/>
      <c r="J277" s="1673"/>
      <c r="K277" s="1673"/>
      <c r="L277" s="109" t="s">
        <v>1705</v>
      </c>
      <c r="M277" s="1673"/>
      <c r="N277" s="1673"/>
      <c r="O277" s="1673"/>
      <c r="P277" s="123"/>
      <c r="Q277" s="123"/>
    </row>
    <row r="278" spans="1:17">
      <c r="A278" s="123"/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</row>
    <row r="279" spans="1:17">
      <c r="A279" s="1650" t="s">
        <v>1166</v>
      </c>
      <c r="B279" s="1645"/>
      <c r="C279" s="1505">
        <v>1030</v>
      </c>
      <c r="D279" s="1506" t="s">
        <v>1273</v>
      </c>
      <c r="E279" s="121"/>
      <c r="F279" s="1514">
        <f>'SCH B-2.1'!I508</f>
        <v>22332073</v>
      </c>
      <c r="G279" s="121"/>
      <c r="H279" s="122">
        <f>'SCH B-3'!K525</f>
        <v>22324247</v>
      </c>
      <c r="I279" s="123"/>
      <c r="J279" s="124" t="s">
        <v>1209</v>
      </c>
      <c r="K279" s="123"/>
      <c r="L279" s="1674">
        <v>59325</v>
      </c>
      <c r="M279" s="45" t="s">
        <v>1378</v>
      </c>
      <c r="N279" s="45"/>
      <c r="O279" s="45"/>
      <c r="P279" s="123"/>
      <c r="Q279" s="123"/>
    </row>
    <row r="280" spans="1:17">
      <c r="A280" s="1650">
        <v>2</v>
      </c>
      <c r="B280" s="1645"/>
      <c r="C280" s="1505">
        <v>1701</v>
      </c>
      <c r="D280" s="1506" t="s">
        <v>2290</v>
      </c>
      <c r="E280" s="121"/>
      <c r="F280" s="1514">
        <f>'SCH B-2.1'!I509</f>
        <v>0</v>
      </c>
      <c r="G280" s="121"/>
      <c r="H280" s="122">
        <f>'SCH B-3'!K526</f>
        <v>0</v>
      </c>
      <c r="I280" s="123"/>
      <c r="J280" s="124"/>
      <c r="K280" s="123"/>
      <c r="L280" s="122"/>
      <c r="M280" s="45"/>
      <c r="N280" s="45"/>
      <c r="O280" s="45"/>
      <c r="P280" s="123"/>
      <c r="Q280" s="123"/>
    </row>
    <row r="281" spans="1:17">
      <c r="A281" s="1650">
        <v>3</v>
      </c>
      <c r="B281" s="1645"/>
      <c r="C281" s="1505">
        <v>1890</v>
      </c>
      <c r="D281" s="1506" t="s">
        <v>849</v>
      </c>
      <c r="E281" s="121"/>
      <c r="F281" s="1514">
        <f>'SCH B-2.1'!I510</f>
        <v>154248</v>
      </c>
      <c r="G281" s="121"/>
      <c r="H281" s="122">
        <f>'SCH B-3'!K527</f>
        <v>0</v>
      </c>
      <c r="I281" s="123"/>
      <c r="J281" s="1521">
        <v>0</v>
      </c>
      <c r="K281" s="123"/>
      <c r="L281" s="122">
        <f>ROUND(F281*J281,0)</f>
        <v>0</v>
      </c>
      <c r="M281" s="45" t="s">
        <v>13</v>
      </c>
      <c r="N281" s="45"/>
      <c r="O281" s="45"/>
      <c r="P281" s="123"/>
      <c r="Q281" s="123"/>
    </row>
    <row r="282" spans="1:17">
      <c r="A282" s="1650">
        <v>4</v>
      </c>
      <c r="B282" s="1645"/>
      <c r="C282" s="1505">
        <v>1900</v>
      </c>
      <c r="D282" s="1506" t="s">
        <v>1170</v>
      </c>
      <c r="E282" s="121"/>
      <c r="F282" s="1514">
        <f>'SCH B-2.1'!I511</f>
        <v>11174046</v>
      </c>
      <c r="G282" s="121"/>
      <c r="H282" s="122">
        <f>'SCH B-3'!K528</f>
        <v>7125478</v>
      </c>
      <c r="I282" s="123"/>
      <c r="J282" s="1521">
        <v>1.6400000000000001E-2</v>
      </c>
      <c r="K282" s="1675" t="s">
        <v>318</v>
      </c>
      <c r="L282" s="122">
        <f>ROUND(F282*J282,0)</f>
        <v>183254</v>
      </c>
      <c r="M282" s="1676" t="s">
        <v>318</v>
      </c>
      <c r="N282" s="1677" t="s">
        <v>318</v>
      </c>
      <c r="O282" s="1677" t="s">
        <v>318</v>
      </c>
      <c r="P282" s="123"/>
      <c r="Q282" s="123"/>
    </row>
    <row r="283" spans="1:17">
      <c r="A283" s="1650">
        <v>5</v>
      </c>
      <c r="B283" s="1645"/>
      <c r="C283" s="1505">
        <v>1910</v>
      </c>
      <c r="D283" s="1506" t="s">
        <v>1274</v>
      </c>
      <c r="E283" s="121"/>
      <c r="F283" s="1514">
        <f>'SCH B-2.1'!I512</f>
        <v>719196</v>
      </c>
      <c r="G283" s="121"/>
      <c r="H283" s="122">
        <f>'SCH B-3'!K529</f>
        <v>30678</v>
      </c>
      <c r="I283" s="123"/>
      <c r="J283" s="1521">
        <v>0.05</v>
      </c>
      <c r="K283" s="123"/>
      <c r="L283" s="122">
        <f>ROUND(F283*J283,0)</f>
        <v>35960</v>
      </c>
      <c r="M283" s="1521">
        <v>0</v>
      </c>
      <c r="N283" s="52">
        <v>20</v>
      </c>
      <c r="O283" s="52" t="s">
        <v>14</v>
      </c>
      <c r="P283" s="123"/>
      <c r="Q283" s="123"/>
    </row>
    <row r="284" spans="1:17">
      <c r="A284" s="1650">
        <v>6</v>
      </c>
      <c r="B284" s="1645"/>
      <c r="C284" s="1505" t="s">
        <v>3149</v>
      </c>
      <c r="D284" s="1506" t="s">
        <v>1274</v>
      </c>
      <c r="E284" s="121"/>
      <c r="F284" s="1514"/>
      <c r="G284" s="121"/>
      <c r="H284" s="1640">
        <v>550</v>
      </c>
      <c r="I284" s="123"/>
      <c r="J284" s="1646" t="s">
        <v>1004</v>
      </c>
      <c r="K284" s="1681" t="s">
        <v>319</v>
      </c>
      <c r="L284" s="122">
        <f>-(H284/5)</f>
        <v>-110</v>
      </c>
      <c r="M284" s="1643" t="s">
        <v>1940</v>
      </c>
      <c r="N284" s="1652" t="s">
        <v>1940</v>
      </c>
      <c r="O284" s="1652" t="s">
        <v>1940</v>
      </c>
      <c r="P284" s="123"/>
      <c r="Q284" s="123"/>
    </row>
    <row r="285" spans="1:17">
      <c r="A285" s="1650">
        <v>7</v>
      </c>
      <c r="B285" s="1645"/>
      <c r="C285" s="1505">
        <v>1911</v>
      </c>
      <c r="D285" s="1506" t="s">
        <v>776</v>
      </c>
      <c r="E285" s="121"/>
      <c r="F285" s="1514">
        <f>'SCH B-2.1'!I513</f>
        <v>792659</v>
      </c>
      <c r="G285" s="121"/>
      <c r="H285" s="122">
        <f>'SCH B-3'!K530</f>
        <v>753516</v>
      </c>
      <c r="I285" s="123"/>
      <c r="J285" s="1521">
        <v>0.2</v>
      </c>
      <c r="K285" s="1645"/>
      <c r="L285" s="122">
        <f>ROUND(F285*J285,0)</f>
        <v>158532</v>
      </c>
      <c r="M285" s="1521">
        <v>0</v>
      </c>
      <c r="N285" s="52">
        <v>5</v>
      </c>
      <c r="O285" s="52" t="s">
        <v>14</v>
      </c>
      <c r="P285" s="123"/>
      <c r="Q285" s="123"/>
    </row>
    <row r="286" spans="1:17">
      <c r="A286" s="1650">
        <v>8</v>
      </c>
      <c r="B286" s="1645"/>
      <c r="C286" s="1505" t="s">
        <v>3150</v>
      </c>
      <c r="D286" s="1506" t="s">
        <v>776</v>
      </c>
      <c r="E286" s="121"/>
      <c r="F286" s="1514"/>
      <c r="G286" s="121"/>
      <c r="H286" s="1640">
        <v>-57600</v>
      </c>
      <c r="I286" s="123"/>
      <c r="J286" s="1646" t="s">
        <v>1004</v>
      </c>
      <c r="K286" s="1681" t="s">
        <v>319</v>
      </c>
      <c r="L286" s="122">
        <f>-(H286/5)</f>
        <v>11520</v>
      </c>
      <c r="M286" s="1643" t="s">
        <v>1940</v>
      </c>
      <c r="N286" s="1652" t="s">
        <v>1940</v>
      </c>
      <c r="O286" s="1652" t="s">
        <v>1940</v>
      </c>
      <c r="P286" s="123"/>
      <c r="Q286" s="123"/>
    </row>
    <row r="287" spans="1:17">
      <c r="A287" s="1650">
        <v>9</v>
      </c>
      <c r="B287" s="1645"/>
      <c r="C287" s="1505">
        <v>1940</v>
      </c>
      <c r="D287" s="1506" t="s">
        <v>1276</v>
      </c>
      <c r="E287" s="121"/>
      <c r="F287" s="1514">
        <f>'SCH B-2.1'!I514</f>
        <v>117019</v>
      </c>
      <c r="G287" s="121"/>
      <c r="H287" s="122">
        <f>'SCH B-3'!K531</f>
        <v>71156</v>
      </c>
      <c r="I287" s="123"/>
      <c r="J287" s="1521">
        <v>0.04</v>
      </c>
      <c r="K287" s="1645"/>
      <c r="L287" s="122">
        <f>ROUND(F287*J287,0)</f>
        <v>4681</v>
      </c>
      <c r="M287" s="1521">
        <v>0</v>
      </c>
      <c r="N287" s="52">
        <v>25</v>
      </c>
      <c r="O287" s="52" t="s">
        <v>14</v>
      </c>
      <c r="P287" s="123"/>
      <c r="Q287" s="123"/>
    </row>
    <row r="288" spans="1:17">
      <c r="A288" s="1650">
        <v>10</v>
      </c>
      <c r="B288" s="1645"/>
      <c r="C288" s="1505" t="s">
        <v>3151</v>
      </c>
      <c r="D288" s="1506" t="s">
        <v>1276</v>
      </c>
      <c r="E288" s="121"/>
      <c r="F288" s="1514"/>
      <c r="G288" s="121"/>
      <c r="H288" s="1640">
        <v>18000</v>
      </c>
      <c r="I288" s="123"/>
      <c r="J288" s="1646" t="s">
        <v>1004</v>
      </c>
      <c r="K288" s="1681" t="s">
        <v>319</v>
      </c>
      <c r="L288" s="122">
        <f>-(H288/5)</f>
        <v>-3600</v>
      </c>
      <c r="M288" s="1643" t="s">
        <v>1940</v>
      </c>
      <c r="N288" s="1652" t="s">
        <v>1940</v>
      </c>
      <c r="O288" s="1652" t="s">
        <v>1940</v>
      </c>
      <c r="P288" s="123"/>
      <c r="Q288" s="123"/>
    </row>
    <row r="289" spans="1:17">
      <c r="A289" s="1650">
        <v>11</v>
      </c>
      <c r="B289" s="1645"/>
      <c r="C289" s="1505">
        <v>1970</v>
      </c>
      <c r="D289" s="1506" t="s">
        <v>1330</v>
      </c>
      <c r="E289" s="121"/>
      <c r="F289" s="1514">
        <f>'SCH B-2.1'!I515</f>
        <v>7708586</v>
      </c>
      <c r="G289" s="121"/>
      <c r="H289" s="122">
        <f>'SCH B-3'!K532</f>
        <v>8425744</v>
      </c>
      <c r="I289" s="123"/>
      <c r="J289" s="1521">
        <v>6.6699999999999995E-2</v>
      </c>
      <c r="K289" s="1645"/>
      <c r="L289" s="1647" t="s">
        <v>3154</v>
      </c>
      <c r="M289" s="1521">
        <v>0</v>
      </c>
      <c r="N289" s="52">
        <v>15</v>
      </c>
      <c r="O289" s="52" t="s">
        <v>14</v>
      </c>
      <c r="P289" s="123"/>
      <c r="Q289" s="123"/>
    </row>
    <row r="290" spans="1:17">
      <c r="A290" s="1650">
        <v>12</v>
      </c>
      <c r="B290" s="1645"/>
      <c r="C290" s="1505" t="s">
        <v>3152</v>
      </c>
      <c r="D290" s="1506" t="s">
        <v>1330</v>
      </c>
      <c r="E290" s="121"/>
      <c r="F290" s="1514"/>
      <c r="G290" s="121"/>
      <c r="H290" s="1640">
        <v>3766000</v>
      </c>
      <c r="I290" s="123"/>
      <c r="J290" s="1646" t="s">
        <v>1004</v>
      </c>
      <c r="K290" s="1681" t="s">
        <v>319</v>
      </c>
      <c r="L290" s="122">
        <f>-(H290/5)</f>
        <v>-753200</v>
      </c>
      <c r="M290" s="1643" t="s">
        <v>1940</v>
      </c>
      <c r="N290" s="1652" t="s">
        <v>1940</v>
      </c>
      <c r="O290" s="1652" t="s">
        <v>1940</v>
      </c>
      <c r="P290" s="123"/>
      <c r="Q290" s="123"/>
    </row>
    <row r="291" spans="1:17">
      <c r="A291" s="1650">
        <v>13</v>
      </c>
      <c r="B291" s="1645"/>
      <c r="C291" s="1505">
        <v>1980</v>
      </c>
      <c r="D291" s="1506" t="s">
        <v>1278</v>
      </c>
      <c r="E291" s="121"/>
      <c r="F291" s="1514">
        <f>'SCH B-2.1'!I516</f>
        <v>41504</v>
      </c>
      <c r="G291" s="121"/>
      <c r="H291" s="122">
        <f>'SCH B-3'!K533</f>
        <v>16486</v>
      </c>
      <c r="I291" s="123"/>
      <c r="J291" s="1521">
        <v>6.6699999999999995E-2</v>
      </c>
      <c r="K291" s="1642"/>
      <c r="L291" s="122">
        <f>ROUND(F291*J291,0)</f>
        <v>2768</v>
      </c>
      <c r="M291" s="1521">
        <v>0</v>
      </c>
      <c r="N291" s="52">
        <v>15</v>
      </c>
      <c r="O291" s="52" t="s">
        <v>14</v>
      </c>
      <c r="P291" s="123"/>
      <c r="Q291" s="123"/>
    </row>
    <row r="292" spans="1:17">
      <c r="A292" s="1650">
        <v>14</v>
      </c>
      <c r="B292" s="1645"/>
      <c r="C292" s="1505" t="s">
        <v>3153</v>
      </c>
      <c r="D292" s="1506" t="s">
        <v>1278</v>
      </c>
      <c r="E292" s="121"/>
      <c r="F292" s="1514"/>
      <c r="G292" s="121"/>
      <c r="H292" s="1640">
        <v>-4300</v>
      </c>
      <c r="I292" s="123"/>
      <c r="J292" s="1646" t="s">
        <v>1004</v>
      </c>
      <c r="K292" s="1681" t="s">
        <v>319</v>
      </c>
      <c r="L292" s="122">
        <f>-(H292/5)</f>
        <v>860</v>
      </c>
      <c r="M292" s="1643" t="s">
        <v>1940</v>
      </c>
      <c r="N292" s="1652" t="s">
        <v>1940</v>
      </c>
      <c r="O292" s="1652" t="s">
        <v>1940</v>
      </c>
      <c r="P292" s="123"/>
      <c r="Q292" s="123"/>
    </row>
    <row r="293" spans="1:17">
      <c r="A293" s="1650">
        <v>15</v>
      </c>
      <c r="B293" s="1645"/>
      <c r="C293" s="1505"/>
      <c r="D293" s="1506" t="s">
        <v>1483</v>
      </c>
      <c r="E293" s="121"/>
      <c r="F293" s="1514">
        <f>'SCH B-2.1'!I517</f>
        <v>0</v>
      </c>
      <c r="G293" s="121"/>
      <c r="H293" s="122">
        <f>'SCH B-3'!K534</f>
        <v>0</v>
      </c>
      <c r="I293" s="123"/>
      <c r="J293" s="1521">
        <v>4.3400000000000001E-2</v>
      </c>
      <c r="K293" s="123"/>
      <c r="L293" s="122">
        <f>ROUND(F293*J293,0)</f>
        <v>0</v>
      </c>
      <c r="M293" s="1651"/>
      <c r="N293" s="52"/>
      <c r="O293" s="52"/>
      <c r="P293" s="123"/>
      <c r="Q293" s="123"/>
    </row>
    <row r="294" spans="1:17">
      <c r="A294" s="1650">
        <v>16</v>
      </c>
      <c r="B294" s="1645"/>
      <c r="C294" s="1505">
        <v>108</v>
      </c>
      <c r="D294" s="1506" t="s">
        <v>1329</v>
      </c>
      <c r="E294" s="121"/>
      <c r="F294" s="1514">
        <f>'SCH B-2.1'!I518</f>
        <v>0</v>
      </c>
      <c r="G294" s="121"/>
      <c r="H294" s="122">
        <f>'SCH B-3'!K535</f>
        <v>-146811</v>
      </c>
      <c r="I294" s="123"/>
      <c r="J294" s="1651"/>
      <c r="K294" s="123"/>
      <c r="L294" s="122"/>
      <c r="M294" s="45"/>
      <c r="N294" s="1653"/>
      <c r="O294" s="52"/>
      <c r="P294" s="123"/>
      <c r="Q294" s="123"/>
    </row>
    <row r="295" spans="1:17">
      <c r="A295" s="1650"/>
      <c r="B295" s="123"/>
      <c r="C295" s="1650"/>
      <c r="D295" s="121"/>
      <c r="E295" s="121"/>
      <c r="F295" s="123"/>
      <c r="G295" s="121"/>
      <c r="H295" s="122"/>
      <c r="I295" s="123"/>
      <c r="J295" s="1651"/>
      <c r="K295" s="123"/>
      <c r="L295" s="122"/>
      <c r="M295" s="45"/>
      <c r="N295" s="1653"/>
      <c r="O295" s="45"/>
      <c r="P295" s="123"/>
      <c r="Q295" s="123"/>
    </row>
    <row r="296" spans="1:17">
      <c r="A296" s="123"/>
      <c r="B296" s="123"/>
      <c r="C296" s="123"/>
      <c r="D296" s="123"/>
      <c r="E296" s="123"/>
      <c r="F296" s="123"/>
      <c r="G296" s="1659"/>
      <c r="H296" s="1659"/>
      <c r="I296" s="1659"/>
      <c r="J296" s="1678"/>
      <c r="K296" s="1659"/>
      <c r="L296" s="1665"/>
      <c r="M296" s="1659"/>
      <c r="N296" s="1659"/>
      <c r="O296" s="1659"/>
      <c r="P296" s="123"/>
      <c r="Q296" s="123"/>
    </row>
    <row r="297" spans="1:17">
      <c r="A297" s="2724"/>
      <c r="B297" s="2724"/>
      <c r="C297" s="2724"/>
      <c r="D297" s="2724"/>
      <c r="E297" s="2724"/>
      <c r="F297" s="2724"/>
      <c r="G297" s="107"/>
      <c r="H297" s="123"/>
      <c r="I297" s="123"/>
      <c r="J297" s="123"/>
      <c r="K297" s="123"/>
      <c r="L297" s="122"/>
      <c r="M297" s="123"/>
      <c r="N297" s="123"/>
      <c r="O297" s="123"/>
      <c r="P297" s="123"/>
      <c r="Q297" s="123"/>
    </row>
    <row r="298" spans="1:17">
      <c r="A298" s="1650">
        <v>17</v>
      </c>
      <c r="B298" s="123"/>
      <c r="C298" s="123"/>
      <c r="D298" s="121" t="s">
        <v>1663</v>
      </c>
      <c r="E298" s="121"/>
      <c r="F298" s="1514">
        <f>SUM(F279:F297)</f>
        <v>43039331</v>
      </c>
      <c r="G298" s="121"/>
      <c r="H298" s="1514">
        <f>SUM(H279:H297)</f>
        <v>42323144</v>
      </c>
      <c r="I298" s="123"/>
      <c r="J298" s="1514"/>
      <c r="K298" s="123"/>
      <c r="L298" s="1514">
        <f>SUM(L279:L297)</f>
        <v>-300010</v>
      </c>
      <c r="M298" s="123"/>
      <c r="N298" s="123"/>
      <c r="O298" s="123"/>
      <c r="P298" s="123"/>
      <c r="Q298" s="123"/>
    </row>
    <row r="299" spans="1:17">
      <c r="A299" s="123"/>
      <c r="B299" s="123"/>
      <c r="C299" s="123"/>
      <c r="D299" s="123"/>
      <c r="E299" s="123"/>
      <c r="F299" s="1659"/>
      <c r="G299" s="1659"/>
      <c r="H299" s="1659"/>
      <c r="I299" s="1659"/>
      <c r="J299" s="1659"/>
      <c r="K299" s="1659"/>
      <c r="L299" s="1665"/>
      <c r="M299" s="1659"/>
      <c r="N299" s="1659"/>
      <c r="O299" s="1659"/>
      <c r="P299" s="123"/>
      <c r="Q299" s="123"/>
    </row>
    <row r="300" spans="1:17">
      <c r="A300" s="2724"/>
      <c r="B300" s="2724"/>
      <c r="C300" s="2724"/>
      <c r="D300" s="2724"/>
      <c r="E300" s="2724"/>
      <c r="F300" s="107"/>
      <c r="G300" s="107"/>
      <c r="H300" s="123"/>
      <c r="I300" s="123"/>
      <c r="J300" s="123"/>
      <c r="K300" s="123"/>
      <c r="L300" s="122"/>
      <c r="M300" s="123"/>
      <c r="N300" s="123"/>
      <c r="O300" s="123"/>
      <c r="P300" s="123"/>
      <c r="Q300" s="123"/>
    </row>
    <row r="301" spans="1:17">
      <c r="A301" s="107"/>
      <c r="B301" s="107"/>
      <c r="C301" s="107"/>
      <c r="D301" s="121" t="s">
        <v>30</v>
      </c>
      <c r="E301" s="107"/>
      <c r="F301" s="107"/>
      <c r="G301" s="107"/>
      <c r="H301" s="123"/>
      <c r="I301" s="123"/>
      <c r="J301" s="123"/>
      <c r="K301" s="123"/>
      <c r="L301" s="122"/>
      <c r="M301" s="123"/>
      <c r="N301" s="123"/>
      <c r="O301" s="123"/>
      <c r="P301" s="123"/>
      <c r="Q301" s="123"/>
    </row>
    <row r="302" spans="1:17">
      <c r="A302" s="1650">
        <v>18</v>
      </c>
      <c r="B302" s="123"/>
      <c r="C302" s="1679">
        <f>CommonE</f>
        <v>0.72819999999999996</v>
      </c>
      <c r="D302" s="123" t="s">
        <v>405</v>
      </c>
      <c r="E302" s="121"/>
      <c r="F302" s="1514">
        <f>ROUND(F298*$C$302,0)+1</f>
        <v>31341242</v>
      </c>
      <c r="G302" s="121"/>
      <c r="H302" s="1680"/>
      <c r="I302" s="123"/>
      <c r="J302" s="1680"/>
      <c r="K302" s="1680"/>
      <c r="L302" s="1514"/>
      <c r="M302" s="1680"/>
      <c r="N302" s="1680"/>
      <c r="O302" s="1680"/>
      <c r="P302" s="123"/>
      <c r="Q302" s="123"/>
    </row>
    <row r="303" spans="1:17">
      <c r="A303" s="1650">
        <v>19</v>
      </c>
      <c r="B303" s="123"/>
      <c r="C303" s="1679">
        <f>CommonE</f>
        <v>0.72819999999999996</v>
      </c>
      <c r="D303" s="121" t="s">
        <v>1664</v>
      </c>
      <c r="E303" s="121"/>
      <c r="F303" s="1680"/>
      <c r="G303" s="121"/>
      <c r="H303" s="1514">
        <f>(H298*C303)</f>
        <v>30819713.4608</v>
      </c>
      <c r="I303" s="123"/>
      <c r="J303" s="1680"/>
      <c r="K303" s="1680"/>
      <c r="L303" s="1514"/>
      <c r="M303" s="1680"/>
      <c r="N303" s="1680"/>
      <c r="O303" s="1680"/>
      <c r="P303" s="123"/>
      <c r="Q303" s="123"/>
    </row>
    <row r="304" spans="1:17">
      <c r="A304" s="1650">
        <v>20</v>
      </c>
      <c r="B304" s="123"/>
      <c r="C304" s="1679">
        <f>CommonE</f>
        <v>0.72819999999999996</v>
      </c>
      <c r="D304" s="121" t="s">
        <v>1665</v>
      </c>
      <c r="E304" s="121"/>
      <c r="F304" s="1680"/>
      <c r="G304" s="121"/>
      <c r="H304" s="1680"/>
      <c r="I304" s="123"/>
      <c r="J304" s="1680"/>
      <c r="K304" s="1680"/>
      <c r="L304" s="1514">
        <f>ROUND(L298*C304,0)</f>
        <v>-218467</v>
      </c>
      <c r="M304" s="1680"/>
      <c r="N304" s="1680"/>
      <c r="O304" s="1680"/>
      <c r="P304" s="123"/>
      <c r="Q304" s="123"/>
    </row>
    <row r="305" spans="1:17">
      <c r="A305" s="123"/>
      <c r="B305" s="123"/>
      <c r="C305" s="123"/>
      <c r="D305" s="123"/>
      <c r="E305" s="123"/>
      <c r="F305" s="123"/>
      <c r="G305" s="1659"/>
      <c r="H305" s="1659"/>
      <c r="I305" s="1659"/>
      <c r="J305" s="1659"/>
      <c r="K305" s="1659"/>
      <c r="L305" s="1665"/>
      <c r="M305" s="1659"/>
      <c r="N305" s="1659"/>
      <c r="O305" s="1659"/>
      <c r="P305" s="123"/>
      <c r="Q305" s="123"/>
    </row>
    <row r="306" spans="1:17">
      <c r="A306" s="2724"/>
      <c r="B306" s="2724"/>
      <c r="C306" s="2724"/>
      <c r="D306" s="2724"/>
      <c r="E306" s="2724"/>
      <c r="F306" s="2724"/>
      <c r="G306" s="107"/>
      <c r="H306" s="123"/>
      <c r="I306" s="123"/>
      <c r="J306" s="123"/>
      <c r="K306" s="123"/>
      <c r="L306" s="122"/>
      <c r="M306" s="123"/>
      <c r="N306" s="123"/>
      <c r="O306" s="123"/>
      <c r="P306" s="123"/>
      <c r="Q306" s="123"/>
    </row>
    <row r="307" spans="1:17">
      <c r="A307" s="1650">
        <v>21</v>
      </c>
      <c r="B307" s="123"/>
      <c r="C307" s="123"/>
      <c r="D307" s="121" t="s">
        <v>57</v>
      </c>
      <c r="E307" s="121"/>
      <c r="F307" s="1514">
        <f>F302+F248</f>
        <v>1730844120</v>
      </c>
      <c r="G307" s="121"/>
      <c r="H307" s="1514">
        <f>(H303+H248)</f>
        <v>840211959.46080005</v>
      </c>
      <c r="I307" s="123"/>
      <c r="J307" s="1514"/>
      <c r="K307" s="1514"/>
      <c r="L307" s="1514">
        <f>L304+L248</f>
        <v>50478696</v>
      </c>
      <c r="M307" s="1514"/>
      <c r="N307" s="1514"/>
      <c r="O307" s="1514"/>
      <c r="P307" s="123"/>
      <c r="Q307" s="123"/>
    </row>
    <row r="308" spans="1:17">
      <c r="A308" s="123"/>
      <c r="B308" s="123"/>
      <c r="C308" s="123"/>
      <c r="D308" s="123"/>
      <c r="E308" s="123"/>
      <c r="F308" s="1659"/>
      <c r="G308" s="1659"/>
      <c r="H308" s="1659"/>
      <c r="I308" s="1659"/>
      <c r="J308" s="1659"/>
      <c r="K308" s="1659"/>
      <c r="L308" s="1659"/>
      <c r="M308" s="1659"/>
      <c r="N308" s="1659"/>
      <c r="O308" s="1659"/>
      <c r="P308" s="123"/>
      <c r="Q308" s="123"/>
    </row>
    <row r="309" spans="1:17">
      <c r="A309" s="2724"/>
      <c r="B309" s="2724"/>
      <c r="C309" s="2724"/>
      <c r="D309" s="2724"/>
      <c r="E309" s="2724"/>
      <c r="F309" s="107"/>
      <c r="G309" s="107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</row>
    <row r="310" spans="1:17">
      <c r="A310" s="1644" t="s">
        <v>1662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</row>
    <row r="311" spans="1:17">
      <c r="A311" s="1644" t="s">
        <v>134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</row>
    <row r="312" spans="1:17">
      <c r="A312" s="1644" t="s">
        <v>3148</v>
      </c>
      <c r="B312" s="123"/>
      <c r="C312" s="123"/>
      <c r="D312" s="123"/>
      <c r="E312" s="123"/>
      <c r="F312" s="123"/>
      <c r="G312" s="123"/>
      <c r="H312" s="122"/>
      <c r="I312" s="123"/>
      <c r="J312" s="123"/>
      <c r="K312" s="123"/>
      <c r="L312" s="123"/>
      <c r="M312" s="123"/>
      <c r="N312" s="123"/>
      <c r="O312" s="123"/>
      <c r="P312" s="123"/>
      <c r="Q312" s="123"/>
    </row>
    <row r="313" spans="1:17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</row>
    <row r="314" spans="1:17">
      <c r="A314" s="121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</row>
    <row r="315" spans="1:17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</row>
    <row r="316" spans="1:17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</row>
  </sheetData>
  <mergeCells count="6">
    <mergeCell ref="F273:H273"/>
    <mergeCell ref="F116:H116"/>
    <mergeCell ref="F19:H19"/>
    <mergeCell ref="F68:H68"/>
    <mergeCell ref="F161:H161"/>
    <mergeCell ref="F221:H221"/>
  </mergeCells>
  <pageMargins left="0.75" right="0.75" top="1" bottom="1" header="0.5" footer="0.5"/>
  <pageSetup scale="59" orientation="landscape" horizontalDpi="300" r:id="rId1"/>
  <headerFooter alignWithMargins="0">
    <oddHeader>&amp;C&amp;A&amp;R&amp;"Times New Roman,Bold"KyPSC Case No. 2017-00321
STAFF-DR-01-071 SFRs Attachment
Page &amp;P of &amp;N</oddHeader>
    <oddFooter>Page &amp;P</oddFooter>
  </headerFooter>
  <rowBreaks count="3" manualBreakCount="3">
    <brk id="142" max="16383" man="1"/>
    <brk id="202" max="15" man="1"/>
    <brk id="254" max="1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theme="4" tint="0.39997558519241921"/>
  </sheetPr>
  <dimension ref="A1:H75"/>
  <sheetViews>
    <sheetView tabSelected="1" view="pageLayout" topLeftCell="B1" zoomScaleNormal="90" workbookViewId="0">
      <selection activeCell="G1" sqref="G1"/>
    </sheetView>
  </sheetViews>
  <sheetFormatPr defaultColWidth="11.42578125" defaultRowHeight="12.75"/>
  <cols>
    <col min="1" max="1" width="9" style="18" customWidth="1"/>
    <col min="2" max="2" width="51.7109375" style="18" customWidth="1"/>
    <col min="3" max="3" width="13.140625" style="18" customWidth="1"/>
    <col min="4" max="4" width="1" style="18" customWidth="1"/>
    <col min="5" max="5" width="20.28515625" style="18" customWidth="1"/>
    <col min="6" max="6" width="3.28515625" style="18" customWidth="1"/>
    <col min="7" max="7" width="20.28515625" style="18" customWidth="1"/>
    <col min="8" max="16384" width="11.42578125" style="18"/>
  </cols>
  <sheetData>
    <row r="1" spans="1:8">
      <c r="A1" s="2497" t="str">
        <f>COMPANY</f>
        <v>DUKE ENERGY KENTUCKY, INC.</v>
      </c>
      <c r="B1" s="2497"/>
      <c r="C1" s="2497"/>
      <c r="D1" s="2497"/>
      <c r="E1" s="2497"/>
      <c r="F1" s="2497"/>
      <c r="G1" s="2497"/>
      <c r="H1" s="126"/>
    </row>
    <row r="2" spans="1:8">
      <c r="A2" s="2497" t="str">
        <f>CASE</f>
        <v>CASE NO. 2017-00321</v>
      </c>
      <c r="B2" s="2497"/>
      <c r="C2" s="2497"/>
      <c r="D2" s="2497"/>
      <c r="E2" s="2497"/>
      <c r="F2" s="2497"/>
      <c r="G2" s="2497"/>
      <c r="H2" s="126"/>
    </row>
    <row r="3" spans="1:8">
      <c r="A3" s="2497" t="s">
        <v>237</v>
      </c>
      <c r="B3" s="2497"/>
      <c r="C3" s="2497"/>
      <c r="D3" s="2497"/>
      <c r="E3" s="2497"/>
      <c r="F3" s="2497"/>
      <c r="G3" s="2497"/>
      <c r="H3" s="126"/>
    </row>
    <row r="4" spans="1:8">
      <c r="A4" s="76" t="str">
        <f>"AS OF " &amp;RIGHT(TESTYR,(LEN(TESTYR)-16))</f>
        <v>AS OF NOVEMBER 30, 2017</v>
      </c>
      <c r="B4" s="2497"/>
      <c r="C4" s="2497"/>
      <c r="D4" s="2497"/>
      <c r="E4" s="2497"/>
      <c r="F4" s="2497"/>
      <c r="G4" s="2497"/>
      <c r="H4" s="126"/>
    </row>
    <row r="5" spans="1:8">
      <c r="A5" s="2498" t="s">
        <v>1799</v>
      </c>
      <c r="B5" s="2498"/>
      <c r="C5" s="2498"/>
      <c r="D5" s="2498"/>
      <c r="E5" s="2498"/>
      <c r="F5" s="2498"/>
      <c r="G5" s="2498"/>
      <c r="H5" s="126"/>
    </row>
    <row r="6" spans="1:8">
      <c r="A6" s="126"/>
      <c r="B6" s="126"/>
      <c r="C6" s="126"/>
      <c r="D6" s="126"/>
      <c r="E6" s="2500"/>
      <c r="F6" s="2500"/>
      <c r="G6" s="2501"/>
      <c r="H6" s="126"/>
    </row>
    <row r="7" spans="1:8">
      <c r="A7" s="126"/>
      <c r="B7" s="126"/>
      <c r="C7" s="126"/>
      <c r="D7" s="126"/>
      <c r="E7" s="126"/>
      <c r="F7" s="126"/>
      <c r="G7" s="126"/>
      <c r="H7" s="126"/>
    </row>
    <row r="8" spans="1:8">
      <c r="A8" s="2502" t="str">
        <f>Data</f>
        <v>DATA: "X" BASE PERIOD   FORECASTED PERIOD</v>
      </c>
      <c r="B8" s="126"/>
      <c r="C8" s="126"/>
      <c r="D8" s="2501"/>
      <c r="F8" s="2503" t="s">
        <v>1666</v>
      </c>
      <c r="G8" s="2501"/>
      <c r="H8" s="126"/>
    </row>
    <row r="9" spans="1:8">
      <c r="A9" s="2502" t="str">
        <f>Type</f>
        <v xml:space="preserve">TYPE OF FILING:  "X" ORIGINAL   UPDATED    REVISED  </v>
      </c>
      <c r="B9" s="126"/>
      <c r="C9" s="126"/>
      <c r="D9" s="2501"/>
      <c r="F9" s="2503" t="s">
        <v>1458</v>
      </c>
      <c r="G9" s="2501"/>
      <c r="H9" s="126"/>
    </row>
    <row r="10" spans="1:8">
      <c r="A10" s="2502" t="s">
        <v>1879</v>
      </c>
      <c r="B10" s="126"/>
      <c r="C10" s="126"/>
      <c r="D10" s="2501"/>
      <c r="F10" s="2503" t="s">
        <v>622</v>
      </c>
      <c r="G10" s="2501"/>
      <c r="H10" s="126"/>
    </row>
    <row r="11" spans="1:8">
      <c r="A11" s="126"/>
      <c r="B11" s="126"/>
      <c r="C11" s="126"/>
      <c r="D11" s="2501"/>
      <c r="F11" s="2504" t="str">
        <f>_WIT7</f>
        <v>R. H. PRATT / C. S. LEE</v>
      </c>
      <c r="G11" s="2501"/>
      <c r="H11" s="126"/>
    </row>
    <row r="12" spans="1:8">
      <c r="A12" s="126"/>
      <c r="B12" s="126"/>
      <c r="C12" s="126"/>
      <c r="D12" s="2501"/>
      <c r="E12" s="2500"/>
      <c r="F12" s="2500"/>
      <c r="G12" s="2501"/>
      <c r="H12" s="126"/>
    </row>
    <row r="13" spans="1:8">
      <c r="A13" s="2505"/>
      <c r="B13" s="2505"/>
      <c r="C13" s="2505"/>
      <c r="D13" s="2506"/>
      <c r="E13" s="2507"/>
      <c r="F13" s="2507"/>
      <c r="G13" s="2506"/>
      <c r="H13" s="126"/>
    </row>
    <row r="14" spans="1:8">
      <c r="A14" s="2508" t="s">
        <v>1240</v>
      </c>
      <c r="B14" s="2508"/>
      <c r="C14" s="2508" t="s">
        <v>1667</v>
      </c>
      <c r="D14" s="2738"/>
      <c r="E14" s="2658" t="s">
        <v>1929</v>
      </c>
      <c r="F14" s="2658"/>
      <c r="G14" s="2658"/>
      <c r="H14" s="126"/>
    </row>
    <row r="15" spans="1:8">
      <c r="A15" s="2508" t="s">
        <v>1241</v>
      </c>
      <c r="B15" s="2508" t="s">
        <v>1968</v>
      </c>
      <c r="C15" s="2508" t="s">
        <v>1368</v>
      </c>
      <c r="D15" s="2509"/>
      <c r="E15" s="2508" t="s">
        <v>1369</v>
      </c>
      <c r="F15" s="2508"/>
      <c r="G15" s="2508" t="s">
        <v>802</v>
      </c>
      <c r="H15" s="126"/>
    </row>
    <row r="16" spans="1:8">
      <c r="A16" s="2737"/>
      <c r="B16" s="2737"/>
      <c r="C16" s="2659" t="s">
        <v>363</v>
      </c>
      <c r="D16" s="2736"/>
      <c r="E16" s="2659" t="s">
        <v>1705</v>
      </c>
      <c r="F16" s="2659"/>
      <c r="G16" s="2659" t="s">
        <v>1705</v>
      </c>
      <c r="H16" s="126"/>
    </row>
    <row r="17" spans="1:8">
      <c r="A17" s="126"/>
      <c r="B17" s="126"/>
      <c r="C17" s="126"/>
      <c r="D17" s="126"/>
      <c r="E17" s="126"/>
      <c r="F17" s="126"/>
      <c r="G17" s="126"/>
      <c r="H17" s="126"/>
    </row>
    <row r="18" spans="1:8">
      <c r="A18" s="2510">
        <v>1</v>
      </c>
      <c r="B18" s="126" t="s">
        <v>1194</v>
      </c>
      <c r="C18" s="2661">
        <v>1</v>
      </c>
      <c r="D18" s="2512"/>
      <c r="E18" s="2656">
        <v>99229552</v>
      </c>
      <c r="F18" s="2656"/>
      <c r="G18" s="2512">
        <f>E18</f>
        <v>99229552</v>
      </c>
      <c r="H18" s="126"/>
    </row>
    <row r="19" spans="1:8">
      <c r="A19" s="2510"/>
      <c r="B19" s="126"/>
      <c r="C19" s="2661"/>
      <c r="D19" s="2512"/>
      <c r="E19" s="2656"/>
      <c r="F19" s="2656"/>
      <c r="G19" s="2512"/>
      <c r="H19" s="126"/>
    </row>
    <row r="20" spans="1:8">
      <c r="A20" s="2510">
        <v>2</v>
      </c>
      <c r="B20" s="126" t="s">
        <v>1176</v>
      </c>
      <c r="C20" s="2661">
        <v>1</v>
      </c>
      <c r="D20" s="2512"/>
      <c r="E20" s="2656">
        <v>1831410</v>
      </c>
      <c r="F20" s="2656"/>
      <c r="G20" s="2512">
        <f>E20</f>
        <v>1831410</v>
      </c>
      <c r="H20" s="126"/>
    </row>
    <row r="21" spans="1:8">
      <c r="A21" s="2510"/>
      <c r="B21" s="126"/>
      <c r="C21" s="2661"/>
      <c r="D21" s="2512"/>
      <c r="E21" s="2656"/>
      <c r="F21" s="2656"/>
      <c r="G21" s="2512"/>
      <c r="H21" s="126"/>
    </row>
    <row r="22" spans="1:8">
      <c r="A22" s="2510">
        <v>3</v>
      </c>
      <c r="B22" s="126" t="s">
        <v>1178</v>
      </c>
      <c r="C22" s="2661">
        <v>1</v>
      </c>
      <c r="D22" s="2512"/>
      <c r="E22" s="2657">
        <v>12812830</v>
      </c>
      <c r="F22" s="2657"/>
      <c r="G22" s="2512">
        <f>E22</f>
        <v>12812830</v>
      </c>
      <c r="H22" s="2499"/>
    </row>
    <row r="23" spans="1:8">
      <c r="A23" s="2510"/>
      <c r="B23" s="126"/>
      <c r="C23" s="2661"/>
      <c r="D23" s="2513"/>
      <c r="E23" s="2657"/>
      <c r="F23" s="2657"/>
      <c r="G23" s="2513"/>
      <c r="H23" s="2499"/>
    </row>
    <row r="24" spans="1:8">
      <c r="A24" s="2510">
        <v>4</v>
      </c>
      <c r="B24" s="126" t="s">
        <v>1450</v>
      </c>
      <c r="C24" s="2661">
        <v>1</v>
      </c>
      <c r="D24" s="2513"/>
      <c r="E24" s="2657">
        <v>7382520</v>
      </c>
      <c r="F24" s="2657"/>
      <c r="G24" s="2512">
        <f>E24</f>
        <v>7382520</v>
      </c>
      <c r="H24" s="126"/>
    </row>
    <row r="25" spans="1:8">
      <c r="A25" s="2510"/>
      <c r="B25" s="126"/>
      <c r="C25" s="2661"/>
      <c r="D25" s="2513"/>
      <c r="E25" s="2657"/>
      <c r="F25" s="2657"/>
      <c r="G25" s="2513"/>
      <c r="H25" s="126"/>
    </row>
    <row r="26" spans="1:8">
      <c r="A26" s="2510">
        <v>5</v>
      </c>
      <c r="B26" s="126" t="s">
        <v>1370</v>
      </c>
      <c r="C26" s="2661">
        <v>1</v>
      </c>
      <c r="D26" s="2512"/>
      <c r="E26" s="2657">
        <v>288749</v>
      </c>
      <c r="F26" s="2657"/>
      <c r="G26" s="2512">
        <f>E26</f>
        <v>288749</v>
      </c>
      <c r="H26" s="126"/>
    </row>
    <row r="27" spans="1:8">
      <c r="A27" s="2510"/>
      <c r="B27" s="126"/>
      <c r="C27" s="2661"/>
      <c r="D27" s="2512"/>
      <c r="E27" s="2512"/>
      <c r="F27" s="2512"/>
      <c r="G27" s="2512"/>
      <c r="H27" s="126"/>
    </row>
    <row r="28" spans="1:8">
      <c r="A28" s="2510">
        <v>6</v>
      </c>
      <c r="B28" s="126" t="str">
        <f>TEXT(CommonE,"##.##%")&amp;" Common Allocated to Electric"</f>
        <v>72.82% Common Allocated to Electric</v>
      </c>
      <c r="C28" s="2661">
        <v>1</v>
      </c>
      <c r="D28" s="2514"/>
      <c r="E28" s="2514">
        <f>ROUND(E26*CommonE,0)</f>
        <v>210267</v>
      </c>
      <c r="F28" s="2514"/>
      <c r="G28" s="2514">
        <f>E28</f>
        <v>210267</v>
      </c>
      <c r="H28" s="126"/>
    </row>
    <row r="29" spans="1:8">
      <c r="A29" s="2510"/>
      <c r="B29" s="126"/>
      <c r="C29" s="2511"/>
      <c r="D29" s="2512"/>
      <c r="E29" s="2512"/>
      <c r="F29" s="2512"/>
      <c r="G29" s="2512"/>
      <c r="H29" s="126"/>
    </row>
    <row r="30" spans="1:8">
      <c r="A30" s="2510"/>
      <c r="B30" s="126"/>
      <c r="C30" s="2511"/>
      <c r="D30" s="2512"/>
      <c r="E30" s="2512"/>
      <c r="F30" s="2512"/>
      <c r="G30" s="2512"/>
      <c r="H30" s="126"/>
    </row>
    <row r="31" spans="1:8">
      <c r="A31" s="2510"/>
      <c r="B31" s="126"/>
      <c r="C31" s="2511"/>
      <c r="D31" s="2512"/>
      <c r="E31" s="2512"/>
      <c r="F31" s="2512"/>
      <c r="G31" s="2512"/>
      <c r="H31" s="126"/>
    </row>
    <row r="32" spans="1:8">
      <c r="A32" s="2735">
        <f>A28+1</f>
        <v>7</v>
      </c>
      <c r="B32" s="2734" t="s">
        <v>396</v>
      </c>
      <c r="C32" s="2733"/>
      <c r="D32" s="2660"/>
      <c r="E32" s="2660">
        <f>E18+E20+E22+E24+E28</f>
        <v>121466579</v>
      </c>
      <c r="F32" s="2660"/>
      <c r="G32" s="2660">
        <f>G18+G20+G22+G24+G28</f>
        <v>121466579</v>
      </c>
      <c r="H32" s="126"/>
    </row>
    <row r="33" spans="1:8">
      <c r="A33" s="126"/>
      <c r="B33" s="126"/>
      <c r="C33" s="2511"/>
      <c r="D33" s="126"/>
      <c r="E33" s="126"/>
      <c r="F33" s="126"/>
      <c r="G33" s="126"/>
      <c r="H33" s="126"/>
    </row>
    <row r="34" spans="1:8">
      <c r="A34" s="1725" t="s">
        <v>3322</v>
      </c>
      <c r="B34" s="126"/>
      <c r="C34" s="126"/>
      <c r="D34" s="126"/>
      <c r="E34" s="126"/>
      <c r="F34" s="126"/>
      <c r="G34" s="126"/>
      <c r="H34" s="126"/>
    </row>
    <row r="35" spans="1:8">
      <c r="A35" s="126"/>
      <c r="B35" s="126"/>
      <c r="C35" s="126"/>
      <c r="D35" s="126"/>
      <c r="E35" s="126"/>
      <c r="F35" s="126"/>
      <c r="G35" s="126"/>
      <c r="H35" s="126"/>
    </row>
    <row r="36" spans="1:8">
      <c r="A36" s="126"/>
      <c r="B36" s="126"/>
      <c r="C36" s="126"/>
      <c r="D36" s="126"/>
      <c r="E36" s="126"/>
      <c r="F36" s="126"/>
      <c r="G36" s="126"/>
      <c r="H36" s="126"/>
    </row>
    <row r="37" spans="1:8">
      <c r="A37" s="126"/>
      <c r="B37" s="126"/>
      <c r="C37" s="126"/>
      <c r="D37" s="126"/>
      <c r="E37" s="126"/>
      <c r="F37" s="126"/>
      <c r="G37" s="126"/>
      <c r="H37" s="126"/>
    </row>
    <row r="38" spans="1:8">
      <c r="A38" s="126"/>
      <c r="B38" s="126"/>
      <c r="C38" s="126"/>
      <c r="D38" s="126"/>
      <c r="E38" s="126"/>
      <c r="F38" s="126"/>
      <c r="G38" s="126"/>
      <c r="H38" s="126"/>
    </row>
    <row r="39" spans="1:8">
      <c r="A39" s="2497" t="str">
        <f>COMPANY</f>
        <v>DUKE ENERGY KENTUCKY, INC.</v>
      </c>
      <c r="B39" s="2497"/>
      <c r="C39" s="2497"/>
      <c r="D39" s="2497"/>
      <c r="E39" s="2497"/>
      <c r="F39" s="2497"/>
      <c r="G39" s="2497"/>
      <c r="H39" s="126"/>
    </row>
    <row r="40" spans="1:8">
      <c r="A40" s="2497" t="str">
        <f>CASE</f>
        <v>CASE NO. 2017-00321</v>
      </c>
      <c r="B40" s="2497"/>
      <c r="C40" s="2497"/>
      <c r="D40" s="2497"/>
      <c r="E40" s="2497"/>
      <c r="F40" s="2497"/>
      <c r="G40" s="2497"/>
      <c r="H40" s="126"/>
    </row>
    <row r="41" spans="1:8">
      <c r="A41" s="2497" t="s">
        <v>237</v>
      </c>
      <c r="B41" s="2497"/>
      <c r="C41" s="2497"/>
      <c r="D41" s="2497"/>
      <c r="E41" s="2497"/>
      <c r="F41" s="2497"/>
      <c r="G41" s="2497"/>
      <c r="H41" s="126"/>
    </row>
    <row r="42" spans="1:8">
      <c r="A42" s="76" t="str">
        <f>"THIRTEEN MONTH AVERAGE AS OF " &amp;RIGHT(Forecast,(LEN(Forecast)-16))</f>
        <v>THIRTEEN MONTH AVERAGE AS OF MARCH 31, 2019</v>
      </c>
      <c r="B42" s="2497"/>
      <c r="C42" s="2497"/>
      <c r="D42" s="2497"/>
      <c r="E42" s="2497"/>
      <c r="F42" s="2497"/>
      <c r="G42" s="2497"/>
      <c r="H42" s="126"/>
    </row>
    <row r="43" spans="1:8">
      <c r="A43" s="2498" t="s">
        <v>1799</v>
      </c>
      <c r="B43" s="2498"/>
      <c r="C43" s="2498"/>
      <c r="D43" s="2498"/>
      <c r="E43" s="2498"/>
      <c r="F43" s="2498"/>
      <c r="G43" s="2498"/>
      <c r="H43" s="126"/>
    </row>
    <row r="44" spans="1:8">
      <c r="A44" s="126"/>
      <c r="B44" s="126"/>
      <c r="C44" s="126"/>
      <c r="D44" s="126"/>
      <c r="E44" s="2500"/>
      <c r="F44" s="2500"/>
      <c r="G44" s="2501"/>
      <c r="H44" s="126"/>
    </row>
    <row r="45" spans="1:8">
      <c r="A45" s="126"/>
      <c r="B45" s="126"/>
      <c r="C45" s="126"/>
      <c r="D45" s="126"/>
      <c r="E45" s="126"/>
      <c r="F45" s="126"/>
      <c r="G45" s="126"/>
      <c r="H45" s="126"/>
    </row>
    <row r="46" spans="1:8">
      <c r="A46" s="2502" t="str">
        <f>DataF</f>
        <v>DATA:  BASE PERIOD  "X" FORECASTED PERIOD</v>
      </c>
      <c r="B46" s="126"/>
      <c r="C46" s="126"/>
      <c r="D46" s="2501"/>
      <c r="F46" s="2503" t="s">
        <v>1666</v>
      </c>
      <c r="G46" s="2501"/>
      <c r="H46" s="126"/>
    </row>
    <row r="47" spans="1:8">
      <c r="A47" s="2502" t="str">
        <f>Type</f>
        <v xml:space="preserve">TYPE OF FILING:  "X" ORIGINAL   UPDATED    REVISED  </v>
      </c>
      <c r="B47" s="126"/>
      <c r="C47" s="126"/>
      <c r="D47" s="2501"/>
      <c r="F47" s="2503" t="s">
        <v>86</v>
      </c>
      <c r="G47" s="2501"/>
      <c r="H47" s="126"/>
    </row>
    <row r="48" spans="1:8">
      <c r="A48" s="2502" t="s">
        <v>1879</v>
      </c>
      <c r="B48" s="126"/>
      <c r="C48" s="126"/>
      <c r="D48" s="2501"/>
      <c r="F48" s="2503" t="s">
        <v>622</v>
      </c>
      <c r="G48" s="2501"/>
      <c r="H48" s="126"/>
    </row>
    <row r="49" spans="1:8">
      <c r="A49" s="126"/>
      <c r="B49" s="126"/>
      <c r="C49" s="126"/>
      <c r="D49" s="2501"/>
      <c r="F49" s="2504" t="str">
        <f>_WIT7</f>
        <v>R. H. PRATT / C. S. LEE</v>
      </c>
      <c r="G49" s="2501"/>
      <c r="H49" s="126"/>
    </row>
    <row r="50" spans="1:8">
      <c r="A50" s="126"/>
      <c r="B50" s="126"/>
      <c r="C50" s="126"/>
      <c r="D50" s="2501"/>
      <c r="E50" s="2500"/>
      <c r="F50" s="2500"/>
      <c r="G50" s="2501"/>
      <c r="H50" s="126"/>
    </row>
    <row r="51" spans="1:8">
      <c r="A51" s="2505"/>
      <c r="B51" s="2505"/>
      <c r="C51" s="2505"/>
      <c r="D51" s="2506"/>
      <c r="E51" s="2507"/>
      <c r="F51" s="2507"/>
      <c r="G51" s="2506"/>
      <c r="H51" s="126"/>
    </row>
    <row r="52" spans="1:8">
      <c r="A52" s="2508" t="s">
        <v>1240</v>
      </c>
      <c r="B52" s="2508"/>
      <c r="C52" s="2508" t="s">
        <v>1667</v>
      </c>
      <c r="D52" s="2738"/>
      <c r="E52" s="2658" t="s">
        <v>1929</v>
      </c>
      <c r="F52" s="2658"/>
      <c r="G52" s="2658"/>
      <c r="H52" s="126"/>
    </row>
    <row r="53" spans="1:8">
      <c r="A53" s="2508" t="s">
        <v>1241</v>
      </c>
      <c r="B53" s="2508" t="s">
        <v>1968</v>
      </c>
      <c r="C53" s="2508" t="s">
        <v>1368</v>
      </c>
      <c r="D53" s="2509"/>
      <c r="E53" s="2508" t="s">
        <v>1369</v>
      </c>
      <c r="F53" s="2508"/>
      <c r="G53" s="2508" t="s">
        <v>802</v>
      </c>
      <c r="H53" s="126"/>
    </row>
    <row r="54" spans="1:8">
      <c r="A54" s="2737"/>
      <c r="B54" s="2737"/>
      <c r="C54" s="2659" t="s">
        <v>363</v>
      </c>
      <c r="D54" s="2736"/>
      <c r="E54" s="2659" t="s">
        <v>1705</v>
      </c>
      <c r="F54" s="2659"/>
      <c r="G54" s="2659" t="s">
        <v>1705</v>
      </c>
      <c r="H54" s="126"/>
    </row>
    <row r="55" spans="1:8">
      <c r="A55" s="126"/>
      <c r="B55" s="126"/>
      <c r="C55" s="126"/>
      <c r="D55" s="126"/>
      <c r="E55" s="126"/>
      <c r="F55" s="126"/>
      <c r="G55" s="126"/>
      <c r="H55" s="126"/>
    </row>
    <row r="56" spans="1:8">
      <c r="A56" s="2510">
        <v>1</v>
      </c>
      <c r="B56" s="126" t="s">
        <v>1194</v>
      </c>
      <c r="C56" s="2661">
        <v>1</v>
      </c>
      <c r="D56" s="2512"/>
      <c r="E56" s="2656">
        <v>78629152</v>
      </c>
      <c r="F56" s="2656"/>
      <c r="G56" s="2512">
        <f>E56</f>
        <v>78629152</v>
      </c>
      <c r="H56" s="126"/>
    </row>
    <row r="57" spans="1:8">
      <c r="A57" s="2510"/>
      <c r="B57" s="126"/>
      <c r="C57" s="2661"/>
      <c r="D57" s="2512"/>
      <c r="E57" s="2656"/>
      <c r="F57" s="2656"/>
      <c r="G57" s="2512"/>
      <c r="H57" s="126"/>
    </row>
    <row r="58" spans="1:8">
      <c r="A58" s="2510">
        <f>A56+1</f>
        <v>2</v>
      </c>
      <c r="B58" s="126" t="s">
        <v>1176</v>
      </c>
      <c r="C58" s="2661">
        <v>1</v>
      </c>
      <c r="D58" s="2512"/>
      <c r="E58" s="2656">
        <v>1130472</v>
      </c>
      <c r="F58" s="2656"/>
      <c r="G58" s="2512">
        <f>E58</f>
        <v>1130472</v>
      </c>
      <c r="H58" s="126"/>
    </row>
    <row r="59" spans="1:8">
      <c r="A59" s="2510"/>
      <c r="B59" s="126"/>
      <c r="C59" s="2661"/>
      <c r="D59" s="2512"/>
      <c r="E59" s="2656"/>
      <c r="F59" s="2656"/>
      <c r="G59" s="2512"/>
      <c r="H59" s="126"/>
    </row>
    <row r="60" spans="1:8">
      <c r="A60" s="2510">
        <v>3</v>
      </c>
      <c r="B60" s="126" t="s">
        <v>1178</v>
      </c>
      <c r="C60" s="2661">
        <v>1</v>
      </c>
      <c r="D60" s="2512"/>
      <c r="E60" s="2657">
        <v>4967313</v>
      </c>
      <c r="F60" s="2657"/>
      <c r="G60" s="2512">
        <f>E60</f>
        <v>4967313</v>
      </c>
      <c r="H60" s="126"/>
    </row>
    <row r="61" spans="1:8">
      <c r="A61" s="2510"/>
      <c r="B61" s="126"/>
      <c r="C61" s="2661"/>
      <c r="D61" s="2512"/>
      <c r="E61" s="2657"/>
      <c r="F61" s="2657"/>
      <c r="G61" s="2513"/>
      <c r="H61" s="126"/>
    </row>
    <row r="62" spans="1:8">
      <c r="A62" s="2510">
        <v>4</v>
      </c>
      <c r="B62" s="126" t="s">
        <v>1450</v>
      </c>
      <c r="C62" s="2661">
        <v>1</v>
      </c>
      <c r="D62" s="2513"/>
      <c r="E62" s="2657">
        <v>508853</v>
      </c>
      <c r="F62" s="2657"/>
      <c r="G62" s="2512">
        <f>E62</f>
        <v>508853</v>
      </c>
      <c r="H62" s="126"/>
    </row>
    <row r="63" spans="1:8">
      <c r="A63" s="2510"/>
      <c r="B63" s="126"/>
      <c r="C63" s="2661"/>
      <c r="D63" s="2513"/>
      <c r="E63" s="2657"/>
      <c r="F63" s="2657"/>
      <c r="G63" s="2513"/>
      <c r="H63" s="126"/>
    </row>
    <row r="64" spans="1:8">
      <c r="A64" s="2510">
        <v>5</v>
      </c>
      <c r="B64" s="126" t="s">
        <v>1370</v>
      </c>
      <c r="C64" s="2661">
        <v>1</v>
      </c>
      <c r="D64" s="2512"/>
      <c r="E64" s="2657">
        <v>397619</v>
      </c>
      <c r="F64" s="2657"/>
      <c r="G64" s="2512">
        <f>E64</f>
        <v>397619</v>
      </c>
      <c r="H64" s="126"/>
    </row>
    <row r="65" spans="1:8">
      <c r="A65" s="2510"/>
      <c r="B65" s="126"/>
      <c r="C65" s="2661"/>
      <c r="D65" s="2512"/>
      <c r="E65" s="2512"/>
      <c r="F65" s="2512"/>
      <c r="G65" s="2512"/>
      <c r="H65" s="126"/>
    </row>
    <row r="66" spans="1:8">
      <c r="A66" s="2510">
        <v>6</v>
      </c>
      <c r="B66" s="126" t="str">
        <f>B28</f>
        <v>72.82% Common Allocated to Electric</v>
      </c>
      <c r="C66" s="2661">
        <v>1</v>
      </c>
      <c r="D66" s="2514"/>
      <c r="E66" s="2514">
        <f>ROUND(E64*CommonE,0)</f>
        <v>289546</v>
      </c>
      <c r="F66" s="2514"/>
      <c r="G66" s="2514">
        <f>E66</f>
        <v>289546</v>
      </c>
      <c r="H66" s="126"/>
    </row>
    <row r="67" spans="1:8">
      <c r="A67" s="2510"/>
      <c r="B67" s="126"/>
      <c r="C67" s="2511"/>
      <c r="D67" s="2512"/>
      <c r="E67" s="2512"/>
      <c r="F67" s="2512"/>
      <c r="G67" s="2512"/>
      <c r="H67" s="126"/>
    </row>
    <row r="68" spans="1:8">
      <c r="A68" s="2510"/>
      <c r="B68" s="126"/>
      <c r="C68" s="2511"/>
      <c r="D68" s="2512"/>
      <c r="E68" s="2512"/>
      <c r="F68" s="2512"/>
      <c r="G68" s="2512"/>
      <c r="H68" s="126"/>
    </row>
    <row r="69" spans="1:8">
      <c r="A69" s="2510"/>
      <c r="B69" s="126"/>
      <c r="C69" s="2511"/>
      <c r="D69" s="2512"/>
      <c r="E69" s="2512"/>
      <c r="F69" s="2512"/>
      <c r="G69" s="2512"/>
      <c r="H69" s="126"/>
    </row>
    <row r="70" spans="1:8">
      <c r="A70" s="2735">
        <f>A66+1</f>
        <v>7</v>
      </c>
      <c r="B70" s="2734" t="s">
        <v>396</v>
      </c>
      <c r="C70" s="2733"/>
      <c r="D70" s="2660"/>
      <c r="E70" s="2660">
        <f>E56+E58+E60+E62+E66</f>
        <v>85525336</v>
      </c>
      <c r="F70" s="2660"/>
      <c r="G70" s="2660">
        <f>G56+G58+G60+G62+G66</f>
        <v>85525336</v>
      </c>
      <c r="H70" s="126"/>
    </row>
    <row r="71" spans="1:8">
      <c r="A71" s="126"/>
      <c r="B71" s="126"/>
      <c r="C71" s="2511"/>
      <c r="D71" s="126"/>
      <c r="E71" s="126"/>
      <c r="F71" s="126"/>
      <c r="G71" s="126"/>
      <c r="H71" s="126"/>
    </row>
    <row r="72" spans="1:8">
      <c r="A72" s="1725" t="s">
        <v>3322</v>
      </c>
      <c r="B72" s="126"/>
      <c r="C72" s="126"/>
      <c r="D72" s="126"/>
      <c r="E72" s="126"/>
      <c r="F72" s="126"/>
      <c r="G72" s="126"/>
      <c r="H72" s="126"/>
    </row>
    <row r="73" spans="1:8">
      <c r="A73" s="126"/>
      <c r="B73" s="126"/>
      <c r="C73" s="126"/>
      <c r="D73" s="126"/>
      <c r="E73" s="126"/>
      <c r="F73" s="126"/>
      <c r="G73" s="126"/>
      <c r="H73" s="126"/>
    </row>
    <row r="74" spans="1:8">
      <c r="A74" s="126"/>
      <c r="B74" s="126"/>
      <c r="C74" s="126"/>
      <c r="D74" s="126"/>
      <c r="E74" s="126"/>
      <c r="F74" s="126"/>
      <c r="G74" s="126"/>
      <c r="H74" s="126"/>
    </row>
    <row r="75" spans="1:8">
      <c r="A75" s="126"/>
      <c r="B75" s="126"/>
      <c r="C75" s="126"/>
      <c r="D75" s="126"/>
      <c r="E75" s="126"/>
      <c r="F75" s="126"/>
      <c r="G75" s="126"/>
      <c r="H75" s="126"/>
    </row>
  </sheetData>
  <printOptions horizontalCentered="1"/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4" tint="0.39997558519241921"/>
  </sheetPr>
  <dimension ref="A1:AB138"/>
  <sheetViews>
    <sheetView tabSelected="1" view="pageLayout" topLeftCell="M87" zoomScaleNormal="90" workbookViewId="0">
      <selection activeCell="G1" sqref="G1"/>
    </sheetView>
  </sheetViews>
  <sheetFormatPr defaultColWidth="8" defaultRowHeight="12.75"/>
  <cols>
    <col min="1" max="1" width="7.140625" style="18" customWidth="1"/>
    <col min="2" max="2" width="1.28515625" style="18" customWidth="1"/>
    <col min="3" max="3" width="36.7109375" style="18" customWidth="1"/>
    <col min="4" max="4" width="1.85546875" style="18" customWidth="1"/>
    <col min="5" max="5" width="41.85546875" style="18" customWidth="1"/>
    <col min="6" max="6" width="1.140625" style="18" customWidth="1"/>
    <col min="7" max="7" width="16.7109375" style="18" customWidth="1"/>
    <col min="8" max="8" width="0.85546875" style="18" customWidth="1"/>
    <col min="9" max="9" width="17" style="18" customWidth="1"/>
    <col min="10" max="10" width="0.85546875" style="18" customWidth="1"/>
    <col min="11" max="11" width="16.42578125" style="18" customWidth="1"/>
    <col min="12" max="12" width="1" style="18" customWidth="1"/>
    <col min="13" max="13" width="18.28515625" style="18" customWidth="1"/>
    <col min="14" max="14" width="1" style="18" customWidth="1"/>
    <col min="15" max="15" width="18.42578125" style="18" customWidth="1"/>
    <col min="16" max="16" width="10.85546875" style="18" customWidth="1"/>
    <col min="17" max="17" width="7.42578125" style="18" customWidth="1"/>
    <col min="18" max="18" width="3" style="18" customWidth="1"/>
    <col min="19" max="19" width="37.140625" style="18" customWidth="1"/>
    <col min="20" max="20" width="1" style="18" customWidth="1"/>
    <col min="21" max="21" width="15.140625" style="18" customWidth="1"/>
    <col min="22" max="22" width="6.7109375" style="18" customWidth="1"/>
    <col min="23" max="23" width="14.85546875" style="18" customWidth="1"/>
    <col min="24" max="24" width="6.7109375" style="18" customWidth="1"/>
    <col min="25" max="25" width="16.5703125" style="18" customWidth="1"/>
    <col min="26" max="16384" width="8" style="18"/>
  </cols>
  <sheetData>
    <row r="1" spans="1:28">
      <c r="A1" s="2470" t="str">
        <f>COMPANY</f>
        <v>DUKE ENERGY KENTUCKY, INC.</v>
      </c>
      <c r="B1" s="2471"/>
      <c r="C1" s="2471"/>
      <c r="D1" s="2471"/>
      <c r="E1" s="2471"/>
      <c r="F1" s="2471"/>
      <c r="G1" s="2471"/>
      <c r="H1" s="2471"/>
      <c r="I1" s="2471"/>
      <c r="J1" s="2471"/>
      <c r="K1" s="2471"/>
      <c r="L1" s="2471"/>
      <c r="M1" s="2471"/>
      <c r="N1" s="2471"/>
      <c r="O1" s="2471"/>
      <c r="P1" s="133"/>
      <c r="Q1" s="133"/>
      <c r="R1" s="133"/>
      <c r="S1" s="133"/>
      <c r="T1" s="133"/>
      <c r="U1" s="138"/>
      <c r="V1" s="138"/>
      <c r="W1" s="133"/>
      <c r="X1" s="133"/>
      <c r="Y1" s="138"/>
      <c r="Z1" s="133"/>
      <c r="AA1" s="133"/>
      <c r="AB1" s="133"/>
    </row>
    <row r="2" spans="1:28">
      <c r="A2" s="2470" t="str">
        <f>CASE</f>
        <v>CASE NO. 2017-00321</v>
      </c>
      <c r="B2" s="2471"/>
      <c r="C2" s="2471"/>
      <c r="D2" s="2471"/>
      <c r="E2" s="2471"/>
      <c r="F2" s="2471"/>
      <c r="G2" s="2471"/>
      <c r="H2" s="2471"/>
      <c r="I2" s="2471"/>
      <c r="J2" s="2471"/>
      <c r="K2" s="2471"/>
      <c r="L2" s="2471"/>
      <c r="M2" s="2471"/>
      <c r="N2" s="2471"/>
      <c r="O2" s="2471"/>
      <c r="P2" s="133"/>
      <c r="Q2" s="133"/>
      <c r="R2" s="133"/>
      <c r="S2" s="133"/>
      <c r="T2" s="133"/>
      <c r="U2" s="138"/>
      <c r="V2" s="138"/>
      <c r="W2" s="133"/>
      <c r="X2" s="133"/>
      <c r="Y2" s="138"/>
      <c r="Z2" s="133"/>
      <c r="AA2" s="133"/>
      <c r="AB2" s="133"/>
    </row>
    <row r="3" spans="1:28">
      <c r="A3" s="2470" t="s">
        <v>69</v>
      </c>
      <c r="B3" s="2471"/>
      <c r="C3" s="2471"/>
      <c r="D3" s="2471"/>
      <c r="E3" s="2471"/>
      <c r="F3" s="2471"/>
      <c r="G3" s="2471"/>
      <c r="H3" s="2471"/>
      <c r="I3" s="2471"/>
      <c r="J3" s="2471"/>
      <c r="K3" s="2471"/>
      <c r="L3" s="2471"/>
      <c r="M3" s="2471"/>
      <c r="N3" s="2471"/>
      <c r="O3" s="2471"/>
      <c r="P3" s="133"/>
      <c r="Q3" s="133"/>
      <c r="R3" s="133"/>
      <c r="S3" s="133"/>
      <c r="T3" s="133"/>
      <c r="U3" s="138"/>
      <c r="V3" s="138"/>
      <c r="W3" s="133"/>
      <c r="X3" s="133"/>
      <c r="Y3" s="138"/>
      <c r="Z3" s="133"/>
      <c r="AA3" s="133"/>
      <c r="AB3" s="133"/>
    </row>
    <row r="4" spans="1:28">
      <c r="A4" s="76" t="str">
        <f>"AS OF " &amp;RIGHT(TESTYR,(LEN(TESTYR)-16))</f>
        <v>AS OF NOVEMBER 30, 2017</v>
      </c>
      <c r="B4" s="2471"/>
      <c r="C4" s="2471"/>
      <c r="D4" s="2471"/>
      <c r="E4" s="2471"/>
      <c r="F4" s="2471"/>
      <c r="G4" s="2471"/>
      <c r="H4" s="2471"/>
      <c r="I4" s="2471"/>
      <c r="J4" s="2471"/>
      <c r="K4" s="2471"/>
      <c r="L4" s="2471"/>
      <c r="M4" s="2471"/>
      <c r="N4" s="2471"/>
      <c r="O4" s="2471"/>
      <c r="P4" s="133"/>
      <c r="Q4" s="133"/>
      <c r="R4" s="133"/>
      <c r="S4" s="133"/>
      <c r="T4" s="133"/>
      <c r="U4" s="138"/>
      <c r="V4" s="138"/>
      <c r="W4" s="133"/>
      <c r="X4" s="133"/>
      <c r="Y4" s="138"/>
      <c r="Z4" s="133"/>
      <c r="AA4" s="133"/>
      <c r="AB4" s="133"/>
    </row>
    <row r="5" spans="1:28">
      <c r="A5" s="76" t="str">
        <f>"AS OF " &amp;RIGHT(Forecast,(LEN(Forecast)-16))</f>
        <v>AS OF MARCH 31, 2019</v>
      </c>
      <c r="B5" s="2471"/>
      <c r="C5" s="2471"/>
      <c r="D5" s="2471"/>
      <c r="E5" s="2471"/>
      <c r="F5" s="2471"/>
      <c r="G5" s="2471"/>
      <c r="H5" s="2471"/>
      <c r="I5" s="2471"/>
      <c r="J5" s="2471"/>
      <c r="K5" s="2471"/>
      <c r="L5" s="2471"/>
      <c r="M5" s="2471"/>
      <c r="N5" s="2471"/>
      <c r="O5" s="2471"/>
      <c r="P5" s="133"/>
      <c r="Q5" s="133"/>
      <c r="R5" s="133"/>
      <c r="S5" s="133"/>
      <c r="T5" s="133"/>
      <c r="U5" s="138"/>
      <c r="V5" s="138"/>
      <c r="W5" s="133"/>
      <c r="X5" s="133"/>
      <c r="Y5" s="138"/>
      <c r="Z5" s="133"/>
      <c r="AA5" s="133"/>
      <c r="AB5" s="133"/>
    </row>
    <row r="6" spans="1:28">
      <c r="A6" s="133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8"/>
      <c r="V6" s="138"/>
      <c r="W6" s="133"/>
      <c r="X6" s="133"/>
      <c r="Y6" s="138"/>
      <c r="Z6" s="133"/>
      <c r="AA6" s="133"/>
      <c r="AB6" s="133"/>
    </row>
    <row r="7" spans="1:28">
      <c r="A7" s="2472" t="str">
        <f>DataB</f>
        <v>DATA: "X" BASE PERIOD  "X" FORECASTED PERIOD</v>
      </c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27" t="s">
        <v>1014</v>
      </c>
      <c r="N7" s="133"/>
      <c r="O7" s="133"/>
      <c r="P7" s="133"/>
      <c r="Q7" s="133"/>
      <c r="R7" s="133"/>
      <c r="S7" s="133"/>
      <c r="T7" s="133"/>
      <c r="U7" s="138"/>
      <c r="V7" s="138"/>
      <c r="W7" s="133"/>
      <c r="X7" s="133"/>
      <c r="Y7" s="138"/>
      <c r="Z7" s="133"/>
      <c r="AA7" s="133"/>
      <c r="AB7" s="133"/>
    </row>
    <row r="8" spans="1:28">
      <c r="A8" s="2472" t="str">
        <f>Type</f>
        <v xml:space="preserve">TYPE OF FILING:  "X" ORIGINAL   UPDATED    REVISED  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27" t="s">
        <v>620</v>
      </c>
      <c r="N8" s="133"/>
      <c r="O8" s="133"/>
      <c r="P8" s="133"/>
      <c r="Q8" s="133"/>
      <c r="R8" s="133"/>
      <c r="S8" s="133"/>
      <c r="T8" s="133"/>
      <c r="U8" s="138"/>
      <c r="V8" s="138"/>
      <c r="W8" s="133"/>
      <c r="X8" s="133"/>
      <c r="Y8" s="138"/>
      <c r="Z8" s="133"/>
      <c r="AA8" s="133"/>
      <c r="AB8" s="133"/>
    </row>
    <row r="9" spans="1:28">
      <c r="A9" s="127" t="s">
        <v>621</v>
      </c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27" t="s">
        <v>622</v>
      </c>
      <c r="N9" s="133"/>
      <c r="O9" s="133"/>
      <c r="P9" s="133"/>
      <c r="Q9" s="133"/>
      <c r="R9" s="133"/>
      <c r="S9" s="133"/>
      <c r="T9" s="133"/>
      <c r="U9" s="138"/>
      <c r="V9" s="138"/>
      <c r="W9" s="133"/>
      <c r="X9" s="133"/>
      <c r="Y9" s="138"/>
      <c r="Z9" s="133"/>
      <c r="AA9" s="133"/>
      <c r="AB9" s="133"/>
    </row>
    <row r="10" spans="1:28">
      <c r="A10" s="133"/>
      <c r="B10" s="127" t="s">
        <v>529</v>
      </c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27" t="s">
        <v>2709</v>
      </c>
      <c r="N10" s="133"/>
      <c r="O10" s="133"/>
      <c r="P10" s="133"/>
      <c r="Q10" s="133"/>
      <c r="R10" s="133"/>
      <c r="S10" s="133"/>
      <c r="T10" s="133"/>
      <c r="U10" s="138"/>
      <c r="V10" s="138"/>
      <c r="W10" s="133"/>
      <c r="X10" s="133"/>
      <c r="Y10" s="138"/>
      <c r="Z10" s="133"/>
      <c r="AA10" s="133"/>
      <c r="AB10" s="133"/>
    </row>
    <row r="11" spans="1:28">
      <c r="A11" s="2473"/>
      <c r="B11" s="2473"/>
      <c r="C11" s="2473"/>
      <c r="D11" s="2473"/>
      <c r="E11" s="2473"/>
      <c r="F11" s="2473"/>
      <c r="G11" s="2473"/>
      <c r="H11" s="2473"/>
      <c r="I11" s="2473"/>
      <c r="J11" s="2473"/>
      <c r="K11" s="2473"/>
      <c r="L11" s="2473"/>
      <c r="M11" s="2473"/>
      <c r="N11" s="2473"/>
      <c r="O11" s="2473"/>
      <c r="P11" s="2474"/>
      <c r="Q11" s="133"/>
      <c r="R11" s="133"/>
      <c r="S11" s="133"/>
      <c r="T11" s="133"/>
      <c r="U11" s="138"/>
      <c r="V11" s="138"/>
      <c r="W11" s="133"/>
      <c r="X11" s="133"/>
      <c r="Y11" s="138"/>
      <c r="Z11" s="133"/>
      <c r="AA11" s="133"/>
      <c r="AB11" s="133"/>
    </row>
    <row r="12" spans="1:28">
      <c r="A12" s="133"/>
      <c r="B12" s="133"/>
      <c r="C12" s="133"/>
      <c r="D12" s="133"/>
      <c r="E12" s="132" t="s">
        <v>203</v>
      </c>
      <c r="F12" s="133"/>
      <c r="G12" s="132" t="s">
        <v>1034</v>
      </c>
      <c r="H12" s="133"/>
      <c r="I12" s="2475" t="s">
        <v>1871</v>
      </c>
      <c r="J12" s="2475"/>
      <c r="K12" s="2475"/>
      <c r="L12" s="133"/>
      <c r="M12" s="2475" t="s">
        <v>1461</v>
      </c>
      <c r="N12" s="2475"/>
      <c r="O12" s="2471"/>
      <c r="P12" s="133"/>
      <c r="Q12" s="133"/>
      <c r="R12" s="133"/>
      <c r="S12" s="133"/>
      <c r="T12" s="133"/>
      <c r="U12" s="138"/>
      <c r="V12" s="138"/>
      <c r="W12" s="133"/>
      <c r="X12" s="133"/>
      <c r="Y12" s="138"/>
      <c r="Z12" s="133"/>
      <c r="AA12" s="133"/>
      <c r="AB12" s="133"/>
    </row>
    <row r="13" spans="1:28">
      <c r="A13" s="132" t="s">
        <v>1961</v>
      </c>
      <c r="B13" s="133"/>
      <c r="C13" s="133"/>
      <c r="D13" s="133"/>
      <c r="E13" s="132" t="s">
        <v>204</v>
      </c>
      <c r="F13" s="133"/>
      <c r="G13" s="132" t="s">
        <v>567</v>
      </c>
      <c r="H13" s="133"/>
      <c r="I13" s="137" t="s">
        <v>564</v>
      </c>
      <c r="J13" s="133"/>
      <c r="K13" s="137" t="s">
        <v>1143</v>
      </c>
      <c r="L13" s="133"/>
      <c r="M13" s="137" t="s">
        <v>564</v>
      </c>
      <c r="N13" s="133"/>
      <c r="O13" s="137" t="s">
        <v>1143</v>
      </c>
      <c r="P13" s="133"/>
      <c r="Q13" s="133"/>
      <c r="R13" s="133"/>
      <c r="S13" s="133"/>
      <c r="T13" s="133"/>
      <c r="U13" s="138"/>
      <c r="V13" s="138"/>
      <c r="W13" s="133"/>
      <c r="X13" s="133"/>
      <c r="Y13" s="138"/>
      <c r="Z13" s="133"/>
      <c r="AA13" s="133"/>
      <c r="AB13" s="133"/>
    </row>
    <row r="14" spans="1:28">
      <c r="A14" s="132" t="s">
        <v>1854</v>
      </c>
      <c r="B14" s="133"/>
      <c r="C14" s="127" t="s">
        <v>1036</v>
      </c>
      <c r="D14" s="133"/>
      <c r="E14" s="132" t="s">
        <v>1702</v>
      </c>
      <c r="F14" s="133"/>
      <c r="G14" s="132" t="s">
        <v>1703</v>
      </c>
      <c r="H14" s="133"/>
      <c r="I14" s="137" t="s">
        <v>568</v>
      </c>
      <c r="J14" s="133"/>
      <c r="K14" s="137" t="s">
        <v>568</v>
      </c>
      <c r="L14" s="133"/>
      <c r="M14" s="137" t="s">
        <v>568</v>
      </c>
      <c r="N14" s="133"/>
      <c r="O14" s="137" t="s">
        <v>568</v>
      </c>
      <c r="P14" s="132"/>
      <c r="Q14" s="133"/>
      <c r="R14" s="133"/>
      <c r="S14" s="133"/>
      <c r="T14" s="133"/>
      <c r="U14" s="138"/>
      <c r="V14" s="138"/>
      <c r="W14" s="133"/>
      <c r="X14" s="133"/>
      <c r="Y14" s="138"/>
      <c r="Z14" s="133"/>
      <c r="AA14" s="133"/>
      <c r="AB14" s="133"/>
    </row>
    <row r="15" spans="1:28">
      <c r="A15" s="2473"/>
      <c r="B15" s="2473"/>
      <c r="C15" s="2473"/>
      <c r="D15" s="2473"/>
      <c r="E15" s="2473"/>
      <c r="F15" s="2473"/>
      <c r="G15" s="2473"/>
      <c r="H15" s="2473"/>
      <c r="I15" s="2473"/>
      <c r="J15" s="2473"/>
      <c r="K15" s="2473"/>
      <c r="L15" s="2473"/>
      <c r="M15" s="2473"/>
      <c r="N15" s="2473"/>
      <c r="O15" s="136"/>
      <c r="P15" s="2476"/>
      <c r="Q15" s="133"/>
      <c r="R15" s="133"/>
      <c r="S15" s="133"/>
      <c r="T15" s="133"/>
      <c r="U15" s="138"/>
      <c r="V15" s="138"/>
      <c r="W15" s="133"/>
      <c r="X15" s="133"/>
      <c r="Y15" s="138"/>
      <c r="Z15" s="133"/>
      <c r="AA15" s="133"/>
      <c r="AB15" s="133"/>
    </row>
    <row r="16" spans="1:28">
      <c r="A16" s="133"/>
      <c r="B16" s="133"/>
      <c r="C16" s="133"/>
      <c r="D16" s="133"/>
      <c r="E16" s="133"/>
      <c r="F16" s="133"/>
      <c r="G16" s="133"/>
      <c r="H16" s="133"/>
      <c r="I16" s="133"/>
      <c r="J16" s="133"/>
      <c r="K16" s="2477" t="s">
        <v>1705</v>
      </c>
      <c r="L16" s="133"/>
      <c r="M16" s="133"/>
      <c r="N16" s="133"/>
      <c r="O16" s="2477" t="s">
        <v>1705</v>
      </c>
      <c r="P16" s="2477"/>
      <c r="Q16" s="133"/>
      <c r="R16" s="133"/>
      <c r="S16" s="133"/>
      <c r="T16" s="133"/>
      <c r="U16" s="138"/>
      <c r="V16" s="138"/>
      <c r="W16" s="133"/>
      <c r="X16" s="133"/>
      <c r="Y16" s="138"/>
      <c r="Z16" s="133"/>
      <c r="AA16" s="133"/>
      <c r="AB16" s="133"/>
    </row>
    <row r="17" spans="1:28">
      <c r="A17" s="132">
        <v>1</v>
      </c>
      <c r="B17" s="133"/>
      <c r="C17" s="127" t="s">
        <v>1706</v>
      </c>
      <c r="D17" s="133"/>
      <c r="E17" s="128" t="s">
        <v>466</v>
      </c>
      <c r="F17" s="2478"/>
      <c r="G17" s="132" t="s">
        <v>1707</v>
      </c>
      <c r="H17" s="133"/>
      <c r="I17" s="2479">
        <f>'WPB-5''s'!E20+'WPB-5''s'!E32</f>
        <v>16807315</v>
      </c>
      <c r="J17" s="2480"/>
      <c r="K17" s="2479">
        <f ca="1">'WPB-5''s'!G20+'WPB-5''s'!G32</f>
        <v>17119715</v>
      </c>
      <c r="L17" s="133"/>
      <c r="M17" s="2481">
        <f>Y65</f>
        <v>13817614</v>
      </c>
      <c r="N17" s="133"/>
      <c r="O17" s="2481">
        <f ca="1">Y114</f>
        <v>14215407</v>
      </c>
      <c r="P17" s="2478"/>
      <c r="Q17" s="133"/>
      <c r="R17" s="133"/>
      <c r="S17" s="133"/>
      <c r="T17" s="133"/>
      <c r="U17" s="138"/>
      <c r="V17" s="138"/>
      <c r="W17" s="133"/>
      <c r="X17" s="133"/>
      <c r="Y17" s="138"/>
      <c r="Z17" s="133"/>
      <c r="AA17" s="133"/>
      <c r="AB17" s="133"/>
    </row>
    <row r="18" spans="1:28">
      <c r="A18" s="132">
        <v>2</v>
      </c>
      <c r="B18" s="133"/>
      <c r="C18" s="127" t="s">
        <v>1708</v>
      </c>
      <c r="D18" s="133"/>
      <c r="E18" s="128" t="s">
        <v>467</v>
      </c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8"/>
      <c r="V18" s="138"/>
      <c r="W18" s="133"/>
      <c r="X18" s="133"/>
      <c r="Y18" s="138"/>
      <c r="Z18" s="133"/>
      <c r="AA18" s="133"/>
      <c r="AB18" s="133"/>
    </row>
    <row r="19" spans="1:28">
      <c r="A19" s="132">
        <v>3</v>
      </c>
      <c r="B19" s="133"/>
      <c r="C19" s="129"/>
      <c r="D19" s="133"/>
      <c r="E19" s="128" t="s">
        <v>468</v>
      </c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8"/>
      <c r="V19" s="138"/>
      <c r="W19" s="133"/>
      <c r="X19" s="133"/>
      <c r="Y19" s="138"/>
      <c r="Z19" s="133"/>
      <c r="AA19" s="133"/>
      <c r="AB19" s="133"/>
    </row>
    <row r="20" spans="1:28">
      <c r="A20" s="132">
        <v>4</v>
      </c>
      <c r="B20" s="133"/>
      <c r="C20" s="129"/>
      <c r="D20" s="133"/>
      <c r="E20" s="128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8"/>
      <c r="V20" s="138"/>
      <c r="W20" s="133"/>
      <c r="X20" s="133"/>
      <c r="Y20" s="138"/>
      <c r="Z20" s="133"/>
      <c r="AA20" s="133"/>
      <c r="AB20" s="133"/>
    </row>
    <row r="21" spans="1:28">
      <c r="A21" s="132">
        <v>5</v>
      </c>
      <c r="B21" s="133"/>
      <c r="C21" s="133" t="s">
        <v>1828</v>
      </c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8"/>
      <c r="V21" s="138"/>
      <c r="W21" s="133"/>
      <c r="X21" s="133"/>
      <c r="Y21" s="138"/>
      <c r="Z21" s="133"/>
      <c r="AA21" s="133"/>
      <c r="AB21" s="133"/>
    </row>
    <row r="22" spans="1:28">
      <c r="A22" s="132">
        <v>6</v>
      </c>
      <c r="B22" s="133"/>
      <c r="C22" s="2482" t="s">
        <v>1228</v>
      </c>
      <c r="D22" s="133"/>
      <c r="E22" s="133"/>
      <c r="F22" s="2478"/>
      <c r="G22" s="133"/>
      <c r="H22" s="133"/>
      <c r="I22" s="133"/>
      <c r="J22" s="133"/>
      <c r="K22" s="133"/>
      <c r="L22" s="133"/>
      <c r="M22" s="133"/>
      <c r="N22" s="133"/>
      <c r="O22" s="133"/>
      <c r="P22" s="2483"/>
      <c r="Q22" s="133"/>
      <c r="R22" s="133"/>
      <c r="S22" s="133"/>
      <c r="T22" s="133"/>
      <c r="U22" s="138"/>
      <c r="V22" s="138"/>
      <c r="W22" s="133"/>
      <c r="X22" s="133"/>
      <c r="Y22" s="138"/>
      <c r="Z22" s="133"/>
      <c r="AA22" s="133"/>
      <c r="AB22" s="133"/>
    </row>
    <row r="23" spans="1:28">
      <c r="A23" s="132">
        <v>7</v>
      </c>
      <c r="B23" s="133"/>
      <c r="C23" s="1369" t="s">
        <v>244</v>
      </c>
      <c r="D23" s="133"/>
      <c r="E23" s="130" t="s">
        <v>365</v>
      </c>
      <c r="F23" s="2478"/>
      <c r="G23" s="132" t="s">
        <v>794</v>
      </c>
      <c r="H23" s="133"/>
      <c r="I23" s="138">
        <f>U69</f>
        <v>19498661</v>
      </c>
      <c r="J23" s="133"/>
      <c r="K23" s="138">
        <f>U118</f>
        <v>19498661</v>
      </c>
      <c r="L23" s="133"/>
      <c r="M23" s="138">
        <f>Y69</f>
        <v>19498661</v>
      </c>
      <c r="N23" s="133"/>
      <c r="O23" s="138">
        <f>Y118</f>
        <v>19498661</v>
      </c>
      <c r="P23" s="2483"/>
      <c r="Q23" s="133"/>
      <c r="R23" s="133"/>
      <c r="S23" s="133"/>
      <c r="T23" s="133"/>
      <c r="U23" s="138"/>
      <c r="V23" s="138"/>
      <c r="W23" s="133"/>
      <c r="X23" s="133"/>
      <c r="Y23" s="138"/>
      <c r="Z23" s="133"/>
      <c r="AA23" s="133"/>
      <c r="AB23" s="133"/>
    </row>
    <row r="24" spans="1:28">
      <c r="A24" s="132">
        <v>8</v>
      </c>
      <c r="B24" s="133"/>
      <c r="C24" s="1369" t="s">
        <v>992</v>
      </c>
      <c r="D24" s="133"/>
      <c r="E24" s="130" t="s">
        <v>365</v>
      </c>
      <c r="F24" s="2478"/>
      <c r="G24" s="132" t="s">
        <v>794</v>
      </c>
      <c r="H24" s="133"/>
      <c r="I24" s="138">
        <f>U70</f>
        <v>447542</v>
      </c>
      <c r="J24" s="133"/>
      <c r="K24" s="138">
        <f>U119</f>
        <v>447542</v>
      </c>
      <c r="L24" s="133"/>
      <c r="M24" s="138">
        <f>Y70</f>
        <v>447542</v>
      </c>
      <c r="N24" s="133"/>
      <c r="O24" s="138">
        <f>Y119</f>
        <v>447542</v>
      </c>
      <c r="P24" s="2483"/>
      <c r="Q24" s="133"/>
      <c r="R24" s="133"/>
      <c r="S24" s="133"/>
      <c r="T24" s="133"/>
      <c r="U24" s="138"/>
      <c r="V24" s="138"/>
      <c r="W24" s="133"/>
      <c r="X24" s="133"/>
      <c r="Y24" s="138"/>
      <c r="Z24" s="133"/>
      <c r="AA24" s="133"/>
      <c r="AB24" s="133"/>
    </row>
    <row r="25" spans="1:28">
      <c r="A25" s="132">
        <v>9</v>
      </c>
      <c r="B25" s="133"/>
      <c r="C25" s="1369" t="s">
        <v>2063</v>
      </c>
      <c r="D25" s="133"/>
      <c r="E25" s="130" t="s">
        <v>365</v>
      </c>
      <c r="F25" s="2478"/>
      <c r="G25" s="132" t="s">
        <v>794</v>
      </c>
      <c r="H25" s="133"/>
      <c r="I25" s="138">
        <f>U71</f>
        <v>0</v>
      </c>
      <c r="J25" s="133"/>
      <c r="K25" s="138">
        <f>U120</f>
        <v>0</v>
      </c>
      <c r="L25" s="133"/>
      <c r="M25" s="138">
        <f>Y71</f>
        <v>0</v>
      </c>
      <c r="N25" s="133"/>
      <c r="O25" s="138">
        <f>Y120</f>
        <v>0</v>
      </c>
      <c r="P25" s="2483"/>
      <c r="Q25" s="133"/>
      <c r="R25" s="133"/>
      <c r="S25" s="133"/>
      <c r="T25" s="133"/>
      <c r="U25" s="138"/>
      <c r="V25" s="138"/>
      <c r="W25" s="133"/>
      <c r="X25" s="133"/>
      <c r="Y25" s="138"/>
      <c r="Z25" s="133"/>
      <c r="AA25" s="133"/>
      <c r="AB25" s="133"/>
    </row>
    <row r="26" spans="1:28">
      <c r="A26" s="132">
        <v>10</v>
      </c>
      <c r="B26" s="133"/>
      <c r="C26" s="1369" t="s">
        <v>995</v>
      </c>
      <c r="D26" s="133"/>
      <c r="E26" s="130" t="s">
        <v>365</v>
      </c>
      <c r="F26" s="2478"/>
      <c r="G26" s="132" t="s">
        <v>794</v>
      </c>
      <c r="H26" s="133"/>
      <c r="I26" s="140">
        <f>U72</f>
        <v>947646</v>
      </c>
      <c r="J26" s="133"/>
      <c r="K26" s="140">
        <f>U121</f>
        <v>0</v>
      </c>
      <c r="L26" s="133"/>
      <c r="M26" s="140">
        <f>Y72</f>
        <v>947646</v>
      </c>
      <c r="N26" s="133"/>
      <c r="O26" s="140">
        <f>Y121</f>
        <v>0</v>
      </c>
      <c r="P26" s="2483"/>
      <c r="Q26" s="133"/>
      <c r="R26" s="133"/>
      <c r="S26" s="133"/>
      <c r="T26" s="133"/>
      <c r="U26" s="138"/>
      <c r="V26" s="138"/>
      <c r="W26" s="133"/>
      <c r="X26" s="133"/>
      <c r="Y26" s="138"/>
      <c r="Z26" s="133"/>
      <c r="AA26" s="133"/>
      <c r="AB26" s="133"/>
    </row>
    <row r="27" spans="1:28">
      <c r="A27" s="132">
        <v>11</v>
      </c>
      <c r="B27" s="133"/>
      <c r="C27" s="2482" t="s">
        <v>1026</v>
      </c>
      <c r="D27" s="133"/>
      <c r="E27" s="130"/>
      <c r="F27" s="2478"/>
      <c r="G27" s="132"/>
      <c r="H27" s="133"/>
      <c r="I27" s="138">
        <f>SUM(I23:I26)</f>
        <v>20893849</v>
      </c>
      <c r="J27" s="133"/>
      <c r="K27" s="138">
        <f>SUM(K23:K26)</f>
        <v>19946203</v>
      </c>
      <c r="L27" s="133"/>
      <c r="M27" s="138">
        <f>SUM(M23:M26)</f>
        <v>20893849</v>
      </c>
      <c r="N27" s="133"/>
      <c r="O27" s="138">
        <f>SUM(O23:O26)</f>
        <v>19946203</v>
      </c>
      <c r="P27" s="2483"/>
      <c r="Q27" s="133"/>
      <c r="R27" s="133"/>
      <c r="S27" s="133"/>
      <c r="T27" s="133"/>
      <c r="U27" s="138"/>
      <c r="V27" s="138"/>
      <c r="W27" s="133"/>
      <c r="X27" s="133"/>
      <c r="Y27" s="138"/>
      <c r="Z27" s="133"/>
      <c r="AA27" s="133"/>
      <c r="AB27" s="133"/>
    </row>
    <row r="28" spans="1:28">
      <c r="A28" s="132">
        <v>12</v>
      </c>
      <c r="B28" s="133"/>
      <c r="C28" s="2482"/>
      <c r="D28" s="133"/>
      <c r="E28" s="130"/>
      <c r="F28" s="2478"/>
      <c r="G28" s="132"/>
      <c r="H28" s="133"/>
      <c r="I28" s="138"/>
      <c r="J28" s="133"/>
      <c r="K28" s="138"/>
      <c r="L28" s="133"/>
      <c r="M28" s="2484"/>
      <c r="N28" s="133"/>
      <c r="O28" s="2484"/>
      <c r="P28" s="2483"/>
      <c r="Q28" s="133"/>
      <c r="R28" s="133"/>
      <c r="S28" s="133"/>
      <c r="T28" s="133"/>
      <c r="U28" s="138"/>
      <c r="V28" s="138"/>
      <c r="W28" s="133"/>
      <c r="X28" s="133"/>
      <c r="Y28" s="138"/>
      <c r="Z28" s="133"/>
      <c r="AA28" s="133"/>
      <c r="AB28" s="133"/>
    </row>
    <row r="29" spans="1:28">
      <c r="A29" s="132">
        <v>13</v>
      </c>
      <c r="B29" s="133"/>
      <c r="C29" s="2482" t="s">
        <v>469</v>
      </c>
      <c r="D29" s="133"/>
      <c r="E29" s="130" t="s">
        <v>365</v>
      </c>
      <c r="F29" s="2478"/>
      <c r="G29" s="132" t="s">
        <v>1709</v>
      </c>
      <c r="H29" s="133"/>
      <c r="I29" s="138">
        <f>'WPB-5''s'!M61</f>
        <v>3714387</v>
      </c>
      <c r="J29" s="133"/>
      <c r="K29" s="138">
        <f>'WPB-5''s'!M79</f>
        <v>3714387</v>
      </c>
      <c r="L29" s="133"/>
      <c r="M29" s="2484">
        <v>0</v>
      </c>
      <c r="N29" s="133"/>
      <c r="O29" s="2484">
        <v>0</v>
      </c>
      <c r="P29" s="2483"/>
      <c r="Q29" s="133"/>
      <c r="R29" s="133"/>
      <c r="S29" s="133"/>
      <c r="T29" s="133"/>
      <c r="U29" s="138"/>
      <c r="V29" s="138"/>
      <c r="W29" s="133"/>
      <c r="X29" s="133"/>
      <c r="Y29" s="138"/>
      <c r="Z29" s="133"/>
      <c r="AA29" s="133"/>
      <c r="AB29" s="133"/>
    </row>
    <row r="30" spans="1:28">
      <c r="A30" s="132">
        <v>14</v>
      </c>
      <c r="B30" s="133"/>
      <c r="C30" s="2482"/>
      <c r="D30" s="133"/>
      <c r="E30" s="130"/>
      <c r="F30" s="2478"/>
      <c r="G30" s="132"/>
      <c r="H30" s="133"/>
      <c r="I30" s="138"/>
      <c r="J30" s="133"/>
      <c r="K30" s="138"/>
      <c r="L30" s="133"/>
      <c r="M30" s="2484"/>
      <c r="N30" s="133"/>
      <c r="O30" s="2484"/>
      <c r="P30" s="2483"/>
      <c r="Q30" s="133"/>
      <c r="R30" s="133"/>
      <c r="S30" s="133"/>
      <c r="T30" s="133"/>
      <c r="U30" s="138"/>
      <c r="V30" s="138"/>
      <c r="W30" s="133"/>
      <c r="X30" s="133"/>
      <c r="Y30" s="138"/>
      <c r="Z30" s="133"/>
      <c r="AA30" s="133"/>
      <c r="AB30" s="133"/>
    </row>
    <row r="31" spans="1:28">
      <c r="A31" s="132">
        <v>15</v>
      </c>
      <c r="B31" s="133"/>
      <c r="C31" s="2482" t="s">
        <v>470</v>
      </c>
      <c r="D31" s="133"/>
      <c r="E31" s="130" t="s">
        <v>365</v>
      </c>
      <c r="F31" s="2478"/>
      <c r="G31" s="132" t="s">
        <v>1711</v>
      </c>
      <c r="H31" s="133"/>
      <c r="I31" s="138">
        <f>'WPB-5''s'!BJ197</f>
        <v>3412415</v>
      </c>
      <c r="J31" s="133"/>
      <c r="K31" s="138">
        <f>'WPB-5''s'!BJ215</f>
        <v>3412415.076923077</v>
      </c>
      <c r="L31" s="133"/>
      <c r="M31" s="2484">
        <v>0</v>
      </c>
      <c r="N31" s="133"/>
      <c r="O31" s="2484">
        <v>0</v>
      </c>
      <c r="P31" s="2483"/>
      <c r="Q31" s="133"/>
      <c r="R31" s="133"/>
      <c r="S31" s="133"/>
      <c r="T31" s="133"/>
      <c r="U31" s="138"/>
      <c r="V31" s="138"/>
      <c r="W31" s="133"/>
      <c r="X31" s="133"/>
      <c r="Y31" s="138"/>
      <c r="Z31" s="133"/>
      <c r="AA31" s="133"/>
      <c r="AB31" s="133"/>
    </row>
    <row r="32" spans="1:28">
      <c r="A32" s="132">
        <v>16</v>
      </c>
      <c r="B32" s="133"/>
      <c r="C32" s="2482"/>
      <c r="D32" s="133"/>
      <c r="E32" s="130"/>
      <c r="F32" s="2478"/>
      <c r="G32" s="132"/>
      <c r="H32" s="133"/>
      <c r="I32" s="138"/>
      <c r="J32" s="133"/>
      <c r="K32" s="138"/>
      <c r="L32" s="133"/>
      <c r="M32" s="2484"/>
      <c r="N32" s="133"/>
      <c r="O32" s="2484"/>
      <c r="P32" s="2483"/>
      <c r="Q32" s="133"/>
      <c r="R32" s="133"/>
      <c r="S32" s="133"/>
      <c r="T32" s="133"/>
      <c r="U32" s="138"/>
      <c r="V32" s="138"/>
      <c r="W32" s="133"/>
      <c r="X32" s="133"/>
      <c r="Y32" s="138"/>
      <c r="Z32" s="133"/>
      <c r="AA32" s="133"/>
      <c r="AB32" s="133"/>
    </row>
    <row r="33" spans="1:28">
      <c r="A33" s="132">
        <v>17</v>
      </c>
      <c r="B33" s="133"/>
      <c r="C33" s="2482" t="s">
        <v>1827</v>
      </c>
      <c r="D33" s="133"/>
      <c r="E33" s="130" t="s">
        <v>365</v>
      </c>
      <c r="F33" s="131"/>
      <c r="G33" s="132" t="s">
        <v>989</v>
      </c>
      <c r="H33" s="133"/>
      <c r="I33" s="138">
        <f>U79</f>
        <v>0</v>
      </c>
      <c r="J33" s="133"/>
      <c r="K33" s="138">
        <f>U128</f>
        <v>0</v>
      </c>
      <c r="L33" s="133"/>
      <c r="M33" s="138">
        <f>Y79</f>
        <v>0</v>
      </c>
      <c r="N33" s="133"/>
      <c r="O33" s="138">
        <f>Y128</f>
        <v>0</v>
      </c>
      <c r="P33" s="2478"/>
      <c r="Q33" s="133"/>
      <c r="R33" s="133"/>
      <c r="S33" s="133"/>
      <c r="T33" s="133"/>
      <c r="U33" s="138"/>
      <c r="V33" s="138"/>
      <c r="W33" s="133"/>
      <c r="X33" s="133"/>
      <c r="Y33" s="138"/>
      <c r="Z33" s="133"/>
      <c r="AA33" s="133"/>
      <c r="AB33" s="133"/>
    </row>
    <row r="34" spans="1:28">
      <c r="A34" s="132">
        <v>18</v>
      </c>
      <c r="B34" s="133"/>
      <c r="C34" s="2482"/>
      <c r="D34" s="133"/>
      <c r="E34" s="130"/>
      <c r="F34" s="131"/>
      <c r="G34" s="132"/>
      <c r="H34" s="133"/>
      <c r="I34" s="2484"/>
      <c r="J34" s="133"/>
      <c r="K34" s="2484"/>
      <c r="L34" s="133"/>
      <c r="M34" s="2484"/>
      <c r="N34" s="133"/>
      <c r="O34" s="2484"/>
      <c r="P34" s="2478"/>
      <c r="Q34" s="133"/>
      <c r="R34" s="133"/>
      <c r="S34" s="133"/>
      <c r="T34" s="133"/>
      <c r="U34" s="138"/>
      <c r="V34" s="138"/>
      <c r="W34" s="133"/>
      <c r="X34" s="133"/>
      <c r="Y34" s="138"/>
      <c r="Z34" s="133"/>
      <c r="AA34" s="133"/>
      <c r="AB34" s="133"/>
    </row>
    <row r="35" spans="1:28">
      <c r="A35" s="132">
        <v>19</v>
      </c>
      <c r="B35" s="133"/>
      <c r="C35" s="2482" t="s">
        <v>202</v>
      </c>
      <c r="D35" s="133"/>
      <c r="E35" s="130" t="s">
        <v>365</v>
      </c>
      <c r="F35" s="2478"/>
      <c r="G35" s="132" t="s">
        <v>1710</v>
      </c>
      <c r="H35" s="133"/>
      <c r="I35" s="138">
        <f>'WPB-5''s'!AT156</f>
        <v>20955355</v>
      </c>
      <c r="J35" s="133"/>
      <c r="K35" s="138">
        <f>'WPB-5''s'!AT167</f>
        <v>20955355</v>
      </c>
      <c r="L35" s="133"/>
      <c r="M35" s="138">
        <f>Y81</f>
        <v>20474771</v>
      </c>
      <c r="N35" s="133"/>
      <c r="O35" s="138">
        <f>Y130</f>
        <v>20474771</v>
      </c>
      <c r="P35" s="2478"/>
      <c r="Q35" s="133"/>
      <c r="R35" s="133"/>
      <c r="S35" s="133"/>
      <c r="T35" s="133"/>
      <c r="U35" s="138"/>
      <c r="V35" s="138"/>
      <c r="W35" s="133"/>
      <c r="X35" s="133"/>
      <c r="Y35" s="138"/>
      <c r="Z35" s="133"/>
      <c r="AA35" s="133"/>
      <c r="AB35" s="133"/>
    </row>
    <row r="36" spans="1:28">
      <c r="A36" s="132">
        <v>20</v>
      </c>
      <c r="B36" s="133"/>
      <c r="C36" s="2482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8"/>
      <c r="V36" s="138"/>
      <c r="W36" s="133"/>
      <c r="X36" s="133"/>
      <c r="Y36" s="138"/>
      <c r="Z36" s="133"/>
      <c r="AA36" s="133"/>
      <c r="AB36" s="133"/>
    </row>
    <row r="37" spans="1:28">
      <c r="A37" s="132">
        <v>21</v>
      </c>
      <c r="B37" s="133"/>
      <c r="C37" s="2482" t="s">
        <v>1712</v>
      </c>
      <c r="D37" s="133"/>
      <c r="E37" s="130" t="s">
        <v>365</v>
      </c>
      <c r="F37" s="2478"/>
      <c r="G37" s="132" t="s">
        <v>1713</v>
      </c>
      <c r="H37" s="133"/>
      <c r="I37" s="140">
        <f>'WPB-5''s'!W100</f>
        <v>665925</v>
      </c>
      <c r="J37" s="133"/>
      <c r="K37" s="140">
        <f>'WPB-5''s'!W107</f>
        <v>1178424.5384615385</v>
      </c>
      <c r="L37" s="133"/>
      <c r="M37" s="140">
        <f>Y83</f>
        <v>0</v>
      </c>
      <c r="N37" s="133"/>
      <c r="O37" s="140">
        <f>Y132</f>
        <v>0</v>
      </c>
      <c r="P37" s="133"/>
      <c r="Q37" s="133"/>
      <c r="R37" s="133"/>
      <c r="S37" s="133"/>
      <c r="T37" s="133"/>
      <c r="U37" s="138"/>
      <c r="V37" s="138"/>
      <c r="W37" s="133"/>
      <c r="X37" s="133"/>
      <c r="Y37" s="138"/>
      <c r="Z37" s="133"/>
      <c r="AA37" s="133"/>
      <c r="AB37" s="133"/>
    </row>
    <row r="38" spans="1:28">
      <c r="A38" s="132">
        <v>22</v>
      </c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2478"/>
      <c r="Q38" s="133"/>
      <c r="R38" s="133"/>
      <c r="S38" s="133"/>
      <c r="T38" s="133"/>
      <c r="U38" s="138"/>
      <c r="V38" s="138"/>
      <c r="W38" s="133"/>
      <c r="X38" s="133"/>
      <c r="Y38" s="138"/>
      <c r="Z38" s="133"/>
      <c r="AA38" s="133"/>
      <c r="AB38" s="133"/>
    </row>
    <row r="39" spans="1:28">
      <c r="A39" s="132">
        <v>23</v>
      </c>
      <c r="B39" s="133"/>
      <c r="C39" s="133" t="s">
        <v>1714</v>
      </c>
      <c r="D39" s="133"/>
      <c r="E39" s="133"/>
      <c r="F39" s="133"/>
      <c r="G39" s="133"/>
      <c r="H39" s="133"/>
      <c r="I39" s="140">
        <f>I27+I29+I31+I33+I35+I37</f>
        <v>49641931</v>
      </c>
      <c r="J39" s="133"/>
      <c r="K39" s="140">
        <f>K27+K29+K31+K33+K35+K37</f>
        <v>49206784.615384609</v>
      </c>
      <c r="L39" s="133"/>
      <c r="M39" s="140">
        <f>M27+M29+M31+M33+M35+M37</f>
        <v>41368620</v>
      </c>
      <c r="N39" s="133"/>
      <c r="O39" s="140">
        <f>O27+O29+O31+O33+O35+O37</f>
        <v>40420974</v>
      </c>
      <c r="P39" s="133"/>
      <c r="Q39" s="133"/>
      <c r="R39" s="133"/>
      <c r="S39" s="133"/>
      <c r="T39" s="133"/>
      <c r="U39" s="138"/>
      <c r="V39" s="138"/>
      <c r="W39" s="133"/>
      <c r="X39" s="133"/>
      <c r="Y39" s="138"/>
      <c r="Z39" s="133"/>
      <c r="AA39" s="133"/>
      <c r="AB39" s="133"/>
    </row>
    <row r="40" spans="1:28">
      <c r="A40" s="132">
        <v>24</v>
      </c>
      <c r="B40" s="133"/>
      <c r="C40" s="129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8"/>
      <c r="V40" s="138"/>
      <c r="W40" s="133"/>
      <c r="X40" s="133"/>
      <c r="Y40" s="138"/>
      <c r="Z40" s="133"/>
      <c r="AA40" s="133"/>
      <c r="AB40" s="133"/>
    </row>
    <row r="41" spans="1:28">
      <c r="A41" s="132">
        <v>25</v>
      </c>
      <c r="B41" s="133"/>
      <c r="C41" s="127" t="s">
        <v>1715</v>
      </c>
      <c r="D41" s="133"/>
      <c r="E41" s="133"/>
      <c r="F41" s="133"/>
      <c r="G41" s="133"/>
      <c r="H41" s="133"/>
      <c r="I41" s="2485">
        <f>I39+I17</f>
        <v>66449246</v>
      </c>
      <c r="J41" s="133"/>
      <c r="K41" s="2485">
        <f ca="1">K39+K17</f>
        <v>66326499.615384609</v>
      </c>
      <c r="L41" s="133"/>
      <c r="M41" s="2485">
        <f>M39+M17</f>
        <v>55186234</v>
      </c>
      <c r="N41" s="133"/>
      <c r="O41" s="2485">
        <f ca="1">O39+O17</f>
        <v>54636381</v>
      </c>
      <c r="P41" s="2486"/>
      <c r="Q41" s="133"/>
      <c r="R41" s="133"/>
      <c r="S41" s="133"/>
      <c r="T41" s="133"/>
      <c r="U41" s="138"/>
      <c r="V41" s="138"/>
      <c r="W41" s="133"/>
      <c r="X41" s="133"/>
      <c r="Y41" s="138"/>
      <c r="Z41" s="133"/>
      <c r="AA41" s="133"/>
      <c r="AB41" s="133"/>
    </row>
    <row r="42" spans="1:28">
      <c r="A42" s="132"/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8"/>
      <c r="V42" s="138"/>
      <c r="W42" s="133"/>
      <c r="X42" s="133"/>
      <c r="Y42" s="138"/>
      <c r="Z42" s="133"/>
      <c r="AA42" s="133"/>
      <c r="AB42" s="133"/>
    </row>
    <row r="43" spans="1:28">
      <c r="A43" s="132"/>
      <c r="B43" s="133"/>
      <c r="C43" s="133" t="s">
        <v>1716</v>
      </c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2487"/>
      <c r="Q43" s="133"/>
      <c r="R43" s="133"/>
      <c r="S43" s="133"/>
      <c r="T43" s="133"/>
      <c r="U43" s="138"/>
      <c r="V43" s="138"/>
      <c r="W43" s="133"/>
      <c r="X43" s="133"/>
      <c r="Y43" s="138"/>
      <c r="Z43" s="133"/>
      <c r="AA43" s="133"/>
      <c r="AB43" s="133"/>
    </row>
    <row r="44" spans="1:28">
      <c r="A44" s="132"/>
      <c r="B44" s="127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8"/>
      <c r="V44" s="138"/>
      <c r="W44" s="133"/>
      <c r="X44" s="133"/>
      <c r="Y44" s="138"/>
      <c r="Z44" s="133"/>
      <c r="AA44" s="133"/>
      <c r="AB44" s="133"/>
    </row>
    <row r="45" spans="1:28">
      <c r="A45" s="127"/>
      <c r="B45" s="133"/>
      <c r="C45" s="133" t="s">
        <v>2597</v>
      </c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8"/>
      <c r="V45" s="138"/>
      <c r="W45" s="133"/>
      <c r="X45" s="133"/>
      <c r="Y45" s="138"/>
      <c r="Z45" s="133"/>
      <c r="AA45" s="133"/>
      <c r="AB45" s="133"/>
    </row>
    <row r="46" spans="1:28">
      <c r="A46" s="133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2470" t="str">
        <f>LOGO!$B$5</f>
        <v>DUKE ENERGY KENTUCKY, INC.</v>
      </c>
      <c r="R46" s="2471"/>
      <c r="S46" s="2471"/>
      <c r="T46" s="2471"/>
      <c r="U46" s="2488"/>
      <c r="V46" s="2488"/>
      <c r="W46" s="2471"/>
      <c r="X46" s="2471"/>
      <c r="Y46" s="2488"/>
      <c r="Z46" s="133"/>
      <c r="AA46" s="133"/>
      <c r="AB46" s="133"/>
    </row>
    <row r="47" spans="1:28">
      <c r="A47" s="133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2470" t="str">
        <f>LOGO!B6</f>
        <v>CASE NO. 2017-00321</v>
      </c>
      <c r="R47" s="2471"/>
      <c r="S47" s="2471"/>
      <c r="T47" s="2471"/>
      <c r="U47" s="2488"/>
      <c r="V47" s="2488"/>
      <c r="W47" s="2471"/>
      <c r="X47" s="2471"/>
      <c r="Y47" s="2488"/>
      <c r="Z47" s="133"/>
      <c r="AA47" s="133"/>
      <c r="AB47" s="133"/>
    </row>
    <row r="48" spans="1:28">
      <c r="A48" s="133"/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2470" t="s">
        <v>1456</v>
      </c>
      <c r="R48" s="2471"/>
      <c r="S48" s="2471"/>
      <c r="T48" s="2471"/>
      <c r="U48" s="2488"/>
      <c r="V48" s="2488"/>
      <c r="W48" s="2471"/>
      <c r="X48" s="2471"/>
      <c r="Y48" s="2488"/>
      <c r="Z48" s="133"/>
      <c r="AA48" s="133"/>
      <c r="AB48" s="133"/>
    </row>
    <row r="49" spans="1:28">
      <c r="A49" s="133"/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76" t="str">
        <f>"AS OF " &amp;RIGHT(TESTYR,(LEN(TESTYR)-16))</f>
        <v>AS OF NOVEMBER 30, 2017</v>
      </c>
      <c r="R49" s="2471"/>
      <c r="S49" s="2471"/>
      <c r="T49" s="2471"/>
      <c r="U49" s="2488"/>
      <c r="V49" s="2488"/>
      <c r="W49" s="2471"/>
      <c r="X49" s="2471"/>
      <c r="Y49" s="2488"/>
      <c r="Z49" s="133"/>
      <c r="AA49" s="133"/>
      <c r="AB49" s="133"/>
    </row>
    <row r="50" spans="1:28">
      <c r="A50" s="133"/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8"/>
      <c r="V50" s="138"/>
      <c r="W50" s="133"/>
      <c r="X50" s="133"/>
      <c r="Y50" s="138"/>
      <c r="Z50" s="133"/>
      <c r="AA50" s="133"/>
      <c r="AB50" s="133"/>
    </row>
    <row r="51" spans="1:28">
      <c r="A51" s="133"/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8"/>
      <c r="V51" s="138"/>
      <c r="W51" s="133"/>
      <c r="X51" s="133"/>
      <c r="Y51" s="138"/>
      <c r="Z51" s="133"/>
      <c r="AA51" s="133"/>
      <c r="AB51" s="133"/>
    </row>
    <row r="52" spans="1:28">
      <c r="A52" s="133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 t="str">
        <f>Data</f>
        <v>DATA: "X" BASE PERIOD   FORECASTED PERIOD</v>
      </c>
      <c r="R52" s="133"/>
      <c r="S52" s="133"/>
      <c r="T52" s="133"/>
      <c r="U52" s="138"/>
      <c r="V52" s="138"/>
      <c r="W52" s="133"/>
      <c r="X52" s="127" t="s">
        <v>1457</v>
      </c>
      <c r="Z52" s="133"/>
      <c r="AA52" s="133"/>
      <c r="AB52" s="133"/>
    </row>
    <row r="53" spans="1:28">
      <c r="A53" s="133"/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2472" t="str">
        <f>LOGO!$B$15</f>
        <v xml:space="preserve">TYPE OF FILING:  "X" ORIGINAL   UPDATED    REVISED  </v>
      </c>
      <c r="R53" s="133"/>
      <c r="S53" s="133"/>
      <c r="T53" s="133"/>
      <c r="U53" s="138"/>
      <c r="V53" s="138"/>
      <c r="W53" s="133"/>
      <c r="X53" s="127" t="s">
        <v>1458</v>
      </c>
      <c r="Z53" s="133"/>
      <c r="AA53" s="133"/>
      <c r="AB53" s="133"/>
    </row>
    <row r="54" spans="1:28">
      <c r="A54" s="133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27" t="s">
        <v>109</v>
      </c>
      <c r="R54" s="133"/>
      <c r="S54" s="133"/>
      <c r="T54" s="133"/>
      <c r="U54" s="138"/>
      <c r="V54" s="138"/>
      <c r="W54" s="133"/>
      <c r="X54" s="127" t="s">
        <v>622</v>
      </c>
      <c r="Z54" s="133"/>
      <c r="AA54" s="133"/>
      <c r="AB54" s="133"/>
    </row>
    <row r="55" spans="1:28">
      <c r="A55" s="133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8"/>
      <c r="V55" s="138"/>
      <c r="W55" s="133"/>
      <c r="X55" s="127" t="s">
        <v>2709</v>
      </c>
      <c r="Z55" s="133"/>
      <c r="AA55" s="133"/>
      <c r="AB55" s="133"/>
    </row>
    <row r="56" spans="1:28">
      <c r="A56" s="133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2489"/>
      <c r="R56" s="2489"/>
      <c r="S56" s="2489"/>
      <c r="T56" s="2489"/>
      <c r="U56" s="2490"/>
      <c r="V56" s="2490"/>
      <c r="W56" s="2489"/>
      <c r="X56" s="2489"/>
      <c r="Y56" s="2490"/>
      <c r="Z56" s="133"/>
      <c r="AA56" s="133"/>
      <c r="AB56" s="133"/>
    </row>
    <row r="57" spans="1:28">
      <c r="A57" s="133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8"/>
      <c r="V57" s="138"/>
      <c r="W57" s="133"/>
      <c r="X57" s="133"/>
      <c r="Y57" s="138"/>
      <c r="Z57" s="133"/>
      <c r="AA57" s="133"/>
      <c r="AB57" s="133"/>
    </row>
    <row r="58" spans="1:28">
      <c r="A58" s="133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2491" t="s">
        <v>1023</v>
      </c>
      <c r="V58" s="2491"/>
      <c r="W58" s="2475"/>
      <c r="X58" s="2475"/>
      <c r="Y58" s="2491"/>
      <c r="Z58" s="133"/>
      <c r="AA58" s="133"/>
      <c r="AB58" s="133"/>
    </row>
    <row r="59" spans="1:28">
      <c r="A59" s="133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 t="s">
        <v>1961</v>
      </c>
      <c r="R59" s="133"/>
      <c r="S59" s="133"/>
      <c r="T59" s="133"/>
      <c r="U59" s="1571"/>
      <c r="V59" s="1571"/>
      <c r="W59" s="134" t="s">
        <v>360</v>
      </c>
      <c r="X59" s="134"/>
      <c r="Y59" s="134" t="s">
        <v>360</v>
      </c>
      <c r="Z59" s="133"/>
      <c r="AA59" s="133"/>
      <c r="AB59" s="133"/>
    </row>
    <row r="60" spans="1:28">
      <c r="A60" s="133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 t="s">
        <v>1854</v>
      </c>
      <c r="R60" s="133"/>
      <c r="S60" s="133" t="s">
        <v>361</v>
      </c>
      <c r="T60" s="133"/>
      <c r="U60" s="134" t="s">
        <v>1035</v>
      </c>
      <c r="V60" s="134"/>
      <c r="W60" s="134" t="s">
        <v>362</v>
      </c>
      <c r="X60" s="134"/>
      <c r="Y60" s="134" t="s">
        <v>362</v>
      </c>
      <c r="Z60" s="133"/>
      <c r="AA60" s="133"/>
      <c r="AB60" s="133"/>
    </row>
    <row r="61" spans="1:28">
      <c r="A61" s="133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2489"/>
      <c r="R61" s="2489"/>
      <c r="S61" s="2489"/>
      <c r="T61" s="2489"/>
      <c r="U61" s="135" t="s">
        <v>1704</v>
      </c>
      <c r="V61" s="135"/>
      <c r="W61" s="136" t="s">
        <v>363</v>
      </c>
      <c r="X61" s="136"/>
      <c r="Y61" s="135" t="s">
        <v>364</v>
      </c>
      <c r="Z61" s="133"/>
      <c r="AA61" s="133"/>
      <c r="AB61" s="133"/>
    </row>
    <row r="62" spans="1:28">
      <c r="A62" s="133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4" t="s">
        <v>320</v>
      </c>
      <c r="V62" s="134"/>
      <c r="W62" s="137" t="s">
        <v>321</v>
      </c>
      <c r="X62" s="137"/>
      <c r="Y62" s="134" t="s">
        <v>322</v>
      </c>
      <c r="Z62" s="133"/>
      <c r="AA62" s="133"/>
      <c r="AB62" s="133"/>
    </row>
    <row r="63" spans="1:28">
      <c r="A63" s="133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2492"/>
      <c r="Q63" s="133"/>
      <c r="R63" s="133"/>
      <c r="S63" s="133"/>
      <c r="T63" s="133"/>
      <c r="U63" s="138"/>
      <c r="V63" s="138"/>
      <c r="W63" s="133"/>
      <c r="X63" s="133"/>
      <c r="Y63" s="138"/>
      <c r="Z63" s="133"/>
      <c r="AA63" s="133"/>
      <c r="AB63" s="133"/>
    </row>
    <row r="64" spans="1:28">
      <c r="A64" s="133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2492"/>
      <c r="Q64" s="137">
        <v>1</v>
      </c>
      <c r="R64" s="133"/>
      <c r="S64" s="133" t="s">
        <v>323</v>
      </c>
      <c r="T64" s="133"/>
      <c r="U64" s="138"/>
      <c r="V64" s="138"/>
      <c r="W64" s="133"/>
      <c r="X64" s="133"/>
      <c r="Y64" s="138"/>
      <c r="Z64" s="133"/>
      <c r="AA64" s="133"/>
      <c r="AB64" s="133"/>
    </row>
    <row r="65" spans="1:28">
      <c r="A65" s="133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2492"/>
      <c r="Q65" s="137">
        <v>2</v>
      </c>
      <c r="R65" s="133"/>
      <c r="S65" s="133" t="s">
        <v>83</v>
      </c>
      <c r="T65" s="133"/>
      <c r="U65" s="2479">
        <f>'WPB-5''s'!E20+'WPB-5''s'!E32</f>
        <v>16807315</v>
      </c>
      <c r="V65" s="2479"/>
      <c r="W65" s="139" t="s">
        <v>84</v>
      </c>
      <c r="X65" s="139"/>
      <c r="Y65" s="140">
        <f>'WPB-5''s'!E20</f>
        <v>13817614</v>
      </c>
      <c r="Z65" s="133"/>
      <c r="AA65" s="133"/>
      <c r="AB65" s="133"/>
    </row>
    <row r="66" spans="1:28">
      <c r="A66" s="133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7">
        <v>3</v>
      </c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</row>
    <row r="67" spans="1:28">
      <c r="A67" s="133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7">
        <v>4</v>
      </c>
      <c r="R67" s="133"/>
      <c r="S67" s="133" t="s">
        <v>1828</v>
      </c>
      <c r="T67" s="133"/>
      <c r="U67" s="133"/>
      <c r="V67" s="133"/>
      <c r="W67" s="133"/>
      <c r="X67" s="133"/>
      <c r="Y67" s="133"/>
      <c r="Z67" s="133"/>
      <c r="AA67" s="133"/>
      <c r="AB67" s="133"/>
    </row>
    <row r="68" spans="1:28">
      <c r="A68" s="133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2492"/>
      <c r="Q68" s="137">
        <v>5</v>
      </c>
      <c r="R68" s="133"/>
      <c r="S68" s="2482" t="s">
        <v>1228</v>
      </c>
      <c r="T68" s="133"/>
      <c r="U68" s="2484"/>
      <c r="V68" s="2484"/>
      <c r="W68" s="139"/>
      <c r="X68" s="139"/>
      <c r="Y68" s="2484"/>
      <c r="Z68" s="133"/>
      <c r="AA68" s="133"/>
      <c r="AB68" s="133"/>
    </row>
    <row r="69" spans="1:28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2492" t="s">
        <v>593</v>
      </c>
      <c r="Q69" s="137">
        <v>6</v>
      </c>
      <c r="R69" s="133"/>
      <c r="S69" s="1369" t="s">
        <v>244</v>
      </c>
      <c r="T69" s="133"/>
      <c r="U69" s="138">
        <f>'WPB-5''s'!CJ351+'WPB-5''s'!CK351</f>
        <v>19498661</v>
      </c>
      <c r="V69" s="138"/>
      <c r="W69" s="2493">
        <f>VLOOKUP(P69,ALLOCTABLE,2)/100</f>
        <v>1</v>
      </c>
      <c r="X69" s="2493"/>
      <c r="Y69" s="138">
        <f>ROUND(W69*U69,0)</f>
        <v>19498661</v>
      </c>
      <c r="Z69" s="133"/>
      <c r="AA69" s="133"/>
      <c r="AB69" s="133"/>
    </row>
    <row r="70" spans="1:28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2492" t="s">
        <v>593</v>
      </c>
      <c r="Q70" s="137">
        <v>7</v>
      </c>
      <c r="R70" s="133"/>
      <c r="S70" s="1369" t="s">
        <v>992</v>
      </c>
      <c r="T70" s="133"/>
      <c r="U70" s="138">
        <f>'WPB-5''s'!CM351</f>
        <v>447542</v>
      </c>
      <c r="V70" s="138"/>
      <c r="W70" s="2493">
        <f>VLOOKUP(P70,ALLOCTABLE,2)/100</f>
        <v>1</v>
      </c>
      <c r="X70" s="2493"/>
      <c r="Y70" s="138">
        <f>ROUND(W70*U70,0)</f>
        <v>447542</v>
      </c>
      <c r="Z70" s="133"/>
      <c r="AA70" s="133"/>
      <c r="AB70" s="133"/>
    </row>
    <row r="71" spans="1:28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2492" t="s">
        <v>593</v>
      </c>
      <c r="Q71" s="137">
        <v>8</v>
      </c>
      <c r="R71" s="133"/>
      <c r="S71" s="1369" t="s">
        <v>2063</v>
      </c>
      <c r="T71" s="133"/>
      <c r="U71" s="138">
        <f>'WPB-5''s'!CO351</f>
        <v>0</v>
      </c>
      <c r="V71" s="138"/>
      <c r="W71" s="2493">
        <f>VLOOKUP(P71,ALLOCTABLE,2)/100</f>
        <v>1</v>
      </c>
      <c r="X71" s="2493"/>
      <c r="Y71" s="138">
        <f>ROUND(W71*U71,0)</f>
        <v>0</v>
      </c>
      <c r="Z71" s="133"/>
      <c r="AA71" s="133"/>
      <c r="AB71" s="133"/>
    </row>
    <row r="72" spans="1:28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2492" t="s">
        <v>593</v>
      </c>
      <c r="Q72" s="137">
        <v>9</v>
      </c>
      <c r="R72" s="133"/>
      <c r="S72" s="1369" t="s">
        <v>995</v>
      </c>
      <c r="T72" s="133"/>
      <c r="U72" s="140">
        <f>'WPB-5''s'!CP351</f>
        <v>947646</v>
      </c>
      <c r="V72" s="140"/>
      <c r="W72" s="2493">
        <f>VLOOKUP(P72,ALLOCTABLE,2)/100</f>
        <v>1</v>
      </c>
      <c r="X72" s="2493"/>
      <c r="Y72" s="140">
        <f>ROUND(W72*U72,0)</f>
        <v>947646</v>
      </c>
      <c r="Z72" s="133"/>
      <c r="AA72" s="133"/>
      <c r="AB72" s="133"/>
    </row>
    <row r="73" spans="1:28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2492"/>
      <c r="Q73" s="137">
        <v>10</v>
      </c>
      <c r="R73" s="133"/>
      <c r="S73" s="2482" t="s">
        <v>1026</v>
      </c>
      <c r="T73" s="133"/>
      <c r="U73" s="138">
        <f>SUM(U69:U72)</f>
        <v>20893849</v>
      </c>
      <c r="V73" s="138"/>
      <c r="W73" s="2493"/>
      <c r="X73" s="2493"/>
      <c r="Y73" s="138">
        <f>SUM(Y69:Y72)</f>
        <v>20893849</v>
      </c>
      <c r="Z73" s="133"/>
      <c r="AA73" s="133"/>
      <c r="AB73" s="133"/>
    </row>
    <row r="74" spans="1:28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2492"/>
      <c r="Q74" s="137">
        <v>11</v>
      </c>
      <c r="R74" s="133"/>
      <c r="S74" s="2482"/>
      <c r="T74" s="133"/>
      <c r="U74" s="2484"/>
      <c r="V74" s="2484"/>
      <c r="W74" s="139"/>
      <c r="X74" s="139"/>
      <c r="Y74" s="2484"/>
      <c r="Z74" s="133"/>
      <c r="AA74" s="133"/>
      <c r="AB74" s="133"/>
    </row>
    <row r="75" spans="1:28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2492" t="s">
        <v>597</v>
      </c>
      <c r="Q75" s="137">
        <v>12</v>
      </c>
      <c r="R75" s="133"/>
      <c r="S75" s="2482" t="s">
        <v>469</v>
      </c>
      <c r="T75" s="133"/>
      <c r="U75" s="138">
        <f>'WPB-5''s'!M61</f>
        <v>3714387</v>
      </c>
      <c r="V75" s="138"/>
      <c r="W75" s="2493">
        <f>VLOOKUP(P75,ALLOCTABLE,2)/100</f>
        <v>0</v>
      </c>
      <c r="X75" s="2493"/>
      <c r="Y75" s="138">
        <f>ROUND(W75*U75,0)</f>
        <v>0</v>
      </c>
      <c r="Z75" s="133"/>
      <c r="AA75" s="133"/>
      <c r="AB75" s="133"/>
    </row>
    <row r="76" spans="1:28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2492"/>
      <c r="Q76" s="137">
        <v>13</v>
      </c>
      <c r="R76" s="133"/>
      <c r="S76" s="2482"/>
      <c r="T76" s="133"/>
      <c r="U76" s="138"/>
      <c r="V76" s="138"/>
      <c r="W76" s="139"/>
      <c r="X76" s="139"/>
      <c r="Y76" s="2484"/>
      <c r="Z76" s="133"/>
      <c r="AA76" s="133"/>
      <c r="AB76" s="133"/>
    </row>
    <row r="77" spans="1:28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2492" t="s">
        <v>597</v>
      </c>
      <c r="Q77" s="137">
        <v>14</v>
      </c>
      <c r="R77" s="133"/>
      <c r="S77" s="2482" t="s">
        <v>470</v>
      </c>
      <c r="T77" s="133"/>
      <c r="U77" s="138">
        <f>'WPB-5''s'!BJ197</f>
        <v>3412415</v>
      </c>
      <c r="V77" s="138"/>
      <c r="W77" s="2493">
        <f>VLOOKUP(P77,ALLOCTABLE,2)/100</f>
        <v>0</v>
      </c>
      <c r="X77" s="2493"/>
      <c r="Y77" s="138">
        <f>ROUND(W77*U77,0)</f>
        <v>0</v>
      </c>
      <c r="Z77" s="133"/>
      <c r="AA77" s="133"/>
      <c r="AB77" s="133"/>
    </row>
    <row r="78" spans="1:28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2492"/>
      <c r="Q78" s="137">
        <v>15</v>
      </c>
      <c r="R78" s="133"/>
      <c r="S78" s="2482"/>
      <c r="T78" s="133"/>
      <c r="U78" s="2484"/>
      <c r="V78" s="2484"/>
      <c r="W78" s="139"/>
      <c r="X78" s="139"/>
      <c r="Y78" s="2484"/>
      <c r="Z78" s="133"/>
      <c r="AA78" s="133"/>
      <c r="AB78" s="133"/>
    </row>
    <row r="79" spans="1:28">
      <c r="A79" s="133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2492" t="s">
        <v>610</v>
      </c>
      <c r="Q79" s="137">
        <v>16</v>
      </c>
      <c r="R79" s="133"/>
      <c r="S79" s="2482" t="s">
        <v>1827</v>
      </c>
      <c r="T79" s="133"/>
      <c r="U79" s="138">
        <f>'WPB-5''s'!DA403</f>
        <v>0</v>
      </c>
      <c r="V79" s="138"/>
      <c r="W79" s="2493">
        <f>VLOOKUP(P79,ALLOCTABLE,2)/100</f>
        <v>1</v>
      </c>
      <c r="X79" s="2493"/>
      <c r="Y79" s="138">
        <f>ROUND(W79*U79,0)</f>
        <v>0</v>
      </c>
      <c r="Z79" s="133"/>
      <c r="AA79" s="133"/>
      <c r="AB79" s="133"/>
    </row>
    <row r="80" spans="1:28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2492"/>
      <c r="Q80" s="137">
        <v>17</v>
      </c>
      <c r="R80" s="133"/>
      <c r="S80" s="2482"/>
      <c r="T80" s="133"/>
      <c r="U80" s="2484"/>
      <c r="V80" s="2484"/>
      <c r="W80" s="139"/>
      <c r="X80" s="139"/>
      <c r="Y80" s="2484"/>
      <c r="Z80" s="133"/>
      <c r="AA80" s="133"/>
      <c r="AB80" s="133"/>
    </row>
    <row r="81" spans="1:28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2492"/>
      <c r="Q81" s="137">
        <v>18</v>
      </c>
      <c r="R81" s="133"/>
      <c r="S81" s="2482" t="s">
        <v>202</v>
      </c>
      <c r="T81" s="133"/>
      <c r="U81" s="138">
        <f>'WPB-5''s'!AT156</f>
        <v>20955355</v>
      </c>
      <c r="V81" s="138"/>
      <c r="W81" s="139" t="s">
        <v>84</v>
      </c>
      <c r="X81" s="139"/>
      <c r="Y81" s="138">
        <f>'WPB-5''s'!AW156</f>
        <v>20474771</v>
      </c>
      <c r="Z81" s="133"/>
      <c r="AA81" s="133"/>
      <c r="AB81" s="133"/>
    </row>
    <row r="82" spans="1:28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7">
        <v>19</v>
      </c>
      <c r="R82" s="133"/>
      <c r="S82" s="2482"/>
      <c r="T82" s="133"/>
      <c r="U82" s="138"/>
      <c r="V82" s="138"/>
      <c r="W82" s="2494"/>
      <c r="X82" s="2494"/>
      <c r="Y82" s="138"/>
      <c r="Z82" s="133"/>
      <c r="AA82" s="133"/>
      <c r="AB82" s="133"/>
    </row>
    <row r="83" spans="1:28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7">
        <v>20</v>
      </c>
      <c r="R83" s="133"/>
      <c r="S83" s="2482" t="s">
        <v>1712</v>
      </c>
      <c r="T83" s="133"/>
      <c r="U83" s="140">
        <f>'WPB-5''s'!W100</f>
        <v>665925</v>
      </c>
      <c r="V83" s="140"/>
      <c r="W83" s="139" t="s">
        <v>84</v>
      </c>
      <c r="X83" s="139"/>
      <c r="Y83" s="140">
        <f>'WPB-5''s'!AC100</f>
        <v>0</v>
      </c>
      <c r="Z83" s="133"/>
      <c r="AA83" s="133"/>
      <c r="AB83" s="133"/>
    </row>
    <row r="84" spans="1:28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7">
        <v>21</v>
      </c>
      <c r="R84" s="133"/>
      <c r="S84" s="133"/>
      <c r="T84" s="133"/>
      <c r="U84" s="138"/>
      <c r="V84" s="138"/>
      <c r="W84" s="133"/>
      <c r="X84" s="133"/>
      <c r="Y84" s="138"/>
      <c r="Z84" s="133"/>
      <c r="AA84" s="133"/>
      <c r="AB84" s="133"/>
    </row>
    <row r="85" spans="1:28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7">
        <v>22</v>
      </c>
      <c r="R85" s="133"/>
      <c r="S85" s="133" t="s">
        <v>1714</v>
      </c>
      <c r="T85" s="133"/>
      <c r="U85" s="140">
        <f>U73+U77+U75+U79+U81+U83</f>
        <v>49641931</v>
      </c>
      <c r="V85" s="140"/>
      <c r="W85" s="133"/>
      <c r="X85" s="133"/>
      <c r="Y85" s="140">
        <f>Y73+Y79+Y81+Y83</f>
        <v>41368620</v>
      </c>
      <c r="Z85" s="133"/>
      <c r="AA85" s="133"/>
      <c r="AB85" s="133"/>
    </row>
    <row r="86" spans="1:28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7">
        <v>23</v>
      </c>
      <c r="R86" s="133"/>
      <c r="S86" s="133"/>
      <c r="T86" s="133"/>
      <c r="U86" s="138"/>
      <c r="V86" s="138"/>
      <c r="W86" s="133"/>
      <c r="X86" s="133"/>
      <c r="Y86" s="138"/>
      <c r="Z86" s="133"/>
      <c r="AA86" s="133"/>
      <c r="AB86" s="133"/>
    </row>
    <row r="87" spans="1:28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7">
        <v>24</v>
      </c>
      <c r="R87" s="133"/>
      <c r="S87" s="133" t="s">
        <v>1715</v>
      </c>
      <c r="T87" s="133"/>
      <c r="U87" s="141">
        <f>U85+U65</f>
        <v>66449246</v>
      </c>
      <c r="V87" s="141"/>
      <c r="W87" s="133"/>
      <c r="X87" s="133"/>
      <c r="Y87" s="141">
        <f>Y85+Y65</f>
        <v>55186234</v>
      </c>
      <c r="Z87" s="133"/>
      <c r="AA87" s="133"/>
      <c r="AB87" s="133"/>
    </row>
    <row r="88" spans="1:28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</row>
    <row r="89" spans="1:28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</row>
    <row r="90" spans="1:28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8"/>
      <c r="V90" s="138"/>
      <c r="W90" s="133"/>
      <c r="X90" s="133"/>
      <c r="Y90" s="138"/>
      <c r="Z90" s="133"/>
      <c r="AA90" s="133"/>
      <c r="AB90" s="133"/>
    </row>
    <row r="91" spans="1:28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8"/>
      <c r="V91" s="138"/>
      <c r="W91" s="133"/>
      <c r="X91" s="133"/>
      <c r="Y91" s="138"/>
      <c r="Z91" s="133"/>
      <c r="AA91" s="133"/>
      <c r="AB91" s="133"/>
    </row>
    <row r="92" spans="1:28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2495"/>
      <c r="R92" s="2495"/>
      <c r="S92" s="2495"/>
      <c r="T92" s="2495"/>
      <c r="U92" s="2496"/>
      <c r="V92" s="2496"/>
      <c r="W92" s="133"/>
      <c r="X92" s="133"/>
      <c r="Y92" s="138"/>
      <c r="Z92" s="133"/>
      <c r="AA92" s="133"/>
      <c r="AB92" s="133"/>
    </row>
    <row r="93" spans="1:28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2495"/>
      <c r="R93" s="2495"/>
      <c r="S93" s="2495"/>
      <c r="T93" s="2495"/>
      <c r="U93" s="2496"/>
      <c r="V93" s="2496"/>
      <c r="W93" s="133"/>
      <c r="X93" s="133"/>
      <c r="Y93" s="138"/>
      <c r="Z93" s="133"/>
      <c r="AA93" s="133"/>
      <c r="AB93" s="133"/>
    </row>
    <row r="94" spans="1:28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2495"/>
      <c r="R94" s="2495"/>
      <c r="S94" s="2495"/>
      <c r="T94" s="2495"/>
      <c r="U94" s="2496"/>
      <c r="V94" s="2496"/>
      <c r="W94" s="133"/>
      <c r="X94" s="133"/>
      <c r="Y94" s="138"/>
      <c r="Z94" s="133"/>
      <c r="AA94" s="133"/>
      <c r="AB94" s="133"/>
    </row>
    <row r="95" spans="1:28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2470" t="str">
        <f>LOGO!$B$5</f>
        <v>DUKE ENERGY KENTUCKY, INC.</v>
      </c>
      <c r="R95" s="2471"/>
      <c r="S95" s="2471"/>
      <c r="T95" s="2471"/>
      <c r="U95" s="2488"/>
      <c r="V95" s="2488"/>
      <c r="W95" s="2471"/>
      <c r="X95" s="2471"/>
      <c r="Y95" s="2488"/>
      <c r="Z95" s="133"/>
      <c r="AA95" s="133"/>
      <c r="AB95" s="133"/>
    </row>
    <row r="96" spans="1:28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2470" t="str">
        <f>CASE</f>
        <v>CASE NO. 2017-00321</v>
      </c>
      <c r="R96" s="2471"/>
      <c r="S96" s="2471"/>
      <c r="T96" s="2471"/>
      <c r="U96" s="2488"/>
      <c r="V96" s="2488"/>
      <c r="W96" s="2471"/>
      <c r="X96" s="2471"/>
      <c r="Y96" s="2488"/>
      <c r="Z96" s="133"/>
      <c r="AA96" s="133"/>
      <c r="AB96" s="133"/>
    </row>
    <row r="97" spans="1:28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2470" t="s">
        <v>1456</v>
      </c>
      <c r="R97" s="2471"/>
      <c r="S97" s="2471"/>
      <c r="T97" s="2471"/>
      <c r="U97" s="2488"/>
      <c r="V97" s="2488"/>
      <c r="W97" s="2471"/>
      <c r="X97" s="2471"/>
      <c r="Y97" s="2488"/>
      <c r="Z97" s="133"/>
      <c r="AA97" s="133"/>
      <c r="AB97" s="133"/>
    </row>
    <row r="98" spans="1:28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76" t="str">
        <f>"AS OF " &amp;RIGHT(Forecast,(LEN(Forecast)-16))</f>
        <v>AS OF MARCH 31, 2019</v>
      </c>
      <c r="R98" s="2471"/>
      <c r="S98" s="2471"/>
      <c r="T98" s="2471"/>
      <c r="U98" s="2488"/>
      <c r="V98" s="2488"/>
      <c r="W98" s="2471"/>
      <c r="X98" s="2471"/>
      <c r="Y98" s="2488"/>
      <c r="Z98" s="133"/>
      <c r="AA98" s="133"/>
      <c r="AB98" s="133"/>
    </row>
    <row r="99" spans="1:28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8"/>
      <c r="V99" s="138"/>
      <c r="W99" s="133"/>
      <c r="X99" s="133"/>
      <c r="Y99" s="138"/>
      <c r="Z99" s="133"/>
      <c r="AA99" s="133"/>
      <c r="AB99" s="133"/>
    </row>
    <row r="100" spans="1:28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8"/>
      <c r="V100" s="138"/>
      <c r="W100" s="133"/>
      <c r="X100" s="133"/>
      <c r="Y100" s="138"/>
      <c r="Z100" s="133"/>
      <c r="AA100" s="133"/>
      <c r="AB100" s="133"/>
    </row>
    <row r="101" spans="1:28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 t="str">
        <f>DataF</f>
        <v>DATA:  BASE PERIOD  "X" FORECASTED PERIOD</v>
      </c>
      <c r="R101" s="133"/>
      <c r="S101" s="133"/>
      <c r="T101" s="133"/>
      <c r="U101" s="138"/>
      <c r="V101" s="138"/>
      <c r="W101" s="133"/>
      <c r="X101" s="127" t="s">
        <v>1457</v>
      </c>
      <c r="Y101" s="138"/>
      <c r="Z101" s="133"/>
      <c r="AA101" s="133"/>
      <c r="AB101" s="133"/>
    </row>
    <row r="102" spans="1:28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2472" t="str">
        <f>LOGO!$B$15</f>
        <v xml:space="preserve">TYPE OF FILING:  "X" ORIGINAL   UPDATED    REVISED  </v>
      </c>
      <c r="R102" s="133"/>
      <c r="S102" s="133"/>
      <c r="T102" s="133"/>
      <c r="U102" s="138"/>
      <c r="V102" s="138"/>
      <c r="W102" s="133"/>
      <c r="X102" s="127" t="s">
        <v>86</v>
      </c>
      <c r="Y102" s="138"/>
      <c r="Z102" s="133"/>
      <c r="AA102" s="133"/>
      <c r="AB102" s="133"/>
    </row>
    <row r="103" spans="1:28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27" t="s">
        <v>109</v>
      </c>
      <c r="R103" s="133"/>
      <c r="S103" s="133"/>
      <c r="T103" s="133"/>
      <c r="U103" s="138"/>
      <c r="V103" s="138"/>
      <c r="W103" s="133"/>
      <c r="X103" s="127" t="s">
        <v>622</v>
      </c>
      <c r="Y103" s="138"/>
      <c r="Z103" s="133"/>
      <c r="AA103" s="133"/>
      <c r="AB103" s="133"/>
    </row>
    <row r="104" spans="1:28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8"/>
      <c r="V104" s="138"/>
      <c r="W104" s="133"/>
      <c r="X104" s="127" t="s">
        <v>2709</v>
      </c>
      <c r="Y104" s="138"/>
      <c r="Z104" s="133"/>
      <c r="AA104" s="133"/>
      <c r="AB104" s="133"/>
    </row>
    <row r="105" spans="1:28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2489"/>
      <c r="R105" s="2489"/>
      <c r="S105" s="2489"/>
      <c r="T105" s="2489"/>
      <c r="U105" s="2490"/>
      <c r="V105" s="2490"/>
      <c r="W105" s="2489"/>
      <c r="X105" s="2489"/>
      <c r="Y105" s="2490"/>
      <c r="Z105" s="133"/>
      <c r="AA105" s="133"/>
      <c r="AB105" s="133"/>
    </row>
    <row r="106" spans="1:28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8"/>
      <c r="V106" s="138"/>
      <c r="W106" s="133"/>
      <c r="X106" s="133"/>
      <c r="Y106" s="138"/>
      <c r="Z106" s="133"/>
      <c r="AA106" s="133"/>
      <c r="AB106" s="133"/>
    </row>
    <row r="107" spans="1:28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2491" t="s">
        <v>1459</v>
      </c>
      <c r="V107" s="2491"/>
      <c r="W107" s="2475"/>
      <c r="X107" s="2475"/>
      <c r="Y107" s="2491"/>
      <c r="Z107" s="133"/>
      <c r="AA107" s="133"/>
      <c r="AB107" s="133"/>
    </row>
    <row r="108" spans="1:28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 t="s">
        <v>1961</v>
      </c>
      <c r="R108" s="133"/>
      <c r="S108" s="133"/>
      <c r="T108" s="133"/>
      <c r="U108" s="1571"/>
      <c r="V108" s="1571"/>
      <c r="W108" s="134" t="s">
        <v>360</v>
      </c>
      <c r="X108" s="134"/>
      <c r="Y108" s="134" t="s">
        <v>360</v>
      </c>
      <c r="Z108" s="133"/>
      <c r="AA108" s="133"/>
      <c r="AB108" s="133"/>
    </row>
    <row r="109" spans="1:28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 t="s">
        <v>1854</v>
      </c>
      <c r="R109" s="133"/>
      <c r="S109" s="133" t="s">
        <v>361</v>
      </c>
      <c r="T109" s="133"/>
      <c r="U109" s="134" t="s">
        <v>1035</v>
      </c>
      <c r="V109" s="134"/>
      <c r="W109" s="134" t="s">
        <v>362</v>
      </c>
      <c r="X109" s="134"/>
      <c r="Y109" s="134" t="s">
        <v>362</v>
      </c>
      <c r="Z109" s="133"/>
      <c r="AA109" s="133"/>
      <c r="AB109" s="133"/>
    </row>
    <row r="110" spans="1:28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2489"/>
      <c r="R110" s="2489"/>
      <c r="S110" s="2489"/>
      <c r="T110" s="2489"/>
      <c r="U110" s="135" t="s">
        <v>1704</v>
      </c>
      <c r="V110" s="135"/>
      <c r="W110" s="136" t="s">
        <v>363</v>
      </c>
      <c r="X110" s="136"/>
      <c r="Y110" s="135" t="s">
        <v>364</v>
      </c>
      <c r="Z110" s="133"/>
      <c r="AA110" s="133"/>
      <c r="AB110" s="133"/>
    </row>
    <row r="111" spans="1:28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4" t="s">
        <v>365</v>
      </c>
      <c r="V111" s="134"/>
      <c r="W111" s="137" t="s">
        <v>318</v>
      </c>
      <c r="X111" s="137"/>
      <c r="Y111" s="134" t="s">
        <v>319</v>
      </c>
      <c r="Z111" s="133"/>
      <c r="AA111" s="133"/>
      <c r="AB111" s="133"/>
    </row>
    <row r="112" spans="1:28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2492"/>
      <c r="Q112" s="133"/>
      <c r="R112" s="133"/>
      <c r="S112" s="133"/>
      <c r="T112" s="133"/>
      <c r="U112" s="138"/>
      <c r="V112" s="138"/>
      <c r="W112" s="131"/>
      <c r="X112" s="131"/>
      <c r="Y112" s="138"/>
      <c r="Z112" s="133"/>
      <c r="AA112" s="133"/>
      <c r="AB112" s="133"/>
    </row>
    <row r="113" spans="1:28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2492"/>
      <c r="Q113" s="137">
        <v>1</v>
      </c>
      <c r="R113" s="133"/>
      <c r="S113" s="133" t="s">
        <v>323</v>
      </c>
      <c r="T113" s="133"/>
      <c r="U113" s="138"/>
      <c r="V113" s="138"/>
      <c r="W113" s="131"/>
      <c r="X113" s="131"/>
      <c r="Y113" s="138"/>
      <c r="Z113" s="133"/>
      <c r="AA113" s="133"/>
      <c r="AB113" s="133"/>
    </row>
    <row r="114" spans="1:28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2492"/>
      <c r="Q114" s="137">
        <v>2</v>
      </c>
      <c r="R114" s="133"/>
      <c r="S114" s="133" t="s">
        <v>83</v>
      </c>
      <c r="T114" s="133"/>
      <c r="U114" s="1734">
        <f ca="1">'WPB-5''s'!G20+'WPB-5''s'!G32</f>
        <v>17119715</v>
      </c>
      <c r="V114" s="1734"/>
      <c r="W114" s="139" t="s">
        <v>84</v>
      </c>
      <c r="X114" s="139"/>
      <c r="Y114" s="140">
        <f ca="1">'WPB-5''s'!G20</f>
        <v>14215407</v>
      </c>
      <c r="Z114" s="1735"/>
      <c r="AA114" s="1736"/>
      <c r="AB114" s="1736"/>
    </row>
    <row r="115" spans="1:28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7">
        <v>3</v>
      </c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</row>
    <row r="116" spans="1:28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7">
        <v>4</v>
      </c>
      <c r="R116" s="133"/>
      <c r="S116" s="133" t="s">
        <v>1828</v>
      </c>
      <c r="T116" s="133"/>
      <c r="U116" s="138"/>
      <c r="V116" s="138"/>
      <c r="W116" s="133"/>
      <c r="X116" s="133"/>
      <c r="Y116" s="138"/>
      <c r="Z116" s="133"/>
      <c r="AA116" s="133"/>
      <c r="AB116" s="133"/>
    </row>
    <row r="117" spans="1:28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2492"/>
      <c r="Q117" s="137">
        <v>5</v>
      </c>
      <c r="R117" s="133"/>
      <c r="S117" s="2482" t="s">
        <v>1228</v>
      </c>
      <c r="T117" s="133"/>
      <c r="U117" s="2484"/>
      <c r="V117" s="2484"/>
      <c r="W117" s="139"/>
      <c r="X117" s="139"/>
      <c r="Y117" s="2484"/>
      <c r="Z117" s="133"/>
      <c r="AA117" s="133"/>
      <c r="AB117" s="133"/>
    </row>
    <row r="118" spans="1:28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2492" t="s">
        <v>593</v>
      </c>
      <c r="Q118" s="137">
        <v>6</v>
      </c>
      <c r="R118" s="133"/>
      <c r="S118" s="1369" t="s">
        <v>244</v>
      </c>
      <c r="T118" s="133"/>
      <c r="U118" s="138">
        <f>'WPB-5''s'!CJ369+'WPB-5''s'!CK369</f>
        <v>19498661</v>
      </c>
      <c r="V118" s="138"/>
      <c r="W118" s="2493">
        <f>VLOOKUP(P118,ALLOCTABLE,2)/100</f>
        <v>1</v>
      </c>
      <c r="X118" s="2493"/>
      <c r="Y118" s="138">
        <f>ROUND(W118*U118,0)</f>
        <v>19498661</v>
      </c>
      <c r="Z118" s="133"/>
      <c r="AA118" s="133"/>
      <c r="AB118" s="133"/>
    </row>
    <row r="119" spans="1:28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2492" t="s">
        <v>593</v>
      </c>
      <c r="Q119" s="137">
        <v>7</v>
      </c>
      <c r="R119" s="133"/>
      <c r="S119" s="1369" t="s">
        <v>992</v>
      </c>
      <c r="T119" s="133"/>
      <c r="U119" s="138">
        <f>'WPB-5''s'!CM369</f>
        <v>447542</v>
      </c>
      <c r="V119" s="138"/>
      <c r="W119" s="2493">
        <f>VLOOKUP(P119,ALLOCTABLE,2)/100</f>
        <v>1</v>
      </c>
      <c r="X119" s="2493"/>
      <c r="Y119" s="138">
        <f>ROUND(W119*U119,0)</f>
        <v>447542</v>
      </c>
      <c r="Z119" s="133"/>
      <c r="AA119" s="133"/>
      <c r="AB119" s="133"/>
    </row>
    <row r="120" spans="1:28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2492" t="s">
        <v>593</v>
      </c>
      <c r="Q120" s="137">
        <v>8</v>
      </c>
      <c r="R120" s="133"/>
      <c r="S120" s="1369" t="s">
        <v>2063</v>
      </c>
      <c r="T120" s="133"/>
      <c r="U120" s="138">
        <f>'WPB-5''s'!CO369</f>
        <v>0</v>
      </c>
      <c r="V120" s="138"/>
      <c r="W120" s="2493">
        <f>VLOOKUP(P120,ALLOCTABLE,2)/100</f>
        <v>1</v>
      </c>
      <c r="X120" s="2493"/>
      <c r="Y120" s="138">
        <f>ROUND(W120*U120,0)</f>
        <v>0</v>
      </c>
      <c r="Z120" s="133"/>
      <c r="AA120" s="133"/>
      <c r="AB120" s="133"/>
    </row>
    <row r="121" spans="1:28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2492" t="s">
        <v>593</v>
      </c>
      <c r="Q121" s="137">
        <v>9</v>
      </c>
      <c r="R121" s="133"/>
      <c r="S121" s="1369" t="s">
        <v>995</v>
      </c>
      <c r="T121" s="133"/>
      <c r="U121" s="140">
        <f>'WPB-5''s'!CP369</f>
        <v>0</v>
      </c>
      <c r="V121" s="140"/>
      <c r="W121" s="2493">
        <f>VLOOKUP(P121,ALLOCTABLE,2)/100</f>
        <v>1</v>
      </c>
      <c r="X121" s="2493"/>
      <c r="Y121" s="140">
        <f>ROUND(W121*U121,0)</f>
        <v>0</v>
      </c>
      <c r="Z121" s="133"/>
      <c r="AA121" s="133"/>
      <c r="AB121" s="133"/>
    </row>
    <row r="122" spans="1:28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2492"/>
      <c r="Q122" s="137">
        <v>10</v>
      </c>
      <c r="R122" s="133"/>
      <c r="S122" s="2482" t="s">
        <v>1026</v>
      </c>
      <c r="T122" s="133"/>
      <c r="U122" s="138">
        <f>SUM(U118:U121)</f>
        <v>19946203</v>
      </c>
      <c r="V122" s="138"/>
      <c r="W122" s="2493"/>
      <c r="X122" s="2493"/>
      <c r="Y122" s="138">
        <f>SUM(Y118:Y121)</f>
        <v>19946203</v>
      </c>
      <c r="Z122" s="133"/>
      <c r="AA122" s="133"/>
      <c r="AB122" s="133"/>
    </row>
    <row r="123" spans="1:28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2492"/>
      <c r="Q123" s="137">
        <v>11</v>
      </c>
      <c r="R123" s="133"/>
      <c r="S123" s="2482"/>
      <c r="T123" s="133"/>
      <c r="U123" s="2484"/>
      <c r="V123" s="2484"/>
      <c r="W123" s="139"/>
      <c r="X123" s="139"/>
      <c r="Y123" s="2484"/>
      <c r="Z123" s="133"/>
      <c r="AA123" s="133"/>
      <c r="AB123" s="133"/>
    </row>
    <row r="124" spans="1:28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2492" t="s">
        <v>597</v>
      </c>
      <c r="Q124" s="137">
        <v>12</v>
      </c>
      <c r="R124" s="133"/>
      <c r="S124" s="2482" t="s">
        <v>469</v>
      </c>
      <c r="T124" s="133"/>
      <c r="U124" s="138">
        <f>'WPB-5''s'!M79</f>
        <v>3714387</v>
      </c>
      <c r="V124" s="138"/>
      <c r="W124" s="2493">
        <f>VLOOKUP(P124,ALLOCTABLE,2)/100</f>
        <v>0</v>
      </c>
      <c r="X124" s="2493"/>
      <c r="Y124" s="138">
        <f>ROUND(W124*U124,0)</f>
        <v>0</v>
      </c>
      <c r="Z124" s="133"/>
      <c r="AA124" s="133"/>
      <c r="AB124" s="133"/>
    </row>
    <row r="125" spans="1:28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2492"/>
      <c r="Q125" s="137">
        <v>13</v>
      </c>
      <c r="R125" s="133"/>
      <c r="S125" s="2482"/>
      <c r="T125" s="133"/>
      <c r="U125" s="138"/>
      <c r="V125" s="138"/>
      <c r="W125" s="139"/>
      <c r="X125" s="139"/>
      <c r="Y125" s="2484"/>
      <c r="Z125" s="133"/>
      <c r="AA125" s="133"/>
      <c r="AB125" s="133"/>
    </row>
    <row r="126" spans="1:28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2492" t="s">
        <v>597</v>
      </c>
      <c r="Q126" s="137">
        <v>14</v>
      </c>
      <c r="R126" s="133"/>
      <c r="S126" s="2482" t="s">
        <v>470</v>
      </c>
      <c r="T126" s="133"/>
      <c r="U126" s="138">
        <f>'WPB-5''s'!BJ215</f>
        <v>3412415.076923077</v>
      </c>
      <c r="V126" s="138"/>
      <c r="W126" s="2493">
        <f>VLOOKUP(P126,ALLOCTABLE,2)/100</f>
        <v>0</v>
      </c>
      <c r="X126" s="2493"/>
      <c r="Y126" s="138">
        <f>ROUND(W126*U126,0)</f>
        <v>0</v>
      </c>
      <c r="Z126" s="133"/>
      <c r="AA126" s="133"/>
      <c r="AB126" s="133"/>
    </row>
    <row r="127" spans="1:28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2492"/>
      <c r="Q127" s="137">
        <v>15</v>
      </c>
      <c r="R127" s="133"/>
      <c r="S127" s="2482"/>
      <c r="T127" s="133"/>
      <c r="U127" s="2484"/>
      <c r="V127" s="2484"/>
      <c r="W127" s="139"/>
      <c r="X127" s="139"/>
      <c r="Y127" s="2484"/>
      <c r="Z127" s="133"/>
      <c r="AA127" s="133"/>
      <c r="AB127" s="133"/>
    </row>
    <row r="128" spans="1:28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2492" t="s">
        <v>610</v>
      </c>
      <c r="Q128" s="137">
        <v>16</v>
      </c>
      <c r="R128" s="133"/>
      <c r="S128" s="2482" t="s">
        <v>1827</v>
      </c>
      <c r="T128" s="133"/>
      <c r="U128" s="138">
        <f>'WPB-5''s'!DA421</f>
        <v>0</v>
      </c>
      <c r="V128" s="138"/>
      <c r="W128" s="2493">
        <f>VLOOKUP(P128,ALLOCTABLE,2)/100</f>
        <v>1</v>
      </c>
      <c r="X128" s="2493"/>
      <c r="Y128" s="138">
        <f>ROUND(W128*U128,0)</f>
        <v>0</v>
      </c>
      <c r="Z128" s="133"/>
      <c r="AA128" s="133"/>
      <c r="AB128" s="133"/>
    </row>
    <row r="129" spans="1:28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2492"/>
      <c r="Q129" s="137">
        <v>17</v>
      </c>
      <c r="R129" s="133"/>
      <c r="S129" s="2482"/>
      <c r="T129" s="133"/>
      <c r="U129" s="138"/>
      <c r="V129" s="138"/>
      <c r="W129" s="131"/>
      <c r="X129" s="131"/>
      <c r="Y129" s="138"/>
      <c r="Z129" s="133"/>
      <c r="AA129" s="133"/>
      <c r="AB129" s="133"/>
    </row>
    <row r="130" spans="1:28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2492"/>
      <c r="Q130" s="137">
        <v>18</v>
      </c>
      <c r="R130" s="133"/>
      <c r="S130" s="2482" t="s">
        <v>202</v>
      </c>
      <c r="T130" s="133"/>
      <c r="U130" s="138">
        <f>'WPB-5''s'!AT167</f>
        <v>20955355</v>
      </c>
      <c r="V130" s="138"/>
      <c r="W130" s="139" t="s">
        <v>84</v>
      </c>
      <c r="X130" s="139"/>
      <c r="Y130" s="138">
        <f>'WPB-5''s'!AZ167</f>
        <v>20474771</v>
      </c>
      <c r="Z130" s="133"/>
      <c r="AA130" s="133"/>
      <c r="AB130" s="133"/>
    </row>
    <row r="131" spans="1:28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7">
        <v>19</v>
      </c>
      <c r="R131" s="133"/>
      <c r="S131" s="2482"/>
      <c r="T131" s="133"/>
      <c r="U131" s="138"/>
      <c r="V131" s="138"/>
      <c r="W131" s="139"/>
      <c r="X131" s="139"/>
      <c r="Y131" s="138"/>
      <c r="Z131" s="133"/>
      <c r="AA131" s="133"/>
      <c r="AB131" s="133"/>
    </row>
    <row r="132" spans="1:28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7">
        <v>20</v>
      </c>
      <c r="R132" s="133"/>
      <c r="S132" s="2482" t="s">
        <v>1712</v>
      </c>
      <c r="T132" s="133"/>
      <c r="U132" s="140">
        <f>'WPB-5''s'!W107</f>
        <v>1178424.5384615385</v>
      </c>
      <c r="V132" s="140"/>
      <c r="W132" s="139" t="s">
        <v>84</v>
      </c>
      <c r="X132" s="139"/>
      <c r="Y132" s="140">
        <f>'WPB-5''s'!AC107</f>
        <v>0</v>
      </c>
      <c r="Z132" s="133"/>
      <c r="AA132" s="133"/>
      <c r="AB132" s="133"/>
    </row>
    <row r="133" spans="1:28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7">
        <v>21</v>
      </c>
      <c r="R133" s="133"/>
      <c r="S133" s="133"/>
      <c r="T133" s="133"/>
      <c r="U133" s="138"/>
      <c r="V133" s="138"/>
      <c r="W133" s="133"/>
      <c r="X133" s="133"/>
      <c r="Y133" s="138"/>
      <c r="Z133" s="133"/>
      <c r="AA133" s="133"/>
      <c r="AB133" s="133"/>
    </row>
    <row r="134" spans="1:28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7">
        <v>22</v>
      </c>
      <c r="R134" s="133"/>
      <c r="S134" s="133" t="s">
        <v>1714</v>
      </c>
      <c r="T134" s="133"/>
      <c r="U134" s="140">
        <f>U122+U126+U124+U128+U130+U132</f>
        <v>49206784.615384609</v>
      </c>
      <c r="V134" s="140"/>
      <c r="W134" s="133"/>
      <c r="X134" s="133"/>
      <c r="Y134" s="140">
        <f>Y122+Y124+Y126+Y128+Y130+Y132</f>
        <v>40420974</v>
      </c>
      <c r="Z134" s="133"/>
      <c r="AA134" s="133"/>
      <c r="AB134" s="133"/>
    </row>
    <row r="135" spans="1:28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7">
        <v>23</v>
      </c>
      <c r="R135" s="133"/>
      <c r="S135" s="133"/>
      <c r="T135" s="133"/>
      <c r="U135" s="138"/>
      <c r="V135" s="138"/>
      <c r="W135" s="133"/>
      <c r="X135" s="133"/>
      <c r="Y135" s="138"/>
      <c r="Z135" s="133"/>
      <c r="AA135" s="133"/>
      <c r="AB135" s="133"/>
    </row>
    <row r="136" spans="1:28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7">
        <v>24</v>
      </c>
      <c r="R136" s="133"/>
      <c r="S136" s="133" t="s">
        <v>1715</v>
      </c>
      <c r="T136" s="133"/>
      <c r="U136" s="141">
        <f ca="1">U134+U114</f>
        <v>66326499.615384609</v>
      </c>
      <c r="V136" s="141"/>
      <c r="W136" s="133"/>
      <c r="X136" s="133"/>
      <c r="Y136" s="141">
        <f ca="1">Y134+Y114</f>
        <v>54636381</v>
      </c>
      <c r="Z136" s="133"/>
      <c r="AA136" s="133"/>
      <c r="AB136" s="133"/>
    </row>
    <row r="137" spans="1:28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</row>
    <row r="138" spans="1:28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ignoredErrors>
    <ignoredError sqref="E37 E35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theme="4" tint="0.39997558519241921"/>
  </sheetPr>
  <dimension ref="A1:DB430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7.42578125" style="18" customWidth="1"/>
    <col min="2" max="2" width="1.42578125" style="18" customWidth="1"/>
    <col min="3" max="3" width="65.5703125" style="18" customWidth="1"/>
    <col min="4" max="4" width="24.85546875" style="18" customWidth="1"/>
    <col min="5" max="5" width="19" style="18" customWidth="1"/>
    <col min="6" max="6" width="1.7109375" style="18" customWidth="1"/>
    <col min="7" max="7" width="20" style="18" customWidth="1"/>
    <col min="8" max="8" width="3.5703125" style="18" customWidth="1"/>
    <col min="9" max="9" width="6.5703125" style="18" customWidth="1"/>
    <col min="10" max="10" width="2.42578125" style="18" customWidth="1"/>
    <col min="11" max="11" width="31.5703125" style="18" customWidth="1"/>
    <col min="12" max="12" width="10" style="18" customWidth="1"/>
    <col min="13" max="13" width="16.28515625" style="18" customWidth="1"/>
    <col min="14" max="14" width="16.85546875" style="18" customWidth="1"/>
    <col min="15" max="15" width="14.5703125" style="18" customWidth="1"/>
    <col min="16" max="16" width="21.28515625" style="18" customWidth="1"/>
    <col min="17" max="17" width="7.7109375" style="18" customWidth="1"/>
    <col min="18" max="18" width="3.5703125" style="18" customWidth="1"/>
    <col min="19" max="21" width="11" style="18" customWidth="1"/>
    <col min="22" max="22" width="3.140625" style="18" customWidth="1"/>
    <col min="23" max="23" width="16.5703125" style="18" customWidth="1"/>
    <col min="24" max="24" width="14.7109375" style="18" customWidth="1"/>
    <col min="25" max="25" width="5" style="18" customWidth="1"/>
    <col min="26" max="26" width="14.140625" style="18" customWidth="1"/>
    <col min="27" max="27" width="16.85546875" style="18" customWidth="1"/>
    <col min="28" max="28" width="13" style="18" customWidth="1"/>
    <col min="29" max="29" width="16.28515625" style="18" customWidth="1"/>
    <col min="30" max="30" width="5.28515625" style="18" customWidth="1"/>
    <col min="31" max="31" width="11" style="18" customWidth="1"/>
    <col min="32" max="32" width="7.7109375" style="18" customWidth="1"/>
    <col min="33" max="33" width="1.42578125" style="18" customWidth="1"/>
    <col min="34" max="34" width="45" style="18" customWidth="1"/>
    <col min="35" max="35" width="16" style="18" customWidth="1"/>
    <col min="36" max="36" width="14.5703125" style="18" customWidth="1"/>
    <col min="37" max="37" width="1.85546875" style="18" customWidth="1"/>
    <col min="38" max="38" width="17.42578125" style="18" customWidth="1"/>
    <col min="39" max="39" width="19.42578125" style="18" customWidth="1"/>
    <col min="40" max="40" width="5" style="18" customWidth="1"/>
    <col min="41" max="41" width="8.140625" style="18" customWidth="1"/>
    <col min="42" max="42" width="1.140625" style="18" customWidth="1"/>
    <col min="43" max="43" width="12.85546875" style="18" customWidth="1"/>
    <col min="44" max="44" width="38.7109375" style="18" customWidth="1"/>
    <col min="45" max="45" width="1.28515625" style="18" customWidth="1"/>
    <col min="46" max="46" width="18.140625" style="18" customWidth="1"/>
    <col min="47" max="47" width="11.85546875" style="18" customWidth="1"/>
    <col min="48" max="48" width="4.7109375" style="18" customWidth="1"/>
    <col min="49" max="49" width="15.28515625" style="18" customWidth="1"/>
    <col min="50" max="50" width="14.7109375" style="18" customWidth="1"/>
    <col min="51" max="51" width="10.5703125" style="18" customWidth="1"/>
    <col min="52" max="52" width="18.7109375" style="18" customWidth="1"/>
    <col min="53" max="53" width="5.85546875" style="18" customWidth="1"/>
    <col min="54" max="54" width="5.5703125" style="18" customWidth="1"/>
    <col min="55" max="55" width="3" style="18" customWidth="1"/>
    <col min="56" max="56" width="7.140625" style="18" customWidth="1"/>
    <col min="57" max="59" width="16.85546875" style="18" customWidth="1"/>
    <col min="60" max="60" width="17.85546875" style="18" customWidth="1"/>
    <col min="61" max="61" width="2" style="18" customWidth="1"/>
    <col min="62" max="62" width="19.140625" style="18" customWidth="1"/>
    <col min="63" max="63" width="9.5703125" style="18" customWidth="1"/>
    <col min="64" max="64" width="19.42578125" style="18" customWidth="1"/>
    <col min="65" max="65" width="1" style="18" customWidth="1"/>
    <col min="66" max="66" width="7.140625" style="18" customWidth="1"/>
    <col min="67" max="67" width="16.85546875" style="18" customWidth="1"/>
    <col min="68" max="68" width="17.85546875" style="18" customWidth="1"/>
    <col min="69" max="69" width="18.42578125" style="18" customWidth="1"/>
    <col min="70" max="75" width="16.140625" style="18" customWidth="1"/>
    <col min="76" max="77" width="8" style="18" customWidth="1"/>
    <col min="78" max="78" width="23.28515625" style="18" customWidth="1"/>
    <col min="79" max="79" width="11.140625" style="18" customWidth="1"/>
    <col min="80" max="81" width="17.7109375" style="18" customWidth="1"/>
    <col min="82" max="82" width="16" style="18" customWidth="1"/>
    <col min="83" max="83" width="19.28515625" style="18" customWidth="1"/>
    <col min="84" max="84" width="2.7109375" style="18" customWidth="1"/>
    <col min="85" max="85" width="10.28515625" style="18" customWidth="1"/>
    <col min="86" max="86" width="20.7109375" style="18" customWidth="1"/>
    <col min="87" max="87" width="14" style="18" customWidth="1"/>
    <col min="88" max="89" width="18.28515625" style="18" customWidth="1"/>
    <col min="90" max="90" width="2" style="18" customWidth="1"/>
    <col min="91" max="91" width="16.140625" style="18" customWidth="1"/>
    <col min="92" max="92" width="1.28515625" style="1376" customWidth="1"/>
    <col min="93" max="93" width="18.42578125" style="18" customWidth="1"/>
    <col min="94" max="94" width="19.42578125" style="18" customWidth="1"/>
    <col min="95" max="96" width="8" style="18" customWidth="1"/>
    <col min="97" max="97" width="14.7109375" style="18" customWidth="1"/>
    <col min="98" max="98" width="9" style="18" customWidth="1"/>
    <col min="99" max="99" width="10" style="18" customWidth="1"/>
    <col min="100" max="100" width="9.42578125" style="18" customWidth="1"/>
    <col min="101" max="106" width="14.7109375" style="18" customWidth="1"/>
    <col min="107" max="16384" width="8" style="18"/>
  </cols>
  <sheetData>
    <row r="1" spans="1:106">
      <c r="A1" s="142" t="str">
        <f>COMPANY</f>
        <v>DUKE ENERGY KENTUCKY, INC.</v>
      </c>
      <c r="B1" s="143"/>
      <c r="C1" s="143"/>
      <c r="D1" s="143"/>
      <c r="E1" s="144" t="s">
        <v>1707</v>
      </c>
      <c r="F1" s="144"/>
      <c r="G1" s="143"/>
      <c r="H1" s="144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  <c r="BD1" s="143"/>
      <c r="BE1" s="143"/>
      <c r="BF1" s="143"/>
      <c r="BG1" s="143"/>
      <c r="BH1" s="143"/>
      <c r="BI1" s="143"/>
      <c r="BJ1" s="143"/>
      <c r="BK1" s="143"/>
      <c r="BL1" s="143"/>
      <c r="BM1" s="143"/>
      <c r="BN1" s="143"/>
      <c r="BO1" s="143"/>
      <c r="BP1" s="143"/>
      <c r="BQ1" s="143"/>
      <c r="BR1" s="143"/>
      <c r="BS1" s="143"/>
      <c r="BT1" s="143"/>
      <c r="BU1" s="143"/>
      <c r="BV1" s="143"/>
      <c r="BW1" s="143"/>
      <c r="BX1" s="143"/>
      <c r="BY1" s="143"/>
      <c r="BZ1" s="143"/>
      <c r="CA1" s="143"/>
      <c r="CB1" s="143"/>
      <c r="CC1" s="143"/>
      <c r="CD1" s="143"/>
      <c r="CE1" s="143"/>
      <c r="CF1" s="143"/>
      <c r="CG1" s="145"/>
      <c r="CH1" s="143"/>
      <c r="CI1" s="143"/>
      <c r="CJ1" s="143"/>
      <c r="CK1" s="143"/>
      <c r="CL1" s="143"/>
      <c r="CM1" s="143"/>
      <c r="CN1" s="170"/>
      <c r="CO1" s="143"/>
      <c r="CP1" s="143"/>
      <c r="CQ1" s="143"/>
      <c r="CR1" s="143"/>
      <c r="CS1" s="143"/>
      <c r="CT1" s="143"/>
      <c r="CU1" s="143"/>
      <c r="CV1" s="143"/>
      <c r="CW1" s="143"/>
      <c r="CX1" s="143"/>
      <c r="CY1" s="143"/>
      <c r="CZ1" s="143"/>
      <c r="DA1" s="143"/>
      <c r="DB1" s="143"/>
    </row>
    <row r="2" spans="1:106">
      <c r="A2" s="142" t="str">
        <f>DEPT</f>
        <v>ELECTRIC DEPARTMENT</v>
      </c>
      <c r="B2" s="143"/>
      <c r="C2" s="143"/>
      <c r="D2" s="143"/>
      <c r="E2" s="144" t="s">
        <v>622</v>
      </c>
      <c r="F2" s="144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  <c r="BA2" s="143"/>
      <c r="BB2" s="143"/>
      <c r="BC2" s="143"/>
      <c r="BD2" s="143"/>
      <c r="BE2" s="143"/>
      <c r="BF2" s="143"/>
      <c r="BG2" s="143"/>
      <c r="BH2" s="143"/>
      <c r="BI2" s="143"/>
      <c r="BJ2" s="143"/>
      <c r="BK2" s="143"/>
      <c r="BL2" s="143"/>
      <c r="BM2" s="143"/>
      <c r="BN2" s="143"/>
      <c r="BO2" s="143"/>
      <c r="BP2" s="143"/>
      <c r="BQ2" s="143"/>
      <c r="BR2" s="143"/>
      <c r="BS2" s="143"/>
      <c r="BT2" s="143"/>
      <c r="BU2" s="143"/>
      <c r="BV2" s="143"/>
      <c r="BW2" s="143"/>
      <c r="BX2" s="143"/>
      <c r="BY2" s="143"/>
      <c r="BZ2" s="143"/>
      <c r="CA2" s="143"/>
      <c r="CB2" s="143"/>
      <c r="CC2" s="143"/>
      <c r="CD2" s="143"/>
      <c r="CE2" s="143"/>
      <c r="CF2" s="143"/>
      <c r="CG2" s="145"/>
      <c r="CH2" s="143"/>
      <c r="CI2" s="143"/>
      <c r="CJ2" s="143"/>
      <c r="CK2" s="143"/>
      <c r="CL2" s="143"/>
      <c r="CM2" s="143"/>
      <c r="CN2" s="170"/>
      <c r="CO2" s="143"/>
      <c r="CP2" s="143"/>
      <c r="CQ2" s="143"/>
      <c r="CR2" s="143"/>
      <c r="CS2" s="143"/>
      <c r="CT2" s="143"/>
      <c r="CU2" s="143"/>
      <c r="CV2" s="143"/>
      <c r="CW2" s="143"/>
      <c r="CX2" s="143"/>
      <c r="CY2" s="143"/>
      <c r="CZ2" s="143"/>
      <c r="DA2" s="143"/>
      <c r="DB2" s="143"/>
    </row>
    <row r="3" spans="1:106">
      <c r="A3" s="142" t="str">
        <f>CASE</f>
        <v>CASE NO. 2017-00321</v>
      </c>
      <c r="B3" s="143"/>
      <c r="C3" s="143"/>
      <c r="D3" s="143"/>
      <c r="E3" s="127" t="s">
        <v>2709</v>
      </c>
      <c r="F3" s="143"/>
      <c r="G3" s="143"/>
      <c r="H3" s="146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  <c r="BH3" s="143"/>
      <c r="BI3" s="143"/>
      <c r="BJ3" s="143"/>
      <c r="BK3" s="143"/>
      <c r="BL3" s="143"/>
      <c r="BM3" s="143"/>
      <c r="BN3" s="143"/>
      <c r="BO3" s="143"/>
      <c r="BP3" s="143"/>
      <c r="BQ3" s="143"/>
      <c r="BR3" s="143"/>
      <c r="BS3" s="143"/>
      <c r="BT3" s="143"/>
      <c r="BU3" s="143"/>
      <c r="BV3" s="143"/>
      <c r="BW3" s="143"/>
      <c r="BX3" s="143"/>
      <c r="BY3" s="143"/>
      <c r="BZ3" s="143"/>
      <c r="CA3" s="143"/>
      <c r="CB3" s="143"/>
      <c r="CC3" s="143"/>
      <c r="CD3" s="143"/>
      <c r="CE3" s="143"/>
      <c r="CF3" s="143"/>
      <c r="CG3" s="145"/>
      <c r="CH3" s="143"/>
      <c r="CI3" s="143"/>
      <c r="CJ3" s="143"/>
      <c r="CK3" s="143"/>
      <c r="CL3" s="143"/>
      <c r="CM3" s="143"/>
      <c r="CN3" s="170"/>
      <c r="CO3" s="143"/>
      <c r="CP3" s="143"/>
      <c r="CQ3" s="143"/>
      <c r="CR3" s="143"/>
      <c r="CS3" s="143"/>
      <c r="CT3" s="143"/>
      <c r="CU3" s="143"/>
      <c r="CV3" s="143"/>
      <c r="CW3" s="143"/>
      <c r="CX3" s="143"/>
      <c r="CY3" s="143"/>
      <c r="CZ3" s="143"/>
      <c r="DA3" s="143"/>
      <c r="DB3" s="143"/>
    </row>
    <row r="4" spans="1:106">
      <c r="A4" s="144" t="s">
        <v>87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5"/>
      <c r="CH4" s="143"/>
      <c r="CI4" s="143"/>
      <c r="CJ4" s="143"/>
      <c r="CK4" s="143"/>
      <c r="CL4" s="143"/>
      <c r="CM4" s="143"/>
      <c r="CN4" s="170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  <c r="DB4" s="143"/>
    </row>
    <row r="5" spans="1:106">
      <c r="A5" s="1581" t="s">
        <v>206</v>
      </c>
      <c r="B5" s="143"/>
      <c r="C5" s="143"/>
      <c r="D5" s="143"/>
      <c r="E5" s="143"/>
      <c r="F5" s="143"/>
      <c r="G5" s="147"/>
      <c r="H5" s="147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43"/>
      <c r="BT5" s="143"/>
      <c r="BU5" s="143"/>
      <c r="BV5" s="143"/>
      <c r="BW5" s="143"/>
      <c r="BX5" s="143"/>
      <c r="BY5" s="143"/>
      <c r="BZ5" s="143"/>
      <c r="CA5" s="143"/>
      <c r="CB5" s="143"/>
      <c r="CC5" s="143"/>
      <c r="CD5" s="143"/>
      <c r="CE5" s="143"/>
      <c r="CF5" s="143"/>
      <c r="CG5" s="145"/>
      <c r="CH5" s="143"/>
      <c r="CI5" s="143"/>
      <c r="CJ5" s="143"/>
      <c r="CK5" s="143"/>
      <c r="CL5" s="143"/>
      <c r="CM5" s="143"/>
      <c r="CN5" s="170"/>
      <c r="CO5" s="143"/>
      <c r="CP5" s="143"/>
      <c r="CQ5" s="143"/>
      <c r="CR5" s="143"/>
      <c r="CS5" s="143"/>
      <c r="CT5" s="143"/>
      <c r="CU5" s="143"/>
      <c r="CV5" s="143"/>
      <c r="CW5" s="143"/>
      <c r="CX5" s="143"/>
      <c r="CY5" s="143"/>
      <c r="CZ5" s="143"/>
      <c r="DA5" s="143"/>
      <c r="DB5" s="143"/>
    </row>
    <row r="6" spans="1:106">
      <c r="A6" s="143"/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5"/>
      <c r="CH6" s="143"/>
      <c r="CI6" s="143"/>
      <c r="CJ6" s="143"/>
      <c r="CK6" s="143"/>
      <c r="CL6" s="143"/>
      <c r="CM6" s="143"/>
      <c r="CN6" s="170"/>
      <c r="CO6" s="143"/>
      <c r="CP6" s="143"/>
      <c r="CQ6" s="143"/>
      <c r="CR6" s="143"/>
      <c r="CS6" s="143"/>
      <c r="CT6" s="143"/>
      <c r="CU6" s="143"/>
      <c r="CV6" s="143"/>
      <c r="CW6" s="143"/>
      <c r="CX6" s="143"/>
      <c r="CY6" s="143"/>
      <c r="CZ6" s="143"/>
      <c r="DA6" s="143"/>
      <c r="DB6" s="143"/>
    </row>
    <row r="7" spans="1:106">
      <c r="A7" s="143"/>
      <c r="B7" s="143"/>
      <c r="C7" s="143"/>
      <c r="D7" s="148" t="s">
        <v>88</v>
      </c>
      <c r="E7" s="149" t="s">
        <v>1461</v>
      </c>
      <c r="F7" s="149"/>
      <c r="G7" s="150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43"/>
      <c r="CE7" s="143"/>
      <c r="CF7" s="143"/>
      <c r="CG7" s="145"/>
      <c r="CH7" s="143"/>
      <c r="CI7" s="143"/>
      <c r="CJ7" s="143"/>
      <c r="CK7" s="143"/>
      <c r="CL7" s="143"/>
      <c r="CM7" s="143"/>
      <c r="CN7" s="170"/>
      <c r="CO7" s="143"/>
      <c r="CP7" s="143"/>
      <c r="CQ7" s="143"/>
      <c r="CR7" s="143"/>
      <c r="CS7" s="143"/>
      <c r="CT7" s="143"/>
      <c r="CU7" s="143"/>
      <c r="CV7" s="143"/>
      <c r="CW7" s="143"/>
      <c r="CX7" s="143"/>
      <c r="CY7" s="143"/>
      <c r="CZ7" s="143"/>
      <c r="DA7" s="143"/>
      <c r="DB7" s="143"/>
    </row>
    <row r="8" spans="1:106">
      <c r="A8" s="148" t="s">
        <v>1961</v>
      </c>
      <c r="B8" s="143"/>
      <c r="C8" s="143"/>
      <c r="D8" s="148" t="s">
        <v>89</v>
      </c>
      <c r="E8" s="148" t="s">
        <v>564</v>
      </c>
      <c r="F8" s="148"/>
      <c r="G8" s="148" t="s">
        <v>1143</v>
      </c>
      <c r="H8" s="148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5"/>
      <c r="CH8" s="143"/>
      <c r="CI8" s="143"/>
      <c r="CJ8" s="143"/>
      <c r="CK8" s="143"/>
      <c r="CL8" s="143"/>
      <c r="CM8" s="143"/>
      <c r="CN8" s="170"/>
      <c r="CO8" s="143"/>
      <c r="CP8" s="143"/>
      <c r="CQ8" s="143"/>
      <c r="CR8" s="143"/>
      <c r="CS8" s="143"/>
      <c r="CT8" s="143"/>
      <c r="CU8" s="143"/>
      <c r="CV8" s="143"/>
      <c r="CW8" s="143"/>
      <c r="CX8" s="143"/>
      <c r="CY8" s="143"/>
      <c r="CZ8" s="143"/>
      <c r="DA8" s="143"/>
      <c r="DB8" s="143"/>
    </row>
    <row r="9" spans="1:106">
      <c r="A9" s="151" t="s">
        <v>90</v>
      </c>
      <c r="B9" s="143"/>
      <c r="C9" s="152" t="s">
        <v>1700</v>
      </c>
      <c r="D9" s="151" t="s">
        <v>567</v>
      </c>
      <c r="E9" s="151" t="s">
        <v>568</v>
      </c>
      <c r="F9" s="151"/>
      <c r="G9" s="151" t="s">
        <v>568</v>
      </c>
      <c r="H9" s="152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143"/>
      <c r="BK9" s="143"/>
      <c r="BL9" s="143"/>
      <c r="BM9" s="143"/>
      <c r="BN9" s="143"/>
      <c r="BO9" s="143"/>
      <c r="BP9" s="143"/>
      <c r="BQ9" s="143"/>
      <c r="BR9" s="143"/>
      <c r="BS9" s="143"/>
      <c r="BT9" s="143"/>
      <c r="BU9" s="143"/>
      <c r="BV9" s="143"/>
      <c r="BW9" s="143"/>
      <c r="BX9" s="143"/>
      <c r="BY9" s="143"/>
      <c r="BZ9" s="143"/>
      <c r="CA9" s="143"/>
      <c r="CB9" s="143"/>
      <c r="CC9" s="143"/>
      <c r="CD9" s="143"/>
      <c r="CE9" s="143"/>
      <c r="CF9" s="143"/>
      <c r="CG9" s="145"/>
      <c r="CH9" s="143"/>
      <c r="CI9" s="143"/>
      <c r="CJ9" s="143"/>
      <c r="CK9" s="143"/>
      <c r="CL9" s="143"/>
      <c r="CM9" s="143"/>
      <c r="CN9" s="170"/>
      <c r="CO9" s="143"/>
      <c r="CP9" s="143"/>
      <c r="CQ9" s="143"/>
      <c r="CR9" s="143"/>
      <c r="CS9" s="143"/>
      <c r="CT9" s="143"/>
      <c r="CU9" s="143"/>
      <c r="CV9" s="143"/>
      <c r="CW9" s="143"/>
      <c r="CX9" s="143"/>
      <c r="CY9" s="143"/>
      <c r="CZ9" s="143"/>
      <c r="DA9" s="143"/>
      <c r="DB9" s="143"/>
    </row>
    <row r="10" spans="1:106">
      <c r="A10" s="153"/>
      <c r="B10" s="143"/>
      <c r="C10" s="154"/>
      <c r="D10" s="148"/>
      <c r="E10" s="148"/>
      <c r="F10" s="148"/>
      <c r="G10" s="148"/>
      <c r="H10" s="148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5"/>
      <c r="CH10" s="143"/>
      <c r="CI10" s="143"/>
      <c r="CJ10" s="143"/>
      <c r="CK10" s="143"/>
      <c r="CL10" s="143"/>
      <c r="CM10" s="143"/>
      <c r="CN10" s="170"/>
      <c r="CO10" s="143"/>
      <c r="CP10" s="143"/>
      <c r="CQ10" s="143"/>
      <c r="CR10" s="143"/>
      <c r="CS10" s="143"/>
      <c r="CT10" s="143"/>
      <c r="CU10" s="143"/>
      <c r="CV10" s="143"/>
      <c r="CW10" s="143"/>
      <c r="CX10" s="143"/>
      <c r="CY10" s="143"/>
      <c r="CZ10" s="143"/>
      <c r="DA10" s="143"/>
      <c r="DB10" s="143"/>
    </row>
    <row r="11" spans="1:106">
      <c r="A11" s="148">
        <v>1</v>
      </c>
      <c r="B11" s="143"/>
      <c r="C11" s="155" t="s">
        <v>765</v>
      </c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43"/>
      <c r="BE11" s="143"/>
      <c r="BF11" s="143"/>
      <c r="BG11" s="143"/>
      <c r="BH11" s="143"/>
      <c r="BI11" s="143"/>
      <c r="BJ11" s="143"/>
      <c r="BK11" s="143"/>
      <c r="BL11" s="143"/>
      <c r="BM11" s="143"/>
      <c r="BN11" s="143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3"/>
      <c r="CD11" s="143"/>
      <c r="CE11" s="143"/>
      <c r="CF11" s="143"/>
      <c r="CG11" s="145"/>
      <c r="CH11" s="143"/>
      <c r="CI11" s="143"/>
      <c r="CJ11" s="143"/>
      <c r="CK11" s="143"/>
      <c r="CL11" s="143"/>
      <c r="CM11" s="143"/>
      <c r="CN11" s="170"/>
      <c r="CO11" s="143"/>
      <c r="CP11" s="143"/>
      <c r="CQ11" s="143"/>
      <c r="CR11" s="143"/>
      <c r="CS11" s="143"/>
      <c r="CT11" s="143"/>
      <c r="CU11" s="143"/>
      <c r="CV11" s="143"/>
      <c r="CW11" s="143"/>
      <c r="CX11" s="143"/>
      <c r="CY11" s="143"/>
      <c r="CZ11" s="143"/>
      <c r="DA11" s="143"/>
      <c r="DB11" s="143"/>
    </row>
    <row r="12" spans="1:106">
      <c r="A12" s="148">
        <v>2</v>
      </c>
      <c r="B12" s="143"/>
      <c r="C12" s="144" t="s">
        <v>1701</v>
      </c>
      <c r="D12" s="156" t="s">
        <v>898</v>
      </c>
      <c r="E12" s="157">
        <f>SCH_C2!E37</f>
        <v>226496360</v>
      </c>
      <c r="F12" s="156"/>
      <c r="G12" s="157">
        <f ca="1">SCH_C2!N37</f>
        <v>220615724</v>
      </c>
      <c r="H12" s="157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3"/>
      <c r="BK12" s="143"/>
      <c r="BL12" s="143"/>
      <c r="BM12" s="143"/>
      <c r="BN12" s="143"/>
      <c r="BO12" s="143"/>
      <c r="BP12" s="143"/>
      <c r="BQ12" s="143"/>
      <c r="BR12" s="143"/>
      <c r="BS12" s="143"/>
      <c r="BT12" s="143"/>
      <c r="BU12" s="143"/>
      <c r="BV12" s="143"/>
      <c r="BW12" s="143"/>
      <c r="BX12" s="143"/>
      <c r="BY12" s="143"/>
      <c r="BZ12" s="143"/>
      <c r="CA12" s="143"/>
      <c r="CB12" s="143"/>
      <c r="CC12" s="143"/>
      <c r="CD12" s="143"/>
      <c r="CE12" s="143"/>
      <c r="CF12" s="143"/>
      <c r="CG12" s="145"/>
      <c r="CH12" s="143"/>
      <c r="CI12" s="143"/>
      <c r="CJ12" s="143"/>
      <c r="CK12" s="143"/>
      <c r="CL12" s="143"/>
      <c r="CM12" s="143"/>
      <c r="CN12" s="170"/>
      <c r="CO12" s="143"/>
      <c r="CP12" s="143"/>
      <c r="CQ12" s="143"/>
      <c r="CR12" s="143"/>
      <c r="CS12" s="143"/>
      <c r="CT12" s="143"/>
      <c r="CU12" s="143"/>
      <c r="CV12" s="143"/>
      <c r="CW12" s="143"/>
      <c r="CX12" s="143"/>
      <c r="CY12" s="143"/>
      <c r="CZ12" s="143"/>
      <c r="DA12" s="143"/>
      <c r="DB12" s="143"/>
    </row>
    <row r="13" spans="1:106">
      <c r="A13" s="148">
        <v>3</v>
      </c>
      <c r="B13" s="143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3"/>
      <c r="BK13" s="143"/>
      <c r="BL13" s="143"/>
      <c r="BM13" s="143"/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43"/>
      <c r="CE13" s="143"/>
      <c r="CF13" s="143"/>
      <c r="CG13" s="145"/>
      <c r="CH13" s="143"/>
      <c r="CI13" s="143"/>
      <c r="CJ13" s="143"/>
      <c r="CK13" s="143"/>
      <c r="CL13" s="143"/>
      <c r="CM13" s="143"/>
      <c r="CN13" s="170"/>
      <c r="CO13" s="143"/>
      <c r="CP13" s="143"/>
      <c r="CQ13" s="143"/>
      <c r="CR13" s="143"/>
      <c r="CS13" s="143"/>
      <c r="CT13" s="143"/>
      <c r="CU13" s="143"/>
      <c r="CV13" s="143"/>
      <c r="CW13" s="143"/>
      <c r="CX13" s="143"/>
      <c r="CY13" s="143"/>
      <c r="CZ13" s="143"/>
      <c r="DA13" s="143"/>
      <c r="DB13" s="143"/>
    </row>
    <row r="14" spans="1:106">
      <c r="A14" s="148">
        <v>4</v>
      </c>
      <c r="B14" s="143"/>
      <c r="C14" s="144" t="s">
        <v>205</v>
      </c>
      <c r="D14" s="156" t="s">
        <v>898</v>
      </c>
      <c r="E14" s="158">
        <f>SCH_C2!E25</f>
        <v>115955445</v>
      </c>
      <c r="F14" s="156"/>
      <c r="G14" s="158">
        <f ca="1">SCH_C2!N25</f>
        <v>106892466.40000001</v>
      </c>
      <c r="H14" s="159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  <c r="BF14" s="143"/>
      <c r="BG14" s="143"/>
      <c r="BH14" s="143"/>
      <c r="BI14" s="143"/>
      <c r="BJ14" s="143"/>
      <c r="BK14" s="143"/>
      <c r="BL14" s="143"/>
      <c r="BM14" s="143"/>
      <c r="BN14" s="143"/>
      <c r="BO14" s="143"/>
      <c r="BP14" s="143"/>
      <c r="BQ14" s="143"/>
      <c r="BR14" s="143"/>
      <c r="BS14" s="143"/>
      <c r="BT14" s="143"/>
      <c r="BU14" s="143"/>
      <c r="BV14" s="143"/>
      <c r="BW14" s="143"/>
      <c r="BX14" s="143"/>
      <c r="BY14" s="143"/>
      <c r="BZ14" s="143"/>
      <c r="CA14" s="143"/>
      <c r="CB14" s="143"/>
      <c r="CC14" s="143"/>
      <c r="CD14" s="143"/>
      <c r="CE14" s="143"/>
      <c r="CF14" s="143"/>
      <c r="CG14" s="145"/>
      <c r="CH14" s="143"/>
      <c r="CI14" s="143"/>
      <c r="CJ14" s="143"/>
      <c r="CK14" s="143"/>
      <c r="CL14" s="143"/>
      <c r="CM14" s="143"/>
      <c r="CN14" s="170"/>
      <c r="CO14" s="143"/>
      <c r="CP14" s="143"/>
      <c r="CQ14" s="143"/>
      <c r="CR14" s="143"/>
      <c r="CS14" s="143"/>
      <c r="CT14" s="143"/>
      <c r="CU14" s="143"/>
      <c r="CV14" s="143"/>
      <c r="CW14" s="143"/>
      <c r="CX14" s="143"/>
      <c r="CY14" s="143"/>
      <c r="CZ14" s="143"/>
      <c r="DA14" s="143"/>
      <c r="DB14" s="143"/>
    </row>
    <row r="15" spans="1:106">
      <c r="A15" s="148">
        <v>5</v>
      </c>
      <c r="B15" s="143"/>
      <c r="C15" s="143"/>
      <c r="D15" s="143"/>
      <c r="E15" s="160"/>
      <c r="F15" s="143"/>
      <c r="G15" s="160"/>
      <c r="H15" s="160"/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5"/>
      <c r="CH15" s="143"/>
      <c r="CI15" s="143"/>
      <c r="CJ15" s="143"/>
      <c r="CK15" s="143"/>
      <c r="CL15" s="143"/>
      <c r="CM15" s="143"/>
      <c r="CN15" s="170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</row>
    <row r="16" spans="1:106" ht="13.5" thickBot="1">
      <c r="A16" s="148">
        <v>6</v>
      </c>
      <c r="B16" s="143"/>
      <c r="C16" s="144" t="s">
        <v>128</v>
      </c>
      <c r="D16" s="143"/>
      <c r="E16" s="161">
        <f>E12-E14</f>
        <v>110540915</v>
      </c>
      <c r="F16" s="143"/>
      <c r="G16" s="161">
        <f ca="1">G12-G14</f>
        <v>113723257.59999999</v>
      </c>
      <c r="H16" s="159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  <c r="BF16" s="143"/>
      <c r="BG16" s="143"/>
      <c r="BH16" s="143"/>
      <c r="BI16" s="143"/>
      <c r="BJ16" s="143"/>
      <c r="BK16" s="143"/>
      <c r="BL16" s="143"/>
      <c r="BM16" s="143"/>
      <c r="BN16" s="143"/>
      <c r="BO16" s="143"/>
      <c r="BP16" s="143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143"/>
      <c r="CB16" s="143"/>
      <c r="CC16" s="143"/>
      <c r="CD16" s="143"/>
      <c r="CE16" s="143"/>
      <c r="CF16" s="143"/>
      <c r="CG16" s="145"/>
      <c r="CH16" s="143"/>
      <c r="CI16" s="143"/>
      <c r="CJ16" s="143"/>
      <c r="CK16" s="143"/>
      <c r="CL16" s="143"/>
      <c r="CM16" s="143"/>
      <c r="CN16" s="170"/>
      <c r="CO16" s="143"/>
      <c r="CP16" s="143"/>
      <c r="CQ16" s="143"/>
      <c r="CR16" s="143"/>
      <c r="CS16" s="143"/>
      <c r="CT16" s="143"/>
      <c r="CU16" s="143"/>
      <c r="CV16" s="143"/>
      <c r="CW16" s="143"/>
      <c r="CX16" s="143"/>
      <c r="CY16" s="143"/>
      <c r="CZ16" s="143"/>
      <c r="DA16" s="143"/>
      <c r="DB16" s="143"/>
    </row>
    <row r="17" spans="1:106" ht="13.5" thickTop="1">
      <c r="A17" s="148">
        <v>7</v>
      </c>
      <c r="B17" s="143"/>
      <c r="C17" s="143"/>
      <c r="D17" s="143"/>
      <c r="E17" s="160"/>
      <c r="F17" s="143"/>
      <c r="G17" s="160"/>
      <c r="H17" s="160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3"/>
      <c r="BF17" s="143"/>
      <c r="BG17" s="143"/>
      <c r="BH17" s="143"/>
      <c r="BI17" s="143"/>
      <c r="BJ17" s="143"/>
      <c r="BK17" s="143"/>
      <c r="BL17" s="143"/>
      <c r="BM17" s="143"/>
      <c r="BN17" s="143"/>
      <c r="BO17" s="143"/>
      <c r="BP17" s="143"/>
      <c r="BQ17" s="143"/>
      <c r="BR17" s="143"/>
      <c r="BS17" s="143"/>
      <c r="BT17" s="143"/>
      <c r="BU17" s="143"/>
      <c r="BV17" s="143"/>
      <c r="BW17" s="143"/>
      <c r="BX17" s="143"/>
      <c r="BY17" s="143"/>
      <c r="BZ17" s="143"/>
      <c r="CA17" s="143"/>
      <c r="CB17" s="143"/>
      <c r="CC17" s="143"/>
      <c r="CD17" s="143"/>
      <c r="CE17" s="143"/>
      <c r="CF17" s="143"/>
      <c r="CG17" s="145"/>
      <c r="CH17" s="143"/>
      <c r="CI17" s="143"/>
      <c r="CJ17" s="143"/>
      <c r="CK17" s="143"/>
      <c r="CL17" s="143"/>
      <c r="CM17" s="143"/>
      <c r="CN17" s="170"/>
      <c r="CO17" s="143"/>
      <c r="CP17" s="143"/>
      <c r="CQ17" s="143"/>
      <c r="CR17" s="143"/>
      <c r="CS17" s="143"/>
      <c r="CT17" s="143"/>
      <c r="CU17" s="143"/>
      <c r="CV17" s="143"/>
      <c r="CW17" s="143"/>
      <c r="CX17" s="143"/>
      <c r="CY17" s="143"/>
      <c r="CZ17" s="143"/>
      <c r="DA17" s="143"/>
      <c r="DB17" s="143"/>
    </row>
    <row r="18" spans="1:106">
      <c r="A18" s="148">
        <v>8</v>
      </c>
      <c r="B18" s="143"/>
      <c r="C18" s="144" t="s">
        <v>129</v>
      </c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3"/>
      <c r="BN18" s="143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3"/>
      <c r="BZ18" s="143"/>
      <c r="CA18" s="143"/>
      <c r="CB18" s="143"/>
      <c r="CC18" s="143"/>
      <c r="CD18" s="143"/>
      <c r="CE18" s="143"/>
      <c r="CF18" s="143"/>
      <c r="CG18" s="145"/>
      <c r="CH18" s="143"/>
      <c r="CI18" s="143"/>
      <c r="CJ18" s="143"/>
      <c r="CK18" s="143"/>
      <c r="CL18" s="143"/>
      <c r="CM18" s="143"/>
      <c r="CN18" s="170"/>
      <c r="CO18" s="143"/>
      <c r="CP18" s="143"/>
      <c r="CQ18" s="143"/>
      <c r="CR18" s="143"/>
      <c r="CS18" s="143"/>
      <c r="CT18" s="143"/>
      <c r="CU18" s="143"/>
      <c r="CV18" s="143"/>
      <c r="CW18" s="143"/>
      <c r="CX18" s="143"/>
      <c r="CY18" s="143"/>
      <c r="CZ18" s="143"/>
      <c r="DA18" s="143"/>
      <c r="DB18" s="143"/>
    </row>
    <row r="19" spans="1:106">
      <c r="A19" s="148">
        <v>9</v>
      </c>
      <c r="B19" s="14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43"/>
      <c r="BE19" s="143"/>
      <c r="BF19" s="143"/>
      <c r="BG19" s="143"/>
      <c r="BH19" s="143"/>
      <c r="BI19" s="143"/>
      <c r="BJ19" s="143"/>
      <c r="BK19" s="143"/>
      <c r="BL19" s="143"/>
      <c r="BM19" s="143"/>
      <c r="BN19" s="143"/>
      <c r="BO19" s="143"/>
      <c r="BP19" s="143"/>
      <c r="BQ19" s="143"/>
      <c r="BR19" s="143"/>
      <c r="BS19" s="143"/>
      <c r="BT19" s="143"/>
      <c r="BU19" s="143"/>
      <c r="BV19" s="143"/>
      <c r="BW19" s="143"/>
      <c r="BX19" s="143"/>
      <c r="BY19" s="143"/>
      <c r="BZ19" s="143"/>
      <c r="CA19" s="143"/>
      <c r="CB19" s="143"/>
      <c r="CC19" s="143"/>
      <c r="CD19" s="143"/>
      <c r="CE19" s="143"/>
      <c r="CF19" s="143"/>
      <c r="CG19" s="145"/>
      <c r="CH19" s="143"/>
      <c r="CI19" s="143"/>
      <c r="CJ19" s="143"/>
      <c r="CK19" s="143"/>
      <c r="CL19" s="143"/>
      <c r="CM19" s="143"/>
      <c r="CN19" s="170"/>
      <c r="CO19" s="143"/>
      <c r="CP19" s="143"/>
      <c r="CQ19" s="143"/>
      <c r="CR19" s="143"/>
      <c r="CS19" s="143"/>
      <c r="CT19" s="143"/>
      <c r="CU19" s="143"/>
      <c r="CV19" s="143"/>
      <c r="CW19" s="143"/>
      <c r="CX19" s="143"/>
      <c r="CY19" s="143"/>
      <c r="CZ19" s="143"/>
      <c r="DA19" s="143"/>
      <c r="DB19" s="143"/>
    </row>
    <row r="20" spans="1:106" ht="13.5" thickBot="1">
      <c r="A20" s="148">
        <v>10</v>
      </c>
      <c r="B20" s="143"/>
      <c r="C20" s="162" t="s">
        <v>130</v>
      </c>
      <c r="D20" s="163" t="s">
        <v>131</v>
      </c>
      <c r="E20" s="161">
        <f>ROUND(E16/8,0)</f>
        <v>13817614</v>
      </c>
      <c r="F20" s="163"/>
      <c r="G20" s="161">
        <f ca="1">ROUND(G16/8,0)</f>
        <v>14215407</v>
      </c>
      <c r="H20" s="157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43"/>
      <c r="BE20" s="143"/>
      <c r="BF20" s="143"/>
      <c r="BG20" s="143"/>
      <c r="BH20" s="143"/>
      <c r="BI20" s="143"/>
      <c r="BJ20" s="143"/>
      <c r="BK20" s="143"/>
      <c r="BL20" s="143"/>
      <c r="BM20" s="143"/>
      <c r="BN20" s="143"/>
      <c r="BO20" s="143"/>
      <c r="BP20" s="143"/>
      <c r="BQ20" s="143"/>
      <c r="BR20" s="143"/>
      <c r="BS20" s="143"/>
      <c r="BT20" s="143"/>
      <c r="BU20" s="143"/>
      <c r="BV20" s="143"/>
      <c r="BW20" s="143"/>
      <c r="BX20" s="143"/>
      <c r="BY20" s="143"/>
      <c r="BZ20" s="143"/>
      <c r="CA20" s="143"/>
      <c r="CB20" s="143"/>
      <c r="CC20" s="143"/>
      <c r="CD20" s="143"/>
      <c r="CE20" s="143"/>
      <c r="CF20" s="143"/>
      <c r="CG20" s="145"/>
      <c r="CH20" s="143"/>
      <c r="CI20" s="143"/>
      <c r="CJ20" s="143"/>
      <c r="CK20" s="143"/>
      <c r="CL20" s="143"/>
      <c r="CM20" s="143"/>
      <c r="CN20" s="170"/>
      <c r="CO20" s="143"/>
      <c r="CP20" s="143"/>
      <c r="CQ20" s="143"/>
      <c r="CR20" s="143"/>
      <c r="CS20" s="143"/>
      <c r="CT20" s="143"/>
      <c r="CU20" s="143"/>
      <c r="CV20" s="143"/>
      <c r="CW20" s="143"/>
      <c r="CX20" s="143"/>
      <c r="CY20" s="143"/>
      <c r="CZ20" s="143"/>
      <c r="DA20" s="143"/>
      <c r="DB20" s="143"/>
    </row>
    <row r="21" spans="1:106" ht="13.5" thickTop="1">
      <c r="A21" s="148">
        <v>11</v>
      </c>
      <c r="B21" s="143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3"/>
      <c r="BE21" s="143"/>
      <c r="BF21" s="143"/>
      <c r="BG21" s="143"/>
      <c r="BH21" s="143"/>
      <c r="BI21" s="143"/>
      <c r="BJ21" s="143"/>
      <c r="BK21" s="143"/>
      <c r="BL21" s="143"/>
      <c r="BM21" s="143"/>
      <c r="BN21" s="143"/>
      <c r="BO21" s="143"/>
      <c r="BP21" s="143"/>
      <c r="BQ21" s="143"/>
      <c r="BR21" s="143"/>
      <c r="BS21" s="143"/>
      <c r="BT21" s="143"/>
      <c r="BU21" s="143"/>
      <c r="BV21" s="143"/>
      <c r="BW21" s="143"/>
      <c r="BX21" s="143"/>
      <c r="BY21" s="143"/>
      <c r="BZ21" s="143"/>
      <c r="CA21" s="143"/>
      <c r="CB21" s="143"/>
      <c r="CC21" s="143"/>
      <c r="CD21" s="143"/>
      <c r="CE21" s="143"/>
      <c r="CF21" s="143"/>
      <c r="CG21" s="145"/>
      <c r="CH21" s="143"/>
      <c r="CI21" s="143"/>
      <c r="CJ21" s="143"/>
      <c r="CK21" s="143"/>
      <c r="CL21" s="143"/>
      <c r="CM21" s="143"/>
      <c r="CN21" s="170"/>
      <c r="CO21" s="143"/>
      <c r="CP21" s="143"/>
      <c r="CQ21" s="143"/>
      <c r="CR21" s="143"/>
      <c r="CS21" s="143"/>
      <c r="CT21" s="143"/>
      <c r="CU21" s="143"/>
      <c r="CV21" s="143"/>
      <c r="CW21" s="143"/>
      <c r="CX21" s="143"/>
      <c r="CY21" s="143"/>
      <c r="CZ21" s="143"/>
      <c r="DA21" s="143"/>
      <c r="DB21" s="143"/>
    </row>
    <row r="22" spans="1:106">
      <c r="A22" s="148">
        <v>12</v>
      </c>
      <c r="B22" s="14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3"/>
      <c r="BJ22" s="143"/>
      <c r="BK22" s="143"/>
      <c r="BL22" s="143"/>
      <c r="BM22" s="143"/>
      <c r="BN22" s="143"/>
      <c r="BO22" s="143"/>
      <c r="BP22" s="143"/>
      <c r="BQ22" s="143"/>
      <c r="BR22" s="143"/>
      <c r="BS22" s="143"/>
      <c r="BT22" s="143"/>
      <c r="BU22" s="143"/>
      <c r="BV22" s="143"/>
      <c r="BW22" s="143"/>
      <c r="BX22" s="143"/>
      <c r="BY22" s="143"/>
      <c r="BZ22" s="143"/>
      <c r="CA22" s="143"/>
      <c r="CB22" s="143"/>
      <c r="CC22" s="143"/>
      <c r="CD22" s="143"/>
      <c r="CE22" s="143"/>
      <c r="CF22" s="143"/>
      <c r="CG22" s="145"/>
      <c r="CH22" s="143"/>
      <c r="CI22" s="143"/>
      <c r="CJ22" s="143"/>
      <c r="CK22" s="143"/>
      <c r="CL22" s="143"/>
      <c r="CM22" s="143"/>
      <c r="CN22" s="170"/>
      <c r="CO22" s="143"/>
      <c r="CP22" s="143"/>
      <c r="CQ22" s="143"/>
      <c r="CR22" s="143"/>
      <c r="CS22" s="143"/>
      <c r="CT22" s="143"/>
      <c r="CU22" s="143"/>
      <c r="CV22" s="143"/>
      <c r="CW22" s="143"/>
      <c r="CX22" s="143"/>
      <c r="CY22" s="143"/>
      <c r="CZ22" s="143"/>
      <c r="DA22" s="143"/>
      <c r="DB22" s="143"/>
    </row>
    <row r="23" spans="1:106">
      <c r="A23" s="148">
        <v>13</v>
      </c>
      <c r="B23" s="143"/>
      <c r="C23" s="155" t="s">
        <v>766</v>
      </c>
      <c r="D23" s="143"/>
      <c r="E23" s="164"/>
      <c r="F23" s="164"/>
      <c r="G23" s="164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3"/>
      <c r="BZ23" s="143"/>
      <c r="CA23" s="143"/>
      <c r="CB23" s="143"/>
      <c r="CC23" s="143"/>
      <c r="CD23" s="143"/>
      <c r="CE23" s="143"/>
      <c r="CF23" s="143"/>
      <c r="CG23" s="145"/>
      <c r="CH23" s="143"/>
      <c r="CI23" s="143"/>
      <c r="CJ23" s="143"/>
      <c r="CK23" s="143"/>
      <c r="CL23" s="143"/>
      <c r="CM23" s="143"/>
      <c r="CN23" s="170"/>
      <c r="CO23" s="143"/>
      <c r="CP23" s="143"/>
      <c r="CQ23" s="143"/>
      <c r="CR23" s="143"/>
      <c r="CS23" s="143"/>
      <c r="CT23" s="143"/>
      <c r="CU23" s="143"/>
      <c r="CV23" s="143"/>
      <c r="CW23" s="143"/>
      <c r="CX23" s="143"/>
      <c r="CY23" s="143"/>
      <c r="CZ23" s="143"/>
      <c r="DA23" s="143"/>
      <c r="DB23" s="143"/>
    </row>
    <row r="24" spans="1:106">
      <c r="A24" s="148">
        <v>14</v>
      </c>
      <c r="B24" s="143"/>
      <c r="C24" s="144" t="s">
        <v>1701</v>
      </c>
      <c r="D24" s="156" t="s">
        <v>1918</v>
      </c>
      <c r="E24" s="1682">
        <f>12582014+11335592</f>
        <v>23917606</v>
      </c>
      <c r="F24" s="164"/>
      <c r="G24" s="1682">
        <v>23234466</v>
      </c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  <c r="BE24" s="143"/>
      <c r="BF24" s="143"/>
      <c r="BG24" s="143"/>
      <c r="BH24" s="143"/>
      <c r="BI24" s="143"/>
      <c r="BJ24" s="143"/>
      <c r="BK24" s="143"/>
      <c r="BL24" s="143"/>
      <c r="BM24" s="143"/>
      <c r="BN24" s="143"/>
      <c r="BO24" s="143"/>
      <c r="BP24" s="143"/>
      <c r="BQ24" s="143"/>
      <c r="BR24" s="143"/>
      <c r="BS24" s="143"/>
      <c r="BT24" s="143"/>
      <c r="BU24" s="143"/>
      <c r="BV24" s="143"/>
      <c r="BW24" s="143"/>
      <c r="BX24" s="143"/>
      <c r="BY24" s="143"/>
      <c r="BZ24" s="143"/>
      <c r="CA24" s="143"/>
      <c r="CB24" s="143"/>
      <c r="CC24" s="143"/>
      <c r="CD24" s="143"/>
      <c r="CE24" s="143"/>
      <c r="CF24" s="143"/>
      <c r="CG24" s="145"/>
      <c r="CH24" s="143"/>
      <c r="CI24" s="143"/>
      <c r="CJ24" s="143"/>
      <c r="CK24" s="143"/>
      <c r="CL24" s="143"/>
      <c r="CM24" s="143"/>
      <c r="CN24" s="170"/>
      <c r="CO24" s="143"/>
      <c r="CP24" s="143"/>
      <c r="CQ24" s="143"/>
      <c r="CR24" s="143"/>
      <c r="CS24" s="143"/>
      <c r="CT24" s="143"/>
      <c r="CU24" s="143"/>
      <c r="CV24" s="143"/>
      <c r="CW24" s="143"/>
      <c r="CX24" s="143"/>
      <c r="CY24" s="143"/>
      <c r="CZ24" s="143"/>
      <c r="DA24" s="143"/>
      <c r="DB24" s="143"/>
    </row>
    <row r="25" spans="1:106">
      <c r="A25" s="148">
        <v>15</v>
      </c>
      <c r="B25" s="143"/>
      <c r="C25" s="143"/>
      <c r="D25" s="143"/>
      <c r="E25" s="166"/>
      <c r="F25" s="166"/>
      <c r="G25" s="166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43"/>
      <c r="CE25" s="143"/>
      <c r="CF25" s="143"/>
      <c r="CG25" s="145"/>
      <c r="CH25" s="143"/>
      <c r="CI25" s="143"/>
      <c r="CJ25" s="143"/>
      <c r="CK25" s="143"/>
      <c r="CL25" s="143"/>
      <c r="CM25" s="143"/>
      <c r="CN25" s="170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</row>
    <row r="26" spans="1:106">
      <c r="A26" s="148">
        <v>16</v>
      </c>
      <c r="B26" s="143"/>
      <c r="C26" s="144" t="s">
        <v>201</v>
      </c>
      <c r="D26" s="156" t="s">
        <v>1918</v>
      </c>
      <c r="E26" s="167">
        <v>0</v>
      </c>
      <c r="F26" s="165"/>
      <c r="G26" s="167">
        <v>0</v>
      </c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5"/>
      <c r="CH26" s="143"/>
      <c r="CI26" s="143"/>
      <c r="CJ26" s="143"/>
      <c r="CK26" s="143"/>
      <c r="CL26" s="143"/>
      <c r="CM26" s="143"/>
      <c r="CN26" s="170"/>
      <c r="CO26" s="143"/>
      <c r="CP26" s="143"/>
      <c r="CQ26" s="143"/>
      <c r="CR26" s="143"/>
      <c r="CS26" s="143"/>
      <c r="CT26" s="143"/>
      <c r="CU26" s="143"/>
      <c r="CV26" s="143"/>
      <c r="CW26" s="143"/>
      <c r="CX26" s="143"/>
      <c r="CY26" s="143"/>
      <c r="CZ26" s="143"/>
      <c r="DA26" s="143"/>
      <c r="DB26" s="143"/>
    </row>
    <row r="27" spans="1:106">
      <c r="A27" s="148">
        <v>17</v>
      </c>
      <c r="B27" s="143"/>
      <c r="C27" s="143"/>
      <c r="D27" s="143"/>
      <c r="E27" s="160"/>
      <c r="F27" s="143"/>
      <c r="G27" s="160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43"/>
      <c r="BE27" s="143"/>
      <c r="BF27" s="143"/>
      <c r="BG27" s="143"/>
      <c r="BH27" s="143"/>
      <c r="BI27" s="143"/>
      <c r="BJ27" s="143"/>
      <c r="BK27" s="143"/>
      <c r="BL27" s="143"/>
      <c r="BM27" s="143"/>
      <c r="BN27" s="143"/>
      <c r="BO27" s="143"/>
      <c r="BP27" s="143"/>
      <c r="BQ27" s="143"/>
      <c r="BR27" s="143"/>
      <c r="BS27" s="143"/>
      <c r="BT27" s="143"/>
      <c r="BU27" s="143"/>
      <c r="BV27" s="143"/>
      <c r="BW27" s="143"/>
      <c r="BX27" s="143"/>
      <c r="BY27" s="143"/>
      <c r="BZ27" s="143"/>
      <c r="CA27" s="143"/>
      <c r="CB27" s="143"/>
      <c r="CC27" s="143"/>
      <c r="CD27" s="143"/>
      <c r="CE27" s="143"/>
      <c r="CF27" s="143"/>
      <c r="CG27" s="145"/>
      <c r="CH27" s="143"/>
      <c r="CI27" s="143"/>
      <c r="CJ27" s="143"/>
      <c r="CK27" s="143"/>
      <c r="CL27" s="143"/>
      <c r="CM27" s="143"/>
      <c r="CN27" s="170"/>
      <c r="CO27" s="143"/>
      <c r="CP27" s="143"/>
      <c r="CQ27" s="143"/>
      <c r="CR27" s="143"/>
      <c r="CS27" s="143"/>
      <c r="CT27" s="143"/>
      <c r="CU27" s="143"/>
      <c r="CV27" s="143"/>
      <c r="CW27" s="143"/>
      <c r="CX27" s="143"/>
      <c r="CY27" s="143"/>
      <c r="CZ27" s="143"/>
      <c r="DA27" s="143"/>
      <c r="DB27" s="143"/>
    </row>
    <row r="28" spans="1:106" ht="13.5" thickBot="1">
      <c r="A28" s="148">
        <v>18</v>
      </c>
      <c r="B28" s="143"/>
      <c r="C28" s="144" t="s">
        <v>128</v>
      </c>
      <c r="D28" s="143"/>
      <c r="E28" s="161">
        <f>E24-E26</f>
        <v>23917606</v>
      </c>
      <c r="F28" s="143"/>
      <c r="G28" s="161">
        <f>G24-G26</f>
        <v>23234466</v>
      </c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43"/>
      <c r="BE28" s="143"/>
      <c r="BF28" s="143"/>
      <c r="BG28" s="143"/>
      <c r="BH28" s="143"/>
      <c r="BI28" s="143"/>
      <c r="BJ28" s="143"/>
      <c r="BK28" s="143"/>
      <c r="BL28" s="143"/>
      <c r="BM28" s="143"/>
      <c r="BN28" s="143"/>
      <c r="BO28" s="143"/>
      <c r="BP28" s="143"/>
      <c r="BQ28" s="143"/>
      <c r="BR28" s="143"/>
      <c r="BS28" s="143"/>
      <c r="BT28" s="143"/>
      <c r="BU28" s="143"/>
      <c r="BV28" s="143"/>
      <c r="BW28" s="143"/>
      <c r="BX28" s="143"/>
      <c r="BY28" s="143"/>
      <c r="BZ28" s="143"/>
      <c r="CA28" s="143"/>
      <c r="CB28" s="143"/>
      <c r="CC28" s="143"/>
      <c r="CD28" s="143"/>
      <c r="CE28" s="143"/>
      <c r="CF28" s="143"/>
      <c r="CG28" s="145"/>
      <c r="CH28" s="143"/>
      <c r="CI28" s="143"/>
      <c r="CJ28" s="143"/>
      <c r="CK28" s="143"/>
      <c r="CL28" s="143"/>
      <c r="CM28" s="143"/>
      <c r="CN28" s="170"/>
      <c r="CO28" s="143"/>
      <c r="CP28" s="143"/>
      <c r="CQ28" s="143"/>
      <c r="CR28" s="143"/>
      <c r="CS28" s="143"/>
      <c r="CT28" s="143"/>
      <c r="CU28" s="143"/>
      <c r="CV28" s="143"/>
      <c r="CW28" s="143"/>
      <c r="CX28" s="143"/>
      <c r="CY28" s="143"/>
      <c r="CZ28" s="143"/>
      <c r="DA28" s="143"/>
      <c r="DB28" s="143"/>
    </row>
    <row r="29" spans="1:106" ht="13.5" thickTop="1">
      <c r="A29" s="148">
        <v>19</v>
      </c>
      <c r="B29" s="143"/>
      <c r="C29" s="143"/>
      <c r="D29" s="143"/>
      <c r="E29" s="160"/>
      <c r="F29" s="143"/>
      <c r="G29" s="160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/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43"/>
      <c r="BE29" s="143"/>
      <c r="BF29" s="143"/>
      <c r="BG29" s="143"/>
      <c r="BH29" s="143"/>
      <c r="BI29" s="143"/>
      <c r="BJ29" s="143"/>
      <c r="BK29" s="143"/>
      <c r="BL29" s="143"/>
      <c r="BM29" s="143"/>
      <c r="BN29" s="143"/>
      <c r="BO29" s="143"/>
      <c r="BP29" s="143"/>
      <c r="BQ29" s="143"/>
      <c r="BR29" s="143"/>
      <c r="BS29" s="143"/>
      <c r="BT29" s="143"/>
      <c r="BU29" s="143"/>
      <c r="BV29" s="143"/>
      <c r="BW29" s="143"/>
      <c r="BX29" s="143"/>
      <c r="BY29" s="143"/>
      <c r="BZ29" s="143"/>
      <c r="CA29" s="143"/>
      <c r="CB29" s="143"/>
      <c r="CC29" s="143"/>
      <c r="CD29" s="143"/>
      <c r="CE29" s="143"/>
      <c r="CF29" s="143"/>
      <c r="CG29" s="145"/>
      <c r="CH29" s="143"/>
      <c r="CI29" s="143"/>
      <c r="CJ29" s="143"/>
      <c r="CK29" s="143"/>
      <c r="CL29" s="143"/>
      <c r="CM29" s="143"/>
      <c r="CN29" s="170"/>
      <c r="CO29" s="143"/>
      <c r="CP29" s="143"/>
      <c r="CQ29" s="143"/>
      <c r="CR29" s="143"/>
      <c r="CS29" s="143"/>
      <c r="CT29" s="143"/>
      <c r="CU29" s="143"/>
      <c r="CV29" s="143"/>
      <c r="CW29" s="143"/>
      <c r="CX29" s="143"/>
      <c r="CY29" s="143"/>
      <c r="CZ29" s="143"/>
      <c r="DA29" s="143"/>
      <c r="DB29" s="143"/>
    </row>
    <row r="30" spans="1:106">
      <c r="A30" s="148">
        <v>20</v>
      </c>
      <c r="B30" s="143"/>
      <c r="C30" s="144" t="s">
        <v>129</v>
      </c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3"/>
      <c r="BE30" s="143"/>
      <c r="BF30" s="143"/>
      <c r="BG30" s="143"/>
      <c r="BH30" s="143"/>
      <c r="BI30" s="143"/>
      <c r="BJ30" s="143"/>
      <c r="BK30" s="143"/>
      <c r="BL30" s="143"/>
      <c r="BM30" s="143"/>
      <c r="BN30" s="143"/>
      <c r="BO30" s="143"/>
      <c r="BP30" s="143"/>
      <c r="BQ30" s="143"/>
      <c r="BR30" s="143"/>
      <c r="BS30" s="143"/>
      <c r="BT30" s="143"/>
      <c r="BU30" s="143"/>
      <c r="BV30" s="143"/>
      <c r="BW30" s="143"/>
      <c r="BX30" s="143"/>
      <c r="BY30" s="143"/>
      <c r="BZ30" s="143"/>
      <c r="CA30" s="143"/>
      <c r="CB30" s="143"/>
      <c r="CC30" s="143"/>
      <c r="CD30" s="143"/>
      <c r="CE30" s="143"/>
      <c r="CF30" s="143"/>
      <c r="CG30" s="145"/>
      <c r="CH30" s="143"/>
      <c r="CI30" s="143"/>
      <c r="CJ30" s="143"/>
      <c r="CK30" s="143"/>
      <c r="CL30" s="143"/>
      <c r="CM30" s="143"/>
      <c r="CN30" s="170"/>
      <c r="CO30" s="143"/>
      <c r="CP30" s="143"/>
      <c r="CQ30" s="143"/>
      <c r="CR30" s="143"/>
      <c r="CS30" s="143"/>
      <c r="CT30" s="143"/>
      <c r="CU30" s="143"/>
      <c r="CV30" s="143"/>
      <c r="CW30" s="143"/>
      <c r="CX30" s="143"/>
      <c r="CY30" s="143"/>
      <c r="CZ30" s="143"/>
      <c r="DA30" s="143"/>
      <c r="DB30" s="143"/>
    </row>
    <row r="31" spans="1:106">
      <c r="A31" s="148">
        <v>21</v>
      </c>
      <c r="B31" s="14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/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43"/>
      <c r="BE31" s="143"/>
      <c r="BF31" s="143"/>
      <c r="BG31" s="143"/>
      <c r="BH31" s="143"/>
      <c r="BI31" s="143"/>
      <c r="BJ31" s="143"/>
      <c r="BK31" s="143"/>
      <c r="BL31" s="143"/>
      <c r="BM31" s="143"/>
      <c r="BN31" s="143"/>
      <c r="BO31" s="143"/>
      <c r="BP31" s="143"/>
      <c r="BQ31" s="143"/>
      <c r="BR31" s="143"/>
      <c r="BS31" s="143"/>
      <c r="BT31" s="143"/>
      <c r="BU31" s="143"/>
      <c r="BV31" s="143"/>
      <c r="BW31" s="143"/>
      <c r="BX31" s="143"/>
      <c r="BY31" s="143"/>
      <c r="BZ31" s="143"/>
      <c r="CA31" s="143"/>
      <c r="CB31" s="143"/>
      <c r="CC31" s="143"/>
      <c r="CD31" s="143"/>
      <c r="CE31" s="143"/>
      <c r="CF31" s="143"/>
      <c r="CG31" s="145"/>
      <c r="CH31" s="143"/>
      <c r="CI31" s="143"/>
      <c r="CJ31" s="143"/>
      <c r="CK31" s="143"/>
      <c r="CL31" s="143"/>
      <c r="CM31" s="143"/>
      <c r="CN31" s="170"/>
      <c r="CO31" s="143"/>
      <c r="CP31" s="143"/>
      <c r="CQ31" s="143"/>
      <c r="CR31" s="143"/>
      <c r="CS31" s="143"/>
      <c r="CT31" s="143"/>
      <c r="CU31" s="143"/>
      <c r="CV31" s="143"/>
      <c r="CW31" s="143"/>
      <c r="CX31" s="143"/>
      <c r="CY31" s="143"/>
      <c r="CZ31" s="143"/>
      <c r="DA31" s="143"/>
      <c r="DB31" s="143"/>
    </row>
    <row r="32" spans="1:106" ht="13.5" thickBot="1">
      <c r="A32" s="148">
        <v>22</v>
      </c>
      <c r="B32" s="143"/>
      <c r="C32" s="162" t="s">
        <v>130</v>
      </c>
      <c r="D32" s="163"/>
      <c r="E32" s="161">
        <f>ROUND(E28/8,0)</f>
        <v>2989701</v>
      </c>
      <c r="F32" s="163"/>
      <c r="G32" s="161">
        <f>ROUND(G28/8,0)</f>
        <v>2904308</v>
      </c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43"/>
      <c r="BE32" s="143"/>
      <c r="BF32" s="143"/>
      <c r="BG32" s="143"/>
      <c r="BH32" s="143"/>
      <c r="BI32" s="143"/>
      <c r="BJ32" s="143"/>
      <c r="BK32" s="143"/>
      <c r="BL32" s="143"/>
      <c r="BM32" s="143"/>
      <c r="BN32" s="143"/>
      <c r="BO32" s="143"/>
      <c r="BP32" s="143"/>
      <c r="BQ32" s="143"/>
      <c r="BR32" s="143"/>
      <c r="BS32" s="143"/>
      <c r="BT32" s="143"/>
      <c r="BU32" s="143"/>
      <c r="BV32" s="143"/>
      <c r="BW32" s="143"/>
      <c r="BX32" s="143"/>
      <c r="BY32" s="143"/>
      <c r="BZ32" s="143"/>
      <c r="CA32" s="143"/>
      <c r="CB32" s="143"/>
      <c r="CC32" s="143"/>
      <c r="CD32" s="143"/>
      <c r="CE32" s="143"/>
      <c r="CF32" s="143"/>
      <c r="CG32" s="145"/>
      <c r="CH32" s="143"/>
      <c r="CI32" s="143"/>
      <c r="CJ32" s="143"/>
      <c r="CK32" s="143"/>
      <c r="CL32" s="143"/>
      <c r="CM32" s="143"/>
      <c r="CN32" s="170"/>
      <c r="CO32" s="143"/>
      <c r="CP32" s="143"/>
      <c r="CQ32" s="143"/>
      <c r="CR32" s="143"/>
      <c r="CS32" s="143"/>
      <c r="CT32" s="143"/>
      <c r="CU32" s="143"/>
      <c r="CV32" s="143"/>
      <c r="CW32" s="143"/>
      <c r="CX32" s="143"/>
      <c r="CY32" s="143"/>
      <c r="CZ32" s="143"/>
      <c r="DA32" s="143"/>
      <c r="DB32" s="143"/>
    </row>
    <row r="33" spans="1:106" ht="13.5" thickTop="1">
      <c r="A33" s="148"/>
      <c r="B33" s="143"/>
      <c r="C33" s="162"/>
      <c r="D33" s="163"/>
      <c r="E33" s="159"/>
      <c r="F33" s="163"/>
      <c r="G33" s="159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43"/>
      <c r="BE33" s="143"/>
      <c r="BF33" s="143"/>
      <c r="BG33" s="143"/>
      <c r="BH33" s="143"/>
      <c r="BI33" s="143"/>
      <c r="BJ33" s="143"/>
      <c r="BK33" s="143"/>
      <c r="BL33" s="143"/>
      <c r="BM33" s="143"/>
      <c r="BN33" s="143"/>
      <c r="BO33" s="143"/>
      <c r="BP33" s="143"/>
      <c r="BQ33" s="143"/>
      <c r="BR33" s="143"/>
      <c r="BS33" s="143"/>
      <c r="BT33" s="143"/>
      <c r="BU33" s="143"/>
      <c r="BV33" s="143"/>
      <c r="BW33" s="143"/>
      <c r="BX33" s="143"/>
      <c r="BY33" s="143"/>
      <c r="BZ33" s="143"/>
      <c r="CA33" s="143"/>
      <c r="CB33" s="143"/>
      <c r="CC33" s="143"/>
      <c r="CD33" s="143"/>
      <c r="CE33" s="143"/>
      <c r="CF33" s="143"/>
      <c r="CG33" s="145"/>
      <c r="CH33" s="143"/>
      <c r="CI33" s="143"/>
      <c r="CJ33" s="143"/>
      <c r="CK33" s="143"/>
      <c r="CL33" s="143"/>
      <c r="CM33" s="143"/>
      <c r="CN33" s="170"/>
      <c r="CO33" s="143"/>
      <c r="CP33" s="143"/>
      <c r="CQ33" s="143"/>
      <c r="CR33" s="143"/>
      <c r="CS33" s="143"/>
      <c r="CT33" s="143"/>
      <c r="CU33" s="143"/>
      <c r="CV33" s="143"/>
      <c r="CW33" s="143"/>
      <c r="CX33" s="143"/>
      <c r="CY33" s="143"/>
      <c r="CZ33" s="143"/>
      <c r="DA33" s="143"/>
      <c r="DB33" s="143"/>
    </row>
    <row r="34" spans="1:106">
      <c r="A34" s="148"/>
      <c r="B34" s="143"/>
      <c r="C34" s="162"/>
      <c r="D34" s="163"/>
      <c r="E34" s="159"/>
      <c r="F34" s="163"/>
      <c r="G34" s="159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43"/>
      <c r="BE34" s="143"/>
      <c r="BF34" s="143"/>
      <c r="BG34" s="143"/>
      <c r="BH34" s="143"/>
      <c r="BI34" s="143"/>
      <c r="BJ34" s="143"/>
      <c r="BK34" s="143"/>
      <c r="BL34" s="143"/>
      <c r="BM34" s="143"/>
      <c r="BN34" s="143"/>
      <c r="BO34" s="143"/>
      <c r="BP34" s="143"/>
      <c r="BQ34" s="143"/>
      <c r="BR34" s="143"/>
      <c r="BS34" s="143"/>
      <c r="BT34" s="143"/>
      <c r="BU34" s="143"/>
      <c r="BV34" s="143"/>
      <c r="BW34" s="143"/>
      <c r="BX34" s="143"/>
      <c r="BY34" s="143"/>
      <c r="BZ34" s="143"/>
      <c r="CA34" s="143"/>
      <c r="CB34" s="143"/>
      <c r="CC34" s="143"/>
      <c r="CD34" s="143"/>
      <c r="CE34" s="143"/>
      <c r="CF34" s="143"/>
      <c r="CG34" s="145"/>
      <c r="CH34" s="143"/>
      <c r="CI34" s="143"/>
      <c r="CJ34" s="143"/>
      <c r="CK34" s="143"/>
      <c r="CL34" s="143"/>
      <c r="CM34" s="143"/>
      <c r="CN34" s="170"/>
      <c r="CO34" s="143"/>
      <c r="CP34" s="143"/>
      <c r="CQ34" s="143"/>
      <c r="CR34" s="143"/>
      <c r="CS34" s="143"/>
      <c r="CT34" s="143"/>
      <c r="CU34" s="143"/>
      <c r="CV34" s="143"/>
      <c r="CW34" s="143"/>
      <c r="CX34" s="143"/>
      <c r="CY34" s="143"/>
      <c r="CZ34" s="143"/>
      <c r="DA34" s="143"/>
      <c r="DB34" s="143"/>
    </row>
    <row r="35" spans="1:106">
      <c r="A35" s="148"/>
      <c r="B35" s="143"/>
      <c r="C35" s="162"/>
      <c r="D35" s="163"/>
      <c r="E35" s="168" t="s">
        <v>767</v>
      </c>
      <c r="F35" s="163"/>
      <c r="G35" s="168" t="s">
        <v>1225</v>
      </c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3"/>
      <c r="BZ35" s="143"/>
      <c r="CA35" s="143"/>
      <c r="CB35" s="143"/>
      <c r="CC35" s="143"/>
      <c r="CD35" s="143"/>
      <c r="CE35" s="143"/>
      <c r="CF35" s="143"/>
      <c r="CG35" s="145"/>
      <c r="CH35" s="143"/>
      <c r="CI35" s="143"/>
      <c r="CJ35" s="143"/>
      <c r="CK35" s="143"/>
      <c r="CL35" s="143"/>
      <c r="CM35" s="143"/>
      <c r="CN35" s="170"/>
      <c r="CO35" s="143"/>
      <c r="CP35" s="143"/>
      <c r="CQ35" s="143"/>
      <c r="CR35" s="143"/>
      <c r="CS35" s="143"/>
      <c r="CT35" s="143"/>
      <c r="CU35" s="143"/>
      <c r="CV35" s="143"/>
      <c r="CW35" s="143"/>
      <c r="CX35" s="143"/>
      <c r="CY35" s="143"/>
      <c r="CZ35" s="143"/>
      <c r="DA35" s="143"/>
      <c r="DB35" s="143"/>
    </row>
    <row r="36" spans="1:106">
      <c r="A36" s="148"/>
      <c r="B36" s="14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43"/>
      <c r="BE36" s="143"/>
      <c r="BF36" s="143"/>
      <c r="BG36" s="143"/>
      <c r="BH36" s="143"/>
      <c r="BI36" s="143"/>
      <c r="BJ36" s="143"/>
      <c r="BK36" s="143"/>
      <c r="BL36" s="143"/>
      <c r="BM36" s="143"/>
      <c r="BN36" s="143"/>
      <c r="BO36" s="143"/>
      <c r="BP36" s="143"/>
      <c r="BQ36" s="143"/>
      <c r="BR36" s="143"/>
      <c r="BS36" s="143"/>
      <c r="BT36" s="143"/>
      <c r="BU36" s="143"/>
      <c r="BV36" s="143"/>
      <c r="BW36" s="143"/>
      <c r="BX36" s="143"/>
      <c r="BY36" s="143"/>
      <c r="BZ36" s="143"/>
      <c r="CA36" s="143"/>
      <c r="CB36" s="143"/>
      <c r="CC36" s="143"/>
      <c r="CD36" s="143"/>
      <c r="CE36" s="143"/>
      <c r="CF36" s="143"/>
      <c r="CG36" s="145"/>
      <c r="CH36" s="143"/>
      <c r="CI36" s="143"/>
      <c r="CJ36" s="143"/>
      <c r="CK36" s="143"/>
      <c r="CL36" s="143"/>
      <c r="CM36" s="143"/>
      <c r="CN36" s="170"/>
      <c r="CO36" s="143"/>
      <c r="CP36" s="143"/>
      <c r="CQ36" s="143"/>
      <c r="CR36" s="143"/>
      <c r="CS36" s="143"/>
      <c r="CT36" s="143"/>
      <c r="CU36" s="143"/>
      <c r="CV36" s="143"/>
      <c r="CW36" s="143"/>
      <c r="CX36" s="143"/>
      <c r="CY36" s="143"/>
      <c r="CZ36" s="143"/>
      <c r="DA36" s="143"/>
      <c r="DB36" s="143"/>
    </row>
    <row r="37" spans="1:106">
      <c r="A37" s="169"/>
      <c r="B37" s="170"/>
      <c r="C37" s="170"/>
      <c r="D37" s="170"/>
      <c r="E37" s="170"/>
      <c r="F37" s="170"/>
      <c r="G37" s="171"/>
      <c r="H37" s="159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43"/>
      <c r="BE37" s="143"/>
      <c r="BF37" s="143"/>
      <c r="BG37" s="143"/>
      <c r="BH37" s="143"/>
      <c r="BI37" s="143"/>
      <c r="BJ37" s="143"/>
      <c r="BK37" s="143"/>
      <c r="BL37" s="143"/>
      <c r="BM37" s="143"/>
      <c r="BN37" s="143"/>
      <c r="BO37" s="143"/>
      <c r="BP37" s="143"/>
      <c r="BQ37" s="143"/>
      <c r="BR37" s="143"/>
      <c r="BS37" s="143"/>
      <c r="BT37" s="143"/>
      <c r="BU37" s="143"/>
      <c r="BV37" s="143"/>
      <c r="BW37" s="143"/>
      <c r="BX37" s="143"/>
      <c r="BY37" s="143"/>
      <c r="BZ37" s="143"/>
      <c r="CA37" s="143"/>
      <c r="CB37" s="143"/>
      <c r="CC37" s="143"/>
      <c r="CD37" s="143"/>
      <c r="CE37" s="143"/>
      <c r="CF37" s="143"/>
      <c r="CG37" s="145"/>
      <c r="CH37" s="143"/>
      <c r="CI37" s="143"/>
      <c r="CJ37" s="143"/>
      <c r="CK37" s="143"/>
      <c r="CL37" s="143"/>
      <c r="CM37" s="143"/>
      <c r="CN37" s="170"/>
      <c r="CO37" s="143"/>
      <c r="CP37" s="143"/>
      <c r="CQ37" s="143"/>
      <c r="CR37" s="143"/>
      <c r="CS37" s="143"/>
      <c r="CT37" s="143"/>
      <c r="CU37" s="143"/>
      <c r="CV37" s="143"/>
      <c r="CW37" s="143"/>
      <c r="CX37" s="143"/>
      <c r="CY37" s="143"/>
      <c r="CZ37" s="143"/>
      <c r="DA37" s="143"/>
      <c r="DB37" s="143"/>
    </row>
    <row r="38" spans="1:106">
      <c r="A38" s="169"/>
      <c r="B38" s="170"/>
      <c r="C38" s="172"/>
      <c r="D38" s="170"/>
      <c r="E38" s="170"/>
      <c r="F38" s="170"/>
      <c r="G38" s="159"/>
      <c r="H38" s="159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43"/>
      <c r="BE38" s="143"/>
      <c r="BF38" s="143"/>
      <c r="BG38" s="143"/>
      <c r="BH38" s="143"/>
      <c r="BI38" s="143"/>
      <c r="BJ38" s="143"/>
      <c r="BK38" s="143"/>
      <c r="BL38" s="143"/>
      <c r="BM38" s="143"/>
      <c r="BN38" s="143"/>
      <c r="BO38" s="143"/>
      <c r="BP38" s="143"/>
      <c r="BQ38" s="143"/>
      <c r="BR38" s="143"/>
      <c r="BS38" s="143"/>
      <c r="BT38" s="143"/>
      <c r="BU38" s="143"/>
      <c r="BV38" s="143"/>
      <c r="BW38" s="143"/>
      <c r="BX38" s="143"/>
      <c r="BY38" s="143"/>
      <c r="BZ38" s="143"/>
      <c r="CA38" s="143"/>
      <c r="CB38" s="143"/>
      <c r="CC38" s="143"/>
      <c r="CD38" s="143"/>
      <c r="CE38" s="143"/>
      <c r="CF38" s="143"/>
      <c r="CG38" s="145"/>
      <c r="CH38" s="143"/>
      <c r="CI38" s="143"/>
      <c r="CJ38" s="143"/>
      <c r="CK38" s="143"/>
      <c r="CL38" s="143"/>
      <c r="CM38" s="143"/>
      <c r="CN38" s="170"/>
      <c r="CO38" s="143"/>
      <c r="CP38" s="143"/>
      <c r="CQ38" s="143"/>
      <c r="CR38" s="143"/>
      <c r="CS38" s="143"/>
      <c r="CT38" s="143"/>
      <c r="CU38" s="143"/>
      <c r="CV38" s="143"/>
      <c r="CW38" s="143"/>
      <c r="CX38" s="143"/>
      <c r="CY38" s="143"/>
      <c r="CZ38" s="143"/>
      <c r="DA38" s="143"/>
      <c r="DB38" s="143"/>
    </row>
    <row r="39" spans="1:106">
      <c r="A39" s="142"/>
      <c r="B39" s="143"/>
      <c r="C39" s="144"/>
      <c r="D39" s="143"/>
      <c r="E39" s="143"/>
      <c r="F39" s="143"/>
      <c r="G39" s="159"/>
      <c r="H39" s="159"/>
      <c r="I39" s="173" t="str">
        <f>COMPANY</f>
        <v>DUKE ENERGY KENTUCKY, INC.</v>
      </c>
      <c r="J39" s="1571"/>
      <c r="K39" s="1571"/>
      <c r="L39" s="1571"/>
      <c r="M39" s="1571"/>
      <c r="N39" s="1571"/>
      <c r="O39" s="1581" t="s">
        <v>1709</v>
      </c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/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43"/>
      <c r="BE39" s="143"/>
      <c r="BF39" s="143"/>
      <c r="BG39" s="143"/>
      <c r="BH39" s="143"/>
      <c r="BI39" s="143"/>
      <c r="BJ39" s="143"/>
      <c r="BK39" s="143"/>
      <c r="BL39" s="143"/>
      <c r="BM39" s="143"/>
      <c r="BN39" s="143"/>
      <c r="BO39" s="143"/>
      <c r="BP39" s="143"/>
      <c r="BQ39" s="143"/>
      <c r="BR39" s="143"/>
      <c r="BS39" s="143"/>
      <c r="BT39" s="143"/>
      <c r="BU39" s="143"/>
      <c r="BV39" s="143"/>
      <c r="BW39" s="143"/>
      <c r="BX39" s="143"/>
      <c r="BY39" s="143"/>
      <c r="BZ39" s="143"/>
      <c r="CA39" s="143"/>
      <c r="CB39" s="143"/>
      <c r="CC39" s="143"/>
      <c r="CD39" s="143"/>
      <c r="CE39" s="143"/>
      <c r="CF39" s="143"/>
      <c r="CG39" s="145"/>
      <c r="CH39" s="143"/>
      <c r="CI39" s="143"/>
      <c r="CJ39" s="143"/>
      <c r="CK39" s="143"/>
      <c r="CL39" s="143"/>
      <c r="CM39" s="143"/>
      <c r="CN39" s="170"/>
      <c r="CO39" s="143"/>
      <c r="CP39" s="143"/>
      <c r="CQ39" s="143"/>
      <c r="CR39" s="143"/>
      <c r="CS39" s="143"/>
      <c r="CT39" s="143"/>
      <c r="CU39" s="143"/>
      <c r="CV39" s="143"/>
      <c r="CW39" s="143"/>
      <c r="CX39" s="143"/>
      <c r="CY39" s="143"/>
      <c r="CZ39" s="143"/>
      <c r="DA39" s="143"/>
      <c r="DB39" s="143"/>
    </row>
    <row r="40" spans="1:106">
      <c r="A40" s="142"/>
      <c r="B40" s="143"/>
      <c r="C40" s="144"/>
      <c r="D40" s="143"/>
      <c r="E40" s="143"/>
      <c r="F40" s="143"/>
      <c r="G40" s="159"/>
      <c r="H40" s="159"/>
      <c r="I40" s="173" t="str">
        <f>DEPT</f>
        <v>ELECTRIC DEPARTMENT</v>
      </c>
      <c r="J40" s="1571"/>
      <c r="K40" s="1571"/>
      <c r="L40" s="1571"/>
      <c r="M40" s="1571"/>
      <c r="N40" s="1571"/>
      <c r="O40" s="173" t="s">
        <v>622</v>
      </c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43"/>
      <c r="BE40" s="143"/>
      <c r="BF40" s="143"/>
      <c r="BG40" s="143"/>
      <c r="BH40" s="143"/>
      <c r="BI40" s="143"/>
      <c r="BJ40" s="143"/>
      <c r="BK40" s="143"/>
      <c r="BL40" s="143"/>
      <c r="BM40" s="143"/>
      <c r="BN40" s="143"/>
      <c r="BO40" s="143"/>
      <c r="BP40" s="143"/>
      <c r="BQ40" s="143"/>
      <c r="BR40" s="143"/>
      <c r="BS40" s="143"/>
      <c r="BT40" s="143"/>
      <c r="BU40" s="143"/>
      <c r="BV40" s="143"/>
      <c r="BW40" s="143"/>
      <c r="BX40" s="143"/>
      <c r="BY40" s="143"/>
      <c r="BZ40" s="143"/>
      <c r="CA40" s="143"/>
      <c r="CB40" s="143"/>
      <c r="CC40" s="143"/>
      <c r="CD40" s="143"/>
      <c r="CE40" s="143"/>
      <c r="CF40" s="143"/>
      <c r="CG40" s="145"/>
      <c r="CH40" s="143"/>
      <c r="CI40" s="143"/>
      <c r="CJ40" s="143"/>
      <c r="CK40" s="143"/>
      <c r="CL40" s="143"/>
      <c r="CM40" s="143"/>
      <c r="CN40" s="170"/>
      <c r="CO40" s="143"/>
      <c r="CP40" s="143"/>
      <c r="CQ40" s="143"/>
      <c r="CR40" s="143"/>
      <c r="CS40" s="143"/>
      <c r="CT40" s="143"/>
      <c r="CU40" s="143"/>
      <c r="CV40" s="143"/>
      <c r="CW40" s="143"/>
      <c r="CX40" s="143"/>
      <c r="CY40" s="143"/>
      <c r="CZ40" s="143"/>
      <c r="DA40" s="143"/>
      <c r="DB40" s="143"/>
    </row>
    <row r="41" spans="1:106">
      <c r="A41" s="142"/>
      <c r="B41" s="143"/>
      <c r="C41" s="144"/>
      <c r="D41" s="143"/>
      <c r="E41" s="143"/>
      <c r="F41" s="143"/>
      <c r="G41" s="159"/>
      <c r="H41" s="159"/>
      <c r="I41" s="173" t="str">
        <f>CASE</f>
        <v>CASE NO. 2017-00321</v>
      </c>
      <c r="J41" s="1571"/>
      <c r="K41" s="1571"/>
      <c r="L41" s="1571"/>
      <c r="M41" s="1571"/>
      <c r="N41" s="1571"/>
      <c r="O41" s="127" t="s">
        <v>2709</v>
      </c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43"/>
      <c r="BQ41" s="143"/>
      <c r="BR41" s="143"/>
      <c r="BS41" s="143"/>
      <c r="BT41" s="143"/>
      <c r="BU41" s="143"/>
      <c r="BV41" s="143"/>
      <c r="BW41" s="143"/>
      <c r="BX41" s="143"/>
      <c r="BY41" s="143"/>
      <c r="BZ41" s="143"/>
      <c r="CA41" s="143"/>
      <c r="CB41" s="143"/>
      <c r="CC41" s="143"/>
      <c r="CD41" s="143"/>
      <c r="CE41" s="143"/>
      <c r="CF41" s="143"/>
      <c r="CG41" s="145"/>
      <c r="CH41" s="143"/>
      <c r="CI41" s="143"/>
      <c r="CJ41" s="143"/>
      <c r="CK41" s="143"/>
      <c r="CL41" s="143"/>
      <c r="CM41" s="143"/>
      <c r="CN41" s="170"/>
      <c r="CO41" s="143"/>
      <c r="CP41" s="143"/>
      <c r="CQ41" s="143"/>
      <c r="CR41" s="143"/>
      <c r="CS41" s="143"/>
      <c r="CT41" s="143"/>
      <c r="CU41" s="143"/>
      <c r="CV41" s="143"/>
      <c r="CW41" s="143"/>
      <c r="CX41" s="143"/>
      <c r="CY41" s="143"/>
      <c r="CZ41" s="143"/>
      <c r="DA41" s="143"/>
      <c r="DB41" s="143"/>
    </row>
    <row r="42" spans="1:106">
      <c r="A42" s="142"/>
      <c r="B42" s="143"/>
      <c r="C42" s="144"/>
      <c r="D42" s="143"/>
      <c r="E42" s="143"/>
      <c r="F42" s="143"/>
      <c r="G42" s="159"/>
      <c r="H42" s="159"/>
      <c r="I42" s="174" t="s">
        <v>3345</v>
      </c>
      <c r="J42" s="1571"/>
      <c r="K42" s="1571"/>
      <c r="L42" s="1571"/>
      <c r="M42" s="1571"/>
      <c r="N42" s="1571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  <c r="BK42" s="143"/>
      <c r="BL42" s="143"/>
      <c r="BM42" s="143"/>
      <c r="BN42" s="143"/>
      <c r="BO42" s="143"/>
      <c r="BP42" s="143"/>
      <c r="BQ42" s="143"/>
      <c r="BR42" s="143"/>
      <c r="BS42" s="143"/>
      <c r="BT42" s="143"/>
      <c r="BU42" s="143"/>
      <c r="BV42" s="143"/>
      <c r="BW42" s="143"/>
      <c r="BX42" s="143"/>
      <c r="BY42" s="143"/>
      <c r="BZ42" s="143"/>
      <c r="CA42" s="143"/>
      <c r="CB42" s="143"/>
      <c r="CC42" s="143"/>
      <c r="CD42" s="143"/>
      <c r="CE42" s="143"/>
      <c r="CF42" s="143"/>
      <c r="CG42" s="145"/>
      <c r="CH42" s="143"/>
      <c r="CI42" s="143"/>
      <c r="CJ42" s="143"/>
      <c r="CK42" s="143"/>
      <c r="CL42" s="143"/>
      <c r="CM42" s="143"/>
      <c r="CN42" s="170"/>
      <c r="CO42" s="143"/>
      <c r="CP42" s="143"/>
      <c r="CQ42" s="143"/>
      <c r="CR42" s="143"/>
      <c r="CS42" s="143"/>
      <c r="CT42" s="143"/>
      <c r="CU42" s="143"/>
      <c r="CV42" s="143"/>
      <c r="CW42" s="143"/>
      <c r="CX42" s="143"/>
      <c r="CY42" s="143"/>
      <c r="CZ42" s="143"/>
      <c r="DA42" s="143"/>
      <c r="DB42" s="143"/>
    </row>
    <row r="43" spans="1:106">
      <c r="A43" s="142"/>
      <c r="B43" s="143"/>
      <c r="C43" s="144"/>
      <c r="D43" s="143"/>
      <c r="E43" s="143"/>
      <c r="F43" s="143"/>
      <c r="G43" s="159"/>
      <c r="H43" s="159"/>
      <c r="I43" s="174" t="s">
        <v>206</v>
      </c>
      <c r="J43" s="1571"/>
      <c r="K43" s="1571"/>
      <c r="L43" s="1571"/>
      <c r="M43" s="1571"/>
      <c r="N43" s="1571"/>
      <c r="O43" s="1571"/>
      <c r="P43" s="175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143"/>
      <c r="BK43" s="143"/>
      <c r="BL43" s="143"/>
      <c r="BM43" s="143"/>
      <c r="BN43" s="143"/>
      <c r="BO43" s="143"/>
      <c r="BP43" s="143"/>
      <c r="BQ43" s="143"/>
      <c r="BR43" s="143"/>
      <c r="BS43" s="143"/>
      <c r="BT43" s="143"/>
      <c r="BU43" s="143"/>
      <c r="BV43" s="143"/>
      <c r="BW43" s="143"/>
      <c r="BX43" s="143"/>
      <c r="BY43" s="143"/>
      <c r="BZ43" s="143"/>
      <c r="CA43" s="143"/>
      <c r="CB43" s="143"/>
      <c r="CC43" s="143"/>
      <c r="CD43" s="143"/>
      <c r="CE43" s="143"/>
      <c r="CF43" s="143"/>
      <c r="CG43" s="145"/>
      <c r="CH43" s="143"/>
      <c r="CI43" s="143"/>
      <c r="CJ43" s="143"/>
      <c r="CK43" s="143"/>
      <c r="CL43" s="143"/>
      <c r="CM43" s="143"/>
      <c r="CN43" s="170"/>
      <c r="CO43" s="143"/>
      <c r="CP43" s="143"/>
      <c r="CQ43" s="143"/>
      <c r="CR43" s="143"/>
      <c r="CS43" s="143"/>
      <c r="CT43" s="143"/>
      <c r="CU43" s="143"/>
      <c r="CV43" s="143"/>
      <c r="CW43" s="143"/>
      <c r="CX43" s="143"/>
      <c r="CY43" s="143"/>
      <c r="CZ43" s="143"/>
      <c r="DA43" s="143"/>
      <c r="DB43" s="143"/>
    </row>
    <row r="44" spans="1:106">
      <c r="A44" s="142"/>
      <c r="B44" s="143"/>
      <c r="C44" s="144"/>
      <c r="D44" s="143"/>
      <c r="E44" s="143"/>
      <c r="F44" s="143"/>
      <c r="G44" s="159"/>
      <c r="H44" s="159"/>
      <c r="I44" s="1571"/>
      <c r="J44" s="1571"/>
      <c r="K44" s="1571"/>
      <c r="L44" s="1571"/>
      <c r="M44" s="1571"/>
      <c r="N44" s="1571"/>
      <c r="O44" s="1571"/>
      <c r="P44" s="1571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3"/>
      <c r="BN44" s="143"/>
      <c r="BO44" s="143"/>
      <c r="BP44" s="143"/>
      <c r="BQ44" s="143"/>
      <c r="BR44" s="143"/>
      <c r="BS44" s="143"/>
      <c r="BT44" s="143"/>
      <c r="BU44" s="143"/>
      <c r="BV44" s="143"/>
      <c r="BW44" s="143"/>
      <c r="BX44" s="143"/>
      <c r="BY44" s="143"/>
      <c r="BZ44" s="143"/>
      <c r="CA44" s="143"/>
      <c r="CB44" s="143"/>
      <c r="CC44" s="143"/>
      <c r="CD44" s="143"/>
      <c r="CE44" s="143"/>
      <c r="CF44" s="143"/>
      <c r="CG44" s="145"/>
      <c r="CH44" s="143"/>
      <c r="CI44" s="143"/>
      <c r="CJ44" s="143"/>
      <c r="CK44" s="143"/>
      <c r="CL44" s="143"/>
      <c r="CM44" s="143"/>
      <c r="CN44" s="170"/>
      <c r="CO44" s="143"/>
      <c r="CP44" s="143"/>
      <c r="CQ44" s="143"/>
      <c r="CR44" s="143"/>
      <c r="CS44" s="143"/>
      <c r="CT44" s="143"/>
      <c r="CU44" s="143"/>
      <c r="CV44" s="143"/>
      <c r="CW44" s="143"/>
      <c r="CX44" s="143"/>
      <c r="CY44" s="143"/>
      <c r="CZ44" s="143"/>
      <c r="DA44" s="143"/>
      <c r="DB44" s="143"/>
    </row>
    <row r="45" spans="1:106">
      <c r="A45" s="142"/>
      <c r="B45" s="143"/>
      <c r="C45" s="144"/>
      <c r="D45" s="143"/>
      <c r="E45" s="143"/>
      <c r="F45" s="143"/>
      <c r="G45" s="159"/>
      <c r="H45" s="159"/>
      <c r="I45" s="1571"/>
      <c r="J45" s="1571"/>
      <c r="K45" s="1571"/>
      <c r="L45" s="1571"/>
      <c r="M45" s="1571"/>
      <c r="N45" s="1571"/>
      <c r="O45" s="1571"/>
      <c r="P45" s="1571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  <c r="BO45" s="143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43"/>
      <c r="CE45" s="143"/>
      <c r="CF45" s="143"/>
      <c r="CG45" s="145"/>
      <c r="CH45" s="143"/>
      <c r="CI45" s="143"/>
      <c r="CJ45" s="143"/>
      <c r="CK45" s="143"/>
      <c r="CL45" s="143"/>
      <c r="CM45" s="143"/>
      <c r="CN45" s="170"/>
      <c r="CO45" s="143"/>
      <c r="CP45" s="143"/>
      <c r="CQ45" s="143"/>
      <c r="CR45" s="143"/>
      <c r="CS45" s="143"/>
      <c r="CT45" s="143"/>
      <c r="CU45" s="143"/>
      <c r="CV45" s="143"/>
      <c r="CW45" s="143"/>
      <c r="CX45" s="143"/>
      <c r="CY45" s="143"/>
      <c r="CZ45" s="143"/>
      <c r="DA45" s="143"/>
      <c r="DB45" s="143"/>
    </row>
    <row r="46" spans="1:106">
      <c r="A46" s="142"/>
      <c r="B46" s="143"/>
      <c r="C46" s="144"/>
      <c r="D46" s="143"/>
      <c r="E46" s="143"/>
      <c r="F46" s="143"/>
      <c r="G46" s="159"/>
      <c r="H46" s="159"/>
      <c r="I46" s="2741" t="s">
        <v>1961</v>
      </c>
      <c r="J46" s="1571"/>
      <c r="K46" s="1571"/>
      <c r="L46" s="1571"/>
      <c r="M46" s="1285" t="s">
        <v>2375</v>
      </c>
      <c r="N46" s="143"/>
      <c r="O46" s="1285" t="s">
        <v>1015</v>
      </c>
      <c r="P46" s="1571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3"/>
      <c r="BS46" s="143"/>
      <c r="BT46" s="143"/>
      <c r="BU46" s="143"/>
      <c r="BV46" s="143"/>
      <c r="BW46" s="143"/>
      <c r="BX46" s="143"/>
      <c r="BY46" s="143"/>
      <c r="BZ46" s="143"/>
      <c r="CA46" s="143"/>
      <c r="CB46" s="143"/>
      <c r="CC46" s="143"/>
      <c r="CD46" s="143"/>
      <c r="CE46" s="143"/>
      <c r="CF46" s="143"/>
      <c r="CG46" s="145"/>
      <c r="CH46" s="143"/>
      <c r="CI46" s="143"/>
      <c r="CJ46" s="143"/>
      <c r="CK46" s="143"/>
      <c r="CL46" s="143"/>
      <c r="CM46" s="143"/>
      <c r="CN46" s="170"/>
      <c r="CO46" s="143"/>
      <c r="CP46" s="143"/>
      <c r="CQ46" s="143"/>
      <c r="CR46" s="143"/>
      <c r="CS46" s="143"/>
      <c r="CT46" s="143"/>
      <c r="CU46" s="143"/>
      <c r="CV46" s="143"/>
      <c r="CW46" s="143"/>
      <c r="CX46" s="143"/>
      <c r="CY46" s="143"/>
      <c r="CZ46" s="143"/>
      <c r="DA46" s="143"/>
      <c r="DB46" s="143"/>
    </row>
    <row r="47" spans="1:106">
      <c r="A47" s="142"/>
      <c r="B47" s="143"/>
      <c r="C47" s="144"/>
      <c r="D47" s="143"/>
      <c r="E47" s="143"/>
      <c r="F47" s="143"/>
      <c r="G47" s="159"/>
      <c r="H47" s="159"/>
      <c r="I47" s="176" t="s">
        <v>90</v>
      </c>
      <c r="J47" s="1571"/>
      <c r="K47" s="176" t="s">
        <v>1016</v>
      </c>
      <c r="L47" s="1571"/>
      <c r="M47" s="177" t="str">
        <f>"AMOUNT (A)"</f>
        <v>AMOUNT (A)</v>
      </c>
      <c r="N47" s="178" t="s">
        <v>1017</v>
      </c>
      <c r="O47" s="179" t="s">
        <v>364</v>
      </c>
      <c r="P47" s="1571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/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43"/>
      <c r="BE47" s="143"/>
      <c r="BF47" s="143"/>
      <c r="BG47" s="143"/>
      <c r="BH47" s="143"/>
      <c r="BI47" s="143"/>
      <c r="BJ47" s="143"/>
      <c r="BK47" s="143"/>
      <c r="BL47" s="143"/>
      <c r="BM47" s="143"/>
      <c r="BN47" s="143"/>
      <c r="BO47" s="143"/>
      <c r="BP47" s="143"/>
      <c r="BQ47" s="143"/>
      <c r="BR47" s="143"/>
      <c r="BS47" s="143"/>
      <c r="BT47" s="143"/>
      <c r="BU47" s="143"/>
      <c r="BV47" s="143"/>
      <c r="BW47" s="143"/>
      <c r="BX47" s="143"/>
      <c r="BY47" s="143"/>
      <c r="BZ47" s="143"/>
      <c r="CA47" s="143"/>
      <c r="CB47" s="143"/>
      <c r="CC47" s="143"/>
      <c r="CD47" s="143"/>
      <c r="CE47" s="143"/>
      <c r="CF47" s="143"/>
      <c r="CG47" s="145"/>
      <c r="CH47" s="143"/>
      <c r="CI47" s="143"/>
      <c r="CJ47" s="143"/>
      <c r="CK47" s="143"/>
      <c r="CL47" s="143"/>
      <c r="CM47" s="143"/>
      <c r="CN47" s="170"/>
      <c r="CO47" s="143"/>
      <c r="CP47" s="143"/>
      <c r="CQ47" s="143"/>
      <c r="CR47" s="143"/>
      <c r="CS47" s="143"/>
      <c r="CT47" s="143"/>
      <c r="CU47" s="143"/>
      <c r="CV47" s="143"/>
      <c r="CW47" s="143"/>
      <c r="CX47" s="143"/>
      <c r="CY47" s="143"/>
      <c r="CZ47" s="143"/>
      <c r="DA47" s="143"/>
      <c r="DB47" s="143"/>
    </row>
    <row r="48" spans="1:106">
      <c r="A48" s="142"/>
      <c r="B48" s="143"/>
      <c r="C48" s="144"/>
      <c r="D48" s="143"/>
      <c r="E48" s="143"/>
      <c r="F48" s="143"/>
      <c r="G48" s="159"/>
      <c r="H48" s="159"/>
      <c r="I48" s="180"/>
      <c r="J48" s="1571"/>
      <c r="K48" s="180"/>
      <c r="L48" s="1571"/>
      <c r="M48" s="2741" t="s">
        <v>1705</v>
      </c>
      <c r="N48" s="181" t="s">
        <v>363</v>
      </c>
      <c r="O48" s="143"/>
      <c r="P48" s="182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43"/>
      <c r="CE48" s="143"/>
      <c r="CF48" s="143"/>
      <c r="CG48" s="145"/>
      <c r="CH48" s="143"/>
      <c r="CI48" s="143"/>
      <c r="CJ48" s="143"/>
      <c r="CK48" s="143"/>
      <c r="CL48" s="143"/>
      <c r="CM48" s="143"/>
      <c r="CN48" s="170"/>
      <c r="CO48" s="143"/>
      <c r="CP48" s="143"/>
      <c r="CQ48" s="143"/>
      <c r="CR48" s="143"/>
      <c r="CS48" s="143"/>
      <c r="CT48" s="143"/>
      <c r="CU48" s="143"/>
      <c r="CV48" s="143"/>
      <c r="CW48" s="143"/>
      <c r="CX48" s="143"/>
      <c r="CY48" s="143"/>
      <c r="CZ48" s="143"/>
      <c r="DA48" s="143"/>
      <c r="DB48" s="143"/>
    </row>
    <row r="49" spans="1:106">
      <c r="A49" s="142"/>
      <c r="B49" s="143"/>
      <c r="C49" s="144"/>
      <c r="D49" s="143"/>
      <c r="E49" s="143"/>
      <c r="F49" s="143"/>
      <c r="G49" s="159"/>
      <c r="H49" s="159"/>
      <c r="I49" s="163">
        <v>1</v>
      </c>
      <c r="J49" s="1571"/>
      <c r="K49" s="183" t="s">
        <v>1018</v>
      </c>
      <c r="L49" s="1571"/>
      <c r="M49" s="1571"/>
      <c r="N49" s="182"/>
      <c r="O49" s="143"/>
      <c r="P49" s="182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3"/>
      <c r="BK49" s="143"/>
      <c r="BL49" s="143"/>
      <c r="BM49" s="143"/>
      <c r="BN49" s="143"/>
      <c r="BO49" s="143"/>
      <c r="BP49" s="143"/>
      <c r="BQ49" s="143"/>
      <c r="BR49" s="143"/>
      <c r="BS49" s="143"/>
      <c r="BT49" s="143"/>
      <c r="BU49" s="143"/>
      <c r="BV49" s="143"/>
      <c r="BW49" s="143"/>
      <c r="BX49" s="143"/>
      <c r="BY49" s="143"/>
      <c r="BZ49" s="143"/>
      <c r="CA49" s="143"/>
      <c r="CB49" s="143"/>
      <c r="CC49" s="143"/>
      <c r="CD49" s="143"/>
      <c r="CE49" s="143"/>
      <c r="CF49" s="143"/>
      <c r="CG49" s="145"/>
      <c r="CH49" s="143"/>
      <c r="CI49" s="143"/>
      <c r="CJ49" s="143"/>
      <c r="CK49" s="143"/>
      <c r="CL49" s="143"/>
      <c r="CM49" s="143"/>
      <c r="CN49" s="170"/>
      <c r="CO49" s="143"/>
      <c r="CP49" s="143"/>
      <c r="CQ49" s="143"/>
      <c r="CR49" s="143"/>
      <c r="CS49" s="143"/>
      <c r="CT49" s="143"/>
      <c r="CU49" s="143"/>
      <c r="CV49" s="143"/>
      <c r="CW49" s="143"/>
      <c r="CX49" s="143"/>
      <c r="CY49" s="143"/>
      <c r="CZ49" s="143"/>
      <c r="DA49" s="143"/>
      <c r="DB49" s="143"/>
    </row>
    <row r="50" spans="1:106">
      <c r="A50" s="142"/>
      <c r="B50" s="143"/>
      <c r="C50" s="144"/>
      <c r="D50" s="143"/>
      <c r="E50" s="143"/>
      <c r="F50" s="143"/>
      <c r="G50" s="159"/>
      <c r="H50" s="159"/>
      <c r="I50" s="163">
        <f>1+I49</f>
        <v>2</v>
      </c>
      <c r="J50" s="1571"/>
      <c r="K50" s="1298" t="s">
        <v>2612</v>
      </c>
      <c r="L50" s="1571"/>
      <c r="M50" s="182">
        <v>3714387</v>
      </c>
      <c r="N50" s="184">
        <v>0.35</v>
      </c>
      <c r="O50" s="185">
        <f t="shared" ref="O50:O58" si="0">ROUND(M50*N50,0)</f>
        <v>1300035</v>
      </c>
      <c r="P50" s="182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3"/>
      <c r="BK50" s="143"/>
      <c r="BL50" s="143"/>
      <c r="BM50" s="143"/>
      <c r="BN50" s="143"/>
      <c r="BO50" s="143"/>
      <c r="BP50" s="143"/>
      <c r="BQ50" s="143"/>
      <c r="BR50" s="143"/>
      <c r="BS50" s="143"/>
      <c r="BT50" s="143"/>
      <c r="BU50" s="143"/>
      <c r="BV50" s="143"/>
      <c r="BW50" s="143"/>
      <c r="BX50" s="143"/>
      <c r="BY50" s="143"/>
      <c r="BZ50" s="143"/>
      <c r="CA50" s="143"/>
      <c r="CB50" s="143"/>
      <c r="CC50" s="143"/>
      <c r="CD50" s="143"/>
      <c r="CE50" s="143"/>
      <c r="CF50" s="143"/>
      <c r="CG50" s="145"/>
      <c r="CH50" s="143"/>
      <c r="CI50" s="143"/>
      <c r="CJ50" s="143"/>
      <c r="CK50" s="143"/>
      <c r="CL50" s="143"/>
      <c r="CM50" s="143"/>
      <c r="CN50" s="170"/>
      <c r="CO50" s="143"/>
      <c r="CP50" s="143"/>
      <c r="CQ50" s="143"/>
      <c r="CR50" s="143"/>
      <c r="CS50" s="143"/>
      <c r="CT50" s="143"/>
      <c r="CU50" s="143"/>
      <c r="CV50" s="143"/>
      <c r="CW50" s="143"/>
      <c r="CX50" s="143"/>
      <c r="CY50" s="143"/>
      <c r="CZ50" s="143"/>
      <c r="DA50" s="143"/>
      <c r="DB50" s="143"/>
    </row>
    <row r="51" spans="1:106">
      <c r="A51" s="142"/>
      <c r="B51" s="143"/>
      <c r="C51" s="144"/>
      <c r="D51" s="143"/>
      <c r="E51" s="143"/>
      <c r="F51" s="143"/>
      <c r="G51" s="159"/>
      <c r="H51" s="159"/>
      <c r="I51" s="163">
        <v>3</v>
      </c>
      <c r="J51" s="1571"/>
      <c r="K51" s="1299" t="s">
        <v>2347</v>
      </c>
      <c r="L51" s="1571"/>
      <c r="M51" s="182">
        <v>3279519</v>
      </c>
      <c r="N51" s="186">
        <f t="shared" ref="N51:N61" si="1">$N$50</f>
        <v>0.35</v>
      </c>
      <c r="O51" s="185">
        <f t="shared" si="0"/>
        <v>1147832</v>
      </c>
      <c r="P51" s="182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  <c r="AR51" s="143"/>
      <c r="AS51" s="143"/>
      <c r="AT51" s="143"/>
      <c r="AU51" s="143"/>
      <c r="AV51" s="143"/>
      <c r="AW51" s="143"/>
      <c r="AX51" s="143"/>
      <c r="AY51" s="143"/>
      <c r="AZ51" s="143"/>
      <c r="BA51" s="143"/>
      <c r="BB51" s="143"/>
      <c r="BC51" s="143"/>
      <c r="BD51" s="143"/>
      <c r="BE51" s="143"/>
      <c r="BF51" s="143"/>
      <c r="BG51" s="143"/>
      <c r="BH51" s="143"/>
      <c r="BI51" s="143"/>
      <c r="BJ51" s="143"/>
      <c r="BK51" s="143"/>
      <c r="BL51" s="143"/>
      <c r="BM51" s="143"/>
      <c r="BN51" s="143"/>
      <c r="BO51" s="143"/>
      <c r="BP51" s="143"/>
      <c r="BQ51" s="143"/>
      <c r="BR51" s="143"/>
      <c r="BS51" s="143"/>
      <c r="BT51" s="143"/>
      <c r="BU51" s="143"/>
      <c r="BV51" s="143"/>
      <c r="BW51" s="143"/>
      <c r="BX51" s="143"/>
      <c r="BY51" s="143"/>
      <c r="BZ51" s="143"/>
      <c r="CA51" s="143"/>
      <c r="CB51" s="143"/>
      <c r="CC51" s="143"/>
      <c r="CD51" s="143"/>
      <c r="CE51" s="143"/>
      <c r="CF51" s="143"/>
      <c r="CG51" s="145"/>
      <c r="CH51" s="143"/>
      <c r="CI51" s="143"/>
      <c r="CJ51" s="143"/>
      <c r="CK51" s="143"/>
      <c r="CL51" s="143"/>
      <c r="CM51" s="143"/>
      <c r="CN51" s="170"/>
      <c r="CO51" s="143"/>
      <c r="CP51" s="143"/>
      <c r="CQ51" s="143"/>
      <c r="CR51" s="143"/>
      <c r="CS51" s="143"/>
      <c r="CT51" s="143"/>
      <c r="CU51" s="143"/>
      <c r="CV51" s="143"/>
      <c r="CW51" s="143"/>
      <c r="CX51" s="143"/>
      <c r="CY51" s="143"/>
      <c r="CZ51" s="143"/>
      <c r="DA51" s="143"/>
      <c r="DB51" s="143"/>
    </row>
    <row r="52" spans="1:106">
      <c r="A52" s="142"/>
      <c r="B52" s="143"/>
      <c r="C52" s="144"/>
      <c r="D52" s="143"/>
      <c r="E52" s="143"/>
      <c r="F52" s="143"/>
      <c r="G52" s="159"/>
      <c r="H52" s="159"/>
      <c r="I52" s="163">
        <f t="shared" ref="I52:I79" si="2">1+I51</f>
        <v>4</v>
      </c>
      <c r="J52" s="1571"/>
      <c r="K52" s="187" t="s">
        <v>1043</v>
      </c>
      <c r="L52" s="1571"/>
      <c r="M52" s="182">
        <v>3279519</v>
      </c>
      <c r="N52" s="186">
        <f t="shared" si="1"/>
        <v>0.35</v>
      </c>
      <c r="O52" s="185">
        <f t="shared" si="0"/>
        <v>1147832</v>
      </c>
      <c r="P52" s="182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/>
      <c r="AX52" s="143"/>
      <c r="AY52" s="143"/>
      <c r="AZ52" s="143"/>
      <c r="BA52" s="143"/>
      <c r="BB52" s="143"/>
      <c r="BC52" s="143"/>
      <c r="BD52" s="143"/>
      <c r="BE52" s="143"/>
      <c r="BF52" s="143"/>
      <c r="BG52" s="143"/>
      <c r="BH52" s="143"/>
      <c r="BI52" s="143"/>
      <c r="BJ52" s="143"/>
      <c r="BK52" s="143"/>
      <c r="BL52" s="143"/>
      <c r="BM52" s="143"/>
      <c r="BN52" s="143"/>
      <c r="BO52" s="143"/>
      <c r="BP52" s="143"/>
      <c r="BQ52" s="143"/>
      <c r="BR52" s="143"/>
      <c r="BS52" s="143"/>
      <c r="BT52" s="143"/>
      <c r="BU52" s="143"/>
      <c r="BV52" s="143"/>
      <c r="BW52" s="143"/>
      <c r="BX52" s="143"/>
      <c r="BY52" s="143"/>
      <c r="BZ52" s="143"/>
      <c r="CA52" s="143"/>
      <c r="CB52" s="143"/>
      <c r="CC52" s="143"/>
      <c r="CD52" s="143"/>
      <c r="CE52" s="143"/>
      <c r="CF52" s="143"/>
      <c r="CG52" s="145"/>
      <c r="CH52" s="143"/>
      <c r="CI52" s="143"/>
      <c r="CJ52" s="143"/>
      <c r="CK52" s="143"/>
      <c r="CL52" s="143"/>
      <c r="CM52" s="143"/>
      <c r="CN52" s="170"/>
      <c r="CO52" s="143"/>
      <c r="CP52" s="143"/>
      <c r="CQ52" s="143"/>
      <c r="CR52" s="143"/>
      <c r="CS52" s="143"/>
      <c r="CT52" s="143"/>
      <c r="CU52" s="143"/>
      <c r="CV52" s="143"/>
      <c r="CW52" s="143"/>
      <c r="CX52" s="143"/>
      <c r="CY52" s="143"/>
      <c r="CZ52" s="143"/>
      <c r="DA52" s="143"/>
      <c r="DB52" s="143"/>
    </row>
    <row r="53" spans="1:106">
      <c r="A53" s="142"/>
      <c r="B53" s="143"/>
      <c r="C53" s="144"/>
      <c r="D53" s="143"/>
      <c r="E53" s="143"/>
      <c r="F53" s="143"/>
      <c r="G53" s="159"/>
      <c r="H53" s="159"/>
      <c r="I53" s="163">
        <f t="shared" si="2"/>
        <v>5</v>
      </c>
      <c r="J53" s="1571"/>
      <c r="K53" s="1300" t="s">
        <v>1044</v>
      </c>
      <c r="L53" s="1571"/>
      <c r="M53" s="182">
        <v>3279519</v>
      </c>
      <c r="N53" s="186">
        <f t="shared" si="1"/>
        <v>0.35</v>
      </c>
      <c r="O53" s="185">
        <f t="shared" si="0"/>
        <v>1147832</v>
      </c>
      <c r="P53" s="182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3"/>
      <c r="BK53" s="143"/>
      <c r="BL53" s="143"/>
      <c r="BM53" s="143"/>
      <c r="BN53" s="143"/>
      <c r="BO53" s="143"/>
      <c r="BP53" s="143"/>
      <c r="BQ53" s="143"/>
      <c r="BR53" s="143"/>
      <c r="BS53" s="143"/>
      <c r="BT53" s="143"/>
      <c r="BU53" s="143"/>
      <c r="BV53" s="143"/>
      <c r="BW53" s="143"/>
      <c r="BX53" s="143"/>
      <c r="BY53" s="143"/>
      <c r="BZ53" s="143"/>
      <c r="CA53" s="143"/>
      <c r="CB53" s="143"/>
      <c r="CC53" s="143"/>
      <c r="CD53" s="143"/>
      <c r="CE53" s="143"/>
      <c r="CF53" s="143"/>
      <c r="CG53" s="145"/>
      <c r="CH53" s="143"/>
      <c r="CI53" s="143"/>
      <c r="CJ53" s="143"/>
      <c r="CK53" s="143"/>
      <c r="CL53" s="143"/>
      <c r="CM53" s="143"/>
      <c r="CN53" s="170"/>
      <c r="CO53" s="143"/>
      <c r="CP53" s="143"/>
      <c r="CQ53" s="143"/>
      <c r="CR53" s="143"/>
      <c r="CS53" s="143"/>
      <c r="CT53" s="143"/>
      <c r="CU53" s="143"/>
      <c r="CV53" s="143"/>
      <c r="CW53" s="143"/>
      <c r="CX53" s="143"/>
      <c r="CY53" s="143"/>
      <c r="CZ53" s="143"/>
      <c r="DA53" s="143"/>
      <c r="DB53" s="143"/>
    </row>
    <row r="54" spans="1:106">
      <c r="A54" s="142"/>
      <c r="B54" s="143"/>
      <c r="C54" s="144"/>
      <c r="D54" s="143"/>
      <c r="E54" s="143"/>
      <c r="F54" s="143"/>
      <c r="G54" s="159"/>
      <c r="H54" s="159"/>
      <c r="I54" s="163">
        <f t="shared" si="2"/>
        <v>6</v>
      </c>
      <c r="J54" s="1571"/>
      <c r="K54" s="1299" t="s">
        <v>1045</v>
      </c>
      <c r="L54" s="1571"/>
      <c r="M54" s="182">
        <v>3279519</v>
      </c>
      <c r="N54" s="186">
        <f t="shared" si="1"/>
        <v>0.35</v>
      </c>
      <c r="O54" s="185">
        <f t="shared" si="0"/>
        <v>1147832</v>
      </c>
      <c r="P54" s="182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/>
      <c r="AZ54" s="143"/>
      <c r="BA54" s="143"/>
      <c r="BB54" s="143"/>
      <c r="BC54" s="143"/>
      <c r="BD54" s="143"/>
      <c r="BE54" s="143"/>
      <c r="BF54" s="143"/>
      <c r="BG54" s="143"/>
      <c r="BH54" s="143"/>
      <c r="BI54" s="143"/>
      <c r="BJ54" s="143"/>
      <c r="BK54" s="143"/>
      <c r="BL54" s="143"/>
      <c r="BM54" s="143"/>
      <c r="BN54" s="143"/>
      <c r="BO54" s="143"/>
      <c r="BP54" s="143"/>
      <c r="BQ54" s="143"/>
      <c r="BR54" s="143"/>
      <c r="BS54" s="143"/>
      <c r="BT54" s="143"/>
      <c r="BU54" s="143"/>
      <c r="BV54" s="143"/>
      <c r="BW54" s="143"/>
      <c r="BX54" s="143"/>
      <c r="BY54" s="143"/>
      <c r="BZ54" s="143"/>
      <c r="CA54" s="143"/>
      <c r="CB54" s="143"/>
      <c r="CC54" s="143"/>
      <c r="CD54" s="143"/>
      <c r="CE54" s="143"/>
      <c r="CF54" s="143"/>
      <c r="CG54" s="145"/>
      <c r="CH54" s="143"/>
      <c r="CI54" s="143"/>
      <c r="CJ54" s="143"/>
      <c r="CK54" s="143"/>
      <c r="CL54" s="143"/>
      <c r="CM54" s="143"/>
      <c r="CN54" s="170"/>
      <c r="CO54" s="143"/>
      <c r="CP54" s="143"/>
      <c r="CQ54" s="143"/>
      <c r="CR54" s="143"/>
      <c r="CS54" s="143"/>
      <c r="CT54" s="143"/>
      <c r="CU54" s="143"/>
      <c r="CV54" s="143"/>
      <c r="CW54" s="143"/>
      <c r="CX54" s="143"/>
      <c r="CY54" s="143"/>
      <c r="CZ54" s="143"/>
      <c r="DA54" s="143"/>
      <c r="DB54" s="143"/>
    </row>
    <row r="55" spans="1:106">
      <c r="A55" s="142"/>
      <c r="B55" s="143"/>
      <c r="C55" s="144"/>
      <c r="D55" s="143"/>
      <c r="E55" s="143"/>
      <c r="F55" s="143"/>
      <c r="G55" s="159"/>
      <c r="H55" s="159"/>
      <c r="I55" s="163">
        <f t="shared" si="2"/>
        <v>7</v>
      </c>
      <c r="J55" s="1571"/>
      <c r="K55" s="187" t="s">
        <v>1046</v>
      </c>
      <c r="L55" s="1571"/>
      <c r="M55" s="182">
        <v>3279519</v>
      </c>
      <c r="N55" s="186">
        <f t="shared" si="1"/>
        <v>0.35</v>
      </c>
      <c r="O55" s="185">
        <f t="shared" si="0"/>
        <v>1147832</v>
      </c>
      <c r="P55" s="182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3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3"/>
      <c r="BO55" s="143"/>
      <c r="BP55" s="143"/>
      <c r="BQ55" s="143"/>
      <c r="BR55" s="143"/>
      <c r="BS55" s="143"/>
      <c r="BT55" s="143"/>
      <c r="BU55" s="143"/>
      <c r="BV55" s="143"/>
      <c r="BW55" s="143"/>
      <c r="BX55" s="143"/>
      <c r="BY55" s="143"/>
      <c r="BZ55" s="143"/>
      <c r="CA55" s="143"/>
      <c r="CB55" s="143"/>
      <c r="CC55" s="143"/>
      <c r="CD55" s="143"/>
      <c r="CE55" s="143"/>
      <c r="CF55" s="143"/>
      <c r="CG55" s="145"/>
      <c r="CH55" s="143"/>
      <c r="CI55" s="143"/>
      <c r="CJ55" s="143"/>
      <c r="CK55" s="143"/>
      <c r="CL55" s="143"/>
      <c r="CM55" s="143"/>
      <c r="CN55" s="170"/>
      <c r="CO55" s="143"/>
      <c r="CP55" s="143"/>
      <c r="CQ55" s="143"/>
      <c r="CR55" s="143"/>
      <c r="CS55" s="143"/>
      <c r="CT55" s="143"/>
      <c r="CU55" s="143"/>
      <c r="CV55" s="143"/>
      <c r="CW55" s="143"/>
      <c r="CX55" s="143"/>
      <c r="CY55" s="143"/>
      <c r="CZ55" s="143"/>
      <c r="DA55" s="143"/>
      <c r="DB55" s="143"/>
    </row>
    <row r="56" spans="1:106">
      <c r="A56" s="142"/>
      <c r="B56" s="143"/>
      <c r="C56" s="144"/>
      <c r="D56" s="143"/>
      <c r="E56" s="143"/>
      <c r="F56" s="143"/>
      <c r="G56" s="159"/>
      <c r="H56" s="159"/>
      <c r="I56" s="163">
        <f t="shared" si="2"/>
        <v>8</v>
      </c>
      <c r="J56" s="1571"/>
      <c r="K56" s="1300" t="s">
        <v>1047</v>
      </c>
      <c r="L56" s="1571"/>
      <c r="M56" s="182">
        <v>3714387</v>
      </c>
      <c r="N56" s="186">
        <f t="shared" si="1"/>
        <v>0.35</v>
      </c>
      <c r="O56" s="185">
        <f t="shared" si="0"/>
        <v>1300035</v>
      </c>
      <c r="P56" s="182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/>
      <c r="BB56" s="143"/>
      <c r="BC56" s="143"/>
      <c r="BD56" s="143"/>
      <c r="BE56" s="143"/>
      <c r="BF56" s="143"/>
      <c r="BG56" s="143"/>
      <c r="BH56" s="143"/>
      <c r="BI56" s="143"/>
      <c r="BJ56" s="143"/>
      <c r="BK56" s="143"/>
      <c r="BL56" s="143"/>
      <c r="BM56" s="143"/>
      <c r="BN56" s="143"/>
      <c r="BO56" s="143"/>
      <c r="BP56" s="143"/>
      <c r="BQ56" s="143"/>
      <c r="BR56" s="143"/>
      <c r="BS56" s="143"/>
      <c r="BT56" s="143"/>
      <c r="BU56" s="143"/>
      <c r="BV56" s="143"/>
      <c r="BW56" s="143"/>
      <c r="BX56" s="143"/>
      <c r="BY56" s="143"/>
      <c r="BZ56" s="143"/>
      <c r="CA56" s="143"/>
      <c r="CB56" s="143"/>
      <c r="CC56" s="143"/>
      <c r="CD56" s="143"/>
      <c r="CE56" s="143"/>
      <c r="CF56" s="143"/>
      <c r="CG56" s="145"/>
      <c r="CH56" s="143"/>
      <c r="CI56" s="143"/>
      <c r="CJ56" s="143"/>
      <c r="CK56" s="143"/>
      <c r="CL56" s="143"/>
      <c r="CM56" s="143"/>
      <c r="CN56" s="170"/>
      <c r="CO56" s="143"/>
      <c r="CP56" s="143"/>
      <c r="CQ56" s="143"/>
      <c r="CR56" s="143"/>
      <c r="CS56" s="143"/>
      <c r="CT56" s="143"/>
      <c r="CU56" s="143"/>
      <c r="CV56" s="143"/>
      <c r="CW56" s="143"/>
      <c r="CX56" s="143"/>
      <c r="CY56" s="143"/>
      <c r="CZ56" s="143"/>
      <c r="DA56" s="143"/>
      <c r="DB56" s="143"/>
    </row>
    <row r="57" spans="1:106">
      <c r="A57" s="142"/>
      <c r="B57" s="143"/>
      <c r="C57" s="144"/>
      <c r="D57" s="143"/>
      <c r="E57" s="143"/>
      <c r="F57" s="143"/>
      <c r="G57" s="159"/>
      <c r="H57" s="159"/>
      <c r="I57" s="163">
        <f t="shared" si="2"/>
        <v>9</v>
      </c>
      <c r="J57" s="1571"/>
      <c r="K57" s="1299" t="s">
        <v>1048</v>
      </c>
      <c r="L57" s="1571"/>
      <c r="M57" s="182">
        <v>3714387</v>
      </c>
      <c r="N57" s="186">
        <f t="shared" si="1"/>
        <v>0.35</v>
      </c>
      <c r="O57" s="185">
        <f t="shared" si="0"/>
        <v>1300035</v>
      </c>
      <c r="P57" s="182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/>
      <c r="BC57" s="143"/>
      <c r="BD57" s="143"/>
      <c r="BE57" s="143"/>
      <c r="BF57" s="143"/>
      <c r="BG57" s="143"/>
      <c r="BH57" s="143"/>
      <c r="BI57" s="143"/>
      <c r="BJ57" s="143"/>
      <c r="BK57" s="143"/>
      <c r="BL57" s="143"/>
      <c r="BM57" s="143"/>
      <c r="BN57" s="143"/>
      <c r="BO57" s="143"/>
      <c r="BP57" s="143"/>
      <c r="BQ57" s="143"/>
      <c r="BR57" s="143"/>
      <c r="BS57" s="143"/>
      <c r="BT57" s="143"/>
      <c r="BU57" s="143"/>
      <c r="BV57" s="143"/>
      <c r="BW57" s="143"/>
      <c r="BX57" s="143"/>
      <c r="BY57" s="143"/>
      <c r="BZ57" s="143"/>
      <c r="CA57" s="143"/>
      <c r="CB57" s="143"/>
      <c r="CC57" s="143"/>
      <c r="CD57" s="143"/>
      <c r="CE57" s="143"/>
      <c r="CF57" s="143"/>
      <c r="CG57" s="145"/>
      <c r="CH57" s="143"/>
      <c r="CI57" s="143"/>
      <c r="CJ57" s="143"/>
      <c r="CK57" s="143"/>
      <c r="CL57" s="143"/>
      <c r="CM57" s="143"/>
      <c r="CN57" s="170"/>
      <c r="CO57" s="143"/>
      <c r="CP57" s="143"/>
      <c r="CQ57" s="143"/>
      <c r="CR57" s="143"/>
      <c r="CS57" s="143"/>
      <c r="CT57" s="143"/>
      <c r="CU57" s="143"/>
      <c r="CV57" s="143"/>
      <c r="CW57" s="143"/>
      <c r="CX57" s="143"/>
      <c r="CY57" s="143"/>
      <c r="CZ57" s="143"/>
      <c r="DA57" s="143"/>
      <c r="DB57" s="143"/>
    </row>
    <row r="58" spans="1:106">
      <c r="A58" s="142"/>
      <c r="B58" s="143"/>
      <c r="C58" s="144"/>
      <c r="D58" s="143"/>
      <c r="E58" s="143"/>
      <c r="F58" s="143"/>
      <c r="G58" s="159"/>
      <c r="H58" s="159"/>
      <c r="I58" s="163">
        <f t="shared" si="2"/>
        <v>10</v>
      </c>
      <c r="J58" s="1571"/>
      <c r="K58" s="187" t="s">
        <v>1049</v>
      </c>
      <c r="L58" s="1571"/>
      <c r="M58" s="182">
        <v>3714387</v>
      </c>
      <c r="N58" s="186">
        <f t="shared" si="1"/>
        <v>0.35</v>
      </c>
      <c r="O58" s="185">
        <f t="shared" si="0"/>
        <v>1300035</v>
      </c>
      <c r="P58" s="182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3"/>
      <c r="BM58" s="143"/>
      <c r="BN58" s="143"/>
      <c r="BO58" s="143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5"/>
      <c r="CH58" s="143"/>
      <c r="CI58" s="143"/>
      <c r="CJ58" s="143"/>
      <c r="CK58" s="143"/>
      <c r="CL58" s="143"/>
      <c r="CM58" s="143"/>
      <c r="CN58" s="170"/>
      <c r="CO58" s="143"/>
      <c r="CP58" s="143"/>
      <c r="CQ58" s="143"/>
      <c r="CR58" s="143"/>
      <c r="CS58" s="143"/>
      <c r="CT58" s="143"/>
      <c r="CU58" s="143"/>
      <c r="CV58" s="143"/>
      <c r="CW58" s="143"/>
      <c r="CX58" s="143"/>
      <c r="CY58" s="143"/>
      <c r="CZ58" s="143"/>
      <c r="DA58" s="143"/>
      <c r="DB58" s="143"/>
    </row>
    <row r="59" spans="1:106">
      <c r="A59" s="142"/>
      <c r="B59" s="143"/>
      <c r="C59" s="144"/>
      <c r="D59" s="143"/>
      <c r="E59" s="143"/>
      <c r="F59" s="143"/>
      <c r="G59" s="159"/>
      <c r="H59" s="159"/>
      <c r="I59" s="163">
        <f t="shared" si="2"/>
        <v>11</v>
      </c>
      <c r="J59" s="1571"/>
      <c r="K59" s="1300" t="s">
        <v>1050</v>
      </c>
      <c r="L59" s="1571"/>
      <c r="M59" s="182">
        <v>3714387</v>
      </c>
      <c r="N59" s="186">
        <f t="shared" si="1"/>
        <v>0.35</v>
      </c>
      <c r="O59" s="185">
        <f>ROUND(M59*N59,0)</f>
        <v>1300035</v>
      </c>
      <c r="P59" s="182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3"/>
      <c r="AY59" s="143"/>
      <c r="AZ59" s="143"/>
      <c r="BA59" s="143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3"/>
      <c r="BM59" s="143"/>
      <c r="BN59" s="143"/>
      <c r="BO59" s="143"/>
      <c r="BP59" s="143"/>
      <c r="BQ59" s="143"/>
      <c r="BR59" s="143"/>
      <c r="BS59" s="143"/>
      <c r="BT59" s="143"/>
      <c r="BU59" s="143"/>
      <c r="BV59" s="143"/>
      <c r="BW59" s="143"/>
      <c r="BX59" s="143"/>
      <c r="BY59" s="143"/>
      <c r="BZ59" s="143"/>
      <c r="CA59" s="143"/>
      <c r="CB59" s="143"/>
      <c r="CC59" s="143"/>
      <c r="CD59" s="143"/>
      <c r="CE59" s="143"/>
      <c r="CF59" s="143"/>
      <c r="CG59" s="145"/>
      <c r="CH59" s="143"/>
      <c r="CI59" s="143"/>
      <c r="CJ59" s="143"/>
      <c r="CK59" s="143"/>
      <c r="CL59" s="143"/>
      <c r="CM59" s="143"/>
      <c r="CN59" s="170"/>
      <c r="CO59" s="143"/>
      <c r="CP59" s="143"/>
      <c r="CQ59" s="143"/>
      <c r="CR59" s="143"/>
      <c r="CS59" s="143"/>
      <c r="CT59" s="143"/>
      <c r="CU59" s="143"/>
      <c r="CV59" s="143"/>
      <c r="CW59" s="143"/>
      <c r="CX59" s="143"/>
      <c r="CY59" s="143"/>
      <c r="CZ59" s="143"/>
      <c r="DA59" s="143"/>
      <c r="DB59" s="143"/>
    </row>
    <row r="60" spans="1:106">
      <c r="A60" s="142"/>
      <c r="B60" s="143"/>
      <c r="C60" s="144"/>
      <c r="D60" s="143"/>
      <c r="E60" s="143"/>
      <c r="F60" s="143"/>
      <c r="G60" s="159"/>
      <c r="H60" s="159"/>
      <c r="I60" s="163">
        <f t="shared" si="2"/>
        <v>12</v>
      </c>
      <c r="J60" s="1571"/>
      <c r="K60" s="1299" t="s">
        <v>1019</v>
      </c>
      <c r="L60" s="1571"/>
      <c r="M60" s="182">
        <v>3714387</v>
      </c>
      <c r="N60" s="186">
        <f t="shared" si="1"/>
        <v>0.35</v>
      </c>
      <c r="O60" s="185">
        <f>ROUND(M60*N60,0)</f>
        <v>1300035</v>
      </c>
      <c r="P60" s="182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5"/>
      <c r="CH60" s="143"/>
      <c r="CI60" s="143"/>
      <c r="CJ60" s="143"/>
      <c r="CK60" s="143"/>
      <c r="CL60" s="143"/>
      <c r="CM60" s="143"/>
      <c r="CN60" s="170"/>
      <c r="CO60" s="143"/>
      <c r="CP60" s="143"/>
      <c r="CQ60" s="143"/>
      <c r="CR60" s="143"/>
      <c r="CS60" s="143"/>
      <c r="CT60" s="143"/>
      <c r="CU60" s="143"/>
      <c r="CV60" s="143"/>
      <c r="CW60" s="143"/>
      <c r="CX60" s="143"/>
      <c r="CY60" s="143"/>
      <c r="CZ60" s="143"/>
      <c r="DA60" s="143"/>
      <c r="DB60" s="143"/>
    </row>
    <row r="61" spans="1:106">
      <c r="A61" s="142"/>
      <c r="B61" s="143"/>
      <c r="C61" s="144"/>
      <c r="D61" s="143"/>
      <c r="E61" s="143"/>
      <c r="F61" s="143"/>
      <c r="G61" s="159"/>
      <c r="H61" s="159"/>
      <c r="I61" s="163">
        <f t="shared" si="2"/>
        <v>13</v>
      </c>
      <c r="J61" s="1571"/>
      <c r="K61" s="187" t="s">
        <v>1041</v>
      </c>
      <c r="L61" s="1571"/>
      <c r="M61" s="182">
        <v>3714387</v>
      </c>
      <c r="N61" s="186">
        <f t="shared" si="1"/>
        <v>0.35</v>
      </c>
      <c r="O61" s="185">
        <f>ROUND(M61*N61,0)</f>
        <v>1300035</v>
      </c>
      <c r="P61" s="188" t="s">
        <v>1227</v>
      </c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  <c r="AM61" s="143"/>
      <c r="AN61" s="143"/>
      <c r="AO61" s="143"/>
      <c r="AP61" s="143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43"/>
      <c r="BQ61" s="143"/>
      <c r="BR61" s="143"/>
      <c r="BS61" s="143"/>
      <c r="BT61" s="143"/>
      <c r="BU61" s="143"/>
      <c r="BV61" s="143"/>
      <c r="BW61" s="143"/>
      <c r="BX61" s="143"/>
      <c r="BY61" s="143"/>
      <c r="BZ61" s="143"/>
      <c r="CA61" s="143"/>
      <c r="CB61" s="143"/>
      <c r="CC61" s="143"/>
      <c r="CD61" s="143"/>
      <c r="CE61" s="143"/>
      <c r="CF61" s="143"/>
      <c r="CG61" s="145"/>
      <c r="CH61" s="143"/>
      <c r="CI61" s="143"/>
      <c r="CJ61" s="143"/>
      <c r="CK61" s="143"/>
      <c r="CL61" s="143"/>
      <c r="CM61" s="143"/>
      <c r="CN61" s="170"/>
      <c r="CO61" s="143"/>
      <c r="CP61" s="143"/>
      <c r="CQ61" s="143"/>
      <c r="CR61" s="143"/>
      <c r="CS61" s="143"/>
      <c r="CT61" s="143"/>
      <c r="CU61" s="143"/>
      <c r="CV61" s="143"/>
      <c r="CW61" s="143"/>
      <c r="CX61" s="143"/>
      <c r="CY61" s="143"/>
      <c r="CZ61" s="143"/>
      <c r="DA61" s="143"/>
      <c r="DB61" s="143"/>
    </row>
    <row r="62" spans="1:106">
      <c r="A62" s="142"/>
      <c r="B62" s="143"/>
      <c r="C62" s="144"/>
      <c r="D62" s="143"/>
      <c r="E62" s="143"/>
      <c r="F62" s="143"/>
      <c r="G62" s="159"/>
      <c r="H62" s="159"/>
      <c r="I62" s="163">
        <f t="shared" si="2"/>
        <v>14</v>
      </c>
      <c r="J62" s="1571"/>
      <c r="K62" s="1571"/>
      <c r="L62" s="1571"/>
      <c r="M62" s="1571"/>
      <c r="N62" s="189"/>
      <c r="O62" s="190"/>
      <c r="P62" s="1459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3"/>
      <c r="AS62" s="143"/>
      <c r="AT62" s="143"/>
      <c r="AU62" s="143"/>
      <c r="AV62" s="143"/>
      <c r="AW62" s="143"/>
      <c r="AX62" s="143"/>
      <c r="AY62" s="143"/>
      <c r="AZ62" s="143"/>
      <c r="BA62" s="143"/>
      <c r="BB62" s="143"/>
      <c r="BC62" s="143"/>
      <c r="BD62" s="143"/>
      <c r="BE62" s="143"/>
      <c r="BF62" s="143"/>
      <c r="BG62" s="143"/>
      <c r="BH62" s="143"/>
      <c r="BI62" s="143"/>
      <c r="BJ62" s="143"/>
      <c r="BK62" s="143"/>
      <c r="BL62" s="143"/>
      <c r="BM62" s="143"/>
      <c r="BN62" s="143"/>
      <c r="BO62" s="143"/>
      <c r="BP62" s="143"/>
      <c r="BQ62" s="143"/>
      <c r="BR62" s="143"/>
      <c r="BS62" s="143"/>
      <c r="BT62" s="143"/>
      <c r="BU62" s="143"/>
      <c r="BV62" s="143"/>
      <c r="BW62" s="143"/>
      <c r="BX62" s="143"/>
      <c r="BY62" s="143"/>
      <c r="BZ62" s="143"/>
      <c r="CA62" s="143"/>
      <c r="CB62" s="143"/>
      <c r="CC62" s="143"/>
      <c r="CD62" s="143"/>
      <c r="CE62" s="143"/>
      <c r="CF62" s="143"/>
      <c r="CG62" s="145"/>
      <c r="CH62" s="143"/>
      <c r="CI62" s="143"/>
      <c r="CJ62" s="143"/>
      <c r="CK62" s="143"/>
      <c r="CL62" s="143"/>
      <c r="CM62" s="143"/>
      <c r="CN62" s="170"/>
      <c r="CO62" s="143"/>
      <c r="CP62" s="143"/>
      <c r="CQ62" s="143"/>
      <c r="CR62" s="143"/>
      <c r="CS62" s="143"/>
      <c r="CT62" s="143"/>
      <c r="CU62" s="143"/>
      <c r="CV62" s="143"/>
      <c r="CW62" s="143"/>
      <c r="CX62" s="143"/>
      <c r="CY62" s="143"/>
      <c r="CZ62" s="143"/>
      <c r="DA62" s="143"/>
      <c r="DB62" s="143"/>
    </row>
    <row r="63" spans="1:106">
      <c r="A63" s="142"/>
      <c r="B63" s="143"/>
      <c r="C63" s="144"/>
      <c r="D63" s="143"/>
      <c r="E63" s="143"/>
      <c r="F63" s="143"/>
      <c r="G63" s="159"/>
      <c r="H63" s="159"/>
      <c r="I63" s="163">
        <f t="shared" si="2"/>
        <v>15</v>
      </c>
      <c r="J63" s="1571"/>
      <c r="K63" s="183" t="s">
        <v>207</v>
      </c>
      <c r="L63" s="1571"/>
      <c r="M63" s="1571"/>
      <c r="N63" s="189"/>
      <c r="O63" s="190"/>
      <c r="P63" s="1459"/>
      <c r="Q63" s="143"/>
      <c r="R63" s="143"/>
      <c r="S63" s="143"/>
      <c r="T63" s="143"/>
      <c r="U63" s="143"/>
      <c r="V63" s="143"/>
      <c r="W63" s="143"/>
      <c r="X63" s="143"/>
      <c r="Y63" s="143"/>
      <c r="Z63" s="143"/>
      <c r="AA63" s="143"/>
      <c r="AB63" s="143"/>
      <c r="AC63" s="143"/>
      <c r="AD63" s="143"/>
      <c r="AE63" s="143"/>
      <c r="AF63" s="143"/>
      <c r="AG63" s="143"/>
      <c r="AH63" s="143"/>
      <c r="AI63" s="143"/>
      <c r="AJ63" s="143"/>
      <c r="AK63" s="143"/>
      <c r="AL63" s="143"/>
      <c r="AM63" s="143"/>
      <c r="AN63" s="143"/>
      <c r="AO63" s="143"/>
      <c r="AP63" s="143"/>
      <c r="AQ63" s="143"/>
      <c r="AR63" s="143"/>
      <c r="AS63" s="143"/>
      <c r="AT63" s="143"/>
      <c r="AU63" s="143"/>
      <c r="AV63" s="143"/>
      <c r="AW63" s="143"/>
      <c r="AX63" s="143"/>
      <c r="AY63" s="143"/>
      <c r="AZ63" s="143"/>
      <c r="BA63" s="143"/>
      <c r="BB63" s="143"/>
      <c r="BC63" s="143"/>
      <c r="BD63" s="143"/>
      <c r="BE63" s="143"/>
      <c r="BF63" s="143"/>
      <c r="BG63" s="143"/>
      <c r="BH63" s="143"/>
      <c r="BI63" s="143"/>
      <c r="BJ63" s="143"/>
      <c r="BK63" s="143"/>
      <c r="BL63" s="143"/>
      <c r="BM63" s="143"/>
      <c r="BN63" s="143"/>
      <c r="BO63" s="143"/>
      <c r="BP63" s="143"/>
      <c r="BQ63" s="143"/>
      <c r="BR63" s="143"/>
      <c r="BS63" s="143"/>
      <c r="BT63" s="143"/>
      <c r="BU63" s="143"/>
      <c r="BV63" s="143"/>
      <c r="BW63" s="143"/>
      <c r="BX63" s="143"/>
      <c r="BY63" s="143"/>
      <c r="BZ63" s="143"/>
      <c r="CA63" s="143"/>
      <c r="CB63" s="143"/>
      <c r="CC63" s="143"/>
      <c r="CD63" s="143"/>
      <c r="CE63" s="143"/>
      <c r="CF63" s="143"/>
      <c r="CG63" s="145"/>
      <c r="CH63" s="143"/>
      <c r="CI63" s="143"/>
      <c r="CJ63" s="143"/>
      <c r="CK63" s="143"/>
      <c r="CL63" s="143"/>
      <c r="CM63" s="143"/>
      <c r="CN63" s="170"/>
      <c r="CO63" s="143"/>
      <c r="CP63" s="143"/>
      <c r="CQ63" s="143"/>
      <c r="CR63" s="143"/>
      <c r="CS63" s="143"/>
      <c r="CT63" s="143"/>
      <c r="CU63" s="143"/>
      <c r="CV63" s="143"/>
      <c r="CW63" s="143"/>
      <c r="CX63" s="143"/>
      <c r="CY63" s="143"/>
      <c r="CZ63" s="143"/>
      <c r="DA63" s="143"/>
      <c r="DB63" s="143"/>
    </row>
    <row r="64" spans="1:106">
      <c r="A64" s="142"/>
      <c r="B64" s="143"/>
      <c r="C64" s="144"/>
      <c r="D64" s="143"/>
      <c r="E64" s="143"/>
      <c r="F64" s="143"/>
      <c r="G64" s="159"/>
      <c r="H64" s="159"/>
      <c r="I64" s="163">
        <f t="shared" si="2"/>
        <v>16</v>
      </c>
      <c r="J64" s="1571"/>
      <c r="K64" s="1299" t="s">
        <v>2959</v>
      </c>
      <c r="L64" s="1571"/>
      <c r="M64" s="182">
        <v>3714387</v>
      </c>
      <c r="N64" s="186">
        <f t="shared" ref="N64:N76" si="3">$N$59</f>
        <v>0.35</v>
      </c>
      <c r="O64" s="185">
        <f t="shared" ref="O64:O76" si="4">ROUND(M64*N64,0)</f>
        <v>1300035</v>
      </c>
      <c r="P64" s="182"/>
      <c r="Q64" s="143"/>
      <c r="R64" s="143"/>
      <c r="S64" s="143"/>
      <c r="T64" s="143"/>
      <c r="U64" s="143"/>
      <c r="V64" s="143"/>
      <c r="W64" s="143"/>
      <c r="X64" s="143"/>
      <c r="Y64" s="143"/>
      <c r="Z64" s="143"/>
      <c r="AA64" s="143"/>
      <c r="AB64" s="143"/>
      <c r="AC64" s="143"/>
      <c r="AD64" s="143"/>
      <c r="AE64" s="143"/>
      <c r="AF64" s="143"/>
      <c r="AG64" s="143"/>
      <c r="AH64" s="143"/>
      <c r="AI64" s="143"/>
      <c r="AJ64" s="143"/>
      <c r="AK64" s="143"/>
      <c r="AL64" s="143"/>
      <c r="AM64" s="143"/>
      <c r="AN64" s="143"/>
      <c r="AO64" s="143"/>
      <c r="AP64" s="143"/>
      <c r="AQ64" s="143"/>
      <c r="AR64" s="143"/>
      <c r="AS64" s="143"/>
      <c r="AT64" s="143"/>
      <c r="AU64" s="143"/>
      <c r="AV64" s="143"/>
      <c r="AW64" s="143"/>
      <c r="AX64" s="143"/>
      <c r="AY64" s="143"/>
      <c r="AZ64" s="143"/>
      <c r="BA64" s="143"/>
      <c r="BB64" s="143"/>
      <c r="BC64" s="143"/>
      <c r="BD64" s="143"/>
      <c r="BE64" s="143"/>
      <c r="BF64" s="143"/>
      <c r="BG64" s="143"/>
      <c r="BH64" s="143"/>
      <c r="BI64" s="143"/>
      <c r="BJ64" s="143"/>
      <c r="BK64" s="143"/>
      <c r="BL64" s="143"/>
      <c r="BM64" s="143"/>
      <c r="BN64" s="143"/>
      <c r="BO64" s="143"/>
      <c r="BP64" s="143"/>
      <c r="BQ64" s="143"/>
      <c r="BR64" s="143"/>
      <c r="BS64" s="143"/>
      <c r="BT64" s="143"/>
      <c r="BU64" s="143"/>
      <c r="BV64" s="143"/>
      <c r="BW64" s="143"/>
      <c r="BX64" s="143"/>
      <c r="BY64" s="143"/>
      <c r="BZ64" s="143"/>
      <c r="CA64" s="143"/>
      <c r="CB64" s="143"/>
      <c r="CC64" s="143"/>
      <c r="CD64" s="143"/>
      <c r="CE64" s="143"/>
      <c r="CF64" s="143"/>
      <c r="CG64" s="145"/>
      <c r="CH64" s="143"/>
      <c r="CI64" s="143"/>
      <c r="CJ64" s="143"/>
      <c r="CK64" s="143"/>
      <c r="CL64" s="143"/>
      <c r="CM64" s="143"/>
      <c r="CN64" s="170"/>
      <c r="CO64" s="143"/>
      <c r="CP64" s="143"/>
      <c r="CQ64" s="143"/>
      <c r="CR64" s="143"/>
      <c r="CS64" s="143"/>
      <c r="CT64" s="143"/>
      <c r="CU64" s="143"/>
      <c r="CV64" s="143"/>
      <c r="CW64" s="143"/>
      <c r="CX64" s="143"/>
      <c r="CY64" s="143"/>
      <c r="CZ64" s="143"/>
      <c r="DA64" s="143"/>
      <c r="DB64" s="143"/>
    </row>
    <row r="65" spans="1:106">
      <c r="A65" s="142"/>
      <c r="B65" s="143"/>
      <c r="C65" s="144"/>
      <c r="D65" s="143"/>
      <c r="E65" s="143"/>
      <c r="F65" s="143"/>
      <c r="G65" s="159"/>
      <c r="H65" s="159"/>
      <c r="I65" s="163">
        <f t="shared" si="2"/>
        <v>17</v>
      </c>
      <c r="J65" s="1571"/>
      <c r="K65" s="187" t="s">
        <v>1045</v>
      </c>
      <c r="L65" s="1571"/>
      <c r="M65" s="182">
        <v>3714387</v>
      </c>
      <c r="N65" s="186">
        <f t="shared" si="3"/>
        <v>0.35</v>
      </c>
      <c r="O65" s="185">
        <f t="shared" si="4"/>
        <v>1300035</v>
      </c>
      <c r="P65" s="182"/>
      <c r="Q65" s="143"/>
      <c r="R65" s="143"/>
      <c r="S65" s="143"/>
      <c r="T65" s="143"/>
      <c r="U65" s="143"/>
      <c r="V65" s="143"/>
      <c r="W65" s="143"/>
      <c r="X65" s="143"/>
      <c r="Y65" s="143"/>
      <c r="Z65" s="143"/>
      <c r="AA65" s="143"/>
      <c r="AB65" s="143"/>
      <c r="AC65" s="143"/>
      <c r="AD65" s="143"/>
      <c r="AE65" s="143"/>
      <c r="AF65" s="143"/>
      <c r="AG65" s="143"/>
      <c r="AH65" s="143"/>
      <c r="AI65" s="143"/>
      <c r="AJ65" s="143"/>
      <c r="AK65" s="143"/>
      <c r="AL65" s="143"/>
      <c r="AM65" s="143"/>
      <c r="AN65" s="143"/>
      <c r="AO65" s="143"/>
      <c r="AP65" s="143"/>
      <c r="AQ65" s="143"/>
      <c r="AR65" s="143"/>
      <c r="AS65" s="143"/>
      <c r="AT65" s="143"/>
      <c r="AU65" s="143"/>
      <c r="AV65" s="143"/>
      <c r="AW65" s="143"/>
      <c r="AX65" s="143"/>
      <c r="AY65" s="143"/>
      <c r="AZ65" s="143"/>
      <c r="BA65" s="143"/>
      <c r="BB65" s="143"/>
      <c r="BC65" s="143"/>
      <c r="BD65" s="143"/>
      <c r="BE65" s="143"/>
      <c r="BF65" s="143"/>
      <c r="BG65" s="143"/>
      <c r="BH65" s="143"/>
      <c r="BI65" s="143"/>
      <c r="BJ65" s="143"/>
      <c r="BK65" s="143"/>
      <c r="BL65" s="143"/>
      <c r="BM65" s="143"/>
      <c r="BN65" s="143"/>
      <c r="BO65" s="143"/>
      <c r="BP65" s="143"/>
      <c r="BQ65" s="143"/>
      <c r="BR65" s="143"/>
      <c r="BS65" s="143"/>
      <c r="BT65" s="143"/>
      <c r="BU65" s="143"/>
      <c r="BV65" s="143"/>
      <c r="BW65" s="143"/>
      <c r="BX65" s="143"/>
      <c r="BY65" s="143"/>
      <c r="BZ65" s="143"/>
      <c r="CA65" s="143"/>
      <c r="CB65" s="143"/>
      <c r="CC65" s="143"/>
      <c r="CD65" s="143"/>
      <c r="CE65" s="143"/>
      <c r="CF65" s="143"/>
      <c r="CG65" s="145"/>
      <c r="CH65" s="143"/>
      <c r="CI65" s="143"/>
      <c r="CJ65" s="143"/>
      <c r="CK65" s="143"/>
      <c r="CL65" s="143"/>
      <c r="CM65" s="143"/>
      <c r="CN65" s="170"/>
      <c r="CO65" s="143"/>
      <c r="CP65" s="143"/>
      <c r="CQ65" s="143"/>
      <c r="CR65" s="143"/>
      <c r="CS65" s="143"/>
      <c r="CT65" s="143"/>
      <c r="CU65" s="143"/>
      <c r="CV65" s="143"/>
      <c r="CW65" s="143"/>
      <c r="CX65" s="143"/>
      <c r="CY65" s="143"/>
      <c r="CZ65" s="143"/>
      <c r="DA65" s="143"/>
      <c r="DB65" s="143"/>
    </row>
    <row r="66" spans="1:106">
      <c r="A66" s="142"/>
      <c r="B66" s="143"/>
      <c r="C66" s="144"/>
      <c r="D66" s="143"/>
      <c r="E66" s="143"/>
      <c r="F66" s="143"/>
      <c r="G66" s="159"/>
      <c r="H66" s="159"/>
      <c r="I66" s="163">
        <f t="shared" si="2"/>
        <v>18</v>
      </c>
      <c r="J66" s="1571"/>
      <c r="K66" s="187" t="s">
        <v>1046</v>
      </c>
      <c r="L66" s="1571"/>
      <c r="M66" s="182">
        <v>3714387</v>
      </c>
      <c r="N66" s="186">
        <f t="shared" si="3"/>
        <v>0.35</v>
      </c>
      <c r="O66" s="185">
        <f t="shared" si="4"/>
        <v>1300035</v>
      </c>
      <c r="P66" s="182"/>
      <c r="Q66" s="143"/>
      <c r="R66" s="143"/>
      <c r="S66" s="143"/>
      <c r="T66" s="143"/>
      <c r="U66" s="143"/>
      <c r="V66" s="143"/>
      <c r="W66" s="143"/>
      <c r="X66" s="143"/>
      <c r="Y66" s="143"/>
      <c r="Z66" s="143"/>
      <c r="AA66" s="143"/>
      <c r="AB66" s="143"/>
      <c r="AC66" s="143"/>
      <c r="AD66" s="143"/>
      <c r="AE66" s="143"/>
      <c r="AF66" s="143"/>
      <c r="AG66" s="143"/>
      <c r="AH66" s="143"/>
      <c r="AI66" s="143"/>
      <c r="AJ66" s="143"/>
      <c r="AK66" s="143"/>
      <c r="AL66" s="143"/>
      <c r="AM66" s="143"/>
      <c r="AN66" s="143"/>
      <c r="AO66" s="143"/>
      <c r="AP66" s="143"/>
      <c r="AQ66" s="143"/>
      <c r="AR66" s="143"/>
      <c r="AS66" s="143"/>
      <c r="AT66" s="143"/>
      <c r="AU66" s="143"/>
      <c r="AV66" s="143"/>
      <c r="AW66" s="143"/>
      <c r="AX66" s="143"/>
      <c r="AY66" s="143"/>
      <c r="AZ66" s="143"/>
      <c r="BA66" s="143"/>
      <c r="BB66" s="143"/>
      <c r="BC66" s="143"/>
      <c r="BD66" s="143"/>
      <c r="BE66" s="143"/>
      <c r="BF66" s="143"/>
      <c r="BG66" s="143"/>
      <c r="BH66" s="143"/>
      <c r="BI66" s="143"/>
      <c r="BJ66" s="143"/>
      <c r="BK66" s="143"/>
      <c r="BL66" s="143"/>
      <c r="BM66" s="143"/>
      <c r="BN66" s="143"/>
      <c r="BO66" s="143"/>
      <c r="BP66" s="143"/>
      <c r="BQ66" s="143"/>
      <c r="BR66" s="143"/>
      <c r="BS66" s="143"/>
      <c r="BT66" s="143"/>
      <c r="BU66" s="143"/>
      <c r="BV66" s="143"/>
      <c r="BW66" s="143"/>
      <c r="BX66" s="143"/>
      <c r="BY66" s="143"/>
      <c r="BZ66" s="143"/>
      <c r="CA66" s="143"/>
      <c r="CB66" s="143"/>
      <c r="CC66" s="143"/>
      <c r="CD66" s="143"/>
      <c r="CE66" s="143"/>
      <c r="CF66" s="143"/>
      <c r="CG66" s="145"/>
      <c r="CH66" s="143"/>
      <c r="CI66" s="143"/>
      <c r="CJ66" s="143"/>
      <c r="CK66" s="143"/>
      <c r="CL66" s="143"/>
      <c r="CM66" s="143"/>
      <c r="CN66" s="170"/>
      <c r="CO66" s="143"/>
      <c r="CP66" s="143"/>
      <c r="CQ66" s="143"/>
      <c r="CR66" s="143"/>
      <c r="CS66" s="143"/>
      <c r="CT66" s="143"/>
      <c r="CU66" s="143"/>
      <c r="CV66" s="143"/>
      <c r="CW66" s="143"/>
      <c r="CX66" s="143"/>
      <c r="CY66" s="143"/>
      <c r="CZ66" s="143"/>
      <c r="DA66" s="143"/>
      <c r="DB66" s="143"/>
    </row>
    <row r="67" spans="1:106">
      <c r="A67" s="142"/>
      <c r="B67" s="143"/>
      <c r="C67" s="144"/>
      <c r="D67" s="143"/>
      <c r="E67" s="143"/>
      <c r="F67" s="143"/>
      <c r="G67" s="159"/>
      <c r="H67" s="159"/>
      <c r="I67" s="163">
        <f t="shared" si="2"/>
        <v>19</v>
      </c>
      <c r="J67" s="1571"/>
      <c r="K67" s="187" t="s">
        <v>1047</v>
      </c>
      <c r="L67" s="1571"/>
      <c r="M67" s="182">
        <v>3714387</v>
      </c>
      <c r="N67" s="186">
        <f t="shared" si="3"/>
        <v>0.35</v>
      </c>
      <c r="O67" s="185">
        <f t="shared" si="4"/>
        <v>1300035</v>
      </c>
      <c r="P67" s="182"/>
      <c r="Q67" s="143"/>
      <c r="R67" s="143"/>
      <c r="S67" s="143"/>
      <c r="T67" s="143"/>
      <c r="U67" s="143"/>
      <c r="V67" s="143"/>
      <c r="W67" s="143"/>
      <c r="X67" s="143"/>
      <c r="Y67" s="143"/>
      <c r="Z67" s="143"/>
      <c r="AA67" s="143"/>
      <c r="AB67" s="143"/>
      <c r="AC67" s="143"/>
      <c r="AD67" s="143"/>
      <c r="AE67" s="143"/>
      <c r="AF67" s="143"/>
      <c r="AG67" s="143"/>
      <c r="AH67" s="143"/>
      <c r="AI67" s="143"/>
      <c r="AJ67" s="143"/>
      <c r="AK67" s="143"/>
      <c r="AL67" s="143"/>
      <c r="AM67" s="143"/>
      <c r="AN67" s="143"/>
      <c r="AO67" s="143"/>
      <c r="AP67" s="143"/>
      <c r="AQ67" s="143"/>
      <c r="AR67" s="143"/>
      <c r="AS67" s="143"/>
      <c r="AT67" s="143"/>
      <c r="AU67" s="143"/>
      <c r="AV67" s="143"/>
      <c r="AW67" s="143"/>
      <c r="AX67" s="143"/>
      <c r="AY67" s="143"/>
      <c r="AZ67" s="143"/>
      <c r="BA67" s="143"/>
      <c r="BB67" s="143"/>
      <c r="BC67" s="143"/>
      <c r="BD67" s="143"/>
      <c r="BE67" s="143"/>
      <c r="BF67" s="143"/>
      <c r="BG67" s="143"/>
      <c r="BH67" s="143"/>
      <c r="BI67" s="143"/>
      <c r="BJ67" s="143"/>
      <c r="BK67" s="143"/>
      <c r="BL67" s="143"/>
      <c r="BM67" s="143"/>
      <c r="BN67" s="143"/>
      <c r="BO67" s="143"/>
      <c r="BP67" s="143"/>
      <c r="BQ67" s="143"/>
      <c r="BR67" s="143"/>
      <c r="BS67" s="143"/>
      <c r="BT67" s="143"/>
      <c r="BU67" s="143"/>
      <c r="BV67" s="143"/>
      <c r="BW67" s="143"/>
      <c r="BX67" s="143"/>
      <c r="BY67" s="143"/>
      <c r="BZ67" s="143"/>
      <c r="CA67" s="143"/>
      <c r="CB67" s="143"/>
      <c r="CC67" s="143"/>
      <c r="CD67" s="143"/>
      <c r="CE67" s="143"/>
      <c r="CF67" s="143"/>
      <c r="CG67" s="145"/>
      <c r="CH67" s="143"/>
      <c r="CI67" s="143"/>
      <c r="CJ67" s="143"/>
      <c r="CK67" s="143"/>
      <c r="CL67" s="143"/>
      <c r="CM67" s="143"/>
      <c r="CN67" s="170"/>
      <c r="CO67" s="143"/>
      <c r="CP67" s="143"/>
      <c r="CQ67" s="143"/>
      <c r="CR67" s="143"/>
      <c r="CS67" s="143"/>
      <c r="CT67" s="143"/>
      <c r="CU67" s="143"/>
      <c r="CV67" s="143"/>
      <c r="CW67" s="143"/>
      <c r="CX67" s="143"/>
      <c r="CY67" s="143"/>
      <c r="CZ67" s="143"/>
      <c r="DA67" s="143"/>
      <c r="DB67" s="143"/>
    </row>
    <row r="68" spans="1:106">
      <c r="A68" s="142"/>
      <c r="B68" s="143"/>
      <c r="C68" s="144"/>
      <c r="D68" s="143"/>
      <c r="E68" s="143"/>
      <c r="F68" s="143"/>
      <c r="G68" s="159"/>
      <c r="H68" s="159"/>
      <c r="I68" s="163">
        <f t="shared" si="2"/>
        <v>20</v>
      </c>
      <c r="J68" s="1571"/>
      <c r="K68" s="187" t="s">
        <v>1048</v>
      </c>
      <c r="L68" s="1571"/>
      <c r="M68" s="182">
        <v>3714387</v>
      </c>
      <c r="N68" s="186">
        <f t="shared" si="3"/>
        <v>0.35</v>
      </c>
      <c r="O68" s="185">
        <f t="shared" si="4"/>
        <v>1300035</v>
      </c>
      <c r="P68" s="182"/>
      <c r="Q68" s="143"/>
      <c r="R68" s="143"/>
      <c r="S68" s="143"/>
      <c r="T68" s="143"/>
      <c r="U68" s="143"/>
      <c r="V68" s="143"/>
      <c r="W68" s="143"/>
      <c r="X68" s="143"/>
      <c r="Y68" s="143"/>
      <c r="Z68" s="143"/>
      <c r="AA68" s="143"/>
      <c r="AB68" s="143"/>
      <c r="AC68" s="143"/>
      <c r="AD68" s="143"/>
      <c r="AE68" s="143"/>
      <c r="AF68" s="143"/>
      <c r="AG68" s="143"/>
      <c r="AH68" s="143"/>
      <c r="AI68" s="143"/>
      <c r="AJ68" s="143"/>
      <c r="AK68" s="143"/>
      <c r="AL68" s="143"/>
      <c r="AM68" s="143"/>
      <c r="AN68" s="143"/>
      <c r="AO68" s="143"/>
      <c r="AP68" s="143"/>
      <c r="AQ68" s="143"/>
      <c r="AR68" s="143"/>
      <c r="AS68" s="143"/>
      <c r="AT68" s="143"/>
      <c r="AU68" s="143"/>
      <c r="AV68" s="143"/>
      <c r="AW68" s="143"/>
      <c r="AX68" s="143"/>
      <c r="AY68" s="143"/>
      <c r="AZ68" s="143"/>
      <c r="BA68" s="143"/>
      <c r="BB68" s="143"/>
      <c r="BC68" s="143"/>
      <c r="BD68" s="143"/>
      <c r="BE68" s="143"/>
      <c r="BF68" s="143"/>
      <c r="BG68" s="143"/>
      <c r="BH68" s="143"/>
      <c r="BI68" s="143"/>
      <c r="BJ68" s="143"/>
      <c r="BK68" s="143"/>
      <c r="BL68" s="143"/>
      <c r="BM68" s="143"/>
      <c r="BN68" s="143"/>
      <c r="BO68" s="143"/>
      <c r="BP68" s="143"/>
      <c r="BQ68" s="143"/>
      <c r="BR68" s="143"/>
      <c r="BS68" s="143"/>
      <c r="BT68" s="143"/>
      <c r="BU68" s="143"/>
      <c r="BV68" s="143"/>
      <c r="BW68" s="143"/>
      <c r="BX68" s="143"/>
      <c r="BY68" s="143"/>
      <c r="BZ68" s="143"/>
      <c r="CA68" s="143"/>
      <c r="CB68" s="143"/>
      <c r="CC68" s="143"/>
      <c r="CD68" s="143"/>
      <c r="CE68" s="143"/>
      <c r="CF68" s="143"/>
      <c r="CG68" s="145"/>
      <c r="CH68" s="143"/>
      <c r="CI68" s="143"/>
      <c r="CJ68" s="143"/>
      <c r="CK68" s="143"/>
      <c r="CL68" s="143"/>
      <c r="CM68" s="143"/>
      <c r="CN68" s="170"/>
      <c r="CO68" s="143"/>
      <c r="CP68" s="143"/>
      <c r="CQ68" s="143"/>
      <c r="CR68" s="143"/>
      <c r="CS68" s="143"/>
      <c r="CT68" s="143"/>
      <c r="CU68" s="143"/>
      <c r="CV68" s="143"/>
      <c r="CW68" s="143"/>
      <c r="CX68" s="143"/>
      <c r="CY68" s="143"/>
      <c r="CZ68" s="143"/>
      <c r="DA68" s="143"/>
      <c r="DB68" s="143"/>
    </row>
    <row r="69" spans="1:106">
      <c r="A69" s="142"/>
      <c r="B69" s="143"/>
      <c r="C69" s="144"/>
      <c r="D69" s="143"/>
      <c r="E69" s="143"/>
      <c r="F69" s="143"/>
      <c r="G69" s="159"/>
      <c r="H69" s="159"/>
      <c r="I69" s="163">
        <f t="shared" si="2"/>
        <v>21</v>
      </c>
      <c r="J69" s="1571"/>
      <c r="K69" s="187" t="s">
        <v>1049</v>
      </c>
      <c r="L69" s="1571"/>
      <c r="M69" s="182">
        <v>3714387</v>
      </c>
      <c r="N69" s="186">
        <f t="shared" si="3"/>
        <v>0.35</v>
      </c>
      <c r="O69" s="185">
        <f t="shared" si="4"/>
        <v>1300035</v>
      </c>
      <c r="P69" s="182"/>
      <c r="Q69" s="143"/>
      <c r="R69" s="143"/>
      <c r="S69" s="143"/>
      <c r="T69" s="143"/>
      <c r="U69" s="143"/>
      <c r="V69" s="143"/>
      <c r="W69" s="143"/>
      <c r="X69" s="143"/>
      <c r="Y69" s="143"/>
      <c r="Z69" s="143"/>
      <c r="AA69" s="143"/>
      <c r="AB69" s="143"/>
      <c r="AC69" s="143"/>
      <c r="AD69" s="143"/>
      <c r="AE69" s="143"/>
      <c r="AF69" s="143"/>
      <c r="AG69" s="143"/>
      <c r="AH69" s="143"/>
      <c r="AI69" s="143"/>
      <c r="AJ69" s="143"/>
      <c r="AK69" s="143"/>
      <c r="AL69" s="143"/>
      <c r="AM69" s="143"/>
      <c r="AN69" s="143"/>
      <c r="AO69" s="143"/>
      <c r="AP69" s="143"/>
      <c r="AQ69" s="143"/>
      <c r="AR69" s="143"/>
      <c r="AS69" s="143"/>
      <c r="AT69" s="143"/>
      <c r="AU69" s="143"/>
      <c r="AV69" s="143"/>
      <c r="AW69" s="143"/>
      <c r="AX69" s="143"/>
      <c r="AY69" s="143"/>
      <c r="AZ69" s="143"/>
      <c r="BA69" s="143"/>
      <c r="BB69" s="143"/>
      <c r="BC69" s="143"/>
      <c r="BD69" s="143"/>
      <c r="BE69" s="143"/>
      <c r="BF69" s="143"/>
      <c r="BG69" s="143"/>
      <c r="BH69" s="143"/>
      <c r="BI69" s="143"/>
      <c r="BJ69" s="143"/>
      <c r="BK69" s="143"/>
      <c r="BL69" s="143"/>
      <c r="BM69" s="143"/>
      <c r="BN69" s="143"/>
      <c r="BO69" s="143"/>
      <c r="BP69" s="143"/>
      <c r="BQ69" s="143"/>
      <c r="BR69" s="143"/>
      <c r="BS69" s="143"/>
      <c r="BT69" s="143"/>
      <c r="BU69" s="143"/>
      <c r="BV69" s="143"/>
      <c r="BW69" s="143"/>
      <c r="BX69" s="143"/>
      <c r="BY69" s="143"/>
      <c r="BZ69" s="143"/>
      <c r="CA69" s="143"/>
      <c r="CB69" s="143"/>
      <c r="CC69" s="143"/>
      <c r="CD69" s="143"/>
      <c r="CE69" s="143"/>
      <c r="CF69" s="143"/>
      <c r="CG69" s="145"/>
      <c r="CH69" s="143"/>
      <c r="CI69" s="143"/>
      <c r="CJ69" s="143"/>
      <c r="CK69" s="143"/>
      <c r="CL69" s="143"/>
      <c r="CM69" s="143"/>
      <c r="CN69" s="170"/>
      <c r="CO69" s="143"/>
      <c r="CP69" s="143"/>
      <c r="CQ69" s="143"/>
      <c r="CR69" s="143"/>
      <c r="CS69" s="143"/>
      <c r="CT69" s="143"/>
      <c r="CU69" s="143"/>
      <c r="CV69" s="143"/>
      <c r="CW69" s="143"/>
      <c r="CX69" s="143"/>
      <c r="CY69" s="143"/>
      <c r="CZ69" s="143"/>
      <c r="DA69" s="143"/>
      <c r="DB69" s="143"/>
    </row>
    <row r="70" spans="1:106">
      <c r="A70" s="142"/>
      <c r="B70" s="143"/>
      <c r="C70" s="144"/>
      <c r="D70" s="143"/>
      <c r="E70" s="143"/>
      <c r="F70" s="143"/>
      <c r="G70" s="159"/>
      <c r="H70" s="159"/>
      <c r="I70" s="163">
        <f t="shared" si="2"/>
        <v>22</v>
      </c>
      <c r="J70" s="1571"/>
      <c r="K70" s="187" t="s">
        <v>1050</v>
      </c>
      <c r="L70" s="1571"/>
      <c r="M70" s="182">
        <v>3714387</v>
      </c>
      <c r="N70" s="186">
        <f t="shared" si="3"/>
        <v>0.35</v>
      </c>
      <c r="O70" s="185">
        <f t="shared" si="4"/>
        <v>1300035</v>
      </c>
      <c r="P70" s="182"/>
      <c r="Q70" s="143"/>
      <c r="R70" s="143"/>
      <c r="S70" s="143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3"/>
      <c r="AL70" s="143"/>
      <c r="AM70" s="143"/>
      <c r="AN70" s="143"/>
      <c r="AO70" s="143"/>
      <c r="AP70" s="143"/>
      <c r="AQ70" s="143"/>
      <c r="AR70" s="143"/>
      <c r="AS70" s="143"/>
      <c r="AT70" s="143"/>
      <c r="AU70" s="143"/>
      <c r="AV70" s="143"/>
      <c r="AW70" s="143"/>
      <c r="AX70" s="143"/>
      <c r="AY70" s="143"/>
      <c r="AZ70" s="143"/>
      <c r="BA70" s="143"/>
      <c r="BB70" s="143"/>
      <c r="BC70" s="143"/>
      <c r="BD70" s="143"/>
      <c r="BE70" s="143"/>
      <c r="BF70" s="143"/>
      <c r="BG70" s="143"/>
      <c r="BH70" s="143"/>
      <c r="BI70" s="143"/>
      <c r="BJ70" s="143"/>
      <c r="BK70" s="143"/>
      <c r="BL70" s="143"/>
      <c r="BM70" s="143"/>
      <c r="BN70" s="143"/>
      <c r="BO70" s="143"/>
      <c r="BP70" s="143"/>
      <c r="BQ70" s="143"/>
      <c r="BR70" s="143"/>
      <c r="BS70" s="143"/>
      <c r="BT70" s="143"/>
      <c r="BU70" s="143"/>
      <c r="BV70" s="143"/>
      <c r="BW70" s="143"/>
      <c r="BX70" s="143"/>
      <c r="BY70" s="143"/>
      <c r="BZ70" s="143"/>
      <c r="CA70" s="143"/>
      <c r="CB70" s="143"/>
      <c r="CC70" s="143"/>
      <c r="CD70" s="143"/>
      <c r="CE70" s="143"/>
      <c r="CF70" s="143"/>
      <c r="CG70" s="145"/>
      <c r="CH70" s="143"/>
      <c r="CI70" s="143"/>
      <c r="CJ70" s="143"/>
      <c r="CK70" s="143"/>
      <c r="CL70" s="143"/>
      <c r="CM70" s="143"/>
      <c r="CN70" s="170"/>
      <c r="CO70" s="143"/>
      <c r="CP70" s="143"/>
      <c r="CQ70" s="143"/>
      <c r="CR70" s="143"/>
      <c r="CS70" s="143"/>
      <c r="CT70" s="143"/>
      <c r="CU70" s="143"/>
      <c r="CV70" s="143"/>
      <c r="CW70" s="143"/>
      <c r="CX70" s="143"/>
      <c r="CY70" s="143"/>
      <c r="CZ70" s="143"/>
      <c r="DA70" s="143"/>
      <c r="DB70" s="143"/>
    </row>
    <row r="71" spans="1:106">
      <c r="A71" s="142"/>
      <c r="B71" s="143"/>
      <c r="C71" s="144"/>
      <c r="D71" s="143"/>
      <c r="E71" s="143"/>
      <c r="F71" s="143"/>
      <c r="G71" s="159"/>
      <c r="H71" s="159"/>
      <c r="I71" s="163">
        <f t="shared" si="2"/>
        <v>23</v>
      </c>
      <c r="J71" s="1571"/>
      <c r="K71" s="187" t="s">
        <v>1019</v>
      </c>
      <c r="L71" s="1571"/>
      <c r="M71" s="182">
        <v>3714387</v>
      </c>
      <c r="N71" s="186">
        <f t="shared" si="3"/>
        <v>0.35</v>
      </c>
      <c r="O71" s="185">
        <f t="shared" si="4"/>
        <v>1300035</v>
      </c>
      <c r="P71" s="182"/>
      <c r="Q71" s="143"/>
      <c r="R71" s="143"/>
      <c r="S71" s="143"/>
      <c r="T71" s="143"/>
      <c r="U71" s="143"/>
      <c r="V71" s="143"/>
      <c r="W71" s="143"/>
      <c r="X71" s="143"/>
      <c r="Y71" s="143"/>
      <c r="Z71" s="143"/>
      <c r="AA71" s="143"/>
      <c r="AB71" s="143"/>
      <c r="AC71" s="143"/>
      <c r="AD71" s="143"/>
      <c r="AE71" s="143"/>
      <c r="AF71" s="143"/>
      <c r="AG71" s="143"/>
      <c r="AH71" s="143"/>
      <c r="AI71" s="143"/>
      <c r="AJ71" s="143"/>
      <c r="AK71" s="143"/>
      <c r="AL71" s="143"/>
      <c r="AM71" s="143"/>
      <c r="AN71" s="143"/>
      <c r="AO71" s="143"/>
      <c r="AP71" s="143"/>
      <c r="AQ71" s="143"/>
      <c r="AR71" s="143"/>
      <c r="AS71" s="143"/>
      <c r="AT71" s="143"/>
      <c r="AU71" s="143"/>
      <c r="AV71" s="143"/>
      <c r="AW71" s="143"/>
      <c r="AX71" s="143"/>
      <c r="AY71" s="143"/>
      <c r="AZ71" s="143"/>
      <c r="BA71" s="143"/>
      <c r="BB71" s="143"/>
      <c r="BC71" s="143"/>
      <c r="BD71" s="143"/>
      <c r="BE71" s="143"/>
      <c r="BF71" s="143"/>
      <c r="BG71" s="143"/>
      <c r="BH71" s="143"/>
      <c r="BI71" s="143"/>
      <c r="BJ71" s="143"/>
      <c r="BK71" s="143"/>
      <c r="BL71" s="143"/>
      <c r="BM71" s="143"/>
      <c r="BN71" s="143"/>
      <c r="BO71" s="143"/>
      <c r="BP71" s="143"/>
      <c r="BQ71" s="143"/>
      <c r="BR71" s="143"/>
      <c r="BS71" s="143"/>
      <c r="BT71" s="143"/>
      <c r="BU71" s="143"/>
      <c r="BV71" s="143"/>
      <c r="BW71" s="143"/>
      <c r="BX71" s="143"/>
      <c r="BY71" s="143"/>
      <c r="BZ71" s="143"/>
      <c r="CA71" s="143"/>
      <c r="CB71" s="143"/>
      <c r="CC71" s="143"/>
      <c r="CD71" s="143"/>
      <c r="CE71" s="143"/>
      <c r="CF71" s="143"/>
      <c r="CG71" s="145"/>
      <c r="CH71" s="143"/>
      <c r="CI71" s="143"/>
      <c r="CJ71" s="143"/>
      <c r="CK71" s="143"/>
      <c r="CL71" s="143"/>
      <c r="CM71" s="143"/>
      <c r="CN71" s="170"/>
      <c r="CO71" s="143"/>
      <c r="CP71" s="143"/>
      <c r="CQ71" s="143"/>
      <c r="CR71" s="143"/>
      <c r="CS71" s="143"/>
      <c r="CT71" s="143"/>
      <c r="CU71" s="143"/>
      <c r="CV71" s="143"/>
      <c r="CW71" s="143"/>
      <c r="CX71" s="143"/>
      <c r="CY71" s="143"/>
      <c r="CZ71" s="143"/>
      <c r="DA71" s="143"/>
      <c r="DB71" s="143"/>
    </row>
    <row r="72" spans="1:106">
      <c r="A72" s="142"/>
      <c r="B72" s="143"/>
      <c r="C72" s="144"/>
      <c r="D72" s="143"/>
      <c r="E72" s="143"/>
      <c r="F72" s="143"/>
      <c r="G72" s="159"/>
      <c r="H72" s="159"/>
      <c r="I72" s="163">
        <f t="shared" si="2"/>
        <v>24</v>
      </c>
      <c r="J72" s="1571"/>
      <c r="K72" s="187" t="s">
        <v>1041</v>
      </c>
      <c r="L72" s="1571"/>
      <c r="M72" s="182">
        <v>3714387</v>
      </c>
      <c r="N72" s="186">
        <f t="shared" si="3"/>
        <v>0.35</v>
      </c>
      <c r="O72" s="185">
        <f t="shared" si="4"/>
        <v>1300035</v>
      </c>
      <c r="P72" s="182"/>
      <c r="Q72" s="143"/>
      <c r="R72" s="143"/>
      <c r="S72" s="143"/>
      <c r="T72" s="143"/>
      <c r="U72" s="143"/>
      <c r="V72" s="143"/>
      <c r="W72" s="143"/>
      <c r="X72" s="143"/>
      <c r="Y72" s="143"/>
      <c r="Z72" s="143"/>
      <c r="AA72" s="143"/>
      <c r="AB72" s="143"/>
      <c r="AC72" s="143"/>
      <c r="AD72" s="143"/>
      <c r="AE72" s="143"/>
      <c r="AF72" s="143"/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43"/>
      <c r="AR72" s="143"/>
      <c r="AS72" s="143"/>
      <c r="AT72" s="143"/>
      <c r="AU72" s="143"/>
      <c r="AV72" s="143"/>
      <c r="AW72" s="143"/>
      <c r="AX72" s="143"/>
      <c r="AY72" s="143"/>
      <c r="AZ72" s="143"/>
      <c r="BA72" s="143"/>
      <c r="BB72" s="143"/>
      <c r="BC72" s="143"/>
      <c r="BD72" s="143"/>
      <c r="BE72" s="143"/>
      <c r="BF72" s="143"/>
      <c r="BG72" s="143"/>
      <c r="BH72" s="143"/>
      <c r="BI72" s="143"/>
      <c r="BJ72" s="143"/>
      <c r="BK72" s="143"/>
      <c r="BL72" s="143"/>
      <c r="BM72" s="143"/>
      <c r="BN72" s="143"/>
      <c r="BO72" s="143"/>
      <c r="BP72" s="143"/>
      <c r="BQ72" s="143"/>
      <c r="BR72" s="143"/>
      <c r="BS72" s="143"/>
      <c r="BT72" s="143"/>
      <c r="BU72" s="143"/>
      <c r="BV72" s="143"/>
      <c r="BW72" s="143"/>
      <c r="BX72" s="143"/>
      <c r="BY72" s="143"/>
      <c r="BZ72" s="143"/>
      <c r="CA72" s="143"/>
      <c r="CB72" s="143"/>
      <c r="CC72" s="143"/>
      <c r="CD72" s="143"/>
      <c r="CE72" s="143"/>
      <c r="CF72" s="143"/>
      <c r="CG72" s="145"/>
      <c r="CH72" s="143"/>
      <c r="CI72" s="143"/>
      <c r="CJ72" s="143"/>
      <c r="CK72" s="143"/>
      <c r="CL72" s="143"/>
      <c r="CM72" s="143"/>
      <c r="CN72" s="170"/>
      <c r="CO72" s="143"/>
      <c r="CP72" s="143"/>
      <c r="CQ72" s="143"/>
      <c r="CR72" s="143"/>
      <c r="CS72" s="143"/>
      <c r="CT72" s="143"/>
      <c r="CU72" s="143"/>
      <c r="CV72" s="143"/>
      <c r="CW72" s="143"/>
      <c r="CX72" s="143"/>
      <c r="CY72" s="143"/>
      <c r="CZ72" s="143"/>
      <c r="DA72" s="143"/>
      <c r="DB72" s="143"/>
    </row>
    <row r="73" spans="1:106">
      <c r="A73" s="142"/>
      <c r="B73" s="143"/>
      <c r="C73" s="144"/>
      <c r="D73" s="143"/>
      <c r="E73" s="143"/>
      <c r="F73" s="143"/>
      <c r="G73" s="159"/>
      <c r="H73" s="159"/>
      <c r="I73" s="163">
        <f t="shared" si="2"/>
        <v>25</v>
      </c>
      <c r="J73" s="1571"/>
      <c r="K73" s="187" t="s">
        <v>1042</v>
      </c>
      <c r="L73" s="1571"/>
      <c r="M73" s="182">
        <v>3714387</v>
      </c>
      <c r="N73" s="186">
        <f t="shared" si="3"/>
        <v>0.35</v>
      </c>
      <c r="O73" s="185">
        <f t="shared" si="4"/>
        <v>1300035</v>
      </c>
      <c r="P73" s="182"/>
      <c r="Q73" s="143"/>
      <c r="R73" s="143"/>
      <c r="S73" s="143"/>
      <c r="T73" s="143"/>
      <c r="U73" s="143"/>
      <c r="V73" s="143"/>
      <c r="W73" s="143"/>
      <c r="X73" s="143"/>
      <c r="Y73" s="143"/>
      <c r="Z73" s="143"/>
      <c r="AA73" s="143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L73" s="143"/>
      <c r="AM73" s="143"/>
      <c r="AN73" s="143"/>
      <c r="AO73" s="143"/>
      <c r="AP73" s="143"/>
      <c r="AQ73" s="143"/>
      <c r="AR73" s="143"/>
      <c r="AS73" s="143"/>
      <c r="AT73" s="143"/>
      <c r="AU73" s="143"/>
      <c r="AV73" s="143"/>
      <c r="AW73" s="143"/>
      <c r="AX73" s="143"/>
      <c r="AY73" s="143"/>
      <c r="AZ73" s="143"/>
      <c r="BA73" s="143"/>
      <c r="BB73" s="143"/>
      <c r="BC73" s="143"/>
      <c r="BD73" s="143"/>
      <c r="BE73" s="143"/>
      <c r="BF73" s="143"/>
      <c r="BG73" s="143"/>
      <c r="BH73" s="143"/>
      <c r="BI73" s="143"/>
      <c r="BJ73" s="143"/>
      <c r="BK73" s="143"/>
      <c r="BL73" s="143"/>
      <c r="BM73" s="143"/>
      <c r="BN73" s="143"/>
      <c r="BO73" s="143"/>
      <c r="BP73" s="143"/>
      <c r="BQ73" s="143"/>
      <c r="BR73" s="143"/>
      <c r="BS73" s="143"/>
      <c r="BT73" s="143"/>
      <c r="BU73" s="143"/>
      <c r="BV73" s="143"/>
      <c r="BW73" s="143"/>
      <c r="BX73" s="143"/>
      <c r="BY73" s="143"/>
      <c r="BZ73" s="143"/>
      <c r="CA73" s="143"/>
      <c r="CB73" s="143"/>
      <c r="CC73" s="143"/>
      <c r="CD73" s="143"/>
      <c r="CE73" s="143"/>
      <c r="CF73" s="143"/>
      <c r="CG73" s="145"/>
      <c r="CH73" s="143"/>
      <c r="CI73" s="143"/>
      <c r="CJ73" s="143"/>
      <c r="CK73" s="143"/>
      <c r="CL73" s="143"/>
      <c r="CM73" s="143"/>
      <c r="CN73" s="170"/>
      <c r="CO73" s="143"/>
      <c r="CP73" s="143"/>
      <c r="CQ73" s="143"/>
      <c r="CR73" s="143"/>
      <c r="CS73" s="143"/>
      <c r="CT73" s="143"/>
      <c r="CU73" s="143"/>
      <c r="CV73" s="143"/>
      <c r="CW73" s="143"/>
      <c r="CX73" s="143"/>
      <c r="CY73" s="143"/>
      <c r="CZ73" s="143"/>
      <c r="DA73" s="143"/>
      <c r="DB73" s="143"/>
    </row>
    <row r="74" spans="1:106">
      <c r="A74" s="142"/>
      <c r="B74" s="143"/>
      <c r="C74" s="144"/>
      <c r="D74" s="143"/>
      <c r="E74" s="143"/>
      <c r="F74" s="143"/>
      <c r="G74" s="159"/>
      <c r="H74" s="159"/>
      <c r="I74" s="163">
        <f t="shared" si="2"/>
        <v>26</v>
      </c>
      <c r="J74" s="1571"/>
      <c r="K74" s="1299" t="s">
        <v>2960</v>
      </c>
      <c r="L74" s="1571"/>
      <c r="M74" s="182">
        <v>3714387</v>
      </c>
      <c r="N74" s="186">
        <f t="shared" si="3"/>
        <v>0.35</v>
      </c>
      <c r="O74" s="185">
        <f t="shared" si="4"/>
        <v>1300035</v>
      </c>
      <c r="P74" s="182"/>
      <c r="Q74" s="143"/>
      <c r="R74" s="143"/>
      <c r="S74" s="143"/>
      <c r="T74" s="143"/>
      <c r="U74" s="143"/>
      <c r="V74" s="143"/>
      <c r="W74" s="143"/>
      <c r="X74" s="143"/>
      <c r="Y74" s="143"/>
      <c r="Z74" s="143"/>
      <c r="AA74" s="143"/>
      <c r="AB74" s="143"/>
      <c r="AC74" s="143"/>
      <c r="AD74" s="143"/>
      <c r="AE74" s="143"/>
      <c r="AF74" s="143"/>
      <c r="AG74" s="143"/>
      <c r="AH74" s="143"/>
      <c r="AI74" s="143"/>
      <c r="AJ74" s="143"/>
      <c r="AK74" s="143"/>
      <c r="AL74" s="143"/>
      <c r="AM74" s="143"/>
      <c r="AN74" s="143"/>
      <c r="AO74" s="143"/>
      <c r="AP74" s="143"/>
      <c r="AQ74" s="143"/>
      <c r="AR74" s="143"/>
      <c r="AS74" s="143"/>
      <c r="AT74" s="143"/>
      <c r="AU74" s="143"/>
      <c r="AV74" s="143"/>
      <c r="AW74" s="143"/>
      <c r="AX74" s="143"/>
      <c r="AY74" s="143"/>
      <c r="AZ74" s="143"/>
      <c r="BA74" s="143"/>
      <c r="BB74" s="143"/>
      <c r="BC74" s="143"/>
      <c r="BD74" s="143"/>
      <c r="BE74" s="143"/>
      <c r="BF74" s="143"/>
      <c r="BG74" s="143"/>
      <c r="BH74" s="143"/>
      <c r="BI74" s="143"/>
      <c r="BJ74" s="143"/>
      <c r="BK74" s="143"/>
      <c r="BL74" s="143"/>
      <c r="BM74" s="143"/>
      <c r="BN74" s="143"/>
      <c r="BO74" s="143"/>
      <c r="BP74" s="143"/>
      <c r="BQ74" s="143"/>
      <c r="BR74" s="143"/>
      <c r="BS74" s="143"/>
      <c r="BT74" s="143"/>
      <c r="BU74" s="143"/>
      <c r="BV74" s="143"/>
      <c r="BW74" s="143"/>
      <c r="BX74" s="143"/>
      <c r="BY74" s="143"/>
      <c r="BZ74" s="143"/>
      <c r="CA74" s="143"/>
      <c r="CB74" s="143"/>
      <c r="CC74" s="143"/>
      <c r="CD74" s="143"/>
      <c r="CE74" s="143"/>
      <c r="CF74" s="143"/>
      <c r="CG74" s="145"/>
      <c r="CH74" s="143"/>
      <c r="CI74" s="143"/>
      <c r="CJ74" s="143"/>
      <c r="CK74" s="143"/>
      <c r="CL74" s="143"/>
      <c r="CM74" s="143"/>
      <c r="CN74" s="170"/>
      <c r="CO74" s="143"/>
      <c r="CP74" s="143"/>
      <c r="CQ74" s="143"/>
      <c r="CR74" s="143"/>
      <c r="CS74" s="143"/>
      <c r="CT74" s="143"/>
      <c r="CU74" s="143"/>
      <c r="CV74" s="143"/>
      <c r="CW74" s="143"/>
      <c r="CX74" s="143"/>
      <c r="CY74" s="143"/>
      <c r="CZ74" s="143"/>
      <c r="DA74" s="143"/>
      <c r="DB74" s="143"/>
    </row>
    <row r="75" spans="1:106">
      <c r="A75" s="142"/>
      <c r="B75" s="143"/>
      <c r="C75" s="144"/>
      <c r="D75" s="143"/>
      <c r="E75" s="143"/>
      <c r="F75" s="143"/>
      <c r="G75" s="159"/>
      <c r="H75" s="159"/>
      <c r="I75" s="163">
        <f t="shared" si="2"/>
        <v>27</v>
      </c>
      <c r="J75" s="1571"/>
      <c r="K75" s="187" t="s">
        <v>1043</v>
      </c>
      <c r="L75" s="1571"/>
      <c r="M75" s="182">
        <v>3714387</v>
      </c>
      <c r="N75" s="186">
        <f t="shared" si="3"/>
        <v>0.35</v>
      </c>
      <c r="O75" s="185">
        <f t="shared" si="4"/>
        <v>1300035</v>
      </c>
      <c r="P75" s="1571"/>
      <c r="Q75" s="143"/>
      <c r="R75" s="143"/>
      <c r="S75" s="143"/>
      <c r="T75" s="143"/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  <c r="AT75" s="143"/>
      <c r="AU75" s="143"/>
      <c r="AV75" s="143"/>
      <c r="AW75" s="143"/>
      <c r="AX75" s="143"/>
      <c r="AY75" s="143"/>
      <c r="AZ75" s="143"/>
      <c r="BA75" s="143"/>
      <c r="BB75" s="143"/>
      <c r="BC75" s="143"/>
      <c r="BD75" s="143"/>
      <c r="BE75" s="143"/>
      <c r="BF75" s="143"/>
      <c r="BG75" s="143"/>
      <c r="BH75" s="143"/>
      <c r="BI75" s="143"/>
      <c r="BJ75" s="143"/>
      <c r="BK75" s="143"/>
      <c r="BL75" s="143"/>
      <c r="BM75" s="143"/>
      <c r="BN75" s="143"/>
      <c r="BO75" s="143"/>
      <c r="BP75" s="143"/>
      <c r="BQ75" s="143"/>
      <c r="BR75" s="143"/>
      <c r="BS75" s="143"/>
      <c r="BT75" s="143"/>
      <c r="BU75" s="143"/>
      <c r="BV75" s="143"/>
      <c r="BW75" s="143"/>
      <c r="BX75" s="143"/>
      <c r="BY75" s="143"/>
      <c r="BZ75" s="143"/>
      <c r="CA75" s="143"/>
      <c r="CB75" s="143"/>
      <c r="CC75" s="143"/>
      <c r="CD75" s="143"/>
      <c r="CE75" s="143"/>
      <c r="CF75" s="143"/>
      <c r="CG75" s="145"/>
      <c r="CH75" s="143"/>
      <c r="CI75" s="143"/>
      <c r="CJ75" s="143"/>
      <c r="CK75" s="143"/>
      <c r="CL75" s="143"/>
      <c r="CM75" s="143"/>
      <c r="CN75" s="170"/>
      <c r="CO75" s="143"/>
      <c r="CP75" s="143"/>
      <c r="CQ75" s="143"/>
      <c r="CR75" s="143"/>
      <c r="CS75" s="143"/>
      <c r="CT75" s="143"/>
      <c r="CU75" s="143"/>
      <c r="CV75" s="143"/>
      <c r="CW75" s="143"/>
      <c r="CX75" s="143"/>
      <c r="CY75" s="143"/>
      <c r="CZ75" s="143"/>
      <c r="DA75" s="143"/>
      <c r="DB75" s="143"/>
    </row>
    <row r="76" spans="1:106">
      <c r="A76" s="142"/>
      <c r="B76" s="143"/>
      <c r="C76" s="144"/>
      <c r="D76" s="143"/>
      <c r="E76" s="143"/>
      <c r="F76" s="143"/>
      <c r="G76" s="159"/>
      <c r="H76" s="159"/>
      <c r="I76" s="163">
        <f t="shared" si="2"/>
        <v>28</v>
      </c>
      <c r="J76" s="1571"/>
      <c r="K76" s="187" t="s">
        <v>1044</v>
      </c>
      <c r="L76" s="1571"/>
      <c r="M76" s="182">
        <v>3714387</v>
      </c>
      <c r="N76" s="186">
        <f t="shared" si="3"/>
        <v>0.35</v>
      </c>
      <c r="O76" s="185">
        <f t="shared" si="4"/>
        <v>1300035</v>
      </c>
      <c r="P76" s="188"/>
      <c r="Q76" s="143"/>
      <c r="R76" s="143"/>
      <c r="S76" s="143"/>
      <c r="T76" s="143"/>
      <c r="U76" s="143"/>
      <c r="V76" s="143"/>
      <c r="W76" s="143"/>
      <c r="X76" s="143"/>
      <c r="Y76" s="143"/>
      <c r="Z76" s="143"/>
      <c r="AA76" s="143"/>
      <c r="AB76" s="143"/>
      <c r="AC76" s="143"/>
      <c r="AD76" s="143"/>
      <c r="AE76" s="143"/>
      <c r="AF76" s="143"/>
      <c r="AG76" s="143"/>
      <c r="AH76" s="143"/>
      <c r="AI76" s="143"/>
      <c r="AJ76" s="143"/>
      <c r="AK76" s="143"/>
      <c r="AL76" s="143"/>
      <c r="AM76" s="143"/>
      <c r="AN76" s="143"/>
      <c r="AO76" s="143"/>
      <c r="AP76" s="143"/>
      <c r="AQ76" s="143"/>
      <c r="AR76" s="143"/>
      <c r="AS76" s="143"/>
      <c r="AT76" s="143"/>
      <c r="AU76" s="143"/>
      <c r="AV76" s="143"/>
      <c r="AW76" s="143"/>
      <c r="AX76" s="143"/>
      <c r="AY76" s="143"/>
      <c r="AZ76" s="143"/>
      <c r="BA76" s="143"/>
      <c r="BB76" s="143"/>
      <c r="BC76" s="143"/>
      <c r="BD76" s="143"/>
      <c r="BE76" s="143"/>
      <c r="BF76" s="143"/>
      <c r="BG76" s="143"/>
      <c r="BH76" s="143"/>
      <c r="BI76" s="143"/>
      <c r="BJ76" s="143"/>
      <c r="BK76" s="143"/>
      <c r="BL76" s="143"/>
      <c r="BM76" s="143"/>
      <c r="BN76" s="143"/>
      <c r="BO76" s="143"/>
      <c r="BP76" s="143"/>
      <c r="BQ76" s="143"/>
      <c r="BR76" s="143"/>
      <c r="BS76" s="143"/>
      <c r="BT76" s="143"/>
      <c r="BU76" s="143"/>
      <c r="BV76" s="143"/>
      <c r="BW76" s="143"/>
      <c r="BX76" s="143"/>
      <c r="BY76" s="143"/>
      <c r="BZ76" s="143"/>
      <c r="CA76" s="143"/>
      <c r="CB76" s="143"/>
      <c r="CC76" s="143"/>
      <c r="CD76" s="143"/>
      <c r="CE76" s="143"/>
      <c r="CF76" s="143"/>
      <c r="CG76" s="145"/>
      <c r="CH76" s="143"/>
      <c r="CI76" s="143"/>
      <c r="CJ76" s="143"/>
      <c r="CK76" s="143"/>
      <c r="CL76" s="143"/>
      <c r="CM76" s="143"/>
      <c r="CN76" s="170"/>
      <c r="CO76" s="143"/>
      <c r="CP76" s="143"/>
      <c r="CQ76" s="143"/>
      <c r="CR76" s="143"/>
      <c r="CS76" s="143"/>
      <c r="CT76" s="143"/>
      <c r="CU76" s="143"/>
      <c r="CV76" s="143"/>
      <c r="CW76" s="143"/>
      <c r="CX76" s="143"/>
      <c r="CY76" s="143"/>
      <c r="CZ76" s="143"/>
      <c r="DA76" s="143"/>
      <c r="DB76" s="143"/>
    </row>
    <row r="77" spans="1:106" ht="13.5" thickBot="1">
      <c r="A77" s="142"/>
      <c r="B77" s="143"/>
      <c r="C77" s="144"/>
      <c r="D77" s="143"/>
      <c r="E77" s="143"/>
      <c r="F77" s="143"/>
      <c r="G77" s="159"/>
      <c r="H77" s="159"/>
      <c r="I77" s="163">
        <f t="shared" si="2"/>
        <v>29</v>
      </c>
      <c r="J77" s="1571"/>
      <c r="K77" s="1581" t="s">
        <v>1051</v>
      </c>
      <c r="L77" s="1571"/>
      <c r="M77" s="191">
        <f>SUM(M64:M76)</f>
        <v>48287031</v>
      </c>
      <c r="N77" s="1459"/>
      <c r="O77" s="191">
        <f>SUM(O64:O76)</f>
        <v>16900455</v>
      </c>
      <c r="P77" s="192"/>
      <c r="Q77" s="143"/>
      <c r="R77" s="143"/>
      <c r="S77" s="143"/>
      <c r="T77" s="143"/>
      <c r="U77" s="143"/>
      <c r="V77" s="143"/>
      <c r="W77" s="143"/>
      <c r="X77" s="143"/>
      <c r="Y77" s="143"/>
      <c r="Z77" s="143"/>
      <c r="AA77" s="143"/>
      <c r="AB77" s="143"/>
      <c r="AC77" s="143"/>
      <c r="AD77" s="143"/>
      <c r="AE77" s="143"/>
      <c r="AF77" s="143"/>
      <c r="AG77" s="143"/>
      <c r="AH77" s="143"/>
      <c r="AI77" s="143"/>
      <c r="AJ77" s="143"/>
      <c r="AK77" s="143"/>
      <c r="AL77" s="143"/>
      <c r="AM77" s="143"/>
      <c r="AN77" s="143"/>
      <c r="AO77" s="143"/>
      <c r="AP77" s="143"/>
      <c r="AQ77" s="143"/>
      <c r="AR77" s="143"/>
      <c r="AS77" s="143"/>
      <c r="AT77" s="143"/>
      <c r="AU77" s="143"/>
      <c r="AV77" s="143"/>
      <c r="AW77" s="143"/>
      <c r="AX77" s="143"/>
      <c r="AY77" s="143"/>
      <c r="AZ77" s="143"/>
      <c r="BA77" s="143"/>
      <c r="BB77" s="143"/>
      <c r="BC77" s="143"/>
      <c r="BD77" s="143"/>
      <c r="BE77" s="143"/>
      <c r="BF77" s="143"/>
      <c r="BG77" s="143"/>
      <c r="BH77" s="143"/>
      <c r="BI77" s="143"/>
      <c r="BJ77" s="143"/>
      <c r="BK77" s="143"/>
      <c r="BL77" s="143"/>
      <c r="BM77" s="143"/>
      <c r="BN77" s="143"/>
      <c r="BO77" s="143"/>
      <c r="BP77" s="143"/>
      <c r="BQ77" s="143"/>
      <c r="BR77" s="143"/>
      <c r="BS77" s="143"/>
      <c r="BT77" s="143"/>
      <c r="BU77" s="143"/>
      <c r="BV77" s="143"/>
      <c r="BW77" s="143"/>
      <c r="BX77" s="143"/>
      <c r="BY77" s="143"/>
      <c r="BZ77" s="143"/>
      <c r="CA77" s="143"/>
      <c r="CB77" s="143"/>
      <c r="CC77" s="143"/>
      <c r="CD77" s="143"/>
      <c r="CE77" s="143"/>
      <c r="CF77" s="143"/>
      <c r="CG77" s="145"/>
      <c r="CH77" s="143"/>
      <c r="CI77" s="143"/>
      <c r="CJ77" s="143"/>
      <c r="CK77" s="143"/>
      <c r="CL77" s="143"/>
      <c r="CM77" s="143"/>
      <c r="CN77" s="170"/>
      <c r="CO77" s="143"/>
      <c r="CP77" s="143"/>
      <c r="CQ77" s="143"/>
      <c r="CR77" s="143"/>
      <c r="CS77" s="143"/>
      <c r="CT77" s="143"/>
      <c r="CU77" s="143"/>
      <c r="CV77" s="143"/>
      <c r="CW77" s="143"/>
      <c r="CX77" s="143"/>
      <c r="CY77" s="143"/>
      <c r="CZ77" s="143"/>
      <c r="DA77" s="143"/>
      <c r="DB77" s="143"/>
    </row>
    <row r="78" spans="1:106" ht="13.5" thickTop="1">
      <c r="A78" s="142"/>
      <c r="B78" s="143"/>
      <c r="C78" s="144"/>
      <c r="D78" s="143"/>
      <c r="E78" s="143"/>
      <c r="F78" s="143"/>
      <c r="G78" s="159"/>
      <c r="H78" s="159"/>
      <c r="I78" s="163">
        <f t="shared" si="2"/>
        <v>30</v>
      </c>
      <c r="J78" s="1571"/>
      <c r="K78" s="1571"/>
      <c r="L78" s="1571"/>
      <c r="M78" s="189"/>
      <c r="N78" s="1459"/>
      <c r="O78" s="189"/>
      <c r="P78" s="1459"/>
      <c r="Q78" s="143"/>
      <c r="R78" s="143"/>
      <c r="S78" s="143"/>
      <c r="T78" s="143"/>
      <c r="U78" s="143"/>
      <c r="V78" s="143"/>
      <c r="W78" s="143"/>
      <c r="X78" s="143"/>
      <c r="Y78" s="143"/>
      <c r="Z78" s="143"/>
      <c r="AA78" s="143"/>
      <c r="AB78" s="143"/>
      <c r="AC78" s="143"/>
      <c r="AD78" s="143"/>
      <c r="AE78" s="143"/>
      <c r="AF78" s="143"/>
      <c r="AG78" s="143"/>
      <c r="AH78" s="143"/>
      <c r="AI78" s="143"/>
      <c r="AJ78" s="143"/>
      <c r="AK78" s="143"/>
      <c r="AL78" s="143"/>
      <c r="AM78" s="143"/>
      <c r="AN78" s="143"/>
      <c r="AO78" s="143"/>
      <c r="AP78" s="143"/>
      <c r="AQ78" s="143"/>
      <c r="AR78" s="143"/>
      <c r="AS78" s="143"/>
      <c r="AT78" s="143"/>
      <c r="AU78" s="143"/>
      <c r="AV78" s="143"/>
      <c r="AW78" s="143"/>
      <c r="AX78" s="143"/>
      <c r="AY78" s="143"/>
      <c r="AZ78" s="143"/>
      <c r="BA78" s="143"/>
      <c r="BB78" s="143"/>
      <c r="BC78" s="143"/>
      <c r="BD78" s="143"/>
      <c r="BE78" s="143"/>
      <c r="BF78" s="143"/>
      <c r="BG78" s="143"/>
      <c r="BH78" s="143"/>
      <c r="BI78" s="143"/>
      <c r="BJ78" s="143"/>
      <c r="BK78" s="143"/>
      <c r="BL78" s="143"/>
      <c r="BM78" s="143"/>
      <c r="BN78" s="143"/>
      <c r="BO78" s="143"/>
      <c r="BP78" s="143"/>
      <c r="BQ78" s="143"/>
      <c r="BR78" s="143"/>
      <c r="BS78" s="143"/>
      <c r="BT78" s="143"/>
      <c r="BU78" s="143"/>
      <c r="BV78" s="143"/>
      <c r="BW78" s="143"/>
      <c r="BX78" s="143"/>
      <c r="BY78" s="143"/>
      <c r="BZ78" s="143"/>
      <c r="CA78" s="143"/>
      <c r="CB78" s="143"/>
      <c r="CC78" s="143"/>
      <c r="CD78" s="143"/>
      <c r="CE78" s="143"/>
      <c r="CF78" s="143"/>
      <c r="CG78" s="145"/>
      <c r="CH78" s="143"/>
      <c r="CI78" s="143"/>
      <c r="CJ78" s="143"/>
      <c r="CK78" s="143"/>
      <c r="CL78" s="143"/>
      <c r="CM78" s="143"/>
      <c r="CN78" s="170"/>
      <c r="CO78" s="143"/>
      <c r="CP78" s="143"/>
      <c r="CQ78" s="143"/>
      <c r="CR78" s="143"/>
      <c r="CS78" s="143"/>
      <c r="CT78" s="143"/>
      <c r="CU78" s="143"/>
      <c r="CV78" s="143"/>
      <c r="CW78" s="143"/>
      <c r="CX78" s="143"/>
      <c r="CY78" s="143"/>
      <c r="CZ78" s="143"/>
      <c r="DA78" s="143"/>
      <c r="DB78" s="143"/>
    </row>
    <row r="79" spans="1:106" ht="13.5" thickBot="1">
      <c r="A79" s="142"/>
      <c r="B79" s="143"/>
      <c r="C79" s="144"/>
      <c r="D79" s="143"/>
      <c r="E79" s="143"/>
      <c r="F79" s="143"/>
      <c r="G79" s="159"/>
      <c r="H79" s="159"/>
      <c r="I79" s="163">
        <f t="shared" si="2"/>
        <v>31</v>
      </c>
      <c r="J79" s="1571"/>
      <c r="K79" s="1581" t="s">
        <v>1025</v>
      </c>
      <c r="L79" s="1571"/>
      <c r="M79" s="1301">
        <f>ROUND(M77/13,0)</f>
        <v>3714387</v>
      </c>
      <c r="N79" s="143"/>
      <c r="O79" s="1301">
        <f>ROUND(O77/13,0)</f>
        <v>1300035</v>
      </c>
      <c r="P79" s="188" t="s">
        <v>1226</v>
      </c>
      <c r="Q79" s="143"/>
      <c r="R79" s="143"/>
      <c r="S79" s="143"/>
      <c r="T79" s="143"/>
      <c r="U79" s="143"/>
      <c r="V79" s="143"/>
      <c r="W79" s="143"/>
      <c r="X79" s="143"/>
      <c r="Y79" s="143"/>
      <c r="Z79" s="143"/>
      <c r="AA79" s="143"/>
      <c r="AB79" s="143"/>
      <c r="AC79" s="143"/>
      <c r="AD79" s="143"/>
      <c r="AE79" s="143"/>
      <c r="AF79" s="143"/>
      <c r="AG79" s="143"/>
      <c r="AH79" s="143"/>
      <c r="AI79" s="143"/>
      <c r="AJ79" s="143"/>
      <c r="AK79" s="143"/>
      <c r="AL79" s="143"/>
      <c r="AM79" s="143"/>
      <c r="AN79" s="143"/>
      <c r="AO79" s="143"/>
      <c r="AP79" s="143"/>
      <c r="AQ79" s="143"/>
      <c r="AR79" s="143"/>
      <c r="AS79" s="143"/>
      <c r="AT79" s="143"/>
      <c r="AU79" s="143"/>
      <c r="AV79" s="143"/>
      <c r="AW79" s="143"/>
      <c r="AX79" s="143"/>
      <c r="AY79" s="143"/>
      <c r="AZ79" s="143"/>
      <c r="BA79" s="143"/>
      <c r="BB79" s="143"/>
      <c r="BC79" s="143"/>
      <c r="BD79" s="143"/>
      <c r="BE79" s="143"/>
      <c r="BF79" s="143"/>
      <c r="BG79" s="143"/>
      <c r="BH79" s="143"/>
      <c r="BI79" s="143"/>
      <c r="BJ79" s="143"/>
      <c r="BK79" s="143"/>
      <c r="BL79" s="143"/>
      <c r="BM79" s="143"/>
      <c r="BN79" s="143"/>
      <c r="BO79" s="143"/>
      <c r="BP79" s="143"/>
      <c r="BQ79" s="143"/>
      <c r="BR79" s="143"/>
      <c r="BS79" s="143"/>
      <c r="BT79" s="143"/>
      <c r="BU79" s="143"/>
      <c r="BV79" s="143"/>
      <c r="BW79" s="143"/>
      <c r="BX79" s="143"/>
      <c r="BY79" s="143"/>
      <c r="BZ79" s="143"/>
      <c r="CA79" s="143"/>
      <c r="CB79" s="143"/>
      <c r="CC79" s="143"/>
      <c r="CD79" s="143"/>
      <c r="CE79" s="143"/>
      <c r="CF79" s="143"/>
      <c r="CG79" s="145"/>
      <c r="CH79" s="143"/>
      <c r="CI79" s="143"/>
      <c r="CJ79" s="143"/>
      <c r="CK79" s="143"/>
      <c r="CL79" s="143"/>
      <c r="CM79" s="143"/>
      <c r="CN79" s="170"/>
      <c r="CO79" s="143"/>
      <c r="CP79" s="143"/>
      <c r="CQ79" s="143"/>
      <c r="CR79" s="143"/>
      <c r="CS79" s="143"/>
      <c r="CT79" s="143"/>
      <c r="CU79" s="143"/>
      <c r="CV79" s="143"/>
      <c r="CW79" s="143"/>
      <c r="CX79" s="143"/>
      <c r="CY79" s="143"/>
      <c r="CZ79" s="143"/>
      <c r="DA79" s="143"/>
      <c r="DB79" s="143"/>
    </row>
    <row r="80" spans="1:106" ht="13.5" thickTop="1">
      <c r="A80" s="142"/>
      <c r="B80" s="143"/>
      <c r="C80" s="144"/>
      <c r="D80" s="143"/>
      <c r="E80" s="143"/>
      <c r="F80" s="143"/>
      <c r="G80" s="159"/>
      <c r="H80" s="159"/>
      <c r="I80" s="2741"/>
      <c r="J80" s="1571"/>
      <c r="K80" s="1571"/>
      <c r="L80" s="1571"/>
      <c r="M80" s="1571"/>
      <c r="N80" s="189"/>
      <c r="O80" s="190"/>
      <c r="P80" s="1459"/>
      <c r="Q80" s="143"/>
      <c r="R80" s="143"/>
      <c r="S80" s="143"/>
      <c r="T80" s="143"/>
      <c r="U80" s="143"/>
      <c r="V80" s="143"/>
      <c r="W80" s="143"/>
      <c r="X80" s="143"/>
      <c r="Y80" s="143"/>
      <c r="Z80" s="143"/>
      <c r="AA80" s="143"/>
      <c r="AB80" s="143"/>
      <c r="AC80" s="143"/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143"/>
      <c r="AR80" s="143"/>
      <c r="AS80" s="143"/>
      <c r="AT80" s="143"/>
      <c r="AU80" s="143"/>
      <c r="AV80" s="143"/>
      <c r="AW80" s="143"/>
      <c r="AX80" s="143"/>
      <c r="AY80" s="143"/>
      <c r="AZ80" s="143"/>
      <c r="BA80" s="143"/>
      <c r="BB80" s="143"/>
      <c r="BC80" s="143"/>
      <c r="BD80" s="143"/>
      <c r="BE80" s="143"/>
      <c r="BF80" s="143"/>
      <c r="BG80" s="143"/>
      <c r="BH80" s="143"/>
      <c r="BI80" s="143"/>
      <c r="BJ80" s="143"/>
      <c r="BK80" s="143"/>
      <c r="BL80" s="143"/>
      <c r="BM80" s="143"/>
      <c r="BN80" s="143"/>
      <c r="BO80" s="143"/>
      <c r="BP80" s="143"/>
      <c r="BQ80" s="143"/>
      <c r="BR80" s="143"/>
      <c r="BS80" s="143"/>
      <c r="BT80" s="143"/>
      <c r="BU80" s="143"/>
      <c r="BV80" s="143"/>
      <c r="BW80" s="143"/>
      <c r="BX80" s="143"/>
      <c r="BY80" s="143"/>
      <c r="BZ80" s="143"/>
      <c r="CA80" s="143"/>
      <c r="CB80" s="143"/>
      <c r="CC80" s="143"/>
      <c r="CD80" s="143"/>
      <c r="CE80" s="143"/>
      <c r="CF80" s="143"/>
      <c r="CG80" s="145"/>
      <c r="CH80" s="143"/>
      <c r="CI80" s="143"/>
      <c r="CJ80" s="143"/>
      <c r="CK80" s="143"/>
      <c r="CL80" s="143"/>
      <c r="CM80" s="143"/>
      <c r="CN80" s="170"/>
      <c r="CO80" s="143"/>
      <c r="CP80" s="143"/>
      <c r="CQ80" s="143"/>
      <c r="CR80" s="143"/>
      <c r="CS80" s="143"/>
      <c r="CT80" s="143"/>
      <c r="CU80" s="143"/>
      <c r="CV80" s="143"/>
      <c r="CW80" s="143"/>
      <c r="CX80" s="143"/>
      <c r="CY80" s="143"/>
      <c r="CZ80" s="143"/>
      <c r="DA80" s="143"/>
      <c r="DB80" s="143"/>
    </row>
    <row r="81" spans="1:106">
      <c r="A81" s="142"/>
      <c r="B81" s="143"/>
      <c r="C81" s="144"/>
      <c r="D81" s="143"/>
      <c r="E81" s="143"/>
      <c r="F81" s="143"/>
      <c r="G81" s="159"/>
      <c r="H81" s="159"/>
      <c r="I81" s="2741"/>
      <c r="J81" s="1571"/>
      <c r="K81" s="1571"/>
      <c r="L81" s="1571"/>
      <c r="M81" s="1459"/>
      <c r="N81" s="1459"/>
      <c r="O81" s="1459"/>
      <c r="P81" s="1459"/>
      <c r="Q81" s="143"/>
      <c r="R81" s="143"/>
      <c r="S81" s="143"/>
      <c r="T81" s="143"/>
      <c r="U81" s="143"/>
      <c r="V81" s="143"/>
      <c r="W81" s="143"/>
      <c r="X81" s="143"/>
      <c r="Y81" s="143"/>
      <c r="Z81" s="143"/>
      <c r="AA81" s="143"/>
      <c r="AB81" s="143"/>
      <c r="AC81" s="143"/>
      <c r="AD81" s="143"/>
      <c r="AE81" s="143"/>
      <c r="AF81" s="143"/>
      <c r="AG81" s="143"/>
      <c r="AH81" s="143"/>
      <c r="AI81" s="143"/>
      <c r="AJ81" s="143"/>
      <c r="AK81" s="143"/>
      <c r="AL81" s="143"/>
      <c r="AM81" s="143"/>
      <c r="AN81" s="143"/>
      <c r="AO81" s="143"/>
      <c r="AP81" s="143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3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43"/>
      <c r="BQ81" s="143"/>
      <c r="BR81" s="143"/>
      <c r="BS81" s="143"/>
      <c r="BT81" s="143"/>
      <c r="BU81" s="143"/>
      <c r="BV81" s="143"/>
      <c r="BW81" s="143"/>
      <c r="BX81" s="143"/>
      <c r="BY81" s="143"/>
      <c r="BZ81" s="143"/>
      <c r="CA81" s="143"/>
      <c r="CB81" s="143"/>
      <c r="CC81" s="143"/>
      <c r="CD81" s="143"/>
      <c r="CE81" s="143"/>
      <c r="CF81" s="143"/>
      <c r="CG81" s="145"/>
      <c r="CH81" s="143"/>
      <c r="CI81" s="143"/>
      <c r="CJ81" s="143"/>
      <c r="CK81" s="143"/>
      <c r="CL81" s="143"/>
      <c r="CM81" s="143"/>
      <c r="CN81" s="170"/>
      <c r="CO81" s="143"/>
      <c r="CP81" s="143"/>
      <c r="CQ81" s="143"/>
      <c r="CR81" s="143"/>
      <c r="CS81" s="143"/>
      <c r="CT81" s="143"/>
      <c r="CU81" s="143"/>
      <c r="CV81" s="143"/>
      <c r="CW81" s="143"/>
      <c r="CX81" s="143"/>
      <c r="CY81" s="143"/>
      <c r="CZ81" s="143"/>
      <c r="DA81" s="143"/>
      <c r="DB81" s="143"/>
    </row>
    <row r="82" spans="1:106">
      <c r="A82" s="142"/>
      <c r="B82" s="143"/>
      <c r="C82" s="144"/>
      <c r="D82" s="143"/>
      <c r="E82" s="143"/>
      <c r="F82" s="143"/>
      <c r="G82" s="159"/>
      <c r="H82" s="159"/>
      <c r="I82" s="2741"/>
      <c r="J82" s="1571"/>
      <c r="K82" s="1581" t="s">
        <v>1053</v>
      </c>
      <c r="L82" s="1571"/>
      <c r="M82" s="1459"/>
      <c r="N82" s="1459"/>
      <c r="O82" s="1459"/>
      <c r="P82" s="1459"/>
      <c r="Q82" s="143"/>
      <c r="R82" s="143"/>
      <c r="S82" s="143"/>
      <c r="T82" s="143"/>
      <c r="U82" s="143"/>
      <c r="V82" s="143"/>
      <c r="W82" s="143"/>
      <c r="X82" s="143"/>
      <c r="Y82" s="143"/>
      <c r="Z82" s="143"/>
      <c r="AA82" s="143"/>
      <c r="AB82" s="143"/>
      <c r="AC82" s="143"/>
      <c r="AD82" s="143"/>
      <c r="AE82" s="143"/>
      <c r="AF82" s="143"/>
      <c r="AG82" s="143"/>
      <c r="AH82" s="143"/>
      <c r="AI82" s="143"/>
      <c r="AJ82" s="143"/>
      <c r="AK82" s="143"/>
      <c r="AL82" s="143"/>
      <c r="AM82" s="143"/>
      <c r="AN82" s="143"/>
      <c r="AO82" s="143"/>
      <c r="AP82" s="143"/>
      <c r="AQ82" s="143"/>
      <c r="AR82" s="143"/>
      <c r="AS82" s="143"/>
      <c r="AT82" s="143"/>
      <c r="AU82" s="143"/>
      <c r="AV82" s="143"/>
      <c r="AW82" s="143"/>
      <c r="AX82" s="143"/>
      <c r="AY82" s="143"/>
      <c r="AZ82" s="143"/>
      <c r="BA82" s="143"/>
      <c r="BB82" s="143"/>
      <c r="BC82" s="143"/>
      <c r="BD82" s="143"/>
      <c r="BE82" s="143"/>
      <c r="BF82" s="143"/>
      <c r="BG82" s="143"/>
      <c r="BH82" s="143"/>
      <c r="BI82" s="143"/>
      <c r="BJ82" s="143"/>
      <c r="BK82" s="143"/>
      <c r="BL82" s="143"/>
      <c r="BM82" s="143"/>
      <c r="BN82" s="143"/>
      <c r="BO82" s="143"/>
      <c r="BP82" s="143"/>
      <c r="BQ82" s="143"/>
      <c r="BR82" s="143"/>
      <c r="BS82" s="143"/>
      <c r="BT82" s="143"/>
      <c r="BU82" s="143"/>
      <c r="BV82" s="143"/>
      <c r="BW82" s="143"/>
      <c r="BX82" s="143"/>
      <c r="BY82" s="143"/>
      <c r="BZ82" s="143"/>
      <c r="CA82" s="143"/>
      <c r="CB82" s="143"/>
      <c r="CC82" s="143"/>
      <c r="CD82" s="143"/>
      <c r="CE82" s="143"/>
      <c r="CF82" s="143"/>
      <c r="CG82" s="145"/>
      <c r="CH82" s="143"/>
      <c r="CI82" s="143"/>
      <c r="CJ82" s="143"/>
      <c r="CK82" s="143"/>
      <c r="CL82" s="143"/>
      <c r="CM82" s="143"/>
      <c r="CN82" s="170"/>
      <c r="CO82" s="143"/>
      <c r="CP82" s="143"/>
      <c r="CQ82" s="143"/>
      <c r="CR82" s="143"/>
      <c r="CS82" s="143"/>
      <c r="CT82" s="143"/>
      <c r="CU82" s="143"/>
      <c r="CV82" s="143"/>
      <c r="CW82" s="143"/>
      <c r="CX82" s="143"/>
      <c r="CY82" s="143"/>
      <c r="CZ82" s="143"/>
      <c r="DA82" s="143"/>
      <c r="DB82" s="143"/>
    </row>
    <row r="83" spans="1:106">
      <c r="A83" s="142"/>
      <c r="B83" s="143"/>
      <c r="C83" s="144"/>
      <c r="D83" s="143"/>
      <c r="E83" s="143"/>
      <c r="F83" s="143"/>
      <c r="G83" s="159"/>
      <c r="H83" s="159"/>
      <c r="I83" s="2741"/>
      <c r="J83" s="1571"/>
      <c r="K83" s="1581" t="s">
        <v>1054</v>
      </c>
      <c r="L83" s="1571"/>
      <c r="M83" s="1571"/>
      <c r="N83" s="1571"/>
      <c r="O83" s="1571"/>
      <c r="P83" s="1459"/>
      <c r="Q83" s="143"/>
      <c r="R83" s="143"/>
      <c r="S83" s="143"/>
      <c r="T83" s="143"/>
      <c r="U83" s="143"/>
      <c r="V83" s="143"/>
      <c r="W83" s="143"/>
      <c r="X83" s="143"/>
      <c r="Y83" s="143"/>
      <c r="Z83" s="143"/>
      <c r="AA83" s="143"/>
      <c r="AB83" s="143"/>
      <c r="AC83" s="143"/>
      <c r="AD83" s="143"/>
      <c r="AE83" s="143"/>
      <c r="AF83" s="143"/>
      <c r="AG83" s="143"/>
      <c r="AH83" s="143"/>
      <c r="AI83" s="143"/>
      <c r="AJ83" s="143"/>
      <c r="AK83" s="143"/>
      <c r="AL83" s="143"/>
      <c r="AM83" s="143"/>
      <c r="AN83" s="143"/>
      <c r="AO83" s="143"/>
      <c r="AP83" s="143"/>
      <c r="AQ83" s="143"/>
      <c r="AR83" s="143"/>
      <c r="AS83" s="143"/>
      <c r="AT83" s="143"/>
      <c r="AU83" s="143"/>
      <c r="AV83" s="143"/>
      <c r="AW83" s="143"/>
      <c r="AX83" s="143"/>
      <c r="AY83" s="143"/>
      <c r="AZ83" s="143"/>
      <c r="BA83" s="143"/>
      <c r="BB83" s="143"/>
      <c r="BC83" s="143"/>
      <c r="BD83" s="143"/>
      <c r="BE83" s="143"/>
      <c r="BF83" s="143"/>
      <c r="BG83" s="143"/>
      <c r="BH83" s="143"/>
      <c r="BI83" s="143"/>
      <c r="BJ83" s="143"/>
      <c r="BK83" s="143"/>
      <c r="BL83" s="143"/>
      <c r="BM83" s="143"/>
      <c r="BN83" s="143"/>
      <c r="BO83" s="143"/>
      <c r="BP83" s="143"/>
      <c r="BQ83" s="143"/>
      <c r="BR83" s="143"/>
      <c r="BS83" s="143"/>
      <c r="BT83" s="143"/>
      <c r="BU83" s="143"/>
      <c r="BV83" s="143"/>
      <c r="BW83" s="143"/>
      <c r="BX83" s="143"/>
      <c r="BY83" s="143"/>
      <c r="BZ83" s="143"/>
      <c r="CA83" s="143"/>
      <c r="CB83" s="143"/>
      <c r="CC83" s="143"/>
      <c r="CD83" s="143"/>
      <c r="CE83" s="143"/>
      <c r="CF83" s="143"/>
      <c r="CG83" s="145"/>
      <c r="CH83" s="143"/>
      <c r="CI83" s="143"/>
      <c r="CJ83" s="143"/>
      <c r="CK83" s="143"/>
      <c r="CL83" s="143"/>
      <c r="CM83" s="143"/>
      <c r="CN83" s="170"/>
      <c r="CO83" s="143"/>
      <c r="CP83" s="143"/>
      <c r="CQ83" s="143"/>
      <c r="CR83" s="143"/>
      <c r="CS83" s="143"/>
      <c r="CT83" s="143"/>
      <c r="CU83" s="143"/>
      <c r="CV83" s="143"/>
      <c r="CW83" s="143"/>
      <c r="CX83" s="143"/>
      <c r="CY83" s="143"/>
      <c r="CZ83" s="143"/>
      <c r="DA83" s="143"/>
      <c r="DB83" s="143"/>
    </row>
    <row r="84" spans="1:106">
      <c r="A84" s="142"/>
      <c r="B84" s="143"/>
      <c r="C84" s="144"/>
      <c r="D84" s="143"/>
      <c r="E84" s="143"/>
      <c r="F84" s="143"/>
      <c r="G84" s="159"/>
      <c r="H84" s="159"/>
      <c r="I84" s="2741"/>
      <c r="J84" s="1571"/>
      <c r="K84" s="1581"/>
      <c r="L84" s="1571"/>
      <c r="M84" s="1459"/>
      <c r="N84" s="1459"/>
      <c r="O84" s="1459"/>
      <c r="P84" s="1459"/>
      <c r="Q84" s="143"/>
      <c r="R84" s="143"/>
      <c r="S84" s="143"/>
      <c r="T84" s="143"/>
      <c r="U84" s="143"/>
      <c r="V84" s="143"/>
      <c r="W84" s="143"/>
      <c r="X84" s="143"/>
      <c r="Y84" s="143"/>
      <c r="Z84" s="143"/>
      <c r="AA84" s="143"/>
      <c r="AB84" s="143"/>
      <c r="AC84" s="143"/>
      <c r="AD84" s="143"/>
      <c r="AE84" s="143"/>
      <c r="AF84" s="143"/>
      <c r="AG84" s="143"/>
      <c r="AH84" s="143"/>
      <c r="AI84" s="143"/>
      <c r="AJ84" s="143"/>
      <c r="AK84" s="143"/>
      <c r="AL84" s="143"/>
      <c r="AM84" s="143"/>
      <c r="AN84" s="143"/>
      <c r="AO84" s="143"/>
      <c r="AP84" s="143"/>
      <c r="AQ84" s="143"/>
      <c r="AR84" s="143"/>
      <c r="AS84" s="143"/>
      <c r="AT84" s="143"/>
      <c r="AU84" s="143"/>
      <c r="AV84" s="143"/>
      <c r="AW84" s="143"/>
      <c r="AX84" s="143"/>
      <c r="AY84" s="143"/>
      <c r="AZ84" s="143"/>
      <c r="BA84" s="143"/>
      <c r="BB84" s="143"/>
      <c r="BC84" s="143"/>
      <c r="BD84" s="143"/>
      <c r="BE84" s="143"/>
      <c r="BF84" s="143"/>
      <c r="BG84" s="143"/>
      <c r="BH84" s="143"/>
      <c r="BI84" s="143"/>
      <c r="BJ84" s="143"/>
      <c r="BK84" s="143"/>
      <c r="BL84" s="143"/>
      <c r="BM84" s="143"/>
      <c r="BN84" s="143"/>
      <c r="BO84" s="143"/>
      <c r="BP84" s="143"/>
      <c r="BQ84" s="143"/>
      <c r="BR84" s="143"/>
      <c r="BS84" s="143"/>
      <c r="BT84" s="143"/>
      <c r="BU84" s="143"/>
      <c r="BV84" s="143"/>
      <c r="BW84" s="143"/>
      <c r="BX84" s="143"/>
      <c r="BY84" s="143"/>
      <c r="BZ84" s="143"/>
      <c r="CA84" s="143"/>
      <c r="CB84" s="143"/>
      <c r="CC84" s="143"/>
      <c r="CD84" s="143"/>
      <c r="CE84" s="143"/>
      <c r="CF84" s="143"/>
      <c r="CG84" s="145"/>
      <c r="CH84" s="143"/>
      <c r="CI84" s="143"/>
      <c r="CJ84" s="143"/>
      <c r="CK84" s="143"/>
      <c r="CL84" s="143"/>
      <c r="CM84" s="143"/>
      <c r="CN84" s="170"/>
      <c r="CO84" s="143"/>
      <c r="CP84" s="143"/>
      <c r="CQ84" s="143"/>
      <c r="CR84" s="143"/>
      <c r="CS84" s="143"/>
      <c r="CT84" s="143"/>
      <c r="CU84" s="143"/>
      <c r="CV84" s="143"/>
      <c r="CW84" s="143"/>
      <c r="CX84" s="143"/>
      <c r="CY84" s="143"/>
      <c r="CZ84" s="143"/>
      <c r="DA84" s="143"/>
      <c r="DB84" s="143"/>
    </row>
    <row r="85" spans="1:106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 t="str">
        <f>COMPANY</f>
        <v>DUKE ENERGY KENTUCKY, INC.</v>
      </c>
      <c r="R85" s="143"/>
      <c r="S85" s="143"/>
      <c r="T85" s="143"/>
      <c r="U85" s="143"/>
      <c r="V85" s="143"/>
      <c r="W85" s="143"/>
      <c r="X85" s="143"/>
      <c r="Y85" s="143"/>
      <c r="Z85" s="143"/>
      <c r="AA85" s="143"/>
      <c r="AB85" s="143" t="s">
        <v>1713</v>
      </c>
      <c r="AC85" s="143"/>
      <c r="AD85" s="143"/>
      <c r="AE85" s="172"/>
      <c r="AF85" s="143"/>
      <c r="AG85" s="143"/>
      <c r="AH85" s="143"/>
      <c r="AI85" s="143"/>
      <c r="AJ85" s="143"/>
      <c r="AK85" s="143"/>
      <c r="AL85" s="143"/>
      <c r="AM85" s="143"/>
      <c r="AN85" s="143"/>
      <c r="AO85" s="143"/>
      <c r="AP85" s="143"/>
      <c r="AQ85" s="143"/>
      <c r="AR85" s="143"/>
      <c r="AS85" s="143"/>
      <c r="AT85" s="143"/>
      <c r="AU85" s="143"/>
      <c r="AV85" s="143"/>
      <c r="AW85" s="143"/>
      <c r="AX85" s="143"/>
      <c r="AY85" s="143"/>
      <c r="AZ85" s="143"/>
      <c r="BA85" s="143"/>
      <c r="BB85" s="143"/>
      <c r="BC85" s="143"/>
      <c r="BD85" s="143"/>
      <c r="BE85" s="143"/>
      <c r="BF85" s="143"/>
      <c r="BG85" s="143"/>
      <c r="BH85" s="143"/>
      <c r="BI85" s="143"/>
      <c r="BJ85" s="143"/>
      <c r="BK85" s="143"/>
      <c r="BL85" s="143"/>
      <c r="BM85" s="143"/>
      <c r="BN85" s="143"/>
      <c r="BO85" s="143"/>
      <c r="BP85" s="143"/>
      <c r="BQ85" s="143"/>
      <c r="BR85" s="143"/>
      <c r="BS85" s="143"/>
      <c r="BT85" s="143"/>
      <c r="BU85" s="143"/>
      <c r="BV85" s="143"/>
      <c r="BW85" s="143"/>
      <c r="BX85" s="143"/>
      <c r="BY85" s="143"/>
      <c r="BZ85" s="143"/>
      <c r="CA85" s="143"/>
      <c r="CB85" s="143"/>
      <c r="CC85" s="143"/>
      <c r="CD85" s="143"/>
      <c r="CE85" s="143"/>
      <c r="CF85" s="143"/>
      <c r="CG85" s="145"/>
      <c r="CH85" s="143"/>
      <c r="CI85" s="143"/>
      <c r="CJ85" s="143"/>
      <c r="CK85" s="143"/>
      <c r="CL85" s="143"/>
      <c r="CM85" s="143"/>
      <c r="CN85" s="170"/>
      <c r="CO85" s="143"/>
      <c r="CP85" s="143"/>
      <c r="CQ85" s="143"/>
      <c r="CR85" s="143"/>
      <c r="CS85" s="143"/>
      <c r="CT85" s="143"/>
      <c r="CU85" s="143"/>
      <c r="CV85" s="143"/>
      <c r="CW85" s="143"/>
      <c r="CX85" s="143"/>
      <c r="CY85" s="143"/>
      <c r="CZ85" s="143"/>
      <c r="DA85" s="143"/>
      <c r="DB85" s="143"/>
    </row>
    <row r="86" spans="1:106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 t="str">
        <f>DEPT</f>
        <v>ELECTRIC DEPARTMENT</v>
      </c>
      <c r="R86" s="143"/>
      <c r="S86" s="143"/>
      <c r="T86" s="143"/>
      <c r="U86" s="143"/>
      <c r="V86" s="143"/>
      <c r="W86" s="143"/>
      <c r="X86" s="143"/>
      <c r="Y86" s="143"/>
      <c r="Z86" s="143"/>
      <c r="AA86" s="143"/>
      <c r="AB86" s="143" t="s">
        <v>622</v>
      </c>
      <c r="AC86" s="143"/>
      <c r="AD86" s="143"/>
      <c r="AE86" s="170"/>
      <c r="AF86" s="143"/>
      <c r="AG86" s="143"/>
      <c r="AH86" s="143"/>
      <c r="AI86" s="143"/>
      <c r="AJ86" s="143"/>
      <c r="AK86" s="143"/>
      <c r="AL86" s="143"/>
      <c r="AM86" s="143"/>
      <c r="AN86" s="143"/>
      <c r="AO86" s="143"/>
      <c r="AP86" s="143"/>
      <c r="AQ86" s="143"/>
      <c r="AR86" s="143"/>
      <c r="AS86" s="143"/>
      <c r="AT86" s="143"/>
      <c r="AU86" s="143"/>
      <c r="AV86" s="143"/>
      <c r="AW86" s="143"/>
      <c r="AX86" s="143"/>
      <c r="AY86" s="143"/>
      <c r="AZ86" s="143"/>
      <c r="BA86" s="143"/>
      <c r="BB86" s="143"/>
      <c r="BC86" s="143"/>
      <c r="BD86" s="143"/>
      <c r="BE86" s="143"/>
      <c r="BF86" s="143"/>
      <c r="BG86" s="143"/>
      <c r="BH86" s="143"/>
      <c r="BI86" s="143"/>
      <c r="BJ86" s="143"/>
      <c r="BK86" s="143"/>
      <c r="BL86" s="143"/>
      <c r="BM86" s="143"/>
      <c r="BN86" s="143"/>
      <c r="BO86" s="143"/>
      <c r="BP86" s="143"/>
      <c r="BQ86" s="143"/>
      <c r="BR86" s="143"/>
      <c r="BS86" s="143"/>
      <c r="BT86" s="143"/>
      <c r="BU86" s="143"/>
      <c r="BV86" s="143"/>
      <c r="BW86" s="143"/>
      <c r="BX86" s="143"/>
      <c r="BY86" s="143"/>
      <c r="BZ86" s="143"/>
      <c r="CA86" s="143"/>
      <c r="CB86" s="143"/>
      <c r="CC86" s="143"/>
      <c r="CD86" s="143"/>
      <c r="CE86" s="143"/>
      <c r="CF86" s="143"/>
      <c r="CG86" s="145"/>
      <c r="CH86" s="143"/>
      <c r="CI86" s="143"/>
      <c r="CJ86" s="143"/>
      <c r="CK86" s="143"/>
      <c r="CL86" s="143"/>
      <c r="CM86" s="143"/>
      <c r="CN86" s="170"/>
      <c r="CO86" s="143"/>
      <c r="CP86" s="143"/>
      <c r="CQ86" s="143"/>
      <c r="CR86" s="143"/>
      <c r="CS86" s="143"/>
      <c r="CT86" s="143"/>
      <c r="CU86" s="143"/>
      <c r="CV86" s="143"/>
      <c r="CW86" s="143"/>
      <c r="CX86" s="143"/>
      <c r="CY86" s="143"/>
      <c r="CZ86" s="143"/>
      <c r="DA86" s="143"/>
      <c r="DB86" s="143"/>
    </row>
    <row r="87" spans="1:106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 t="str">
        <f>CASE</f>
        <v>CASE NO. 2017-00321</v>
      </c>
      <c r="R87" s="143"/>
      <c r="S87" s="143"/>
      <c r="T87" s="143"/>
      <c r="U87" s="143"/>
      <c r="V87" s="143"/>
      <c r="W87" s="143"/>
      <c r="X87" s="143"/>
      <c r="Y87" s="143"/>
      <c r="Z87" s="143"/>
      <c r="AA87" s="143"/>
      <c r="AB87" s="127" t="s">
        <v>2709</v>
      </c>
      <c r="AC87" s="143"/>
      <c r="AD87" s="143"/>
      <c r="AE87" s="170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3"/>
      <c r="BK87" s="143"/>
      <c r="BL87" s="143"/>
      <c r="BM87" s="143"/>
      <c r="BN87" s="143"/>
      <c r="BO87" s="143"/>
      <c r="BP87" s="143"/>
      <c r="BQ87" s="143"/>
      <c r="BR87" s="143"/>
      <c r="BS87" s="143"/>
      <c r="BT87" s="143"/>
      <c r="BU87" s="143"/>
      <c r="BV87" s="143"/>
      <c r="BW87" s="143"/>
      <c r="BX87" s="143"/>
      <c r="BY87" s="143"/>
      <c r="BZ87" s="143"/>
      <c r="CA87" s="143"/>
      <c r="CB87" s="143"/>
      <c r="CC87" s="143"/>
      <c r="CD87" s="143"/>
      <c r="CE87" s="143"/>
      <c r="CF87" s="143"/>
      <c r="CG87" s="145"/>
      <c r="CH87" s="143"/>
      <c r="CI87" s="143"/>
      <c r="CJ87" s="143"/>
      <c r="CK87" s="143"/>
      <c r="CL87" s="143"/>
      <c r="CM87" s="143"/>
      <c r="CN87" s="170"/>
      <c r="CO87" s="143"/>
      <c r="CP87" s="143"/>
      <c r="CQ87" s="143"/>
      <c r="CR87" s="143"/>
      <c r="CS87" s="143"/>
      <c r="CT87" s="143"/>
      <c r="CU87" s="143"/>
      <c r="CV87" s="143"/>
      <c r="CW87" s="143"/>
      <c r="CX87" s="143"/>
      <c r="CY87" s="143"/>
      <c r="CZ87" s="143"/>
      <c r="DA87" s="143"/>
      <c r="DB87" s="143"/>
    </row>
    <row r="88" spans="1:106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 t="s">
        <v>956</v>
      </c>
      <c r="R88" s="143"/>
      <c r="S88" s="143"/>
      <c r="T88" s="143"/>
      <c r="U88" s="143"/>
      <c r="V88" s="143"/>
      <c r="W88" s="143"/>
      <c r="X88" s="143"/>
      <c r="Y88" s="143"/>
      <c r="Z88" s="143"/>
      <c r="AA88" s="143"/>
      <c r="AB88" s="143"/>
      <c r="AC88" s="143"/>
      <c r="AD88" s="143"/>
      <c r="AE88" s="170"/>
      <c r="AF88" s="143"/>
      <c r="AG88" s="143"/>
      <c r="AH88" s="143"/>
      <c r="AI88" s="143"/>
      <c r="AJ88" s="143"/>
      <c r="AK88" s="143"/>
      <c r="AL88" s="143"/>
      <c r="AM88" s="143"/>
      <c r="AN88" s="143"/>
      <c r="AO88" s="143"/>
      <c r="AP88" s="143"/>
      <c r="AQ88" s="143"/>
      <c r="AR88" s="143"/>
      <c r="AS88" s="143"/>
      <c r="AT88" s="143"/>
      <c r="AU88" s="143"/>
      <c r="AV88" s="143"/>
      <c r="AW88" s="143"/>
      <c r="AX88" s="143"/>
      <c r="AY88" s="143"/>
      <c r="AZ88" s="143"/>
      <c r="BA88" s="143"/>
      <c r="BB88" s="143"/>
      <c r="BC88" s="143"/>
      <c r="BD88" s="143"/>
      <c r="BE88" s="143"/>
      <c r="BF88" s="143"/>
      <c r="BG88" s="143"/>
      <c r="BH88" s="143"/>
      <c r="BI88" s="143"/>
      <c r="BJ88" s="143"/>
      <c r="BK88" s="143"/>
      <c r="BL88" s="143"/>
      <c r="BM88" s="143"/>
      <c r="BN88" s="143"/>
      <c r="BO88" s="143"/>
      <c r="BP88" s="143"/>
      <c r="BQ88" s="143"/>
      <c r="BR88" s="143"/>
      <c r="BS88" s="143"/>
      <c r="BT88" s="143"/>
      <c r="BU88" s="143"/>
      <c r="BV88" s="143"/>
      <c r="BW88" s="143"/>
      <c r="BX88" s="143"/>
      <c r="BY88" s="143"/>
      <c r="BZ88" s="143"/>
      <c r="CA88" s="143"/>
      <c r="CB88" s="143"/>
      <c r="CC88" s="143"/>
      <c r="CD88" s="143"/>
      <c r="CE88" s="143"/>
      <c r="CF88" s="143"/>
      <c r="CG88" s="145"/>
      <c r="CH88" s="143"/>
      <c r="CI88" s="143"/>
      <c r="CJ88" s="143"/>
      <c r="CK88" s="143"/>
      <c r="CL88" s="143"/>
      <c r="CM88" s="143"/>
      <c r="CN88" s="170"/>
      <c r="CO88" s="143"/>
      <c r="CP88" s="143"/>
      <c r="CQ88" s="143"/>
      <c r="CR88" s="143"/>
      <c r="CS88" s="143"/>
      <c r="CT88" s="143"/>
      <c r="CU88" s="143"/>
      <c r="CV88" s="143"/>
      <c r="CW88" s="143"/>
      <c r="CX88" s="143"/>
      <c r="CY88" s="143"/>
      <c r="CZ88" s="143"/>
      <c r="DA88" s="143"/>
      <c r="DB88" s="143"/>
    </row>
    <row r="89" spans="1:106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93" t="s">
        <v>206</v>
      </c>
      <c r="R89" s="143"/>
      <c r="S89" s="143"/>
      <c r="T89" s="143"/>
      <c r="U89" s="143"/>
      <c r="V89" s="143"/>
      <c r="W89" s="143"/>
      <c r="X89" s="143"/>
      <c r="Y89" s="143"/>
      <c r="Z89" s="143"/>
      <c r="AA89" s="143"/>
      <c r="AB89" s="143"/>
      <c r="AC89" s="143"/>
      <c r="AD89" s="143"/>
      <c r="AE89" s="194"/>
      <c r="AF89" s="143"/>
      <c r="AG89" s="143"/>
      <c r="AH89" s="143"/>
      <c r="AI89" s="143"/>
      <c r="AJ89" s="143"/>
      <c r="AK89" s="143"/>
      <c r="AL89" s="143"/>
      <c r="AM89" s="143"/>
      <c r="AN89" s="143"/>
      <c r="AO89" s="143"/>
      <c r="AP89" s="143"/>
      <c r="AQ89" s="143"/>
      <c r="AR89" s="143"/>
      <c r="AS89" s="143"/>
      <c r="AT89" s="143"/>
      <c r="AU89" s="143"/>
      <c r="AV89" s="143"/>
      <c r="AW89" s="143"/>
      <c r="AX89" s="143"/>
      <c r="AY89" s="143"/>
      <c r="AZ89" s="143"/>
      <c r="BA89" s="143"/>
      <c r="BB89" s="143"/>
      <c r="BC89" s="143"/>
      <c r="BD89" s="143"/>
      <c r="BE89" s="143"/>
      <c r="BF89" s="143"/>
      <c r="BG89" s="143"/>
      <c r="BH89" s="143"/>
      <c r="BI89" s="143"/>
      <c r="BJ89" s="143"/>
      <c r="BK89" s="143"/>
      <c r="BL89" s="143"/>
      <c r="BM89" s="143"/>
      <c r="BN89" s="143"/>
      <c r="BO89" s="143"/>
      <c r="BP89" s="143"/>
      <c r="BQ89" s="143"/>
      <c r="BR89" s="143"/>
      <c r="BS89" s="143"/>
      <c r="BT89" s="143"/>
      <c r="BU89" s="143"/>
      <c r="BV89" s="143"/>
      <c r="BW89" s="143"/>
      <c r="BX89" s="143"/>
      <c r="BY89" s="143"/>
      <c r="BZ89" s="143"/>
      <c r="CA89" s="143"/>
      <c r="CB89" s="143"/>
      <c r="CC89" s="143"/>
      <c r="CD89" s="143"/>
      <c r="CE89" s="143"/>
      <c r="CF89" s="143"/>
      <c r="CG89" s="145"/>
      <c r="CH89" s="143"/>
      <c r="CI89" s="143"/>
      <c r="CJ89" s="143"/>
      <c r="CK89" s="143"/>
      <c r="CL89" s="143"/>
      <c r="CM89" s="143"/>
      <c r="CN89" s="170"/>
      <c r="CO89" s="143"/>
      <c r="CP89" s="143"/>
      <c r="CQ89" s="143"/>
      <c r="CR89" s="143"/>
      <c r="CS89" s="143"/>
      <c r="CT89" s="143"/>
      <c r="CU89" s="143"/>
      <c r="CV89" s="143"/>
      <c r="CW89" s="143"/>
      <c r="CX89" s="143"/>
      <c r="CY89" s="143"/>
      <c r="CZ89" s="143"/>
      <c r="DA89" s="143"/>
      <c r="DB89" s="143"/>
    </row>
    <row r="90" spans="1:106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  <c r="Y90" s="143"/>
      <c r="Z90" s="143"/>
      <c r="AA90" s="143"/>
      <c r="AB90" s="143"/>
      <c r="AC90" s="143"/>
      <c r="AD90" s="143"/>
      <c r="AE90" s="170"/>
      <c r="AF90" s="143"/>
      <c r="AG90" s="143"/>
      <c r="AH90" s="143"/>
      <c r="AI90" s="143"/>
      <c r="AJ90" s="143"/>
      <c r="AK90" s="143"/>
      <c r="AL90" s="143"/>
      <c r="AM90" s="143"/>
      <c r="AN90" s="143"/>
      <c r="AO90" s="143"/>
      <c r="AP90" s="143"/>
      <c r="AQ90" s="143"/>
      <c r="AR90" s="143"/>
      <c r="AS90" s="143"/>
      <c r="AT90" s="143"/>
      <c r="AU90" s="143"/>
      <c r="AV90" s="143"/>
      <c r="AW90" s="143"/>
      <c r="AX90" s="143"/>
      <c r="AY90" s="143"/>
      <c r="AZ90" s="143"/>
      <c r="BA90" s="143"/>
      <c r="BB90" s="143"/>
      <c r="BC90" s="143"/>
      <c r="BD90" s="143"/>
      <c r="BE90" s="143"/>
      <c r="BF90" s="143"/>
      <c r="BG90" s="143"/>
      <c r="BH90" s="143"/>
      <c r="BI90" s="143"/>
      <c r="BJ90" s="143"/>
      <c r="BK90" s="143"/>
      <c r="BL90" s="143"/>
      <c r="BM90" s="143"/>
      <c r="BN90" s="143"/>
      <c r="BO90" s="143"/>
      <c r="BP90" s="143"/>
      <c r="BQ90" s="143"/>
      <c r="BR90" s="143"/>
      <c r="BS90" s="143"/>
      <c r="BT90" s="143"/>
      <c r="BU90" s="143"/>
      <c r="BV90" s="143"/>
      <c r="BW90" s="143"/>
      <c r="BX90" s="143"/>
      <c r="BY90" s="143"/>
      <c r="BZ90" s="143"/>
      <c r="CA90" s="143"/>
      <c r="CB90" s="143"/>
      <c r="CC90" s="143"/>
      <c r="CD90" s="143"/>
      <c r="CE90" s="143"/>
      <c r="CF90" s="143"/>
      <c r="CG90" s="145"/>
      <c r="CH90" s="143"/>
      <c r="CI90" s="143"/>
      <c r="CJ90" s="143"/>
      <c r="CK90" s="143"/>
      <c r="CL90" s="143"/>
      <c r="CM90" s="143"/>
      <c r="CN90" s="170"/>
      <c r="CO90" s="143"/>
      <c r="CP90" s="143"/>
      <c r="CQ90" s="143"/>
      <c r="CR90" s="143"/>
      <c r="CS90" s="143"/>
      <c r="CT90" s="143"/>
      <c r="CU90" s="143"/>
      <c r="CV90" s="143"/>
      <c r="CW90" s="143"/>
      <c r="CX90" s="143"/>
      <c r="CY90" s="143"/>
      <c r="CZ90" s="143"/>
      <c r="DA90" s="143"/>
      <c r="DB90" s="143"/>
    </row>
    <row r="91" spans="1:106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63"/>
      <c r="R91" s="163"/>
      <c r="S91" s="163"/>
      <c r="T91" s="163"/>
      <c r="U91" s="163"/>
      <c r="V91" s="163"/>
      <c r="W91" s="163"/>
      <c r="X91" s="163" t="s">
        <v>1055</v>
      </c>
      <c r="Y91" s="163"/>
      <c r="Z91" s="163"/>
      <c r="AA91" s="163" t="s">
        <v>1056</v>
      </c>
      <c r="AB91" s="163"/>
      <c r="AC91" s="163"/>
      <c r="AD91" s="143"/>
      <c r="AE91" s="195"/>
      <c r="AF91" s="143"/>
      <c r="AG91" s="143"/>
      <c r="AH91" s="143"/>
      <c r="AI91" s="143"/>
      <c r="AJ91" s="143"/>
      <c r="AK91" s="143"/>
      <c r="AL91" s="143"/>
      <c r="AM91" s="143"/>
      <c r="AN91" s="143"/>
      <c r="AO91" s="143"/>
      <c r="AP91" s="143"/>
      <c r="AQ91" s="143"/>
      <c r="AR91" s="143"/>
      <c r="AS91" s="143"/>
      <c r="AT91" s="143"/>
      <c r="AU91" s="143"/>
      <c r="AV91" s="143"/>
      <c r="AW91" s="143"/>
      <c r="AX91" s="143"/>
      <c r="AY91" s="143"/>
      <c r="AZ91" s="143"/>
      <c r="BA91" s="143"/>
      <c r="BB91" s="143"/>
      <c r="BC91" s="143"/>
      <c r="BD91" s="143"/>
      <c r="BE91" s="143"/>
      <c r="BF91" s="143"/>
      <c r="BG91" s="143"/>
      <c r="BH91" s="143"/>
      <c r="BI91" s="143"/>
      <c r="BJ91" s="143"/>
      <c r="BK91" s="143"/>
      <c r="BL91" s="143"/>
      <c r="BM91" s="143"/>
      <c r="BN91" s="143"/>
      <c r="BO91" s="143"/>
      <c r="BP91" s="143"/>
      <c r="BQ91" s="143"/>
      <c r="BR91" s="143"/>
      <c r="BS91" s="143"/>
      <c r="BT91" s="143"/>
      <c r="BU91" s="143"/>
      <c r="BV91" s="143"/>
      <c r="BW91" s="143"/>
      <c r="BX91" s="143"/>
      <c r="BY91" s="143"/>
      <c r="BZ91" s="143"/>
      <c r="CA91" s="143"/>
      <c r="CB91" s="143"/>
      <c r="CC91" s="143"/>
      <c r="CD91" s="143"/>
      <c r="CE91" s="143"/>
      <c r="CF91" s="143"/>
      <c r="CG91" s="145"/>
      <c r="CH91" s="143"/>
      <c r="CI91" s="143"/>
      <c r="CJ91" s="143"/>
      <c r="CK91" s="143"/>
      <c r="CL91" s="143"/>
      <c r="CM91" s="143"/>
      <c r="CN91" s="170"/>
      <c r="CO91" s="143"/>
      <c r="CP91" s="143"/>
      <c r="CQ91" s="143"/>
      <c r="CR91" s="143"/>
      <c r="CS91" s="143"/>
      <c r="CT91" s="143"/>
      <c r="CU91" s="143"/>
      <c r="CV91" s="143"/>
      <c r="CW91" s="143"/>
      <c r="CX91" s="143"/>
      <c r="CY91" s="143"/>
      <c r="CZ91" s="143"/>
      <c r="DA91" s="143"/>
      <c r="DB91" s="143"/>
    </row>
    <row r="92" spans="1:106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63" t="s">
        <v>1961</v>
      </c>
      <c r="R92" s="163"/>
      <c r="S92" s="163"/>
      <c r="T92" s="163"/>
      <c r="U92" s="163"/>
      <c r="V92" s="163"/>
      <c r="W92" s="163" t="s">
        <v>1035</v>
      </c>
      <c r="X92" s="163" t="s">
        <v>395</v>
      </c>
      <c r="Y92" s="163"/>
      <c r="Z92" s="163"/>
      <c r="AA92" s="163" t="s">
        <v>1057</v>
      </c>
      <c r="AB92" s="163"/>
      <c r="AC92" s="163" t="s">
        <v>1058</v>
      </c>
      <c r="AD92" s="143"/>
      <c r="AE92" s="195"/>
      <c r="AF92" s="143"/>
      <c r="AG92" s="143"/>
      <c r="AH92" s="143"/>
      <c r="AI92" s="143"/>
      <c r="AJ92" s="143"/>
      <c r="AK92" s="143"/>
      <c r="AL92" s="143"/>
      <c r="AM92" s="143"/>
      <c r="AN92" s="143"/>
      <c r="AO92" s="143"/>
      <c r="AP92" s="143"/>
      <c r="AQ92" s="143"/>
      <c r="AR92" s="143"/>
      <c r="AS92" s="143"/>
      <c r="AT92" s="143"/>
      <c r="AU92" s="143"/>
      <c r="AV92" s="143"/>
      <c r="AW92" s="143"/>
      <c r="AX92" s="143"/>
      <c r="AY92" s="143"/>
      <c r="AZ92" s="143"/>
      <c r="BA92" s="143"/>
      <c r="BB92" s="143"/>
      <c r="BC92" s="143"/>
      <c r="BD92" s="143"/>
      <c r="BE92" s="143"/>
      <c r="BF92" s="143"/>
      <c r="BG92" s="143"/>
      <c r="BH92" s="143"/>
      <c r="BI92" s="143"/>
      <c r="BJ92" s="143"/>
      <c r="BK92" s="143"/>
      <c r="BL92" s="143"/>
      <c r="BM92" s="143"/>
      <c r="BN92" s="143"/>
      <c r="BO92" s="143"/>
      <c r="BP92" s="143"/>
      <c r="BQ92" s="143"/>
      <c r="BR92" s="143"/>
      <c r="BS92" s="143"/>
      <c r="BT92" s="143"/>
      <c r="BU92" s="143"/>
      <c r="BV92" s="143"/>
      <c r="BW92" s="143"/>
      <c r="BX92" s="143"/>
      <c r="BY92" s="143"/>
      <c r="BZ92" s="143"/>
      <c r="CA92" s="143"/>
      <c r="CB92" s="143"/>
      <c r="CC92" s="143"/>
      <c r="CD92" s="143"/>
      <c r="CE92" s="143"/>
      <c r="CF92" s="143"/>
      <c r="CG92" s="145"/>
      <c r="CH92" s="143"/>
      <c r="CI92" s="143"/>
      <c r="CJ92" s="143"/>
      <c r="CK92" s="143"/>
      <c r="CL92" s="143"/>
      <c r="CM92" s="143"/>
      <c r="CN92" s="170"/>
      <c r="CO92" s="143"/>
      <c r="CP92" s="143"/>
      <c r="CQ92" s="143"/>
      <c r="CR92" s="143"/>
      <c r="CS92" s="143"/>
      <c r="CT92" s="143"/>
      <c r="CU92" s="143"/>
      <c r="CV92" s="143"/>
      <c r="CW92" s="143"/>
      <c r="CX92" s="143"/>
      <c r="CY92" s="143"/>
      <c r="CZ92" s="143"/>
      <c r="DA92" s="143"/>
      <c r="DB92" s="143"/>
    </row>
    <row r="93" spans="1:106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79" t="s">
        <v>90</v>
      </c>
      <c r="R93" s="179"/>
      <c r="S93" s="196" t="s">
        <v>566</v>
      </c>
      <c r="T93" s="196"/>
      <c r="U93" s="196"/>
      <c r="V93" s="179"/>
      <c r="W93" s="179" t="s">
        <v>1059</v>
      </c>
      <c r="X93" s="179" t="s">
        <v>1060</v>
      </c>
      <c r="Y93" s="179"/>
      <c r="Z93" s="179" t="s">
        <v>364</v>
      </c>
      <c r="AA93" s="179" t="s">
        <v>1061</v>
      </c>
      <c r="AB93" s="179" t="s">
        <v>363</v>
      </c>
      <c r="AC93" s="179" t="s">
        <v>1062</v>
      </c>
      <c r="AD93" s="143"/>
      <c r="AE93" s="197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  <c r="BC93" s="143"/>
      <c r="BD93" s="143"/>
      <c r="BE93" s="143"/>
      <c r="BF93" s="143"/>
      <c r="BG93" s="143"/>
      <c r="BH93" s="143"/>
      <c r="BI93" s="143"/>
      <c r="BJ93" s="143"/>
      <c r="BK93" s="143"/>
      <c r="BL93" s="143"/>
      <c r="BM93" s="143"/>
      <c r="BN93" s="143"/>
      <c r="BO93" s="143"/>
      <c r="BP93" s="143"/>
      <c r="BQ93" s="143"/>
      <c r="BR93" s="143"/>
      <c r="BS93" s="143"/>
      <c r="BT93" s="143"/>
      <c r="BU93" s="143"/>
      <c r="BV93" s="143"/>
      <c r="BW93" s="143"/>
      <c r="BX93" s="143"/>
      <c r="BY93" s="143"/>
      <c r="BZ93" s="143"/>
      <c r="CA93" s="143"/>
      <c r="CB93" s="143"/>
      <c r="CC93" s="143"/>
      <c r="CD93" s="143"/>
      <c r="CE93" s="143"/>
      <c r="CF93" s="143"/>
      <c r="CG93" s="145"/>
      <c r="CH93" s="143"/>
      <c r="CI93" s="143"/>
      <c r="CJ93" s="143"/>
      <c r="CK93" s="143"/>
      <c r="CL93" s="143"/>
      <c r="CM93" s="143"/>
      <c r="CN93" s="170"/>
      <c r="CO93" s="143"/>
      <c r="CP93" s="143"/>
      <c r="CQ93" s="143"/>
      <c r="CR93" s="143"/>
      <c r="CS93" s="143"/>
      <c r="CT93" s="143"/>
      <c r="CU93" s="143"/>
      <c r="CV93" s="143"/>
      <c r="CW93" s="143"/>
      <c r="CX93" s="143"/>
      <c r="CY93" s="143"/>
      <c r="CZ93" s="143"/>
      <c r="DA93" s="143"/>
      <c r="DB93" s="143"/>
    </row>
    <row r="94" spans="1:106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  <c r="AA94" s="143"/>
      <c r="AB94" s="143"/>
      <c r="AC94" s="143"/>
      <c r="AD94" s="143"/>
      <c r="AE94" s="198"/>
      <c r="AF94" s="143"/>
      <c r="AG94" s="143"/>
      <c r="AH94" s="143"/>
      <c r="AI94" s="143"/>
      <c r="AJ94" s="143"/>
      <c r="AK94" s="143"/>
      <c r="AL94" s="143"/>
      <c r="AM94" s="143"/>
      <c r="AN94" s="143"/>
      <c r="AO94" s="143"/>
      <c r="AP94" s="143"/>
      <c r="AQ94" s="143"/>
      <c r="AR94" s="143"/>
      <c r="AS94" s="143"/>
      <c r="AT94" s="143"/>
      <c r="AU94" s="143"/>
      <c r="AV94" s="143"/>
      <c r="AW94" s="143"/>
      <c r="AX94" s="143"/>
      <c r="AY94" s="143"/>
      <c r="AZ94" s="143"/>
      <c r="BA94" s="143"/>
      <c r="BB94" s="143"/>
      <c r="BC94" s="143"/>
      <c r="BD94" s="143"/>
      <c r="BE94" s="143"/>
      <c r="BF94" s="143"/>
      <c r="BG94" s="143"/>
      <c r="BH94" s="143"/>
      <c r="BI94" s="143"/>
      <c r="BJ94" s="143"/>
      <c r="BK94" s="143"/>
      <c r="BL94" s="143"/>
      <c r="BM94" s="143"/>
      <c r="BN94" s="143"/>
      <c r="BO94" s="143"/>
      <c r="BP94" s="143"/>
      <c r="BQ94" s="143"/>
      <c r="BR94" s="143"/>
      <c r="BS94" s="143"/>
      <c r="BT94" s="143"/>
      <c r="BU94" s="143"/>
      <c r="BV94" s="143"/>
      <c r="BW94" s="143"/>
      <c r="BX94" s="143"/>
      <c r="BY94" s="143"/>
      <c r="BZ94" s="143"/>
      <c r="CA94" s="143"/>
      <c r="CB94" s="143"/>
      <c r="CC94" s="143"/>
      <c r="CD94" s="143"/>
      <c r="CE94" s="143"/>
      <c r="CF94" s="143"/>
      <c r="CG94" s="145"/>
      <c r="CH94" s="143"/>
      <c r="CI94" s="143"/>
      <c r="CJ94" s="143"/>
      <c r="CK94" s="143"/>
      <c r="CL94" s="143"/>
      <c r="CM94" s="143"/>
      <c r="CN94" s="170"/>
      <c r="CO94" s="143"/>
      <c r="CP94" s="143"/>
      <c r="CQ94" s="143"/>
      <c r="CR94" s="143"/>
      <c r="CS94" s="143"/>
      <c r="CT94" s="143"/>
      <c r="CU94" s="143"/>
      <c r="CV94" s="143"/>
      <c r="CW94" s="143"/>
      <c r="CX94" s="143"/>
      <c r="CY94" s="143"/>
      <c r="CZ94" s="143"/>
      <c r="DA94" s="143"/>
      <c r="DB94" s="143"/>
    </row>
    <row r="95" spans="1:106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63">
        <v>1</v>
      </c>
      <c r="R95" s="199" t="s">
        <v>955</v>
      </c>
      <c r="S95" s="143"/>
      <c r="T95" s="143"/>
      <c r="U95" s="143"/>
      <c r="V95" s="143"/>
      <c r="W95" s="143"/>
      <c r="X95" s="143"/>
      <c r="Y95" s="143"/>
      <c r="Z95" s="200"/>
      <c r="AA95" s="163"/>
      <c r="AB95" s="143"/>
      <c r="AC95" s="143"/>
      <c r="AD95" s="143"/>
      <c r="AE95" s="159"/>
      <c r="AF95" s="143"/>
      <c r="AG95" s="143"/>
      <c r="AH95" s="143"/>
      <c r="AI95" s="143"/>
      <c r="AJ95" s="143"/>
      <c r="AK95" s="143"/>
      <c r="AL95" s="143"/>
      <c r="AM95" s="143"/>
      <c r="AN95" s="143"/>
      <c r="AO95" s="143"/>
      <c r="AP95" s="143"/>
      <c r="AQ95" s="143"/>
      <c r="AR95" s="143"/>
      <c r="AS95" s="143"/>
      <c r="AT95" s="143"/>
      <c r="AU95" s="143"/>
      <c r="AV95" s="143"/>
      <c r="AW95" s="143"/>
      <c r="AX95" s="143"/>
      <c r="AY95" s="143"/>
      <c r="AZ95" s="143"/>
      <c r="BA95" s="143"/>
      <c r="BB95" s="143"/>
      <c r="BC95" s="143"/>
      <c r="BD95" s="143"/>
      <c r="BE95" s="143"/>
      <c r="BF95" s="143"/>
      <c r="BG95" s="143"/>
      <c r="BH95" s="143"/>
      <c r="BI95" s="143"/>
      <c r="BJ95" s="143"/>
      <c r="BK95" s="143"/>
      <c r="BL95" s="143"/>
      <c r="BM95" s="143"/>
      <c r="BN95" s="143"/>
      <c r="BO95" s="143"/>
      <c r="BP95" s="143"/>
      <c r="BQ95" s="143"/>
      <c r="BR95" s="143"/>
      <c r="BS95" s="143"/>
      <c r="BT95" s="143"/>
      <c r="BU95" s="143"/>
      <c r="BV95" s="143"/>
      <c r="BW95" s="143"/>
      <c r="BX95" s="143"/>
      <c r="BY95" s="143"/>
      <c r="BZ95" s="143"/>
      <c r="CA95" s="143"/>
      <c r="CB95" s="143"/>
      <c r="CC95" s="143"/>
      <c r="CD95" s="143"/>
      <c r="CE95" s="143"/>
      <c r="CF95" s="143"/>
      <c r="CG95" s="145"/>
      <c r="CH95" s="143"/>
      <c r="CI95" s="143"/>
      <c r="CJ95" s="143"/>
      <c r="CK95" s="143"/>
      <c r="CL95" s="143"/>
      <c r="CM95" s="143"/>
      <c r="CN95" s="170"/>
      <c r="CO95" s="143"/>
      <c r="CP95" s="143"/>
      <c r="CQ95" s="143"/>
      <c r="CR95" s="143"/>
      <c r="CS95" s="143"/>
      <c r="CT95" s="143"/>
      <c r="CU95" s="143"/>
      <c r="CV95" s="143"/>
      <c r="CW95" s="143"/>
      <c r="CX95" s="143"/>
      <c r="CY95" s="143"/>
      <c r="CZ95" s="143"/>
      <c r="DA95" s="143"/>
      <c r="DB95" s="143"/>
    </row>
    <row r="96" spans="1:106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63">
        <v>2</v>
      </c>
      <c r="R96" s="143"/>
      <c r="S96" s="143" t="s">
        <v>2368</v>
      </c>
      <c r="T96" s="143"/>
      <c r="U96" s="143"/>
      <c r="V96" s="143"/>
      <c r="W96" s="201">
        <f>$CC$299</f>
        <v>188503</v>
      </c>
      <c r="X96" s="1280">
        <v>0</v>
      </c>
      <c r="Y96" s="203" t="s">
        <v>318</v>
      </c>
      <c r="Z96" s="200">
        <f t="shared" ref="Z96:Z99" si="5">ROUND(W96*X96,0)</f>
        <v>0</v>
      </c>
      <c r="AA96" s="1275" t="s">
        <v>597</v>
      </c>
      <c r="AB96" s="204">
        <f t="shared" ref="AB96:AB99" si="6">VLOOKUP(AA96,ALLOCTABLE,2)</f>
        <v>0</v>
      </c>
      <c r="AC96" s="200">
        <f t="shared" ref="AC96:AC99" si="7">ROUND(Z96*(AB96/100),0)</f>
        <v>0</v>
      </c>
      <c r="AD96" s="143"/>
      <c r="AE96" s="159"/>
      <c r="AF96" s="143"/>
      <c r="AG96" s="143"/>
      <c r="AH96" s="143"/>
      <c r="AI96" s="143"/>
      <c r="AJ96" s="143"/>
      <c r="AK96" s="143"/>
      <c r="AL96" s="143"/>
      <c r="AM96" s="143"/>
      <c r="AN96" s="143"/>
      <c r="AO96" s="143"/>
      <c r="AP96" s="143"/>
      <c r="AQ96" s="143"/>
      <c r="AR96" s="143"/>
      <c r="AS96" s="143"/>
      <c r="AT96" s="143"/>
      <c r="AU96" s="143"/>
      <c r="AV96" s="143"/>
      <c r="AW96" s="143"/>
      <c r="AX96" s="143"/>
      <c r="AY96" s="143"/>
      <c r="AZ96" s="143"/>
      <c r="BA96" s="143"/>
      <c r="BB96" s="143"/>
      <c r="BC96" s="143"/>
      <c r="BD96" s="143"/>
      <c r="BE96" s="143"/>
      <c r="BF96" s="143"/>
      <c r="BG96" s="143"/>
      <c r="BH96" s="143"/>
      <c r="BI96" s="143"/>
      <c r="BJ96" s="143"/>
      <c r="BK96" s="143"/>
      <c r="BL96" s="143"/>
      <c r="BM96" s="143"/>
      <c r="BN96" s="143"/>
      <c r="BO96" s="143"/>
      <c r="BP96" s="143"/>
      <c r="BQ96" s="143"/>
      <c r="BR96" s="143"/>
      <c r="BS96" s="143"/>
      <c r="BT96" s="143"/>
      <c r="BU96" s="143"/>
      <c r="BV96" s="143"/>
      <c r="BW96" s="143"/>
      <c r="BX96" s="143"/>
      <c r="BY96" s="143"/>
      <c r="BZ96" s="143"/>
      <c r="CA96" s="143"/>
      <c r="CB96" s="143"/>
      <c r="CC96" s="143"/>
      <c r="CD96" s="143"/>
      <c r="CE96" s="143"/>
      <c r="CF96" s="143"/>
      <c r="CG96" s="145"/>
      <c r="CH96" s="143"/>
      <c r="CI96" s="143"/>
      <c r="CJ96" s="143"/>
      <c r="CK96" s="143"/>
      <c r="CL96" s="143"/>
      <c r="CM96" s="143"/>
      <c r="CN96" s="170"/>
      <c r="CO96" s="143"/>
      <c r="CP96" s="143"/>
      <c r="CQ96" s="143"/>
      <c r="CR96" s="143"/>
      <c r="CS96" s="143"/>
      <c r="CT96" s="143"/>
      <c r="CU96" s="143"/>
      <c r="CV96" s="143"/>
      <c r="CW96" s="143"/>
      <c r="CX96" s="143"/>
      <c r="CY96" s="143"/>
      <c r="CZ96" s="143"/>
      <c r="DA96" s="143"/>
      <c r="DB96" s="143"/>
    </row>
    <row r="97" spans="1:106">
      <c r="A97" s="143"/>
      <c r="B97" s="143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63">
        <v>3</v>
      </c>
      <c r="R97" s="143"/>
      <c r="S97" s="143" t="s">
        <v>2369</v>
      </c>
      <c r="T97" s="143"/>
      <c r="U97" s="143"/>
      <c r="V97" s="143"/>
      <c r="W97" s="201">
        <f>$CD$299</f>
        <v>477422</v>
      </c>
      <c r="X97" s="1280">
        <v>1</v>
      </c>
      <c r="Y97" s="203" t="s">
        <v>318</v>
      </c>
      <c r="Z97" s="200">
        <f t="shared" si="5"/>
        <v>477422</v>
      </c>
      <c r="AA97" s="1275" t="s">
        <v>597</v>
      </c>
      <c r="AB97" s="204">
        <f t="shared" si="6"/>
        <v>0</v>
      </c>
      <c r="AC97" s="200">
        <f t="shared" si="7"/>
        <v>0</v>
      </c>
      <c r="AD97" s="143"/>
      <c r="AE97" s="159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  <c r="AR97" s="143"/>
      <c r="AS97" s="143"/>
      <c r="AT97" s="143"/>
      <c r="AU97" s="143"/>
      <c r="AV97" s="143"/>
      <c r="AW97" s="143"/>
      <c r="AX97" s="143"/>
      <c r="AY97" s="143"/>
      <c r="AZ97" s="143"/>
      <c r="BA97" s="143"/>
      <c r="BB97" s="143"/>
      <c r="BC97" s="143"/>
      <c r="BD97" s="143"/>
      <c r="BE97" s="143"/>
      <c r="BF97" s="143"/>
      <c r="BG97" s="143"/>
      <c r="BH97" s="143"/>
      <c r="BI97" s="143"/>
      <c r="BJ97" s="143"/>
      <c r="BK97" s="143"/>
      <c r="BL97" s="143"/>
      <c r="BM97" s="143"/>
      <c r="BN97" s="143"/>
      <c r="BO97" s="143"/>
      <c r="BP97" s="143"/>
      <c r="BQ97" s="143"/>
      <c r="BR97" s="143"/>
      <c r="BS97" s="143"/>
      <c r="BT97" s="143"/>
      <c r="BU97" s="143"/>
      <c r="BV97" s="143"/>
      <c r="BW97" s="143"/>
      <c r="BX97" s="143"/>
      <c r="BY97" s="143"/>
      <c r="BZ97" s="143"/>
      <c r="CA97" s="143"/>
      <c r="CB97" s="143"/>
      <c r="CC97" s="143"/>
      <c r="CD97" s="143"/>
      <c r="CE97" s="143"/>
      <c r="CF97" s="143"/>
      <c r="CG97" s="145"/>
      <c r="CH97" s="143"/>
      <c r="CI97" s="143"/>
      <c r="CJ97" s="143"/>
      <c r="CK97" s="143"/>
      <c r="CL97" s="143"/>
      <c r="CM97" s="143"/>
      <c r="CN97" s="170"/>
      <c r="CO97" s="143"/>
      <c r="CP97" s="143"/>
      <c r="CQ97" s="143"/>
      <c r="CR97" s="143"/>
      <c r="CS97" s="143"/>
      <c r="CT97" s="143"/>
      <c r="CU97" s="143"/>
      <c r="CV97" s="143"/>
      <c r="CW97" s="143"/>
      <c r="CX97" s="143"/>
      <c r="CY97" s="143"/>
      <c r="CZ97" s="143"/>
      <c r="DA97" s="143"/>
      <c r="DB97" s="143"/>
    </row>
    <row r="98" spans="1:106">
      <c r="A98" s="143"/>
      <c r="B98" s="143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63">
        <v>4</v>
      </c>
      <c r="R98" s="143"/>
      <c r="S98" s="143" t="s">
        <v>2378</v>
      </c>
      <c r="T98" s="143"/>
      <c r="U98" s="143"/>
      <c r="V98" s="143"/>
      <c r="W98" s="201">
        <f>$CB$299</f>
        <v>0</v>
      </c>
      <c r="X98" s="1280">
        <v>1</v>
      </c>
      <c r="Y98" s="203"/>
      <c r="Z98" s="200">
        <f t="shared" si="5"/>
        <v>0</v>
      </c>
      <c r="AA98" s="1275" t="s">
        <v>593</v>
      </c>
      <c r="AB98" s="204">
        <f t="shared" si="6"/>
        <v>100</v>
      </c>
      <c r="AC98" s="200">
        <f t="shared" si="7"/>
        <v>0</v>
      </c>
      <c r="AD98" s="143"/>
      <c r="AE98" s="159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3"/>
      <c r="AZ98" s="143"/>
      <c r="BA98" s="143"/>
      <c r="BB98" s="143"/>
      <c r="BC98" s="143"/>
      <c r="BD98" s="143"/>
      <c r="BE98" s="143"/>
      <c r="BF98" s="143"/>
      <c r="BG98" s="143"/>
      <c r="BH98" s="143"/>
      <c r="BI98" s="143"/>
      <c r="BJ98" s="143"/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5"/>
      <c r="CH98" s="143"/>
      <c r="CI98" s="143"/>
      <c r="CJ98" s="143"/>
      <c r="CK98" s="143"/>
      <c r="CL98" s="143"/>
      <c r="CM98" s="143"/>
      <c r="CN98" s="170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</row>
    <row r="99" spans="1:106">
      <c r="A99" s="143"/>
      <c r="B99" s="143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63">
        <v>5</v>
      </c>
      <c r="R99" s="143"/>
      <c r="S99" s="143" t="s">
        <v>2365</v>
      </c>
      <c r="T99" s="143"/>
      <c r="U99" s="143"/>
      <c r="V99" s="143"/>
      <c r="W99" s="205">
        <f>$CE$299</f>
        <v>0</v>
      </c>
      <c r="X99" s="1280">
        <v>1</v>
      </c>
      <c r="Y99" s="203"/>
      <c r="Z99" s="206">
        <f t="shared" si="5"/>
        <v>0</v>
      </c>
      <c r="AA99" s="1275" t="s">
        <v>593</v>
      </c>
      <c r="AB99" s="204">
        <f t="shared" si="6"/>
        <v>100</v>
      </c>
      <c r="AC99" s="206">
        <f t="shared" si="7"/>
        <v>0</v>
      </c>
      <c r="AD99" s="143"/>
      <c r="AE99" s="159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3"/>
      <c r="AZ99" s="143"/>
      <c r="BA99" s="143"/>
      <c r="BB99" s="143"/>
      <c r="BC99" s="143"/>
      <c r="BD99" s="143"/>
      <c r="BE99" s="143"/>
      <c r="BF99" s="143"/>
      <c r="BG99" s="143"/>
      <c r="BH99" s="143"/>
      <c r="BI99" s="143"/>
      <c r="BJ99" s="143"/>
      <c r="BK99" s="143"/>
      <c r="BL99" s="143"/>
      <c r="BM99" s="143"/>
      <c r="BN99" s="143"/>
      <c r="BO99" s="143"/>
      <c r="BP99" s="143"/>
      <c r="BQ99" s="143"/>
      <c r="BR99" s="143"/>
      <c r="BS99" s="143"/>
      <c r="BT99" s="143"/>
      <c r="BU99" s="143"/>
      <c r="BV99" s="143"/>
      <c r="BW99" s="143"/>
      <c r="BX99" s="143"/>
      <c r="BY99" s="143"/>
      <c r="BZ99" s="143"/>
      <c r="CA99" s="143"/>
      <c r="CB99" s="143"/>
      <c r="CC99" s="143"/>
      <c r="CD99" s="143"/>
      <c r="CE99" s="143"/>
      <c r="CF99" s="143"/>
      <c r="CG99" s="145"/>
      <c r="CH99" s="143"/>
      <c r="CI99" s="143"/>
      <c r="CJ99" s="143"/>
      <c r="CK99" s="143"/>
      <c r="CL99" s="143"/>
      <c r="CM99" s="143"/>
      <c r="CN99" s="170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</row>
    <row r="100" spans="1:106">
      <c r="A100" s="143"/>
      <c r="B100" s="143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63">
        <v>6</v>
      </c>
      <c r="R100" s="143"/>
      <c r="S100" s="143" t="s">
        <v>1063</v>
      </c>
      <c r="T100" s="143"/>
      <c r="U100" s="143"/>
      <c r="V100" s="143"/>
      <c r="W100" s="207">
        <f>SUM(W96:W99)</f>
        <v>665925</v>
      </c>
      <c r="X100" s="143"/>
      <c r="Y100" s="143"/>
      <c r="Z100" s="207">
        <f>SUM(Z96:Z99)</f>
        <v>477422</v>
      </c>
      <c r="AA100" s="1275"/>
      <c r="AB100" s="204"/>
      <c r="AC100" s="207">
        <f>SUM(AC96:AC99)</f>
        <v>0</v>
      </c>
      <c r="AD100" s="143"/>
      <c r="AE100" s="159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43"/>
      <c r="AZ100" s="143"/>
      <c r="BA100" s="143"/>
      <c r="BB100" s="143"/>
      <c r="BC100" s="143"/>
      <c r="BD100" s="143"/>
      <c r="BE100" s="143"/>
      <c r="BF100" s="143"/>
      <c r="BG100" s="143"/>
      <c r="BH100" s="143"/>
      <c r="BI100" s="143"/>
      <c r="BJ100" s="143"/>
      <c r="BK100" s="143"/>
      <c r="BL100" s="143"/>
      <c r="BM100" s="143"/>
      <c r="BN100" s="143"/>
      <c r="BO100" s="143"/>
      <c r="BP100" s="143"/>
      <c r="BQ100" s="143"/>
      <c r="BR100" s="143"/>
      <c r="BS100" s="143"/>
      <c r="BT100" s="143"/>
      <c r="BU100" s="143"/>
      <c r="BV100" s="143"/>
      <c r="BW100" s="143"/>
      <c r="BX100" s="143"/>
      <c r="BY100" s="143"/>
      <c r="BZ100" s="143"/>
      <c r="CA100" s="143"/>
      <c r="CB100" s="143"/>
      <c r="CC100" s="143"/>
      <c r="CD100" s="143"/>
      <c r="CE100" s="143"/>
      <c r="CF100" s="143"/>
      <c r="CG100" s="145"/>
      <c r="CH100" s="143"/>
      <c r="CI100" s="143"/>
      <c r="CJ100" s="143"/>
      <c r="CK100" s="143"/>
      <c r="CL100" s="143"/>
      <c r="CM100" s="143"/>
      <c r="CN100" s="170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</row>
    <row r="101" spans="1:106">
      <c r="A101" s="143"/>
      <c r="B101" s="143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63">
        <v>7</v>
      </c>
      <c r="R101" s="143"/>
      <c r="S101" s="143"/>
      <c r="T101" s="143"/>
      <c r="U101" s="143"/>
      <c r="V101" s="143"/>
      <c r="W101" s="166"/>
      <c r="X101" s="143"/>
      <c r="Y101" s="143"/>
      <c r="Z101" s="143"/>
      <c r="AA101" s="1275"/>
      <c r="AB101" s="204"/>
      <c r="AC101" s="200"/>
      <c r="AD101" s="143"/>
      <c r="AE101" s="159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5"/>
      <c r="CH101" s="143"/>
      <c r="CI101" s="143"/>
      <c r="CJ101" s="143"/>
      <c r="CK101" s="143"/>
      <c r="CL101" s="143"/>
      <c r="CM101" s="143"/>
      <c r="CN101" s="170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</row>
    <row r="102" spans="1:106">
      <c r="A102" s="143"/>
      <c r="B102" s="143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63">
        <v>8</v>
      </c>
      <c r="R102" s="199" t="s">
        <v>1024</v>
      </c>
      <c r="S102" s="143"/>
      <c r="T102" s="143"/>
      <c r="U102" s="143"/>
      <c r="V102" s="143"/>
      <c r="W102" s="208"/>
      <c r="X102" s="209"/>
      <c r="Y102" s="143"/>
      <c r="Z102" s="200"/>
      <c r="AA102" s="1275"/>
      <c r="AB102" s="204"/>
      <c r="AC102" s="200"/>
      <c r="AD102" s="143"/>
      <c r="AE102" s="159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5"/>
      <c r="CH102" s="143"/>
      <c r="CI102" s="143"/>
      <c r="CJ102" s="143"/>
      <c r="CK102" s="143"/>
      <c r="CL102" s="143"/>
      <c r="CM102" s="143"/>
      <c r="CN102" s="170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</row>
    <row r="103" spans="1:106">
      <c r="A103" s="143"/>
      <c r="B103" s="143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63">
        <v>9</v>
      </c>
      <c r="R103" s="143"/>
      <c r="S103" s="143" t="s">
        <v>2368</v>
      </c>
      <c r="T103" s="143"/>
      <c r="U103" s="143"/>
      <c r="V103" s="143"/>
      <c r="W103" s="201">
        <f>$CC$317</f>
        <v>385780.53846153844</v>
      </c>
      <c r="X103" s="202">
        <f>X96</f>
        <v>0</v>
      </c>
      <c r="Y103" s="203" t="s">
        <v>318</v>
      </c>
      <c r="Z103" s="200">
        <f t="shared" ref="Z103:Z106" si="8">ROUND(W103*X103,0)</f>
        <v>0</v>
      </c>
      <c r="AA103" s="163" t="str">
        <f>AA96</f>
        <v>DNON</v>
      </c>
      <c r="AB103" s="204">
        <f t="shared" ref="AB103:AB106" si="9">VLOOKUP(AA103,ALLOCTABLE,2)</f>
        <v>0</v>
      </c>
      <c r="AC103" s="200">
        <f t="shared" ref="AC103:AC106" si="10">ROUND(Z103*(AB103/100),0)</f>
        <v>0</v>
      </c>
      <c r="AD103" s="143"/>
      <c r="AE103" s="159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3"/>
      <c r="AZ103" s="143"/>
      <c r="BA103" s="143"/>
      <c r="BB103" s="143"/>
      <c r="BC103" s="143"/>
      <c r="BD103" s="143"/>
      <c r="BE103" s="143"/>
      <c r="BF103" s="143"/>
      <c r="BG103" s="143"/>
      <c r="BH103" s="143"/>
      <c r="BI103" s="143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5"/>
      <c r="CH103" s="143"/>
      <c r="CI103" s="143"/>
      <c r="CJ103" s="143"/>
      <c r="CK103" s="143"/>
      <c r="CL103" s="143"/>
      <c r="CM103" s="143"/>
      <c r="CN103" s="170"/>
      <c r="CO103" s="143"/>
      <c r="CP103" s="143"/>
      <c r="CQ103" s="143"/>
      <c r="CR103" s="143"/>
      <c r="CS103" s="143"/>
      <c r="CT103" s="143"/>
      <c r="CU103" s="143"/>
      <c r="CV103" s="143"/>
      <c r="CW103" s="143"/>
      <c r="CX103" s="143"/>
      <c r="CY103" s="143"/>
      <c r="CZ103" s="143"/>
      <c r="DA103" s="143"/>
      <c r="DB103" s="143"/>
    </row>
    <row r="104" spans="1:106">
      <c r="A104" s="143"/>
      <c r="B104" s="143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63">
        <v>10</v>
      </c>
      <c r="R104" s="143"/>
      <c r="S104" s="143" t="s">
        <v>2369</v>
      </c>
      <c r="T104" s="143"/>
      <c r="U104" s="143"/>
      <c r="V104" s="143"/>
      <c r="W104" s="201">
        <f>$CD$317</f>
        <v>792644</v>
      </c>
      <c r="X104" s="202">
        <f>X97</f>
        <v>1</v>
      </c>
      <c r="Y104" s="203" t="s">
        <v>318</v>
      </c>
      <c r="Z104" s="200">
        <f t="shared" si="8"/>
        <v>792644</v>
      </c>
      <c r="AA104" s="163" t="str">
        <f>AA97</f>
        <v>DNON</v>
      </c>
      <c r="AB104" s="204">
        <f t="shared" si="9"/>
        <v>0</v>
      </c>
      <c r="AC104" s="200">
        <f t="shared" si="10"/>
        <v>0</v>
      </c>
      <c r="AD104" s="143"/>
      <c r="AE104" s="159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3"/>
      <c r="BD104" s="143"/>
      <c r="BE104" s="143"/>
      <c r="BF104" s="143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5"/>
      <c r="CH104" s="143"/>
      <c r="CI104" s="143"/>
      <c r="CJ104" s="143"/>
      <c r="CK104" s="143"/>
      <c r="CL104" s="143"/>
      <c r="CM104" s="143"/>
      <c r="CN104" s="170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</row>
    <row r="105" spans="1:106">
      <c r="A105" s="143"/>
      <c r="B105" s="143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63">
        <v>11</v>
      </c>
      <c r="R105" s="143"/>
      <c r="S105" s="143" t="s">
        <v>2378</v>
      </c>
      <c r="T105" s="143"/>
      <c r="U105" s="143"/>
      <c r="V105" s="143"/>
      <c r="W105" s="201">
        <f>$CB$317</f>
        <v>0</v>
      </c>
      <c r="X105" s="202">
        <f>X98</f>
        <v>1</v>
      </c>
      <c r="Y105" s="203"/>
      <c r="Z105" s="200">
        <f t="shared" si="8"/>
        <v>0</v>
      </c>
      <c r="AA105" s="163" t="str">
        <f>AA98</f>
        <v>DALL</v>
      </c>
      <c r="AB105" s="204">
        <f t="shared" si="9"/>
        <v>100</v>
      </c>
      <c r="AC105" s="200">
        <f t="shared" si="10"/>
        <v>0</v>
      </c>
      <c r="AD105" s="143"/>
      <c r="AE105" s="159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5"/>
      <c r="CH105" s="143"/>
      <c r="CI105" s="143"/>
      <c r="CJ105" s="143"/>
      <c r="CK105" s="143"/>
      <c r="CL105" s="143"/>
      <c r="CM105" s="143"/>
      <c r="CN105" s="170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</row>
    <row r="106" spans="1:106">
      <c r="A106" s="143"/>
      <c r="B106" s="143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63">
        <v>12</v>
      </c>
      <c r="R106" s="143"/>
      <c r="S106" s="143" t="s">
        <v>2365</v>
      </c>
      <c r="T106" s="143"/>
      <c r="U106" s="143"/>
      <c r="V106" s="143"/>
      <c r="W106" s="205">
        <f>$CE$317</f>
        <v>0</v>
      </c>
      <c r="X106" s="202">
        <f>X99</f>
        <v>1</v>
      </c>
      <c r="Y106" s="203"/>
      <c r="Z106" s="206">
        <f t="shared" si="8"/>
        <v>0</v>
      </c>
      <c r="AA106" s="163" t="str">
        <f>AA99</f>
        <v>DALL</v>
      </c>
      <c r="AB106" s="204">
        <f t="shared" si="9"/>
        <v>100</v>
      </c>
      <c r="AC106" s="206">
        <f t="shared" si="10"/>
        <v>0</v>
      </c>
      <c r="AD106" s="143"/>
      <c r="AE106" s="159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3"/>
      <c r="BC106" s="143"/>
      <c r="BD106" s="143"/>
      <c r="BE106" s="143"/>
      <c r="BF106" s="143"/>
      <c r="BG106" s="143"/>
      <c r="BH106" s="143"/>
      <c r="BI106" s="143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5"/>
      <c r="CH106" s="143"/>
      <c r="CI106" s="143"/>
      <c r="CJ106" s="143"/>
      <c r="CK106" s="143"/>
      <c r="CL106" s="143"/>
      <c r="CM106" s="143"/>
      <c r="CN106" s="170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</row>
    <row r="107" spans="1:106">
      <c r="A107" s="143"/>
      <c r="B107" s="143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63">
        <v>13</v>
      </c>
      <c r="R107" s="143"/>
      <c r="S107" s="143" t="s">
        <v>1063</v>
      </c>
      <c r="T107" s="143"/>
      <c r="U107" s="143"/>
      <c r="V107" s="143"/>
      <c r="W107" s="207">
        <f>SUM(W103:W106)</f>
        <v>1178424.5384615385</v>
      </c>
      <c r="X107" s="143"/>
      <c r="Y107" s="143"/>
      <c r="Z107" s="207">
        <f>SUM(Z103:Z106)</f>
        <v>792644</v>
      </c>
      <c r="AA107" s="163"/>
      <c r="AB107" s="204"/>
      <c r="AC107" s="207">
        <f>SUM(AC103:AC106)</f>
        <v>0</v>
      </c>
      <c r="AD107" s="143"/>
      <c r="AE107" s="159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/>
      <c r="CF107" s="143"/>
      <c r="CG107" s="145"/>
      <c r="CH107" s="143"/>
      <c r="CI107" s="143"/>
      <c r="CJ107" s="143"/>
      <c r="CK107" s="143"/>
      <c r="CL107" s="143"/>
      <c r="CM107" s="143"/>
      <c r="CN107" s="170"/>
      <c r="CO107" s="143"/>
      <c r="CP107" s="143"/>
      <c r="CQ107" s="143"/>
      <c r="CR107" s="143"/>
      <c r="CS107" s="143"/>
      <c r="CT107" s="143"/>
      <c r="CU107" s="143"/>
      <c r="CV107" s="143"/>
      <c r="CW107" s="143"/>
      <c r="CX107" s="143"/>
      <c r="CY107" s="143"/>
      <c r="CZ107" s="143"/>
      <c r="DA107" s="143"/>
      <c r="DB107" s="143"/>
    </row>
    <row r="108" spans="1:106">
      <c r="A108" s="143"/>
      <c r="B108" s="143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  <c r="Z108" s="143"/>
      <c r="AA108" s="143"/>
      <c r="AB108" s="143"/>
      <c r="AC108" s="143"/>
      <c r="AD108" s="143"/>
      <c r="AE108" s="170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  <c r="BC108" s="143"/>
      <c r="BD108" s="143"/>
      <c r="BE108" s="143"/>
      <c r="BF108" s="143"/>
      <c r="BG108" s="143"/>
      <c r="BH108" s="143"/>
      <c r="BI108" s="143"/>
      <c r="BJ108" s="143"/>
      <c r="BK108" s="143"/>
      <c r="BL108" s="143"/>
      <c r="BM108" s="143"/>
      <c r="BN108" s="143"/>
      <c r="BO108" s="143"/>
      <c r="BP108" s="143"/>
      <c r="BQ108" s="143"/>
      <c r="BR108" s="143"/>
      <c r="BS108" s="143"/>
      <c r="BT108" s="143"/>
      <c r="BU108" s="143"/>
      <c r="BV108" s="143"/>
      <c r="BW108" s="143"/>
      <c r="BX108" s="143"/>
      <c r="BY108" s="143"/>
      <c r="BZ108" s="143"/>
      <c r="CA108" s="143"/>
      <c r="CB108" s="143"/>
      <c r="CC108" s="143"/>
      <c r="CD108" s="143"/>
      <c r="CE108" s="143"/>
      <c r="CF108" s="143"/>
      <c r="CG108" s="145"/>
      <c r="CH108" s="143"/>
      <c r="CI108" s="143"/>
      <c r="CJ108" s="143"/>
      <c r="CK108" s="143"/>
      <c r="CL108" s="143"/>
      <c r="CM108" s="143"/>
      <c r="CN108" s="170"/>
      <c r="CO108" s="143"/>
      <c r="CP108" s="143"/>
      <c r="CQ108" s="143"/>
      <c r="CR108" s="143"/>
      <c r="CS108" s="143"/>
      <c r="CT108" s="143"/>
      <c r="CU108" s="143"/>
      <c r="CV108" s="143"/>
      <c r="CW108" s="143"/>
      <c r="CX108" s="143"/>
      <c r="CY108" s="143"/>
      <c r="CZ108" s="143"/>
      <c r="DA108" s="143"/>
      <c r="DB108" s="143"/>
    </row>
    <row r="109" spans="1:106">
      <c r="A109" s="143"/>
      <c r="B109" s="143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204"/>
      <c r="AC109" s="200"/>
      <c r="AD109" s="143"/>
      <c r="AE109" s="159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3"/>
      <c r="CG109" s="145"/>
      <c r="CH109" s="143"/>
      <c r="CI109" s="143"/>
      <c r="CJ109" s="143"/>
      <c r="CK109" s="143"/>
      <c r="CL109" s="143"/>
      <c r="CM109" s="143"/>
      <c r="CN109" s="170"/>
      <c r="CO109" s="143"/>
      <c r="CP109" s="143"/>
      <c r="CQ109" s="143"/>
      <c r="CR109" s="143"/>
      <c r="CS109" s="143"/>
      <c r="CT109" s="143"/>
      <c r="CU109" s="143"/>
      <c r="CV109" s="143"/>
      <c r="CW109" s="143"/>
      <c r="CX109" s="143"/>
      <c r="CY109" s="143"/>
      <c r="CZ109" s="143"/>
      <c r="DA109" s="143"/>
      <c r="DB109" s="143"/>
    </row>
    <row r="110" spans="1:106">
      <c r="A110" s="143"/>
      <c r="B110" s="143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203" t="s">
        <v>896</v>
      </c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59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3"/>
      <c r="BD110" s="143"/>
      <c r="BE110" s="143"/>
      <c r="BF110" s="143"/>
      <c r="BG110" s="143"/>
      <c r="BH110" s="143"/>
      <c r="BI110" s="143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5"/>
      <c r="CH110" s="143"/>
      <c r="CI110" s="143"/>
      <c r="CJ110" s="143"/>
      <c r="CK110" s="143"/>
      <c r="CL110" s="143"/>
      <c r="CM110" s="143"/>
      <c r="CN110" s="170"/>
      <c r="CO110" s="143"/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3"/>
      <c r="DB110" s="143"/>
    </row>
    <row r="111" spans="1:106">
      <c r="A111" s="143"/>
      <c r="B111" s="143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4" t="s">
        <v>1027</v>
      </c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59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5"/>
      <c r="CH111" s="143"/>
      <c r="CI111" s="143"/>
      <c r="CJ111" s="143"/>
      <c r="CK111" s="143"/>
      <c r="CL111" s="143"/>
      <c r="CM111" s="143"/>
      <c r="CN111" s="170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</row>
    <row r="112" spans="1:106">
      <c r="A112" s="143"/>
      <c r="B112" s="143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210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3"/>
      <c r="BA112" s="143"/>
      <c r="BB112" s="143"/>
      <c r="BC112" s="143"/>
      <c r="BD112" s="143"/>
      <c r="BE112" s="143"/>
      <c r="BF112" s="143"/>
      <c r="BG112" s="143"/>
      <c r="BH112" s="143"/>
      <c r="BI112" s="143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W112" s="143"/>
      <c r="BX112" s="143"/>
      <c r="BY112" s="143"/>
      <c r="BZ112" s="143"/>
      <c r="CA112" s="143"/>
      <c r="CB112" s="143"/>
      <c r="CC112" s="143"/>
      <c r="CD112" s="143"/>
      <c r="CE112" s="143"/>
      <c r="CF112" s="143"/>
      <c r="CG112" s="145"/>
      <c r="CH112" s="143"/>
      <c r="CI112" s="143"/>
      <c r="CJ112" s="143"/>
      <c r="CK112" s="143"/>
      <c r="CL112" s="143"/>
      <c r="CM112" s="143"/>
      <c r="CN112" s="170"/>
      <c r="CO112" s="143"/>
      <c r="CP112" s="143"/>
      <c r="CQ112" s="143"/>
      <c r="CR112" s="143"/>
      <c r="CS112" s="143"/>
      <c r="CT112" s="143"/>
      <c r="CU112" s="143"/>
      <c r="CV112" s="143"/>
      <c r="CW112" s="143"/>
      <c r="CX112" s="143"/>
      <c r="CY112" s="143"/>
      <c r="CZ112" s="143"/>
      <c r="DA112" s="143"/>
      <c r="DB112" s="143"/>
    </row>
    <row r="113" spans="1:106">
      <c r="A113" s="143"/>
      <c r="B113" s="143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4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59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  <c r="BY113" s="143"/>
      <c r="BZ113" s="143"/>
      <c r="CA113" s="143"/>
      <c r="CB113" s="143"/>
      <c r="CC113" s="143"/>
      <c r="CD113" s="143"/>
      <c r="CE113" s="143"/>
      <c r="CF113" s="143"/>
      <c r="CG113" s="145"/>
      <c r="CH113" s="143"/>
      <c r="CI113" s="143"/>
      <c r="CJ113" s="143"/>
      <c r="CK113" s="143"/>
      <c r="CL113" s="143"/>
      <c r="CM113" s="143"/>
      <c r="CN113" s="170"/>
      <c r="CO113" s="143"/>
      <c r="CP113" s="143"/>
      <c r="CQ113" s="143"/>
      <c r="CR113" s="143"/>
      <c r="CS113" s="143"/>
      <c r="CT113" s="143"/>
      <c r="CU113" s="143"/>
      <c r="CV113" s="143"/>
      <c r="CW113" s="143"/>
      <c r="CX113" s="143"/>
      <c r="CY113" s="143"/>
      <c r="CZ113" s="143"/>
      <c r="DA113" s="143"/>
      <c r="DB113" s="143"/>
    </row>
    <row r="114" spans="1:106">
      <c r="A114" s="143"/>
      <c r="B114" s="143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  <c r="Y114" s="143"/>
      <c r="Z114" s="143"/>
      <c r="AA114" s="143"/>
      <c r="AB114" s="143"/>
      <c r="AC114" s="143"/>
      <c r="AD114" s="143"/>
      <c r="AE114" s="159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3"/>
      <c r="BC114" s="143"/>
      <c r="BD114" s="143"/>
      <c r="BE114" s="143"/>
      <c r="BF114" s="143"/>
      <c r="BG114" s="143"/>
      <c r="BH114" s="143"/>
      <c r="BI114" s="143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5"/>
      <c r="CH114" s="143"/>
      <c r="CI114" s="143"/>
      <c r="CJ114" s="143"/>
      <c r="CK114" s="143"/>
      <c r="CL114" s="143"/>
      <c r="CM114" s="143"/>
      <c r="CN114" s="170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</row>
    <row r="115" spans="1:106">
      <c r="A115" s="143"/>
      <c r="B115" s="143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2" t="str">
        <f>COMPANY</f>
        <v>DUKE ENERGY KENTUCKY, INC.</v>
      </c>
      <c r="AG115" s="143"/>
      <c r="AH115" s="143"/>
      <c r="AI115" s="143"/>
      <c r="AJ115" s="143"/>
      <c r="AK115" s="143"/>
      <c r="AL115" s="144" t="s">
        <v>95</v>
      </c>
      <c r="AM115" s="143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  <c r="CG115" s="145"/>
      <c r="CH115" s="143"/>
      <c r="CI115" s="143"/>
      <c r="CJ115" s="143"/>
      <c r="CK115" s="143"/>
      <c r="CL115" s="143"/>
      <c r="CM115" s="143"/>
      <c r="CN115" s="170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</row>
    <row r="116" spans="1:106">
      <c r="A116" s="143"/>
      <c r="B116" s="143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  <c r="Y116" s="143"/>
      <c r="Z116" s="143"/>
      <c r="AA116" s="143"/>
      <c r="AB116" s="143"/>
      <c r="AC116" s="143"/>
      <c r="AD116" s="143"/>
      <c r="AE116" s="143"/>
      <c r="AF116" s="142" t="str">
        <f>DEPT</f>
        <v>ELECTRIC DEPARTMENT</v>
      </c>
      <c r="AG116" s="143"/>
      <c r="AH116" s="143"/>
      <c r="AI116" s="143"/>
      <c r="AJ116" s="143"/>
      <c r="AK116" s="143"/>
      <c r="AL116" s="142" t="str">
        <f>E2</f>
        <v>WITNESS RESPONSIBLE:</v>
      </c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5"/>
      <c r="CH116" s="143"/>
      <c r="CI116" s="143"/>
      <c r="CJ116" s="143"/>
      <c r="CK116" s="143"/>
      <c r="CL116" s="143"/>
      <c r="CM116" s="143"/>
      <c r="CN116" s="170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</row>
    <row r="117" spans="1:106">
      <c r="A117" s="143"/>
      <c r="B117" s="143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  <c r="AA117" s="143"/>
      <c r="AB117" s="143"/>
      <c r="AC117" s="143"/>
      <c r="AD117" s="143"/>
      <c r="AE117" s="143"/>
      <c r="AF117" s="142" t="str">
        <f>CASE</f>
        <v>CASE NO. 2017-00321</v>
      </c>
      <c r="AG117" s="143"/>
      <c r="AH117" s="143"/>
      <c r="AI117" s="143"/>
      <c r="AJ117" s="143"/>
      <c r="AK117" s="143"/>
      <c r="AL117" s="127" t="s">
        <v>2709</v>
      </c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  <c r="BA117" s="143"/>
      <c r="BB117" s="143"/>
      <c r="BC117" s="143"/>
      <c r="BD117" s="143"/>
      <c r="BE117" s="143"/>
      <c r="BF117" s="143"/>
      <c r="BG117" s="143"/>
      <c r="BH117" s="143"/>
      <c r="BI117" s="143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  <c r="CG117" s="145"/>
      <c r="CH117" s="143"/>
      <c r="CI117" s="143"/>
      <c r="CJ117" s="143"/>
      <c r="CK117" s="143"/>
      <c r="CL117" s="143"/>
      <c r="CM117" s="143"/>
      <c r="CN117" s="170"/>
      <c r="CO117" s="143"/>
      <c r="CP117" s="143"/>
      <c r="CQ117" s="143"/>
      <c r="CR117" s="143"/>
      <c r="CS117" s="143"/>
      <c r="CT117" s="143"/>
      <c r="CU117" s="143"/>
      <c r="CV117" s="143"/>
      <c r="CW117" s="143"/>
      <c r="CX117" s="143"/>
      <c r="CY117" s="143"/>
      <c r="CZ117" s="143"/>
      <c r="DA117" s="143"/>
      <c r="DB117" s="143"/>
    </row>
    <row r="118" spans="1:106">
      <c r="A118" s="143"/>
      <c r="B118" s="143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  <c r="AA118" s="143"/>
      <c r="AB118" s="143"/>
      <c r="AC118" s="143"/>
      <c r="AD118" s="143"/>
      <c r="AE118" s="143"/>
      <c r="AF118" s="211" t="s">
        <v>96</v>
      </c>
      <c r="AG118" s="143"/>
      <c r="AH118" s="143"/>
      <c r="AI118" s="143"/>
      <c r="AJ118" s="143"/>
      <c r="AK118" s="143"/>
      <c r="AL118" s="143"/>
      <c r="AM118" s="143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3"/>
      <c r="BI118" s="143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  <c r="CG118" s="145"/>
      <c r="CH118" s="143"/>
      <c r="CI118" s="143"/>
      <c r="CJ118" s="143"/>
      <c r="CK118" s="143"/>
      <c r="CL118" s="143"/>
      <c r="CM118" s="143"/>
      <c r="CN118" s="170"/>
      <c r="CO118" s="143"/>
      <c r="CP118" s="143"/>
      <c r="CQ118" s="143"/>
      <c r="CR118" s="143"/>
      <c r="CS118" s="143"/>
      <c r="CT118" s="143"/>
      <c r="CU118" s="143"/>
      <c r="CV118" s="143"/>
      <c r="CW118" s="143"/>
      <c r="CX118" s="143"/>
      <c r="CY118" s="143"/>
      <c r="CZ118" s="143"/>
      <c r="DA118" s="143"/>
      <c r="DB118" s="143"/>
    </row>
    <row r="119" spans="1:106">
      <c r="A119" s="143"/>
      <c r="B119" s="143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  <c r="AA119" s="143"/>
      <c r="AB119" s="143"/>
      <c r="AC119" s="143"/>
      <c r="AD119" s="143"/>
      <c r="AE119" s="143"/>
      <c r="AF119" s="211" t="s">
        <v>97</v>
      </c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  <c r="BC119" s="143"/>
      <c r="BD119" s="143"/>
      <c r="BE119" s="143"/>
      <c r="BF119" s="143"/>
      <c r="BG119" s="143"/>
      <c r="BH119" s="143"/>
      <c r="BI119" s="143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5"/>
      <c r="CH119" s="143"/>
      <c r="CI119" s="143"/>
      <c r="CJ119" s="143"/>
      <c r="CK119" s="143"/>
      <c r="CL119" s="143"/>
      <c r="CM119" s="143"/>
      <c r="CN119" s="170"/>
      <c r="CO119" s="143"/>
      <c r="CP119" s="143"/>
      <c r="CQ119" s="143"/>
      <c r="CR119" s="143"/>
      <c r="CS119" s="143"/>
      <c r="CT119" s="143"/>
      <c r="CU119" s="143"/>
      <c r="CV119" s="143"/>
      <c r="CW119" s="143"/>
      <c r="CX119" s="143"/>
      <c r="CY119" s="143"/>
      <c r="CZ119" s="143"/>
      <c r="DA119" s="143"/>
      <c r="DB119" s="143"/>
    </row>
    <row r="120" spans="1:106">
      <c r="A120" s="143"/>
      <c r="B120" s="143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6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  <c r="BA120" s="143"/>
      <c r="BB120" s="143"/>
      <c r="BC120" s="143"/>
      <c r="BD120" s="143"/>
      <c r="BE120" s="143"/>
      <c r="BF120" s="143"/>
      <c r="BG120" s="143"/>
      <c r="BH120" s="143"/>
      <c r="BI120" s="143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  <c r="CG120" s="145"/>
      <c r="CH120" s="143"/>
      <c r="CI120" s="143"/>
      <c r="CJ120" s="143"/>
      <c r="CK120" s="143"/>
      <c r="CL120" s="143"/>
      <c r="CM120" s="143"/>
      <c r="CN120" s="170"/>
      <c r="CO120" s="143"/>
      <c r="CP120" s="143"/>
      <c r="CQ120" s="143"/>
      <c r="CR120" s="143"/>
      <c r="CS120" s="143"/>
      <c r="CT120" s="143"/>
      <c r="CU120" s="143"/>
      <c r="CV120" s="143"/>
      <c r="CW120" s="143"/>
      <c r="CX120" s="143"/>
      <c r="CY120" s="143"/>
      <c r="CZ120" s="143"/>
      <c r="DA120" s="143"/>
      <c r="DB120" s="143"/>
    </row>
    <row r="121" spans="1:106">
      <c r="A121" s="143"/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8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5"/>
      <c r="CH121" s="143"/>
      <c r="CI121" s="143"/>
      <c r="CJ121" s="143"/>
      <c r="CK121" s="143"/>
      <c r="CL121" s="143"/>
      <c r="CM121" s="143"/>
      <c r="CN121" s="170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</row>
    <row r="122" spans="1:106">
      <c r="A122" s="143"/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8" t="s">
        <v>1961</v>
      </c>
      <c r="AG122" s="143"/>
      <c r="AH122" s="144" t="s">
        <v>98</v>
      </c>
      <c r="AI122" s="146"/>
      <c r="AJ122" s="146"/>
      <c r="AK122" s="143"/>
      <c r="AL122" s="148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5"/>
      <c r="CH122" s="143"/>
      <c r="CI122" s="143"/>
      <c r="CJ122" s="143"/>
      <c r="CK122" s="143"/>
      <c r="CL122" s="143"/>
      <c r="CM122" s="143"/>
      <c r="CN122" s="170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</row>
    <row r="123" spans="1:106">
      <c r="A123" s="143"/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51" t="s">
        <v>90</v>
      </c>
      <c r="AG123" s="143"/>
      <c r="AH123" s="152" t="s">
        <v>99</v>
      </c>
      <c r="AI123" s="143"/>
      <c r="AJ123" s="143"/>
      <c r="AK123" s="143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43"/>
      <c r="BI123" s="143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5"/>
      <c r="CH123" s="143"/>
      <c r="CI123" s="143"/>
      <c r="CJ123" s="143"/>
      <c r="CK123" s="143"/>
      <c r="CL123" s="143"/>
      <c r="CM123" s="143"/>
      <c r="CN123" s="170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</row>
    <row r="124" spans="1:106">
      <c r="A124" s="143"/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53"/>
      <c r="AG124" s="143"/>
      <c r="AH124" s="154"/>
      <c r="AI124" s="154"/>
      <c r="AJ124" s="154"/>
      <c r="AK124" s="143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143"/>
      <c r="BI124" s="143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5"/>
      <c r="CH124" s="143"/>
      <c r="CI124" s="143"/>
      <c r="CJ124" s="143"/>
      <c r="CK124" s="143"/>
      <c r="CL124" s="143"/>
      <c r="CM124" s="143"/>
      <c r="CN124" s="170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</row>
    <row r="125" spans="1:106">
      <c r="A125" s="143"/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8">
        <v>1</v>
      </c>
      <c r="AG125" s="143"/>
      <c r="AH125" s="152" t="str">
        <f>"Retail Customers at "&amp;PROPER(RIGHT(Base_Period,LEN(Base_Period)-15))</f>
        <v>Retail Customers at  November 30, 2017</v>
      </c>
      <c r="AI125" s="179" t="s">
        <v>100</v>
      </c>
      <c r="AJ125" s="196" t="s">
        <v>101</v>
      </c>
      <c r="AK125" s="143"/>
      <c r="AL125" s="213"/>
      <c r="AM125" s="213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157"/>
      <c r="BF125" s="157"/>
      <c r="BG125" s="157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5"/>
      <c r="CH125" s="143"/>
      <c r="CI125" s="143"/>
      <c r="CJ125" s="143"/>
      <c r="CK125" s="143"/>
      <c r="CL125" s="143"/>
      <c r="CM125" s="143"/>
      <c r="CN125" s="170"/>
      <c r="CO125" s="143"/>
      <c r="CP125" s="143"/>
      <c r="CQ125" s="143"/>
      <c r="CR125" s="143"/>
      <c r="CS125" s="143"/>
      <c r="CT125" s="143"/>
      <c r="CU125" s="143"/>
      <c r="CV125" s="143"/>
      <c r="CW125" s="143"/>
      <c r="CX125" s="143"/>
      <c r="CY125" s="143"/>
      <c r="CZ125" s="143"/>
      <c r="DA125" s="143"/>
      <c r="DB125" s="143"/>
    </row>
    <row r="126" spans="1:106">
      <c r="A126" s="143"/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8">
        <v>2</v>
      </c>
      <c r="AG126" s="143"/>
      <c r="AH126" s="144" t="s">
        <v>102</v>
      </c>
      <c r="AI126" s="214">
        <v>99106</v>
      </c>
      <c r="AJ126" s="215">
        <f>AJ128-AJ127</f>
        <v>0.41359999999999997</v>
      </c>
      <c r="AK126" s="143"/>
      <c r="AL126" s="213"/>
      <c r="AM126" s="213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157"/>
      <c r="BF126" s="157"/>
      <c r="BG126" s="157"/>
      <c r="BH126" s="143"/>
      <c r="BI126" s="143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5"/>
      <c r="CH126" s="143"/>
      <c r="CI126" s="143"/>
      <c r="CJ126" s="143"/>
      <c r="CK126" s="143"/>
      <c r="CL126" s="143"/>
      <c r="CM126" s="143"/>
      <c r="CN126" s="170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</row>
    <row r="127" spans="1:106">
      <c r="A127" s="143"/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8">
        <v>3</v>
      </c>
      <c r="AG127" s="143"/>
      <c r="AH127" s="144" t="s">
        <v>103</v>
      </c>
      <c r="AI127" s="216">
        <v>140507</v>
      </c>
      <c r="AJ127" s="217">
        <f>ROUND(AI127/AI128,4)</f>
        <v>0.58640000000000003</v>
      </c>
      <c r="AK127" s="143"/>
      <c r="AL127" s="213"/>
      <c r="AM127" s="213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157"/>
      <c r="BF127" s="157"/>
      <c r="BG127" s="157"/>
      <c r="BH127" s="143"/>
      <c r="BI127" s="143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5"/>
      <c r="CH127" s="143"/>
      <c r="CI127" s="143"/>
      <c r="CJ127" s="143"/>
      <c r="CK127" s="143"/>
      <c r="CL127" s="143"/>
      <c r="CM127" s="143"/>
      <c r="CN127" s="170"/>
      <c r="CO127" s="143"/>
      <c r="CP127" s="143"/>
      <c r="CQ127" s="143"/>
      <c r="CR127" s="143"/>
      <c r="CS127" s="143"/>
      <c r="CT127" s="143"/>
      <c r="CU127" s="143"/>
      <c r="CV127" s="143"/>
      <c r="CW127" s="143"/>
      <c r="CX127" s="143"/>
      <c r="CY127" s="143"/>
      <c r="CZ127" s="143"/>
      <c r="DA127" s="143"/>
      <c r="DB127" s="143"/>
    </row>
    <row r="128" spans="1:106">
      <c r="A128" s="143"/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8">
        <v>4</v>
      </c>
      <c r="AG128" s="143"/>
      <c r="AH128" s="144" t="s">
        <v>104</v>
      </c>
      <c r="AI128" s="218">
        <f>SUM(AI126:AI127)</f>
        <v>239613</v>
      </c>
      <c r="AJ128" s="219">
        <v>1</v>
      </c>
      <c r="AK128" s="143"/>
      <c r="AL128" s="213"/>
      <c r="AM128" s="213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57"/>
      <c r="BD128" s="157"/>
      <c r="BE128" s="157"/>
      <c r="BF128" s="157"/>
      <c r="BG128" s="157"/>
      <c r="BH128" s="143"/>
      <c r="BI128" s="143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5"/>
      <c r="CH128" s="143"/>
      <c r="CI128" s="143"/>
      <c r="CJ128" s="143"/>
      <c r="CK128" s="143"/>
      <c r="CL128" s="143"/>
      <c r="CM128" s="143"/>
      <c r="CN128" s="170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</row>
    <row r="129" spans="1:106">
      <c r="A129" s="143"/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8">
        <v>5</v>
      </c>
      <c r="AG129" s="143"/>
      <c r="AH129" s="143"/>
      <c r="AI129" s="143"/>
      <c r="AJ129" s="143"/>
      <c r="AK129" s="143"/>
      <c r="AL129" s="213"/>
      <c r="AM129" s="213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157"/>
      <c r="BF129" s="157"/>
      <c r="BG129" s="157"/>
      <c r="BH129" s="143"/>
      <c r="BI129" s="143"/>
      <c r="BJ129" s="143"/>
      <c r="BK129" s="143"/>
      <c r="BL129" s="143"/>
      <c r="BM129" s="143"/>
      <c r="BN129" s="143"/>
      <c r="BO129" s="143"/>
      <c r="BP129" s="143"/>
      <c r="BQ129" s="143"/>
      <c r="BR129" s="143"/>
      <c r="BS129" s="143"/>
      <c r="BT129" s="143"/>
      <c r="BU129" s="143"/>
      <c r="BV129" s="143"/>
      <c r="BW129" s="143"/>
      <c r="BX129" s="143"/>
      <c r="BY129" s="143"/>
      <c r="BZ129" s="143"/>
      <c r="CA129" s="143"/>
      <c r="CB129" s="143"/>
      <c r="CC129" s="143"/>
      <c r="CD129" s="143"/>
      <c r="CE129" s="143"/>
      <c r="CF129" s="143"/>
      <c r="CG129" s="145"/>
      <c r="CH129" s="143"/>
      <c r="CI129" s="143"/>
      <c r="CJ129" s="143"/>
      <c r="CK129" s="143"/>
      <c r="CL129" s="143"/>
      <c r="CM129" s="143"/>
      <c r="CN129" s="170"/>
      <c r="CO129" s="143"/>
      <c r="CP129" s="143"/>
      <c r="CQ129" s="143"/>
      <c r="CR129" s="143"/>
      <c r="CS129" s="143"/>
      <c r="CT129" s="143"/>
      <c r="CU129" s="143"/>
      <c r="CV129" s="143"/>
      <c r="CW129" s="143"/>
      <c r="CX129" s="143"/>
      <c r="CY129" s="143"/>
      <c r="CZ129" s="143"/>
      <c r="DA129" s="143"/>
      <c r="DB129" s="143"/>
    </row>
    <row r="130" spans="1:106">
      <c r="A130" s="143"/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8">
        <v>6</v>
      </c>
      <c r="AG130" s="143"/>
      <c r="AH130" s="152" t="str">
        <f>"Retail Customers at "&amp;PROPER(Testyear)</f>
        <v>Retail Customers at March 31, 2019</v>
      </c>
      <c r="AI130" s="179" t="s">
        <v>100</v>
      </c>
      <c r="AJ130" s="196" t="s">
        <v>101</v>
      </c>
      <c r="AK130" s="143"/>
      <c r="AL130" s="213"/>
      <c r="AM130" s="213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157"/>
      <c r="BF130" s="157"/>
      <c r="BG130" s="157"/>
      <c r="BH130" s="143"/>
      <c r="BI130" s="143"/>
      <c r="BJ130" s="143"/>
      <c r="BK130" s="143"/>
      <c r="BL130" s="143"/>
      <c r="BM130" s="143"/>
      <c r="BN130" s="143"/>
      <c r="BO130" s="143"/>
      <c r="BP130" s="143"/>
      <c r="BQ130" s="143"/>
      <c r="BR130" s="143"/>
      <c r="BS130" s="143"/>
      <c r="BT130" s="143"/>
      <c r="BU130" s="143"/>
      <c r="BV130" s="143"/>
      <c r="BW130" s="143"/>
      <c r="BX130" s="143"/>
      <c r="BY130" s="143"/>
      <c r="BZ130" s="143"/>
      <c r="CA130" s="143"/>
      <c r="CB130" s="143"/>
      <c r="CC130" s="143"/>
      <c r="CD130" s="143"/>
      <c r="CE130" s="143"/>
      <c r="CF130" s="143"/>
      <c r="CG130" s="145"/>
      <c r="CH130" s="143"/>
      <c r="CI130" s="143"/>
      <c r="CJ130" s="143"/>
      <c r="CK130" s="143"/>
      <c r="CL130" s="143"/>
      <c r="CM130" s="143"/>
      <c r="CN130" s="170"/>
      <c r="CO130" s="143"/>
      <c r="CP130" s="143"/>
      <c r="CQ130" s="143"/>
      <c r="CR130" s="143"/>
      <c r="CS130" s="143"/>
      <c r="CT130" s="143"/>
      <c r="CU130" s="143"/>
      <c r="CV130" s="143"/>
      <c r="CW130" s="143"/>
      <c r="CX130" s="143"/>
      <c r="CY130" s="143"/>
      <c r="CZ130" s="143"/>
      <c r="DA130" s="143"/>
      <c r="DB130" s="143"/>
    </row>
    <row r="131" spans="1:106">
      <c r="A131" s="143"/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8">
        <v>7</v>
      </c>
      <c r="AG131" s="143"/>
      <c r="AH131" s="144" t="s">
        <v>102</v>
      </c>
      <c r="AI131" s="214">
        <v>100959</v>
      </c>
      <c r="AJ131" s="215">
        <f>AJ133-AJ132</f>
        <v>0.41569999999999996</v>
      </c>
      <c r="AK131" s="143"/>
      <c r="AL131" s="213"/>
      <c r="AM131" s="213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  <c r="BG131" s="157"/>
      <c r="BH131" s="143"/>
      <c r="BI131" s="143"/>
      <c r="BJ131" s="143"/>
      <c r="BK131" s="143"/>
      <c r="BL131" s="143"/>
      <c r="BM131" s="143"/>
      <c r="BN131" s="143"/>
      <c r="BO131" s="143"/>
      <c r="BP131" s="143"/>
      <c r="BQ131" s="143"/>
      <c r="BR131" s="143"/>
      <c r="BS131" s="143"/>
      <c r="BT131" s="143"/>
      <c r="BU131" s="143"/>
      <c r="BV131" s="143"/>
      <c r="BW131" s="143"/>
      <c r="BX131" s="143"/>
      <c r="BY131" s="143"/>
      <c r="BZ131" s="143"/>
      <c r="CA131" s="143"/>
      <c r="CB131" s="143"/>
      <c r="CC131" s="143"/>
      <c r="CD131" s="143"/>
      <c r="CE131" s="143"/>
      <c r="CF131" s="143"/>
      <c r="CG131" s="145"/>
      <c r="CH131" s="143"/>
      <c r="CI131" s="143"/>
      <c r="CJ131" s="143"/>
      <c r="CK131" s="143"/>
      <c r="CL131" s="143"/>
      <c r="CM131" s="143"/>
      <c r="CN131" s="170"/>
      <c r="CO131" s="143"/>
      <c r="CP131" s="143"/>
      <c r="CQ131" s="143"/>
      <c r="CR131" s="143"/>
      <c r="CS131" s="143"/>
      <c r="CT131" s="143"/>
      <c r="CU131" s="143"/>
      <c r="CV131" s="143"/>
      <c r="CW131" s="143"/>
      <c r="CX131" s="143"/>
      <c r="CY131" s="143"/>
      <c r="CZ131" s="143"/>
      <c r="DA131" s="143"/>
      <c r="DB131" s="143"/>
    </row>
    <row r="132" spans="1:106">
      <c r="A132" s="143"/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8">
        <v>8</v>
      </c>
      <c r="AG132" s="143"/>
      <c r="AH132" s="144" t="s">
        <v>103</v>
      </c>
      <c r="AI132" s="216">
        <v>141894</v>
      </c>
      <c r="AJ132" s="217">
        <f>ROUND(AI132/AI133,4)</f>
        <v>0.58430000000000004</v>
      </c>
      <c r="AK132" s="143"/>
      <c r="AL132" s="213"/>
      <c r="AM132" s="213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43"/>
      <c r="BI132" s="143"/>
      <c r="BJ132" s="143"/>
      <c r="BK132" s="143"/>
      <c r="BL132" s="143"/>
      <c r="BM132" s="143"/>
      <c r="BN132" s="143"/>
      <c r="BO132" s="143"/>
      <c r="BP132" s="143"/>
      <c r="BQ132" s="143"/>
      <c r="BR132" s="143"/>
      <c r="BS132" s="143"/>
      <c r="BT132" s="143"/>
      <c r="BU132" s="143"/>
      <c r="BV132" s="143"/>
      <c r="BW132" s="143"/>
      <c r="BX132" s="143"/>
      <c r="BY132" s="143"/>
      <c r="BZ132" s="143"/>
      <c r="CA132" s="143"/>
      <c r="CB132" s="143"/>
      <c r="CC132" s="143"/>
      <c r="CD132" s="143"/>
      <c r="CE132" s="143"/>
      <c r="CF132" s="143"/>
      <c r="CG132" s="145"/>
      <c r="CH132" s="143"/>
      <c r="CI132" s="143"/>
      <c r="CJ132" s="143"/>
      <c r="CK132" s="143"/>
      <c r="CL132" s="143"/>
      <c r="CM132" s="143"/>
      <c r="CN132" s="170"/>
      <c r="CO132" s="143"/>
      <c r="CP132" s="143"/>
      <c r="CQ132" s="143"/>
      <c r="CR132" s="143"/>
      <c r="CS132" s="143"/>
      <c r="CT132" s="143"/>
      <c r="CU132" s="143"/>
      <c r="CV132" s="143"/>
      <c r="CW132" s="143"/>
      <c r="CX132" s="143"/>
      <c r="CY132" s="143"/>
      <c r="CZ132" s="143"/>
      <c r="DA132" s="143"/>
      <c r="DB132" s="143"/>
    </row>
    <row r="133" spans="1:106">
      <c r="A133" s="143"/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8">
        <v>9</v>
      </c>
      <c r="AG133" s="143"/>
      <c r="AH133" s="144" t="s">
        <v>104</v>
      </c>
      <c r="AI133" s="218">
        <f>SUM(AI131:AI132)</f>
        <v>242853</v>
      </c>
      <c r="AJ133" s="219">
        <v>1</v>
      </c>
      <c r="AK133" s="143"/>
      <c r="AL133" s="213"/>
      <c r="AM133" s="213"/>
      <c r="AN133" s="159"/>
      <c r="AO133" s="159"/>
      <c r="AP133" s="159"/>
      <c r="AQ133" s="159"/>
      <c r="AR133" s="159"/>
      <c r="AS133" s="159"/>
      <c r="AT133" s="159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43"/>
      <c r="BI133" s="143"/>
      <c r="BJ133" s="143"/>
      <c r="BK133" s="143"/>
      <c r="BL133" s="143"/>
      <c r="BM133" s="143"/>
      <c r="BN133" s="143"/>
      <c r="BO133" s="143"/>
      <c r="BP133" s="143"/>
      <c r="BQ133" s="143"/>
      <c r="BR133" s="143"/>
      <c r="BS133" s="143"/>
      <c r="BT133" s="143"/>
      <c r="BU133" s="143"/>
      <c r="BV133" s="143"/>
      <c r="BW133" s="143"/>
      <c r="BX133" s="143"/>
      <c r="BY133" s="143"/>
      <c r="BZ133" s="143"/>
      <c r="CA133" s="143"/>
      <c r="CB133" s="143"/>
      <c r="CC133" s="143"/>
      <c r="CD133" s="143"/>
      <c r="CE133" s="143"/>
      <c r="CF133" s="143"/>
      <c r="CG133" s="145"/>
      <c r="CH133" s="143"/>
      <c r="CI133" s="143"/>
      <c r="CJ133" s="143"/>
      <c r="CK133" s="143"/>
      <c r="CL133" s="143"/>
      <c r="CM133" s="143"/>
      <c r="CN133" s="170"/>
      <c r="CO133" s="143"/>
      <c r="CP133" s="143"/>
      <c r="CQ133" s="143"/>
      <c r="CR133" s="143"/>
      <c r="CS133" s="143"/>
      <c r="CT133" s="143"/>
      <c r="CU133" s="143"/>
      <c r="CV133" s="143"/>
      <c r="CW133" s="143"/>
      <c r="CX133" s="143"/>
      <c r="CY133" s="143"/>
      <c r="CZ133" s="143"/>
      <c r="DA133" s="143"/>
      <c r="DB133" s="143"/>
    </row>
    <row r="134" spans="1:106">
      <c r="A134" s="143"/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2"/>
      <c r="AG134" s="143"/>
      <c r="AH134" s="143"/>
      <c r="AI134" s="143"/>
      <c r="AJ134" s="143"/>
      <c r="AK134" s="143"/>
      <c r="AL134" s="220"/>
      <c r="AM134" s="220"/>
      <c r="AN134" s="143"/>
      <c r="AO134" s="143"/>
      <c r="AP134" s="143"/>
      <c r="AQ134" s="143"/>
      <c r="AR134" s="143"/>
      <c r="AS134" s="143"/>
      <c r="AT134" s="143"/>
      <c r="AU134" s="143"/>
      <c r="AV134" s="143"/>
      <c r="AW134" s="143"/>
      <c r="AX134" s="143"/>
      <c r="AY134" s="143"/>
      <c r="AZ134" s="143"/>
      <c r="BA134" s="143"/>
      <c r="BB134" s="143"/>
      <c r="BC134" s="143"/>
      <c r="BD134" s="143"/>
      <c r="BE134" s="143"/>
      <c r="BF134" s="143"/>
      <c r="BG134" s="143"/>
      <c r="BH134" s="143"/>
      <c r="BI134" s="143"/>
      <c r="BJ134" s="143"/>
      <c r="BK134" s="143"/>
      <c r="BL134" s="143"/>
      <c r="BM134" s="143"/>
      <c r="BN134" s="143"/>
      <c r="BO134" s="143"/>
      <c r="BP134" s="143"/>
      <c r="BQ134" s="143"/>
      <c r="BR134" s="143"/>
      <c r="BS134" s="143"/>
      <c r="BT134" s="143"/>
      <c r="BU134" s="143"/>
      <c r="BV134" s="143"/>
      <c r="BW134" s="143"/>
      <c r="BX134" s="143"/>
      <c r="BY134" s="143"/>
      <c r="BZ134" s="143"/>
      <c r="CA134" s="143"/>
      <c r="CB134" s="143"/>
      <c r="CC134" s="143"/>
      <c r="CD134" s="143"/>
      <c r="CE134" s="143"/>
      <c r="CF134" s="143"/>
      <c r="CG134" s="145"/>
      <c r="CH134" s="143"/>
      <c r="CI134" s="143"/>
      <c r="CJ134" s="143"/>
      <c r="CK134" s="143"/>
      <c r="CL134" s="143"/>
      <c r="CM134" s="143"/>
      <c r="CN134" s="170"/>
      <c r="CO134" s="143"/>
      <c r="CP134" s="143"/>
      <c r="CQ134" s="143"/>
      <c r="CR134" s="143"/>
      <c r="CS134" s="143"/>
      <c r="CT134" s="143"/>
      <c r="CU134" s="143"/>
      <c r="CV134" s="143"/>
      <c r="CW134" s="143"/>
      <c r="CX134" s="143"/>
      <c r="CY134" s="143"/>
      <c r="CZ134" s="143"/>
      <c r="DA134" s="143"/>
      <c r="DB134" s="143"/>
    </row>
    <row r="135" spans="1:106">
      <c r="A135" s="143"/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2"/>
      <c r="AG135" s="143"/>
      <c r="AH135" s="144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  <c r="AU135" s="143"/>
      <c r="AV135" s="143"/>
      <c r="AW135" s="143"/>
      <c r="AX135" s="143"/>
      <c r="AY135" s="143"/>
      <c r="AZ135" s="143"/>
      <c r="BA135" s="143"/>
      <c r="BB135" s="143"/>
      <c r="BC135" s="143"/>
      <c r="BD135" s="143"/>
      <c r="BE135" s="143"/>
      <c r="BF135" s="143"/>
      <c r="BG135" s="143"/>
      <c r="BH135" s="143"/>
      <c r="BI135" s="143"/>
      <c r="BJ135" s="143"/>
      <c r="BK135" s="143"/>
      <c r="BL135" s="143"/>
      <c r="BM135" s="143"/>
      <c r="BN135" s="143"/>
      <c r="BO135" s="143"/>
      <c r="BP135" s="143"/>
      <c r="BQ135" s="143"/>
      <c r="BR135" s="143"/>
      <c r="BS135" s="143"/>
      <c r="BT135" s="143"/>
      <c r="BU135" s="143"/>
      <c r="BV135" s="143"/>
      <c r="BW135" s="143"/>
      <c r="BX135" s="143"/>
      <c r="BY135" s="143"/>
      <c r="BZ135" s="143"/>
      <c r="CA135" s="143"/>
      <c r="CB135" s="143"/>
      <c r="CC135" s="143"/>
      <c r="CD135" s="143"/>
      <c r="CE135" s="143"/>
      <c r="CF135" s="143"/>
      <c r="CG135" s="145"/>
      <c r="CH135" s="143"/>
      <c r="CI135" s="143"/>
      <c r="CJ135" s="143"/>
      <c r="CK135" s="143"/>
      <c r="CL135" s="143"/>
      <c r="CM135" s="143"/>
      <c r="CN135" s="170"/>
      <c r="CO135" s="143"/>
      <c r="CP135" s="143"/>
      <c r="CQ135" s="143"/>
      <c r="CR135" s="143"/>
      <c r="CS135" s="143"/>
      <c r="CT135" s="143"/>
      <c r="CU135" s="143"/>
      <c r="CV135" s="143"/>
      <c r="CW135" s="143"/>
      <c r="CX135" s="143"/>
      <c r="CY135" s="143"/>
      <c r="CZ135" s="143"/>
      <c r="DA135" s="143"/>
      <c r="DB135" s="143"/>
    </row>
    <row r="136" spans="1:106">
      <c r="A136" s="143"/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85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  <c r="AU136" s="143"/>
      <c r="AV136" s="143"/>
      <c r="AW136" s="143"/>
      <c r="AX136" s="143"/>
      <c r="AY136" s="143"/>
      <c r="AZ136" s="143"/>
      <c r="BA136" s="143"/>
      <c r="BB136" s="143"/>
      <c r="BC136" s="143"/>
      <c r="BD136" s="143"/>
      <c r="BE136" s="143"/>
      <c r="BF136" s="143"/>
      <c r="BG136" s="143"/>
      <c r="BH136" s="143"/>
      <c r="BI136" s="143"/>
      <c r="BJ136" s="143"/>
      <c r="BK136" s="143"/>
      <c r="BL136" s="143"/>
      <c r="BM136" s="143"/>
      <c r="BN136" s="143"/>
      <c r="BO136" s="143"/>
      <c r="BP136" s="143"/>
      <c r="BQ136" s="143"/>
      <c r="BR136" s="143"/>
      <c r="BS136" s="143"/>
      <c r="BT136" s="143"/>
      <c r="BU136" s="143"/>
      <c r="BV136" s="143"/>
      <c r="BW136" s="143"/>
      <c r="BX136" s="143"/>
      <c r="BY136" s="143"/>
      <c r="BZ136" s="143"/>
      <c r="CA136" s="143"/>
      <c r="CB136" s="143"/>
      <c r="CC136" s="143"/>
      <c r="CD136" s="143"/>
      <c r="CE136" s="143"/>
      <c r="CF136" s="143"/>
      <c r="CG136" s="145"/>
      <c r="CH136" s="143"/>
      <c r="CI136" s="143"/>
      <c r="CJ136" s="143"/>
      <c r="CK136" s="143"/>
      <c r="CL136" s="143"/>
      <c r="CM136" s="143"/>
      <c r="CN136" s="170"/>
      <c r="CO136" s="143"/>
      <c r="CP136" s="143"/>
      <c r="CQ136" s="143"/>
      <c r="CR136" s="143"/>
      <c r="CS136" s="143"/>
      <c r="CT136" s="143"/>
      <c r="CU136" s="143"/>
      <c r="CV136" s="143"/>
      <c r="CW136" s="143"/>
      <c r="CX136" s="143"/>
      <c r="CY136" s="143"/>
      <c r="CZ136" s="143"/>
      <c r="DA136" s="143"/>
      <c r="DB136" s="143"/>
    </row>
    <row r="137" spans="1:106">
      <c r="A137" s="143"/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  <c r="AU137" s="143"/>
      <c r="AV137" s="143"/>
      <c r="AW137" s="143"/>
      <c r="AX137" s="143"/>
      <c r="AY137" s="143"/>
      <c r="AZ137" s="143"/>
      <c r="BA137" s="143"/>
      <c r="BB137" s="143"/>
      <c r="BC137" s="143"/>
      <c r="BD137" s="143"/>
      <c r="BE137" s="143"/>
      <c r="BF137" s="143"/>
      <c r="BG137" s="143"/>
      <c r="BH137" s="143"/>
      <c r="BI137" s="143"/>
      <c r="BJ137" s="143"/>
      <c r="BK137" s="143"/>
      <c r="BL137" s="143"/>
      <c r="BM137" s="143"/>
      <c r="BN137" s="143"/>
      <c r="BO137" s="143"/>
      <c r="BP137" s="143"/>
      <c r="BQ137" s="143"/>
      <c r="BR137" s="143"/>
      <c r="BS137" s="143"/>
      <c r="BT137" s="143"/>
      <c r="BU137" s="143"/>
      <c r="BV137" s="143"/>
      <c r="BW137" s="143"/>
      <c r="BX137" s="143"/>
      <c r="BY137" s="143"/>
      <c r="BZ137" s="143"/>
      <c r="CA137" s="143"/>
      <c r="CB137" s="143"/>
      <c r="CC137" s="143"/>
      <c r="CD137" s="143"/>
      <c r="CE137" s="143"/>
      <c r="CF137" s="143"/>
      <c r="CG137" s="145"/>
      <c r="CH137" s="143"/>
      <c r="CI137" s="143"/>
      <c r="CJ137" s="143"/>
      <c r="CK137" s="143"/>
      <c r="CL137" s="143"/>
      <c r="CM137" s="143"/>
      <c r="CN137" s="170"/>
      <c r="CO137" s="143"/>
      <c r="CP137" s="143"/>
      <c r="CQ137" s="143"/>
      <c r="CR137" s="143"/>
      <c r="CS137" s="143"/>
      <c r="CT137" s="143"/>
      <c r="CU137" s="143"/>
      <c r="CV137" s="143"/>
      <c r="CW137" s="143"/>
      <c r="CX137" s="143"/>
      <c r="CY137" s="143"/>
      <c r="CZ137" s="143"/>
      <c r="DA137" s="143"/>
      <c r="DB137" s="143"/>
    </row>
    <row r="138" spans="1:106">
      <c r="A138" s="143"/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4" t="str">
        <f>COMPANY</f>
        <v>DUKE ENERGY KENTUCKY, INC.</v>
      </c>
      <c r="AP138" s="143"/>
      <c r="AQ138" s="143"/>
      <c r="AR138" s="143"/>
      <c r="AS138" s="143"/>
      <c r="AT138" s="143"/>
      <c r="AU138" s="143"/>
      <c r="AV138" s="143"/>
      <c r="AW138" s="143"/>
      <c r="AX138" s="143"/>
      <c r="AY138" s="144" t="s">
        <v>1710</v>
      </c>
      <c r="AZ138" s="143"/>
      <c r="BA138" s="143"/>
      <c r="BB138" s="143"/>
      <c r="BC138" s="143"/>
      <c r="BD138" s="143"/>
      <c r="BE138" s="143"/>
      <c r="BF138" s="143"/>
      <c r="BG138" s="143"/>
      <c r="BH138" s="143"/>
      <c r="BI138" s="143"/>
      <c r="BJ138" s="143"/>
      <c r="BK138" s="143"/>
      <c r="BL138" s="143"/>
      <c r="BM138" s="143"/>
      <c r="BN138" s="143"/>
      <c r="BO138" s="143"/>
      <c r="BP138" s="143"/>
      <c r="BQ138" s="143"/>
      <c r="BR138" s="143"/>
      <c r="BS138" s="143"/>
      <c r="BT138" s="143"/>
      <c r="BU138" s="143"/>
      <c r="BV138" s="143"/>
      <c r="BW138" s="143"/>
      <c r="BX138" s="143"/>
      <c r="BY138" s="143"/>
      <c r="BZ138" s="143"/>
      <c r="CA138" s="143"/>
      <c r="CB138" s="143"/>
      <c r="CC138" s="143"/>
      <c r="CD138" s="143"/>
      <c r="CE138" s="143"/>
      <c r="CF138" s="143"/>
      <c r="CG138" s="145"/>
      <c r="CH138" s="143"/>
      <c r="CI138" s="143"/>
      <c r="CJ138" s="143"/>
      <c r="CK138" s="143"/>
      <c r="CL138" s="143"/>
      <c r="CM138" s="143"/>
      <c r="CN138" s="170"/>
      <c r="CO138" s="143"/>
      <c r="CP138" s="143"/>
      <c r="CQ138" s="143"/>
      <c r="CR138" s="143"/>
      <c r="CS138" s="143"/>
      <c r="CT138" s="143"/>
      <c r="CU138" s="143"/>
      <c r="CV138" s="143"/>
      <c r="CW138" s="143"/>
      <c r="CX138" s="143"/>
      <c r="CY138" s="143"/>
      <c r="CZ138" s="143"/>
      <c r="DA138" s="143"/>
      <c r="DB138" s="143"/>
    </row>
    <row r="139" spans="1:106">
      <c r="A139" s="143"/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4" t="str">
        <f>DEPT</f>
        <v>ELECTRIC DEPARTMENT</v>
      </c>
      <c r="AP139" s="143"/>
      <c r="AQ139" s="143"/>
      <c r="AR139" s="143"/>
      <c r="AS139" s="143"/>
      <c r="AT139" s="143"/>
      <c r="AU139" s="143"/>
      <c r="AV139" s="143"/>
      <c r="AW139" s="143"/>
      <c r="AX139" s="143"/>
      <c r="AY139" s="144" t="s">
        <v>622</v>
      </c>
      <c r="AZ139" s="143"/>
      <c r="BA139" s="143"/>
      <c r="BB139" s="143"/>
      <c r="BC139" s="143"/>
      <c r="BD139" s="143"/>
      <c r="BE139" s="143"/>
      <c r="BF139" s="143"/>
      <c r="BG139" s="143"/>
      <c r="BH139" s="143"/>
      <c r="BI139" s="143"/>
      <c r="BJ139" s="143"/>
      <c r="BK139" s="143"/>
      <c r="BL139" s="143"/>
      <c r="BM139" s="143"/>
      <c r="BN139" s="143"/>
      <c r="BO139" s="143"/>
      <c r="BP139" s="143"/>
      <c r="BQ139" s="143"/>
      <c r="BR139" s="143"/>
      <c r="BS139" s="143"/>
      <c r="BT139" s="143"/>
      <c r="BU139" s="143"/>
      <c r="BV139" s="143"/>
      <c r="BW139" s="143"/>
      <c r="BX139" s="143"/>
      <c r="BY139" s="143"/>
      <c r="BZ139" s="143"/>
      <c r="CA139" s="143"/>
      <c r="CB139" s="143"/>
      <c r="CC139" s="143"/>
      <c r="CD139" s="143"/>
      <c r="CE139" s="143"/>
      <c r="CF139" s="143"/>
      <c r="CG139" s="145"/>
      <c r="CH139" s="143"/>
      <c r="CI139" s="143"/>
      <c r="CJ139" s="143"/>
      <c r="CK139" s="143"/>
      <c r="CL139" s="143"/>
      <c r="CM139" s="143"/>
      <c r="CN139" s="170"/>
      <c r="CO139" s="143"/>
      <c r="CP139" s="143"/>
      <c r="CQ139" s="143"/>
      <c r="CR139" s="143"/>
      <c r="CS139" s="143"/>
      <c r="CT139" s="143"/>
      <c r="CU139" s="143"/>
      <c r="CV139" s="143"/>
      <c r="CW139" s="143"/>
      <c r="CX139" s="143"/>
      <c r="CY139" s="143"/>
      <c r="CZ139" s="143"/>
      <c r="DA139" s="143"/>
      <c r="DB139" s="143"/>
    </row>
    <row r="140" spans="1:106">
      <c r="A140" s="143"/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4" t="str">
        <f>CASE</f>
        <v>CASE NO. 2017-00321</v>
      </c>
      <c r="AP140" s="143"/>
      <c r="AQ140" s="143"/>
      <c r="AR140" s="143"/>
      <c r="AS140" s="143"/>
      <c r="AT140" s="143"/>
      <c r="AU140" s="143"/>
      <c r="AV140" s="143"/>
      <c r="AW140" s="143"/>
      <c r="AX140" s="143"/>
      <c r="AY140" s="127" t="s">
        <v>2709</v>
      </c>
      <c r="AZ140" s="143"/>
      <c r="BA140" s="143"/>
      <c r="BB140" s="143"/>
      <c r="BC140" s="143"/>
      <c r="BD140" s="143"/>
      <c r="BE140" s="143"/>
      <c r="BF140" s="143"/>
      <c r="BG140" s="143"/>
      <c r="BH140" s="143"/>
      <c r="BI140" s="143"/>
      <c r="BJ140" s="143"/>
      <c r="BK140" s="143"/>
      <c r="BL140" s="143"/>
      <c r="BM140" s="143"/>
      <c r="BN140" s="143"/>
      <c r="BO140" s="143"/>
      <c r="BP140" s="143"/>
      <c r="BQ140" s="143"/>
      <c r="BR140" s="143"/>
      <c r="BS140" s="143"/>
      <c r="BT140" s="143"/>
      <c r="BU140" s="143"/>
      <c r="BV140" s="143"/>
      <c r="BW140" s="143"/>
      <c r="BX140" s="143"/>
      <c r="BY140" s="143"/>
      <c r="BZ140" s="143"/>
      <c r="CA140" s="143"/>
      <c r="CB140" s="143"/>
      <c r="CC140" s="143"/>
      <c r="CD140" s="143"/>
      <c r="CE140" s="143"/>
      <c r="CF140" s="143"/>
      <c r="CG140" s="145"/>
      <c r="CH140" s="143"/>
      <c r="CI140" s="143"/>
      <c r="CJ140" s="143"/>
      <c r="CK140" s="143"/>
      <c r="CL140" s="143"/>
      <c r="CM140" s="143"/>
      <c r="CN140" s="170"/>
      <c r="CO140" s="143"/>
      <c r="CP140" s="143"/>
      <c r="CQ140" s="143"/>
      <c r="CR140" s="143"/>
      <c r="CS140" s="143"/>
      <c r="CT140" s="143"/>
      <c r="CU140" s="143"/>
      <c r="CV140" s="143"/>
      <c r="CW140" s="143"/>
      <c r="CX140" s="143"/>
      <c r="CY140" s="143"/>
      <c r="CZ140" s="143"/>
      <c r="DA140" s="143"/>
      <c r="DB140" s="143"/>
    </row>
    <row r="141" spans="1:106">
      <c r="A141" s="143"/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211" t="s">
        <v>366</v>
      </c>
      <c r="AP141" s="143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3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43"/>
      <c r="BQ141" s="143"/>
      <c r="BR141" s="143"/>
      <c r="BS141" s="143"/>
      <c r="BT141" s="143"/>
      <c r="BU141" s="143"/>
      <c r="BV141" s="143"/>
      <c r="BW141" s="143"/>
      <c r="BX141" s="143"/>
      <c r="BY141" s="143"/>
      <c r="BZ141" s="143"/>
      <c r="CA141" s="143"/>
      <c r="CB141" s="143"/>
      <c r="CC141" s="143"/>
      <c r="CD141" s="143"/>
      <c r="CE141" s="143"/>
      <c r="CF141" s="143"/>
      <c r="CG141" s="145"/>
      <c r="CH141" s="143"/>
      <c r="CI141" s="143"/>
      <c r="CJ141" s="143"/>
      <c r="CK141" s="143"/>
      <c r="CL141" s="143"/>
      <c r="CM141" s="143"/>
      <c r="CN141" s="170"/>
      <c r="CO141" s="143"/>
      <c r="CP141" s="143"/>
      <c r="CQ141" s="143"/>
      <c r="CR141" s="143"/>
      <c r="CS141" s="143"/>
      <c r="CT141" s="143"/>
      <c r="CU141" s="143"/>
      <c r="CV141" s="143"/>
      <c r="CW141" s="143"/>
      <c r="CX141" s="143"/>
      <c r="CY141" s="143"/>
      <c r="CZ141" s="143"/>
      <c r="DA141" s="143"/>
      <c r="DB141" s="143"/>
    </row>
    <row r="142" spans="1:106">
      <c r="A142" s="143"/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4" t="s">
        <v>206</v>
      </c>
      <c r="AP142" s="143"/>
      <c r="AQ142" s="143"/>
      <c r="AR142" s="143"/>
      <c r="AS142" s="143"/>
      <c r="AT142" s="143"/>
      <c r="AU142" s="143"/>
      <c r="AV142" s="143"/>
      <c r="AW142" s="143"/>
      <c r="AX142" s="143"/>
      <c r="AY142" s="143"/>
      <c r="AZ142" s="143"/>
      <c r="BA142" s="143"/>
      <c r="BB142" s="143"/>
      <c r="BC142" s="143"/>
      <c r="BD142" s="143"/>
      <c r="BE142" s="143"/>
      <c r="BF142" s="143"/>
      <c r="BG142" s="143"/>
      <c r="BH142" s="143"/>
      <c r="BI142" s="143"/>
      <c r="BJ142" s="143"/>
      <c r="BK142" s="143"/>
      <c r="BL142" s="143"/>
      <c r="BM142" s="143"/>
      <c r="BN142" s="143"/>
      <c r="BO142" s="143"/>
      <c r="BP142" s="143"/>
      <c r="BQ142" s="143"/>
      <c r="BR142" s="143"/>
      <c r="BS142" s="143"/>
      <c r="BT142" s="143"/>
      <c r="BU142" s="143"/>
      <c r="BV142" s="143"/>
      <c r="BW142" s="143"/>
      <c r="BX142" s="143"/>
      <c r="BY142" s="143"/>
      <c r="BZ142" s="143"/>
      <c r="CA142" s="143"/>
      <c r="CB142" s="143"/>
      <c r="CC142" s="143"/>
      <c r="CD142" s="143"/>
      <c r="CE142" s="143"/>
      <c r="CF142" s="143"/>
      <c r="CG142" s="145"/>
      <c r="CH142" s="143"/>
      <c r="CI142" s="143"/>
      <c r="CJ142" s="143"/>
      <c r="CK142" s="143"/>
      <c r="CL142" s="143"/>
      <c r="CM142" s="143"/>
      <c r="CN142" s="170"/>
      <c r="CO142" s="143"/>
      <c r="CP142" s="143"/>
      <c r="CQ142" s="143"/>
      <c r="CR142" s="143"/>
      <c r="CS142" s="143"/>
      <c r="CT142" s="143"/>
      <c r="CU142" s="143"/>
      <c r="CV142" s="143"/>
      <c r="CW142" s="143"/>
      <c r="CX142" s="143"/>
      <c r="CY142" s="143"/>
      <c r="CZ142" s="143"/>
      <c r="DA142" s="143"/>
      <c r="DB142" s="143"/>
    </row>
    <row r="143" spans="1:106">
      <c r="A143" s="143"/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  <c r="AU143" s="143"/>
      <c r="AV143" s="143"/>
      <c r="AW143" s="143"/>
      <c r="AX143" s="143"/>
      <c r="AY143" s="143"/>
      <c r="AZ143" s="143"/>
      <c r="BA143" s="143"/>
      <c r="BB143" s="143"/>
      <c r="BC143" s="143"/>
      <c r="BD143" s="143"/>
      <c r="BE143" s="143"/>
      <c r="BF143" s="143"/>
      <c r="BG143" s="143"/>
      <c r="BH143" s="143"/>
      <c r="BI143" s="143"/>
      <c r="BJ143" s="143"/>
      <c r="BK143" s="143"/>
      <c r="BL143" s="143"/>
      <c r="BM143" s="143"/>
      <c r="BN143" s="143"/>
      <c r="BO143" s="143"/>
      <c r="BP143" s="143"/>
      <c r="BQ143" s="143"/>
      <c r="BR143" s="143"/>
      <c r="BS143" s="143"/>
      <c r="BT143" s="143"/>
      <c r="BU143" s="143"/>
      <c r="BV143" s="143"/>
      <c r="BW143" s="143"/>
      <c r="BX143" s="143"/>
      <c r="BY143" s="143"/>
      <c r="BZ143" s="143"/>
      <c r="CA143" s="143"/>
      <c r="CB143" s="143"/>
      <c r="CC143" s="143"/>
      <c r="CD143" s="143"/>
      <c r="CE143" s="143"/>
      <c r="CF143" s="143"/>
      <c r="CG143" s="145"/>
      <c r="CH143" s="143"/>
      <c r="CI143" s="143"/>
      <c r="CJ143" s="143"/>
      <c r="CK143" s="143"/>
      <c r="CL143" s="143"/>
      <c r="CM143" s="143"/>
      <c r="CN143" s="170"/>
      <c r="CO143" s="143"/>
      <c r="CP143" s="143"/>
      <c r="CQ143" s="143"/>
      <c r="CR143" s="143"/>
      <c r="CS143" s="143"/>
      <c r="CT143" s="143"/>
      <c r="CU143" s="143"/>
      <c r="CV143" s="143"/>
      <c r="CW143" s="143"/>
      <c r="CX143" s="143"/>
      <c r="CY143" s="143"/>
      <c r="CZ143" s="143"/>
      <c r="DA143" s="143"/>
      <c r="DB143" s="143"/>
    </row>
    <row r="144" spans="1:106">
      <c r="A144" s="143"/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  <c r="AU144" s="143"/>
      <c r="AV144" s="143"/>
      <c r="AW144" s="143"/>
      <c r="AX144" s="143"/>
      <c r="AY144" s="146"/>
      <c r="AZ144" s="146"/>
      <c r="BA144" s="143"/>
      <c r="BB144" s="143"/>
      <c r="BC144" s="143"/>
      <c r="BD144" s="143"/>
      <c r="BE144" s="143"/>
      <c r="BF144" s="143"/>
      <c r="BG144" s="143"/>
      <c r="BH144" s="143"/>
      <c r="BI144" s="143"/>
      <c r="BJ144" s="143"/>
      <c r="BK144" s="143"/>
      <c r="BL144" s="143"/>
      <c r="BM144" s="143"/>
      <c r="BN144" s="143"/>
      <c r="BO144" s="143"/>
      <c r="BP144" s="143"/>
      <c r="BQ144" s="143"/>
      <c r="BR144" s="143"/>
      <c r="BS144" s="143"/>
      <c r="BT144" s="143"/>
      <c r="BU144" s="143"/>
      <c r="BV144" s="143"/>
      <c r="BW144" s="143"/>
      <c r="BX144" s="143"/>
      <c r="BY144" s="143"/>
      <c r="BZ144" s="143"/>
      <c r="CA144" s="143"/>
      <c r="CB144" s="143"/>
      <c r="CC144" s="143"/>
      <c r="CD144" s="143"/>
      <c r="CE144" s="143"/>
      <c r="CF144" s="143"/>
      <c r="CG144" s="145"/>
      <c r="CH144" s="143"/>
      <c r="CI144" s="143"/>
      <c r="CJ144" s="143"/>
      <c r="CK144" s="143"/>
      <c r="CL144" s="143"/>
      <c r="CM144" s="143"/>
      <c r="CN144" s="170"/>
      <c r="CO144" s="143"/>
      <c r="CP144" s="143"/>
      <c r="CQ144" s="143"/>
      <c r="CR144" s="143"/>
      <c r="CS144" s="143"/>
      <c r="CT144" s="143"/>
      <c r="CU144" s="143"/>
      <c r="CV144" s="143"/>
      <c r="CW144" s="143"/>
      <c r="CX144" s="143"/>
      <c r="CY144" s="143"/>
      <c r="CZ144" s="143"/>
      <c r="DA144" s="143"/>
      <c r="DB144" s="143"/>
    </row>
    <row r="145" spans="1:106">
      <c r="A145" s="143"/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8" t="s">
        <v>1961</v>
      </c>
      <c r="AP145" s="143"/>
      <c r="AQ145" s="143"/>
      <c r="AR145" s="143"/>
      <c r="AS145" s="143"/>
      <c r="AT145" s="148" t="s">
        <v>3155</v>
      </c>
      <c r="AU145" s="221" t="s">
        <v>398</v>
      </c>
      <c r="AV145" s="146"/>
      <c r="AW145" s="146"/>
      <c r="AX145" s="221" t="s">
        <v>367</v>
      </c>
      <c r="AY145" s="146"/>
      <c r="AZ145" s="146"/>
      <c r="BA145" s="143"/>
      <c r="BB145" s="146"/>
      <c r="BC145" s="146"/>
      <c r="BD145" s="146"/>
      <c r="BE145" s="146"/>
      <c r="BF145" s="146"/>
      <c r="BG145" s="146"/>
      <c r="BH145" s="146"/>
      <c r="BI145" s="143"/>
      <c r="BJ145" s="143"/>
      <c r="BK145" s="143"/>
      <c r="BL145" s="143"/>
      <c r="BM145" s="143"/>
      <c r="BN145" s="143"/>
      <c r="BO145" s="143"/>
      <c r="BP145" s="143"/>
      <c r="BQ145" s="143"/>
      <c r="BR145" s="143"/>
      <c r="BS145" s="143"/>
      <c r="BT145" s="143"/>
      <c r="BU145" s="143"/>
      <c r="BV145" s="143"/>
      <c r="BW145" s="143"/>
      <c r="BX145" s="143"/>
      <c r="BY145" s="143"/>
      <c r="BZ145" s="143"/>
      <c r="CA145" s="143"/>
      <c r="CB145" s="143"/>
      <c r="CC145" s="143"/>
      <c r="CD145" s="143"/>
      <c r="CE145" s="143"/>
      <c r="CF145" s="143"/>
      <c r="CG145" s="145"/>
      <c r="CH145" s="143"/>
      <c r="CI145" s="143"/>
      <c r="CJ145" s="143"/>
      <c r="CK145" s="143"/>
      <c r="CL145" s="143"/>
      <c r="CM145" s="143"/>
      <c r="CN145" s="170"/>
      <c r="CO145" s="143"/>
      <c r="CP145" s="143"/>
      <c r="CQ145" s="143"/>
      <c r="CR145" s="143"/>
      <c r="CS145" s="143"/>
      <c r="CT145" s="143"/>
      <c r="CU145" s="143"/>
      <c r="CV145" s="143"/>
      <c r="CW145" s="143"/>
      <c r="CX145" s="143"/>
      <c r="CY145" s="143"/>
      <c r="CZ145" s="143"/>
      <c r="DA145" s="143"/>
      <c r="DB145" s="143"/>
    </row>
    <row r="146" spans="1:106">
      <c r="A146" s="143"/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51" t="s">
        <v>90</v>
      </c>
      <c r="AP146" s="199"/>
      <c r="AQ146" s="152" t="s">
        <v>368</v>
      </c>
      <c r="AR146" s="199"/>
      <c r="AS146" s="199"/>
      <c r="AT146" s="151" t="s">
        <v>369</v>
      </c>
      <c r="AU146" s="151" t="s">
        <v>363</v>
      </c>
      <c r="AV146" s="199"/>
      <c r="AW146" s="151" t="s">
        <v>364</v>
      </c>
      <c r="AX146" s="151" t="s">
        <v>370</v>
      </c>
      <c r="AY146" s="151" t="s">
        <v>363</v>
      </c>
      <c r="AZ146" s="151" t="s">
        <v>364</v>
      </c>
      <c r="BA146" s="151"/>
      <c r="BB146" s="151"/>
      <c r="BC146" s="151"/>
      <c r="BD146" s="151"/>
      <c r="BE146" s="151"/>
      <c r="BF146" s="151"/>
      <c r="BG146" s="151"/>
      <c r="BH146" s="143"/>
      <c r="BI146" s="143"/>
      <c r="BJ146" s="143"/>
      <c r="BK146" s="143"/>
      <c r="BL146" s="143"/>
      <c r="BM146" s="143"/>
      <c r="BN146" s="143"/>
      <c r="BO146" s="143"/>
      <c r="BP146" s="143"/>
      <c r="BQ146" s="143"/>
      <c r="BR146" s="143"/>
      <c r="BS146" s="143"/>
      <c r="BT146" s="143"/>
      <c r="BU146" s="143"/>
      <c r="BV146" s="143"/>
      <c r="BW146" s="143"/>
      <c r="BX146" s="143"/>
      <c r="BY146" s="143"/>
      <c r="BZ146" s="143"/>
      <c r="CA146" s="143"/>
      <c r="CB146" s="143"/>
      <c r="CC146" s="143"/>
      <c r="CD146" s="143"/>
      <c r="CE146" s="143"/>
      <c r="CF146" s="143"/>
      <c r="CG146" s="145"/>
      <c r="CH146" s="143"/>
      <c r="CI146" s="143"/>
      <c r="CJ146" s="143"/>
      <c r="CK146" s="143"/>
      <c r="CL146" s="143"/>
      <c r="CM146" s="143"/>
      <c r="CN146" s="170"/>
      <c r="CO146" s="143"/>
      <c r="CP146" s="143"/>
      <c r="CQ146" s="143"/>
      <c r="CR146" s="143"/>
      <c r="CS146" s="143"/>
      <c r="CT146" s="143"/>
      <c r="CU146" s="143"/>
      <c r="CV146" s="143"/>
      <c r="CW146" s="143"/>
      <c r="CX146" s="143"/>
      <c r="CY146" s="143"/>
      <c r="CZ146" s="143"/>
      <c r="DA146" s="143"/>
      <c r="DB146" s="143"/>
    </row>
    <row r="147" spans="1:106">
      <c r="A147" s="143"/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222"/>
      <c r="AS147" s="214"/>
      <c r="AT147" s="156" t="s">
        <v>1705</v>
      </c>
      <c r="AU147" s="214"/>
      <c r="AV147" s="157"/>
      <c r="AW147" s="156" t="s">
        <v>1705</v>
      </c>
      <c r="AX147" s="143"/>
      <c r="AY147" s="143"/>
      <c r="AZ147" s="148" t="s">
        <v>1705</v>
      </c>
      <c r="BA147" s="148"/>
      <c r="BB147" s="148"/>
      <c r="BC147" s="148"/>
      <c r="BD147" s="148"/>
      <c r="BE147" s="148"/>
      <c r="BF147" s="148"/>
      <c r="BG147" s="148"/>
      <c r="BH147" s="143"/>
      <c r="BI147" s="143"/>
      <c r="BJ147" s="143"/>
      <c r="BK147" s="143"/>
      <c r="BL147" s="143"/>
      <c r="BM147" s="143"/>
      <c r="BN147" s="143"/>
      <c r="BO147" s="143"/>
      <c r="BP147" s="143"/>
      <c r="BQ147" s="143"/>
      <c r="BR147" s="143"/>
      <c r="BS147" s="143"/>
      <c r="BT147" s="143"/>
      <c r="BU147" s="143"/>
      <c r="BV147" s="143"/>
      <c r="BW147" s="143"/>
      <c r="BX147" s="143"/>
      <c r="BY147" s="143"/>
      <c r="BZ147" s="143"/>
      <c r="CA147" s="143"/>
      <c r="CB147" s="143"/>
      <c r="CC147" s="143"/>
      <c r="CD147" s="143"/>
      <c r="CE147" s="143"/>
      <c r="CF147" s="143"/>
      <c r="CG147" s="145"/>
      <c r="CH147" s="143"/>
      <c r="CI147" s="143"/>
      <c r="CJ147" s="143"/>
      <c r="CK147" s="143"/>
      <c r="CL147" s="143"/>
      <c r="CM147" s="143"/>
      <c r="CN147" s="170"/>
      <c r="CO147" s="143"/>
      <c r="CP147" s="143"/>
      <c r="CQ147" s="143"/>
      <c r="CR147" s="143"/>
      <c r="CS147" s="143"/>
      <c r="CT147" s="143"/>
      <c r="CU147" s="143"/>
      <c r="CV147" s="143"/>
      <c r="CW147" s="143"/>
      <c r="CX147" s="143"/>
      <c r="CY147" s="143"/>
      <c r="CZ147" s="143"/>
      <c r="DA147" s="143"/>
      <c r="DB147" s="143"/>
    </row>
    <row r="148" spans="1:106">
      <c r="A148" s="143"/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8">
        <v>1</v>
      </c>
      <c r="AP148" s="143"/>
      <c r="AQ148" s="152" t="s">
        <v>955</v>
      </c>
      <c r="AR148" s="222"/>
      <c r="AS148" s="214"/>
      <c r="AT148" s="214"/>
      <c r="AU148" s="214"/>
      <c r="AV148" s="157"/>
      <c r="AW148" s="157"/>
      <c r="AX148" s="143"/>
      <c r="AY148" s="143"/>
      <c r="AZ148" s="143"/>
      <c r="BA148" s="143"/>
      <c r="BB148" s="143"/>
      <c r="BC148" s="143"/>
      <c r="BD148" s="143"/>
      <c r="BE148" s="143"/>
      <c r="BF148" s="143"/>
      <c r="BG148" s="143"/>
      <c r="BH148" s="143"/>
      <c r="BI148" s="143"/>
      <c r="BJ148" s="143"/>
      <c r="BK148" s="143"/>
      <c r="BL148" s="143"/>
      <c r="BM148" s="143"/>
      <c r="BN148" s="143"/>
      <c r="BO148" s="143"/>
      <c r="BP148" s="143"/>
      <c r="BQ148" s="143"/>
      <c r="BR148" s="143"/>
      <c r="BS148" s="143"/>
      <c r="BT148" s="143"/>
      <c r="BU148" s="143"/>
      <c r="BV148" s="143"/>
      <c r="BW148" s="143"/>
      <c r="BX148" s="143"/>
      <c r="BY148" s="143"/>
      <c r="BZ148" s="143"/>
      <c r="CA148" s="143"/>
      <c r="CB148" s="143"/>
      <c r="CC148" s="143"/>
      <c r="CD148" s="143"/>
      <c r="CE148" s="143"/>
      <c r="CF148" s="143"/>
      <c r="CG148" s="145"/>
      <c r="CH148" s="143"/>
      <c r="CI148" s="143"/>
      <c r="CJ148" s="143"/>
      <c r="CK148" s="143"/>
      <c r="CL148" s="143"/>
      <c r="CM148" s="143"/>
      <c r="CN148" s="170"/>
      <c r="CO148" s="143"/>
      <c r="CP148" s="143"/>
      <c r="CQ148" s="143"/>
      <c r="CR148" s="143"/>
      <c r="CS148" s="143"/>
      <c r="CT148" s="143"/>
      <c r="CU148" s="143"/>
      <c r="CV148" s="143"/>
      <c r="CW148" s="143"/>
      <c r="CX148" s="143"/>
      <c r="CY148" s="143"/>
      <c r="CZ148" s="143"/>
      <c r="DA148" s="143"/>
      <c r="DB148" s="143"/>
    </row>
    <row r="149" spans="1:106">
      <c r="A149" s="143"/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8">
        <v>2</v>
      </c>
      <c r="AP149" s="143"/>
      <c r="AQ149" s="1281">
        <v>154100</v>
      </c>
      <c r="AR149" s="1277" t="s">
        <v>2356</v>
      </c>
      <c r="AS149" s="214"/>
      <c r="AT149" s="223">
        <f>BQ247</f>
        <v>467039</v>
      </c>
      <c r="AU149" s="224">
        <v>0</v>
      </c>
      <c r="AV149" s="144"/>
      <c r="AW149" s="157">
        <f t="shared" ref="AW149:AW152" si="11">ROUND(AT149*AU149,0)</f>
        <v>0</v>
      </c>
      <c r="AX149" s="148" t="s">
        <v>593</v>
      </c>
      <c r="AY149" s="225">
        <f t="shared" ref="AY149:AY152" si="12">VLOOKUP(AX149,ALLOCTABLE,2)</f>
        <v>100</v>
      </c>
      <c r="AZ149" s="157">
        <f t="shared" ref="AZ149:AZ152" si="13">ROUND(AW149*(AY149/100),0)</f>
        <v>0</v>
      </c>
      <c r="BA149" s="143"/>
      <c r="BB149" s="143"/>
      <c r="BC149" s="143"/>
      <c r="BD149" s="143"/>
      <c r="BE149" s="143"/>
      <c r="BF149" s="143"/>
      <c r="BG149" s="143"/>
      <c r="BH149" s="143"/>
      <c r="BI149" s="143"/>
      <c r="BJ149" s="143"/>
      <c r="BK149" s="143"/>
      <c r="BL149" s="143"/>
      <c r="BM149" s="143"/>
      <c r="BN149" s="143"/>
      <c r="BO149" s="143"/>
      <c r="BP149" s="143"/>
      <c r="BQ149" s="143"/>
      <c r="BR149" s="143"/>
      <c r="BS149" s="143"/>
      <c r="BT149" s="143"/>
      <c r="BU149" s="143"/>
      <c r="BV149" s="143"/>
      <c r="BW149" s="143"/>
      <c r="BX149" s="143"/>
      <c r="BY149" s="143"/>
      <c r="BZ149" s="143"/>
      <c r="CA149" s="143"/>
      <c r="CB149" s="143"/>
      <c r="CC149" s="143"/>
      <c r="CD149" s="143"/>
      <c r="CE149" s="143"/>
      <c r="CF149" s="143"/>
      <c r="CG149" s="145"/>
      <c r="CH149" s="143"/>
      <c r="CI149" s="143"/>
      <c r="CJ149" s="143"/>
      <c r="CK149" s="143"/>
      <c r="CL149" s="143"/>
      <c r="CM149" s="143"/>
      <c r="CN149" s="170"/>
      <c r="CO149" s="143"/>
      <c r="CP149" s="143"/>
      <c r="CQ149" s="143"/>
      <c r="CR149" s="143"/>
      <c r="CS149" s="143"/>
      <c r="CT149" s="143"/>
      <c r="CU149" s="143"/>
      <c r="CV149" s="143"/>
      <c r="CW149" s="143"/>
      <c r="CX149" s="143"/>
      <c r="CY149" s="143"/>
      <c r="CZ149" s="143"/>
      <c r="DA149" s="143"/>
      <c r="DB149" s="143"/>
    </row>
    <row r="150" spans="1:106">
      <c r="A150" s="143"/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8">
        <v>3</v>
      </c>
      <c r="AP150" s="143"/>
      <c r="AQ150" s="1281">
        <v>154100</v>
      </c>
      <c r="AR150" s="1277" t="s">
        <v>2357</v>
      </c>
      <c r="AS150" s="214"/>
      <c r="AT150" s="223">
        <f>BR247</f>
        <v>19432237</v>
      </c>
      <c r="AU150" s="224">
        <v>1</v>
      </c>
      <c r="AV150" s="144"/>
      <c r="AW150" s="157">
        <f t="shared" si="11"/>
        <v>19432237</v>
      </c>
      <c r="AX150" s="148" t="s">
        <v>593</v>
      </c>
      <c r="AY150" s="225">
        <f t="shared" si="12"/>
        <v>100</v>
      </c>
      <c r="AZ150" s="157">
        <f t="shared" si="13"/>
        <v>19432237</v>
      </c>
      <c r="BA150" s="143"/>
      <c r="BB150" s="143"/>
      <c r="BC150" s="143"/>
      <c r="BD150" s="143"/>
      <c r="BE150" s="143"/>
      <c r="BF150" s="143"/>
      <c r="BG150" s="143"/>
      <c r="BH150" s="143"/>
      <c r="BI150" s="143"/>
      <c r="BJ150" s="143"/>
      <c r="BK150" s="143"/>
      <c r="BL150" s="143"/>
      <c r="BM150" s="143"/>
      <c r="BN150" s="143"/>
      <c r="BO150" s="143"/>
      <c r="BP150" s="143"/>
      <c r="BQ150" s="143"/>
      <c r="BR150" s="143"/>
      <c r="BS150" s="143"/>
      <c r="BT150" s="143"/>
      <c r="BU150" s="143"/>
      <c r="BV150" s="143"/>
      <c r="BW150" s="143"/>
      <c r="BX150" s="143"/>
      <c r="BY150" s="143"/>
      <c r="BZ150" s="143"/>
      <c r="CA150" s="143"/>
      <c r="CB150" s="143"/>
      <c r="CC150" s="143"/>
      <c r="CD150" s="143"/>
      <c r="CE150" s="143"/>
      <c r="CF150" s="143"/>
      <c r="CG150" s="145"/>
      <c r="CH150" s="143"/>
      <c r="CI150" s="143"/>
      <c r="CJ150" s="143"/>
      <c r="CK150" s="143"/>
      <c r="CL150" s="143"/>
      <c r="CM150" s="143"/>
      <c r="CN150" s="170"/>
      <c r="CO150" s="143"/>
      <c r="CP150" s="143"/>
      <c r="CQ150" s="143"/>
      <c r="CR150" s="143"/>
      <c r="CS150" s="143"/>
      <c r="CT150" s="143"/>
      <c r="CU150" s="143"/>
      <c r="CV150" s="143"/>
      <c r="CW150" s="143"/>
      <c r="CX150" s="143"/>
      <c r="CY150" s="143"/>
      <c r="CZ150" s="143"/>
      <c r="DA150" s="143"/>
      <c r="DB150" s="143"/>
    </row>
    <row r="151" spans="1:106">
      <c r="A151" s="143"/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8">
        <v>4</v>
      </c>
      <c r="AP151" s="143"/>
      <c r="AQ151" s="1281">
        <v>154200</v>
      </c>
      <c r="AR151" s="1277" t="s">
        <v>2358</v>
      </c>
      <c r="AS151" s="214"/>
      <c r="AT151" s="223">
        <f>BS247</f>
        <v>781161</v>
      </c>
      <c r="AU151" s="224">
        <v>1</v>
      </c>
      <c r="AV151" s="144"/>
      <c r="AW151" s="157">
        <f t="shared" si="11"/>
        <v>781161</v>
      </c>
      <c r="AX151" s="148" t="s">
        <v>593</v>
      </c>
      <c r="AY151" s="225">
        <f t="shared" si="12"/>
        <v>100</v>
      </c>
      <c r="AZ151" s="157">
        <f t="shared" si="13"/>
        <v>781161</v>
      </c>
      <c r="BA151" s="143"/>
      <c r="BB151" s="143"/>
      <c r="BC151" s="143"/>
      <c r="BD151" s="143"/>
      <c r="BE151" s="143"/>
      <c r="BF151" s="143"/>
      <c r="BG151" s="143"/>
      <c r="BH151" s="143"/>
      <c r="BI151" s="143"/>
      <c r="BJ151" s="143"/>
      <c r="BK151" s="143"/>
      <c r="BL151" s="143"/>
      <c r="BM151" s="143"/>
      <c r="BN151" s="143"/>
      <c r="BO151" s="143"/>
      <c r="BP151" s="143"/>
      <c r="BQ151" s="143"/>
      <c r="BR151" s="143"/>
      <c r="BS151" s="143"/>
      <c r="BT151" s="143"/>
      <c r="BU151" s="143"/>
      <c r="BV151" s="143"/>
      <c r="BW151" s="143"/>
      <c r="BX151" s="143"/>
      <c r="BY151" s="143"/>
      <c r="BZ151" s="143"/>
      <c r="CA151" s="143"/>
      <c r="CB151" s="143"/>
      <c r="CC151" s="143"/>
      <c r="CD151" s="143"/>
      <c r="CE151" s="143"/>
      <c r="CF151" s="143"/>
      <c r="CG151" s="145"/>
      <c r="CH151" s="143"/>
      <c r="CI151" s="143"/>
      <c r="CJ151" s="143"/>
      <c r="CK151" s="143"/>
      <c r="CL151" s="143"/>
      <c r="CM151" s="143"/>
      <c r="CN151" s="170"/>
      <c r="CO151" s="143"/>
      <c r="CP151" s="143"/>
      <c r="CQ151" s="143"/>
      <c r="CR151" s="143"/>
      <c r="CS151" s="143"/>
      <c r="CT151" s="143"/>
      <c r="CU151" s="143"/>
      <c r="CV151" s="143"/>
      <c r="CW151" s="143"/>
      <c r="CX151" s="143"/>
      <c r="CY151" s="143"/>
      <c r="CZ151" s="143"/>
      <c r="DA151" s="143"/>
      <c r="DB151" s="143"/>
    </row>
    <row r="152" spans="1:106">
      <c r="A152" s="143"/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8">
        <v>5</v>
      </c>
      <c r="AP152" s="143"/>
      <c r="AQ152" s="1281">
        <v>154990</v>
      </c>
      <c r="AR152" s="1277" t="s">
        <v>2359</v>
      </c>
      <c r="AS152" s="214"/>
      <c r="AT152" s="226">
        <f>BT247</f>
        <v>-544</v>
      </c>
      <c r="AU152" s="224">
        <v>1</v>
      </c>
      <c r="AV152" s="144"/>
      <c r="AW152" s="227">
        <f t="shared" si="11"/>
        <v>-544</v>
      </c>
      <c r="AX152" s="148" t="s">
        <v>593</v>
      </c>
      <c r="AY152" s="225">
        <f t="shared" si="12"/>
        <v>100</v>
      </c>
      <c r="AZ152" s="227">
        <f t="shared" si="13"/>
        <v>-544</v>
      </c>
      <c r="BA152" s="143"/>
      <c r="BB152" s="143"/>
      <c r="BC152" s="143"/>
      <c r="BD152" s="143"/>
      <c r="BE152" s="143"/>
      <c r="BF152" s="143"/>
      <c r="BG152" s="143"/>
      <c r="BH152" s="143"/>
      <c r="BI152" s="143"/>
      <c r="BJ152" s="143"/>
      <c r="BK152" s="143"/>
      <c r="BL152" s="143"/>
      <c r="BM152" s="143"/>
      <c r="BN152" s="143"/>
      <c r="BO152" s="143"/>
      <c r="BP152" s="143"/>
      <c r="BQ152" s="143"/>
      <c r="BR152" s="143"/>
      <c r="BS152" s="143"/>
      <c r="BT152" s="143"/>
      <c r="BU152" s="143"/>
      <c r="BV152" s="143"/>
      <c r="BW152" s="143"/>
      <c r="BX152" s="143"/>
      <c r="BY152" s="143"/>
      <c r="BZ152" s="143"/>
      <c r="CA152" s="143"/>
      <c r="CB152" s="143"/>
      <c r="CC152" s="143"/>
      <c r="CD152" s="143"/>
      <c r="CE152" s="143"/>
      <c r="CF152" s="143"/>
      <c r="CG152" s="145"/>
      <c r="CH152" s="143"/>
      <c r="CI152" s="143"/>
      <c r="CJ152" s="143"/>
      <c r="CK152" s="143"/>
      <c r="CL152" s="143"/>
      <c r="CM152" s="143"/>
      <c r="CN152" s="170"/>
      <c r="CO152" s="143"/>
      <c r="CP152" s="143"/>
      <c r="CQ152" s="143"/>
      <c r="CR152" s="143"/>
      <c r="CS152" s="143"/>
      <c r="CT152" s="143"/>
      <c r="CU152" s="143"/>
      <c r="CV152" s="143"/>
      <c r="CW152" s="143"/>
      <c r="CX152" s="143"/>
      <c r="CY152" s="143"/>
      <c r="CZ152" s="143"/>
      <c r="DA152" s="143"/>
      <c r="DB152" s="143"/>
    </row>
    <row r="153" spans="1:106">
      <c r="A153" s="143"/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8">
        <v>6</v>
      </c>
      <c r="AP153" s="143"/>
      <c r="AQ153" s="1281"/>
      <c r="AR153" s="1277"/>
      <c r="AS153" s="214"/>
      <c r="AT153" s="223">
        <f>SUM(AT149:AT152)</f>
        <v>20679893</v>
      </c>
      <c r="AU153" s="224"/>
      <c r="AV153" s="144"/>
      <c r="AW153" s="157">
        <f>SUM(AW149:AW152)</f>
        <v>20212854</v>
      </c>
      <c r="AX153" s="148"/>
      <c r="AY153" s="225"/>
      <c r="AZ153" s="157">
        <f>SUM(AZ149:AZ152)</f>
        <v>20212854</v>
      </c>
      <c r="BA153" s="143"/>
      <c r="BB153" s="143"/>
      <c r="BC153" s="143"/>
      <c r="BD153" s="143"/>
      <c r="BE153" s="143"/>
      <c r="BF153" s="143"/>
      <c r="BG153" s="143"/>
      <c r="BH153" s="143"/>
      <c r="BI153" s="143"/>
      <c r="BJ153" s="143"/>
      <c r="BK153" s="143"/>
      <c r="BL153" s="143"/>
      <c r="BM153" s="143"/>
      <c r="BN153" s="143"/>
      <c r="BO153" s="143"/>
      <c r="BP153" s="143"/>
      <c r="BQ153" s="143"/>
      <c r="BR153" s="143"/>
      <c r="BS153" s="143"/>
      <c r="BT153" s="143"/>
      <c r="BU153" s="143"/>
      <c r="BV153" s="143"/>
      <c r="BW153" s="143"/>
      <c r="BX153" s="143"/>
      <c r="BY153" s="143"/>
      <c r="BZ153" s="143"/>
      <c r="CA153" s="143"/>
      <c r="CB153" s="143"/>
      <c r="CC153" s="143"/>
      <c r="CD153" s="143"/>
      <c r="CE153" s="143"/>
      <c r="CF153" s="143"/>
      <c r="CG153" s="145"/>
      <c r="CH153" s="143"/>
      <c r="CI153" s="143"/>
      <c r="CJ153" s="143"/>
      <c r="CK153" s="143"/>
      <c r="CL153" s="143"/>
      <c r="CM153" s="143"/>
      <c r="CN153" s="170"/>
      <c r="CO153" s="143"/>
      <c r="CP153" s="143"/>
      <c r="CQ153" s="143"/>
      <c r="CR153" s="143"/>
      <c r="CS153" s="143"/>
      <c r="CT153" s="143"/>
      <c r="CU153" s="143"/>
      <c r="CV153" s="143"/>
      <c r="CW153" s="143"/>
      <c r="CX153" s="143"/>
      <c r="CY153" s="143"/>
      <c r="CZ153" s="143"/>
      <c r="DA153" s="143"/>
      <c r="DB153" s="143"/>
    </row>
    <row r="154" spans="1:106">
      <c r="A154" s="143"/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8">
        <v>7</v>
      </c>
      <c r="AP154" s="143"/>
      <c r="AQ154" s="1281">
        <v>163110</v>
      </c>
      <c r="AR154" s="1277" t="s">
        <v>2361</v>
      </c>
      <c r="AS154" s="214"/>
      <c r="AT154" s="223">
        <f>BU247</f>
        <v>13545</v>
      </c>
      <c r="AU154" s="1278">
        <v>0</v>
      </c>
      <c r="AV154" s="144"/>
      <c r="AW154" s="157">
        <f>ROUND(AT154*AU154,0)</f>
        <v>0</v>
      </c>
      <c r="AX154" s="148" t="s">
        <v>593</v>
      </c>
      <c r="AY154" s="225">
        <f>VLOOKUP(AX154,ALLOCTABLE,2)</f>
        <v>100</v>
      </c>
      <c r="AZ154" s="157">
        <f>ROUND(AW154*(AY154/100),0)</f>
        <v>0</v>
      </c>
      <c r="BA154" s="143"/>
      <c r="BB154" s="143"/>
      <c r="BC154" s="143"/>
      <c r="BD154" s="143"/>
      <c r="BE154" s="143"/>
      <c r="BF154" s="143"/>
      <c r="BG154" s="143"/>
      <c r="BH154" s="143"/>
      <c r="BI154" s="143"/>
      <c r="BJ154" s="143"/>
      <c r="BK154" s="143"/>
      <c r="BL154" s="143"/>
      <c r="BM154" s="143"/>
      <c r="BN154" s="143"/>
      <c r="BO154" s="143"/>
      <c r="BP154" s="143"/>
      <c r="BQ154" s="143"/>
      <c r="BR154" s="143"/>
      <c r="BS154" s="143"/>
      <c r="BT154" s="143"/>
      <c r="BU154" s="143"/>
      <c r="BV154" s="143"/>
      <c r="BW154" s="143"/>
      <c r="BX154" s="143"/>
      <c r="BY154" s="143"/>
      <c r="BZ154" s="143"/>
      <c r="CA154" s="143"/>
      <c r="CB154" s="143"/>
      <c r="CC154" s="143"/>
      <c r="CD154" s="143"/>
      <c r="CE154" s="143"/>
      <c r="CF154" s="143"/>
      <c r="CG154" s="145"/>
      <c r="CH154" s="143"/>
      <c r="CI154" s="143"/>
      <c r="CJ154" s="143"/>
      <c r="CK154" s="143"/>
      <c r="CL154" s="143"/>
      <c r="CM154" s="143"/>
      <c r="CN154" s="170"/>
      <c r="CO154" s="143"/>
      <c r="CP154" s="143"/>
      <c r="CQ154" s="143"/>
      <c r="CR154" s="143"/>
      <c r="CS154" s="143"/>
      <c r="CT154" s="143"/>
      <c r="CU154" s="143"/>
      <c r="CV154" s="143"/>
      <c r="CW154" s="143"/>
      <c r="CX154" s="143"/>
      <c r="CY154" s="143"/>
      <c r="CZ154" s="143"/>
      <c r="DA154" s="143"/>
      <c r="DB154" s="143"/>
    </row>
    <row r="155" spans="1:106">
      <c r="A155" s="143"/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8">
        <v>8</v>
      </c>
      <c r="AP155" s="143"/>
      <c r="AQ155" s="1281">
        <v>163110</v>
      </c>
      <c r="AR155" s="1277" t="s">
        <v>2360</v>
      </c>
      <c r="AS155" s="214"/>
      <c r="AT155" s="226">
        <f>BV247</f>
        <v>261917</v>
      </c>
      <c r="AU155" s="224">
        <v>1</v>
      </c>
      <c r="AV155" s="144"/>
      <c r="AW155" s="227">
        <f>ROUND(AT155*AU155,0)</f>
        <v>261917</v>
      </c>
      <c r="AX155" s="148" t="s">
        <v>593</v>
      </c>
      <c r="AY155" s="225">
        <f>VLOOKUP(AX155,ALLOCTABLE,2)</f>
        <v>100</v>
      </c>
      <c r="AZ155" s="227">
        <f>ROUND(AW155*(AY155/100),0)</f>
        <v>261917</v>
      </c>
      <c r="BA155" s="143"/>
      <c r="BB155" s="143"/>
      <c r="BC155" s="143"/>
      <c r="BD155" s="143"/>
      <c r="BE155" s="143"/>
      <c r="BF155" s="143"/>
      <c r="BG155" s="143"/>
      <c r="BH155" s="143"/>
      <c r="BI155" s="143"/>
      <c r="BJ155" s="143"/>
      <c r="BK155" s="143"/>
      <c r="BL155" s="143"/>
      <c r="BM155" s="143"/>
      <c r="BN155" s="143"/>
      <c r="BO155" s="143"/>
      <c r="BP155" s="143"/>
      <c r="BQ155" s="143"/>
      <c r="BR155" s="143"/>
      <c r="BS155" s="143"/>
      <c r="BT155" s="143"/>
      <c r="BU155" s="143"/>
      <c r="BV155" s="143"/>
      <c r="BW155" s="143"/>
      <c r="BX155" s="143"/>
      <c r="BY155" s="143"/>
      <c r="BZ155" s="143"/>
      <c r="CA155" s="143"/>
      <c r="CB155" s="143"/>
      <c r="CC155" s="143"/>
      <c r="CD155" s="143"/>
      <c r="CE155" s="143"/>
      <c r="CF155" s="143"/>
      <c r="CG155" s="145"/>
      <c r="CH155" s="143"/>
      <c r="CI155" s="143"/>
      <c r="CJ155" s="143"/>
      <c r="CK155" s="143"/>
      <c r="CL155" s="143"/>
      <c r="CM155" s="143"/>
      <c r="CN155" s="170"/>
      <c r="CO155" s="143"/>
      <c r="CP155" s="143"/>
      <c r="CQ155" s="143"/>
      <c r="CR155" s="143"/>
      <c r="CS155" s="143"/>
      <c r="CT155" s="143"/>
      <c r="CU155" s="143"/>
      <c r="CV155" s="143"/>
      <c r="CW155" s="143"/>
      <c r="CX155" s="143"/>
      <c r="CY155" s="143"/>
      <c r="CZ155" s="143"/>
      <c r="DA155" s="143"/>
      <c r="DB155" s="143"/>
    </row>
    <row r="156" spans="1:106">
      <c r="A156" s="143"/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8">
        <v>9</v>
      </c>
      <c r="AP156" s="143"/>
      <c r="AQ156" s="148" t="s">
        <v>1929</v>
      </c>
      <c r="AR156" s="222"/>
      <c r="AS156" s="214"/>
      <c r="AT156" s="218">
        <f>SUM(AT153:AT155)</f>
        <v>20955355</v>
      </c>
      <c r="AU156" s="214"/>
      <c r="AV156" s="143"/>
      <c r="AW156" s="218">
        <f>SUM(AW153:AW155)</f>
        <v>20474771</v>
      </c>
      <c r="AX156" s="163"/>
      <c r="AY156" s="225"/>
      <c r="AZ156" s="218">
        <f>SUM(AZ153:AZ155)</f>
        <v>20474771</v>
      </c>
      <c r="BA156" s="143"/>
      <c r="BB156" s="143"/>
      <c r="BC156" s="143"/>
      <c r="BD156" s="143"/>
      <c r="BE156" s="143"/>
      <c r="BF156" s="143"/>
      <c r="BG156" s="143"/>
      <c r="BH156" s="143"/>
      <c r="BI156" s="143"/>
      <c r="BJ156" s="143"/>
      <c r="BK156" s="143"/>
      <c r="BL156" s="143"/>
      <c r="BM156" s="143"/>
      <c r="BN156" s="143"/>
      <c r="BO156" s="143"/>
      <c r="BP156" s="143"/>
      <c r="BQ156" s="143"/>
      <c r="BR156" s="143"/>
      <c r="BS156" s="143"/>
      <c r="BT156" s="143"/>
      <c r="BU156" s="143"/>
      <c r="BV156" s="143"/>
      <c r="BW156" s="143"/>
      <c r="BX156" s="143"/>
      <c r="BY156" s="143"/>
      <c r="BZ156" s="143"/>
      <c r="CA156" s="143"/>
      <c r="CB156" s="143"/>
      <c r="CC156" s="143"/>
      <c r="CD156" s="143"/>
      <c r="CE156" s="143"/>
      <c r="CF156" s="143"/>
      <c r="CG156" s="145"/>
      <c r="CH156" s="143"/>
      <c r="CI156" s="143"/>
      <c r="CJ156" s="143"/>
      <c r="CK156" s="143"/>
      <c r="CL156" s="143"/>
      <c r="CM156" s="143"/>
      <c r="CN156" s="170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</row>
    <row r="157" spans="1:106">
      <c r="A157" s="143"/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8">
        <v>10</v>
      </c>
      <c r="AP157" s="143"/>
      <c r="AQ157" s="199"/>
      <c r="AR157" s="143"/>
      <c r="AS157" s="143"/>
      <c r="AT157" s="143"/>
      <c r="AU157" s="143"/>
      <c r="AV157" s="143"/>
      <c r="AW157" s="143"/>
      <c r="AX157" s="163"/>
      <c r="AY157" s="143"/>
      <c r="AZ157" s="143"/>
      <c r="BA157" s="143"/>
      <c r="BB157" s="143"/>
      <c r="BC157" s="143"/>
      <c r="BD157" s="143"/>
      <c r="BE157" s="143"/>
      <c r="BF157" s="143"/>
      <c r="BG157" s="143"/>
      <c r="BH157" s="143"/>
      <c r="BI157" s="143"/>
      <c r="BJ157" s="143"/>
      <c r="BK157" s="143"/>
      <c r="BL157" s="143"/>
      <c r="BM157" s="143"/>
      <c r="BN157" s="143"/>
      <c r="BO157" s="143"/>
      <c r="BP157" s="143"/>
      <c r="BQ157" s="143"/>
      <c r="BR157" s="143"/>
      <c r="BS157" s="143"/>
      <c r="BT157" s="143"/>
      <c r="BU157" s="143"/>
      <c r="BV157" s="143"/>
      <c r="BW157" s="143"/>
      <c r="BX157" s="143"/>
      <c r="BY157" s="143"/>
      <c r="BZ157" s="143"/>
      <c r="CA157" s="143"/>
      <c r="CB157" s="143"/>
      <c r="CC157" s="143"/>
      <c r="CD157" s="143"/>
      <c r="CE157" s="143"/>
      <c r="CF157" s="143"/>
      <c r="CG157" s="145"/>
      <c r="CH157" s="143"/>
      <c r="CI157" s="143"/>
      <c r="CJ157" s="143"/>
      <c r="CK157" s="143"/>
      <c r="CL157" s="143"/>
      <c r="CM157" s="143"/>
      <c r="CN157" s="170"/>
      <c r="CO157" s="143"/>
      <c r="CP157" s="143"/>
      <c r="CQ157" s="143"/>
      <c r="CR157" s="143"/>
      <c r="CS157" s="143"/>
      <c r="CT157" s="143"/>
      <c r="CU157" s="143"/>
      <c r="CV157" s="143"/>
      <c r="CW157" s="143"/>
      <c r="CX157" s="143"/>
      <c r="CY157" s="143"/>
      <c r="CZ157" s="143"/>
      <c r="DA157" s="143"/>
      <c r="DB157" s="143"/>
    </row>
    <row r="158" spans="1:106">
      <c r="A158" s="143"/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8">
        <v>11</v>
      </c>
      <c r="AP158" s="143"/>
      <c r="AQ158" s="152" t="s">
        <v>1024</v>
      </c>
      <c r="AR158" s="143"/>
      <c r="AS158" s="143"/>
      <c r="AT158" s="143"/>
      <c r="AU158" s="143"/>
      <c r="AV158" s="143"/>
      <c r="AW158" s="143"/>
      <c r="AX158" s="163"/>
      <c r="AY158" s="143"/>
      <c r="AZ158" s="143"/>
      <c r="BA158" s="143"/>
      <c r="BB158" s="143"/>
      <c r="BC158" s="143"/>
      <c r="BD158" s="143"/>
      <c r="BE158" s="143"/>
      <c r="BF158" s="143"/>
      <c r="BG158" s="143"/>
      <c r="BH158" s="143"/>
      <c r="BI158" s="143"/>
      <c r="BJ158" s="143"/>
      <c r="BK158" s="143"/>
      <c r="BL158" s="143"/>
      <c r="BM158" s="143"/>
      <c r="BN158" s="143"/>
      <c r="BO158" s="143"/>
      <c r="BP158" s="143"/>
      <c r="BQ158" s="143"/>
      <c r="BR158" s="143"/>
      <c r="BS158" s="143"/>
      <c r="BT158" s="143"/>
      <c r="BU158" s="143"/>
      <c r="BV158" s="143"/>
      <c r="BW158" s="143"/>
      <c r="BX158" s="143"/>
      <c r="BY158" s="143"/>
      <c r="BZ158" s="143"/>
      <c r="CA158" s="143"/>
      <c r="CB158" s="143"/>
      <c r="CC158" s="143"/>
      <c r="CD158" s="143"/>
      <c r="CE158" s="143"/>
      <c r="CF158" s="143"/>
      <c r="CG158" s="145"/>
      <c r="CH158" s="143"/>
      <c r="CI158" s="143"/>
      <c r="CJ158" s="143"/>
      <c r="CK158" s="143"/>
      <c r="CL158" s="143"/>
      <c r="CM158" s="143"/>
      <c r="CN158" s="170"/>
      <c r="CO158" s="143"/>
      <c r="CP158" s="143"/>
      <c r="CQ158" s="143"/>
      <c r="CR158" s="143"/>
      <c r="CS158" s="143"/>
      <c r="CT158" s="143"/>
      <c r="CU158" s="143"/>
      <c r="CV158" s="143"/>
      <c r="CW158" s="143"/>
      <c r="CX158" s="143"/>
      <c r="CY158" s="143"/>
      <c r="CZ158" s="143"/>
      <c r="DA158" s="143"/>
      <c r="DB158" s="143"/>
    </row>
    <row r="159" spans="1:106">
      <c r="A159" s="143"/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8">
        <v>12</v>
      </c>
      <c r="AP159" s="143"/>
      <c r="AQ159" s="199"/>
      <c r="AR159" s="143"/>
      <c r="AS159" s="143"/>
      <c r="AT159" s="143"/>
      <c r="AU159" s="143"/>
      <c r="AV159" s="143"/>
      <c r="AW159" s="143"/>
      <c r="AX159" s="163"/>
      <c r="AY159" s="143"/>
      <c r="AZ159" s="143"/>
      <c r="BA159" s="143"/>
      <c r="BB159" s="143"/>
      <c r="BC159" s="143"/>
      <c r="BD159" s="143"/>
      <c r="BE159" s="143"/>
      <c r="BF159" s="143"/>
      <c r="BG159" s="143"/>
      <c r="BH159" s="143"/>
      <c r="BI159" s="143"/>
      <c r="BJ159" s="143"/>
      <c r="BK159" s="143"/>
      <c r="BL159" s="143"/>
      <c r="BM159" s="143"/>
      <c r="BN159" s="143"/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5"/>
      <c r="CH159" s="143"/>
      <c r="CI159" s="143"/>
      <c r="CJ159" s="143"/>
      <c r="CK159" s="143"/>
      <c r="CL159" s="143"/>
      <c r="CM159" s="143"/>
      <c r="CN159" s="170"/>
      <c r="CO159" s="143"/>
      <c r="CP159" s="143"/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</row>
    <row r="160" spans="1:106">
      <c r="A160" s="143"/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8">
        <v>13</v>
      </c>
      <c r="AP160" s="143"/>
      <c r="AQ160" s="1281">
        <v>154100</v>
      </c>
      <c r="AR160" s="1277" t="s">
        <v>2356</v>
      </c>
      <c r="AS160" s="214"/>
      <c r="AT160" s="223">
        <f>BQ$265</f>
        <v>467039</v>
      </c>
      <c r="AU160" s="209">
        <f>AU149</f>
        <v>0</v>
      </c>
      <c r="AV160" s="144"/>
      <c r="AW160" s="157">
        <f t="shared" ref="AW160:AW163" si="14">ROUND(AT160*AU160,0)</f>
        <v>0</v>
      </c>
      <c r="AX160" s="148" t="s">
        <v>593</v>
      </c>
      <c r="AY160" s="225">
        <f t="shared" ref="AY160:AY163" si="15">VLOOKUP(AX160,ALLOCTABLE,2)</f>
        <v>100</v>
      </c>
      <c r="AZ160" s="157">
        <f t="shared" ref="AZ160:AZ163" si="16">ROUND(AW160*(AY160/100),0)</f>
        <v>0</v>
      </c>
      <c r="BA160" s="143"/>
      <c r="BB160" s="143"/>
      <c r="BC160" s="143"/>
      <c r="BD160" s="143"/>
      <c r="BE160" s="143"/>
      <c r="BF160" s="143"/>
      <c r="BG160" s="143"/>
      <c r="BH160" s="143"/>
      <c r="BI160" s="143"/>
      <c r="BJ160" s="143"/>
      <c r="BK160" s="143"/>
      <c r="BL160" s="143"/>
      <c r="BM160" s="143"/>
      <c r="BN160" s="143"/>
      <c r="BO160" s="143"/>
      <c r="BP160" s="143"/>
      <c r="BQ160" s="143"/>
      <c r="BR160" s="143"/>
      <c r="BS160" s="143"/>
      <c r="BT160" s="143"/>
      <c r="BU160" s="143"/>
      <c r="BV160" s="143"/>
      <c r="BW160" s="143"/>
      <c r="BX160" s="143"/>
      <c r="BY160" s="143"/>
      <c r="BZ160" s="143"/>
      <c r="CA160" s="143"/>
      <c r="CB160" s="143"/>
      <c r="CC160" s="143"/>
      <c r="CD160" s="143"/>
      <c r="CE160" s="143"/>
      <c r="CF160" s="143"/>
      <c r="CG160" s="145"/>
      <c r="CH160" s="143"/>
      <c r="CI160" s="143"/>
      <c r="CJ160" s="143"/>
      <c r="CK160" s="143"/>
      <c r="CL160" s="143"/>
      <c r="CM160" s="143"/>
      <c r="CN160" s="170"/>
      <c r="CO160" s="143"/>
      <c r="CP160" s="143"/>
      <c r="CQ160" s="143"/>
      <c r="CR160" s="143"/>
      <c r="CS160" s="143"/>
      <c r="CT160" s="143"/>
      <c r="CU160" s="143"/>
      <c r="CV160" s="143"/>
      <c r="CW160" s="143"/>
      <c r="CX160" s="143"/>
      <c r="CY160" s="143"/>
      <c r="CZ160" s="143"/>
      <c r="DA160" s="143"/>
      <c r="DB160" s="143"/>
    </row>
    <row r="161" spans="1:106">
      <c r="A161" s="143"/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8">
        <v>14</v>
      </c>
      <c r="AP161" s="143"/>
      <c r="AQ161" s="1281">
        <v>154100</v>
      </c>
      <c r="AR161" s="1277" t="s">
        <v>2357</v>
      </c>
      <c r="AS161" s="214"/>
      <c r="AT161" s="223">
        <f>BR$265</f>
        <v>19432237</v>
      </c>
      <c r="AU161" s="209">
        <f>AU150</f>
        <v>1</v>
      </c>
      <c r="AV161" s="144"/>
      <c r="AW161" s="157">
        <f t="shared" si="14"/>
        <v>19432237</v>
      </c>
      <c r="AX161" s="148" t="s">
        <v>593</v>
      </c>
      <c r="AY161" s="225">
        <f t="shared" si="15"/>
        <v>100</v>
      </c>
      <c r="AZ161" s="157">
        <f t="shared" si="16"/>
        <v>19432237</v>
      </c>
      <c r="BA161" s="143"/>
      <c r="BB161" s="143"/>
      <c r="BC161" s="143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43"/>
      <c r="BQ161" s="143"/>
      <c r="BR161" s="143"/>
      <c r="BS161" s="143"/>
      <c r="BT161" s="143"/>
      <c r="BU161" s="143"/>
      <c r="BV161" s="143"/>
      <c r="BW161" s="143"/>
      <c r="BX161" s="143"/>
      <c r="BY161" s="143"/>
      <c r="BZ161" s="143"/>
      <c r="CA161" s="143"/>
      <c r="CB161" s="143"/>
      <c r="CC161" s="143"/>
      <c r="CD161" s="143"/>
      <c r="CE161" s="143"/>
      <c r="CF161" s="143"/>
      <c r="CG161" s="145"/>
      <c r="CH161" s="143"/>
      <c r="CI161" s="143"/>
      <c r="CJ161" s="143"/>
      <c r="CK161" s="143"/>
      <c r="CL161" s="143"/>
      <c r="CM161" s="143"/>
      <c r="CN161" s="170"/>
      <c r="CO161" s="143"/>
      <c r="CP161" s="143"/>
      <c r="CQ161" s="143"/>
      <c r="CR161" s="143"/>
      <c r="CS161" s="143"/>
      <c r="CT161" s="143"/>
      <c r="CU161" s="143"/>
      <c r="CV161" s="143"/>
      <c r="CW161" s="143"/>
      <c r="CX161" s="143"/>
      <c r="CY161" s="143"/>
      <c r="CZ161" s="143"/>
      <c r="DA161" s="143"/>
      <c r="DB161" s="143"/>
    </row>
    <row r="162" spans="1:106">
      <c r="A162" s="143"/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8">
        <v>15</v>
      </c>
      <c r="AP162" s="143"/>
      <c r="AQ162" s="1281">
        <v>154200</v>
      </c>
      <c r="AR162" s="1277" t="s">
        <v>2358</v>
      </c>
      <c r="AS162" s="214"/>
      <c r="AT162" s="223">
        <f>BS$265</f>
        <v>781161</v>
      </c>
      <c r="AU162" s="209">
        <f>AU151</f>
        <v>1</v>
      </c>
      <c r="AV162" s="144"/>
      <c r="AW162" s="157">
        <f t="shared" si="14"/>
        <v>781161</v>
      </c>
      <c r="AX162" s="148" t="s">
        <v>593</v>
      </c>
      <c r="AY162" s="225">
        <f t="shared" si="15"/>
        <v>100</v>
      </c>
      <c r="AZ162" s="157">
        <f t="shared" si="16"/>
        <v>781161</v>
      </c>
      <c r="BA162" s="143"/>
      <c r="BB162" s="143"/>
      <c r="BC162" s="143"/>
      <c r="BD162" s="143"/>
      <c r="BE162" s="143"/>
      <c r="BF162" s="143"/>
      <c r="BG162" s="143"/>
      <c r="BH162" s="143"/>
      <c r="BI162" s="143"/>
      <c r="BJ162" s="143"/>
      <c r="BK162" s="143"/>
      <c r="BL162" s="143"/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5"/>
      <c r="CH162" s="143"/>
      <c r="CI162" s="143"/>
      <c r="CJ162" s="143"/>
      <c r="CK162" s="143"/>
      <c r="CL162" s="143"/>
      <c r="CM162" s="143"/>
      <c r="CN162" s="170"/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</row>
    <row r="163" spans="1:106">
      <c r="A163" s="143"/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8">
        <v>16</v>
      </c>
      <c r="AP163" s="143"/>
      <c r="AQ163" s="1281">
        <v>154990</v>
      </c>
      <c r="AR163" s="1277" t="s">
        <v>2359</v>
      </c>
      <c r="AS163" s="214"/>
      <c r="AT163" s="226">
        <f>BT$265</f>
        <v>-544</v>
      </c>
      <c r="AU163" s="209">
        <f>AU152</f>
        <v>1</v>
      </c>
      <c r="AV163" s="144"/>
      <c r="AW163" s="227">
        <f t="shared" si="14"/>
        <v>-544</v>
      </c>
      <c r="AX163" s="148" t="s">
        <v>593</v>
      </c>
      <c r="AY163" s="225">
        <f t="shared" si="15"/>
        <v>100</v>
      </c>
      <c r="AZ163" s="227">
        <f t="shared" si="16"/>
        <v>-544</v>
      </c>
      <c r="BA163" s="143"/>
      <c r="BB163" s="143"/>
      <c r="BC163" s="143"/>
      <c r="BD163" s="143"/>
      <c r="BE163" s="143"/>
      <c r="BF163" s="143"/>
      <c r="BG163" s="143"/>
      <c r="BH163" s="143"/>
      <c r="BI163" s="143"/>
      <c r="BJ163" s="143"/>
      <c r="BK163" s="143"/>
      <c r="BL163" s="143"/>
      <c r="BM163" s="143"/>
      <c r="BN163" s="143"/>
      <c r="BO163" s="143"/>
      <c r="BP163" s="143"/>
      <c r="BQ163" s="143"/>
      <c r="BR163" s="143"/>
      <c r="BS163" s="143"/>
      <c r="BT163" s="143"/>
      <c r="BU163" s="143"/>
      <c r="BV163" s="143"/>
      <c r="BW163" s="143"/>
      <c r="BX163" s="143"/>
      <c r="BY163" s="143"/>
      <c r="BZ163" s="143"/>
      <c r="CA163" s="143"/>
      <c r="CB163" s="143"/>
      <c r="CC163" s="143"/>
      <c r="CD163" s="143"/>
      <c r="CE163" s="143"/>
      <c r="CF163" s="143"/>
      <c r="CG163" s="145"/>
      <c r="CH163" s="143"/>
      <c r="CI163" s="143"/>
      <c r="CJ163" s="143"/>
      <c r="CK163" s="143"/>
      <c r="CL163" s="143"/>
      <c r="CM163" s="143"/>
      <c r="CN163" s="170"/>
      <c r="CO163" s="143"/>
      <c r="CP163" s="143"/>
      <c r="CQ163" s="143"/>
      <c r="CR163" s="143"/>
      <c r="CS163" s="143"/>
      <c r="CT163" s="143"/>
      <c r="CU163" s="143"/>
      <c r="CV163" s="143"/>
      <c r="CW163" s="143"/>
      <c r="CX163" s="143"/>
      <c r="CY163" s="143"/>
      <c r="CZ163" s="143"/>
      <c r="DA163" s="143"/>
      <c r="DB163" s="143"/>
    </row>
    <row r="164" spans="1:106">
      <c r="A164" s="143"/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8">
        <v>17</v>
      </c>
      <c r="AP164" s="143"/>
      <c r="AQ164" s="1281"/>
      <c r="AR164" s="1277"/>
      <c r="AS164" s="214"/>
      <c r="AT164" s="223">
        <f>SUM(AT160:AT163)</f>
        <v>20679893</v>
      </c>
      <c r="AU164" s="209"/>
      <c r="AV164" s="144"/>
      <c r="AW164" s="223">
        <f>SUM(AW160:AW163)</f>
        <v>20212854</v>
      </c>
      <c r="AX164" s="148"/>
      <c r="AY164" s="225"/>
      <c r="AZ164" s="223">
        <f>SUM(AZ160:AZ163)</f>
        <v>20212854</v>
      </c>
      <c r="BA164" s="143"/>
      <c r="BB164" s="143"/>
      <c r="BC164" s="143"/>
      <c r="BD164" s="143"/>
      <c r="BE164" s="143"/>
      <c r="BF164" s="143"/>
      <c r="BG164" s="143"/>
      <c r="BH164" s="143"/>
      <c r="BI164" s="143"/>
      <c r="BJ164" s="143"/>
      <c r="BK164" s="143"/>
      <c r="BL164" s="143"/>
      <c r="BM164" s="143"/>
      <c r="BN164" s="143"/>
      <c r="BO164" s="143"/>
      <c r="BP164" s="143"/>
      <c r="BQ164" s="143"/>
      <c r="BR164" s="143"/>
      <c r="BS164" s="143"/>
      <c r="BT164" s="143"/>
      <c r="BU164" s="143"/>
      <c r="BV164" s="143"/>
      <c r="BW164" s="143"/>
      <c r="BX164" s="143"/>
      <c r="BY164" s="143"/>
      <c r="BZ164" s="143"/>
      <c r="CA164" s="143"/>
      <c r="CB164" s="143"/>
      <c r="CC164" s="143"/>
      <c r="CD164" s="143"/>
      <c r="CE164" s="143"/>
      <c r="CF164" s="143"/>
      <c r="CG164" s="145"/>
      <c r="CH164" s="143"/>
      <c r="CI164" s="143"/>
      <c r="CJ164" s="143"/>
      <c r="CK164" s="143"/>
      <c r="CL164" s="143"/>
      <c r="CM164" s="143"/>
      <c r="CN164" s="170"/>
      <c r="CO164" s="143"/>
      <c r="CP164" s="143"/>
      <c r="CQ164" s="143"/>
      <c r="CR164" s="143"/>
      <c r="CS164" s="143"/>
      <c r="CT164" s="143"/>
      <c r="CU164" s="143"/>
      <c r="CV164" s="143"/>
      <c r="CW164" s="143"/>
      <c r="CX164" s="143"/>
      <c r="CY164" s="143"/>
      <c r="CZ164" s="143"/>
      <c r="DA164" s="143"/>
      <c r="DB164" s="143"/>
    </row>
    <row r="165" spans="1:106">
      <c r="A165" s="143"/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8">
        <v>18</v>
      </c>
      <c r="AP165" s="143"/>
      <c r="AQ165" s="1281">
        <v>163110</v>
      </c>
      <c r="AR165" s="1277" t="s">
        <v>2361</v>
      </c>
      <c r="AS165" s="214"/>
      <c r="AT165" s="223">
        <f>BU$265</f>
        <v>13545</v>
      </c>
      <c r="AU165" s="209">
        <f>AU154</f>
        <v>0</v>
      </c>
      <c r="AV165" s="144"/>
      <c r="AW165" s="157">
        <f>ROUND(AT165*AU165,0)</f>
        <v>0</v>
      </c>
      <c r="AX165" s="148" t="s">
        <v>593</v>
      </c>
      <c r="AY165" s="225">
        <f>VLOOKUP(AX165,ALLOCTABLE,2)</f>
        <v>100</v>
      </c>
      <c r="AZ165" s="157">
        <f>ROUND(AW165*(AY165/100),0)</f>
        <v>0</v>
      </c>
      <c r="BA165" s="143"/>
      <c r="BB165" s="143"/>
      <c r="BC165" s="143"/>
      <c r="BD165" s="143"/>
      <c r="BE165" s="143"/>
      <c r="BF165" s="143"/>
      <c r="BG165" s="143"/>
      <c r="BH165" s="143"/>
      <c r="BI165" s="143"/>
      <c r="BJ165" s="143"/>
      <c r="BK165" s="143"/>
      <c r="BL165" s="143"/>
      <c r="BM165" s="143"/>
      <c r="BN165" s="143"/>
      <c r="BO165" s="143"/>
      <c r="BP165" s="143"/>
      <c r="BQ165" s="143"/>
      <c r="BR165" s="143"/>
      <c r="BS165" s="143"/>
      <c r="BT165" s="143"/>
      <c r="BU165" s="143"/>
      <c r="BV165" s="143"/>
      <c r="BW165" s="143"/>
      <c r="BX165" s="143"/>
      <c r="BY165" s="143"/>
      <c r="BZ165" s="143"/>
      <c r="CA165" s="143"/>
      <c r="CB165" s="143"/>
      <c r="CC165" s="143"/>
      <c r="CD165" s="143"/>
      <c r="CE165" s="143"/>
      <c r="CF165" s="143"/>
      <c r="CG165" s="145"/>
      <c r="CH165" s="143"/>
      <c r="CI165" s="143"/>
      <c r="CJ165" s="143"/>
      <c r="CK165" s="143"/>
      <c r="CL165" s="143"/>
      <c r="CM165" s="143"/>
      <c r="CN165" s="170"/>
      <c r="CO165" s="143"/>
      <c r="CP165" s="143"/>
      <c r="CQ165" s="143"/>
      <c r="CR165" s="143"/>
      <c r="CS165" s="143"/>
      <c r="CT165" s="143"/>
      <c r="CU165" s="143"/>
      <c r="CV165" s="143"/>
      <c r="CW165" s="143"/>
      <c r="CX165" s="143"/>
      <c r="CY165" s="143"/>
      <c r="CZ165" s="143"/>
      <c r="DA165" s="143"/>
      <c r="DB165" s="143"/>
    </row>
    <row r="166" spans="1:106">
      <c r="A166" s="143"/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8">
        <v>19</v>
      </c>
      <c r="AP166" s="143"/>
      <c r="AQ166" s="1281">
        <v>163110</v>
      </c>
      <c r="AR166" s="1277" t="s">
        <v>2360</v>
      </c>
      <c r="AS166" s="214"/>
      <c r="AT166" s="226">
        <f>BV$265</f>
        <v>261917</v>
      </c>
      <c r="AU166" s="209">
        <f>AU155</f>
        <v>1</v>
      </c>
      <c r="AV166" s="144"/>
      <c r="AW166" s="227">
        <f>ROUND(AT166*AU166,0)</f>
        <v>261917</v>
      </c>
      <c r="AX166" s="148" t="s">
        <v>593</v>
      </c>
      <c r="AY166" s="225">
        <f>VLOOKUP(AX166,ALLOCTABLE,2)</f>
        <v>100</v>
      </c>
      <c r="AZ166" s="227">
        <f>ROUND(AW166*(AY166/100),0)</f>
        <v>261917</v>
      </c>
      <c r="BA166" s="143"/>
      <c r="BB166" s="143"/>
      <c r="BC166" s="143"/>
      <c r="BD166" s="143"/>
      <c r="BE166" s="143"/>
      <c r="BF166" s="143"/>
      <c r="BG166" s="143"/>
      <c r="BH166" s="143"/>
      <c r="BI166" s="143"/>
      <c r="BJ166" s="143"/>
      <c r="BK166" s="143"/>
      <c r="BL166" s="143"/>
      <c r="BM166" s="143"/>
      <c r="BN166" s="143"/>
      <c r="BO166" s="143"/>
      <c r="BP166" s="143"/>
      <c r="BQ166" s="143"/>
      <c r="BR166" s="143"/>
      <c r="BS166" s="143"/>
      <c r="BT166" s="143"/>
      <c r="BU166" s="143"/>
      <c r="BV166" s="143"/>
      <c r="BW166" s="143"/>
      <c r="BX166" s="143"/>
      <c r="BY166" s="143"/>
      <c r="BZ166" s="143"/>
      <c r="CA166" s="143"/>
      <c r="CB166" s="143"/>
      <c r="CC166" s="143"/>
      <c r="CD166" s="143"/>
      <c r="CE166" s="143"/>
      <c r="CF166" s="143"/>
      <c r="CG166" s="145"/>
      <c r="CH166" s="143"/>
      <c r="CI166" s="143"/>
      <c r="CJ166" s="143"/>
      <c r="CK166" s="143"/>
      <c r="CL166" s="143"/>
      <c r="CM166" s="143"/>
      <c r="CN166" s="170"/>
      <c r="CO166" s="143"/>
      <c r="CP166" s="143"/>
      <c r="CQ166" s="143"/>
      <c r="CR166" s="143"/>
      <c r="CS166" s="143"/>
      <c r="CT166" s="143"/>
      <c r="CU166" s="143"/>
      <c r="CV166" s="143"/>
      <c r="CW166" s="143"/>
      <c r="CX166" s="143"/>
      <c r="CY166" s="143"/>
      <c r="CZ166" s="143"/>
      <c r="DA166" s="143"/>
      <c r="DB166" s="143"/>
    </row>
    <row r="167" spans="1:106">
      <c r="A167" s="143"/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8">
        <v>20</v>
      </c>
      <c r="AP167" s="143"/>
      <c r="AQ167" s="148" t="s">
        <v>1929</v>
      </c>
      <c r="AR167" s="222"/>
      <c r="AS167" s="214"/>
      <c r="AT167" s="218">
        <f>SUM(AT164:AT166)</f>
        <v>20955355</v>
      </c>
      <c r="AU167" s="214"/>
      <c r="AV167" s="143"/>
      <c r="AW167" s="218">
        <f>SUM(AW164:AW166)</f>
        <v>20474771</v>
      </c>
      <c r="AX167" s="163"/>
      <c r="AY167" s="225"/>
      <c r="AZ167" s="218">
        <f>SUM(AZ164:AZ166)</f>
        <v>20474771</v>
      </c>
      <c r="BA167" s="143"/>
      <c r="BB167" s="143"/>
      <c r="BC167" s="143"/>
      <c r="BD167" s="143"/>
      <c r="BE167" s="143"/>
      <c r="BF167" s="143"/>
      <c r="BG167" s="143"/>
      <c r="BH167" s="143"/>
      <c r="BI167" s="143"/>
      <c r="BJ167" s="143"/>
      <c r="BK167" s="143"/>
      <c r="BL167" s="143"/>
      <c r="BM167" s="143"/>
      <c r="BN167" s="143"/>
      <c r="BO167" s="143"/>
      <c r="BP167" s="143"/>
      <c r="BQ167" s="143"/>
      <c r="BR167" s="143"/>
      <c r="BS167" s="143"/>
      <c r="BT167" s="143"/>
      <c r="BU167" s="143"/>
      <c r="BV167" s="143"/>
      <c r="BW167" s="143"/>
      <c r="BX167" s="143"/>
      <c r="BY167" s="143"/>
      <c r="BZ167" s="143"/>
      <c r="CA167" s="143"/>
      <c r="CB167" s="143"/>
      <c r="CC167" s="143"/>
      <c r="CD167" s="143"/>
      <c r="CE167" s="143"/>
      <c r="CF167" s="143"/>
      <c r="CG167" s="145"/>
      <c r="CH167" s="143"/>
      <c r="CI167" s="143"/>
      <c r="CJ167" s="143"/>
      <c r="CK167" s="143"/>
      <c r="CL167" s="143"/>
      <c r="CM167" s="143"/>
      <c r="CN167" s="170"/>
      <c r="CO167" s="143"/>
      <c r="CP167" s="143"/>
      <c r="CQ167" s="143"/>
      <c r="CR167" s="143"/>
      <c r="CS167" s="143"/>
      <c r="CT167" s="143"/>
      <c r="CU167" s="143"/>
      <c r="CV167" s="143"/>
      <c r="CW167" s="143"/>
      <c r="CX167" s="143"/>
      <c r="CY167" s="143"/>
      <c r="CZ167" s="143"/>
      <c r="DA167" s="143"/>
      <c r="DB167" s="143"/>
    </row>
    <row r="168" spans="1:106">
      <c r="A168" s="143"/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4"/>
      <c r="AP168" s="143"/>
      <c r="AQ168" s="199"/>
      <c r="AR168" s="143"/>
      <c r="AS168" s="143"/>
      <c r="AT168" s="143"/>
      <c r="AU168" s="143"/>
      <c r="AV168" s="143"/>
      <c r="AW168" s="143"/>
      <c r="AX168" s="163"/>
      <c r="AY168" s="143"/>
      <c r="AZ168" s="143"/>
      <c r="BA168" s="143"/>
      <c r="BB168" s="143"/>
      <c r="BC168" s="143"/>
      <c r="BD168" s="143"/>
      <c r="BE168" s="143"/>
      <c r="BF168" s="143"/>
      <c r="BG168" s="143"/>
      <c r="BH168" s="143"/>
      <c r="BI168" s="143"/>
      <c r="BJ168" s="143"/>
      <c r="BK168" s="143"/>
      <c r="BL168" s="143"/>
      <c r="BM168" s="143"/>
      <c r="BN168" s="143"/>
      <c r="BO168" s="143"/>
      <c r="BP168" s="143"/>
      <c r="BQ168" s="143"/>
      <c r="BR168" s="143"/>
      <c r="BS168" s="143"/>
      <c r="BT168" s="143"/>
      <c r="BU168" s="143"/>
      <c r="BV168" s="143"/>
      <c r="BW168" s="143"/>
      <c r="BX168" s="143"/>
      <c r="BY168" s="143"/>
      <c r="BZ168" s="143"/>
      <c r="CA168" s="143"/>
      <c r="CB168" s="143"/>
      <c r="CC168" s="143"/>
      <c r="CD168" s="143"/>
      <c r="CE168" s="143"/>
      <c r="CF168" s="143"/>
      <c r="CG168" s="145"/>
      <c r="CH168" s="143"/>
      <c r="CI168" s="143"/>
      <c r="CJ168" s="143"/>
      <c r="CK168" s="143"/>
      <c r="CL168" s="143"/>
      <c r="CM168" s="143"/>
      <c r="CN168" s="170"/>
      <c r="CO168" s="143"/>
      <c r="CP168" s="143"/>
      <c r="CQ168" s="143"/>
      <c r="CR168" s="143"/>
      <c r="CS168" s="143"/>
      <c r="CT168" s="143"/>
      <c r="CU168" s="143"/>
      <c r="CV168" s="143"/>
      <c r="CW168" s="143"/>
      <c r="CX168" s="143"/>
      <c r="CY168" s="143"/>
      <c r="CZ168" s="143"/>
      <c r="DA168" s="143"/>
      <c r="DB168" s="143"/>
    </row>
    <row r="169" spans="1:106">
      <c r="A169" s="143"/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4"/>
      <c r="AP169" s="143"/>
      <c r="AQ169" s="199"/>
      <c r="AR169" s="143"/>
      <c r="AS169" s="143"/>
      <c r="AT169" s="143"/>
      <c r="AU169" s="143"/>
      <c r="AV169" s="143"/>
      <c r="AW169" s="143"/>
      <c r="AX169" s="163"/>
      <c r="AY169" s="143"/>
      <c r="AZ169" s="143"/>
      <c r="BA169" s="143"/>
      <c r="BB169" s="143"/>
      <c r="BC169" s="143"/>
      <c r="BD169" s="143"/>
      <c r="BE169" s="143"/>
      <c r="BF169" s="143"/>
      <c r="BG169" s="143"/>
      <c r="BH169" s="143"/>
      <c r="BI169" s="143"/>
      <c r="BJ169" s="143"/>
      <c r="BK169" s="143"/>
      <c r="BL169" s="143"/>
      <c r="BM169" s="143"/>
      <c r="BN169" s="143"/>
      <c r="BO169" s="143"/>
      <c r="BP169" s="143"/>
      <c r="BQ169" s="143"/>
      <c r="BR169" s="143"/>
      <c r="BS169" s="143"/>
      <c r="BT169" s="143"/>
      <c r="BU169" s="143"/>
      <c r="BV169" s="143"/>
      <c r="BW169" s="143"/>
      <c r="BX169" s="143"/>
      <c r="BY169" s="143"/>
      <c r="BZ169" s="143"/>
      <c r="CA169" s="143"/>
      <c r="CB169" s="143"/>
      <c r="CC169" s="143"/>
      <c r="CD169" s="143"/>
      <c r="CE169" s="143"/>
      <c r="CF169" s="143"/>
      <c r="CG169" s="145"/>
      <c r="CH169" s="143"/>
      <c r="CI169" s="143"/>
      <c r="CJ169" s="143"/>
      <c r="CK169" s="143"/>
      <c r="CL169" s="143"/>
      <c r="CM169" s="143"/>
      <c r="CN169" s="170"/>
      <c r="CO169" s="143"/>
      <c r="CP169" s="143"/>
      <c r="CQ169" s="143"/>
      <c r="CR169" s="143"/>
      <c r="CS169" s="143"/>
      <c r="CT169" s="143"/>
      <c r="CU169" s="143"/>
      <c r="CV169" s="143"/>
      <c r="CW169" s="143"/>
      <c r="CX169" s="143"/>
      <c r="CY169" s="143"/>
      <c r="CZ169" s="143"/>
      <c r="DA169" s="143"/>
      <c r="DB169" s="143"/>
    </row>
    <row r="170" spans="1:106">
      <c r="A170" s="143"/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4"/>
      <c r="AP170" s="143"/>
      <c r="AQ170" s="143"/>
      <c r="AR170" s="143"/>
      <c r="AS170" s="143"/>
      <c r="AT170" s="143"/>
      <c r="AU170" s="143"/>
      <c r="AV170" s="143"/>
      <c r="AW170" s="143"/>
      <c r="AX170" s="163"/>
      <c r="AY170" s="143"/>
      <c r="AZ170" s="143"/>
      <c r="BA170" s="143"/>
      <c r="BB170" s="143"/>
      <c r="BC170" s="143"/>
      <c r="BD170" s="143"/>
      <c r="BE170" s="143"/>
      <c r="BF170" s="143"/>
      <c r="BG170" s="143"/>
      <c r="BH170" s="143"/>
      <c r="BI170" s="143"/>
      <c r="BJ170" s="143"/>
      <c r="BK170" s="143"/>
      <c r="BL170" s="143"/>
      <c r="BM170" s="143"/>
      <c r="BN170" s="143"/>
      <c r="BO170" s="143"/>
      <c r="BP170" s="143"/>
      <c r="BQ170" s="143"/>
      <c r="BR170" s="143"/>
      <c r="BS170" s="143"/>
      <c r="BT170" s="143"/>
      <c r="BU170" s="143"/>
      <c r="BV170" s="143"/>
      <c r="BW170" s="143"/>
      <c r="BX170" s="143"/>
      <c r="BY170" s="143"/>
      <c r="BZ170" s="143"/>
      <c r="CA170" s="143"/>
      <c r="CB170" s="143"/>
      <c r="CC170" s="143"/>
      <c r="CD170" s="143"/>
      <c r="CE170" s="143"/>
      <c r="CF170" s="143"/>
      <c r="CG170" s="145"/>
      <c r="CH170" s="143"/>
      <c r="CI170" s="143"/>
      <c r="CJ170" s="143"/>
      <c r="CK170" s="143"/>
      <c r="CL170" s="143"/>
      <c r="CM170" s="143"/>
      <c r="CN170" s="170"/>
      <c r="CO170" s="143"/>
      <c r="CP170" s="143"/>
      <c r="CQ170" s="143"/>
      <c r="CR170" s="143"/>
      <c r="CS170" s="143"/>
      <c r="CT170" s="143"/>
      <c r="CU170" s="143"/>
      <c r="CV170" s="143"/>
      <c r="CW170" s="143"/>
      <c r="CX170" s="143"/>
      <c r="CY170" s="143"/>
      <c r="CZ170" s="143"/>
      <c r="DA170" s="143"/>
      <c r="DB170" s="143"/>
    </row>
    <row r="171" spans="1:106">
      <c r="A171" s="143"/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4"/>
      <c r="AP171" s="143"/>
      <c r="AQ171" s="203"/>
      <c r="AR171" s="143"/>
      <c r="AS171" s="143"/>
      <c r="AT171" s="143"/>
      <c r="AU171" s="143"/>
      <c r="AV171" s="143"/>
      <c r="AW171" s="143"/>
      <c r="AX171" s="163"/>
      <c r="AY171" s="143"/>
      <c r="AZ171" s="143"/>
      <c r="BA171" s="143"/>
      <c r="BB171" s="143"/>
      <c r="BC171" s="143"/>
      <c r="BD171" s="143"/>
      <c r="BE171" s="143"/>
      <c r="BF171" s="143"/>
      <c r="BG171" s="143"/>
      <c r="BH171" s="143"/>
      <c r="BI171" s="143"/>
      <c r="BJ171" s="143"/>
      <c r="BK171" s="143"/>
      <c r="BL171" s="143"/>
      <c r="BM171" s="143"/>
      <c r="BN171" s="143"/>
      <c r="BO171" s="143"/>
      <c r="BP171" s="143"/>
      <c r="BQ171" s="143"/>
      <c r="BR171" s="143"/>
      <c r="BS171" s="143"/>
      <c r="BT171" s="143"/>
      <c r="BU171" s="143"/>
      <c r="BV171" s="143"/>
      <c r="BW171" s="143"/>
      <c r="BX171" s="143"/>
      <c r="BY171" s="143"/>
      <c r="BZ171" s="143"/>
      <c r="CA171" s="143"/>
      <c r="CB171" s="143"/>
      <c r="CC171" s="143"/>
      <c r="CD171" s="143"/>
      <c r="CE171" s="143"/>
      <c r="CF171" s="143"/>
      <c r="CG171" s="145"/>
      <c r="CH171" s="143"/>
      <c r="CI171" s="143"/>
      <c r="CJ171" s="143"/>
      <c r="CK171" s="143"/>
      <c r="CL171" s="143"/>
      <c r="CM171" s="143"/>
      <c r="CN171" s="170"/>
      <c r="CO171" s="143"/>
      <c r="CP171" s="143"/>
      <c r="CQ171" s="143"/>
      <c r="CR171" s="143"/>
      <c r="CS171" s="143"/>
      <c r="CT171" s="143"/>
      <c r="CU171" s="143"/>
      <c r="CV171" s="143"/>
      <c r="CW171" s="143"/>
      <c r="CX171" s="143"/>
      <c r="CY171" s="143"/>
      <c r="CZ171" s="143"/>
      <c r="DA171" s="143"/>
      <c r="DB171" s="143"/>
    </row>
    <row r="172" spans="1:106">
      <c r="A172" s="143"/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4"/>
      <c r="AP172" s="143"/>
      <c r="AQ172" s="203"/>
      <c r="AR172" s="143"/>
      <c r="AS172" s="143"/>
      <c r="AT172" s="143"/>
      <c r="AU172" s="143"/>
      <c r="AV172" s="143"/>
      <c r="AW172" s="143"/>
      <c r="AX172" s="163"/>
      <c r="AY172" s="143"/>
      <c r="AZ172" s="143"/>
      <c r="BA172" s="143"/>
      <c r="BB172" s="143"/>
      <c r="BC172" s="143"/>
      <c r="BD172" s="143"/>
      <c r="BE172" s="143"/>
      <c r="BF172" s="143"/>
      <c r="BG172" s="143"/>
      <c r="BH172" s="143"/>
      <c r="BI172" s="143"/>
      <c r="BJ172" s="143"/>
      <c r="BK172" s="143"/>
      <c r="BL172" s="143"/>
      <c r="BM172" s="143"/>
      <c r="BN172" s="143"/>
      <c r="BO172" s="143"/>
      <c r="BP172" s="143"/>
      <c r="BQ172" s="143"/>
      <c r="BR172" s="143"/>
      <c r="BS172" s="143"/>
      <c r="BT172" s="143"/>
      <c r="BU172" s="143"/>
      <c r="BV172" s="143"/>
      <c r="BW172" s="143"/>
      <c r="BX172" s="143"/>
      <c r="BY172" s="143"/>
      <c r="BZ172" s="143"/>
      <c r="CA172" s="143"/>
      <c r="CB172" s="143"/>
      <c r="CC172" s="143"/>
      <c r="CD172" s="143"/>
      <c r="CE172" s="143"/>
      <c r="CF172" s="143"/>
      <c r="CG172" s="145"/>
      <c r="CH172" s="143"/>
      <c r="CI172" s="143"/>
      <c r="CJ172" s="143"/>
      <c r="CK172" s="143"/>
      <c r="CL172" s="143"/>
      <c r="CM172" s="143"/>
      <c r="CN172" s="170"/>
      <c r="CO172" s="143"/>
      <c r="CP172" s="143"/>
      <c r="CQ172" s="143"/>
      <c r="CR172" s="143"/>
      <c r="CS172" s="143"/>
      <c r="CT172" s="143"/>
      <c r="CU172" s="143"/>
      <c r="CV172" s="143"/>
      <c r="CW172" s="143"/>
      <c r="CX172" s="143"/>
      <c r="CY172" s="143"/>
      <c r="CZ172" s="143"/>
      <c r="DA172" s="143"/>
      <c r="DB172" s="143"/>
    </row>
    <row r="173" spans="1:106">
      <c r="A173" s="143"/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4"/>
      <c r="AP173" s="143"/>
      <c r="AQ173" s="143"/>
      <c r="AR173" s="143"/>
      <c r="AS173" s="143"/>
      <c r="AT173" s="143"/>
      <c r="AU173" s="143"/>
      <c r="AV173" s="143"/>
      <c r="AW173" s="143"/>
      <c r="AX173" s="163"/>
      <c r="AY173" s="143"/>
      <c r="AZ173" s="143"/>
      <c r="BA173" s="143"/>
      <c r="BB173" s="143"/>
      <c r="BC173" s="143"/>
      <c r="BD173" s="143"/>
      <c r="BE173" s="143"/>
      <c r="BF173" s="143"/>
      <c r="BG173" s="143"/>
      <c r="BH173" s="143"/>
      <c r="BI173" s="143"/>
      <c r="BJ173" s="143"/>
      <c r="BK173" s="143"/>
      <c r="BL173" s="143"/>
      <c r="BM173" s="143"/>
      <c r="BN173" s="143"/>
      <c r="BO173" s="143"/>
      <c r="BP173" s="143"/>
      <c r="BQ173" s="143"/>
      <c r="BR173" s="143"/>
      <c r="BS173" s="143"/>
      <c r="BT173" s="143"/>
      <c r="BU173" s="143"/>
      <c r="BV173" s="143"/>
      <c r="BW173" s="143"/>
      <c r="BX173" s="143"/>
      <c r="BY173" s="143"/>
      <c r="BZ173" s="143"/>
      <c r="CA173" s="143"/>
      <c r="CB173" s="143"/>
      <c r="CC173" s="143"/>
      <c r="CD173" s="143"/>
      <c r="CE173" s="143"/>
      <c r="CF173" s="143"/>
      <c r="CG173" s="145"/>
      <c r="CH173" s="143"/>
      <c r="CI173" s="143"/>
      <c r="CJ173" s="143"/>
      <c r="CK173" s="143"/>
      <c r="CL173" s="143"/>
      <c r="CM173" s="143"/>
      <c r="CN173" s="170"/>
      <c r="CO173" s="143"/>
      <c r="CP173" s="143"/>
      <c r="CQ173" s="143"/>
      <c r="CR173" s="143"/>
      <c r="CS173" s="143"/>
      <c r="CT173" s="143"/>
      <c r="CU173" s="143"/>
      <c r="CV173" s="143"/>
      <c r="CW173" s="143"/>
      <c r="CX173" s="143"/>
      <c r="CY173" s="143"/>
      <c r="CZ173" s="143"/>
      <c r="DA173" s="143"/>
      <c r="DB173" s="143"/>
    </row>
    <row r="174" spans="1:106">
      <c r="A174" s="143"/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4"/>
      <c r="AP174" s="143"/>
      <c r="AQ174" s="203"/>
      <c r="AR174" s="143"/>
      <c r="AS174" s="143"/>
      <c r="AT174" s="143"/>
      <c r="AU174" s="143"/>
      <c r="AV174" s="143"/>
      <c r="AW174" s="143"/>
      <c r="AX174" s="163"/>
      <c r="AY174" s="143"/>
      <c r="AZ174" s="143"/>
      <c r="BA174" s="143"/>
      <c r="BB174" s="143"/>
      <c r="BC174" s="143"/>
      <c r="BD174" s="143"/>
      <c r="BE174" s="143"/>
      <c r="BF174" s="143"/>
      <c r="BG174" s="143"/>
      <c r="BH174" s="143"/>
      <c r="BI174" s="143"/>
      <c r="BJ174" s="143"/>
      <c r="BK174" s="143"/>
      <c r="BL174" s="143"/>
      <c r="BM174" s="143"/>
      <c r="BN174" s="143"/>
      <c r="BO174" s="143"/>
      <c r="BP174" s="143"/>
      <c r="BQ174" s="143"/>
      <c r="BR174" s="143"/>
      <c r="BS174" s="143"/>
      <c r="BT174" s="143"/>
      <c r="BU174" s="143"/>
      <c r="BV174" s="143"/>
      <c r="BW174" s="143"/>
      <c r="BX174" s="143"/>
      <c r="BY174" s="143"/>
      <c r="BZ174" s="143"/>
      <c r="CA174" s="143"/>
      <c r="CB174" s="143"/>
      <c r="CC174" s="143"/>
      <c r="CD174" s="143"/>
      <c r="CE174" s="143"/>
      <c r="CF174" s="143"/>
      <c r="CG174" s="145"/>
      <c r="CH174" s="143"/>
      <c r="CI174" s="143"/>
      <c r="CJ174" s="143"/>
      <c r="CK174" s="143"/>
      <c r="CL174" s="143"/>
      <c r="CM174" s="143"/>
      <c r="CN174" s="170"/>
      <c r="CO174" s="143"/>
      <c r="CP174" s="143"/>
      <c r="CQ174" s="143"/>
      <c r="CR174" s="143"/>
      <c r="CS174" s="143"/>
      <c r="CT174" s="143"/>
      <c r="CU174" s="143"/>
      <c r="CV174" s="143"/>
      <c r="CW174" s="143"/>
      <c r="CX174" s="143"/>
      <c r="CY174" s="143"/>
      <c r="CZ174" s="143"/>
      <c r="DA174" s="143"/>
      <c r="DB174" s="143"/>
    </row>
    <row r="175" spans="1:106">
      <c r="A175" s="143"/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4"/>
      <c r="AP175" s="143"/>
      <c r="AQ175" s="199"/>
      <c r="AR175" s="143"/>
      <c r="AS175" s="143"/>
      <c r="AT175" s="143"/>
      <c r="AU175" s="143"/>
      <c r="AV175" s="143"/>
      <c r="AW175" s="143"/>
      <c r="AX175" s="163"/>
      <c r="AY175" s="143"/>
      <c r="AZ175" s="143"/>
      <c r="BA175" s="143"/>
      <c r="BB175" s="143"/>
      <c r="BC175" s="143"/>
      <c r="BD175" s="1581" t="str">
        <f>COMPANY</f>
        <v>DUKE ENERGY KENTUCKY, INC.</v>
      </c>
      <c r="BE175" s="228"/>
      <c r="BF175" s="228"/>
      <c r="BG175" s="1571"/>
      <c r="BH175" s="182"/>
      <c r="BI175" s="182"/>
      <c r="BJ175" s="1581" t="s">
        <v>1711</v>
      </c>
      <c r="BK175" s="143"/>
      <c r="BL175" s="143"/>
      <c r="BM175" s="143"/>
      <c r="BN175" s="143"/>
      <c r="BO175" s="143"/>
      <c r="BP175" s="143"/>
      <c r="BQ175" s="143"/>
      <c r="BR175" s="143"/>
      <c r="BS175" s="143"/>
      <c r="BT175" s="143"/>
      <c r="BU175" s="143"/>
      <c r="BV175" s="143"/>
      <c r="BW175" s="143"/>
      <c r="BX175" s="143"/>
      <c r="BY175" s="143"/>
      <c r="BZ175" s="143"/>
      <c r="CA175" s="143"/>
      <c r="CB175" s="143"/>
      <c r="CC175" s="143"/>
      <c r="CD175" s="143"/>
      <c r="CE175" s="143"/>
      <c r="CF175" s="143"/>
      <c r="CG175" s="145"/>
      <c r="CH175" s="143"/>
      <c r="CI175" s="143"/>
      <c r="CJ175" s="143"/>
      <c r="CK175" s="143"/>
      <c r="CL175" s="143"/>
      <c r="CM175" s="143"/>
      <c r="CN175" s="170"/>
      <c r="CO175" s="143"/>
      <c r="CP175" s="143"/>
      <c r="CQ175" s="143"/>
      <c r="CR175" s="143"/>
      <c r="CS175" s="143"/>
      <c r="CT175" s="143"/>
      <c r="CU175" s="143"/>
      <c r="CV175" s="143"/>
      <c r="CW175" s="143"/>
      <c r="CX175" s="143"/>
      <c r="CY175" s="143"/>
      <c r="CZ175" s="143"/>
      <c r="DA175" s="143"/>
      <c r="DB175" s="143"/>
    </row>
    <row r="176" spans="1:106">
      <c r="A176" s="143"/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4"/>
      <c r="AP176" s="143"/>
      <c r="AQ176" s="143"/>
      <c r="AR176" s="143"/>
      <c r="AS176" s="143"/>
      <c r="AT176" s="143"/>
      <c r="AU176" s="143"/>
      <c r="AV176" s="143"/>
      <c r="AW176" s="143"/>
      <c r="AX176" s="163"/>
      <c r="AY176" s="143"/>
      <c r="AZ176" s="143"/>
      <c r="BA176" s="143"/>
      <c r="BB176" s="143"/>
      <c r="BC176" s="143"/>
      <c r="BD176" s="1581" t="str">
        <f>DEPT</f>
        <v>ELECTRIC DEPARTMENT</v>
      </c>
      <c r="BE176" s="228"/>
      <c r="BF176" s="228"/>
      <c r="BG176" s="1459"/>
      <c r="BH176" s="182"/>
      <c r="BI176" s="182"/>
      <c r="BJ176" s="173" t="s">
        <v>622</v>
      </c>
      <c r="BK176" s="182"/>
      <c r="BL176" s="143"/>
      <c r="BM176" s="143"/>
      <c r="BN176" s="143"/>
      <c r="BO176" s="143"/>
      <c r="BP176" s="143"/>
      <c r="BQ176" s="143"/>
      <c r="BR176" s="143"/>
      <c r="BS176" s="143"/>
      <c r="BT176" s="143"/>
      <c r="BU176" s="143"/>
      <c r="BV176" s="143"/>
      <c r="BW176" s="143"/>
      <c r="BX176" s="143"/>
      <c r="BY176" s="143"/>
      <c r="BZ176" s="143"/>
      <c r="CA176" s="143"/>
      <c r="CB176" s="143"/>
      <c r="CC176" s="143"/>
      <c r="CD176" s="143"/>
      <c r="CE176" s="143"/>
      <c r="CF176" s="143"/>
      <c r="CG176" s="145"/>
      <c r="CH176" s="143"/>
      <c r="CI176" s="143"/>
      <c r="CJ176" s="143"/>
      <c r="CK176" s="143"/>
      <c r="CL176" s="143"/>
      <c r="CM176" s="143"/>
      <c r="CN176" s="170"/>
      <c r="CO176" s="143"/>
      <c r="CP176" s="143"/>
      <c r="CQ176" s="143"/>
      <c r="CR176" s="143"/>
      <c r="CS176" s="143"/>
      <c r="CT176" s="143"/>
      <c r="CU176" s="143"/>
      <c r="CV176" s="143"/>
      <c r="CW176" s="143"/>
      <c r="CX176" s="143"/>
      <c r="CY176" s="143"/>
      <c r="CZ176" s="143"/>
      <c r="DA176" s="143"/>
      <c r="DB176" s="143"/>
    </row>
    <row r="177" spans="1:106">
      <c r="A177" s="143"/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  <c r="AU177" s="143"/>
      <c r="AV177" s="143"/>
      <c r="AW177" s="143"/>
      <c r="AX177" s="163"/>
      <c r="AY177" s="143"/>
      <c r="AZ177" s="143"/>
      <c r="BA177" s="143"/>
      <c r="BB177" s="143"/>
      <c r="BC177" s="143"/>
      <c r="BD177" s="173" t="str">
        <f>CASE</f>
        <v>CASE NO. 2017-00321</v>
      </c>
      <c r="BE177" s="228"/>
      <c r="BF177" s="228"/>
      <c r="BG177" s="1459"/>
      <c r="BH177" s="182"/>
      <c r="BI177" s="182"/>
      <c r="BJ177" s="127" t="s">
        <v>2709</v>
      </c>
      <c r="BK177" s="182"/>
      <c r="BL177" s="143"/>
      <c r="BM177" s="143"/>
      <c r="BN177" s="143"/>
      <c r="BO177" s="143"/>
      <c r="BP177" s="143"/>
      <c r="BQ177" s="143"/>
      <c r="BR177" s="143"/>
      <c r="BS177" s="143"/>
      <c r="BT177" s="143"/>
      <c r="BU177" s="143"/>
      <c r="BV177" s="143"/>
      <c r="BW177" s="143"/>
      <c r="BX177" s="143"/>
      <c r="BY177" s="143"/>
      <c r="BZ177" s="143"/>
      <c r="CA177" s="143"/>
      <c r="CB177" s="143"/>
      <c r="CC177" s="143"/>
      <c r="CD177" s="143"/>
      <c r="CE177" s="143"/>
      <c r="CF177" s="143"/>
      <c r="CG177" s="145"/>
      <c r="CH177" s="143"/>
      <c r="CI177" s="143"/>
      <c r="CJ177" s="143"/>
      <c r="CK177" s="143"/>
      <c r="CL177" s="143"/>
      <c r="CM177" s="143"/>
      <c r="CN177" s="170"/>
      <c r="CO177" s="143"/>
      <c r="CP177" s="143"/>
      <c r="CQ177" s="143"/>
      <c r="CR177" s="143"/>
      <c r="CS177" s="143"/>
      <c r="CT177" s="143"/>
      <c r="CU177" s="143"/>
      <c r="CV177" s="143"/>
      <c r="CW177" s="143"/>
      <c r="CX177" s="143"/>
      <c r="CY177" s="143"/>
      <c r="CZ177" s="143"/>
      <c r="DA177" s="143"/>
      <c r="DB177" s="143"/>
    </row>
    <row r="178" spans="1:106">
      <c r="A178" s="143"/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  <c r="AU178" s="143"/>
      <c r="AV178" s="143"/>
      <c r="AW178" s="143"/>
      <c r="AX178" s="163"/>
      <c r="AY178" s="143"/>
      <c r="AZ178" s="143"/>
      <c r="BA178" s="143"/>
      <c r="BB178" s="143"/>
      <c r="BC178" s="143"/>
      <c r="BD178" s="174" t="s">
        <v>2584</v>
      </c>
      <c r="BE178" s="228"/>
      <c r="BF178" s="228"/>
      <c r="BG178" s="1459"/>
      <c r="BH178" s="182"/>
      <c r="BI178" s="182"/>
      <c r="BJ178" s="143"/>
      <c r="BK178" s="1571"/>
      <c r="BL178" s="143"/>
      <c r="BM178" s="143"/>
      <c r="BN178" s="143"/>
      <c r="BO178" s="143"/>
      <c r="BP178" s="143"/>
      <c r="BQ178" s="143"/>
      <c r="BR178" s="143"/>
      <c r="BS178" s="143"/>
      <c r="BT178" s="143"/>
      <c r="BU178" s="143"/>
      <c r="BV178" s="143"/>
      <c r="BW178" s="143"/>
      <c r="BX178" s="143"/>
      <c r="BY178" s="143"/>
      <c r="BZ178" s="143"/>
      <c r="CA178" s="143"/>
      <c r="CB178" s="143"/>
      <c r="CC178" s="143"/>
      <c r="CD178" s="143"/>
      <c r="CE178" s="143"/>
      <c r="CF178" s="143"/>
      <c r="CG178" s="145"/>
      <c r="CH178" s="143"/>
      <c r="CI178" s="143"/>
      <c r="CJ178" s="143"/>
      <c r="CK178" s="143"/>
      <c r="CL178" s="143"/>
      <c r="CM178" s="143"/>
      <c r="CN178" s="170"/>
      <c r="CO178" s="143"/>
      <c r="CP178" s="143"/>
      <c r="CQ178" s="143"/>
      <c r="CR178" s="143"/>
      <c r="CS178" s="143"/>
      <c r="CT178" s="143"/>
      <c r="CU178" s="143"/>
      <c r="CV178" s="143"/>
      <c r="CW178" s="143"/>
      <c r="CX178" s="143"/>
      <c r="CY178" s="143"/>
      <c r="CZ178" s="143"/>
      <c r="DA178" s="143"/>
      <c r="DB178" s="143"/>
    </row>
    <row r="179" spans="1:106">
      <c r="A179" s="143"/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  <c r="AU179" s="143"/>
      <c r="AV179" s="143"/>
      <c r="AW179" s="143"/>
      <c r="AX179" s="163"/>
      <c r="AY179" s="143"/>
      <c r="AZ179" s="143"/>
      <c r="BA179" s="143"/>
      <c r="BB179" s="143"/>
      <c r="BC179" s="143"/>
      <c r="BD179" s="144" t="s">
        <v>206</v>
      </c>
      <c r="BE179" s="228"/>
      <c r="BF179" s="228"/>
      <c r="BG179" s="1459"/>
      <c r="BH179" s="182"/>
      <c r="BI179" s="182"/>
      <c r="BJ179" s="1571"/>
      <c r="BK179" s="175"/>
      <c r="BL179" s="143"/>
      <c r="BM179" s="143"/>
      <c r="BN179" s="143"/>
      <c r="BO179" s="143"/>
      <c r="BP179" s="143"/>
      <c r="BQ179" s="143"/>
      <c r="BR179" s="143"/>
      <c r="BS179" s="143"/>
      <c r="BT179" s="143"/>
      <c r="BU179" s="143"/>
      <c r="BV179" s="143"/>
      <c r="BW179" s="143"/>
      <c r="BX179" s="143"/>
      <c r="BY179" s="143"/>
      <c r="BZ179" s="143"/>
      <c r="CA179" s="143"/>
      <c r="CB179" s="143"/>
      <c r="CC179" s="143"/>
      <c r="CD179" s="143"/>
      <c r="CE179" s="143"/>
      <c r="CF179" s="143"/>
      <c r="CG179" s="145"/>
      <c r="CH179" s="143"/>
      <c r="CI179" s="143"/>
      <c r="CJ179" s="143"/>
      <c r="CK179" s="143"/>
      <c r="CL179" s="143"/>
      <c r="CM179" s="143"/>
      <c r="CN179" s="170"/>
      <c r="CO179" s="143"/>
      <c r="CP179" s="143"/>
      <c r="CQ179" s="143"/>
      <c r="CR179" s="143"/>
      <c r="CS179" s="143"/>
      <c r="CT179" s="143"/>
      <c r="CU179" s="143"/>
      <c r="CV179" s="143"/>
      <c r="CW179" s="143"/>
      <c r="CX179" s="143"/>
      <c r="CY179" s="143"/>
      <c r="CZ179" s="143"/>
      <c r="DA179" s="143"/>
      <c r="DB179" s="143"/>
    </row>
    <row r="180" spans="1:106">
      <c r="A180" s="143"/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  <c r="AU180" s="143"/>
      <c r="AV180" s="143"/>
      <c r="AW180" s="143"/>
      <c r="AX180" s="163"/>
      <c r="AY180" s="143"/>
      <c r="AZ180" s="143"/>
      <c r="BA180" s="143"/>
      <c r="BB180" s="143"/>
      <c r="BC180" s="143"/>
      <c r="BD180" s="1571"/>
      <c r="BE180" s="228"/>
      <c r="BF180" s="228"/>
      <c r="BG180" s="1459"/>
      <c r="BH180" s="182"/>
      <c r="BI180" s="182"/>
      <c r="BJ180" s="182"/>
      <c r="BK180" s="182"/>
      <c r="BL180" s="143"/>
      <c r="BM180" s="143"/>
      <c r="BN180" s="143"/>
      <c r="BO180" s="143"/>
      <c r="BP180" s="143"/>
      <c r="BQ180" s="143"/>
      <c r="BR180" s="143"/>
      <c r="BS180" s="143"/>
      <c r="BT180" s="143"/>
      <c r="BU180" s="143"/>
      <c r="BV180" s="143"/>
      <c r="BW180" s="143"/>
      <c r="BX180" s="143"/>
      <c r="BY180" s="143"/>
      <c r="BZ180" s="143"/>
      <c r="CA180" s="143"/>
      <c r="CB180" s="143"/>
      <c r="CC180" s="143"/>
      <c r="CD180" s="143"/>
      <c r="CE180" s="143"/>
      <c r="CF180" s="143"/>
      <c r="CG180" s="145"/>
      <c r="CH180" s="143"/>
      <c r="CI180" s="143"/>
      <c r="CJ180" s="143"/>
      <c r="CK180" s="143"/>
      <c r="CL180" s="143"/>
      <c r="CM180" s="143"/>
      <c r="CN180" s="170"/>
      <c r="CO180" s="143"/>
      <c r="CP180" s="143"/>
      <c r="CQ180" s="143"/>
      <c r="CR180" s="143"/>
      <c r="CS180" s="143"/>
      <c r="CT180" s="143"/>
      <c r="CU180" s="143"/>
      <c r="CV180" s="143"/>
      <c r="CW180" s="143"/>
      <c r="CX180" s="143"/>
      <c r="CY180" s="143"/>
      <c r="CZ180" s="143"/>
      <c r="DA180" s="143"/>
      <c r="DB180" s="143"/>
    </row>
    <row r="181" spans="1:106">
      <c r="A181" s="143"/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  <c r="AU181" s="143"/>
      <c r="AV181" s="143"/>
      <c r="AW181" s="143"/>
      <c r="AX181" s="163"/>
      <c r="AY181" s="143"/>
      <c r="AZ181" s="143"/>
      <c r="BA181" s="143"/>
      <c r="BB181" s="143"/>
      <c r="BC181" s="143"/>
      <c r="BD181" s="1571"/>
      <c r="BE181" s="1571"/>
      <c r="BF181" s="1571"/>
      <c r="BG181" s="1571"/>
      <c r="BH181" s="182"/>
      <c r="BI181" s="182"/>
      <c r="BJ181" s="1459"/>
      <c r="BK181" s="182"/>
      <c r="BL181" s="143"/>
      <c r="BM181" s="143"/>
      <c r="BN181" s="143"/>
      <c r="BO181" s="143"/>
      <c r="BP181" s="143"/>
      <c r="BQ181" s="143"/>
      <c r="BR181" s="143"/>
      <c r="BS181" s="143"/>
      <c r="BT181" s="143"/>
      <c r="BU181" s="143"/>
      <c r="BV181" s="143"/>
      <c r="BW181" s="143"/>
      <c r="BX181" s="143"/>
      <c r="BY181" s="143"/>
      <c r="BZ181" s="143"/>
      <c r="CA181" s="143"/>
      <c r="CB181" s="143"/>
      <c r="CC181" s="143"/>
      <c r="CD181" s="143"/>
      <c r="CE181" s="143"/>
      <c r="CF181" s="143"/>
      <c r="CG181" s="145"/>
      <c r="CH181" s="143"/>
      <c r="CI181" s="143"/>
      <c r="CJ181" s="143"/>
      <c r="CK181" s="143"/>
      <c r="CL181" s="143"/>
      <c r="CM181" s="143"/>
      <c r="CN181" s="170"/>
      <c r="CO181" s="143"/>
      <c r="CP181" s="143"/>
      <c r="CQ181" s="143"/>
      <c r="CR181" s="143"/>
      <c r="CS181" s="143"/>
      <c r="CT181" s="143"/>
      <c r="CU181" s="143"/>
      <c r="CV181" s="143"/>
      <c r="CW181" s="143"/>
      <c r="CX181" s="143"/>
      <c r="CY181" s="143"/>
      <c r="CZ181" s="143"/>
      <c r="DA181" s="143"/>
      <c r="DB181" s="143"/>
    </row>
    <row r="182" spans="1:106">
      <c r="A182" s="143"/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  <c r="AU182" s="143"/>
      <c r="AV182" s="143"/>
      <c r="AW182" s="143"/>
      <c r="AX182" s="163"/>
      <c r="AY182" s="143"/>
      <c r="AZ182" s="143"/>
      <c r="BA182" s="143"/>
      <c r="BB182" s="143"/>
      <c r="BC182" s="143"/>
      <c r="BD182" s="2741" t="s">
        <v>1961</v>
      </c>
      <c r="BE182" s="1571"/>
      <c r="BF182" s="1571"/>
      <c r="BG182" s="1571"/>
      <c r="BH182" s="229"/>
      <c r="BI182" s="229"/>
      <c r="BJ182" s="230"/>
      <c r="BK182" s="1571"/>
      <c r="BL182" s="143"/>
      <c r="BM182" s="143"/>
      <c r="BN182" s="143"/>
      <c r="BO182" s="143"/>
      <c r="BP182" s="143"/>
      <c r="BQ182" s="143"/>
      <c r="BR182" s="143"/>
      <c r="BS182" s="143"/>
      <c r="BT182" s="143"/>
      <c r="BU182" s="143"/>
      <c r="BV182" s="143"/>
      <c r="BW182" s="143"/>
      <c r="BX182" s="143"/>
      <c r="BY182" s="143"/>
      <c r="BZ182" s="143"/>
      <c r="CA182" s="143"/>
      <c r="CB182" s="143"/>
      <c r="CC182" s="143"/>
      <c r="CD182" s="143"/>
      <c r="CE182" s="143"/>
      <c r="CF182" s="143"/>
      <c r="CG182" s="145"/>
      <c r="CH182" s="143"/>
      <c r="CI182" s="143"/>
      <c r="CJ182" s="143"/>
      <c r="CK182" s="143"/>
      <c r="CL182" s="143"/>
      <c r="CM182" s="143"/>
      <c r="CN182" s="170"/>
      <c r="CO182" s="143"/>
      <c r="CP182" s="143"/>
      <c r="CQ182" s="143"/>
      <c r="CR182" s="143"/>
      <c r="CS182" s="143"/>
      <c r="CT182" s="143"/>
      <c r="CU182" s="143"/>
      <c r="CV182" s="143"/>
      <c r="CW182" s="143"/>
      <c r="CX182" s="143"/>
      <c r="CY182" s="143"/>
      <c r="CZ182" s="143"/>
      <c r="DA182" s="143"/>
      <c r="DB182" s="143"/>
    </row>
    <row r="183" spans="1:106">
      <c r="A183" s="143"/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  <c r="AU183" s="143"/>
      <c r="AV183" s="143"/>
      <c r="AW183" s="143"/>
      <c r="AX183" s="163"/>
      <c r="AY183" s="143"/>
      <c r="AZ183" s="143"/>
      <c r="BA183" s="143"/>
      <c r="BB183" s="143"/>
      <c r="BC183" s="143"/>
      <c r="BD183" s="176" t="s">
        <v>90</v>
      </c>
      <c r="BE183" s="176" t="s">
        <v>1076</v>
      </c>
      <c r="BF183" s="1571"/>
      <c r="BG183" s="1571"/>
      <c r="BH183" s="231"/>
      <c r="BI183" s="176"/>
      <c r="BJ183" s="176" t="s">
        <v>1077</v>
      </c>
      <c r="BK183" s="1571"/>
      <c r="BL183" s="143"/>
      <c r="BM183" s="143"/>
      <c r="BN183" s="143"/>
      <c r="BO183" s="143"/>
      <c r="BP183" s="143"/>
      <c r="BQ183" s="143"/>
      <c r="BR183" s="143"/>
      <c r="BS183" s="143"/>
      <c r="BT183" s="143"/>
      <c r="BU183" s="143"/>
      <c r="BV183" s="143"/>
      <c r="BW183" s="143"/>
      <c r="BX183" s="143"/>
      <c r="BY183" s="143"/>
      <c r="BZ183" s="143"/>
      <c r="CA183" s="143"/>
      <c r="CB183" s="143"/>
      <c r="CC183" s="143"/>
      <c r="CD183" s="143"/>
      <c r="CE183" s="143"/>
      <c r="CF183" s="143"/>
      <c r="CG183" s="145"/>
      <c r="CH183" s="143"/>
      <c r="CI183" s="143"/>
      <c r="CJ183" s="143"/>
      <c r="CK183" s="143"/>
      <c r="CL183" s="143"/>
      <c r="CM183" s="143"/>
      <c r="CN183" s="170"/>
      <c r="CO183" s="143"/>
      <c r="CP183" s="143"/>
      <c r="CQ183" s="143"/>
      <c r="CR183" s="143"/>
      <c r="CS183" s="143"/>
      <c r="CT183" s="143"/>
      <c r="CU183" s="143"/>
      <c r="CV183" s="143"/>
      <c r="CW183" s="143"/>
      <c r="CX183" s="143"/>
      <c r="CY183" s="143"/>
      <c r="CZ183" s="143"/>
      <c r="DA183" s="143"/>
      <c r="DB183" s="143"/>
    </row>
    <row r="184" spans="1:106">
      <c r="A184" s="143"/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  <c r="AU184" s="143"/>
      <c r="AV184" s="143"/>
      <c r="AW184" s="143"/>
      <c r="AX184" s="163"/>
      <c r="AY184" s="143"/>
      <c r="AZ184" s="143"/>
      <c r="BA184" s="143"/>
      <c r="BB184" s="143"/>
      <c r="BC184" s="143"/>
      <c r="BD184" s="1581"/>
      <c r="BE184" s="1571"/>
      <c r="BF184" s="1571"/>
      <c r="BG184" s="1571"/>
      <c r="BH184" s="232"/>
      <c r="BI184" s="2741"/>
      <c r="BJ184" s="2741" t="s">
        <v>1705</v>
      </c>
      <c r="BK184" s="1571"/>
      <c r="BL184" s="143"/>
      <c r="BM184" s="143"/>
      <c r="BN184" s="143"/>
      <c r="BO184" s="143"/>
      <c r="BP184" s="143"/>
      <c r="BQ184" s="143"/>
      <c r="BR184" s="143"/>
      <c r="BS184" s="143"/>
      <c r="BT184" s="143"/>
      <c r="BU184" s="143"/>
      <c r="BV184" s="143"/>
      <c r="BW184" s="143"/>
      <c r="BX184" s="143"/>
      <c r="BY184" s="143"/>
      <c r="BZ184" s="143"/>
      <c r="CA184" s="143"/>
      <c r="CB184" s="143"/>
      <c r="CC184" s="143"/>
      <c r="CD184" s="143"/>
      <c r="CE184" s="143"/>
      <c r="CF184" s="143"/>
      <c r="CG184" s="145"/>
      <c r="CH184" s="143"/>
      <c r="CI184" s="143"/>
      <c r="CJ184" s="143"/>
      <c r="CK184" s="143"/>
      <c r="CL184" s="143"/>
      <c r="CM184" s="143"/>
      <c r="CN184" s="170"/>
      <c r="CO184" s="143"/>
      <c r="CP184" s="143"/>
      <c r="CQ184" s="143"/>
      <c r="CR184" s="143"/>
      <c r="CS184" s="143"/>
      <c r="CT184" s="143"/>
      <c r="CU184" s="143"/>
      <c r="CV184" s="143"/>
      <c r="CW184" s="143"/>
      <c r="CX184" s="143"/>
      <c r="CY184" s="143"/>
      <c r="CZ184" s="143"/>
      <c r="DA184" s="143"/>
      <c r="DB184" s="143"/>
    </row>
    <row r="185" spans="1:106">
      <c r="A185" s="143"/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  <c r="AU185" s="143"/>
      <c r="AV185" s="143"/>
      <c r="AW185" s="143"/>
      <c r="AX185" s="163"/>
      <c r="AY185" s="143"/>
      <c r="AZ185" s="143"/>
      <c r="BA185" s="143"/>
      <c r="BB185" s="143"/>
      <c r="BC185" s="143"/>
      <c r="BD185" s="2741">
        <v>1</v>
      </c>
      <c r="BE185" s="233" t="s">
        <v>1018</v>
      </c>
      <c r="BF185" s="1571"/>
      <c r="BG185" s="1571"/>
      <c r="BH185" s="234"/>
      <c r="BI185" s="1571"/>
      <c r="BJ185" s="1571"/>
      <c r="BK185" s="1571"/>
      <c r="BL185" s="143"/>
      <c r="BM185" s="143"/>
      <c r="BN185" s="143"/>
      <c r="BO185" s="143"/>
      <c r="BP185" s="143"/>
      <c r="BQ185" s="143"/>
      <c r="BR185" s="143"/>
      <c r="BS185" s="143"/>
      <c r="BT185" s="143"/>
      <c r="BU185" s="143"/>
      <c r="BV185" s="143"/>
      <c r="BW185" s="143"/>
      <c r="BX185" s="143"/>
      <c r="BY185" s="143"/>
      <c r="BZ185" s="143"/>
      <c r="CA185" s="143"/>
      <c r="CB185" s="143"/>
      <c r="CC185" s="143"/>
      <c r="CD185" s="143"/>
      <c r="CE185" s="143"/>
      <c r="CF185" s="143"/>
      <c r="CG185" s="145"/>
      <c r="CH185" s="143"/>
      <c r="CI185" s="143"/>
      <c r="CJ185" s="143"/>
      <c r="CK185" s="143"/>
      <c r="CL185" s="143"/>
      <c r="CM185" s="143"/>
      <c r="CN185" s="170"/>
      <c r="CO185" s="143"/>
      <c r="CP185" s="143"/>
      <c r="CQ185" s="143"/>
      <c r="CR185" s="143"/>
      <c r="CS185" s="143"/>
      <c r="CT185" s="143"/>
      <c r="CU185" s="143"/>
      <c r="CV185" s="143"/>
      <c r="CW185" s="143"/>
      <c r="CX185" s="143"/>
      <c r="CY185" s="143"/>
      <c r="CZ185" s="143"/>
      <c r="DA185" s="143"/>
      <c r="DB185" s="143"/>
    </row>
    <row r="186" spans="1:106">
      <c r="A186" s="143"/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  <c r="AU186" s="143"/>
      <c r="AV186" s="143"/>
      <c r="AW186" s="143"/>
      <c r="AX186" s="163"/>
      <c r="AY186" s="143"/>
      <c r="AZ186" s="143"/>
      <c r="BA186" s="143"/>
      <c r="BB186" s="143"/>
      <c r="BC186" s="143"/>
      <c r="BD186" s="2741">
        <v>2</v>
      </c>
      <c r="BE186" s="235" t="str">
        <f t="shared" ref="BE186:BE197" si="17">K50</f>
        <v>December 2016</v>
      </c>
      <c r="BF186" s="1571"/>
      <c r="BG186" s="1571"/>
      <c r="BH186" s="234"/>
      <c r="BI186" s="1571"/>
      <c r="BJ186" s="182">
        <v>3412415</v>
      </c>
      <c r="BK186" s="1571"/>
      <c r="BL186" s="143"/>
      <c r="BM186" s="143"/>
      <c r="BN186" s="143"/>
      <c r="BO186" s="143"/>
      <c r="BP186" s="143"/>
      <c r="BQ186" s="143"/>
      <c r="BR186" s="143"/>
      <c r="BS186" s="143"/>
      <c r="BT186" s="143"/>
      <c r="BU186" s="143"/>
      <c r="BV186" s="143"/>
      <c r="BW186" s="143"/>
      <c r="BX186" s="143"/>
      <c r="BY186" s="143"/>
      <c r="BZ186" s="143"/>
      <c r="CA186" s="143"/>
      <c r="CB186" s="143"/>
      <c r="CC186" s="143"/>
      <c r="CD186" s="143"/>
      <c r="CE186" s="143"/>
      <c r="CF186" s="143"/>
      <c r="CG186" s="145"/>
      <c r="CH186" s="143"/>
      <c r="CI186" s="143"/>
      <c r="CJ186" s="143"/>
      <c r="CK186" s="143"/>
      <c r="CL186" s="143"/>
      <c r="CM186" s="143"/>
      <c r="CN186" s="170"/>
      <c r="CO186" s="143"/>
      <c r="CP186" s="143"/>
      <c r="CQ186" s="143"/>
      <c r="CR186" s="143"/>
      <c r="CS186" s="143"/>
      <c r="CT186" s="143"/>
      <c r="CU186" s="143"/>
      <c r="CV186" s="143"/>
      <c r="CW186" s="143"/>
      <c r="CX186" s="143"/>
      <c r="CY186" s="143"/>
      <c r="CZ186" s="143"/>
      <c r="DA186" s="143"/>
      <c r="DB186" s="143"/>
    </row>
    <row r="187" spans="1:106">
      <c r="A187" s="143"/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  <c r="AU187" s="143"/>
      <c r="AV187" s="143"/>
      <c r="AW187" s="143"/>
      <c r="AX187" s="163"/>
      <c r="AY187" s="143"/>
      <c r="AZ187" s="143"/>
      <c r="BA187" s="143"/>
      <c r="BB187" s="143"/>
      <c r="BC187" s="143"/>
      <c r="BD187" s="2741">
        <f t="shared" ref="BD187:BD215" si="18">1+BD186</f>
        <v>3</v>
      </c>
      <c r="BE187" s="235" t="str">
        <f t="shared" si="17"/>
        <v>January 2017</v>
      </c>
      <c r="BF187" s="1571"/>
      <c r="BG187" s="1571"/>
      <c r="BH187" s="234"/>
      <c r="BI187" s="1571"/>
      <c r="BJ187" s="182">
        <v>1840728</v>
      </c>
      <c r="BK187" s="1571"/>
      <c r="BL187" s="143"/>
      <c r="BM187" s="143"/>
      <c r="BN187" s="143"/>
      <c r="BO187" s="143"/>
      <c r="BP187" s="143"/>
      <c r="BQ187" s="143"/>
      <c r="BR187" s="143"/>
      <c r="BS187" s="143"/>
      <c r="BT187" s="143"/>
      <c r="BU187" s="143"/>
      <c r="BV187" s="143"/>
      <c r="BW187" s="143"/>
      <c r="BX187" s="143"/>
      <c r="BY187" s="143"/>
      <c r="BZ187" s="143"/>
      <c r="CA187" s="143"/>
      <c r="CB187" s="143"/>
      <c r="CC187" s="143"/>
      <c r="CD187" s="143"/>
      <c r="CE187" s="143"/>
      <c r="CF187" s="143"/>
      <c r="CG187" s="145"/>
      <c r="CH187" s="143"/>
      <c r="CI187" s="143"/>
      <c r="CJ187" s="143"/>
      <c r="CK187" s="143"/>
      <c r="CL187" s="143"/>
      <c r="CM187" s="143"/>
      <c r="CN187" s="170"/>
      <c r="CO187" s="143"/>
      <c r="CP187" s="143"/>
      <c r="CQ187" s="143"/>
      <c r="CR187" s="143"/>
      <c r="CS187" s="143"/>
      <c r="CT187" s="143"/>
      <c r="CU187" s="143"/>
      <c r="CV187" s="143"/>
      <c r="CW187" s="143"/>
      <c r="CX187" s="143"/>
      <c r="CY187" s="143"/>
      <c r="CZ187" s="143"/>
      <c r="DA187" s="143"/>
      <c r="DB187" s="143"/>
    </row>
    <row r="188" spans="1:106">
      <c r="A188" s="143"/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  <c r="AU188" s="143"/>
      <c r="AV188" s="143"/>
      <c r="AW188" s="143"/>
      <c r="AX188" s="163"/>
      <c r="AY188" s="143"/>
      <c r="AZ188" s="143"/>
      <c r="BA188" s="143"/>
      <c r="BB188" s="143"/>
      <c r="BC188" s="143"/>
      <c r="BD188" s="2741">
        <f t="shared" si="18"/>
        <v>4</v>
      </c>
      <c r="BE188" s="235" t="str">
        <f t="shared" si="17"/>
        <v>February</v>
      </c>
      <c r="BF188" s="1571"/>
      <c r="BG188" s="1571"/>
      <c r="BH188" s="234"/>
      <c r="BI188" s="1571"/>
      <c r="BJ188" s="182">
        <v>1120511</v>
      </c>
      <c r="BK188" s="1571"/>
      <c r="BL188" s="143"/>
      <c r="BM188" s="143"/>
      <c r="BN188" s="143"/>
      <c r="BO188" s="143"/>
      <c r="BP188" s="143"/>
      <c r="BQ188" s="143"/>
      <c r="BR188" s="143"/>
      <c r="BS188" s="143"/>
      <c r="BT188" s="143"/>
      <c r="BU188" s="143"/>
      <c r="BV188" s="143"/>
      <c r="BW188" s="143"/>
      <c r="BX188" s="143"/>
      <c r="BY188" s="143"/>
      <c r="BZ188" s="143"/>
      <c r="CA188" s="143"/>
      <c r="CB188" s="143"/>
      <c r="CC188" s="143"/>
      <c r="CD188" s="143"/>
      <c r="CE188" s="143"/>
      <c r="CF188" s="143"/>
      <c r="CG188" s="145"/>
      <c r="CH188" s="143"/>
      <c r="CI188" s="143"/>
      <c r="CJ188" s="143"/>
      <c r="CK188" s="143"/>
      <c r="CL188" s="143"/>
      <c r="CM188" s="143"/>
      <c r="CN188" s="170"/>
      <c r="CO188" s="143"/>
      <c r="CP188" s="143"/>
      <c r="CQ188" s="143"/>
      <c r="CR188" s="143"/>
      <c r="CS188" s="143"/>
      <c r="CT188" s="143"/>
      <c r="CU188" s="143"/>
      <c r="CV188" s="143"/>
      <c r="CW188" s="143"/>
      <c r="CX188" s="143"/>
      <c r="CY188" s="143"/>
      <c r="CZ188" s="143"/>
      <c r="DA188" s="143"/>
      <c r="DB188" s="143"/>
    </row>
    <row r="189" spans="1:106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  <c r="AU189" s="143"/>
      <c r="AV189" s="143"/>
      <c r="AW189" s="143"/>
      <c r="AX189" s="163"/>
      <c r="AY189" s="143"/>
      <c r="AZ189" s="143"/>
      <c r="BA189" s="143"/>
      <c r="BB189" s="143"/>
      <c r="BC189" s="143"/>
      <c r="BD189" s="2741">
        <f t="shared" si="18"/>
        <v>5</v>
      </c>
      <c r="BE189" s="235" t="str">
        <f t="shared" si="17"/>
        <v>March</v>
      </c>
      <c r="BF189" s="1571"/>
      <c r="BG189" s="1571"/>
      <c r="BH189" s="234"/>
      <c r="BI189" s="1571"/>
      <c r="BJ189" s="182">
        <v>988448</v>
      </c>
      <c r="BK189" s="1571"/>
      <c r="BL189" s="143"/>
      <c r="BM189" s="143"/>
      <c r="BN189" s="143"/>
      <c r="BO189" s="143"/>
      <c r="BP189" s="143"/>
      <c r="BQ189" s="143"/>
      <c r="BR189" s="143"/>
      <c r="BS189" s="143"/>
      <c r="BT189" s="143"/>
      <c r="BU189" s="143"/>
      <c r="BV189" s="143"/>
      <c r="BW189" s="143"/>
      <c r="BX189" s="143"/>
      <c r="BY189" s="143"/>
      <c r="BZ189" s="143"/>
      <c r="CA189" s="143"/>
      <c r="CB189" s="143"/>
      <c r="CC189" s="143"/>
      <c r="CD189" s="143"/>
      <c r="CE189" s="143"/>
      <c r="CF189" s="143"/>
      <c r="CG189" s="145"/>
      <c r="CH189" s="143"/>
      <c r="CI189" s="143"/>
      <c r="CJ189" s="143"/>
      <c r="CK189" s="143"/>
      <c r="CL189" s="143"/>
      <c r="CM189" s="143"/>
      <c r="CN189" s="170"/>
      <c r="CO189" s="143"/>
      <c r="CP189" s="143"/>
      <c r="CQ189" s="143"/>
      <c r="CR189" s="143"/>
      <c r="CS189" s="143"/>
      <c r="CT189" s="143"/>
      <c r="CU189" s="143"/>
      <c r="CV189" s="143"/>
      <c r="CW189" s="143"/>
      <c r="CX189" s="143"/>
      <c r="CY189" s="143"/>
      <c r="CZ189" s="143"/>
      <c r="DA189" s="143"/>
      <c r="DB189" s="143"/>
    </row>
    <row r="190" spans="1:106">
      <c r="A190" s="143"/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  <c r="AU190" s="143"/>
      <c r="AV190" s="143"/>
      <c r="AW190" s="143"/>
      <c r="AX190" s="163"/>
      <c r="AY190" s="143"/>
      <c r="AZ190" s="143"/>
      <c r="BA190" s="143"/>
      <c r="BB190" s="143"/>
      <c r="BC190" s="143"/>
      <c r="BD190" s="2741">
        <f t="shared" si="18"/>
        <v>6</v>
      </c>
      <c r="BE190" s="235" t="str">
        <f t="shared" si="17"/>
        <v>April</v>
      </c>
      <c r="BF190" s="1571"/>
      <c r="BG190" s="1571"/>
      <c r="BH190" s="234"/>
      <c r="BI190" s="1571"/>
      <c r="BJ190" s="182">
        <v>1772266</v>
      </c>
      <c r="BK190" s="1571"/>
      <c r="BL190" s="143"/>
      <c r="BM190" s="143"/>
      <c r="BN190" s="143"/>
      <c r="BO190" s="143"/>
      <c r="BP190" s="143"/>
      <c r="BQ190" s="143"/>
      <c r="BR190" s="143"/>
      <c r="BS190" s="143"/>
      <c r="BT190" s="143"/>
      <c r="BU190" s="143"/>
      <c r="BV190" s="143"/>
      <c r="BW190" s="143"/>
      <c r="BX190" s="143"/>
      <c r="BY190" s="143"/>
      <c r="BZ190" s="143"/>
      <c r="CA190" s="143"/>
      <c r="CB190" s="143"/>
      <c r="CC190" s="143"/>
      <c r="CD190" s="143"/>
      <c r="CE190" s="143"/>
      <c r="CF190" s="143"/>
      <c r="CG190" s="145"/>
      <c r="CH190" s="143"/>
      <c r="CI190" s="143"/>
      <c r="CJ190" s="143"/>
      <c r="CK190" s="143"/>
      <c r="CL190" s="143"/>
      <c r="CM190" s="143"/>
      <c r="CN190" s="170"/>
      <c r="CO190" s="143"/>
      <c r="CP190" s="143"/>
      <c r="CQ190" s="143"/>
      <c r="CR190" s="143"/>
      <c r="CS190" s="143"/>
      <c r="CT190" s="143"/>
      <c r="CU190" s="143"/>
      <c r="CV190" s="143"/>
      <c r="CW190" s="143"/>
      <c r="CX190" s="143"/>
      <c r="CY190" s="143"/>
      <c r="CZ190" s="143"/>
      <c r="DA190" s="143"/>
      <c r="DB190" s="143"/>
    </row>
    <row r="191" spans="1:106">
      <c r="A191" s="143"/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  <c r="AU191" s="143"/>
      <c r="AV191" s="143"/>
      <c r="AW191" s="143"/>
      <c r="AX191" s="163"/>
      <c r="AY191" s="143"/>
      <c r="AZ191" s="143"/>
      <c r="BA191" s="143"/>
      <c r="BB191" s="143"/>
      <c r="BC191" s="143"/>
      <c r="BD191" s="2741">
        <f t="shared" si="18"/>
        <v>7</v>
      </c>
      <c r="BE191" s="235" t="str">
        <f t="shared" si="17"/>
        <v>May</v>
      </c>
      <c r="BF191" s="1571"/>
      <c r="BG191" s="1571"/>
      <c r="BH191" s="234"/>
      <c r="BI191" s="1571"/>
      <c r="BJ191" s="182">
        <v>2370695</v>
      </c>
      <c r="BK191" s="1571"/>
      <c r="BL191" s="143"/>
      <c r="BM191" s="143"/>
      <c r="BN191" s="143"/>
      <c r="BO191" s="143"/>
      <c r="BP191" s="143"/>
      <c r="BQ191" s="143"/>
      <c r="BR191" s="143"/>
      <c r="BS191" s="143"/>
      <c r="BT191" s="143"/>
      <c r="BU191" s="143"/>
      <c r="BV191" s="143"/>
      <c r="BW191" s="143"/>
      <c r="BX191" s="143"/>
      <c r="BY191" s="143"/>
      <c r="BZ191" s="143"/>
      <c r="CA191" s="143"/>
      <c r="CB191" s="143"/>
      <c r="CC191" s="143"/>
      <c r="CD191" s="143"/>
      <c r="CE191" s="143"/>
      <c r="CF191" s="143"/>
      <c r="CG191" s="145"/>
      <c r="CH191" s="143"/>
      <c r="CI191" s="143"/>
      <c r="CJ191" s="143"/>
      <c r="CK191" s="143"/>
      <c r="CL191" s="143"/>
      <c r="CM191" s="143"/>
      <c r="CN191" s="170"/>
      <c r="CO191" s="143"/>
      <c r="CP191" s="143"/>
      <c r="CQ191" s="143"/>
      <c r="CR191" s="143"/>
      <c r="CS191" s="143"/>
      <c r="CT191" s="143"/>
      <c r="CU191" s="143"/>
      <c r="CV191" s="143"/>
      <c r="CW191" s="143"/>
      <c r="CX191" s="143"/>
      <c r="CY191" s="143"/>
      <c r="CZ191" s="143"/>
      <c r="DA191" s="143"/>
      <c r="DB191" s="143"/>
    </row>
    <row r="192" spans="1:106">
      <c r="A192" s="143"/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  <c r="AU192" s="143"/>
      <c r="AV192" s="143"/>
      <c r="AW192" s="143"/>
      <c r="AX192" s="163"/>
      <c r="AY192" s="143"/>
      <c r="AZ192" s="143"/>
      <c r="BA192" s="143"/>
      <c r="BB192" s="143"/>
      <c r="BC192" s="143"/>
      <c r="BD192" s="2741">
        <f t="shared" si="18"/>
        <v>8</v>
      </c>
      <c r="BE192" s="235" t="str">
        <f t="shared" si="17"/>
        <v>June</v>
      </c>
      <c r="BF192" s="1571"/>
      <c r="BG192" s="1571"/>
      <c r="BH192" s="234"/>
      <c r="BI192" s="1571"/>
      <c r="BJ192" s="182">
        <v>3412415</v>
      </c>
      <c r="BK192" s="1571"/>
      <c r="BL192" s="143"/>
      <c r="BM192" s="143"/>
      <c r="BN192" s="143"/>
      <c r="BO192" s="143"/>
      <c r="BP192" s="143"/>
      <c r="BQ192" s="143"/>
      <c r="BR192" s="143"/>
      <c r="BS192" s="143"/>
      <c r="BT192" s="143"/>
      <c r="BU192" s="143"/>
      <c r="BV192" s="143"/>
      <c r="BW192" s="143"/>
      <c r="BX192" s="143"/>
      <c r="BY192" s="143"/>
      <c r="BZ192" s="143"/>
      <c r="CA192" s="143"/>
      <c r="CB192" s="143"/>
      <c r="CC192" s="143"/>
      <c r="CD192" s="143"/>
      <c r="CE192" s="143"/>
      <c r="CF192" s="143"/>
      <c r="CG192" s="145"/>
      <c r="CH192" s="143"/>
      <c r="CI192" s="143"/>
      <c r="CJ192" s="143"/>
      <c r="CK192" s="143"/>
      <c r="CL192" s="143"/>
      <c r="CM192" s="143"/>
      <c r="CN192" s="170"/>
      <c r="CO192" s="143"/>
      <c r="CP192" s="143"/>
      <c r="CQ192" s="143"/>
      <c r="CR192" s="143"/>
      <c r="CS192" s="143"/>
      <c r="CT192" s="143"/>
      <c r="CU192" s="143"/>
      <c r="CV192" s="143"/>
      <c r="CW192" s="143"/>
      <c r="CX192" s="143"/>
      <c r="CY192" s="143"/>
      <c r="CZ192" s="143"/>
      <c r="DA192" s="143"/>
      <c r="DB192" s="143"/>
    </row>
    <row r="193" spans="1:106">
      <c r="A193" s="143"/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  <c r="AU193" s="143"/>
      <c r="AV193" s="143"/>
      <c r="AW193" s="143"/>
      <c r="AX193" s="163"/>
      <c r="AY193" s="143"/>
      <c r="AZ193" s="143"/>
      <c r="BA193" s="143"/>
      <c r="BB193" s="143"/>
      <c r="BC193" s="143"/>
      <c r="BD193" s="2741">
        <f t="shared" si="18"/>
        <v>9</v>
      </c>
      <c r="BE193" s="235" t="str">
        <f t="shared" si="17"/>
        <v>July</v>
      </c>
      <c r="BF193" s="1571"/>
      <c r="BG193" s="1571"/>
      <c r="BH193" s="234"/>
      <c r="BI193" s="1571"/>
      <c r="BJ193" s="182">
        <v>3412415</v>
      </c>
      <c r="BK193" s="1571"/>
      <c r="BL193" s="143"/>
      <c r="BM193" s="143"/>
      <c r="BN193" s="143"/>
      <c r="BO193" s="143"/>
      <c r="BP193" s="143"/>
      <c r="BQ193" s="143"/>
      <c r="BR193" s="143"/>
      <c r="BS193" s="143"/>
      <c r="BT193" s="143"/>
      <c r="BU193" s="143"/>
      <c r="BV193" s="143"/>
      <c r="BW193" s="143"/>
      <c r="BX193" s="143"/>
      <c r="BY193" s="143"/>
      <c r="BZ193" s="143"/>
      <c r="CA193" s="143"/>
      <c r="CB193" s="143"/>
      <c r="CC193" s="143"/>
      <c r="CD193" s="143"/>
      <c r="CE193" s="143"/>
      <c r="CF193" s="143"/>
      <c r="CG193" s="145"/>
      <c r="CH193" s="143"/>
      <c r="CI193" s="143"/>
      <c r="CJ193" s="143"/>
      <c r="CK193" s="143"/>
      <c r="CL193" s="143"/>
      <c r="CM193" s="143"/>
      <c r="CN193" s="170"/>
      <c r="CO193" s="143"/>
      <c r="CP193" s="143"/>
      <c r="CQ193" s="143"/>
      <c r="CR193" s="143"/>
      <c r="CS193" s="143"/>
      <c r="CT193" s="143"/>
      <c r="CU193" s="143"/>
      <c r="CV193" s="143"/>
      <c r="CW193" s="143"/>
      <c r="CX193" s="143"/>
      <c r="CY193" s="143"/>
      <c r="CZ193" s="143"/>
      <c r="DA193" s="143"/>
      <c r="DB193" s="143"/>
    </row>
    <row r="194" spans="1:106">
      <c r="A194" s="143"/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  <c r="AU194" s="143"/>
      <c r="AV194" s="143"/>
      <c r="AW194" s="143"/>
      <c r="AX194" s="163"/>
      <c r="AY194" s="143"/>
      <c r="AZ194" s="143"/>
      <c r="BA194" s="143"/>
      <c r="BB194" s="143"/>
      <c r="BC194" s="143"/>
      <c r="BD194" s="2741">
        <f t="shared" si="18"/>
        <v>10</v>
      </c>
      <c r="BE194" s="235" t="str">
        <f t="shared" si="17"/>
        <v>August</v>
      </c>
      <c r="BF194" s="1571"/>
      <c r="BG194" s="1571"/>
      <c r="BH194" s="234"/>
      <c r="BI194" s="1571"/>
      <c r="BJ194" s="182">
        <v>3412415</v>
      </c>
      <c r="BK194" s="1571"/>
      <c r="BL194" s="143"/>
      <c r="BM194" s="143"/>
      <c r="BN194" s="143"/>
      <c r="BO194" s="143"/>
      <c r="BP194" s="143"/>
      <c r="BQ194" s="143"/>
      <c r="BR194" s="143"/>
      <c r="BS194" s="143"/>
      <c r="BT194" s="143"/>
      <c r="BU194" s="143"/>
      <c r="BV194" s="143"/>
      <c r="BW194" s="143"/>
      <c r="BX194" s="143"/>
      <c r="BY194" s="143"/>
      <c r="BZ194" s="143"/>
      <c r="CA194" s="143"/>
      <c r="CB194" s="143"/>
      <c r="CC194" s="143"/>
      <c r="CD194" s="143"/>
      <c r="CE194" s="143"/>
      <c r="CF194" s="143"/>
      <c r="CG194" s="145"/>
      <c r="CH194" s="143"/>
      <c r="CI194" s="143"/>
      <c r="CJ194" s="143"/>
      <c r="CK194" s="143"/>
      <c r="CL194" s="143"/>
      <c r="CM194" s="143"/>
      <c r="CN194" s="170"/>
      <c r="CO194" s="143"/>
      <c r="CP194" s="143"/>
      <c r="CQ194" s="143"/>
      <c r="CR194" s="143"/>
      <c r="CS194" s="143"/>
      <c r="CT194" s="143"/>
      <c r="CU194" s="143"/>
      <c r="CV194" s="143"/>
      <c r="CW194" s="143"/>
      <c r="CX194" s="143"/>
      <c r="CY194" s="143"/>
      <c r="CZ194" s="143"/>
      <c r="DA194" s="143"/>
      <c r="DB194" s="143"/>
    </row>
    <row r="195" spans="1:106">
      <c r="A195" s="143"/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  <c r="AU195" s="143"/>
      <c r="AV195" s="143"/>
      <c r="AW195" s="143"/>
      <c r="AX195" s="163"/>
      <c r="AY195" s="143"/>
      <c r="AZ195" s="143"/>
      <c r="BA195" s="143"/>
      <c r="BB195" s="143"/>
      <c r="BC195" s="143"/>
      <c r="BD195" s="2741">
        <f t="shared" si="18"/>
        <v>11</v>
      </c>
      <c r="BE195" s="235" t="str">
        <f t="shared" si="17"/>
        <v>September</v>
      </c>
      <c r="BF195" s="1571"/>
      <c r="BG195" s="182"/>
      <c r="BH195" s="236"/>
      <c r="BI195" s="182"/>
      <c r="BJ195" s="182">
        <v>3412415</v>
      </c>
      <c r="BK195" s="1571"/>
      <c r="BL195" s="143"/>
      <c r="BM195" s="143"/>
      <c r="BN195" s="143"/>
      <c r="BO195" s="143"/>
      <c r="BP195" s="143"/>
      <c r="BQ195" s="143"/>
      <c r="BR195" s="143"/>
      <c r="BS195" s="143"/>
      <c r="BT195" s="143"/>
      <c r="BU195" s="143"/>
      <c r="BV195" s="143"/>
      <c r="BW195" s="143"/>
      <c r="BX195" s="143"/>
      <c r="BY195" s="143"/>
      <c r="BZ195" s="143"/>
      <c r="CA195" s="143"/>
      <c r="CB195" s="143"/>
      <c r="CC195" s="143"/>
      <c r="CD195" s="143"/>
      <c r="CE195" s="143"/>
      <c r="CF195" s="143"/>
      <c r="CG195" s="145"/>
      <c r="CH195" s="143"/>
      <c r="CI195" s="143"/>
      <c r="CJ195" s="143"/>
      <c r="CK195" s="143"/>
      <c r="CL195" s="143"/>
      <c r="CM195" s="143"/>
      <c r="CN195" s="170"/>
      <c r="CO195" s="143"/>
      <c r="CP195" s="143"/>
      <c r="CQ195" s="143"/>
      <c r="CR195" s="143"/>
      <c r="CS195" s="143"/>
      <c r="CT195" s="143"/>
      <c r="CU195" s="143"/>
      <c r="CV195" s="143"/>
      <c r="CW195" s="143"/>
      <c r="CX195" s="143"/>
      <c r="CY195" s="143"/>
      <c r="CZ195" s="143"/>
      <c r="DA195" s="143"/>
      <c r="DB195" s="143"/>
    </row>
    <row r="196" spans="1:106">
      <c r="A196" s="143"/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  <c r="AU196" s="143"/>
      <c r="AV196" s="143"/>
      <c r="AW196" s="143"/>
      <c r="AX196" s="163"/>
      <c r="AY196" s="143"/>
      <c r="AZ196" s="143"/>
      <c r="BA196" s="143"/>
      <c r="BB196" s="143"/>
      <c r="BC196" s="143"/>
      <c r="BD196" s="2741">
        <f t="shared" si="18"/>
        <v>12</v>
      </c>
      <c r="BE196" s="235" t="str">
        <f t="shared" si="17"/>
        <v>October</v>
      </c>
      <c r="BF196" s="1571"/>
      <c r="BG196" s="182"/>
      <c r="BH196" s="236"/>
      <c r="BI196" s="182"/>
      <c r="BJ196" s="182">
        <v>3412415</v>
      </c>
      <c r="BK196" s="1571"/>
      <c r="BL196" s="143"/>
      <c r="BM196" s="143"/>
      <c r="BN196" s="143"/>
      <c r="BO196" s="143"/>
      <c r="BP196" s="143"/>
      <c r="BQ196" s="143"/>
      <c r="BR196" s="143"/>
      <c r="BS196" s="143"/>
      <c r="BT196" s="143"/>
      <c r="BU196" s="143"/>
      <c r="BV196" s="143"/>
      <c r="BW196" s="143"/>
      <c r="BX196" s="143"/>
      <c r="BY196" s="143"/>
      <c r="BZ196" s="143"/>
      <c r="CA196" s="143"/>
      <c r="CB196" s="143"/>
      <c r="CC196" s="143"/>
      <c r="CD196" s="143"/>
      <c r="CE196" s="143"/>
      <c r="CF196" s="143"/>
      <c r="CG196" s="145"/>
      <c r="CH196" s="143"/>
      <c r="CI196" s="143"/>
      <c r="CJ196" s="143"/>
      <c r="CK196" s="143"/>
      <c r="CL196" s="143"/>
      <c r="CM196" s="143"/>
      <c r="CN196" s="170"/>
      <c r="CO196" s="143"/>
      <c r="CP196" s="143"/>
      <c r="CQ196" s="143"/>
      <c r="CR196" s="143"/>
      <c r="CS196" s="143"/>
      <c r="CT196" s="143"/>
      <c r="CU196" s="143"/>
      <c r="CV196" s="143"/>
      <c r="CW196" s="143"/>
      <c r="CX196" s="143"/>
      <c r="CY196" s="143"/>
      <c r="CZ196" s="143"/>
      <c r="DA196" s="143"/>
      <c r="DB196" s="143"/>
    </row>
    <row r="197" spans="1:106">
      <c r="A197" s="143"/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163"/>
      <c r="AY197" s="143"/>
      <c r="AZ197" s="143"/>
      <c r="BA197" s="143"/>
      <c r="BB197" s="143"/>
      <c r="BC197" s="143"/>
      <c r="BD197" s="2741">
        <f t="shared" si="18"/>
        <v>13</v>
      </c>
      <c r="BE197" s="235" t="str">
        <f t="shared" si="17"/>
        <v>November</v>
      </c>
      <c r="BF197" s="1571"/>
      <c r="BG197" s="182"/>
      <c r="BH197" s="236"/>
      <c r="BI197" s="182"/>
      <c r="BJ197" s="182">
        <v>3412415</v>
      </c>
      <c r="BK197" s="1571"/>
      <c r="BL197" s="143"/>
      <c r="BM197" s="143"/>
      <c r="BN197" s="143"/>
      <c r="BO197" s="143"/>
      <c r="BP197" s="143"/>
      <c r="BQ197" s="143"/>
      <c r="BR197" s="143"/>
      <c r="BS197" s="143"/>
      <c r="BT197" s="143"/>
      <c r="BU197" s="143"/>
      <c r="BV197" s="143"/>
      <c r="BW197" s="143"/>
      <c r="BX197" s="143"/>
      <c r="BY197" s="143"/>
      <c r="BZ197" s="143"/>
      <c r="CA197" s="143"/>
      <c r="CB197" s="143"/>
      <c r="CC197" s="143"/>
      <c r="CD197" s="143"/>
      <c r="CE197" s="143"/>
      <c r="CF197" s="143"/>
      <c r="CG197" s="145"/>
      <c r="CH197" s="143"/>
      <c r="CI197" s="143"/>
      <c r="CJ197" s="143"/>
      <c r="CK197" s="143"/>
      <c r="CL197" s="143"/>
      <c r="CM197" s="143"/>
      <c r="CN197" s="170"/>
      <c r="CO197" s="143"/>
      <c r="CP197" s="143"/>
      <c r="CQ197" s="143"/>
      <c r="CR197" s="143"/>
      <c r="CS197" s="143"/>
      <c r="CT197" s="143"/>
      <c r="CU197" s="143"/>
      <c r="CV197" s="143"/>
      <c r="CW197" s="143"/>
      <c r="CX197" s="143"/>
      <c r="CY197" s="143"/>
      <c r="CZ197" s="143"/>
      <c r="DA197" s="143"/>
      <c r="DB197" s="143"/>
    </row>
    <row r="198" spans="1:106">
      <c r="A198" s="143"/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63"/>
      <c r="AY198" s="143"/>
      <c r="AZ198" s="143"/>
      <c r="BA198" s="143"/>
      <c r="BB198" s="143"/>
      <c r="BC198" s="143"/>
      <c r="BD198" s="2741">
        <f t="shared" si="18"/>
        <v>14</v>
      </c>
      <c r="BE198" s="235"/>
      <c r="BF198" s="1571"/>
      <c r="BG198" s="182"/>
      <c r="BH198" s="236"/>
      <c r="BI198" s="182"/>
      <c r="BJ198" s="182"/>
      <c r="BK198" s="1571"/>
      <c r="BL198" s="143"/>
      <c r="BM198" s="143"/>
      <c r="BN198" s="143"/>
      <c r="BO198" s="143"/>
      <c r="BP198" s="143"/>
      <c r="BQ198" s="143"/>
      <c r="BR198" s="143"/>
      <c r="BS198" s="143"/>
      <c r="BT198" s="143"/>
      <c r="BU198" s="143"/>
      <c r="BV198" s="143"/>
      <c r="BW198" s="143"/>
      <c r="BX198" s="143"/>
      <c r="BY198" s="143"/>
      <c r="BZ198" s="143"/>
      <c r="CA198" s="143"/>
      <c r="CB198" s="143"/>
      <c r="CC198" s="143"/>
      <c r="CD198" s="143"/>
      <c r="CE198" s="143"/>
      <c r="CF198" s="143"/>
      <c r="CG198" s="145"/>
      <c r="CH198" s="143"/>
      <c r="CI198" s="143"/>
      <c r="CJ198" s="143"/>
      <c r="CK198" s="143"/>
      <c r="CL198" s="143"/>
      <c r="CM198" s="143"/>
      <c r="CN198" s="170"/>
      <c r="CO198" s="143"/>
      <c r="CP198" s="143"/>
      <c r="CQ198" s="143"/>
      <c r="CR198" s="143"/>
      <c r="CS198" s="143"/>
      <c r="CT198" s="143"/>
      <c r="CU198" s="143"/>
      <c r="CV198" s="143"/>
      <c r="CW198" s="143"/>
      <c r="CX198" s="143"/>
      <c r="CY198" s="143"/>
      <c r="CZ198" s="143"/>
      <c r="DA198" s="143"/>
      <c r="DB198" s="143"/>
    </row>
    <row r="199" spans="1:106">
      <c r="A199" s="143"/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63"/>
      <c r="AY199" s="143"/>
      <c r="AZ199" s="143"/>
      <c r="BA199" s="143"/>
      <c r="BB199" s="143"/>
      <c r="BC199" s="143"/>
      <c r="BD199" s="2741">
        <f t="shared" si="18"/>
        <v>15</v>
      </c>
      <c r="BE199" s="233" t="s">
        <v>207</v>
      </c>
      <c r="BF199" s="1571"/>
      <c r="BG199" s="1571"/>
      <c r="BH199" s="234"/>
      <c r="BI199" s="1571"/>
      <c r="BJ199" s="1571"/>
      <c r="BK199" s="1571"/>
      <c r="BL199" s="143"/>
      <c r="BM199" s="143"/>
      <c r="BN199" s="143"/>
      <c r="BO199" s="143"/>
      <c r="BP199" s="143"/>
      <c r="BQ199" s="143"/>
      <c r="BR199" s="143"/>
      <c r="BS199" s="143"/>
      <c r="BT199" s="143"/>
      <c r="BU199" s="143"/>
      <c r="BV199" s="143"/>
      <c r="BW199" s="143"/>
      <c r="BX199" s="143"/>
      <c r="BY199" s="143"/>
      <c r="BZ199" s="143"/>
      <c r="CA199" s="143"/>
      <c r="CB199" s="143"/>
      <c r="CC199" s="143"/>
      <c r="CD199" s="143"/>
      <c r="CE199" s="143"/>
      <c r="CF199" s="143"/>
      <c r="CG199" s="145"/>
      <c r="CH199" s="143"/>
      <c r="CI199" s="143"/>
      <c r="CJ199" s="143"/>
      <c r="CK199" s="143"/>
      <c r="CL199" s="143"/>
      <c r="CM199" s="143"/>
      <c r="CN199" s="170"/>
      <c r="CO199" s="143"/>
      <c r="CP199" s="143"/>
      <c r="CQ199" s="143"/>
      <c r="CR199" s="143"/>
      <c r="CS199" s="143"/>
      <c r="CT199" s="143"/>
      <c r="CU199" s="143"/>
      <c r="CV199" s="143"/>
      <c r="CW199" s="143"/>
      <c r="CX199" s="143"/>
      <c r="CY199" s="143"/>
      <c r="CZ199" s="143"/>
      <c r="DA199" s="143"/>
      <c r="DB199" s="143"/>
    </row>
    <row r="200" spans="1:106">
      <c r="A200" s="143"/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  <c r="AU200" s="143"/>
      <c r="AV200" s="143"/>
      <c r="AW200" s="143"/>
      <c r="AX200" s="163"/>
      <c r="AY200" s="143"/>
      <c r="AZ200" s="143"/>
      <c r="BA200" s="143"/>
      <c r="BB200" s="143"/>
      <c r="BC200" s="143"/>
      <c r="BD200" s="2741">
        <f t="shared" si="18"/>
        <v>16</v>
      </c>
      <c r="BE200" s="237" t="str">
        <f t="shared" ref="BE200:BE212" si="19">K64</f>
        <v>March 2018</v>
      </c>
      <c r="BF200" s="1571"/>
      <c r="BG200" s="182"/>
      <c r="BH200" s="236"/>
      <c r="BI200" s="182"/>
      <c r="BJ200" s="182">
        <v>3412415</v>
      </c>
      <c r="BK200" s="1571"/>
      <c r="BL200" s="143"/>
      <c r="BM200" s="143"/>
      <c r="BN200" s="143"/>
      <c r="BO200" s="143"/>
      <c r="BP200" s="143"/>
      <c r="BQ200" s="143"/>
      <c r="BR200" s="143"/>
      <c r="BS200" s="143"/>
      <c r="BT200" s="143"/>
      <c r="BU200" s="143"/>
      <c r="BV200" s="143"/>
      <c r="BW200" s="143"/>
      <c r="BX200" s="143"/>
      <c r="BY200" s="143"/>
      <c r="BZ200" s="143"/>
      <c r="CA200" s="143"/>
      <c r="CB200" s="143"/>
      <c r="CC200" s="143"/>
      <c r="CD200" s="143"/>
      <c r="CE200" s="143"/>
      <c r="CF200" s="143"/>
      <c r="CG200" s="145"/>
      <c r="CH200" s="143"/>
      <c r="CI200" s="143"/>
      <c r="CJ200" s="143"/>
      <c r="CK200" s="143"/>
      <c r="CL200" s="143"/>
      <c r="CM200" s="143"/>
      <c r="CN200" s="170"/>
      <c r="CO200" s="143"/>
      <c r="CP200" s="143"/>
      <c r="CQ200" s="143"/>
      <c r="CR200" s="143"/>
      <c r="CS200" s="143"/>
      <c r="CT200" s="143"/>
      <c r="CU200" s="143"/>
      <c r="CV200" s="143"/>
      <c r="CW200" s="143"/>
      <c r="CX200" s="143"/>
      <c r="CY200" s="143"/>
      <c r="CZ200" s="143"/>
      <c r="DA200" s="143"/>
      <c r="DB200" s="143"/>
    </row>
    <row r="201" spans="1:106">
      <c r="A201" s="143"/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  <c r="AU201" s="143"/>
      <c r="AV201" s="143"/>
      <c r="AW201" s="143"/>
      <c r="AX201" s="163"/>
      <c r="AY201" s="143"/>
      <c r="AZ201" s="143"/>
      <c r="BA201" s="143"/>
      <c r="BB201" s="143"/>
      <c r="BC201" s="143"/>
      <c r="BD201" s="2741">
        <f t="shared" si="18"/>
        <v>17</v>
      </c>
      <c r="BE201" s="237" t="str">
        <f t="shared" si="19"/>
        <v>April</v>
      </c>
      <c r="BF201" s="1571"/>
      <c r="BG201" s="182"/>
      <c r="BH201" s="236"/>
      <c r="BI201" s="182"/>
      <c r="BJ201" s="182">
        <v>3412415</v>
      </c>
      <c r="BK201" s="1571"/>
      <c r="BL201" s="143"/>
      <c r="BM201" s="143"/>
      <c r="BN201" s="143"/>
      <c r="BO201" s="143"/>
      <c r="BP201" s="143"/>
      <c r="BQ201" s="143"/>
      <c r="BR201" s="143"/>
      <c r="BS201" s="143"/>
      <c r="BT201" s="143"/>
      <c r="BU201" s="143"/>
      <c r="BV201" s="143"/>
      <c r="BW201" s="143"/>
      <c r="BX201" s="143"/>
      <c r="BY201" s="143"/>
      <c r="BZ201" s="143"/>
      <c r="CA201" s="143"/>
      <c r="CB201" s="143"/>
      <c r="CC201" s="143"/>
      <c r="CD201" s="143"/>
      <c r="CE201" s="143"/>
      <c r="CF201" s="143"/>
      <c r="CG201" s="145"/>
      <c r="CH201" s="143"/>
      <c r="CI201" s="143"/>
      <c r="CJ201" s="143"/>
      <c r="CK201" s="143"/>
      <c r="CL201" s="143"/>
      <c r="CM201" s="143"/>
      <c r="CN201" s="170"/>
      <c r="CO201" s="143"/>
      <c r="CP201" s="143"/>
      <c r="CQ201" s="143"/>
      <c r="CR201" s="143"/>
      <c r="CS201" s="143"/>
      <c r="CT201" s="143"/>
      <c r="CU201" s="143"/>
      <c r="CV201" s="143"/>
      <c r="CW201" s="143"/>
      <c r="CX201" s="143"/>
      <c r="CY201" s="143"/>
      <c r="CZ201" s="143"/>
      <c r="DA201" s="143"/>
      <c r="DB201" s="143"/>
    </row>
    <row r="202" spans="1:106">
      <c r="A202" s="143"/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  <c r="AU202" s="143"/>
      <c r="AV202" s="143"/>
      <c r="AW202" s="143"/>
      <c r="AX202" s="163"/>
      <c r="AY202" s="143"/>
      <c r="AZ202" s="143"/>
      <c r="BA202" s="143"/>
      <c r="BB202" s="143"/>
      <c r="BC202" s="143"/>
      <c r="BD202" s="2741">
        <f t="shared" si="18"/>
        <v>18</v>
      </c>
      <c r="BE202" s="237" t="str">
        <f t="shared" si="19"/>
        <v>May</v>
      </c>
      <c r="BF202" s="1571"/>
      <c r="BG202" s="182"/>
      <c r="BH202" s="236"/>
      <c r="BI202" s="182"/>
      <c r="BJ202" s="182">
        <v>3412415</v>
      </c>
      <c r="BK202" s="1571"/>
      <c r="BL202" s="143"/>
      <c r="BM202" s="143"/>
      <c r="BN202" s="143"/>
      <c r="BO202" s="143"/>
      <c r="BP202" s="143"/>
      <c r="BQ202" s="143"/>
      <c r="BR202" s="143"/>
      <c r="BS202" s="143"/>
      <c r="BT202" s="143"/>
      <c r="BU202" s="143"/>
      <c r="BV202" s="143"/>
      <c r="BW202" s="143"/>
      <c r="BX202" s="143"/>
      <c r="BY202" s="143"/>
      <c r="BZ202" s="143"/>
      <c r="CA202" s="143"/>
      <c r="CB202" s="143"/>
      <c r="CC202" s="143"/>
      <c r="CD202" s="143"/>
      <c r="CE202" s="143"/>
      <c r="CF202" s="143"/>
      <c r="CG202" s="145"/>
      <c r="CH202" s="143"/>
      <c r="CI202" s="143"/>
      <c r="CJ202" s="143"/>
      <c r="CK202" s="143"/>
      <c r="CL202" s="143"/>
      <c r="CM202" s="143"/>
      <c r="CN202" s="170"/>
      <c r="CO202" s="143"/>
      <c r="CP202" s="143"/>
      <c r="CQ202" s="143"/>
      <c r="CR202" s="143"/>
      <c r="CS202" s="143"/>
      <c r="CT202" s="143"/>
      <c r="CU202" s="143"/>
      <c r="CV202" s="143"/>
      <c r="CW202" s="143"/>
      <c r="CX202" s="143"/>
      <c r="CY202" s="143"/>
      <c r="CZ202" s="143"/>
      <c r="DA202" s="143"/>
      <c r="DB202" s="143"/>
    </row>
    <row r="203" spans="1:106">
      <c r="A203" s="143"/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  <c r="AU203" s="143"/>
      <c r="AV203" s="143"/>
      <c r="AW203" s="143"/>
      <c r="AX203" s="163"/>
      <c r="AY203" s="143"/>
      <c r="AZ203" s="143"/>
      <c r="BA203" s="143"/>
      <c r="BB203" s="143"/>
      <c r="BC203" s="143"/>
      <c r="BD203" s="2741">
        <f t="shared" si="18"/>
        <v>19</v>
      </c>
      <c r="BE203" s="237" t="str">
        <f t="shared" si="19"/>
        <v>June</v>
      </c>
      <c r="BF203" s="1571"/>
      <c r="BG203" s="182"/>
      <c r="BH203" s="236"/>
      <c r="BI203" s="182"/>
      <c r="BJ203" s="182">
        <v>3412415</v>
      </c>
      <c r="BK203" s="1571"/>
      <c r="BL203" s="143"/>
      <c r="BM203" s="143"/>
      <c r="BN203" s="143"/>
      <c r="BO203" s="143"/>
      <c r="BP203" s="143"/>
      <c r="BQ203" s="143"/>
      <c r="BR203" s="143"/>
      <c r="BS203" s="143"/>
      <c r="BT203" s="143"/>
      <c r="BU203" s="143"/>
      <c r="BV203" s="143"/>
      <c r="BW203" s="143"/>
      <c r="BX203" s="143"/>
      <c r="BY203" s="143"/>
      <c r="BZ203" s="143"/>
      <c r="CA203" s="143"/>
      <c r="CB203" s="143"/>
      <c r="CC203" s="143"/>
      <c r="CD203" s="143"/>
      <c r="CE203" s="143"/>
      <c r="CF203" s="143"/>
      <c r="CG203" s="145"/>
      <c r="CH203" s="143"/>
      <c r="CI203" s="143"/>
      <c r="CJ203" s="143"/>
      <c r="CK203" s="143"/>
      <c r="CL203" s="143"/>
      <c r="CM203" s="143"/>
      <c r="CN203" s="170"/>
      <c r="CO203" s="143"/>
      <c r="CP203" s="143"/>
      <c r="CQ203" s="143"/>
      <c r="CR203" s="143"/>
      <c r="CS203" s="143"/>
      <c r="CT203" s="143"/>
      <c r="CU203" s="143"/>
      <c r="CV203" s="143"/>
      <c r="CW203" s="143"/>
      <c r="CX203" s="143"/>
      <c r="CY203" s="143"/>
      <c r="CZ203" s="143"/>
      <c r="DA203" s="143"/>
      <c r="DB203" s="143"/>
    </row>
    <row r="204" spans="1:106">
      <c r="A204" s="143"/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  <c r="AU204" s="143"/>
      <c r="AV204" s="143"/>
      <c r="AW204" s="143"/>
      <c r="AX204" s="163"/>
      <c r="AY204" s="143"/>
      <c r="AZ204" s="143"/>
      <c r="BA204" s="143"/>
      <c r="BB204" s="143"/>
      <c r="BC204" s="143"/>
      <c r="BD204" s="2741">
        <f t="shared" si="18"/>
        <v>20</v>
      </c>
      <c r="BE204" s="237" t="str">
        <f t="shared" si="19"/>
        <v>July</v>
      </c>
      <c r="BF204" s="1571"/>
      <c r="BG204" s="182"/>
      <c r="BH204" s="236"/>
      <c r="BI204" s="182"/>
      <c r="BJ204" s="182">
        <v>3412415</v>
      </c>
      <c r="BK204" s="1571"/>
      <c r="BL204" s="143"/>
      <c r="BM204" s="143"/>
      <c r="BN204" s="143"/>
      <c r="BO204" s="143"/>
      <c r="BP204" s="143"/>
      <c r="BQ204" s="143"/>
      <c r="BR204" s="143"/>
      <c r="BS204" s="143"/>
      <c r="BT204" s="143"/>
      <c r="BU204" s="143"/>
      <c r="BV204" s="143"/>
      <c r="BW204" s="143"/>
      <c r="BX204" s="143"/>
      <c r="BY204" s="143"/>
      <c r="BZ204" s="143"/>
      <c r="CA204" s="143"/>
      <c r="CB204" s="143"/>
      <c r="CC204" s="143"/>
      <c r="CD204" s="143"/>
      <c r="CE204" s="143"/>
      <c r="CF204" s="143"/>
      <c r="CG204" s="145"/>
      <c r="CH204" s="143"/>
      <c r="CI204" s="143"/>
      <c r="CJ204" s="143"/>
      <c r="CK204" s="143"/>
      <c r="CL204" s="143"/>
      <c r="CM204" s="143"/>
      <c r="CN204" s="170"/>
      <c r="CO204" s="143"/>
      <c r="CP204" s="143"/>
      <c r="CQ204" s="143"/>
      <c r="CR204" s="143"/>
      <c r="CS204" s="143"/>
      <c r="CT204" s="143"/>
      <c r="CU204" s="143"/>
      <c r="CV204" s="143"/>
      <c r="CW204" s="143"/>
      <c r="CX204" s="143"/>
      <c r="CY204" s="143"/>
      <c r="CZ204" s="143"/>
      <c r="DA204" s="143"/>
      <c r="DB204" s="143"/>
    </row>
    <row r="205" spans="1:106">
      <c r="A205" s="143"/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  <c r="AU205" s="143"/>
      <c r="AV205" s="143"/>
      <c r="AW205" s="143"/>
      <c r="AX205" s="163"/>
      <c r="AY205" s="143"/>
      <c r="AZ205" s="143"/>
      <c r="BA205" s="143"/>
      <c r="BB205" s="143"/>
      <c r="BC205" s="143"/>
      <c r="BD205" s="2741">
        <f t="shared" si="18"/>
        <v>21</v>
      </c>
      <c r="BE205" s="237" t="str">
        <f t="shared" si="19"/>
        <v>August</v>
      </c>
      <c r="BF205" s="1571"/>
      <c r="BG205" s="182"/>
      <c r="BH205" s="236"/>
      <c r="BI205" s="182"/>
      <c r="BJ205" s="182">
        <v>3412415</v>
      </c>
      <c r="BK205" s="1571"/>
      <c r="BL205" s="143"/>
      <c r="BM205" s="143"/>
      <c r="BN205" s="143"/>
      <c r="BO205" s="143"/>
      <c r="BP205" s="143"/>
      <c r="BQ205" s="143"/>
      <c r="BR205" s="143"/>
      <c r="BS205" s="143"/>
      <c r="BT205" s="143"/>
      <c r="BU205" s="143"/>
      <c r="BV205" s="143"/>
      <c r="BW205" s="143"/>
      <c r="BX205" s="143"/>
      <c r="BY205" s="143"/>
      <c r="BZ205" s="143"/>
      <c r="CA205" s="143"/>
      <c r="CB205" s="143"/>
      <c r="CC205" s="143"/>
      <c r="CD205" s="143"/>
      <c r="CE205" s="143"/>
      <c r="CF205" s="143"/>
      <c r="CG205" s="145"/>
      <c r="CH205" s="143"/>
      <c r="CI205" s="143"/>
      <c r="CJ205" s="143"/>
      <c r="CK205" s="143"/>
      <c r="CL205" s="143"/>
      <c r="CM205" s="143"/>
      <c r="CN205" s="170"/>
      <c r="CO205" s="143"/>
      <c r="CP205" s="143"/>
      <c r="CQ205" s="143"/>
      <c r="CR205" s="143"/>
      <c r="CS205" s="143"/>
      <c r="CT205" s="143"/>
      <c r="CU205" s="143"/>
      <c r="CV205" s="143"/>
      <c r="CW205" s="143"/>
      <c r="CX205" s="143"/>
      <c r="CY205" s="143"/>
      <c r="CZ205" s="143"/>
      <c r="DA205" s="143"/>
      <c r="DB205" s="143"/>
    </row>
    <row r="206" spans="1:106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  <c r="AU206" s="143"/>
      <c r="AV206" s="143"/>
      <c r="AW206" s="143"/>
      <c r="AX206" s="163"/>
      <c r="AY206" s="143"/>
      <c r="AZ206" s="143"/>
      <c r="BA206" s="143"/>
      <c r="BB206" s="143"/>
      <c r="BC206" s="143"/>
      <c r="BD206" s="2741">
        <f t="shared" si="18"/>
        <v>22</v>
      </c>
      <c r="BE206" s="237" t="str">
        <f t="shared" si="19"/>
        <v>September</v>
      </c>
      <c r="BF206" s="1571"/>
      <c r="BG206" s="182"/>
      <c r="BH206" s="236"/>
      <c r="BI206" s="182"/>
      <c r="BJ206" s="182">
        <v>3412415</v>
      </c>
      <c r="BK206" s="1571"/>
      <c r="BL206" s="143"/>
      <c r="BM206" s="143"/>
      <c r="BN206" s="143"/>
      <c r="BO206" s="143"/>
      <c r="BP206" s="143"/>
      <c r="BQ206" s="143"/>
      <c r="BR206" s="143"/>
      <c r="BS206" s="143"/>
      <c r="BT206" s="143"/>
      <c r="BU206" s="143"/>
      <c r="BV206" s="143"/>
      <c r="BW206" s="143"/>
      <c r="BX206" s="143"/>
      <c r="BY206" s="143"/>
      <c r="BZ206" s="143"/>
      <c r="CA206" s="143"/>
      <c r="CB206" s="143"/>
      <c r="CC206" s="143"/>
      <c r="CD206" s="143"/>
      <c r="CE206" s="143"/>
      <c r="CF206" s="143"/>
      <c r="CG206" s="145"/>
      <c r="CH206" s="143"/>
      <c r="CI206" s="143"/>
      <c r="CJ206" s="143"/>
      <c r="CK206" s="143"/>
      <c r="CL206" s="143"/>
      <c r="CM206" s="143"/>
      <c r="CN206" s="170"/>
      <c r="CO206" s="143"/>
      <c r="CP206" s="143"/>
      <c r="CQ206" s="143"/>
      <c r="CR206" s="143"/>
      <c r="CS206" s="143"/>
      <c r="CT206" s="143"/>
      <c r="CU206" s="143"/>
      <c r="CV206" s="143"/>
      <c r="CW206" s="143"/>
      <c r="CX206" s="143"/>
      <c r="CY206" s="143"/>
      <c r="CZ206" s="143"/>
      <c r="DA206" s="143"/>
      <c r="DB206" s="143"/>
    </row>
    <row r="207" spans="1:106">
      <c r="A207" s="143"/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  <c r="AU207" s="143"/>
      <c r="AV207" s="143"/>
      <c r="AW207" s="143"/>
      <c r="AX207" s="163"/>
      <c r="AY207" s="143"/>
      <c r="AZ207" s="143"/>
      <c r="BA207" s="143"/>
      <c r="BB207" s="143"/>
      <c r="BC207" s="143"/>
      <c r="BD207" s="2741">
        <f t="shared" si="18"/>
        <v>23</v>
      </c>
      <c r="BE207" s="237" t="str">
        <f t="shared" si="19"/>
        <v>October</v>
      </c>
      <c r="BF207" s="1571"/>
      <c r="BG207" s="182"/>
      <c r="BH207" s="236"/>
      <c r="BI207" s="182"/>
      <c r="BJ207" s="182">
        <v>3412415</v>
      </c>
      <c r="BK207" s="1571"/>
      <c r="BL207" s="143"/>
      <c r="BM207" s="143"/>
      <c r="BN207" s="143"/>
      <c r="BO207" s="143"/>
      <c r="BP207" s="143"/>
      <c r="BQ207" s="143"/>
      <c r="BR207" s="143"/>
      <c r="BS207" s="143"/>
      <c r="BT207" s="143"/>
      <c r="BU207" s="143"/>
      <c r="BV207" s="143"/>
      <c r="BW207" s="143"/>
      <c r="BX207" s="143"/>
      <c r="BY207" s="143"/>
      <c r="BZ207" s="143"/>
      <c r="CA207" s="143"/>
      <c r="CB207" s="143"/>
      <c r="CC207" s="143"/>
      <c r="CD207" s="143"/>
      <c r="CE207" s="143"/>
      <c r="CF207" s="143"/>
      <c r="CG207" s="145"/>
      <c r="CH207" s="143"/>
      <c r="CI207" s="143"/>
      <c r="CJ207" s="143"/>
      <c r="CK207" s="143"/>
      <c r="CL207" s="143"/>
      <c r="CM207" s="143"/>
      <c r="CN207" s="170"/>
      <c r="CO207" s="143"/>
      <c r="CP207" s="143"/>
      <c r="CQ207" s="143"/>
      <c r="CR207" s="143"/>
      <c r="CS207" s="143"/>
      <c r="CT207" s="143"/>
      <c r="CU207" s="143"/>
      <c r="CV207" s="143"/>
      <c r="CW207" s="143"/>
      <c r="CX207" s="143"/>
      <c r="CY207" s="143"/>
      <c r="CZ207" s="143"/>
      <c r="DA207" s="143"/>
      <c r="DB207" s="143"/>
    </row>
    <row r="208" spans="1:106">
      <c r="A208" s="143"/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  <c r="AU208" s="143"/>
      <c r="AV208" s="143"/>
      <c r="AW208" s="143"/>
      <c r="AX208" s="163"/>
      <c r="AY208" s="143"/>
      <c r="AZ208" s="143"/>
      <c r="BA208" s="143"/>
      <c r="BB208" s="143"/>
      <c r="BC208" s="143"/>
      <c r="BD208" s="2741">
        <f t="shared" si="18"/>
        <v>24</v>
      </c>
      <c r="BE208" s="237" t="str">
        <f t="shared" si="19"/>
        <v>November</v>
      </c>
      <c r="BF208" s="1571"/>
      <c r="BG208" s="182"/>
      <c r="BH208" s="236"/>
      <c r="BI208" s="182"/>
      <c r="BJ208" s="182">
        <v>3412415</v>
      </c>
      <c r="BK208" s="1571"/>
      <c r="BL208" s="143"/>
      <c r="BM208" s="143"/>
      <c r="BN208" s="143"/>
      <c r="BO208" s="143"/>
      <c r="BP208" s="143"/>
      <c r="BQ208" s="143"/>
      <c r="BR208" s="143"/>
      <c r="BS208" s="143"/>
      <c r="BT208" s="143"/>
      <c r="BU208" s="143"/>
      <c r="BV208" s="143"/>
      <c r="BW208" s="143"/>
      <c r="BX208" s="143"/>
      <c r="BY208" s="143"/>
      <c r="BZ208" s="143"/>
      <c r="CA208" s="143"/>
      <c r="CB208" s="143"/>
      <c r="CC208" s="143"/>
      <c r="CD208" s="143"/>
      <c r="CE208" s="143"/>
      <c r="CF208" s="143"/>
      <c r="CG208" s="145"/>
      <c r="CH208" s="143"/>
      <c r="CI208" s="143"/>
      <c r="CJ208" s="143"/>
      <c r="CK208" s="143"/>
      <c r="CL208" s="143"/>
      <c r="CM208" s="143"/>
      <c r="CN208" s="170"/>
      <c r="CO208" s="143"/>
      <c r="CP208" s="143"/>
      <c r="CQ208" s="143"/>
      <c r="CR208" s="143"/>
      <c r="CS208" s="143"/>
      <c r="CT208" s="143"/>
      <c r="CU208" s="143"/>
      <c r="CV208" s="143"/>
      <c r="CW208" s="143"/>
      <c r="CX208" s="143"/>
      <c r="CY208" s="143"/>
      <c r="CZ208" s="143"/>
      <c r="DA208" s="143"/>
      <c r="DB208" s="143"/>
    </row>
    <row r="209" spans="1:106">
      <c r="A209" s="143"/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  <c r="AU209" s="143"/>
      <c r="AV209" s="143"/>
      <c r="AW209" s="143"/>
      <c r="AX209" s="163"/>
      <c r="AY209" s="143"/>
      <c r="AZ209" s="143"/>
      <c r="BA209" s="143"/>
      <c r="BB209" s="143"/>
      <c r="BC209" s="143"/>
      <c r="BD209" s="2741">
        <f t="shared" si="18"/>
        <v>25</v>
      </c>
      <c r="BE209" s="237" t="str">
        <f t="shared" si="19"/>
        <v>December</v>
      </c>
      <c r="BF209" s="1571"/>
      <c r="BG209" s="182"/>
      <c r="BH209" s="236"/>
      <c r="BI209" s="182"/>
      <c r="BJ209" s="182">
        <v>3412415</v>
      </c>
      <c r="BK209" s="1571"/>
      <c r="BL209" s="143"/>
      <c r="BM209" s="143"/>
      <c r="BN209" s="143"/>
      <c r="BO209" s="143"/>
      <c r="BP209" s="143"/>
      <c r="BQ209" s="143"/>
      <c r="BR209" s="143"/>
      <c r="BS209" s="143"/>
      <c r="BT209" s="143"/>
      <c r="BU209" s="143"/>
      <c r="BV209" s="143"/>
      <c r="BW209" s="143"/>
      <c r="BX209" s="143"/>
      <c r="BY209" s="143"/>
      <c r="BZ209" s="143"/>
      <c r="CA209" s="143"/>
      <c r="CB209" s="143"/>
      <c r="CC209" s="143"/>
      <c r="CD209" s="143"/>
      <c r="CE209" s="143"/>
      <c r="CF209" s="143"/>
      <c r="CG209" s="145"/>
      <c r="CH209" s="143"/>
      <c r="CI209" s="143"/>
      <c r="CJ209" s="143"/>
      <c r="CK209" s="143"/>
      <c r="CL209" s="143"/>
      <c r="CM209" s="143"/>
      <c r="CN209" s="170"/>
      <c r="CO209" s="143"/>
      <c r="CP209" s="143"/>
      <c r="CQ209" s="143"/>
      <c r="CR209" s="143"/>
      <c r="CS209" s="143"/>
      <c r="CT209" s="143"/>
      <c r="CU209" s="143"/>
      <c r="CV209" s="143"/>
      <c r="CW209" s="143"/>
      <c r="CX209" s="143"/>
      <c r="CY209" s="143"/>
      <c r="CZ209" s="143"/>
      <c r="DA209" s="143"/>
      <c r="DB209" s="143"/>
    </row>
    <row r="210" spans="1:106">
      <c r="A210" s="143"/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  <c r="AU210" s="143"/>
      <c r="AV210" s="143"/>
      <c r="AW210" s="143"/>
      <c r="AX210" s="163"/>
      <c r="AY210" s="143"/>
      <c r="AZ210" s="143"/>
      <c r="BA210" s="143"/>
      <c r="BB210" s="143"/>
      <c r="BC210" s="143"/>
      <c r="BD210" s="2741">
        <f t="shared" si="18"/>
        <v>26</v>
      </c>
      <c r="BE210" s="237" t="str">
        <f t="shared" si="19"/>
        <v>January 2019</v>
      </c>
      <c r="BF210" s="1571"/>
      <c r="BG210" s="182"/>
      <c r="BH210" s="236"/>
      <c r="BI210" s="182"/>
      <c r="BJ210" s="182">
        <v>3412415</v>
      </c>
      <c r="BK210" s="1571"/>
      <c r="BL210" s="143"/>
      <c r="BM210" s="143"/>
      <c r="BN210" s="143"/>
      <c r="BO210" s="143"/>
      <c r="BP210" s="143"/>
      <c r="BQ210" s="143"/>
      <c r="BR210" s="143"/>
      <c r="BS210" s="143"/>
      <c r="BT210" s="143"/>
      <c r="BU210" s="143"/>
      <c r="BV210" s="143"/>
      <c r="BW210" s="143"/>
      <c r="BX210" s="143"/>
      <c r="BY210" s="143"/>
      <c r="BZ210" s="143"/>
      <c r="CA210" s="143"/>
      <c r="CB210" s="143"/>
      <c r="CC210" s="143"/>
      <c r="CD210" s="143"/>
      <c r="CE210" s="143"/>
      <c r="CF210" s="143"/>
      <c r="CG210" s="145"/>
      <c r="CH210" s="143"/>
      <c r="CI210" s="143"/>
      <c r="CJ210" s="143"/>
      <c r="CK210" s="143"/>
      <c r="CL210" s="143"/>
      <c r="CM210" s="143"/>
      <c r="CN210" s="170"/>
      <c r="CO210" s="143"/>
      <c r="CP210" s="143"/>
      <c r="CQ210" s="143"/>
      <c r="CR210" s="143"/>
      <c r="CS210" s="143"/>
      <c r="CT210" s="143"/>
      <c r="CU210" s="143"/>
      <c r="CV210" s="143"/>
      <c r="CW210" s="143"/>
      <c r="CX210" s="143"/>
      <c r="CY210" s="143"/>
      <c r="CZ210" s="143"/>
      <c r="DA210" s="143"/>
      <c r="DB210" s="143"/>
    </row>
    <row r="211" spans="1:106">
      <c r="A211" s="143"/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63"/>
      <c r="AY211" s="143"/>
      <c r="AZ211" s="143"/>
      <c r="BA211" s="143"/>
      <c r="BB211" s="143"/>
      <c r="BC211" s="143"/>
      <c r="BD211" s="2741">
        <f t="shared" si="18"/>
        <v>27</v>
      </c>
      <c r="BE211" s="237" t="str">
        <f t="shared" si="19"/>
        <v>February</v>
      </c>
      <c r="BF211" s="1571"/>
      <c r="BG211" s="182"/>
      <c r="BH211" s="236"/>
      <c r="BI211" s="182"/>
      <c r="BJ211" s="182">
        <v>3412415</v>
      </c>
      <c r="BK211" s="1571"/>
      <c r="BL211" s="143"/>
      <c r="BM211" s="143"/>
      <c r="BN211" s="143"/>
      <c r="BO211" s="143"/>
      <c r="BP211" s="143"/>
      <c r="BQ211" s="143"/>
      <c r="BR211" s="143"/>
      <c r="BS211" s="143"/>
      <c r="BT211" s="143"/>
      <c r="BU211" s="143"/>
      <c r="BV211" s="143"/>
      <c r="BW211" s="143"/>
      <c r="BX211" s="143"/>
      <c r="BY211" s="143"/>
      <c r="BZ211" s="143"/>
      <c r="CA211" s="143"/>
      <c r="CB211" s="143"/>
      <c r="CC211" s="143"/>
      <c r="CD211" s="143"/>
      <c r="CE211" s="143"/>
      <c r="CF211" s="143"/>
      <c r="CG211" s="145"/>
      <c r="CH211" s="143"/>
      <c r="CI211" s="143"/>
      <c r="CJ211" s="143"/>
      <c r="CK211" s="143"/>
      <c r="CL211" s="143"/>
      <c r="CM211" s="143"/>
      <c r="CN211" s="170"/>
      <c r="CO211" s="143"/>
      <c r="CP211" s="143"/>
      <c r="CQ211" s="143"/>
      <c r="CR211" s="143"/>
      <c r="CS211" s="143"/>
      <c r="CT211" s="143"/>
      <c r="CU211" s="143"/>
      <c r="CV211" s="143"/>
      <c r="CW211" s="143"/>
      <c r="CX211" s="143"/>
      <c r="CY211" s="143"/>
      <c r="CZ211" s="143"/>
      <c r="DA211" s="143"/>
      <c r="DB211" s="143"/>
    </row>
    <row r="212" spans="1:106">
      <c r="A212" s="143"/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  <c r="AU212" s="143"/>
      <c r="AV212" s="143"/>
      <c r="AW212" s="143"/>
      <c r="AX212" s="163"/>
      <c r="AY212" s="143"/>
      <c r="AZ212" s="143"/>
      <c r="BA212" s="143"/>
      <c r="BB212" s="143"/>
      <c r="BC212" s="143"/>
      <c r="BD212" s="2741">
        <f t="shared" si="18"/>
        <v>28</v>
      </c>
      <c r="BE212" s="237" t="str">
        <f t="shared" si="19"/>
        <v>March</v>
      </c>
      <c r="BF212" s="1571"/>
      <c r="BG212" s="182"/>
      <c r="BH212" s="236"/>
      <c r="BI212" s="182"/>
      <c r="BJ212" s="182">
        <v>3412415</v>
      </c>
      <c r="BK212" s="1581"/>
      <c r="BL212" s="143"/>
      <c r="BM212" s="143"/>
      <c r="BN212" s="143"/>
      <c r="BO212" s="143"/>
      <c r="BP212" s="143"/>
      <c r="BQ212" s="143"/>
      <c r="BR212" s="143"/>
      <c r="BS212" s="143"/>
      <c r="BT212" s="143"/>
      <c r="BU212" s="143"/>
      <c r="BV212" s="143"/>
      <c r="BW212" s="143"/>
      <c r="BX212" s="143"/>
      <c r="BY212" s="143"/>
      <c r="BZ212" s="143"/>
      <c r="CA212" s="143"/>
      <c r="CB212" s="143"/>
      <c r="CC212" s="143"/>
      <c r="CD212" s="143"/>
      <c r="CE212" s="143"/>
      <c r="CF212" s="143"/>
      <c r="CG212" s="145"/>
      <c r="CH212" s="143"/>
      <c r="CI212" s="143"/>
      <c r="CJ212" s="143"/>
      <c r="CK212" s="143"/>
      <c r="CL212" s="143"/>
      <c r="CM212" s="143"/>
      <c r="CN212" s="170"/>
      <c r="CO212" s="143"/>
      <c r="CP212" s="143"/>
      <c r="CQ212" s="143"/>
      <c r="CR212" s="143"/>
      <c r="CS212" s="143"/>
      <c r="CT212" s="143"/>
      <c r="CU212" s="143"/>
      <c r="CV212" s="143"/>
      <c r="CW212" s="143"/>
      <c r="CX212" s="143"/>
      <c r="CY212" s="143"/>
      <c r="CZ212" s="143"/>
      <c r="DA212" s="143"/>
      <c r="DB212" s="143"/>
    </row>
    <row r="213" spans="1:106" ht="13.5" thickBot="1">
      <c r="A213" s="143"/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  <c r="AU213" s="143"/>
      <c r="AV213" s="143"/>
      <c r="AW213" s="143"/>
      <c r="AX213" s="163"/>
      <c r="AY213" s="143"/>
      <c r="AZ213" s="143"/>
      <c r="BA213" s="143"/>
      <c r="BB213" s="143"/>
      <c r="BC213" s="143"/>
      <c r="BD213" s="2741">
        <f t="shared" si="18"/>
        <v>29</v>
      </c>
      <c r="BE213" s="2741" t="s">
        <v>1929</v>
      </c>
      <c r="BF213" s="1571"/>
      <c r="BG213" s="1571"/>
      <c r="BH213" s="1460"/>
      <c r="BI213" s="1459"/>
      <c r="BJ213" s="191">
        <f>SUM(BJ200:BJ212)+1</f>
        <v>44361396</v>
      </c>
      <c r="BK213" s="1581"/>
      <c r="BL213" s="143"/>
      <c r="BM213" s="143"/>
      <c r="BN213" s="143"/>
      <c r="BO213" s="143"/>
      <c r="BP213" s="143"/>
      <c r="BQ213" s="143"/>
      <c r="BR213" s="143"/>
      <c r="BS213" s="143"/>
      <c r="BT213" s="143"/>
      <c r="BU213" s="143"/>
      <c r="BV213" s="143"/>
      <c r="BW213" s="143"/>
      <c r="BX213" s="143"/>
      <c r="BY213" s="143"/>
      <c r="BZ213" s="143"/>
      <c r="CA213" s="143"/>
      <c r="CB213" s="143"/>
      <c r="CC213" s="143"/>
      <c r="CD213" s="143"/>
      <c r="CE213" s="143"/>
      <c r="CF213" s="143"/>
      <c r="CG213" s="145"/>
      <c r="CH213" s="143"/>
      <c r="CI213" s="143"/>
      <c r="CJ213" s="143"/>
      <c r="CK213" s="143"/>
      <c r="CL213" s="143"/>
      <c r="CM213" s="143"/>
      <c r="CN213" s="170"/>
      <c r="CO213" s="143"/>
      <c r="CP213" s="143"/>
      <c r="CQ213" s="143"/>
      <c r="CR213" s="143"/>
      <c r="CS213" s="143"/>
      <c r="CT213" s="143"/>
      <c r="CU213" s="143"/>
      <c r="CV213" s="143"/>
      <c r="CW213" s="143"/>
      <c r="CX213" s="143"/>
      <c r="CY213" s="143"/>
      <c r="CZ213" s="143"/>
      <c r="DA213" s="143"/>
      <c r="DB213" s="143"/>
    </row>
    <row r="214" spans="1:106" ht="13.5" thickTop="1">
      <c r="A214" s="143"/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  <c r="AU214" s="143"/>
      <c r="AV214" s="143"/>
      <c r="AW214" s="143"/>
      <c r="AX214" s="163"/>
      <c r="AY214" s="143"/>
      <c r="AZ214" s="143"/>
      <c r="BA214" s="143"/>
      <c r="BB214" s="143"/>
      <c r="BC214" s="143"/>
      <c r="BD214" s="2741">
        <f t="shared" si="18"/>
        <v>30</v>
      </c>
      <c r="BE214" s="1571"/>
      <c r="BF214" s="1571"/>
      <c r="BG214" s="1571"/>
      <c r="BH214" s="238"/>
      <c r="BI214" s="239"/>
      <c r="BJ214" s="239"/>
      <c r="BK214" s="1581"/>
      <c r="BL214" s="143"/>
      <c r="BM214" s="143"/>
      <c r="BN214" s="143"/>
      <c r="BO214" s="143"/>
      <c r="BP214" s="143"/>
      <c r="BQ214" s="143"/>
      <c r="BR214" s="143"/>
      <c r="BS214" s="143"/>
      <c r="BT214" s="143"/>
      <c r="BU214" s="143"/>
      <c r="BV214" s="143"/>
      <c r="BW214" s="143"/>
      <c r="BX214" s="143"/>
      <c r="BY214" s="143"/>
      <c r="BZ214" s="143"/>
      <c r="CA214" s="143"/>
      <c r="CB214" s="143"/>
      <c r="CC214" s="143"/>
      <c r="CD214" s="143"/>
      <c r="CE214" s="143"/>
      <c r="CF214" s="143"/>
      <c r="CG214" s="145"/>
      <c r="CH214" s="143"/>
      <c r="CI214" s="143"/>
      <c r="CJ214" s="143"/>
      <c r="CK214" s="143"/>
      <c r="CL214" s="143"/>
      <c r="CM214" s="143"/>
      <c r="CN214" s="170"/>
      <c r="CO214" s="143"/>
      <c r="CP214" s="143"/>
      <c r="CQ214" s="143"/>
      <c r="CR214" s="143"/>
      <c r="CS214" s="143"/>
      <c r="CT214" s="143"/>
      <c r="CU214" s="143"/>
      <c r="CV214" s="143"/>
      <c r="CW214" s="143"/>
      <c r="CX214" s="143"/>
      <c r="CY214" s="143"/>
      <c r="CZ214" s="143"/>
      <c r="DA214" s="143"/>
      <c r="DB214" s="143"/>
    </row>
    <row r="215" spans="1:106" ht="13.5" thickBot="1">
      <c r="A215" s="143"/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  <c r="AU215" s="143"/>
      <c r="AV215" s="143"/>
      <c r="AW215" s="143"/>
      <c r="AX215" s="163"/>
      <c r="AY215" s="143"/>
      <c r="AZ215" s="143"/>
      <c r="BA215" s="143"/>
      <c r="BB215" s="143"/>
      <c r="BC215" s="143"/>
      <c r="BD215" s="2741">
        <f t="shared" si="18"/>
        <v>31</v>
      </c>
      <c r="BE215" s="1581" t="s">
        <v>371</v>
      </c>
      <c r="BF215" s="1571"/>
      <c r="BG215" s="1571"/>
      <c r="BH215" s="1460"/>
      <c r="BI215" s="1459"/>
      <c r="BJ215" s="1301">
        <f>BJ213/13</f>
        <v>3412415.076923077</v>
      </c>
      <c r="BK215" s="1581"/>
      <c r="BL215" s="143"/>
      <c r="BM215" s="143"/>
      <c r="BN215" s="143"/>
      <c r="BO215" s="143"/>
      <c r="BP215" s="143"/>
      <c r="BQ215" s="143"/>
      <c r="BR215" s="143"/>
      <c r="BS215" s="143"/>
      <c r="BT215" s="143"/>
      <c r="BU215" s="143"/>
      <c r="BV215" s="143"/>
      <c r="BW215" s="143"/>
      <c r="BX215" s="143"/>
      <c r="BY215" s="143"/>
      <c r="BZ215" s="143"/>
      <c r="CA215" s="143"/>
      <c r="CB215" s="143"/>
      <c r="CC215" s="143"/>
      <c r="CD215" s="143"/>
      <c r="CE215" s="143"/>
      <c r="CF215" s="143"/>
      <c r="CG215" s="145"/>
      <c r="CH215" s="143"/>
      <c r="CI215" s="143"/>
      <c r="CJ215" s="143"/>
      <c r="CK215" s="143"/>
      <c r="CL215" s="143"/>
      <c r="CM215" s="143"/>
      <c r="CN215" s="170"/>
      <c r="CO215" s="143"/>
      <c r="CP215" s="143"/>
      <c r="CQ215" s="143"/>
      <c r="CR215" s="143"/>
      <c r="CS215" s="143"/>
      <c r="CT215" s="143"/>
      <c r="CU215" s="143"/>
      <c r="CV215" s="143"/>
      <c r="CW215" s="143"/>
      <c r="CX215" s="143"/>
      <c r="CY215" s="143"/>
      <c r="CZ215" s="143"/>
      <c r="DA215" s="143"/>
      <c r="DB215" s="143"/>
    </row>
    <row r="216" spans="1:106" ht="13.5" thickTop="1">
      <c r="A216" s="143"/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  <c r="AU216" s="143"/>
      <c r="AV216" s="143"/>
      <c r="AW216" s="143"/>
      <c r="AX216" s="163"/>
      <c r="AY216" s="143"/>
      <c r="AZ216" s="143"/>
      <c r="BA216" s="143"/>
      <c r="BB216" s="143"/>
      <c r="BC216" s="143"/>
      <c r="BD216" s="2741"/>
      <c r="BE216" s="228"/>
      <c r="BF216" s="228"/>
      <c r="BG216" s="1571"/>
      <c r="BH216" s="238"/>
      <c r="BI216" s="239"/>
      <c r="BJ216" s="239"/>
      <c r="BK216" s="1581"/>
      <c r="BL216" s="143"/>
      <c r="BM216" s="143"/>
      <c r="BN216" s="143"/>
      <c r="BO216" s="143"/>
      <c r="BP216" s="143"/>
      <c r="BQ216" s="143"/>
      <c r="BR216" s="143"/>
      <c r="BS216" s="143"/>
      <c r="BT216" s="143"/>
      <c r="BU216" s="143"/>
      <c r="BV216" s="143"/>
      <c r="BW216" s="143"/>
      <c r="BX216" s="143"/>
      <c r="BY216" s="143"/>
      <c r="BZ216" s="143"/>
      <c r="CA216" s="143"/>
      <c r="CB216" s="143"/>
      <c r="CC216" s="143"/>
      <c r="CD216" s="143"/>
      <c r="CE216" s="143"/>
      <c r="CF216" s="143"/>
      <c r="CG216" s="145"/>
      <c r="CH216" s="143"/>
      <c r="CI216" s="143"/>
      <c r="CJ216" s="143"/>
      <c r="CK216" s="143"/>
      <c r="CL216" s="143"/>
      <c r="CM216" s="143"/>
      <c r="CN216" s="170"/>
      <c r="CO216" s="143"/>
      <c r="CP216" s="143"/>
      <c r="CQ216" s="143"/>
      <c r="CR216" s="143"/>
      <c r="CS216" s="143"/>
      <c r="CT216" s="143"/>
      <c r="CU216" s="143"/>
      <c r="CV216" s="143"/>
      <c r="CW216" s="143"/>
      <c r="CX216" s="143"/>
      <c r="CY216" s="143"/>
      <c r="CZ216" s="143"/>
      <c r="DA216" s="143"/>
      <c r="DB216" s="143"/>
    </row>
    <row r="217" spans="1:106">
      <c r="A217" s="143"/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  <c r="AU217" s="143"/>
      <c r="AV217" s="143"/>
      <c r="AW217" s="143"/>
      <c r="AX217" s="163"/>
      <c r="AY217" s="143"/>
      <c r="AZ217" s="143"/>
      <c r="BA217" s="143"/>
      <c r="BB217" s="143"/>
      <c r="BC217" s="143"/>
      <c r="BD217" s="2741"/>
      <c r="BE217" s="228"/>
      <c r="BF217" s="228"/>
      <c r="BG217" s="1571"/>
      <c r="BH217" s="234"/>
      <c r="BI217" s="1571"/>
      <c r="BJ217" s="2741"/>
      <c r="BK217" s="1581"/>
      <c r="BL217" s="143"/>
      <c r="BM217" s="143"/>
      <c r="BN217" s="143"/>
      <c r="BO217" s="143"/>
      <c r="BP217" s="143"/>
      <c r="BQ217" s="143"/>
      <c r="BR217" s="143"/>
      <c r="BS217" s="143"/>
      <c r="BT217" s="143"/>
      <c r="BU217" s="143"/>
      <c r="BV217" s="143"/>
      <c r="BW217" s="143"/>
      <c r="BX217" s="143"/>
      <c r="BY217" s="143"/>
      <c r="BZ217" s="143"/>
      <c r="CA217" s="143"/>
      <c r="CB217" s="143"/>
      <c r="CC217" s="143"/>
      <c r="CD217" s="143"/>
      <c r="CE217" s="143"/>
      <c r="CF217" s="143"/>
      <c r="CG217" s="145"/>
      <c r="CH217" s="143"/>
      <c r="CI217" s="143"/>
      <c r="CJ217" s="143"/>
      <c r="CK217" s="143"/>
      <c r="CL217" s="143"/>
      <c r="CM217" s="143"/>
      <c r="CN217" s="170"/>
      <c r="CO217" s="143"/>
      <c r="CP217" s="143"/>
      <c r="CQ217" s="143"/>
      <c r="CR217" s="143"/>
      <c r="CS217" s="143"/>
      <c r="CT217" s="143"/>
      <c r="CU217" s="143"/>
      <c r="CV217" s="143"/>
      <c r="CW217" s="143"/>
      <c r="CX217" s="143"/>
      <c r="CY217" s="143"/>
      <c r="CZ217" s="143"/>
      <c r="DA217" s="143"/>
      <c r="DB217" s="143"/>
    </row>
    <row r="218" spans="1:106">
      <c r="A218" s="143"/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  <c r="AU218" s="143"/>
      <c r="AV218" s="143"/>
      <c r="AW218" s="143"/>
      <c r="AX218" s="163"/>
      <c r="AY218" s="143"/>
      <c r="AZ218" s="143"/>
      <c r="BA218" s="143"/>
      <c r="BB218" s="143"/>
      <c r="BC218" s="143"/>
      <c r="BD218" s="2741"/>
      <c r="BE218" s="228"/>
      <c r="BF218" s="228"/>
      <c r="BG218" s="1459"/>
      <c r="BH218" s="1459"/>
      <c r="BI218" s="1459"/>
      <c r="BJ218" s="240" t="s">
        <v>1225</v>
      </c>
      <c r="BK218" s="1581"/>
      <c r="BL218" s="143"/>
      <c r="BM218" s="143"/>
      <c r="BN218" s="143"/>
      <c r="BO218" s="143"/>
      <c r="BP218" s="143"/>
      <c r="BQ218" s="143"/>
      <c r="BR218" s="143"/>
      <c r="BS218" s="143"/>
      <c r="BT218" s="143"/>
      <c r="BU218" s="143"/>
      <c r="BV218" s="143"/>
      <c r="BW218" s="143"/>
      <c r="BX218" s="143"/>
      <c r="BY218" s="143"/>
      <c r="BZ218" s="143"/>
      <c r="CA218" s="143"/>
      <c r="CB218" s="143"/>
      <c r="CC218" s="143"/>
      <c r="CD218" s="143"/>
      <c r="CE218" s="143"/>
      <c r="CF218" s="143"/>
      <c r="CG218" s="145"/>
      <c r="CH218" s="143"/>
      <c r="CI218" s="143"/>
      <c r="CJ218" s="143"/>
      <c r="CK218" s="143"/>
      <c r="CL218" s="143"/>
      <c r="CM218" s="143"/>
      <c r="CN218" s="170"/>
      <c r="CO218" s="143"/>
      <c r="CP218" s="143"/>
      <c r="CQ218" s="143"/>
      <c r="CR218" s="143"/>
      <c r="CS218" s="143"/>
      <c r="CT218" s="143"/>
      <c r="CU218" s="143"/>
      <c r="CV218" s="143"/>
      <c r="CW218" s="143"/>
      <c r="CX218" s="143"/>
      <c r="CY218" s="143"/>
      <c r="CZ218" s="143"/>
      <c r="DA218" s="143"/>
      <c r="DB218" s="143"/>
    </row>
    <row r="219" spans="1:106">
      <c r="A219" s="143"/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  <c r="AU219" s="143"/>
      <c r="AV219" s="143"/>
      <c r="AW219" s="143"/>
      <c r="AX219" s="163"/>
      <c r="AY219" s="143"/>
      <c r="AZ219" s="143"/>
      <c r="BA219" s="143"/>
      <c r="BB219" s="143"/>
      <c r="BC219" s="143"/>
      <c r="BD219" s="2741"/>
      <c r="BE219" s="228"/>
      <c r="BF219" s="228"/>
      <c r="BG219" s="241"/>
      <c r="BH219" s="182"/>
      <c r="BI219" s="182"/>
      <c r="BJ219" s="1459"/>
      <c r="BK219" s="242"/>
      <c r="BL219" s="143"/>
      <c r="BM219" s="143"/>
      <c r="BN219" s="143"/>
      <c r="BO219" s="143"/>
      <c r="BP219" s="143"/>
      <c r="BQ219" s="143"/>
      <c r="BR219" s="143"/>
      <c r="BS219" s="143"/>
      <c r="BT219" s="143"/>
      <c r="BU219" s="143"/>
      <c r="BV219" s="143"/>
      <c r="BW219" s="143"/>
      <c r="BX219" s="143"/>
      <c r="BY219" s="143"/>
      <c r="BZ219" s="143"/>
      <c r="CA219" s="143"/>
      <c r="CB219" s="143"/>
      <c r="CC219" s="143"/>
      <c r="CD219" s="143"/>
      <c r="CE219" s="143"/>
      <c r="CF219" s="143"/>
      <c r="CG219" s="145"/>
      <c r="CH219" s="143"/>
      <c r="CI219" s="143"/>
      <c r="CJ219" s="143"/>
      <c r="CK219" s="143"/>
      <c r="CL219" s="143"/>
      <c r="CM219" s="143"/>
      <c r="CN219" s="170"/>
      <c r="CO219" s="143"/>
      <c r="CP219" s="143"/>
      <c r="CQ219" s="143"/>
      <c r="CR219" s="143"/>
      <c r="CS219" s="143"/>
      <c r="CT219" s="143"/>
      <c r="CU219" s="143"/>
      <c r="CV219" s="143"/>
      <c r="CW219" s="143"/>
      <c r="CX219" s="143"/>
      <c r="CY219" s="143"/>
      <c r="CZ219" s="143"/>
      <c r="DA219" s="143"/>
      <c r="DB219" s="143"/>
    </row>
    <row r="220" spans="1:106">
      <c r="A220" s="143"/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  <c r="AU220" s="143"/>
      <c r="AV220" s="143"/>
      <c r="AW220" s="143"/>
      <c r="AX220" s="163"/>
      <c r="AY220" s="143"/>
      <c r="AZ220" s="143"/>
      <c r="BA220" s="143"/>
      <c r="BB220" s="143"/>
      <c r="BC220" s="143"/>
      <c r="BD220" s="2741"/>
      <c r="BE220" s="1571"/>
      <c r="BF220" s="1571"/>
      <c r="BG220" s="243"/>
      <c r="BH220" s="182"/>
      <c r="BI220" s="182"/>
      <c r="BJ220" s="1459"/>
      <c r="BK220" s="1571"/>
      <c r="BL220" s="143"/>
      <c r="BM220" s="143"/>
      <c r="BN220" s="143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3"/>
      <c r="BZ220" s="143"/>
      <c r="CA220" s="143"/>
      <c r="CB220" s="143"/>
      <c r="CC220" s="143"/>
      <c r="CD220" s="143"/>
      <c r="CE220" s="143"/>
      <c r="CF220" s="143"/>
      <c r="CG220" s="145"/>
      <c r="CH220" s="143"/>
      <c r="CI220" s="143"/>
      <c r="CJ220" s="143"/>
      <c r="CK220" s="143"/>
      <c r="CL220" s="143"/>
      <c r="CM220" s="143"/>
      <c r="CN220" s="170"/>
      <c r="CO220" s="143"/>
      <c r="CP220" s="143"/>
      <c r="CQ220" s="143"/>
      <c r="CR220" s="143"/>
      <c r="CS220" s="143"/>
      <c r="CT220" s="143"/>
      <c r="CU220" s="143"/>
      <c r="CV220" s="143"/>
      <c r="CW220" s="143"/>
      <c r="CX220" s="143"/>
      <c r="CY220" s="143"/>
      <c r="CZ220" s="143"/>
      <c r="DA220" s="143"/>
      <c r="DB220" s="143"/>
    </row>
    <row r="221" spans="1:106">
      <c r="A221" s="143"/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  <c r="AU221" s="143"/>
      <c r="AV221" s="143"/>
      <c r="AW221" s="143"/>
      <c r="AX221" s="163"/>
      <c r="AY221" s="143"/>
      <c r="AZ221" s="143"/>
      <c r="BA221" s="143"/>
      <c r="BB221" s="143"/>
      <c r="BC221" s="143"/>
      <c r="BD221" s="2741"/>
      <c r="BE221" s="1571" t="s">
        <v>1078</v>
      </c>
      <c r="BF221" s="1571"/>
      <c r="BG221" s="1571"/>
      <c r="BH221" s="1571"/>
      <c r="BI221" s="1571"/>
      <c r="BJ221" s="1571"/>
      <c r="BK221" s="1571"/>
      <c r="BL221" s="143"/>
      <c r="BM221" s="143"/>
      <c r="BN221" s="143"/>
      <c r="BO221" s="143"/>
      <c r="BP221" s="143"/>
      <c r="BQ221" s="143"/>
      <c r="BR221" s="143"/>
      <c r="BS221" s="143"/>
      <c r="BT221" s="143"/>
      <c r="BU221" s="143"/>
      <c r="BV221" s="143"/>
      <c r="BW221" s="143"/>
      <c r="BX221" s="143"/>
      <c r="BY221" s="143"/>
      <c r="BZ221" s="143"/>
      <c r="CA221" s="143"/>
      <c r="CB221" s="143"/>
      <c r="CC221" s="143"/>
      <c r="CD221" s="143"/>
      <c r="CE221" s="143"/>
      <c r="CF221" s="143"/>
      <c r="CG221" s="145"/>
      <c r="CH221" s="143"/>
      <c r="CI221" s="143"/>
      <c r="CJ221" s="143"/>
      <c r="CK221" s="143"/>
      <c r="CL221" s="143"/>
      <c r="CM221" s="143"/>
      <c r="CN221" s="170"/>
      <c r="CO221" s="143"/>
      <c r="CP221" s="143"/>
      <c r="CQ221" s="143"/>
      <c r="CR221" s="143"/>
      <c r="CS221" s="143"/>
      <c r="CT221" s="143"/>
      <c r="CU221" s="143"/>
      <c r="CV221" s="143"/>
      <c r="CW221" s="143"/>
      <c r="CX221" s="143"/>
      <c r="CY221" s="143"/>
      <c r="CZ221" s="143"/>
      <c r="DA221" s="143"/>
      <c r="DB221" s="143"/>
    </row>
    <row r="222" spans="1:106">
      <c r="A222" s="143"/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  <c r="AU222" s="143"/>
      <c r="AV222" s="143"/>
      <c r="AW222" s="143"/>
      <c r="AX222" s="163"/>
      <c r="AY222" s="143"/>
      <c r="AZ222" s="143"/>
      <c r="BA222" s="143"/>
      <c r="BB222" s="143"/>
      <c r="BC222" s="143"/>
      <c r="BD222" s="173"/>
      <c r="BE222" s="1571"/>
      <c r="BF222" s="1571"/>
      <c r="BG222" s="1571"/>
      <c r="BH222" s="1571"/>
      <c r="BI222" s="1571"/>
      <c r="BJ222" s="1571"/>
      <c r="BK222" s="1571"/>
      <c r="BL222" s="143"/>
      <c r="BM222" s="143"/>
      <c r="BN222" s="143"/>
      <c r="BO222" s="143"/>
      <c r="BP222" s="143"/>
      <c r="BQ222" s="143"/>
      <c r="BR222" s="143"/>
      <c r="BS222" s="143"/>
      <c r="BT222" s="143"/>
      <c r="BU222" s="143"/>
      <c r="BV222" s="143"/>
      <c r="BW222" s="143"/>
      <c r="BX222" s="143"/>
      <c r="BY222" s="143"/>
      <c r="BZ222" s="143"/>
      <c r="CA222" s="143"/>
      <c r="CB222" s="143"/>
      <c r="CC222" s="143"/>
      <c r="CD222" s="143"/>
      <c r="CE222" s="143"/>
      <c r="CF222" s="143"/>
      <c r="CG222" s="145"/>
      <c r="CH222" s="143"/>
      <c r="CI222" s="143"/>
      <c r="CJ222" s="143"/>
      <c r="CK222" s="143"/>
      <c r="CL222" s="143"/>
      <c r="CM222" s="143"/>
      <c r="CN222" s="170"/>
      <c r="CO222" s="143"/>
      <c r="CP222" s="143"/>
      <c r="CQ222" s="143"/>
      <c r="CR222" s="143"/>
      <c r="CS222" s="143"/>
      <c r="CT222" s="143"/>
      <c r="CU222" s="143"/>
      <c r="CV222" s="143"/>
      <c r="CW222" s="143"/>
      <c r="CX222" s="143"/>
      <c r="CY222" s="143"/>
      <c r="CZ222" s="143"/>
      <c r="DA222" s="143"/>
      <c r="DB222" s="143"/>
    </row>
    <row r="223" spans="1:106">
      <c r="A223" s="143"/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  <c r="AU223" s="143"/>
      <c r="AV223" s="143"/>
      <c r="AW223" s="143"/>
      <c r="AX223" s="163"/>
      <c r="AY223" s="143"/>
      <c r="AZ223" s="143"/>
      <c r="BA223" s="143"/>
      <c r="BB223" s="143"/>
      <c r="BC223" s="143"/>
      <c r="BD223" s="173"/>
      <c r="BE223" s="1571"/>
      <c r="BF223" s="1571"/>
      <c r="BG223" s="1571"/>
      <c r="BH223" s="1571"/>
      <c r="BI223" s="1571"/>
      <c r="BJ223" s="1571"/>
      <c r="BK223" s="1571"/>
      <c r="BL223" s="143"/>
      <c r="BM223" s="143"/>
      <c r="BN223" s="143"/>
      <c r="BO223" s="143"/>
      <c r="BP223" s="143"/>
      <c r="BQ223" s="143"/>
      <c r="BR223" s="143"/>
      <c r="BS223" s="143"/>
      <c r="BT223" s="143"/>
      <c r="BU223" s="143"/>
      <c r="BV223" s="143"/>
      <c r="BW223" s="143"/>
      <c r="BX223" s="143"/>
      <c r="BY223" s="143"/>
      <c r="BZ223" s="143"/>
      <c r="CA223" s="143"/>
      <c r="CB223" s="143"/>
      <c r="CC223" s="143"/>
      <c r="CD223" s="143"/>
      <c r="CE223" s="143"/>
      <c r="CF223" s="143"/>
      <c r="CG223" s="145"/>
      <c r="CH223" s="143"/>
      <c r="CI223" s="143"/>
      <c r="CJ223" s="143"/>
      <c r="CK223" s="143"/>
      <c r="CL223" s="143"/>
      <c r="CM223" s="143"/>
      <c r="CN223" s="170"/>
      <c r="CO223" s="143"/>
      <c r="CP223" s="143"/>
      <c r="CQ223" s="143"/>
      <c r="CR223" s="143"/>
      <c r="CS223" s="143"/>
      <c r="CT223" s="143"/>
      <c r="CU223" s="143"/>
      <c r="CV223" s="143"/>
      <c r="CW223" s="143"/>
      <c r="CX223" s="143"/>
      <c r="CY223" s="143"/>
      <c r="CZ223" s="143"/>
      <c r="DA223" s="143"/>
      <c r="DB223" s="143"/>
    </row>
    <row r="224" spans="1:106">
      <c r="A224" s="143"/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  <c r="AU224" s="143"/>
      <c r="AV224" s="143"/>
      <c r="AW224" s="143"/>
      <c r="AX224" s="163"/>
      <c r="AY224" s="143"/>
      <c r="AZ224" s="143"/>
      <c r="BA224" s="143"/>
      <c r="BB224" s="143"/>
      <c r="BC224" s="143"/>
      <c r="BD224" s="173"/>
      <c r="BE224" s="1581"/>
      <c r="BF224" s="1571"/>
      <c r="BG224" s="1571"/>
      <c r="BH224" s="1571"/>
      <c r="BI224" s="1571"/>
      <c r="BJ224" s="1571"/>
      <c r="BK224" s="1571"/>
      <c r="BL224" s="143"/>
      <c r="BM224" s="143"/>
      <c r="BN224" s="143"/>
      <c r="BO224" s="143"/>
      <c r="BP224" s="143"/>
      <c r="BQ224" s="143"/>
      <c r="BR224" s="143"/>
      <c r="BS224" s="143"/>
      <c r="BT224" s="143"/>
      <c r="BU224" s="143"/>
      <c r="BV224" s="143"/>
      <c r="BW224" s="143"/>
      <c r="BX224" s="143"/>
      <c r="BY224" s="143"/>
      <c r="BZ224" s="143"/>
      <c r="CA224" s="143"/>
      <c r="CB224" s="143"/>
      <c r="CC224" s="143"/>
      <c r="CD224" s="143"/>
      <c r="CE224" s="143"/>
      <c r="CF224" s="143"/>
      <c r="CG224" s="145"/>
      <c r="CH224" s="143"/>
      <c r="CI224" s="143"/>
      <c r="CJ224" s="143"/>
      <c r="CK224" s="143"/>
      <c r="CL224" s="143"/>
      <c r="CM224" s="143"/>
      <c r="CN224" s="170"/>
      <c r="CO224" s="143"/>
      <c r="CP224" s="143"/>
      <c r="CQ224" s="143"/>
      <c r="CR224" s="143"/>
      <c r="CS224" s="143"/>
      <c r="CT224" s="143"/>
      <c r="CU224" s="143"/>
      <c r="CV224" s="143"/>
      <c r="CW224" s="143"/>
      <c r="CX224" s="143"/>
      <c r="CY224" s="143"/>
      <c r="CZ224" s="143"/>
      <c r="DA224" s="143"/>
      <c r="DB224" s="143"/>
    </row>
    <row r="225" spans="1:106">
      <c r="A225" s="143"/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  <c r="AU225" s="143"/>
      <c r="AV225" s="143"/>
      <c r="AW225" s="143"/>
      <c r="AX225" s="163"/>
      <c r="AY225" s="143"/>
      <c r="AZ225" s="143"/>
      <c r="BA225" s="143"/>
      <c r="BB225" s="143"/>
      <c r="BC225" s="143"/>
      <c r="BD225" s="1581"/>
      <c r="BE225" s="1571"/>
      <c r="BF225" s="1571"/>
      <c r="BG225" s="1571"/>
      <c r="BH225" s="1571"/>
      <c r="BI225" s="1571"/>
      <c r="BJ225" s="1571"/>
      <c r="BK225" s="1571"/>
      <c r="BL225" s="143"/>
      <c r="BM225" s="143"/>
      <c r="BN225" s="1581" t="str">
        <f>COMPANY</f>
        <v>DUKE ENERGY KENTUCKY, INC.</v>
      </c>
      <c r="BO225" s="228"/>
      <c r="BP225" s="228"/>
      <c r="BQ225" s="1571"/>
      <c r="BR225" s="143"/>
      <c r="BS225" s="143"/>
      <c r="BT225" s="143"/>
      <c r="BU225" s="1581" t="s">
        <v>1079</v>
      </c>
      <c r="BV225" s="143"/>
      <c r="BW225" s="143"/>
      <c r="BX225" s="143"/>
      <c r="BY225" s="143"/>
      <c r="BZ225" s="143"/>
      <c r="CA225" s="143"/>
      <c r="CB225" s="143"/>
      <c r="CC225" s="143"/>
      <c r="CD225" s="143"/>
      <c r="CE225" s="143"/>
      <c r="CF225" s="143"/>
      <c r="CG225" s="145"/>
      <c r="CH225" s="143"/>
      <c r="CI225" s="143"/>
      <c r="CJ225" s="143"/>
      <c r="CK225" s="143"/>
      <c r="CL225" s="143"/>
      <c r="CM225" s="143"/>
      <c r="CN225" s="170"/>
      <c r="CO225" s="143"/>
      <c r="CP225" s="143"/>
      <c r="CQ225" s="143"/>
      <c r="CR225" s="143"/>
      <c r="CS225" s="143"/>
      <c r="CT225" s="143"/>
      <c r="CU225" s="143"/>
      <c r="CV225" s="143"/>
      <c r="CW225" s="143"/>
      <c r="CX225" s="143"/>
      <c r="CY225" s="143"/>
      <c r="CZ225" s="143"/>
      <c r="DA225" s="143"/>
      <c r="DB225" s="143"/>
    </row>
    <row r="226" spans="1:106">
      <c r="A226" s="143"/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  <c r="AU226" s="143"/>
      <c r="AV226" s="143"/>
      <c r="AW226" s="143"/>
      <c r="AX226" s="163"/>
      <c r="AY226" s="143"/>
      <c r="AZ226" s="143"/>
      <c r="BA226" s="143"/>
      <c r="BB226" s="143"/>
      <c r="BC226" s="143"/>
      <c r="BD226" s="143"/>
      <c r="BE226" s="143"/>
      <c r="BF226" s="143"/>
      <c r="BG226" s="143"/>
      <c r="BH226" s="143"/>
      <c r="BI226" s="143"/>
      <c r="BJ226" s="143"/>
      <c r="BK226" s="143"/>
      <c r="BL226" s="143"/>
      <c r="BM226" s="143"/>
      <c r="BN226" s="1581" t="str">
        <f>DEPT</f>
        <v>ELECTRIC DEPARTMENT</v>
      </c>
      <c r="BO226" s="228"/>
      <c r="BP226" s="228"/>
      <c r="BQ226" s="1459"/>
      <c r="BR226" s="143"/>
      <c r="BS226" s="143"/>
      <c r="BT226" s="143"/>
      <c r="BU226" s="143" t="s">
        <v>2355</v>
      </c>
      <c r="BV226" s="143"/>
      <c r="BW226" s="143"/>
      <c r="BX226" s="143"/>
      <c r="BY226" s="143"/>
      <c r="BZ226" s="143"/>
      <c r="CA226" s="143"/>
      <c r="CB226" s="143"/>
      <c r="CC226" s="143"/>
      <c r="CD226" s="143"/>
      <c r="CE226" s="143"/>
      <c r="CF226" s="143"/>
      <c r="CG226" s="145"/>
      <c r="CH226" s="143"/>
      <c r="CI226" s="143"/>
      <c r="CJ226" s="143"/>
      <c r="CK226" s="143"/>
      <c r="CL226" s="143"/>
      <c r="CM226" s="143"/>
      <c r="CN226" s="170"/>
      <c r="CO226" s="143"/>
      <c r="CP226" s="143"/>
      <c r="CQ226" s="143"/>
      <c r="CR226" s="143"/>
      <c r="CS226" s="143"/>
      <c r="CT226" s="143"/>
      <c r="CU226" s="143"/>
      <c r="CV226" s="143"/>
      <c r="CW226" s="143"/>
      <c r="CX226" s="143"/>
      <c r="CY226" s="143"/>
      <c r="CZ226" s="143"/>
      <c r="DA226" s="143"/>
      <c r="DB226" s="143"/>
    </row>
    <row r="227" spans="1:106">
      <c r="A227" s="143"/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  <c r="AU227" s="143"/>
      <c r="AV227" s="143"/>
      <c r="AW227" s="143"/>
      <c r="AX227" s="163"/>
      <c r="AY227" s="143"/>
      <c r="AZ227" s="143"/>
      <c r="BA227" s="143"/>
      <c r="BB227" s="143"/>
      <c r="BC227" s="143"/>
      <c r="BD227" s="143"/>
      <c r="BE227" s="143"/>
      <c r="BF227" s="143"/>
      <c r="BG227" s="143"/>
      <c r="BH227" s="143"/>
      <c r="BI227" s="143"/>
      <c r="BJ227" s="143"/>
      <c r="BK227" s="143"/>
      <c r="BL227" s="143"/>
      <c r="BM227" s="143"/>
      <c r="BN227" s="173" t="str">
        <f>CASE</f>
        <v>CASE NO. 2017-00321</v>
      </c>
      <c r="BO227" s="228"/>
      <c r="BP227" s="228"/>
      <c r="BQ227" s="1459"/>
      <c r="BR227" s="143"/>
      <c r="BS227" s="143"/>
      <c r="BT227" s="143"/>
      <c r="BU227" s="173" t="s">
        <v>622</v>
      </c>
      <c r="BV227" s="143"/>
      <c r="BW227" s="143"/>
      <c r="BX227" s="143"/>
      <c r="BY227" s="143"/>
      <c r="BZ227" s="143"/>
      <c r="CA227" s="143"/>
      <c r="CB227" s="143"/>
      <c r="CC227" s="143"/>
      <c r="CD227" s="143"/>
      <c r="CE227" s="143"/>
      <c r="CF227" s="143"/>
      <c r="CG227" s="145"/>
      <c r="CH227" s="143"/>
      <c r="CI227" s="143"/>
      <c r="CJ227" s="143"/>
      <c r="CK227" s="143"/>
      <c r="CL227" s="143"/>
      <c r="CM227" s="143"/>
      <c r="CN227" s="170"/>
      <c r="CO227" s="143"/>
      <c r="CP227" s="143"/>
      <c r="CQ227" s="143"/>
      <c r="CR227" s="143"/>
      <c r="CS227" s="143"/>
      <c r="CT227" s="143"/>
      <c r="CU227" s="143"/>
      <c r="CV227" s="143"/>
      <c r="CW227" s="143"/>
      <c r="CX227" s="143"/>
      <c r="CY227" s="143"/>
      <c r="CZ227" s="143"/>
      <c r="DA227" s="143"/>
      <c r="DB227" s="143"/>
    </row>
    <row r="228" spans="1:106">
      <c r="A228" s="143"/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  <c r="AU228" s="143"/>
      <c r="AV228" s="143"/>
      <c r="AW228" s="143"/>
      <c r="AX228" s="163"/>
      <c r="AY228" s="143"/>
      <c r="AZ228" s="143"/>
      <c r="BA228" s="143"/>
      <c r="BB228" s="143"/>
      <c r="BC228" s="143"/>
      <c r="BD228" s="143"/>
      <c r="BE228" s="143"/>
      <c r="BF228" s="143"/>
      <c r="BG228" s="143"/>
      <c r="BH228" s="143"/>
      <c r="BI228" s="143"/>
      <c r="BJ228" s="143"/>
      <c r="BK228" s="143"/>
      <c r="BL228" s="143"/>
      <c r="BM228" s="143"/>
      <c r="BN228" s="174" t="s">
        <v>3346</v>
      </c>
      <c r="BO228" s="228"/>
      <c r="BP228" s="228"/>
      <c r="BQ228" s="1459"/>
      <c r="BR228" s="143"/>
      <c r="BS228" s="143"/>
      <c r="BT228" s="143"/>
      <c r="BU228" s="127" t="s">
        <v>2709</v>
      </c>
      <c r="BV228" s="143"/>
      <c r="BW228" s="143"/>
      <c r="BX228" s="143"/>
      <c r="BY228" s="143"/>
      <c r="BZ228" s="143"/>
      <c r="CA228" s="143"/>
      <c r="CB228" s="143"/>
      <c r="CC228" s="143"/>
      <c r="CD228" s="143"/>
      <c r="CE228" s="143"/>
      <c r="CF228" s="143"/>
      <c r="CG228" s="145"/>
      <c r="CH228" s="143"/>
      <c r="CI228" s="143"/>
      <c r="CJ228" s="143"/>
      <c r="CK228" s="143"/>
      <c r="CL228" s="143"/>
      <c r="CM228" s="143"/>
      <c r="CN228" s="170"/>
      <c r="CO228" s="143"/>
      <c r="CP228" s="143"/>
      <c r="CQ228" s="143"/>
      <c r="CR228" s="143"/>
      <c r="CS228" s="143"/>
      <c r="CT228" s="143"/>
      <c r="CU228" s="143"/>
      <c r="CV228" s="143"/>
      <c r="CW228" s="143"/>
      <c r="CX228" s="143"/>
      <c r="CY228" s="143"/>
      <c r="CZ228" s="143"/>
      <c r="DA228" s="143"/>
      <c r="DB228" s="143"/>
    </row>
    <row r="229" spans="1:106">
      <c r="A229" s="143"/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  <c r="AU229" s="143"/>
      <c r="AV229" s="143"/>
      <c r="AW229" s="143"/>
      <c r="AX229" s="163"/>
      <c r="AY229" s="143"/>
      <c r="AZ229" s="143"/>
      <c r="BA229" s="143"/>
      <c r="BB229" s="143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3"/>
      <c r="BN229" s="144" t="s">
        <v>206</v>
      </c>
      <c r="BO229" s="228"/>
      <c r="BP229" s="228"/>
      <c r="BQ229" s="1459"/>
      <c r="BR229" s="1571"/>
      <c r="BS229" s="143"/>
      <c r="BT229" s="143"/>
      <c r="BU229" s="143"/>
      <c r="BV229" s="143"/>
      <c r="BW229" s="143"/>
      <c r="BX229" s="143"/>
      <c r="BY229" s="143"/>
      <c r="BZ229" s="143"/>
      <c r="CA229" s="143"/>
      <c r="CB229" s="143"/>
      <c r="CC229" s="143"/>
      <c r="CD229" s="143"/>
      <c r="CE229" s="143"/>
      <c r="CF229" s="143"/>
      <c r="CG229" s="145"/>
      <c r="CH229" s="143"/>
      <c r="CI229" s="143"/>
      <c r="CJ229" s="143"/>
      <c r="CK229" s="143"/>
      <c r="CL229" s="143"/>
      <c r="CM229" s="143"/>
      <c r="CN229" s="170"/>
      <c r="CO229" s="143"/>
      <c r="CP229" s="143"/>
      <c r="CQ229" s="143"/>
      <c r="CR229" s="143"/>
      <c r="CS229" s="143"/>
      <c r="CT229" s="143"/>
      <c r="CU229" s="143"/>
      <c r="CV229" s="143"/>
      <c r="CW229" s="143"/>
      <c r="CX229" s="143"/>
      <c r="CY229" s="143"/>
      <c r="CZ229" s="143"/>
      <c r="DA229" s="143"/>
      <c r="DB229" s="143"/>
    </row>
    <row r="230" spans="1:106">
      <c r="A230" s="143"/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  <c r="AU230" s="143"/>
      <c r="AV230" s="143"/>
      <c r="AW230" s="143"/>
      <c r="AX230" s="163"/>
      <c r="AY230" s="143"/>
      <c r="AZ230" s="143"/>
      <c r="BA230" s="143"/>
      <c r="BB230" s="143"/>
      <c r="BC230" s="143"/>
      <c r="BD230" s="143"/>
      <c r="BE230" s="143"/>
      <c r="BF230" s="143"/>
      <c r="BG230" s="143"/>
      <c r="BH230" s="143"/>
      <c r="BI230" s="143"/>
      <c r="BJ230" s="143"/>
      <c r="BK230" s="143"/>
      <c r="BL230" s="143"/>
      <c r="BM230" s="143"/>
      <c r="BN230" s="1571"/>
      <c r="BO230" s="228"/>
      <c r="BP230" s="228"/>
      <c r="BQ230" s="1459"/>
      <c r="BR230" s="182"/>
      <c r="BS230" s="143"/>
      <c r="BT230" s="143"/>
      <c r="BU230" s="143"/>
      <c r="BV230" s="143"/>
      <c r="BW230" s="143"/>
      <c r="BX230" s="143"/>
      <c r="BY230" s="143"/>
      <c r="BZ230" s="143"/>
      <c r="CA230" s="143"/>
      <c r="CB230" s="143"/>
      <c r="CC230" s="143"/>
      <c r="CD230" s="143"/>
      <c r="CE230" s="143"/>
      <c r="CF230" s="143"/>
      <c r="CG230" s="145"/>
      <c r="CH230" s="143"/>
      <c r="CI230" s="143"/>
      <c r="CJ230" s="143"/>
      <c r="CK230" s="143"/>
      <c r="CL230" s="143"/>
      <c r="CM230" s="143"/>
      <c r="CN230" s="170"/>
      <c r="CO230" s="143"/>
      <c r="CP230" s="143"/>
      <c r="CQ230" s="143"/>
      <c r="CR230" s="143"/>
      <c r="CS230" s="143"/>
      <c r="CT230" s="143"/>
      <c r="CU230" s="143"/>
      <c r="CV230" s="143"/>
      <c r="CW230" s="143"/>
      <c r="CX230" s="143"/>
      <c r="CY230" s="143"/>
      <c r="CZ230" s="143"/>
      <c r="DA230" s="143"/>
      <c r="DB230" s="143"/>
    </row>
    <row r="231" spans="1:106">
      <c r="A231" s="143"/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  <c r="AU231" s="143"/>
      <c r="AV231" s="143"/>
      <c r="AW231" s="143"/>
      <c r="AX231" s="163"/>
      <c r="AY231" s="143"/>
      <c r="AZ231" s="143"/>
      <c r="BA231" s="143"/>
      <c r="BB231" s="143"/>
      <c r="BC231" s="143"/>
      <c r="BD231" s="143"/>
      <c r="BE231" s="143"/>
      <c r="BF231" s="143"/>
      <c r="BG231" s="143"/>
      <c r="BH231" s="143"/>
      <c r="BI231" s="143"/>
      <c r="BJ231" s="143"/>
      <c r="BK231" s="143"/>
      <c r="BL231" s="143"/>
      <c r="BM231" s="143"/>
      <c r="BN231" s="1571"/>
      <c r="BO231" s="1571"/>
      <c r="BP231" s="1571"/>
      <c r="BQ231" s="1571"/>
      <c r="BR231" s="1459"/>
      <c r="BS231" s="143"/>
      <c r="BT231" s="143"/>
      <c r="BU231" s="143"/>
      <c r="BV231" s="143"/>
      <c r="BW231" s="143"/>
      <c r="BX231" s="143"/>
      <c r="BY231" s="143"/>
      <c r="BZ231" s="143"/>
      <c r="CA231" s="143"/>
      <c r="CB231" s="143"/>
      <c r="CC231" s="143"/>
      <c r="CD231" s="143"/>
      <c r="CE231" s="143"/>
      <c r="CF231" s="143"/>
      <c r="CG231" s="145"/>
      <c r="CH231" s="143"/>
      <c r="CI231" s="143"/>
      <c r="CJ231" s="143"/>
      <c r="CK231" s="143"/>
      <c r="CL231" s="143"/>
      <c r="CM231" s="143"/>
      <c r="CN231" s="170"/>
      <c r="CO231" s="143"/>
      <c r="CP231" s="143"/>
      <c r="CQ231" s="143"/>
      <c r="CR231" s="143"/>
      <c r="CS231" s="143"/>
      <c r="CT231" s="143"/>
      <c r="CU231" s="143"/>
      <c r="CV231" s="143"/>
      <c r="CW231" s="143"/>
      <c r="CX231" s="143"/>
      <c r="CY231" s="143"/>
      <c r="CZ231" s="143"/>
      <c r="DA231" s="143"/>
      <c r="DB231" s="143"/>
    </row>
    <row r="232" spans="1:106">
      <c r="A232" s="143"/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  <c r="AU232" s="143"/>
      <c r="AV232" s="143"/>
      <c r="AW232" s="143"/>
      <c r="AX232" s="163"/>
      <c r="AY232" s="143"/>
      <c r="AZ232" s="143"/>
      <c r="BA232" s="143"/>
      <c r="BB232" s="143"/>
      <c r="BC232" s="143"/>
      <c r="BD232" s="143"/>
      <c r="BE232" s="143"/>
      <c r="BF232" s="143"/>
      <c r="BG232" s="143"/>
      <c r="BH232" s="143"/>
      <c r="BI232" s="143"/>
      <c r="BJ232" s="143"/>
      <c r="BK232" s="143"/>
      <c r="BL232" s="143"/>
      <c r="BM232" s="143"/>
      <c r="BN232" s="2741" t="s">
        <v>1961</v>
      </c>
      <c r="BO232" s="1571"/>
      <c r="BP232" s="1571"/>
      <c r="BQ232" s="244" t="s">
        <v>1080</v>
      </c>
      <c r="BR232" s="244" t="s">
        <v>1080</v>
      </c>
      <c r="BS232" s="244" t="s">
        <v>1080</v>
      </c>
      <c r="BT232" s="244" t="s">
        <v>1080</v>
      </c>
      <c r="BU232" s="244" t="s">
        <v>1080</v>
      </c>
      <c r="BV232" s="244" t="s">
        <v>1080</v>
      </c>
      <c r="BW232" s="143"/>
      <c r="BX232" s="143"/>
      <c r="BY232" s="143"/>
      <c r="BZ232" s="143"/>
      <c r="CA232" s="143"/>
      <c r="CB232" s="143"/>
      <c r="CC232" s="143"/>
      <c r="CD232" s="143"/>
      <c r="CE232" s="143"/>
      <c r="CF232" s="143"/>
      <c r="CG232" s="145"/>
      <c r="CH232" s="143"/>
      <c r="CI232" s="143"/>
      <c r="CJ232" s="143"/>
      <c r="CK232" s="143"/>
      <c r="CL232" s="143"/>
      <c r="CM232" s="143"/>
      <c r="CN232" s="170"/>
      <c r="CO232" s="143"/>
      <c r="CP232" s="143"/>
      <c r="CQ232" s="143"/>
      <c r="CR232" s="143"/>
      <c r="CS232" s="143"/>
      <c r="CT232" s="143"/>
      <c r="CU232" s="143"/>
      <c r="CV232" s="143"/>
      <c r="CW232" s="143"/>
      <c r="CX232" s="143"/>
      <c r="CY232" s="143"/>
      <c r="CZ232" s="143"/>
      <c r="DA232" s="143"/>
      <c r="DB232" s="143"/>
    </row>
    <row r="233" spans="1:106">
      <c r="A233" s="143"/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  <c r="AU233" s="143"/>
      <c r="AV233" s="143"/>
      <c r="AW233" s="143"/>
      <c r="AX233" s="163"/>
      <c r="AY233" s="143"/>
      <c r="AZ233" s="143"/>
      <c r="BA233" s="143"/>
      <c r="BB233" s="143"/>
      <c r="BC233" s="143"/>
      <c r="BD233" s="143"/>
      <c r="BE233" s="143"/>
      <c r="BF233" s="143"/>
      <c r="BG233" s="143"/>
      <c r="BH233" s="143"/>
      <c r="BI233" s="143"/>
      <c r="BJ233" s="143"/>
      <c r="BK233" s="143"/>
      <c r="BL233" s="143"/>
      <c r="BM233" s="143"/>
      <c r="BN233" s="176" t="s">
        <v>90</v>
      </c>
      <c r="BO233" s="176" t="s">
        <v>1076</v>
      </c>
      <c r="BP233" s="1571"/>
      <c r="BQ233" s="176" t="s">
        <v>2349</v>
      </c>
      <c r="BR233" s="176" t="s">
        <v>2350</v>
      </c>
      <c r="BS233" s="176" t="s">
        <v>2351</v>
      </c>
      <c r="BT233" s="176" t="s">
        <v>2352</v>
      </c>
      <c r="BU233" s="176" t="s">
        <v>2353</v>
      </c>
      <c r="BV233" s="176" t="s">
        <v>2354</v>
      </c>
      <c r="BW233" s="143"/>
      <c r="BX233" s="143"/>
      <c r="BY233" s="143"/>
      <c r="BZ233" s="143"/>
      <c r="CA233" s="143"/>
      <c r="CB233" s="143"/>
      <c r="CC233" s="143"/>
      <c r="CD233" s="143"/>
      <c r="CE233" s="143"/>
      <c r="CF233" s="143"/>
      <c r="CG233" s="145"/>
      <c r="CH233" s="143"/>
      <c r="CI233" s="143"/>
      <c r="CJ233" s="143"/>
      <c r="CK233" s="143"/>
      <c r="CL233" s="143"/>
      <c r="CM233" s="143"/>
      <c r="CN233" s="170"/>
      <c r="CO233" s="143"/>
      <c r="CP233" s="143"/>
      <c r="CQ233" s="143"/>
      <c r="CR233" s="143"/>
      <c r="CS233" s="143"/>
      <c r="CT233" s="143"/>
      <c r="CU233" s="143"/>
      <c r="CV233" s="143"/>
      <c r="CW233" s="143"/>
      <c r="CX233" s="143"/>
      <c r="CY233" s="143"/>
      <c r="CZ233" s="143"/>
      <c r="DA233" s="143"/>
      <c r="DB233" s="143"/>
    </row>
    <row r="234" spans="1:106">
      <c r="A234" s="143"/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  <c r="AU234" s="143"/>
      <c r="AV234" s="143"/>
      <c r="AW234" s="143"/>
      <c r="AX234" s="163"/>
      <c r="AY234" s="143"/>
      <c r="AZ234" s="143"/>
      <c r="BA234" s="143"/>
      <c r="BB234" s="143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3"/>
      <c r="BN234" s="1581"/>
      <c r="BO234" s="1571"/>
      <c r="BP234" s="1571"/>
      <c r="BQ234" s="2741" t="s">
        <v>1705</v>
      </c>
      <c r="BR234" s="2741" t="s">
        <v>1705</v>
      </c>
      <c r="BS234" s="2741" t="s">
        <v>1705</v>
      </c>
      <c r="BT234" s="2741" t="s">
        <v>1705</v>
      </c>
      <c r="BU234" s="2741" t="s">
        <v>1705</v>
      </c>
      <c r="BV234" s="2741" t="s">
        <v>1705</v>
      </c>
      <c r="BW234" s="143"/>
      <c r="BX234" s="143"/>
      <c r="BY234" s="143"/>
      <c r="BZ234" s="143"/>
      <c r="CA234" s="143"/>
      <c r="CB234" s="143"/>
      <c r="CC234" s="143"/>
      <c r="CD234" s="143"/>
      <c r="CE234" s="143"/>
      <c r="CF234" s="143"/>
      <c r="CG234" s="145"/>
      <c r="CH234" s="143"/>
      <c r="CI234" s="143"/>
      <c r="CJ234" s="143"/>
      <c r="CK234" s="143"/>
      <c r="CL234" s="143"/>
      <c r="CM234" s="143"/>
      <c r="CN234" s="170"/>
      <c r="CO234" s="143"/>
      <c r="CP234" s="143"/>
      <c r="CQ234" s="143"/>
      <c r="CR234" s="143"/>
      <c r="CS234" s="143"/>
      <c r="CT234" s="143"/>
      <c r="CU234" s="143"/>
      <c r="CV234" s="143"/>
      <c r="CW234" s="143"/>
      <c r="CX234" s="143"/>
      <c r="CY234" s="143"/>
      <c r="CZ234" s="143"/>
      <c r="DA234" s="143"/>
      <c r="DB234" s="143"/>
    </row>
    <row r="235" spans="1:106">
      <c r="A235" s="143"/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  <c r="AU235" s="143"/>
      <c r="AV235" s="143"/>
      <c r="AW235" s="143"/>
      <c r="AX235" s="163"/>
      <c r="AY235" s="143"/>
      <c r="AZ235" s="143"/>
      <c r="BA235" s="143"/>
      <c r="BB235" s="143"/>
      <c r="BC235" s="143"/>
      <c r="BD235" s="143"/>
      <c r="BE235" s="143"/>
      <c r="BF235" s="143"/>
      <c r="BG235" s="143"/>
      <c r="BH235" s="143"/>
      <c r="BI235" s="143"/>
      <c r="BJ235" s="143"/>
      <c r="BK235" s="143"/>
      <c r="BL235" s="143"/>
      <c r="BM235" s="143"/>
      <c r="BN235" s="2741">
        <v>1</v>
      </c>
      <c r="BO235" s="233" t="s">
        <v>441</v>
      </c>
      <c r="BP235" s="1571"/>
      <c r="BQ235" s="1571"/>
      <c r="BR235" s="143"/>
      <c r="BS235" s="143"/>
      <c r="BT235" s="143"/>
      <c r="BU235" s="143"/>
      <c r="BV235" s="143"/>
      <c r="BW235" s="143"/>
      <c r="BX235" s="143"/>
      <c r="BY235" s="143"/>
      <c r="BZ235" s="143"/>
      <c r="CA235" s="143"/>
      <c r="CB235" s="143"/>
      <c r="CC235" s="143"/>
      <c r="CD235" s="143"/>
      <c r="CE235" s="143"/>
      <c r="CF235" s="143"/>
      <c r="CG235" s="145"/>
      <c r="CH235" s="143"/>
      <c r="CI235" s="143"/>
      <c r="CJ235" s="143"/>
      <c r="CK235" s="143"/>
      <c r="CL235" s="143"/>
      <c r="CM235" s="143"/>
      <c r="CN235" s="170"/>
      <c r="CO235" s="143"/>
      <c r="CP235" s="143"/>
      <c r="CQ235" s="143"/>
      <c r="CR235" s="143"/>
      <c r="CS235" s="143"/>
      <c r="CT235" s="143"/>
      <c r="CU235" s="143"/>
      <c r="CV235" s="143"/>
      <c r="CW235" s="143"/>
      <c r="CX235" s="143"/>
      <c r="CY235" s="143"/>
      <c r="CZ235" s="143"/>
      <c r="DA235" s="143"/>
      <c r="DB235" s="143"/>
    </row>
    <row r="236" spans="1:106">
      <c r="A236" s="143"/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  <c r="AU236" s="143"/>
      <c r="AV236" s="143"/>
      <c r="AW236" s="143"/>
      <c r="AX236" s="163"/>
      <c r="AY236" s="143"/>
      <c r="AZ236" s="143"/>
      <c r="BA236" s="143"/>
      <c r="BB236" s="143"/>
      <c r="BC236" s="143"/>
      <c r="BD236" s="143"/>
      <c r="BE236" s="143"/>
      <c r="BF236" s="143"/>
      <c r="BG236" s="143"/>
      <c r="BH236" s="143"/>
      <c r="BI236" s="143"/>
      <c r="BJ236" s="143"/>
      <c r="BK236" s="143"/>
      <c r="BL236" s="143"/>
      <c r="BM236" s="143"/>
      <c r="BN236" s="2741">
        <v>2</v>
      </c>
      <c r="BO236" s="235" t="str">
        <f t="shared" ref="BO236:BO247" si="20">BE186</f>
        <v>December 2016</v>
      </c>
      <c r="BP236" s="1571"/>
      <c r="BQ236" s="182">
        <v>467039</v>
      </c>
      <c r="BR236" s="182">
        <v>19432237</v>
      </c>
      <c r="BS236" s="182">
        <v>781161</v>
      </c>
      <c r="BT236" s="182">
        <v>-544</v>
      </c>
      <c r="BU236" s="182">
        <v>13545</v>
      </c>
      <c r="BV236" s="182">
        <v>261917</v>
      </c>
      <c r="BW236" s="143"/>
      <c r="BX236" s="143"/>
      <c r="BY236" s="143"/>
      <c r="BZ236" s="143"/>
      <c r="CA236" s="143"/>
      <c r="CB236" s="143"/>
      <c r="CC236" s="143"/>
      <c r="CD236" s="143"/>
      <c r="CE236" s="143"/>
      <c r="CF236" s="143"/>
      <c r="CG236" s="145"/>
      <c r="CH236" s="143"/>
      <c r="CI236" s="143"/>
      <c r="CJ236" s="143"/>
      <c r="CK236" s="143"/>
      <c r="CL236" s="143"/>
      <c r="CM236" s="143"/>
      <c r="CN236" s="170"/>
      <c r="CO236" s="143"/>
      <c r="CP236" s="143"/>
      <c r="CQ236" s="143"/>
      <c r="CR236" s="143"/>
      <c r="CS236" s="143"/>
      <c r="CT236" s="143"/>
      <c r="CU236" s="143"/>
      <c r="CV236" s="143"/>
      <c r="CW236" s="143"/>
      <c r="CX236" s="143"/>
      <c r="CY236" s="143"/>
      <c r="CZ236" s="143"/>
      <c r="DA236" s="143"/>
      <c r="DB236" s="143"/>
    </row>
    <row r="237" spans="1:106">
      <c r="A237" s="143"/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  <c r="AU237" s="143"/>
      <c r="AV237" s="143"/>
      <c r="AW237" s="143"/>
      <c r="AX237" s="163"/>
      <c r="AY237" s="143"/>
      <c r="AZ237" s="143"/>
      <c r="BA237" s="143"/>
      <c r="BB237" s="143"/>
      <c r="BC237" s="143"/>
      <c r="BD237" s="143"/>
      <c r="BE237" s="143"/>
      <c r="BF237" s="143"/>
      <c r="BG237" s="143"/>
      <c r="BH237" s="143"/>
      <c r="BI237" s="143"/>
      <c r="BJ237" s="143"/>
      <c r="BK237" s="143"/>
      <c r="BL237" s="143"/>
      <c r="BM237" s="143"/>
      <c r="BN237" s="2741">
        <f t="shared" ref="BN237:BN265" si="21">1+BN236</f>
        <v>3</v>
      </c>
      <c r="BO237" s="235" t="str">
        <f t="shared" si="20"/>
        <v>January 2017</v>
      </c>
      <c r="BP237" s="1571"/>
      <c r="BQ237" s="182">
        <v>489372</v>
      </c>
      <c r="BR237" s="182">
        <v>19498454</v>
      </c>
      <c r="BS237" s="182">
        <v>711436</v>
      </c>
      <c r="BT237" s="182">
        <v>0</v>
      </c>
      <c r="BU237" s="182">
        <v>25800</v>
      </c>
      <c r="BV237" s="182">
        <v>284088</v>
      </c>
      <c r="BW237" s="143"/>
      <c r="BX237" s="143"/>
      <c r="BY237" s="143"/>
      <c r="BZ237" s="143"/>
      <c r="CA237" s="143"/>
      <c r="CB237" s="143"/>
      <c r="CC237" s="143"/>
      <c r="CD237" s="143"/>
      <c r="CE237" s="143"/>
      <c r="CF237" s="143"/>
      <c r="CG237" s="145"/>
      <c r="CH237" s="143"/>
      <c r="CI237" s="143"/>
      <c r="CJ237" s="143"/>
      <c r="CK237" s="143"/>
      <c r="CL237" s="143"/>
      <c r="CM237" s="143"/>
      <c r="CN237" s="170"/>
      <c r="CO237" s="143"/>
      <c r="CP237" s="143"/>
      <c r="CQ237" s="143"/>
      <c r="CR237" s="143"/>
      <c r="CS237" s="143"/>
      <c r="CT237" s="143"/>
      <c r="CU237" s="143"/>
      <c r="CV237" s="143"/>
      <c r="CW237" s="143"/>
      <c r="CX237" s="143"/>
      <c r="CY237" s="143"/>
      <c r="CZ237" s="143"/>
      <c r="DA237" s="143"/>
      <c r="DB237" s="143"/>
    </row>
    <row r="238" spans="1:106">
      <c r="A238" s="143"/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143"/>
      <c r="AK238" s="143"/>
      <c r="AL238" s="143"/>
      <c r="AM238" s="143"/>
      <c r="AN238" s="143"/>
      <c r="AO238" s="143"/>
      <c r="AP238" s="143"/>
      <c r="AQ238" s="143"/>
      <c r="AR238" s="143"/>
      <c r="AS238" s="143"/>
      <c r="AT238" s="143"/>
      <c r="AU238" s="143"/>
      <c r="AV238" s="143"/>
      <c r="AW238" s="143"/>
      <c r="AX238" s="163"/>
      <c r="AY238" s="143"/>
      <c r="AZ238" s="143"/>
      <c r="BA238" s="143"/>
      <c r="BB238" s="143"/>
      <c r="BC238" s="143"/>
      <c r="BD238" s="143"/>
      <c r="BE238" s="143"/>
      <c r="BF238" s="143"/>
      <c r="BG238" s="143"/>
      <c r="BH238" s="143"/>
      <c r="BI238" s="143"/>
      <c r="BJ238" s="143"/>
      <c r="BK238" s="143"/>
      <c r="BL238" s="143"/>
      <c r="BM238" s="143"/>
      <c r="BN238" s="2741">
        <f t="shared" si="21"/>
        <v>4</v>
      </c>
      <c r="BO238" s="235" t="str">
        <f t="shared" si="20"/>
        <v>February</v>
      </c>
      <c r="BP238" s="1571"/>
      <c r="BQ238" s="182">
        <v>461566</v>
      </c>
      <c r="BR238" s="182">
        <v>19481546</v>
      </c>
      <c r="BS238" s="182">
        <v>915194</v>
      </c>
      <c r="BT238" s="182">
        <v>0</v>
      </c>
      <c r="BU238" s="182">
        <v>31435</v>
      </c>
      <c r="BV238" s="182">
        <v>380259</v>
      </c>
      <c r="BW238" s="143"/>
      <c r="BX238" s="143"/>
      <c r="BY238" s="143"/>
      <c r="BZ238" s="143"/>
      <c r="CA238" s="143"/>
      <c r="CB238" s="143"/>
      <c r="CC238" s="143"/>
      <c r="CD238" s="143"/>
      <c r="CE238" s="143"/>
      <c r="CF238" s="143"/>
      <c r="CG238" s="145"/>
      <c r="CH238" s="143"/>
      <c r="CI238" s="143"/>
      <c r="CJ238" s="143"/>
      <c r="CK238" s="143"/>
      <c r="CL238" s="143"/>
      <c r="CM238" s="143"/>
      <c r="CN238" s="170"/>
      <c r="CO238" s="143"/>
      <c r="CP238" s="143"/>
      <c r="CQ238" s="143"/>
      <c r="CR238" s="143"/>
      <c r="CS238" s="143"/>
      <c r="CT238" s="143"/>
      <c r="CU238" s="143"/>
      <c r="CV238" s="143"/>
      <c r="CW238" s="143"/>
      <c r="CX238" s="143"/>
      <c r="CY238" s="143"/>
      <c r="CZ238" s="143"/>
      <c r="DA238" s="143"/>
      <c r="DB238" s="143"/>
    </row>
    <row r="239" spans="1:106">
      <c r="A239" s="143"/>
      <c r="B239" s="143"/>
      <c r="C239" s="143"/>
      <c r="D239" s="143"/>
      <c r="E239" s="143"/>
      <c r="F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  <c r="AT239" s="143"/>
      <c r="AU239" s="143"/>
      <c r="AV239" s="143"/>
      <c r="AW239" s="143"/>
      <c r="AX239" s="163"/>
      <c r="AY239" s="143"/>
      <c r="AZ239" s="143"/>
      <c r="BA239" s="143"/>
      <c r="BB239" s="143"/>
      <c r="BC239" s="143"/>
      <c r="BD239" s="143"/>
      <c r="BE239" s="143"/>
      <c r="BF239" s="143"/>
      <c r="BG239" s="143"/>
      <c r="BH239" s="143"/>
      <c r="BI239" s="143"/>
      <c r="BJ239" s="143"/>
      <c r="BK239" s="143"/>
      <c r="BL239" s="143"/>
      <c r="BM239" s="143"/>
      <c r="BN239" s="2741">
        <f t="shared" si="21"/>
        <v>5</v>
      </c>
      <c r="BO239" s="235" t="str">
        <f t="shared" si="20"/>
        <v>March</v>
      </c>
      <c r="BP239" s="1571"/>
      <c r="BQ239" s="182">
        <v>439857</v>
      </c>
      <c r="BR239" s="182">
        <v>19529432</v>
      </c>
      <c r="BS239" s="182">
        <v>569378</v>
      </c>
      <c r="BT239" s="182">
        <v>0</v>
      </c>
      <c r="BU239" s="182">
        <v>44885</v>
      </c>
      <c r="BV239" s="182">
        <v>472977</v>
      </c>
      <c r="BW239" s="143"/>
      <c r="BX239" s="143"/>
      <c r="BY239" s="143"/>
      <c r="BZ239" s="143"/>
      <c r="CA239" s="143"/>
      <c r="CB239" s="143"/>
      <c r="CC239" s="143"/>
      <c r="CD239" s="143"/>
      <c r="CE239" s="143"/>
      <c r="CF239" s="143"/>
      <c r="CG239" s="145"/>
      <c r="CH239" s="143"/>
      <c r="CI239" s="143"/>
      <c r="CJ239" s="143"/>
      <c r="CK239" s="143"/>
      <c r="CL239" s="143"/>
      <c r="CM239" s="143"/>
      <c r="CN239" s="170"/>
      <c r="CO239" s="143"/>
      <c r="CP239" s="143"/>
      <c r="CQ239" s="143"/>
      <c r="CR239" s="143"/>
      <c r="CS239" s="143"/>
      <c r="CT239" s="143"/>
      <c r="CU239" s="143"/>
      <c r="CV239" s="143"/>
      <c r="CW239" s="143"/>
      <c r="CX239" s="143"/>
      <c r="CY239" s="143"/>
      <c r="CZ239" s="143"/>
      <c r="DA239" s="143"/>
      <c r="DB239" s="143"/>
    </row>
    <row r="240" spans="1:106">
      <c r="A240" s="143"/>
      <c r="B240" s="143"/>
      <c r="C240" s="143"/>
      <c r="D240" s="143"/>
      <c r="E240" s="143"/>
      <c r="F240" s="143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3"/>
      <c r="AR240" s="143"/>
      <c r="AS240" s="143"/>
      <c r="AT240" s="143"/>
      <c r="AU240" s="143"/>
      <c r="AV240" s="143"/>
      <c r="AW240" s="143"/>
      <c r="AX240" s="163"/>
      <c r="AY240" s="143"/>
      <c r="AZ240" s="143"/>
      <c r="BA240" s="143"/>
      <c r="BB240" s="143"/>
      <c r="BC240" s="143"/>
      <c r="BD240" s="143"/>
      <c r="BE240" s="143"/>
      <c r="BF240" s="143"/>
      <c r="BG240" s="143"/>
      <c r="BH240" s="143"/>
      <c r="BI240" s="143"/>
      <c r="BJ240" s="143"/>
      <c r="BK240" s="143"/>
      <c r="BL240" s="143"/>
      <c r="BM240" s="143"/>
      <c r="BN240" s="2741">
        <f t="shared" si="21"/>
        <v>6</v>
      </c>
      <c r="BO240" s="235" t="str">
        <f t="shared" si="20"/>
        <v>April</v>
      </c>
      <c r="BP240" s="1571"/>
      <c r="BQ240" s="182">
        <v>470054</v>
      </c>
      <c r="BR240" s="182">
        <v>18273568</v>
      </c>
      <c r="BS240" s="182">
        <v>956471</v>
      </c>
      <c r="BT240" s="182">
        <v>0</v>
      </c>
      <c r="BU240" s="182">
        <v>50084</v>
      </c>
      <c r="BV240" s="182">
        <v>112470</v>
      </c>
      <c r="BW240" s="143"/>
      <c r="BX240" s="143"/>
      <c r="BY240" s="143"/>
      <c r="BZ240" s="143"/>
      <c r="CA240" s="143"/>
      <c r="CB240" s="143"/>
      <c r="CC240" s="143"/>
      <c r="CD240" s="143"/>
      <c r="CE240" s="143"/>
      <c r="CF240" s="143"/>
      <c r="CG240" s="145"/>
      <c r="CH240" s="143"/>
      <c r="CI240" s="143"/>
      <c r="CJ240" s="143"/>
      <c r="CK240" s="143"/>
      <c r="CL240" s="143"/>
      <c r="CM240" s="143"/>
      <c r="CN240" s="170"/>
      <c r="CO240" s="143"/>
      <c r="CP240" s="143"/>
      <c r="CQ240" s="143"/>
      <c r="CR240" s="143"/>
      <c r="CS240" s="143"/>
      <c r="CT240" s="143"/>
      <c r="CU240" s="143"/>
      <c r="CV240" s="143"/>
      <c r="CW240" s="143"/>
      <c r="CX240" s="143"/>
      <c r="CY240" s="143"/>
      <c r="CZ240" s="143"/>
      <c r="DA240" s="143"/>
      <c r="DB240" s="143"/>
    </row>
    <row r="241" spans="1:106">
      <c r="A241" s="143"/>
      <c r="B241" s="143"/>
      <c r="C241" s="143"/>
      <c r="D241" s="143"/>
      <c r="E241" s="143"/>
      <c r="F241" s="143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3"/>
      <c r="AP241" s="143"/>
      <c r="AQ241" s="143"/>
      <c r="AR241" s="143"/>
      <c r="AS241" s="143"/>
      <c r="AT241" s="143"/>
      <c r="AU241" s="143"/>
      <c r="AV241" s="143"/>
      <c r="AW241" s="143"/>
      <c r="AX241" s="163"/>
      <c r="AY241" s="143"/>
      <c r="AZ241" s="143"/>
      <c r="BA241" s="143"/>
      <c r="BB241" s="143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3"/>
      <c r="BN241" s="2741">
        <f t="shared" si="21"/>
        <v>7</v>
      </c>
      <c r="BO241" s="235" t="str">
        <f t="shared" si="20"/>
        <v>May</v>
      </c>
      <c r="BP241" s="1571"/>
      <c r="BQ241" s="182">
        <v>406994</v>
      </c>
      <c r="BR241" s="182">
        <v>18157788</v>
      </c>
      <c r="BS241" s="182">
        <v>1138212</v>
      </c>
      <c r="BT241" s="182">
        <v>0</v>
      </c>
      <c r="BU241" s="182">
        <v>32609</v>
      </c>
      <c r="BV241" s="182">
        <v>178309</v>
      </c>
      <c r="BW241" s="143"/>
      <c r="BX241" s="143"/>
      <c r="BY241" s="143"/>
      <c r="BZ241" s="143"/>
      <c r="CA241" s="143"/>
      <c r="CB241" s="143"/>
      <c r="CC241" s="143"/>
      <c r="CD241" s="143"/>
      <c r="CE241" s="143"/>
      <c r="CF241" s="143"/>
      <c r="CG241" s="145"/>
      <c r="CH241" s="143"/>
      <c r="CI241" s="143"/>
      <c r="CJ241" s="143"/>
      <c r="CK241" s="143"/>
      <c r="CL241" s="143"/>
      <c r="CM241" s="143"/>
      <c r="CN241" s="170"/>
      <c r="CO241" s="143"/>
      <c r="CP241" s="143"/>
      <c r="CQ241" s="143"/>
      <c r="CR241" s="143"/>
      <c r="CS241" s="143"/>
      <c r="CT241" s="143"/>
      <c r="CU241" s="143"/>
      <c r="CV241" s="143"/>
      <c r="CW241" s="143"/>
      <c r="CX241" s="143"/>
      <c r="CY241" s="143"/>
      <c r="CZ241" s="143"/>
      <c r="DA241" s="143"/>
      <c r="DB241" s="143"/>
    </row>
    <row r="242" spans="1:106">
      <c r="A242" s="143"/>
      <c r="B242" s="143"/>
      <c r="C242" s="143"/>
      <c r="D242" s="143"/>
      <c r="E242" s="143"/>
      <c r="F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143"/>
      <c r="AK242" s="143"/>
      <c r="AL242" s="143"/>
      <c r="AM242" s="143"/>
      <c r="AN242" s="143"/>
      <c r="AO242" s="143"/>
      <c r="AP242" s="143"/>
      <c r="AQ242" s="143"/>
      <c r="AR242" s="143"/>
      <c r="AS242" s="143"/>
      <c r="AT242" s="143"/>
      <c r="AU242" s="143"/>
      <c r="AV242" s="143"/>
      <c r="AW242" s="143"/>
      <c r="AX242" s="163"/>
      <c r="AY242" s="143"/>
      <c r="AZ242" s="143"/>
      <c r="BA242" s="143"/>
      <c r="BB242" s="143"/>
      <c r="BC242" s="143"/>
      <c r="BD242" s="143"/>
      <c r="BE242" s="143"/>
      <c r="BF242" s="143"/>
      <c r="BG242" s="143"/>
      <c r="BH242" s="143"/>
      <c r="BI242" s="143"/>
      <c r="BJ242" s="143"/>
      <c r="BK242" s="143"/>
      <c r="BL242" s="143"/>
      <c r="BM242" s="143"/>
      <c r="BN242" s="2741">
        <f t="shared" si="21"/>
        <v>8</v>
      </c>
      <c r="BO242" s="235" t="str">
        <f t="shared" si="20"/>
        <v>June</v>
      </c>
      <c r="BP242" s="245"/>
      <c r="BQ242" s="182">
        <v>467039</v>
      </c>
      <c r="BR242" s="182">
        <v>19432237</v>
      </c>
      <c r="BS242" s="182">
        <v>781161</v>
      </c>
      <c r="BT242" s="182">
        <v>-544</v>
      </c>
      <c r="BU242" s="182">
        <v>13545</v>
      </c>
      <c r="BV242" s="182">
        <v>261917</v>
      </c>
      <c r="BW242" s="143"/>
      <c r="BX242" s="143"/>
      <c r="BY242" s="143"/>
      <c r="BZ242" s="143"/>
      <c r="CA242" s="143"/>
      <c r="CB242" s="143"/>
      <c r="CC242" s="143"/>
      <c r="CD242" s="143"/>
      <c r="CE242" s="143"/>
      <c r="CF242" s="143"/>
      <c r="CG242" s="145"/>
      <c r="CH242" s="143"/>
      <c r="CI242" s="143"/>
      <c r="CJ242" s="143"/>
      <c r="CK242" s="143"/>
      <c r="CL242" s="143"/>
      <c r="CM242" s="143"/>
      <c r="CN242" s="170"/>
      <c r="CO242" s="143"/>
      <c r="CP242" s="143"/>
      <c r="CQ242" s="143"/>
      <c r="CR242" s="143"/>
      <c r="CS242" s="143"/>
      <c r="CT242" s="143"/>
      <c r="CU242" s="143"/>
      <c r="CV242" s="143"/>
      <c r="CW242" s="143"/>
      <c r="CX242" s="143"/>
      <c r="CY242" s="143"/>
      <c r="CZ242" s="143"/>
      <c r="DA242" s="143"/>
      <c r="DB242" s="143"/>
    </row>
    <row r="243" spans="1:106">
      <c r="A243" s="143"/>
      <c r="B243" s="143"/>
      <c r="C243" s="143"/>
      <c r="D243" s="143"/>
      <c r="E243" s="143"/>
      <c r="F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143"/>
      <c r="AK243" s="143"/>
      <c r="AL243" s="143"/>
      <c r="AM243" s="143"/>
      <c r="AN243" s="143"/>
      <c r="AO243" s="143"/>
      <c r="AP243" s="143"/>
      <c r="AQ243" s="143"/>
      <c r="AR243" s="143"/>
      <c r="AS243" s="143"/>
      <c r="AT243" s="143"/>
      <c r="AU243" s="143"/>
      <c r="AV243" s="143"/>
      <c r="AW243" s="143"/>
      <c r="AX243" s="163"/>
      <c r="AY243" s="143"/>
      <c r="AZ243" s="143"/>
      <c r="BA243" s="143"/>
      <c r="BB243" s="143"/>
      <c r="BC243" s="143"/>
      <c r="BD243" s="143"/>
      <c r="BE243" s="143"/>
      <c r="BF243" s="143"/>
      <c r="BG243" s="143"/>
      <c r="BH243" s="143"/>
      <c r="BI243" s="143"/>
      <c r="BJ243" s="143"/>
      <c r="BK243" s="143"/>
      <c r="BL243" s="143"/>
      <c r="BM243" s="143"/>
      <c r="BN243" s="2741">
        <f t="shared" si="21"/>
        <v>9</v>
      </c>
      <c r="BO243" s="235" t="str">
        <f t="shared" si="20"/>
        <v>July</v>
      </c>
      <c r="BP243" s="245"/>
      <c r="BQ243" s="182">
        <v>467039</v>
      </c>
      <c r="BR243" s="182">
        <v>19432237</v>
      </c>
      <c r="BS243" s="182">
        <v>781161</v>
      </c>
      <c r="BT243" s="182">
        <v>-544</v>
      </c>
      <c r="BU243" s="182">
        <v>13545</v>
      </c>
      <c r="BV243" s="182">
        <v>261917</v>
      </c>
      <c r="BW243" s="143"/>
      <c r="BX243" s="143"/>
      <c r="BY243" s="143"/>
      <c r="BZ243" s="143"/>
      <c r="CA243" s="143"/>
      <c r="CB243" s="143"/>
      <c r="CC243" s="143"/>
      <c r="CD243" s="143"/>
      <c r="CE243" s="143"/>
      <c r="CF243" s="143"/>
      <c r="CG243" s="145"/>
      <c r="CH243" s="143"/>
      <c r="CI243" s="143"/>
      <c r="CJ243" s="143"/>
      <c r="CK243" s="143"/>
      <c r="CL243" s="143"/>
      <c r="CM243" s="143"/>
      <c r="CN243" s="170"/>
      <c r="CO243" s="143"/>
      <c r="CP243" s="143"/>
      <c r="CQ243" s="143"/>
      <c r="CR243" s="143"/>
      <c r="CS243" s="143"/>
      <c r="CT243" s="143"/>
      <c r="CU243" s="143"/>
      <c r="CV243" s="143"/>
      <c r="CW243" s="143"/>
      <c r="CX243" s="143"/>
      <c r="CY243" s="143"/>
      <c r="CZ243" s="143"/>
      <c r="DA243" s="143"/>
      <c r="DB243" s="143"/>
    </row>
    <row r="244" spans="1:106">
      <c r="A244" s="143"/>
      <c r="B244" s="143"/>
      <c r="C244" s="143"/>
      <c r="D244" s="143"/>
      <c r="E244" s="143"/>
      <c r="F244" s="143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143"/>
      <c r="AK244" s="143"/>
      <c r="AL244" s="143"/>
      <c r="AM244" s="143"/>
      <c r="AN244" s="143"/>
      <c r="AO244" s="143"/>
      <c r="AP244" s="143"/>
      <c r="AQ244" s="143"/>
      <c r="AR244" s="143"/>
      <c r="AS244" s="143"/>
      <c r="AT244" s="143"/>
      <c r="AU244" s="143"/>
      <c r="AV244" s="143"/>
      <c r="AW244" s="143"/>
      <c r="AX244" s="163"/>
      <c r="AY244" s="143"/>
      <c r="AZ244" s="143"/>
      <c r="BA244" s="143"/>
      <c r="BB244" s="143"/>
      <c r="BC244" s="143"/>
      <c r="BD244" s="143"/>
      <c r="BE244" s="143"/>
      <c r="BF244" s="143"/>
      <c r="BG244" s="143"/>
      <c r="BH244" s="143"/>
      <c r="BI244" s="143"/>
      <c r="BJ244" s="143"/>
      <c r="BK244" s="143"/>
      <c r="BL244" s="143"/>
      <c r="BM244" s="143"/>
      <c r="BN244" s="2741">
        <f t="shared" si="21"/>
        <v>10</v>
      </c>
      <c r="BO244" s="235" t="str">
        <f t="shared" si="20"/>
        <v>August</v>
      </c>
      <c r="BP244" s="245"/>
      <c r="BQ244" s="182">
        <v>467039</v>
      </c>
      <c r="BR244" s="182">
        <v>19432237</v>
      </c>
      <c r="BS244" s="182">
        <v>781161</v>
      </c>
      <c r="BT244" s="182">
        <v>-544</v>
      </c>
      <c r="BU244" s="182">
        <v>13545</v>
      </c>
      <c r="BV244" s="182">
        <v>261917</v>
      </c>
      <c r="BW244" s="143"/>
      <c r="BX244" s="143"/>
      <c r="BY244" s="143"/>
      <c r="BZ244" s="143"/>
      <c r="CA244" s="143"/>
      <c r="CB244" s="143"/>
      <c r="CC244" s="143"/>
      <c r="CD244" s="143"/>
      <c r="CE244" s="143"/>
      <c r="CF244" s="143"/>
      <c r="CG244" s="145"/>
      <c r="CH244" s="143"/>
      <c r="CI244" s="143"/>
      <c r="CJ244" s="143"/>
      <c r="CK244" s="143"/>
      <c r="CL244" s="143"/>
      <c r="CM244" s="143"/>
      <c r="CN244" s="170"/>
      <c r="CO244" s="143"/>
      <c r="CP244" s="143"/>
      <c r="CQ244" s="143"/>
      <c r="CR244" s="143"/>
      <c r="CS244" s="143"/>
      <c r="CT244" s="143"/>
      <c r="CU244" s="143"/>
      <c r="CV244" s="143"/>
      <c r="CW244" s="143"/>
      <c r="CX244" s="143"/>
      <c r="CY244" s="143"/>
      <c r="CZ244" s="143"/>
      <c r="DA244" s="143"/>
      <c r="DB244" s="143"/>
    </row>
    <row r="245" spans="1:106">
      <c r="A245" s="143"/>
      <c r="B245" s="143"/>
      <c r="C245" s="143"/>
      <c r="D245" s="143"/>
      <c r="E245" s="143"/>
      <c r="F245" s="143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143"/>
      <c r="AK245" s="143"/>
      <c r="AL245" s="143"/>
      <c r="AM245" s="143"/>
      <c r="AN245" s="143"/>
      <c r="AO245" s="143"/>
      <c r="AP245" s="143"/>
      <c r="AQ245" s="143"/>
      <c r="AR245" s="143"/>
      <c r="AS245" s="143"/>
      <c r="AT245" s="143"/>
      <c r="AU245" s="143"/>
      <c r="AV245" s="143"/>
      <c r="AW245" s="143"/>
      <c r="AX245" s="163"/>
      <c r="AY245" s="143"/>
      <c r="AZ245" s="143"/>
      <c r="BA245" s="143"/>
      <c r="BB245" s="143"/>
      <c r="BC245" s="143"/>
      <c r="BD245" s="143"/>
      <c r="BE245" s="143"/>
      <c r="BF245" s="143"/>
      <c r="BG245" s="143"/>
      <c r="BH245" s="143"/>
      <c r="BI245" s="143"/>
      <c r="BJ245" s="143"/>
      <c r="BK245" s="143"/>
      <c r="BL245" s="143"/>
      <c r="BM245" s="143"/>
      <c r="BN245" s="2741">
        <f t="shared" si="21"/>
        <v>11</v>
      </c>
      <c r="BO245" s="235" t="str">
        <f t="shared" si="20"/>
        <v>September</v>
      </c>
      <c r="BP245" s="1571"/>
      <c r="BQ245" s="182">
        <v>467039</v>
      </c>
      <c r="BR245" s="182">
        <v>19432237</v>
      </c>
      <c r="BS245" s="182">
        <v>781161</v>
      </c>
      <c r="BT245" s="182">
        <v>-544</v>
      </c>
      <c r="BU245" s="182">
        <v>13545</v>
      </c>
      <c r="BV245" s="182">
        <v>261917</v>
      </c>
      <c r="BW245" s="143"/>
      <c r="BX245" s="143"/>
      <c r="BY245" s="143"/>
      <c r="BZ245" s="143"/>
      <c r="CA245" s="143"/>
      <c r="CB245" s="143"/>
      <c r="CC245" s="143"/>
      <c r="CD245" s="143"/>
      <c r="CE245" s="143"/>
      <c r="CF245" s="143"/>
      <c r="CG245" s="145"/>
      <c r="CH245" s="143"/>
      <c r="CI245" s="143"/>
      <c r="CJ245" s="143"/>
      <c r="CK245" s="143"/>
      <c r="CL245" s="143"/>
      <c r="CM245" s="143"/>
      <c r="CN245" s="170"/>
      <c r="CO245" s="143"/>
      <c r="CP245" s="143"/>
      <c r="CQ245" s="143"/>
      <c r="CR245" s="143"/>
      <c r="CS245" s="143"/>
      <c r="CT245" s="143"/>
      <c r="CU245" s="143"/>
      <c r="CV245" s="143"/>
      <c r="CW245" s="143"/>
      <c r="CX245" s="143"/>
      <c r="CY245" s="143"/>
      <c r="CZ245" s="143"/>
      <c r="DA245" s="143"/>
      <c r="DB245" s="143"/>
    </row>
    <row r="246" spans="1:106">
      <c r="A246" s="143"/>
      <c r="B246" s="143"/>
      <c r="C246" s="143"/>
      <c r="D246" s="143"/>
      <c r="E246" s="143"/>
      <c r="F246" s="143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143"/>
      <c r="AK246" s="143"/>
      <c r="AL246" s="143"/>
      <c r="AM246" s="143"/>
      <c r="AN246" s="143"/>
      <c r="AO246" s="143"/>
      <c r="AP246" s="143"/>
      <c r="AQ246" s="143"/>
      <c r="AR246" s="143"/>
      <c r="AS246" s="143"/>
      <c r="AT246" s="143"/>
      <c r="AU246" s="143"/>
      <c r="AV246" s="143"/>
      <c r="AW246" s="143"/>
      <c r="AX246" s="163"/>
      <c r="AY246" s="143"/>
      <c r="AZ246" s="143"/>
      <c r="BA246" s="143"/>
      <c r="BB246" s="143"/>
      <c r="BC246" s="143"/>
      <c r="BD246" s="143"/>
      <c r="BE246" s="143"/>
      <c r="BF246" s="143"/>
      <c r="BG246" s="143"/>
      <c r="BH246" s="143"/>
      <c r="BI246" s="143"/>
      <c r="BJ246" s="143"/>
      <c r="BK246" s="143"/>
      <c r="BL246" s="143"/>
      <c r="BM246" s="143"/>
      <c r="BN246" s="2741">
        <f t="shared" si="21"/>
        <v>12</v>
      </c>
      <c r="BO246" s="235" t="str">
        <f t="shared" si="20"/>
        <v>October</v>
      </c>
      <c r="BP246" s="1571"/>
      <c r="BQ246" s="182">
        <v>467039</v>
      </c>
      <c r="BR246" s="182">
        <v>19432237</v>
      </c>
      <c r="BS246" s="182">
        <v>781161</v>
      </c>
      <c r="BT246" s="182">
        <v>-544</v>
      </c>
      <c r="BU246" s="182">
        <v>13545</v>
      </c>
      <c r="BV246" s="182">
        <v>261917</v>
      </c>
      <c r="BW246" s="143"/>
      <c r="BX246" s="143"/>
      <c r="BY246" s="143"/>
      <c r="BZ246" s="143"/>
      <c r="CA246" s="143"/>
      <c r="CB246" s="143"/>
      <c r="CC246" s="143"/>
      <c r="CD246" s="143"/>
      <c r="CE246" s="143"/>
      <c r="CF246" s="143"/>
      <c r="CG246" s="145"/>
      <c r="CH246" s="143"/>
      <c r="CI246" s="143"/>
      <c r="CJ246" s="143"/>
      <c r="CK246" s="143"/>
      <c r="CL246" s="143"/>
      <c r="CM246" s="143"/>
      <c r="CN246" s="170"/>
      <c r="CO246" s="143"/>
      <c r="CP246" s="143"/>
      <c r="CQ246" s="143"/>
      <c r="CR246" s="143"/>
      <c r="CS246" s="143"/>
      <c r="CT246" s="143"/>
      <c r="CU246" s="143"/>
      <c r="CV246" s="143"/>
      <c r="CW246" s="143"/>
      <c r="CX246" s="143"/>
      <c r="CY246" s="143"/>
      <c r="CZ246" s="143"/>
      <c r="DA246" s="143"/>
      <c r="DB246" s="143"/>
    </row>
    <row r="247" spans="1:106">
      <c r="A247" s="143"/>
      <c r="B247" s="143"/>
      <c r="C247" s="143"/>
      <c r="D247" s="143"/>
      <c r="E247" s="143"/>
      <c r="F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  <c r="AT247" s="143"/>
      <c r="AU247" s="143"/>
      <c r="AV247" s="143"/>
      <c r="AW247" s="143"/>
      <c r="AX247" s="163"/>
      <c r="AY247" s="143"/>
      <c r="AZ247" s="143"/>
      <c r="BA247" s="143"/>
      <c r="BB247" s="143"/>
      <c r="BC247" s="143"/>
      <c r="BD247" s="143"/>
      <c r="BE247" s="143"/>
      <c r="BF247" s="143"/>
      <c r="BG247" s="143"/>
      <c r="BH247" s="143"/>
      <c r="BI247" s="143"/>
      <c r="BJ247" s="143"/>
      <c r="BK247" s="143"/>
      <c r="BL247" s="143"/>
      <c r="BM247" s="143"/>
      <c r="BN247" s="2741">
        <f t="shared" si="21"/>
        <v>13</v>
      </c>
      <c r="BO247" s="235" t="str">
        <f t="shared" si="20"/>
        <v>November</v>
      </c>
      <c r="BP247" s="1571"/>
      <c r="BQ247" s="182">
        <v>467039</v>
      </c>
      <c r="BR247" s="182">
        <v>19432237</v>
      </c>
      <c r="BS247" s="182">
        <v>781161</v>
      </c>
      <c r="BT247" s="182">
        <v>-544</v>
      </c>
      <c r="BU247" s="182">
        <v>13545</v>
      </c>
      <c r="BV247" s="182">
        <v>261917</v>
      </c>
      <c r="BW247" s="143"/>
      <c r="BX247" s="143"/>
      <c r="BY247" s="143"/>
      <c r="BZ247" s="143"/>
      <c r="CA247" s="143"/>
      <c r="CB247" s="143"/>
      <c r="CC247" s="143"/>
      <c r="CD247" s="143"/>
      <c r="CE247" s="143"/>
      <c r="CF247" s="143"/>
      <c r="CG247" s="145"/>
      <c r="CH247" s="143"/>
      <c r="CI247" s="143"/>
      <c r="CJ247" s="143"/>
      <c r="CK247" s="143"/>
      <c r="CL247" s="143"/>
      <c r="CM247" s="143"/>
      <c r="CN247" s="170"/>
      <c r="CO247" s="143"/>
      <c r="CP247" s="143"/>
      <c r="CQ247" s="143"/>
      <c r="CR247" s="143"/>
      <c r="CS247" s="143"/>
      <c r="CT247" s="143"/>
      <c r="CU247" s="143"/>
      <c r="CV247" s="143"/>
      <c r="CW247" s="143"/>
      <c r="CX247" s="143"/>
      <c r="CY247" s="143"/>
      <c r="CZ247" s="143"/>
      <c r="DA247" s="143"/>
      <c r="DB247" s="143"/>
    </row>
    <row r="248" spans="1:106">
      <c r="A248" s="143"/>
      <c r="B248" s="143"/>
      <c r="C248" s="143"/>
      <c r="D248" s="143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143"/>
      <c r="AR248" s="143"/>
      <c r="AS248" s="143"/>
      <c r="AT248" s="143"/>
      <c r="AU248" s="143"/>
      <c r="AV248" s="143"/>
      <c r="AW248" s="143"/>
      <c r="AX248" s="163"/>
      <c r="AY248" s="143"/>
      <c r="AZ248" s="143"/>
      <c r="BA248" s="143"/>
      <c r="BB248" s="143"/>
      <c r="BC248" s="143"/>
      <c r="BD248" s="143"/>
      <c r="BE248" s="143"/>
      <c r="BF248" s="143"/>
      <c r="BG248" s="143"/>
      <c r="BH248" s="143"/>
      <c r="BI248" s="143"/>
      <c r="BJ248" s="143"/>
      <c r="BK248" s="143"/>
      <c r="BL248" s="143"/>
      <c r="BM248" s="143"/>
      <c r="BN248" s="2741">
        <f t="shared" si="21"/>
        <v>14</v>
      </c>
      <c r="BO248" s="1571"/>
      <c r="BP248" s="1571"/>
      <c r="BQ248" s="1571"/>
      <c r="BR248" s="1571"/>
      <c r="BS248" s="1571"/>
      <c r="BT248" s="1571"/>
      <c r="BU248" s="1571"/>
      <c r="BV248" s="1571"/>
      <c r="BW248" s="143"/>
      <c r="BX248" s="143"/>
      <c r="BY248" s="143"/>
      <c r="BZ248" s="143"/>
      <c r="CA248" s="143"/>
      <c r="CB248" s="143"/>
      <c r="CC248" s="143"/>
      <c r="CD248" s="143"/>
      <c r="CE248" s="143"/>
      <c r="CF248" s="143"/>
      <c r="CG248" s="145"/>
      <c r="CH248" s="143"/>
      <c r="CI248" s="143"/>
      <c r="CJ248" s="143"/>
      <c r="CK248" s="143"/>
      <c r="CL248" s="143"/>
      <c r="CM248" s="143"/>
      <c r="CN248" s="170"/>
      <c r="CO248" s="143"/>
      <c r="CP248" s="143"/>
      <c r="CQ248" s="143"/>
      <c r="CR248" s="143"/>
      <c r="CS248" s="143"/>
      <c r="CT248" s="143"/>
      <c r="CU248" s="143"/>
      <c r="CV248" s="143"/>
      <c r="CW248" s="143"/>
      <c r="CX248" s="143"/>
      <c r="CY248" s="143"/>
      <c r="CZ248" s="143"/>
      <c r="DA248" s="143"/>
      <c r="DB248" s="143"/>
    </row>
    <row r="249" spans="1:106">
      <c r="A249" s="143"/>
      <c r="B249" s="143"/>
      <c r="C249" s="143"/>
      <c r="D249" s="143"/>
      <c r="E249" s="143"/>
      <c r="F249" s="143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143"/>
      <c r="AK249" s="143"/>
      <c r="AL249" s="143"/>
      <c r="AM249" s="143"/>
      <c r="AN249" s="143"/>
      <c r="AO249" s="143"/>
      <c r="AP249" s="143"/>
      <c r="AQ249" s="143"/>
      <c r="AR249" s="143"/>
      <c r="AS249" s="143"/>
      <c r="AT249" s="143"/>
      <c r="AU249" s="143"/>
      <c r="AV249" s="143"/>
      <c r="AW249" s="143"/>
      <c r="AX249" s="163"/>
      <c r="AY249" s="143"/>
      <c r="AZ249" s="143"/>
      <c r="BA249" s="143"/>
      <c r="BB249" s="143"/>
      <c r="BC249" s="143"/>
      <c r="BD249" s="143"/>
      <c r="BE249" s="143"/>
      <c r="BF249" s="143"/>
      <c r="BG249" s="143"/>
      <c r="BH249" s="143"/>
      <c r="BI249" s="143"/>
      <c r="BJ249" s="143"/>
      <c r="BK249" s="143"/>
      <c r="BL249" s="143"/>
      <c r="BM249" s="143"/>
      <c r="BN249" s="2741">
        <f t="shared" si="21"/>
        <v>15</v>
      </c>
      <c r="BO249" s="233" t="s">
        <v>207</v>
      </c>
      <c r="BP249" s="1571"/>
      <c r="BQ249" s="1571"/>
      <c r="BR249" s="1571"/>
      <c r="BS249" s="1571"/>
      <c r="BT249" s="1571"/>
      <c r="BU249" s="1571"/>
      <c r="BV249" s="1571"/>
      <c r="BW249" s="143"/>
      <c r="BX249" s="143"/>
      <c r="BY249" s="143"/>
      <c r="BZ249" s="143"/>
      <c r="CA249" s="143"/>
      <c r="CB249" s="143"/>
      <c r="CC249" s="143"/>
      <c r="CD249" s="143"/>
      <c r="CE249" s="143"/>
      <c r="CF249" s="143"/>
      <c r="CG249" s="145"/>
      <c r="CH249" s="143"/>
      <c r="CI249" s="143"/>
      <c r="CJ249" s="143"/>
      <c r="CK249" s="143"/>
      <c r="CL249" s="143"/>
      <c r="CM249" s="143"/>
      <c r="CN249" s="170"/>
      <c r="CO249" s="143"/>
      <c r="CP249" s="143"/>
      <c r="CQ249" s="143"/>
      <c r="CR249" s="143"/>
      <c r="CS249" s="143"/>
      <c r="CT249" s="143"/>
      <c r="CU249" s="143"/>
      <c r="CV249" s="143"/>
      <c r="CW249" s="143"/>
      <c r="CX249" s="143"/>
      <c r="CY249" s="143"/>
      <c r="CZ249" s="143"/>
      <c r="DA249" s="143"/>
      <c r="DB249" s="143"/>
    </row>
    <row r="250" spans="1:106">
      <c r="A250" s="143"/>
      <c r="B250" s="143"/>
      <c r="C250" s="143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143"/>
      <c r="AR250" s="143"/>
      <c r="AS250" s="143"/>
      <c r="AT250" s="143"/>
      <c r="AU250" s="143"/>
      <c r="AV250" s="143"/>
      <c r="AW250" s="143"/>
      <c r="AX250" s="163"/>
      <c r="AY250" s="143"/>
      <c r="AZ250" s="143"/>
      <c r="BA250" s="143"/>
      <c r="BB250" s="143"/>
      <c r="BC250" s="143"/>
      <c r="BD250" s="143"/>
      <c r="BE250" s="143"/>
      <c r="BF250" s="143"/>
      <c r="BG250" s="143"/>
      <c r="BH250" s="143"/>
      <c r="BI250" s="143"/>
      <c r="BJ250" s="143"/>
      <c r="BK250" s="143"/>
      <c r="BL250" s="143"/>
      <c r="BM250" s="143"/>
      <c r="BN250" s="2741">
        <f t="shared" si="21"/>
        <v>16</v>
      </c>
      <c r="BO250" s="235" t="str">
        <f t="shared" ref="BO250:BO262" si="22">BE200</f>
        <v>March 2018</v>
      </c>
      <c r="BP250" s="1571"/>
      <c r="BQ250" s="182">
        <v>467039</v>
      </c>
      <c r="BR250" s="182">
        <v>19432237</v>
      </c>
      <c r="BS250" s="182">
        <v>781161</v>
      </c>
      <c r="BT250" s="182">
        <v>-544</v>
      </c>
      <c r="BU250" s="182">
        <v>13545</v>
      </c>
      <c r="BV250" s="182">
        <v>261917</v>
      </c>
      <c r="BW250" s="143"/>
      <c r="BX250" s="143"/>
      <c r="BY250" s="143"/>
      <c r="BZ250" s="143"/>
      <c r="CA250" s="143"/>
      <c r="CB250" s="143"/>
      <c r="CC250" s="143"/>
      <c r="CD250" s="143"/>
      <c r="CE250" s="143"/>
      <c r="CF250" s="143"/>
      <c r="CG250" s="145"/>
      <c r="CH250" s="143"/>
      <c r="CI250" s="143"/>
      <c r="CJ250" s="143"/>
      <c r="CK250" s="143"/>
      <c r="CL250" s="143"/>
      <c r="CM250" s="143"/>
      <c r="CN250" s="170"/>
      <c r="CO250" s="143"/>
      <c r="CP250" s="143"/>
      <c r="CQ250" s="143"/>
      <c r="CR250" s="143"/>
      <c r="CS250" s="143"/>
      <c r="CT250" s="143"/>
      <c r="CU250" s="143"/>
      <c r="CV250" s="143"/>
      <c r="CW250" s="143"/>
      <c r="CX250" s="143"/>
      <c r="CY250" s="143"/>
      <c r="CZ250" s="143"/>
      <c r="DA250" s="143"/>
      <c r="DB250" s="143"/>
    </row>
    <row r="251" spans="1:106">
      <c r="A251" s="143"/>
      <c r="B251" s="143"/>
      <c r="C251" s="143"/>
      <c r="D251" s="143"/>
      <c r="E251" s="143"/>
      <c r="F251" s="143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3"/>
      <c r="AP251" s="143"/>
      <c r="AQ251" s="143"/>
      <c r="AR251" s="143"/>
      <c r="AS251" s="143"/>
      <c r="AT251" s="143"/>
      <c r="AU251" s="143"/>
      <c r="AV251" s="143"/>
      <c r="AW251" s="143"/>
      <c r="AX251" s="163"/>
      <c r="AY251" s="143"/>
      <c r="AZ251" s="143"/>
      <c r="BA251" s="143"/>
      <c r="BB251" s="143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3"/>
      <c r="BN251" s="2741">
        <f t="shared" si="21"/>
        <v>17</v>
      </c>
      <c r="BO251" s="235" t="str">
        <f t="shared" si="22"/>
        <v>April</v>
      </c>
      <c r="BP251" s="1571"/>
      <c r="BQ251" s="182">
        <v>467039</v>
      </c>
      <c r="BR251" s="182">
        <v>19432237</v>
      </c>
      <c r="BS251" s="182">
        <v>781161</v>
      </c>
      <c r="BT251" s="182">
        <v>-544</v>
      </c>
      <c r="BU251" s="182">
        <v>13545</v>
      </c>
      <c r="BV251" s="182">
        <v>261917</v>
      </c>
      <c r="BW251" s="143"/>
      <c r="BX251" s="143"/>
      <c r="BY251" s="143"/>
      <c r="BZ251" s="143"/>
      <c r="CA251" s="143"/>
      <c r="CB251" s="143"/>
      <c r="CC251" s="143"/>
      <c r="CD251" s="143"/>
      <c r="CE251" s="143"/>
      <c r="CF251" s="143"/>
      <c r="CG251" s="145"/>
      <c r="CH251" s="143"/>
      <c r="CI251" s="143"/>
      <c r="CJ251" s="143"/>
      <c r="CK251" s="143"/>
      <c r="CL251" s="143"/>
      <c r="CM251" s="143"/>
      <c r="CN251" s="170"/>
      <c r="CO251" s="143"/>
      <c r="CP251" s="143"/>
      <c r="CQ251" s="143"/>
      <c r="CR251" s="143"/>
      <c r="CS251" s="143"/>
      <c r="CT251" s="143"/>
      <c r="CU251" s="143"/>
      <c r="CV251" s="143"/>
      <c r="CW251" s="143"/>
      <c r="CX251" s="143"/>
      <c r="CY251" s="143"/>
      <c r="CZ251" s="143"/>
      <c r="DA251" s="143"/>
      <c r="DB251" s="143"/>
    </row>
    <row r="252" spans="1:106">
      <c r="A252" s="143"/>
      <c r="B252" s="143"/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  <c r="AI252" s="143"/>
      <c r="AJ252" s="143"/>
      <c r="AK252" s="143"/>
      <c r="AL252" s="143"/>
      <c r="AM252" s="143"/>
      <c r="AN252" s="143"/>
      <c r="AO252" s="143"/>
      <c r="AP252" s="143"/>
      <c r="AQ252" s="143"/>
      <c r="AR252" s="143"/>
      <c r="AS252" s="143"/>
      <c r="AT252" s="143"/>
      <c r="AU252" s="143"/>
      <c r="AV252" s="143"/>
      <c r="AW252" s="143"/>
      <c r="AX252" s="163"/>
      <c r="AY252" s="143"/>
      <c r="AZ252" s="143"/>
      <c r="BA252" s="143"/>
      <c r="BB252" s="143"/>
      <c r="BC252" s="143"/>
      <c r="BD252" s="143"/>
      <c r="BE252" s="143"/>
      <c r="BF252" s="143"/>
      <c r="BG252" s="143"/>
      <c r="BH252" s="143"/>
      <c r="BI252" s="143"/>
      <c r="BJ252" s="143"/>
      <c r="BK252" s="143"/>
      <c r="BL252" s="143"/>
      <c r="BM252" s="143"/>
      <c r="BN252" s="2741">
        <f t="shared" si="21"/>
        <v>18</v>
      </c>
      <c r="BO252" s="235" t="str">
        <f t="shared" si="22"/>
        <v>May</v>
      </c>
      <c r="BP252" s="1571"/>
      <c r="BQ252" s="182">
        <v>467039</v>
      </c>
      <c r="BR252" s="182">
        <v>19432237</v>
      </c>
      <c r="BS252" s="182">
        <v>781161</v>
      </c>
      <c r="BT252" s="182">
        <v>-544</v>
      </c>
      <c r="BU252" s="182">
        <v>13545</v>
      </c>
      <c r="BV252" s="182">
        <v>261917</v>
      </c>
      <c r="BW252" s="143"/>
      <c r="BX252" s="143"/>
      <c r="BY252" s="143"/>
      <c r="BZ252" s="143"/>
      <c r="CA252" s="143"/>
      <c r="CB252" s="143"/>
      <c r="CC252" s="143"/>
      <c r="CD252" s="143"/>
      <c r="CE252" s="143"/>
      <c r="CF252" s="143"/>
      <c r="CG252" s="145"/>
      <c r="CH252" s="143"/>
      <c r="CI252" s="143"/>
      <c r="CJ252" s="143"/>
      <c r="CK252" s="143"/>
      <c r="CL252" s="143"/>
      <c r="CM252" s="143"/>
      <c r="CN252" s="170"/>
      <c r="CO252" s="143"/>
      <c r="CP252" s="143"/>
      <c r="CQ252" s="143"/>
      <c r="CR252" s="143"/>
      <c r="CS252" s="143"/>
      <c r="CT252" s="143"/>
      <c r="CU252" s="143"/>
      <c r="CV252" s="143"/>
      <c r="CW252" s="143"/>
      <c r="CX252" s="143"/>
      <c r="CY252" s="143"/>
      <c r="CZ252" s="143"/>
      <c r="DA252" s="143"/>
      <c r="DB252" s="143"/>
    </row>
    <row r="253" spans="1:106">
      <c r="A253" s="143"/>
      <c r="B253" s="143"/>
      <c r="C253" s="143"/>
      <c r="D253" s="143"/>
      <c r="E253" s="143"/>
      <c r="F253" s="143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143"/>
      <c r="AK253" s="143"/>
      <c r="AL253" s="143"/>
      <c r="AM253" s="143"/>
      <c r="AN253" s="143"/>
      <c r="AO253" s="143"/>
      <c r="AP253" s="143"/>
      <c r="AQ253" s="143"/>
      <c r="AR253" s="143"/>
      <c r="AS253" s="143"/>
      <c r="AT253" s="143"/>
      <c r="AU253" s="143"/>
      <c r="AV253" s="143"/>
      <c r="AW253" s="143"/>
      <c r="AX253" s="163"/>
      <c r="AY253" s="143"/>
      <c r="AZ253" s="143"/>
      <c r="BA253" s="143"/>
      <c r="BB253" s="143"/>
      <c r="BC253" s="143"/>
      <c r="BD253" s="143"/>
      <c r="BE253" s="143"/>
      <c r="BF253" s="143"/>
      <c r="BG253" s="143"/>
      <c r="BH253" s="143"/>
      <c r="BI253" s="143"/>
      <c r="BJ253" s="143"/>
      <c r="BK253" s="143"/>
      <c r="BL253" s="143"/>
      <c r="BM253" s="143"/>
      <c r="BN253" s="2741">
        <f t="shared" si="21"/>
        <v>19</v>
      </c>
      <c r="BO253" s="235" t="str">
        <f t="shared" si="22"/>
        <v>June</v>
      </c>
      <c r="BP253" s="1571"/>
      <c r="BQ253" s="182">
        <v>467039</v>
      </c>
      <c r="BR253" s="182">
        <v>19432237</v>
      </c>
      <c r="BS253" s="182">
        <v>781161</v>
      </c>
      <c r="BT253" s="182">
        <v>-544</v>
      </c>
      <c r="BU253" s="182">
        <v>13545</v>
      </c>
      <c r="BV253" s="182">
        <v>261917</v>
      </c>
      <c r="BW253" s="143"/>
      <c r="BX253" s="143"/>
      <c r="BY253" s="143"/>
      <c r="BZ253" s="143"/>
      <c r="CA253" s="143"/>
      <c r="CB253" s="143"/>
      <c r="CC253" s="143"/>
      <c r="CD253" s="143"/>
      <c r="CE253" s="143"/>
      <c r="CF253" s="143"/>
      <c r="CG253" s="145"/>
      <c r="CH253" s="143"/>
      <c r="CI253" s="143"/>
      <c r="CJ253" s="143"/>
      <c r="CK253" s="143"/>
      <c r="CL253" s="143"/>
      <c r="CM253" s="143"/>
      <c r="CN253" s="170"/>
      <c r="CO253" s="143"/>
      <c r="CP253" s="143"/>
      <c r="CQ253" s="143"/>
      <c r="CR253" s="143"/>
      <c r="CS253" s="143"/>
      <c r="CT253" s="143"/>
      <c r="CU253" s="143"/>
      <c r="CV253" s="143"/>
      <c r="CW253" s="143"/>
      <c r="CX253" s="143"/>
      <c r="CY253" s="143"/>
      <c r="CZ253" s="143"/>
      <c r="DA253" s="143"/>
      <c r="DB253" s="143"/>
    </row>
    <row r="254" spans="1:106">
      <c r="A254" s="143"/>
      <c r="B254" s="143"/>
      <c r="C254" s="143"/>
      <c r="D254" s="143"/>
      <c r="E254" s="143"/>
      <c r="F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143"/>
      <c r="AK254" s="143"/>
      <c r="AL254" s="143"/>
      <c r="AM254" s="143"/>
      <c r="AN254" s="143"/>
      <c r="AO254" s="143"/>
      <c r="AP254" s="143"/>
      <c r="AQ254" s="143"/>
      <c r="AR254" s="143"/>
      <c r="AS254" s="143"/>
      <c r="AT254" s="143"/>
      <c r="AU254" s="143"/>
      <c r="AV254" s="143"/>
      <c r="AW254" s="143"/>
      <c r="AX254" s="163"/>
      <c r="AY254" s="143"/>
      <c r="AZ254" s="143"/>
      <c r="BA254" s="143"/>
      <c r="BB254" s="143"/>
      <c r="BC254" s="143"/>
      <c r="BD254" s="143"/>
      <c r="BE254" s="143"/>
      <c r="BF254" s="143"/>
      <c r="BG254" s="143"/>
      <c r="BH254" s="143"/>
      <c r="BI254" s="143"/>
      <c r="BJ254" s="143"/>
      <c r="BK254" s="143"/>
      <c r="BL254" s="143"/>
      <c r="BM254" s="143"/>
      <c r="BN254" s="2741">
        <f t="shared" si="21"/>
        <v>20</v>
      </c>
      <c r="BO254" s="235" t="str">
        <f t="shared" si="22"/>
        <v>July</v>
      </c>
      <c r="BP254" s="1571"/>
      <c r="BQ254" s="182">
        <v>467039</v>
      </c>
      <c r="BR254" s="182">
        <v>19432237</v>
      </c>
      <c r="BS254" s="182">
        <v>781161</v>
      </c>
      <c r="BT254" s="182">
        <v>-544</v>
      </c>
      <c r="BU254" s="182">
        <v>13545</v>
      </c>
      <c r="BV254" s="182">
        <v>261917</v>
      </c>
      <c r="BW254" s="143"/>
      <c r="BX254" s="143"/>
      <c r="BY254" s="143"/>
      <c r="BZ254" s="143"/>
      <c r="CA254" s="143"/>
      <c r="CB254" s="143"/>
      <c r="CC254" s="143"/>
      <c r="CD254" s="143"/>
      <c r="CE254" s="143"/>
      <c r="CF254" s="143"/>
      <c r="CG254" s="145"/>
      <c r="CH254" s="143"/>
      <c r="CI254" s="143"/>
      <c r="CJ254" s="143"/>
      <c r="CK254" s="143"/>
      <c r="CL254" s="143"/>
      <c r="CM254" s="143"/>
      <c r="CN254" s="170"/>
      <c r="CO254" s="143"/>
      <c r="CP254" s="143"/>
      <c r="CQ254" s="143"/>
      <c r="CR254" s="143"/>
      <c r="CS254" s="143"/>
      <c r="CT254" s="143"/>
      <c r="CU254" s="143"/>
      <c r="CV254" s="143"/>
      <c r="CW254" s="143"/>
      <c r="CX254" s="143"/>
      <c r="CY254" s="143"/>
      <c r="CZ254" s="143"/>
      <c r="DA254" s="143"/>
      <c r="DB254" s="143"/>
    </row>
    <row r="255" spans="1:106">
      <c r="A255" s="143"/>
      <c r="B255" s="143"/>
      <c r="C255" s="143"/>
      <c r="D255" s="143"/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  <c r="AI255" s="143"/>
      <c r="AJ255" s="143"/>
      <c r="AK255" s="143"/>
      <c r="AL255" s="143"/>
      <c r="AM255" s="143"/>
      <c r="AN255" s="143"/>
      <c r="AO255" s="143"/>
      <c r="AP255" s="143"/>
      <c r="AQ255" s="143"/>
      <c r="AR255" s="143"/>
      <c r="AS255" s="143"/>
      <c r="AT255" s="143"/>
      <c r="AU255" s="143"/>
      <c r="AV255" s="143"/>
      <c r="AW255" s="143"/>
      <c r="AX255" s="163"/>
      <c r="AY255" s="143"/>
      <c r="AZ255" s="143"/>
      <c r="BA255" s="143"/>
      <c r="BB255" s="143"/>
      <c r="BC255" s="143"/>
      <c r="BD255" s="143"/>
      <c r="BE255" s="143"/>
      <c r="BF255" s="143"/>
      <c r="BG255" s="143"/>
      <c r="BH255" s="143"/>
      <c r="BI255" s="143"/>
      <c r="BJ255" s="143"/>
      <c r="BK255" s="143"/>
      <c r="BL255" s="143"/>
      <c r="BM255" s="143"/>
      <c r="BN255" s="2741">
        <f t="shared" si="21"/>
        <v>21</v>
      </c>
      <c r="BO255" s="235" t="str">
        <f t="shared" si="22"/>
        <v>August</v>
      </c>
      <c r="BP255" s="1571"/>
      <c r="BQ255" s="182">
        <v>467039</v>
      </c>
      <c r="BR255" s="182">
        <v>19432237</v>
      </c>
      <c r="BS255" s="182">
        <v>781161</v>
      </c>
      <c r="BT255" s="182">
        <v>-544</v>
      </c>
      <c r="BU255" s="182">
        <v>13545</v>
      </c>
      <c r="BV255" s="182">
        <v>261917</v>
      </c>
      <c r="BW255" s="143"/>
      <c r="BX255" s="143"/>
      <c r="BY255" s="143"/>
      <c r="BZ255" s="143"/>
      <c r="CA255" s="143"/>
      <c r="CB255" s="143"/>
      <c r="CC255" s="143"/>
      <c r="CD255" s="143"/>
      <c r="CE255" s="143"/>
      <c r="CF255" s="143"/>
      <c r="CG255" s="145"/>
      <c r="CH255" s="143"/>
      <c r="CI255" s="143"/>
      <c r="CJ255" s="143"/>
      <c r="CK255" s="143"/>
      <c r="CL255" s="143"/>
      <c r="CM255" s="143"/>
      <c r="CN255" s="170"/>
      <c r="CO255" s="143"/>
      <c r="CP255" s="143"/>
      <c r="CQ255" s="143"/>
      <c r="CR255" s="143"/>
      <c r="CS255" s="143"/>
      <c r="CT255" s="143"/>
      <c r="CU255" s="143"/>
      <c r="CV255" s="143"/>
      <c r="CW255" s="143"/>
      <c r="CX255" s="143"/>
      <c r="CY255" s="143"/>
      <c r="CZ255" s="143"/>
      <c r="DA255" s="143"/>
      <c r="DB255" s="143"/>
    </row>
    <row r="256" spans="1:106">
      <c r="A256" s="143"/>
      <c r="B256" s="143"/>
      <c r="C256" s="143"/>
      <c r="D256" s="143"/>
      <c r="E256" s="143"/>
      <c r="F256" s="143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  <c r="AI256" s="143"/>
      <c r="AJ256" s="143"/>
      <c r="AK256" s="143"/>
      <c r="AL256" s="143"/>
      <c r="AM256" s="143"/>
      <c r="AN256" s="143"/>
      <c r="AO256" s="143"/>
      <c r="AP256" s="143"/>
      <c r="AQ256" s="143"/>
      <c r="AR256" s="143"/>
      <c r="AS256" s="143"/>
      <c r="AT256" s="143"/>
      <c r="AU256" s="143"/>
      <c r="AV256" s="143"/>
      <c r="AW256" s="143"/>
      <c r="AX256" s="163"/>
      <c r="AY256" s="143"/>
      <c r="AZ256" s="143"/>
      <c r="BA256" s="143"/>
      <c r="BB256" s="143"/>
      <c r="BC256" s="143"/>
      <c r="BD256" s="143"/>
      <c r="BE256" s="143"/>
      <c r="BF256" s="143"/>
      <c r="BG256" s="143"/>
      <c r="BH256" s="143"/>
      <c r="BI256" s="143"/>
      <c r="BJ256" s="143"/>
      <c r="BK256" s="143"/>
      <c r="BL256" s="143"/>
      <c r="BM256" s="143"/>
      <c r="BN256" s="2741">
        <f t="shared" si="21"/>
        <v>22</v>
      </c>
      <c r="BO256" s="235" t="str">
        <f t="shared" si="22"/>
        <v>September</v>
      </c>
      <c r="BP256" s="1571"/>
      <c r="BQ256" s="182">
        <v>467039</v>
      </c>
      <c r="BR256" s="182">
        <v>19432237</v>
      </c>
      <c r="BS256" s="182">
        <v>781161</v>
      </c>
      <c r="BT256" s="182">
        <v>-544</v>
      </c>
      <c r="BU256" s="182">
        <v>13545</v>
      </c>
      <c r="BV256" s="182">
        <v>261917</v>
      </c>
      <c r="BW256" s="143"/>
      <c r="BX256" s="143"/>
      <c r="BY256" s="143"/>
      <c r="BZ256" s="143"/>
      <c r="CA256" s="143"/>
      <c r="CB256" s="143"/>
      <c r="CC256" s="143"/>
      <c r="CD256" s="143"/>
      <c r="CE256" s="143"/>
      <c r="CF256" s="143"/>
      <c r="CG256" s="145"/>
      <c r="CH256" s="143"/>
      <c r="CI256" s="143"/>
      <c r="CJ256" s="143"/>
      <c r="CK256" s="143"/>
      <c r="CL256" s="143"/>
      <c r="CM256" s="143"/>
      <c r="CN256" s="170"/>
      <c r="CO256" s="143"/>
      <c r="CP256" s="143"/>
      <c r="CQ256" s="143"/>
      <c r="CR256" s="143"/>
      <c r="CS256" s="143"/>
      <c r="CT256" s="143"/>
      <c r="CU256" s="143"/>
      <c r="CV256" s="143"/>
      <c r="CW256" s="143"/>
      <c r="CX256" s="143"/>
      <c r="CY256" s="143"/>
      <c r="CZ256" s="143"/>
      <c r="DA256" s="143"/>
      <c r="DB256" s="143"/>
    </row>
    <row r="257" spans="1:106">
      <c r="A257" s="143"/>
      <c r="B257" s="143"/>
      <c r="C257" s="143"/>
      <c r="D257" s="143"/>
      <c r="E257" s="143"/>
      <c r="F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3"/>
      <c r="AP257" s="143"/>
      <c r="AQ257" s="143"/>
      <c r="AR257" s="143"/>
      <c r="AS257" s="143"/>
      <c r="AT257" s="143"/>
      <c r="AU257" s="143"/>
      <c r="AV257" s="143"/>
      <c r="AW257" s="143"/>
      <c r="AX257" s="163"/>
      <c r="AY257" s="143"/>
      <c r="AZ257" s="143"/>
      <c r="BA257" s="143"/>
      <c r="BB257" s="143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3"/>
      <c r="BN257" s="2741">
        <f t="shared" si="21"/>
        <v>23</v>
      </c>
      <c r="BO257" s="235" t="str">
        <f t="shared" si="22"/>
        <v>October</v>
      </c>
      <c r="BP257" s="1571"/>
      <c r="BQ257" s="182">
        <v>467039</v>
      </c>
      <c r="BR257" s="182">
        <v>19432237</v>
      </c>
      <c r="BS257" s="182">
        <v>781161</v>
      </c>
      <c r="BT257" s="182">
        <v>-544</v>
      </c>
      <c r="BU257" s="182">
        <v>13545</v>
      </c>
      <c r="BV257" s="182">
        <v>261917</v>
      </c>
      <c r="BW257" s="143"/>
      <c r="BX257" s="143"/>
      <c r="BY257" s="143"/>
      <c r="BZ257" s="143"/>
      <c r="CA257" s="143"/>
      <c r="CB257" s="143"/>
      <c r="CC257" s="143"/>
      <c r="CD257" s="143"/>
      <c r="CE257" s="143"/>
      <c r="CF257" s="143"/>
      <c r="CG257" s="145"/>
      <c r="CH257" s="143"/>
      <c r="CI257" s="143"/>
      <c r="CJ257" s="143"/>
      <c r="CK257" s="143"/>
      <c r="CL257" s="143"/>
      <c r="CM257" s="143"/>
      <c r="CN257" s="170"/>
      <c r="CO257" s="143"/>
      <c r="CP257" s="143"/>
      <c r="CQ257" s="143"/>
      <c r="CR257" s="143"/>
      <c r="CS257" s="143"/>
      <c r="CT257" s="143"/>
      <c r="CU257" s="143"/>
      <c r="CV257" s="143"/>
      <c r="CW257" s="143"/>
      <c r="CX257" s="143"/>
      <c r="CY257" s="143"/>
      <c r="CZ257" s="143"/>
      <c r="DA257" s="143"/>
      <c r="DB257" s="143"/>
    </row>
    <row r="258" spans="1:106">
      <c r="A258" s="143"/>
      <c r="B258" s="143"/>
      <c r="C258" s="143"/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  <c r="AI258" s="143"/>
      <c r="AJ258" s="143"/>
      <c r="AK258" s="143"/>
      <c r="AL258" s="143"/>
      <c r="AM258" s="143"/>
      <c r="AN258" s="143"/>
      <c r="AO258" s="143"/>
      <c r="AP258" s="143"/>
      <c r="AQ258" s="143"/>
      <c r="AR258" s="143"/>
      <c r="AS258" s="143"/>
      <c r="AT258" s="143"/>
      <c r="AU258" s="143"/>
      <c r="AV258" s="143"/>
      <c r="AW258" s="143"/>
      <c r="AX258" s="163"/>
      <c r="AY258" s="143"/>
      <c r="AZ258" s="143"/>
      <c r="BA258" s="143"/>
      <c r="BB258" s="143"/>
      <c r="BC258" s="143"/>
      <c r="BD258" s="143"/>
      <c r="BE258" s="143"/>
      <c r="BF258" s="143"/>
      <c r="BG258" s="143"/>
      <c r="BH258" s="143"/>
      <c r="BI258" s="143"/>
      <c r="BJ258" s="143"/>
      <c r="BK258" s="143"/>
      <c r="BL258" s="143"/>
      <c r="BM258" s="143"/>
      <c r="BN258" s="2741">
        <f t="shared" si="21"/>
        <v>24</v>
      </c>
      <c r="BO258" s="235" t="str">
        <f t="shared" si="22"/>
        <v>November</v>
      </c>
      <c r="BP258" s="1571"/>
      <c r="BQ258" s="182">
        <v>467039</v>
      </c>
      <c r="BR258" s="182">
        <v>19432237</v>
      </c>
      <c r="BS258" s="182">
        <v>781161</v>
      </c>
      <c r="BT258" s="182">
        <v>-544</v>
      </c>
      <c r="BU258" s="182">
        <v>13545</v>
      </c>
      <c r="BV258" s="182">
        <v>261917</v>
      </c>
      <c r="BW258" s="143"/>
      <c r="BX258" s="143"/>
      <c r="BY258" s="143"/>
      <c r="BZ258" s="143"/>
      <c r="CA258" s="143"/>
      <c r="CB258" s="143"/>
      <c r="CC258" s="143"/>
      <c r="CD258" s="143"/>
      <c r="CE258" s="143"/>
      <c r="CF258" s="143"/>
      <c r="CG258" s="145"/>
      <c r="CH258" s="143"/>
      <c r="CI258" s="143"/>
      <c r="CJ258" s="143"/>
      <c r="CK258" s="143"/>
      <c r="CL258" s="143"/>
      <c r="CM258" s="143"/>
      <c r="CN258" s="170"/>
      <c r="CO258" s="143"/>
      <c r="CP258" s="143"/>
      <c r="CQ258" s="143"/>
      <c r="CR258" s="143"/>
      <c r="CS258" s="143"/>
      <c r="CT258" s="143"/>
      <c r="CU258" s="143"/>
      <c r="CV258" s="143"/>
      <c r="CW258" s="143"/>
      <c r="CX258" s="143"/>
      <c r="CY258" s="143"/>
      <c r="CZ258" s="143"/>
      <c r="DA258" s="143"/>
      <c r="DB258" s="143"/>
    </row>
    <row r="259" spans="1:106">
      <c r="A259" s="143"/>
      <c r="B259" s="143"/>
      <c r="C259" s="143"/>
      <c r="D259" s="143"/>
      <c r="E259" s="143"/>
      <c r="F259" s="143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143"/>
      <c r="AK259" s="143"/>
      <c r="AL259" s="143"/>
      <c r="AM259" s="143"/>
      <c r="AN259" s="143"/>
      <c r="AO259" s="143"/>
      <c r="AP259" s="143"/>
      <c r="AQ259" s="143"/>
      <c r="AR259" s="143"/>
      <c r="AS259" s="143"/>
      <c r="AT259" s="143"/>
      <c r="AU259" s="143"/>
      <c r="AV259" s="143"/>
      <c r="AW259" s="143"/>
      <c r="AX259" s="163"/>
      <c r="AY259" s="143"/>
      <c r="AZ259" s="143"/>
      <c r="BA259" s="143"/>
      <c r="BB259" s="143"/>
      <c r="BC259" s="143"/>
      <c r="BD259" s="143"/>
      <c r="BE259" s="143"/>
      <c r="BF259" s="143"/>
      <c r="BG259" s="143"/>
      <c r="BH259" s="143"/>
      <c r="BI259" s="143"/>
      <c r="BJ259" s="143"/>
      <c r="BK259" s="143"/>
      <c r="BL259" s="143"/>
      <c r="BM259" s="143"/>
      <c r="BN259" s="2741">
        <f t="shared" si="21"/>
        <v>25</v>
      </c>
      <c r="BO259" s="235" t="str">
        <f t="shared" si="22"/>
        <v>December</v>
      </c>
      <c r="BP259" s="1571"/>
      <c r="BQ259" s="182">
        <v>467039</v>
      </c>
      <c r="BR259" s="182">
        <v>19432237</v>
      </c>
      <c r="BS259" s="182">
        <v>781161</v>
      </c>
      <c r="BT259" s="182">
        <v>-544</v>
      </c>
      <c r="BU259" s="182">
        <v>13545</v>
      </c>
      <c r="BV259" s="182">
        <v>261917</v>
      </c>
      <c r="BW259" s="143"/>
      <c r="BX259" s="143"/>
      <c r="BY259" s="143"/>
      <c r="BZ259" s="143"/>
      <c r="CA259" s="143"/>
      <c r="CB259" s="143"/>
      <c r="CC259" s="143"/>
      <c r="CD259" s="143"/>
      <c r="CE259" s="143"/>
      <c r="CF259" s="143"/>
      <c r="CG259" s="145"/>
      <c r="CH259" s="143"/>
      <c r="CI259" s="143"/>
      <c r="CJ259" s="143"/>
      <c r="CK259" s="143"/>
      <c r="CL259" s="143"/>
      <c r="CM259" s="143"/>
      <c r="CN259" s="170"/>
      <c r="CO259" s="143"/>
      <c r="CP259" s="143"/>
      <c r="CQ259" s="143"/>
      <c r="CR259" s="143"/>
      <c r="CS259" s="143"/>
      <c r="CT259" s="143"/>
      <c r="CU259" s="143"/>
      <c r="CV259" s="143"/>
      <c r="CW259" s="143"/>
      <c r="CX259" s="143"/>
      <c r="CY259" s="143"/>
      <c r="CZ259" s="143"/>
      <c r="DA259" s="143"/>
      <c r="DB259" s="143"/>
    </row>
    <row r="260" spans="1:106">
      <c r="A260" s="143"/>
      <c r="B260" s="143"/>
      <c r="C260" s="143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3"/>
      <c r="AP260" s="143"/>
      <c r="AQ260" s="143"/>
      <c r="AR260" s="143"/>
      <c r="AS260" s="143"/>
      <c r="AT260" s="143"/>
      <c r="AU260" s="143"/>
      <c r="AV260" s="143"/>
      <c r="AW260" s="143"/>
      <c r="AX260" s="163"/>
      <c r="AY260" s="143"/>
      <c r="AZ260" s="143"/>
      <c r="BA260" s="143"/>
      <c r="BB260" s="143"/>
      <c r="BC260" s="143"/>
      <c r="BD260" s="143"/>
      <c r="BE260" s="143"/>
      <c r="BF260" s="143"/>
      <c r="BG260" s="143"/>
      <c r="BH260" s="143"/>
      <c r="BI260" s="143"/>
      <c r="BJ260" s="143"/>
      <c r="BK260" s="143"/>
      <c r="BL260" s="143"/>
      <c r="BM260" s="143"/>
      <c r="BN260" s="2741">
        <f t="shared" si="21"/>
        <v>26</v>
      </c>
      <c r="BO260" s="235" t="str">
        <f t="shared" si="22"/>
        <v>January 2019</v>
      </c>
      <c r="BP260" s="1571"/>
      <c r="BQ260" s="182">
        <v>467039</v>
      </c>
      <c r="BR260" s="182">
        <v>19432237</v>
      </c>
      <c r="BS260" s="182">
        <v>781161</v>
      </c>
      <c r="BT260" s="182">
        <v>-544</v>
      </c>
      <c r="BU260" s="182">
        <v>13545</v>
      </c>
      <c r="BV260" s="182">
        <v>261917</v>
      </c>
      <c r="BW260" s="143"/>
      <c r="BX260" s="143"/>
      <c r="BY260" s="143"/>
      <c r="BZ260" s="143"/>
      <c r="CA260" s="143"/>
      <c r="CB260" s="143"/>
      <c r="CC260" s="143"/>
      <c r="CD260" s="143"/>
      <c r="CE260" s="143"/>
      <c r="CF260" s="143"/>
      <c r="CG260" s="145"/>
      <c r="CH260" s="143"/>
      <c r="CI260" s="143"/>
      <c r="CJ260" s="143"/>
      <c r="CK260" s="143"/>
      <c r="CL260" s="143"/>
      <c r="CM260" s="143"/>
      <c r="CN260" s="170"/>
      <c r="CO260" s="143"/>
      <c r="CP260" s="143"/>
      <c r="CQ260" s="143"/>
      <c r="CR260" s="143"/>
      <c r="CS260" s="143"/>
      <c r="CT260" s="143"/>
      <c r="CU260" s="143"/>
      <c r="CV260" s="143"/>
      <c r="CW260" s="143"/>
      <c r="CX260" s="143"/>
      <c r="CY260" s="143"/>
      <c r="CZ260" s="143"/>
      <c r="DA260" s="143"/>
      <c r="DB260" s="143"/>
    </row>
    <row r="261" spans="1:106">
      <c r="A261" s="143"/>
      <c r="B261" s="143"/>
      <c r="C261" s="143"/>
      <c r="D261" s="143"/>
      <c r="E261" s="143"/>
      <c r="F261" s="143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143"/>
      <c r="AK261" s="143"/>
      <c r="AL261" s="143"/>
      <c r="AM261" s="143"/>
      <c r="AN261" s="143"/>
      <c r="AO261" s="143"/>
      <c r="AP261" s="143"/>
      <c r="AQ261" s="143"/>
      <c r="AR261" s="143"/>
      <c r="AS261" s="143"/>
      <c r="AT261" s="143"/>
      <c r="AU261" s="143"/>
      <c r="AV261" s="143"/>
      <c r="AW261" s="143"/>
      <c r="AX261" s="163"/>
      <c r="AY261" s="143"/>
      <c r="AZ261" s="143"/>
      <c r="BA261" s="143"/>
      <c r="BB261" s="143"/>
      <c r="BC261" s="143"/>
      <c r="BD261" s="143"/>
      <c r="BE261" s="143"/>
      <c r="BF261" s="143"/>
      <c r="BG261" s="143"/>
      <c r="BH261" s="143"/>
      <c r="BI261" s="143"/>
      <c r="BJ261" s="143"/>
      <c r="BK261" s="143"/>
      <c r="BL261" s="143"/>
      <c r="BM261" s="143"/>
      <c r="BN261" s="2741">
        <f t="shared" si="21"/>
        <v>27</v>
      </c>
      <c r="BO261" s="235" t="str">
        <f t="shared" si="22"/>
        <v>February</v>
      </c>
      <c r="BP261" s="1571"/>
      <c r="BQ261" s="182">
        <v>467039</v>
      </c>
      <c r="BR261" s="182">
        <v>19432237</v>
      </c>
      <c r="BS261" s="182">
        <v>781161</v>
      </c>
      <c r="BT261" s="182">
        <v>-544</v>
      </c>
      <c r="BU261" s="182">
        <v>13545</v>
      </c>
      <c r="BV261" s="182">
        <v>261917</v>
      </c>
      <c r="BW261" s="143"/>
      <c r="BX261" s="143"/>
      <c r="BY261" s="143"/>
      <c r="BZ261" s="143"/>
      <c r="CA261" s="143"/>
      <c r="CB261" s="143"/>
      <c r="CC261" s="143"/>
      <c r="CD261" s="143"/>
      <c r="CE261" s="143"/>
      <c r="CF261" s="143"/>
      <c r="CG261" s="145"/>
      <c r="CH261" s="143"/>
      <c r="CI261" s="143"/>
      <c r="CJ261" s="143"/>
      <c r="CK261" s="143"/>
      <c r="CL261" s="143"/>
      <c r="CM261" s="143"/>
      <c r="CN261" s="170"/>
      <c r="CO261" s="143"/>
      <c r="CP261" s="143"/>
      <c r="CQ261" s="143"/>
      <c r="CR261" s="143"/>
      <c r="CS261" s="143"/>
      <c r="CT261" s="143"/>
      <c r="CU261" s="143"/>
      <c r="CV261" s="143"/>
      <c r="CW261" s="143"/>
      <c r="CX261" s="143"/>
      <c r="CY261" s="143"/>
      <c r="CZ261" s="143"/>
      <c r="DA261" s="143"/>
      <c r="DB261" s="143"/>
    </row>
    <row r="262" spans="1:106">
      <c r="A262" s="143"/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143"/>
      <c r="AK262" s="143"/>
      <c r="AL262" s="143"/>
      <c r="AM262" s="143"/>
      <c r="AN262" s="143"/>
      <c r="AO262" s="143"/>
      <c r="AP262" s="143"/>
      <c r="AQ262" s="143"/>
      <c r="AR262" s="143"/>
      <c r="AS262" s="143"/>
      <c r="AT262" s="143"/>
      <c r="AU262" s="143"/>
      <c r="AV262" s="143"/>
      <c r="AW262" s="143"/>
      <c r="AX262" s="163"/>
      <c r="AY262" s="143"/>
      <c r="AZ262" s="143"/>
      <c r="BA262" s="143"/>
      <c r="BB262" s="143"/>
      <c r="BC262" s="143"/>
      <c r="BD262" s="143"/>
      <c r="BE262" s="143"/>
      <c r="BF262" s="143"/>
      <c r="BG262" s="143"/>
      <c r="BH262" s="143"/>
      <c r="BI262" s="143"/>
      <c r="BJ262" s="143"/>
      <c r="BK262" s="143"/>
      <c r="BL262" s="143"/>
      <c r="BM262" s="143"/>
      <c r="BN262" s="2741">
        <f t="shared" si="21"/>
        <v>28</v>
      </c>
      <c r="BO262" s="235" t="str">
        <f t="shared" si="22"/>
        <v>March</v>
      </c>
      <c r="BP262" s="1571"/>
      <c r="BQ262" s="182">
        <v>467039</v>
      </c>
      <c r="BR262" s="182">
        <v>19432237</v>
      </c>
      <c r="BS262" s="182">
        <v>781161</v>
      </c>
      <c r="BT262" s="182">
        <v>-544</v>
      </c>
      <c r="BU262" s="182">
        <v>13545</v>
      </c>
      <c r="BV262" s="182">
        <v>261917</v>
      </c>
      <c r="BW262" s="143"/>
      <c r="BX262" s="143"/>
      <c r="BY262" s="143"/>
      <c r="BZ262" s="143"/>
      <c r="CA262" s="143"/>
      <c r="CB262" s="143"/>
      <c r="CC262" s="143"/>
      <c r="CD262" s="143"/>
      <c r="CE262" s="143"/>
      <c r="CF262" s="143"/>
      <c r="CG262" s="145"/>
      <c r="CH262" s="143"/>
      <c r="CI262" s="143"/>
      <c r="CJ262" s="143"/>
      <c r="CK262" s="143"/>
      <c r="CL262" s="143"/>
      <c r="CM262" s="143"/>
      <c r="CN262" s="170"/>
      <c r="CO262" s="143"/>
      <c r="CP262" s="143"/>
      <c r="CQ262" s="143"/>
      <c r="CR262" s="143"/>
      <c r="CS262" s="143"/>
      <c r="CT262" s="143"/>
      <c r="CU262" s="143"/>
      <c r="CV262" s="143"/>
      <c r="CW262" s="143"/>
      <c r="CX262" s="143"/>
      <c r="CY262" s="143"/>
      <c r="CZ262" s="143"/>
      <c r="DA262" s="143"/>
      <c r="DB262" s="143"/>
    </row>
    <row r="263" spans="1:106" ht="13.5" thickBot="1">
      <c r="A263" s="143"/>
      <c r="B263" s="143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3"/>
      <c r="BB263" s="143"/>
      <c r="BC263" s="143"/>
      <c r="BD263" s="144"/>
      <c r="BE263" s="143"/>
      <c r="BF263" s="143"/>
      <c r="BG263" s="143"/>
      <c r="BH263" s="143"/>
      <c r="BI263" s="143"/>
      <c r="BJ263" s="143"/>
      <c r="BK263" s="143"/>
      <c r="BL263" s="143"/>
      <c r="BM263" s="143"/>
      <c r="BN263" s="2741">
        <f t="shared" si="21"/>
        <v>29</v>
      </c>
      <c r="BO263" s="2741" t="s">
        <v>1929</v>
      </c>
      <c r="BP263" s="1571"/>
      <c r="BQ263" s="191">
        <f t="shared" ref="BQ263:BV263" si="23">SUM(BQ250:BQ262)</f>
        <v>6071507</v>
      </c>
      <c r="BR263" s="191">
        <f t="shared" si="23"/>
        <v>252619081</v>
      </c>
      <c r="BS263" s="191">
        <f t="shared" si="23"/>
        <v>10155093</v>
      </c>
      <c r="BT263" s="191">
        <f t="shared" si="23"/>
        <v>-7072</v>
      </c>
      <c r="BU263" s="191">
        <f t="shared" si="23"/>
        <v>176085</v>
      </c>
      <c r="BV263" s="191">
        <f t="shared" si="23"/>
        <v>3404921</v>
      </c>
      <c r="BW263" s="143"/>
      <c r="BX263" s="143"/>
      <c r="BY263" s="143"/>
      <c r="BZ263" s="143"/>
      <c r="CA263" s="143"/>
      <c r="CB263" s="143"/>
      <c r="CC263" s="143"/>
      <c r="CD263" s="143"/>
      <c r="CE263" s="143"/>
      <c r="CF263" s="143"/>
      <c r="CG263" s="145"/>
      <c r="CH263" s="143"/>
      <c r="CI263" s="143"/>
      <c r="CJ263" s="143"/>
      <c r="CK263" s="143"/>
      <c r="CL263" s="143"/>
      <c r="CM263" s="143"/>
      <c r="CN263" s="170"/>
      <c r="CO263" s="143"/>
      <c r="CP263" s="143"/>
      <c r="CQ263" s="143"/>
      <c r="CR263" s="143"/>
      <c r="CS263" s="143"/>
      <c r="CT263" s="143"/>
      <c r="CU263" s="143"/>
      <c r="CV263" s="143"/>
      <c r="CW263" s="143"/>
      <c r="CX263" s="143"/>
      <c r="CY263" s="143"/>
      <c r="CZ263" s="143"/>
      <c r="DA263" s="143"/>
      <c r="DB263" s="143"/>
    </row>
    <row r="264" spans="1:106" ht="13.5" thickTop="1">
      <c r="A264" s="143"/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143"/>
      <c r="AK264" s="143"/>
      <c r="AL264" s="143"/>
      <c r="AM264" s="143"/>
      <c r="AN264" s="143"/>
      <c r="AO264" s="143"/>
      <c r="AP264" s="143"/>
      <c r="AQ264" s="143"/>
      <c r="AR264" s="143"/>
      <c r="AS264" s="143"/>
      <c r="AT264" s="143"/>
      <c r="AU264" s="143"/>
      <c r="AV264" s="143"/>
      <c r="AW264" s="143"/>
      <c r="AX264" s="143"/>
      <c r="AY264" s="143"/>
      <c r="AZ264" s="143"/>
      <c r="BA264" s="143"/>
      <c r="BB264" s="143"/>
      <c r="BC264" s="143"/>
      <c r="BD264" s="147"/>
      <c r="BE264" s="143"/>
      <c r="BF264" s="143"/>
      <c r="BG264" s="143"/>
      <c r="BH264" s="143"/>
      <c r="BI264" s="143"/>
      <c r="BJ264" s="143"/>
      <c r="BK264" s="143"/>
      <c r="BL264" s="143"/>
      <c r="BM264" s="143"/>
      <c r="BN264" s="2741">
        <f t="shared" si="21"/>
        <v>30</v>
      </c>
      <c r="BO264" s="1571"/>
      <c r="BP264" s="1571"/>
      <c r="BQ264" s="239"/>
      <c r="BR264" s="239"/>
      <c r="BS264" s="239"/>
      <c r="BT264" s="239"/>
      <c r="BU264" s="239"/>
      <c r="BV264" s="239"/>
      <c r="BW264" s="143"/>
      <c r="BX264" s="143"/>
      <c r="BY264" s="143"/>
      <c r="BZ264" s="143"/>
      <c r="CA264" s="143"/>
      <c r="CB264" s="143"/>
      <c r="CC264" s="143"/>
      <c r="CD264" s="143"/>
      <c r="CE264" s="143"/>
      <c r="CF264" s="143"/>
      <c r="CG264" s="145"/>
      <c r="CH264" s="143"/>
      <c r="CI264" s="143"/>
      <c r="CJ264" s="143"/>
      <c r="CK264" s="143"/>
      <c r="CL264" s="143"/>
      <c r="CM264" s="143"/>
      <c r="CN264" s="170"/>
      <c r="CO264" s="143"/>
      <c r="CP264" s="143"/>
      <c r="CQ264" s="143"/>
      <c r="CR264" s="143"/>
      <c r="CS264" s="143"/>
      <c r="CT264" s="143"/>
      <c r="CU264" s="143"/>
      <c r="CV264" s="143"/>
      <c r="CW264" s="143"/>
      <c r="CX264" s="143"/>
      <c r="CY264" s="143"/>
      <c r="CZ264" s="143"/>
      <c r="DA264" s="143"/>
      <c r="DB264" s="143"/>
    </row>
    <row r="265" spans="1:106" ht="13.5" thickBot="1">
      <c r="A265" s="143"/>
      <c r="B265" s="143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143"/>
      <c r="AK265" s="143"/>
      <c r="AL265" s="143"/>
      <c r="AM265" s="143"/>
      <c r="AN265" s="143"/>
      <c r="AO265" s="143"/>
      <c r="AP265" s="143"/>
      <c r="AQ265" s="143"/>
      <c r="AR265" s="143"/>
      <c r="AS265" s="143"/>
      <c r="AT265" s="143"/>
      <c r="AU265" s="143"/>
      <c r="AV265" s="143"/>
      <c r="AW265" s="143"/>
      <c r="AX265" s="143"/>
      <c r="AY265" s="143"/>
      <c r="AZ265" s="143"/>
      <c r="BA265" s="143"/>
      <c r="BB265" s="143"/>
      <c r="BC265" s="143"/>
      <c r="BD265" s="143"/>
      <c r="BE265" s="143"/>
      <c r="BF265" s="143"/>
      <c r="BG265" s="143"/>
      <c r="BH265" s="143"/>
      <c r="BI265" s="143"/>
      <c r="BJ265" s="143"/>
      <c r="BK265" s="143"/>
      <c r="BL265" s="143"/>
      <c r="BM265" s="143"/>
      <c r="BN265" s="2741">
        <f t="shared" si="21"/>
        <v>31</v>
      </c>
      <c r="BO265" s="1581" t="s">
        <v>371</v>
      </c>
      <c r="BP265" s="1571"/>
      <c r="BQ265" s="1301">
        <f t="shared" ref="BQ265:BV265" si="24">BQ263/13</f>
        <v>467039</v>
      </c>
      <c r="BR265" s="1301">
        <f t="shared" si="24"/>
        <v>19432237</v>
      </c>
      <c r="BS265" s="1301">
        <f t="shared" si="24"/>
        <v>781161</v>
      </c>
      <c r="BT265" s="1301">
        <f t="shared" si="24"/>
        <v>-544</v>
      </c>
      <c r="BU265" s="1301">
        <f t="shared" si="24"/>
        <v>13545</v>
      </c>
      <c r="BV265" s="1301">
        <f t="shared" si="24"/>
        <v>261917</v>
      </c>
      <c r="BW265" s="143"/>
      <c r="BX265" s="143"/>
      <c r="BY265" s="143"/>
      <c r="BZ265" s="143"/>
      <c r="CA265" s="143"/>
      <c r="CB265" s="143"/>
      <c r="CC265" s="143"/>
      <c r="CD265" s="143"/>
      <c r="CE265" s="143"/>
      <c r="CF265" s="143"/>
      <c r="CG265" s="145"/>
      <c r="CH265" s="143"/>
      <c r="CI265" s="143"/>
      <c r="CJ265" s="143"/>
      <c r="CK265" s="143"/>
      <c r="CL265" s="143"/>
      <c r="CM265" s="143"/>
      <c r="CN265" s="170"/>
      <c r="CO265" s="143"/>
      <c r="CP265" s="143"/>
      <c r="CQ265" s="143"/>
      <c r="CR265" s="143"/>
      <c r="CS265" s="143"/>
      <c r="CT265" s="143"/>
      <c r="CU265" s="143"/>
      <c r="CV265" s="143"/>
      <c r="CW265" s="143"/>
      <c r="CX265" s="143"/>
      <c r="CY265" s="143"/>
      <c r="CZ265" s="143"/>
      <c r="DA265" s="143"/>
      <c r="DB265" s="143"/>
    </row>
    <row r="266" spans="1:106" ht="13.5" thickTop="1">
      <c r="A266" s="143"/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  <c r="AI266" s="143"/>
      <c r="AJ266" s="143"/>
      <c r="AK266" s="143"/>
      <c r="AL266" s="143"/>
      <c r="AM266" s="143"/>
      <c r="AN266" s="143"/>
      <c r="AO266" s="143"/>
      <c r="AP266" s="143"/>
      <c r="AQ266" s="143"/>
      <c r="AR266" s="143"/>
      <c r="AS266" s="143"/>
      <c r="AT266" s="143"/>
      <c r="AU266" s="143"/>
      <c r="AV266" s="143"/>
      <c r="AW266" s="143"/>
      <c r="AX266" s="143"/>
      <c r="AY266" s="143"/>
      <c r="AZ266" s="143"/>
      <c r="BA266" s="143"/>
      <c r="BB266" s="143"/>
      <c r="BC266" s="143"/>
      <c r="BD266" s="143"/>
      <c r="BE266" s="143"/>
      <c r="BF266" s="143"/>
      <c r="BG266" s="143"/>
      <c r="BH266" s="143"/>
      <c r="BI266" s="143"/>
      <c r="BJ266" s="143"/>
      <c r="BK266" s="143"/>
      <c r="BL266" s="143"/>
      <c r="BM266" s="143"/>
      <c r="BN266" s="143"/>
      <c r="BO266" s="228"/>
      <c r="BP266" s="228"/>
      <c r="BQ266" s="239"/>
      <c r="BR266" s="239"/>
      <c r="BS266" s="239"/>
      <c r="BT266" s="239"/>
      <c r="BU266" s="239"/>
      <c r="BV266" s="239"/>
      <c r="BW266" s="143"/>
      <c r="BX266" s="143"/>
      <c r="BY266" s="143"/>
      <c r="BZ266" s="143"/>
      <c r="CA266" s="143"/>
      <c r="CB266" s="143"/>
      <c r="CC266" s="143"/>
      <c r="CD266" s="143"/>
      <c r="CE266" s="143"/>
      <c r="CF266" s="143"/>
      <c r="CG266" s="145"/>
      <c r="CH266" s="143"/>
      <c r="CI266" s="143"/>
      <c r="CJ266" s="143"/>
      <c r="CK266" s="143"/>
      <c r="CL266" s="143"/>
      <c r="CM266" s="143"/>
      <c r="CN266" s="170"/>
      <c r="CO266" s="143"/>
      <c r="CP266" s="143"/>
      <c r="CQ266" s="143"/>
      <c r="CR266" s="143"/>
      <c r="CS266" s="143"/>
      <c r="CT266" s="143"/>
      <c r="CU266" s="143"/>
      <c r="CV266" s="143"/>
      <c r="CW266" s="143"/>
      <c r="CX266" s="143"/>
      <c r="CY266" s="143"/>
      <c r="CZ266" s="143"/>
      <c r="DA266" s="143"/>
      <c r="DB266" s="143"/>
    </row>
    <row r="267" spans="1:106">
      <c r="A267" s="143"/>
      <c r="B267" s="143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3"/>
      <c r="AP267" s="143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3"/>
      <c r="BB267" s="143"/>
      <c r="BC267" s="143"/>
      <c r="BD267" s="143"/>
      <c r="BE267" s="143"/>
      <c r="BF267" s="143"/>
      <c r="BG267" s="143"/>
      <c r="BH267" s="143"/>
      <c r="BI267" s="143"/>
      <c r="BJ267" s="143"/>
      <c r="BK267" s="143"/>
      <c r="BL267" s="143"/>
      <c r="BM267" s="143"/>
      <c r="BN267" s="143"/>
      <c r="BO267" s="228"/>
      <c r="BP267" s="228"/>
      <c r="BQ267" s="2741" t="s">
        <v>536</v>
      </c>
      <c r="BR267" s="2741" t="s">
        <v>536</v>
      </c>
      <c r="BS267" s="2741" t="s">
        <v>536</v>
      </c>
      <c r="BT267" s="2741" t="s">
        <v>536</v>
      </c>
      <c r="BU267" s="2741" t="s">
        <v>536</v>
      </c>
      <c r="BV267" s="2741" t="s">
        <v>536</v>
      </c>
      <c r="BW267" s="143"/>
      <c r="BX267" s="143"/>
      <c r="BY267" s="143"/>
      <c r="BZ267" s="143"/>
      <c r="CA267" s="143"/>
      <c r="CB267" s="143"/>
      <c r="CC267" s="143"/>
      <c r="CD267" s="143"/>
      <c r="CE267" s="143"/>
      <c r="CF267" s="143"/>
      <c r="CG267" s="145"/>
      <c r="CH267" s="143"/>
      <c r="CI267" s="143"/>
      <c r="CJ267" s="143"/>
      <c r="CK267" s="143"/>
      <c r="CL267" s="143"/>
      <c r="CM267" s="143"/>
      <c r="CN267" s="170"/>
      <c r="CO267" s="143"/>
      <c r="CP267" s="143"/>
      <c r="CQ267" s="143"/>
      <c r="CR267" s="143"/>
      <c r="CS267" s="143"/>
      <c r="CT267" s="143"/>
      <c r="CU267" s="143"/>
      <c r="CV267" s="143"/>
      <c r="CW267" s="143"/>
      <c r="CX267" s="143"/>
      <c r="CY267" s="143"/>
      <c r="CZ267" s="143"/>
      <c r="DA267" s="143"/>
      <c r="DB267" s="143"/>
    </row>
    <row r="268" spans="1:106">
      <c r="A268" s="143"/>
      <c r="B268" s="143"/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143"/>
      <c r="AK268" s="143"/>
      <c r="AL268" s="143"/>
      <c r="AM268" s="143"/>
      <c r="AN268" s="143"/>
      <c r="AO268" s="143"/>
      <c r="AP268" s="143"/>
      <c r="AQ268" s="143"/>
      <c r="AR268" s="143"/>
      <c r="AS268" s="143"/>
      <c r="AT268" s="143"/>
      <c r="AU268" s="143"/>
      <c r="AV268" s="143"/>
      <c r="AW268" s="143"/>
      <c r="AX268" s="143"/>
      <c r="AY268" s="143"/>
      <c r="AZ268" s="143"/>
      <c r="BA268" s="143"/>
      <c r="BB268" s="143"/>
      <c r="BC268" s="143"/>
      <c r="BD268" s="143"/>
      <c r="BE268" s="143"/>
      <c r="BF268" s="143"/>
      <c r="BG268" s="143"/>
      <c r="BH268" s="143"/>
      <c r="BI268" s="143"/>
      <c r="BJ268" s="143"/>
      <c r="BK268" s="143"/>
      <c r="BL268" s="143"/>
      <c r="BM268" s="143"/>
      <c r="BN268" s="143"/>
      <c r="BO268" s="228"/>
      <c r="BP268" s="228"/>
      <c r="BQ268" s="240" t="s">
        <v>537</v>
      </c>
      <c r="BR268" s="240" t="s">
        <v>537</v>
      </c>
      <c r="BS268" s="240" t="s">
        <v>537</v>
      </c>
      <c r="BT268" s="240" t="s">
        <v>537</v>
      </c>
      <c r="BU268" s="240" t="s">
        <v>537</v>
      </c>
      <c r="BV268" s="240" t="s">
        <v>537</v>
      </c>
      <c r="BW268" s="143"/>
      <c r="BX268" s="143"/>
      <c r="BY268" s="143"/>
      <c r="BZ268" s="143"/>
      <c r="CA268" s="143"/>
      <c r="CB268" s="143"/>
      <c r="CC268" s="143"/>
      <c r="CD268" s="143"/>
      <c r="CE268" s="143"/>
      <c r="CF268" s="143"/>
      <c r="CG268" s="145"/>
      <c r="CH268" s="143"/>
      <c r="CI268" s="143"/>
      <c r="CJ268" s="143"/>
      <c r="CK268" s="143"/>
      <c r="CL268" s="143"/>
      <c r="CM268" s="143"/>
      <c r="CN268" s="170"/>
      <c r="CO268" s="143"/>
      <c r="CP268" s="143"/>
      <c r="CQ268" s="143"/>
      <c r="CR268" s="143"/>
      <c r="CS268" s="143"/>
      <c r="CT268" s="143"/>
      <c r="CU268" s="143"/>
      <c r="CV268" s="143"/>
      <c r="CW268" s="143"/>
      <c r="CX268" s="143"/>
      <c r="CY268" s="143"/>
      <c r="CZ268" s="143"/>
      <c r="DA268" s="143"/>
      <c r="DB268" s="143"/>
    </row>
    <row r="269" spans="1:106">
      <c r="A269" s="143"/>
      <c r="B269" s="143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143"/>
      <c r="AK269" s="143"/>
      <c r="AL269" s="143"/>
      <c r="AM269" s="143"/>
      <c r="AN269" s="143"/>
      <c r="AO269" s="143"/>
      <c r="AP269" s="143"/>
      <c r="AQ269" s="143"/>
      <c r="AR269" s="143"/>
      <c r="AS269" s="143"/>
      <c r="AT269" s="143"/>
      <c r="AU269" s="143"/>
      <c r="AV269" s="143"/>
      <c r="AW269" s="143"/>
      <c r="AX269" s="143"/>
      <c r="AY269" s="143"/>
      <c r="AZ269" s="143"/>
      <c r="BA269" s="143"/>
      <c r="BB269" s="143"/>
      <c r="BC269" s="143"/>
      <c r="BD269" s="143"/>
      <c r="BE269" s="143"/>
      <c r="BF269" s="143"/>
      <c r="BG269" s="143"/>
      <c r="BH269" s="143"/>
      <c r="BI269" s="143"/>
      <c r="BJ269" s="143"/>
      <c r="BK269" s="143"/>
      <c r="BL269" s="143"/>
      <c r="BM269" s="143"/>
      <c r="BN269" s="143"/>
      <c r="BO269" s="228"/>
      <c r="BP269" s="228"/>
      <c r="BQ269" s="240" t="s">
        <v>538</v>
      </c>
      <c r="BR269" s="240" t="s">
        <v>538</v>
      </c>
      <c r="BS269" s="240" t="s">
        <v>538</v>
      </c>
      <c r="BT269" s="240" t="s">
        <v>538</v>
      </c>
      <c r="BU269" s="240" t="s">
        <v>538</v>
      </c>
      <c r="BV269" s="240" t="s">
        <v>538</v>
      </c>
      <c r="BW269" s="143"/>
      <c r="BX269" s="143"/>
      <c r="BY269" s="143"/>
      <c r="BZ269" s="143"/>
      <c r="CA269" s="143"/>
      <c r="CB269" s="143"/>
      <c r="CC269" s="143"/>
      <c r="CD269" s="143"/>
      <c r="CE269" s="143"/>
      <c r="CF269" s="143"/>
      <c r="CG269" s="145"/>
      <c r="CH269" s="143"/>
      <c r="CI269" s="143"/>
      <c r="CJ269" s="143"/>
      <c r="CK269" s="143"/>
      <c r="CL269" s="143"/>
      <c r="CM269" s="143"/>
      <c r="CN269" s="170"/>
      <c r="CO269" s="143"/>
      <c r="CP269" s="143"/>
      <c r="CQ269" s="143"/>
      <c r="CR269" s="143"/>
      <c r="CS269" s="143"/>
      <c r="CT269" s="143"/>
      <c r="CU269" s="143"/>
      <c r="CV269" s="143"/>
      <c r="CW269" s="143"/>
      <c r="CX269" s="143"/>
      <c r="CY269" s="143"/>
      <c r="CZ269" s="143"/>
      <c r="DA269" s="143"/>
      <c r="DB269" s="143"/>
    </row>
    <row r="270" spans="1:106">
      <c r="A270" s="143"/>
      <c r="B270" s="143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  <c r="AA270" s="143"/>
      <c r="AB270" s="143"/>
      <c r="AC270" s="143"/>
      <c r="AD270" s="143"/>
      <c r="AE270" s="143"/>
      <c r="AF270" s="143"/>
      <c r="AG270" s="143"/>
      <c r="AH270" s="143"/>
      <c r="AI270" s="143"/>
      <c r="AJ270" s="143"/>
      <c r="AK270" s="143"/>
      <c r="AL270" s="143"/>
      <c r="AM270" s="143"/>
      <c r="AN270" s="143"/>
      <c r="AO270" s="143"/>
      <c r="AP270" s="143"/>
      <c r="AQ270" s="143"/>
      <c r="AR270" s="143"/>
      <c r="AS270" s="143"/>
      <c r="AT270" s="143"/>
      <c r="AU270" s="143"/>
      <c r="AV270" s="143"/>
      <c r="AW270" s="143"/>
      <c r="AX270" s="143"/>
      <c r="AY270" s="143"/>
      <c r="AZ270" s="143"/>
      <c r="BA270" s="143"/>
      <c r="BB270" s="143"/>
      <c r="BC270" s="143"/>
      <c r="BD270" s="143"/>
      <c r="BE270" s="143"/>
      <c r="BF270" s="143"/>
      <c r="BG270" s="143"/>
      <c r="BH270" s="143"/>
      <c r="BI270" s="143"/>
      <c r="BJ270" s="143"/>
      <c r="BK270" s="143"/>
      <c r="BL270" s="143"/>
      <c r="BM270" s="143"/>
      <c r="BN270" s="2741"/>
      <c r="BO270" s="228"/>
      <c r="BP270" s="228"/>
      <c r="BQ270" s="241"/>
      <c r="BR270" s="1459"/>
      <c r="BS270" s="143"/>
      <c r="BT270" s="143"/>
      <c r="BU270" s="143"/>
      <c r="BV270" s="143"/>
      <c r="BW270" s="143"/>
      <c r="BX270" s="143"/>
      <c r="BY270" s="143"/>
      <c r="BZ270" s="143"/>
      <c r="CA270" s="143"/>
      <c r="CB270" s="143"/>
      <c r="CC270" s="143"/>
      <c r="CD270" s="143"/>
      <c r="CE270" s="143"/>
      <c r="CF270" s="143"/>
      <c r="CG270" s="145"/>
      <c r="CH270" s="143"/>
      <c r="CI270" s="143"/>
      <c r="CJ270" s="143"/>
      <c r="CK270" s="143"/>
      <c r="CL270" s="143"/>
      <c r="CM270" s="143"/>
      <c r="CN270" s="170"/>
      <c r="CO270" s="143"/>
      <c r="CP270" s="143"/>
      <c r="CQ270" s="143"/>
      <c r="CR270" s="143"/>
      <c r="CS270" s="143"/>
      <c r="CT270" s="143"/>
      <c r="CU270" s="143"/>
      <c r="CV270" s="143"/>
      <c r="CW270" s="143"/>
      <c r="CX270" s="143"/>
      <c r="CY270" s="143"/>
      <c r="CZ270" s="143"/>
      <c r="DA270" s="143"/>
      <c r="DB270" s="143"/>
    </row>
    <row r="271" spans="1:106">
      <c r="A271" s="143"/>
      <c r="B271" s="143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143"/>
      <c r="AK271" s="143"/>
      <c r="AL271" s="143"/>
      <c r="AM271" s="143"/>
      <c r="AN271" s="143"/>
      <c r="AO271" s="143"/>
      <c r="AP271" s="143"/>
      <c r="AQ271" s="143"/>
      <c r="AR271" s="143"/>
      <c r="AS271" s="143"/>
      <c r="AT271" s="143"/>
      <c r="AU271" s="143"/>
      <c r="AV271" s="143"/>
      <c r="AW271" s="143"/>
      <c r="AX271" s="143"/>
      <c r="AY271" s="143"/>
      <c r="AZ271" s="143"/>
      <c r="BA271" s="143"/>
      <c r="BB271" s="143"/>
      <c r="BC271" s="143"/>
      <c r="BD271" s="143"/>
      <c r="BE271" s="143"/>
      <c r="BF271" s="143"/>
      <c r="BG271" s="143"/>
      <c r="BH271" s="143"/>
      <c r="BI271" s="143"/>
      <c r="BJ271" s="143"/>
      <c r="BK271" s="143"/>
      <c r="BL271" s="143"/>
      <c r="BM271" s="143"/>
      <c r="BN271" s="2741"/>
      <c r="BO271" s="1571"/>
      <c r="BP271" s="1571"/>
      <c r="BQ271" s="243"/>
      <c r="BR271" s="1459"/>
      <c r="BS271" s="143"/>
      <c r="BT271" s="143"/>
      <c r="BU271" s="143"/>
      <c r="BV271" s="143"/>
      <c r="BW271" s="143"/>
      <c r="BX271" s="143"/>
      <c r="BY271" s="143"/>
      <c r="BZ271" s="143"/>
      <c r="CA271" s="143"/>
      <c r="CB271" s="143"/>
      <c r="CC271" s="143"/>
      <c r="CD271" s="143"/>
      <c r="CE271" s="143"/>
      <c r="CF271" s="143"/>
      <c r="CG271" s="145"/>
      <c r="CH271" s="143"/>
      <c r="CI271" s="143"/>
      <c r="CJ271" s="143"/>
      <c r="CK271" s="143"/>
      <c r="CL271" s="143"/>
      <c r="CM271" s="143"/>
      <c r="CN271" s="170"/>
      <c r="CO271" s="143"/>
      <c r="CP271" s="143"/>
      <c r="CQ271" s="143"/>
      <c r="CR271" s="143"/>
      <c r="CS271" s="143"/>
      <c r="CT271" s="143"/>
      <c r="CU271" s="143"/>
      <c r="CV271" s="143"/>
      <c r="CW271" s="143"/>
      <c r="CX271" s="143"/>
      <c r="CY271" s="143"/>
      <c r="CZ271" s="143"/>
      <c r="DA271" s="143"/>
      <c r="DB271" s="143"/>
    </row>
    <row r="272" spans="1:106">
      <c r="A272" s="143"/>
      <c r="B272" s="143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3"/>
      <c r="AD272" s="143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3"/>
      <c r="AP272" s="143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3"/>
      <c r="BB272" s="143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3"/>
      <c r="BN272" s="2741"/>
      <c r="BO272" s="1571" t="s">
        <v>2348</v>
      </c>
      <c r="BP272" s="1571"/>
      <c r="BQ272" s="1571"/>
      <c r="BR272" s="1571"/>
      <c r="BS272" s="143"/>
      <c r="BT272" s="143"/>
      <c r="BU272" s="143"/>
      <c r="BV272" s="143"/>
      <c r="BW272" s="143"/>
      <c r="BX272" s="143"/>
      <c r="BY272" s="143"/>
      <c r="BZ272" s="143"/>
      <c r="CA272" s="143"/>
      <c r="CB272" s="143"/>
      <c r="CC272" s="143"/>
      <c r="CD272" s="143"/>
      <c r="CE272" s="143"/>
      <c r="CF272" s="143"/>
      <c r="CG272" s="145"/>
      <c r="CH272" s="143"/>
      <c r="CI272" s="143"/>
      <c r="CJ272" s="143"/>
      <c r="CK272" s="143"/>
      <c r="CL272" s="143"/>
      <c r="CM272" s="143"/>
      <c r="CN272" s="170"/>
      <c r="CO272" s="143"/>
      <c r="CP272" s="143"/>
      <c r="CQ272" s="143"/>
      <c r="CR272" s="143"/>
      <c r="CS272" s="143"/>
      <c r="CT272" s="143"/>
      <c r="CU272" s="143"/>
      <c r="CV272" s="143"/>
      <c r="CW272" s="143"/>
      <c r="CX272" s="143"/>
      <c r="CY272" s="143"/>
      <c r="CZ272" s="143"/>
      <c r="DA272" s="143"/>
      <c r="DB272" s="143"/>
    </row>
    <row r="273" spans="1:106">
      <c r="A273" s="143"/>
      <c r="B273" s="143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  <c r="AA273" s="143"/>
      <c r="AB273" s="143"/>
      <c r="AC273" s="143"/>
      <c r="AD273" s="143"/>
      <c r="AE273" s="143"/>
      <c r="AF273" s="143"/>
      <c r="AG273" s="143"/>
      <c r="AH273" s="143"/>
      <c r="AI273" s="143"/>
      <c r="AJ273" s="143"/>
      <c r="AK273" s="143"/>
      <c r="AL273" s="143"/>
      <c r="AM273" s="143"/>
      <c r="AN273" s="143"/>
      <c r="AO273" s="143"/>
      <c r="AP273" s="143"/>
      <c r="AQ273" s="143"/>
      <c r="AR273" s="143"/>
      <c r="AS273" s="143"/>
      <c r="AT273" s="143"/>
      <c r="AU273" s="143"/>
      <c r="AV273" s="143"/>
      <c r="AW273" s="143"/>
      <c r="AX273" s="143"/>
      <c r="AY273" s="143"/>
      <c r="AZ273" s="143"/>
      <c r="BA273" s="143"/>
      <c r="BB273" s="143"/>
      <c r="BC273" s="143"/>
      <c r="BD273" s="143"/>
      <c r="BE273" s="143"/>
      <c r="BF273" s="143"/>
      <c r="BG273" s="143"/>
      <c r="BH273" s="143"/>
      <c r="BI273" s="143"/>
      <c r="BJ273" s="143"/>
      <c r="BK273" s="143"/>
      <c r="BL273" s="143"/>
      <c r="BM273" s="143"/>
      <c r="BN273" s="143"/>
      <c r="BO273" s="143"/>
      <c r="BP273" s="143"/>
      <c r="BQ273" s="143"/>
      <c r="BR273" s="143"/>
      <c r="BS273" s="143"/>
      <c r="BT273" s="143"/>
      <c r="BU273" s="143"/>
      <c r="BV273" s="143"/>
      <c r="BW273" s="143"/>
      <c r="BX273" s="143"/>
      <c r="BY273" s="143"/>
      <c r="BZ273" s="143"/>
      <c r="CA273" s="143"/>
      <c r="CB273" s="143"/>
      <c r="CC273" s="143"/>
      <c r="CD273" s="143"/>
      <c r="CE273" s="143"/>
      <c r="CF273" s="143"/>
      <c r="CG273" s="145"/>
      <c r="CH273" s="143"/>
      <c r="CI273" s="143"/>
      <c r="CJ273" s="143"/>
      <c r="CK273" s="143"/>
      <c r="CL273" s="143"/>
      <c r="CM273" s="143"/>
      <c r="CN273" s="170"/>
      <c r="CO273" s="143"/>
      <c r="CP273" s="143"/>
      <c r="CQ273" s="143"/>
      <c r="CR273" s="143"/>
      <c r="CS273" s="143"/>
      <c r="CT273" s="143"/>
      <c r="CU273" s="143"/>
      <c r="CV273" s="143"/>
      <c r="CW273" s="143"/>
      <c r="CX273" s="143"/>
      <c r="CY273" s="143"/>
      <c r="CZ273" s="143"/>
      <c r="DA273" s="143"/>
      <c r="DB273" s="143"/>
    </row>
    <row r="274" spans="1:106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  <c r="AA274" s="143"/>
      <c r="AB274" s="143"/>
      <c r="AC274" s="143"/>
      <c r="AD274" s="143"/>
      <c r="AE274" s="143"/>
      <c r="AF274" s="143"/>
      <c r="AG274" s="143"/>
      <c r="AH274" s="143"/>
      <c r="AI274" s="143"/>
      <c r="AJ274" s="143"/>
      <c r="AK274" s="143"/>
      <c r="AL274" s="143"/>
      <c r="AM274" s="143"/>
      <c r="AN274" s="143"/>
      <c r="AO274" s="143"/>
      <c r="AP274" s="143"/>
      <c r="AQ274" s="143"/>
      <c r="AR274" s="143"/>
      <c r="AS274" s="143"/>
      <c r="AT274" s="143"/>
      <c r="AU274" s="143"/>
      <c r="AV274" s="143"/>
      <c r="AW274" s="143"/>
      <c r="AX274" s="143"/>
      <c r="AY274" s="143"/>
      <c r="AZ274" s="143"/>
      <c r="BA274" s="143"/>
      <c r="BB274" s="143"/>
      <c r="BC274" s="143"/>
      <c r="BD274" s="143"/>
      <c r="BE274" s="143"/>
      <c r="BF274" s="143"/>
      <c r="BG274" s="143"/>
      <c r="BH274" s="143"/>
      <c r="BI274" s="143"/>
      <c r="BJ274" s="143"/>
      <c r="BK274" s="143"/>
      <c r="BL274" s="143"/>
      <c r="BM274" s="143"/>
      <c r="BN274" s="143"/>
      <c r="BO274" s="143"/>
      <c r="BP274" s="143"/>
      <c r="BQ274" s="143"/>
      <c r="BR274" s="143"/>
      <c r="BS274" s="143"/>
      <c r="BT274" s="143"/>
      <c r="BU274" s="143"/>
      <c r="BV274" s="143"/>
      <c r="BW274" s="143"/>
      <c r="BX274" s="143"/>
      <c r="BY274" s="143"/>
      <c r="BZ274" s="143"/>
      <c r="CA274" s="143"/>
      <c r="CB274" s="143"/>
      <c r="CC274" s="143"/>
      <c r="CD274" s="143"/>
      <c r="CE274" s="143"/>
      <c r="CF274" s="143"/>
      <c r="CG274" s="145"/>
      <c r="CH274" s="143"/>
      <c r="CI274" s="143"/>
      <c r="CJ274" s="143"/>
      <c r="CK274" s="143"/>
      <c r="CL274" s="143"/>
      <c r="CM274" s="143"/>
      <c r="CN274" s="170"/>
      <c r="CO274" s="143"/>
      <c r="CP274" s="143"/>
      <c r="CQ274" s="143"/>
      <c r="CR274" s="143"/>
      <c r="CS274" s="143"/>
      <c r="CT274" s="143"/>
      <c r="CU274" s="143"/>
      <c r="CV274" s="143"/>
      <c r="CW274" s="143"/>
      <c r="CX274" s="143"/>
      <c r="CY274" s="143"/>
      <c r="CZ274" s="143"/>
      <c r="DA274" s="143"/>
      <c r="DB274" s="143"/>
    </row>
    <row r="275" spans="1:106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  <c r="AB275" s="143"/>
      <c r="AC275" s="143"/>
      <c r="AD275" s="143"/>
      <c r="AE275" s="143"/>
      <c r="AF275" s="143"/>
      <c r="AG275" s="143"/>
      <c r="AH275" s="143"/>
      <c r="AI275" s="143"/>
      <c r="AJ275" s="143"/>
      <c r="AK275" s="143"/>
      <c r="AL275" s="143"/>
      <c r="AM275" s="143"/>
      <c r="AN275" s="143"/>
      <c r="AO275" s="143"/>
      <c r="AP275" s="143"/>
      <c r="AQ275" s="143"/>
      <c r="AR275" s="143"/>
      <c r="AS275" s="143"/>
      <c r="AT275" s="143"/>
      <c r="AU275" s="143"/>
      <c r="AV275" s="143"/>
      <c r="AW275" s="143"/>
      <c r="AX275" s="143"/>
      <c r="AY275" s="143"/>
      <c r="AZ275" s="143"/>
      <c r="BA275" s="143"/>
      <c r="BB275" s="143"/>
      <c r="BC275" s="143"/>
      <c r="BD275" s="143"/>
      <c r="BE275" s="143"/>
      <c r="BF275" s="143"/>
      <c r="BG275" s="143"/>
      <c r="BH275" s="143"/>
      <c r="BI275" s="143"/>
      <c r="BJ275" s="143"/>
      <c r="BK275" s="143"/>
      <c r="BL275" s="143"/>
      <c r="BM275" s="143"/>
      <c r="BN275" s="143"/>
      <c r="BO275" s="143"/>
      <c r="BP275" s="143"/>
      <c r="BQ275" s="143"/>
      <c r="BR275" s="143"/>
      <c r="BS275" s="143"/>
      <c r="BT275" s="143"/>
      <c r="BU275" s="143"/>
      <c r="BV275" s="143"/>
      <c r="BW275" s="143"/>
      <c r="BX275" s="143"/>
      <c r="BY275" s="1581" t="str">
        <f>COMPANY</f>
        <v>DUKE ENERGY KENTUCKY, INC.</v>
      </c>
      <c r="BZ275" s="228"/>
      <c r="CA275" s="228"/>
      <c r="CB275" s="143"/>
      <c r="CC275" s="143"/>
      <c r="CD275" s="1581" t="s">
        <v>895</v>
      </c>
      <c r="CE275" s="143"/>
      <c r="CF275" s="143"/>
      <c r="CG275" s="145"/>
      <c r="CH275" s="143"/>
      <c r="CI275" s="143"/>
      <c r="CJ275" s="143"/>
      <c r="CK275" s="143"/>
      <c r="CL275" s="143"/>
      <c r="CM275" s="143"/>
      <c r="CN275" s="170"/>
      <c r="CO275" s="143"/>
      <c r="CP275" s="143"/>
      <c r="CQ275" s="143"/>
      <c r="CR275" s="143"/>
      <c r="CS275" s="143"/>
      <c r="CT275" s="143"/>
      <c r="CU275" s="143"/>
      <c r="CV275" s="143"/>
      <c r="CW275" s="143"/>
      <c r="CX275" s="143"/>
      <c r="CY275" s="143"/>
      <c r="CZ275" s="143"/>
      <c r="DA275" s="143"/>
      <c r="DB275" s="143"/>
    </row>
    <row r="276" spans="1:106">
      <c r="A276" s="143"/>
      <c r="B276" s="143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  <c r="AA276" s="143"/>
      <c r="AB276" s="143"/>
      <c r="AC276" s="143"/>
      <c r="AD276" s="143"/>
      <c r="AE276" s="143"/>
      <c r="AF276" s="143"/>
      <c r="AG276" s="143"/>
      <c r="AH276" s="143"/>
      <c r="AI276" s="143"/>
      <c r="AJ276" s="143"/>
      <c r="AK276" s="143"/>
      <c r="AL276" s="143"/>
      <c r="AM276" s="143"/>
      <c r="AN276" s="143"/>
      <c r="AO276" s="143"/>
      <c r="AP276" s="143"/>
      <c r="AQ276" s="143"/>
      <c r="AR276" s="143"/>
      <c r="AS276" s="143"/>
      <c r="AT276" s="143"/>
      <c r="AU276" s="143"/>
      <c r="AV276" s="143"/>
      <c r="AW276" s="143"/>
      <c r="AX276" s="143"/>
      <c r="AY276" s="143"/>
      <c r="AZ276" s="143"/>
      <c r="BA276" s="143"/>
      <c r="BB276" s="143"/>
      <c r="BC276" s="143"/>
      <c r="BD276" s="143"/>
      <c r="BE276" s="143"/>
      <c r="BF276" s="143"/>
      <c r="BG276" s="143"/>
      <c r="BH276" s="143"/>
      <c r="BI276" s="143"/>
      <c r="BJ276" s="143"/>
      <c r="BK276" s="143"/>
      <c r="BL276" s="143"/>
      <c r="BM276" s="143"/>
      <c r="BN276" s="143"/>
      <c r="BO276" s="143"/>
      <c r="BP276" s="143"/>
      <c r="BQ276" s="143"/>
      <c r="BR276" s="143"/>
      <c r="BS276" s="143"/>
      <c r="BT276" s="143"/>
      <c r="BU276" s="143"/>
      <c r="BV276" s="143"/>
      <c r="BW276" s="143"/>
      <c r="BX276" s="143"/>
      <c r="BY276" s="1581" t="str">
        <f>DEPT</f>
        <v>ELECTRIC DEPARTMENT</v>
      </c>
      <c r="BZ276" s="228"/>
      <c r="CA276" s="228"/>
      <c r="CB276" s="143"/>
      <c r="CC276" s="143"/>
      <c r="CD276" s="173" t="s">
        <v>622</v>
      </c>
      <c r="CE276" s="143"/>
      <c r="CF276" s="143"/>
      <c r="CG276" s="145"/>
      <c r="CH276" s="143"/>
      <c r="CI276" s="143"/>
      <c r="CJ276" s="143"/>
      <c r="CK276" s="143"/>
      <c r="CL276" s="143"/>
      <c r="CM276" s="143"/>
      <c r="CN276" s="170"/>
      <c r="CO276" s="143"/>
      <c r="CP276" s="143"/>
      <c r="CQ276" s="143"/>
      <c r="CR276" s="143"/>
      <c r="CS276" s="143"/>
      <c r="CT276" s="143"/>
      <c r="CU276" s="143"/>
      <c r="CV276" s="143"/>
      <c r="CW276" s="143"/>
      <c r="CX276" s="143"/>
      <c r="CY276" s="143"/>
      <c r="CZ276" s="143"/>
      <c r="DA276" s="143"/>
      <c r="DB276" s="143"/>
    </row>
    <row r="277" spans="1:106">
      <c r="A277" s="143"/>
      <c r="B277" s="143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143"/>
      <c r="AK277" s="143"/>
      <c r="AL277" s="143"/>
      <c r="AM277" s="143"/>
      <c r="AN277" s="143"/>
      <c r="AO277" s="143"/>
      <c r="AP277" s="143"/>
      <c r="AQ277" s="143"/>
      <c r="AR277" s="143"/>
      <c r="AS277" s="143"/>
      <c r="AT277" s="143"/>
      <c r="AU277" s="143"/>
      <c r="AV277" s="143"/>
      <c r="AW277" s="143"/>
      <c r="AX277" s="143"/>
      <c r="AY277" s="143"/>
      <c r="AZ277" s="143"/>
      <c r="BA277" s="143"/>
      <c r="BB277" s="143"/>
      <c r="BC277" s="143"/>
      <c r="BD277" s="143"/>
      <c r="BE277" s="143"/>
      <c r="BF277" s="143"/>
      <c r="BG277" s="143"/>
      <c r="BH277" s="143"/>
      <c r="BI277" s="143"/>
      <c r="BJ277" s="143"/>
      <c r="BK277" s="143"/>
      <c r="BL277" s="143"/>
      <c r="BM277" s="143"/>
      <c r="BN277" s="143"/>
      <c r="BO277" s="143"/>
      <c r="BP277" s="143"/>
      <c r="BQ277" s="143"/>
      <c r="BR277" s="143"/>
      <c r="BS277" s="143"/>
      <c r="BT277" s="143"/>
      <c r="BU277" s="143"/>
      <c r="BV277" s="143"/>
      <c r="BW277" s="143"/>
      <c r="BX277" s="143"/>
      <c r="BY277" s="173" t="str">
        <f>CASE</f>
        <v>CASE NO. 2017-00321</v>
      </c>
      <c r="BZ277" s="228"/>
      <c r="CA277" s="228"/>
      <c r="CB277" s="143"/>
      <c r="CC277" s="143"/>
      <c r="CD277" s="127" t="s">
        <v>2709</v>
      </c>
      <c r="CE277" s="143"/>
      <c r="CF277" s="143"/>
      <c r="CG277" s="145"/>
      <c r="CH277" s="143"/>
      <c r="CI277" s="143"/>
      <c r="CJ277" s="143"/>
      <c r="CK277" s="143"/>
      <c r="CL277" s="143"/>
      <c r="CM277" s="143"/>
      <c r="CN277" s="170"/>
      <c r="CO277" s="143"/>
      <c r="CP277" s="143"/>
      <c r="CQ277" s="143"/>
      <c r="CR277" s="143"/>
      <c r="CS277" s="143"/>
      <c r="CT277" s="143"/>
      <c r="CU277" s="143"/>
      <c r="CV277" s="143"/>
      <c r="CW277" s="143"/>
      <c r="CX277" s="143"/>
      <c r="CY277" s="143"/>
      <c r="CZ277" s="143"/>
      <c r="DA277" s="143"/>
      <c r="DB277" s="143"/>
    </row>
    <row r="278" spans="1:106">
      <c r="A278" s="143"/>
      <c r="B278" s="143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3"/>
      <c r="AP278" s="143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3"/>
      <c r="BB278" s="143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3"/>
      <c r="BN278" s="143"/>
      <c r="BO278" s="143"/>
      <c r="BP278" s="143"/>
      <c r="BQ278" s="143"/>
      <c r="BR278" s="143"/>
      <c r="BS278" s="143"/>
      <c r="BT278" s="143"/>
      <c r="BU278" s="143"/>
      <c r="BV278" s="143"/>
      <c r="BW278" s="143"/>
      <c r="BX278" s="143"/>
      <c r="BY278" s="174" t="s">
        <v>956</v>
      </c>
      <c r="BZ278" s="228"/>
      <c r="CA278" s="228"/>
      <c r="CB278" s="143"/>
      <c r="CC278" s="143"/>
      <c r="CD278" s="143"/>
      <c r="CE278" s="143"/>
      <c r="CF278" s="143"/>
      <c r="CG278" s="145"/>
      <c r="CH278" s="143"/>
      <c r="CI278" s="143"/>
      <c r="CJ278" s="143"/>
      <c r="CK278" s="143"/>
      <c r="CL278" s="143"/>
      <c r="CM278" s="143"/>
      <c r="CN278" s="170"/>
      <c r="CO278" s="143"/>
      <c r="CP278" s="143"/>
      <c r="CQ278" s="143"/>
      <c r="CR278" s="143"/>
      <c r="CS278" s="143"/>
      <c r="CT278" s="143"/>
      <c r="CU278" s="143"/>
      <c r="CV278" s="143"/>
      <c r="CW278" s="143"/>
      <c r="CX278" s="143"/>
      <c r="CY278" s="143"/>
      <c r="CZ278" s="143"/>
      <c r="DA278" s="143"/>
      <c r="DB278" s="143"/>
    </row>
    <row r="279" spans="1:106">
      <c r="A279" s="143"/>
      <c r="B279" s="143"/>
      <c r="C279" s="143"/>
      <c r="D279" s="143"/>
      <c r="E279" s="143"/>
      <c r="F279" s="143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143"/>
      <c r="AK279" s="143"/>
      <c r="AL279" s="143"/>
      <c r="AM279" s="143"/>
      <c r="AN279" s="143"/>
      <c r="AO279" s="143"/>
      <c r="AP279" s="143"/>
      <c r="AQ279" s="143"/>
      <c r="AR279" s="143"/>
      <c r="AS279" s="143"/>
      <c r="AT279" s="143"/>
      <c r="AU279" s="143"/>
      <c r="AV279" s="143"/>
      <c r="AW279" s="143"/>
      <c r="AX279" s="143"/>
      <c r="AY279" s="143"/>
      <c r="AZ279" s="143"/>
      <c r="BA279" s="143"/>
      <c r="BB279" s="143"/>
      <c r="BC279" s="143"/>
      <c r="BD279" s="143"/>
      <c r="BE279" s="143"/>
      <c r="BF279" s="143"/>
      <c r="BG279" s="143"/>
      <c r="BH279" s="143"/>
      <c r="BI279" s="143"/>
      <c r="BJ279" s="143"/>
      <c r="BK279" s="143"/>
      <c r="BL279" s="143"/>
      <c r="BM279" s="143"/>
      <c r="BN279" s="143"/>
      <c r="BO279" s="143"/>
      <c r="BP279" s="143"/>
      <c r="BQ279" s="143"/>
      <c r="BR279" s="143"/>
      <c r="BS279" s="143"/>
      <c r="BT279" s="143"/>
      <c r="BU279" s="143"/>
      <c r="BV279" s="143"/>
      <c r="BW279" s="143"/>
      <c r="BX279" s="143"/>
      <c r="BY279" s="174" t="s">
        <v>206</v>
      </c>
      <c r="BZ279" s="228"/>
      <c r="CA279" s="228"/>
      <c r="CB279" s="143"/>
      <c r="CC279" s="143"/>
      <c r="CD279" s="143"/>
      <c r="CE279" s="143"/>
      <c r="CF279" s="143"/>
      <c r="CG279" s="145"/>
      <c r="CH279" s="143"/>
      <c r="CI279" s="143"/>
      <c r="CJ279" s="143"/>
      <c r="CK279" s="143"/>
      <c r="CL279" s="143"/>
      <c r="CM279" s="143"/>
      <c r="CN279" s="170"/>
      <c r="CO279" s="143"/>
      <c r="CP279" s="143"/>
      <c r="CQ279" s="143"/>
      <c r="CR279" s="143"/>
      <c r="CS279" s="143"/>
      <c r="CT279" s="143"/>
      <c r="CU279" s="143"/>
      <c r="CV279" s="143"/>
      <c r="CW279" s="143"/>
      <c r="CX279" s="143"/>
      <c r="CY279" s="143"/>
      <c r="CZ279" s="143"/>
      <c r="DA279" s="143"/>
      <c r="DB279" s="143"/>
    </row>
    <row r="280" spans="1:106">
      <c r="A280" s="143"/>
      <c r="B280" s="143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143"/>
      <c r="AK280" s="143"/>
      <c r="AL280" s="143"/>
      <c r="AM280" s="143"/>
      <c r="AN280" s="143"/>
      <c r="AO280" s="143"/>
      <c r="AP280" s="143"/>
      <c r="AQ280" s="143"/>
      <c r="AR280" s="143"/>
      <c r="AS280" s="143"/>
      <c r="AT280" s="143"/>
      <c r="AU280" s="143"/>
      <c r="AV280" s="143"/>
      <c r="AW280" s="143"/>
      <c r="AX280" s="143"/>
      <c r="AY280" s="143"/>
      <c r="AZ280" s="143"/>
      <c r="BA280" s="143"/>
      <c r="BB280" s="143"/>
      <c r="BC280" s="143"/>
      <c r="BD280" s="143"/>
      <c r="BE280" s="143"/>
      <c r="BF280" s="143"/>
      <c r="BG280" s="143"/>
      <c r="BH280" s="143"/>
      <c r="BI280" s="143"/>
      <c r="BJ280" s="143"/>
      <c r="BK280" s="143"/>
      <c r="BL280" s="143"/>
      <c r="BM280" s="143"/>
      <c r="BN280" s="143"/>
      <c r="BO280" s="143"/>
      <c r="BP280" s="143"/>
      <c r="BQ280" s="143"/>
      <c r="BR280" s="143"/>
      <c r="BS280" s="143"/>
      <c r="BT280" s="143"/>
      <c r="BU280" s="143"/>
      <c r="BV280" s="143"/>
      <c r="BW280" s="143"/>
      <c r="BX280" s="143"/>
      <c r="BY280" s="1571"/>
      <c r="BZ280" s="228"/>
      <c r="CA280" s="228"/>
      <c r="CB280" s="143"/>
      <c r="CC280" s="143"/>
      <c r="CD280" s="143"/>
      <c r="CE280" s="143"/>
      <c r="CF280" s="143"/>
      <c r="CG280" s="145"/>
      <c r="CH280" s="143"/>
      <c r="CI280" s="143"/>
      <c r="CJ280" s="143"/>
      <c r="CK280" s="143"/>
      <c r="CL280" s="143"/>
      <c r="CM280" s="143"/>
      <c r="CN280" s="170"/>
      <c r="CO280" s="143"/>
      <c r="CP280" s="143"/>
      <c r="CQ280" s="143"/>
      <c r="CR280" s="143"/>
      <c r="CS280" s="143"/>
      <c r="CT280" s="143"/>
      <c r="CU280" s="143"/>
      <c r="CV280" s="143"/>
      <c r="CW280" s="143"/>
      <c r="CX280" s="143"/>
      <c r="CY280" s="143"/>
      <c r="CZ280" s="143"/>
      <c r="DA280" s="143"/>
      <c r="DB280" s="143"/>
    </row>
    <row r="281" spans="1:106">
      <c r="A281" s="143"/>
      <c r="B281" s="143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3"/>
      <c r="AS281" s="143"/>
      <c r="AT281" s="143"/>
      <c r="AU281" s="143"/>
      <c r="AV281" s="143"/>
      <c r="AW281" s="143"/>
      <c r="AX281" s="143"/>
      <c r="AY281" s="143"/>
      <c r="AZ281" s="143"/>
      <c r="BA281" s="143"/>
      <c r="BB281" s="143"/>
      <c r="BC281" s="143"/>
      <c r="BD281" s="143"/>
      <c r="BE281" s="143"/>
      <c r="BF281" s="143"/>
      <c r="BG281" s="143"/>
      <c r="BH281" s="143"/>
      <c r="BI281" s="143"/>
      <c r="BJ281" s="143"/>
      <c r="BK281" s="143"/>
      <c r="BL281" s="143"/>
      <c r="BM281" s="143"/>
      <c r="BN281" s="143"/>
      <c r="BO281" s="143"/>
      <c r="BP281" s="143"/>
      <c r="BQ281" s="143"/>
      <c r="BR281" s="143"/>
      <c r="BS281" s="143"/>
      <c r="BT281" s="143"/>
      <c r="BU281" s="143"/>
      <c r="BV281" s="143"/>
      <c r="BW281" s="143"/>
      <c r="BX281" s="143"/>
      <c r="BY281" s="1571"/>
      <c r="BZ281" s="228"/>
      <c r="CA281" s="228"/>
      <c r="CB281" s="143"/>
      <c r="CC281" s="143"/>
      <c r="CD281" s="143"/>
      <c r="CE281" s="143"/>
      <c r="CF281" s="143"/>
      <c r="CG281" s="145"/>
      <c r="CH281" s="143"/>
      <c r="CI281" s="143"/>
      <c r="CJ281" s="143"/>
      <c r="CK281" s="143"/>
      <c r="CL281" s="143"/>
      <c r="CM281" s="143"/>
      <c r="CN281" s="170"/>
      <c r="CO281" s="143"/>
      <c r="CP281" s="143"/>
      <c r="CQ281" s="143"/>
      <c r="CR281" s="143"/>
      <c r="CS281" s="143"/>
      <c r="CT281" s="143"/>
      <c r="CU281" s="143"/>
      <c r="CV281" s="143"/>
      <c r="CW281" s="143"/>
      <c r="CX281" s="143"/>
      <c r="CY281" s="143"/>
      <c r="CZ281" s="143"/>
      <c r="DA281" s="143"/>
      <c r="DB281" s="143"/>
    </row>
    <row r="282" spans="1:106">
      <c r="A282" s="143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143"/>
      <c r="AK282" s="143"/>
      <c r="AL282" s="143"/>
      <c r="AM282" s="143"/>
      <c r="AN282" s="143"/>
      <c r="AO282" s="143"/>
      <c r="AP282" s="143"/>
      <c r="AQ282" s="143"/>
      <c r="AR282" s="143"/>
      <c r="AS282" s="143"/>
      <c r="AT282" s="143"/>
      <c r="AU282" s="143"/>
      <c r="AV282" s="143"/>
      <c r="AW282" s="143"/>
      <c r="AX282" s="143"/>
      <c r="AY282" s="143"/>
      <c r="AZ282" s="143"/>
      <c r="BA282" s="143"/>
      <c r="BB282" s="143"/>
      <c r="BC282" s="143"/>
      <c r="BD282" s="143"/>
      <c r="BE282" s="143"/>
      <c r="BF282" s="143"/>
      <c r="BG282" s="143"/>
      <c r="BH282" s="143"/>
      <c r="BI282" s="143"/>
      <c r="BJ282" s="143"/>
      <c r="BK282" s="143"/>
      <c r="BL282" s="143"/>
      <c r="BM282" s="143"/>
      <c r="BN282" s="143"/>
      <c r="BO282" s="143"/>
      <c r="BP282" s="143"/>
      <c r="BQ282" s="143"/>
      <c r="BR282" s="143"/>
      <c r="BS282" s="143"/>
      <c r="BT282" s="143"/>
      <c r="BU282" s="143"/>
      <c r="BV282" s="143"/>
      <c r="BW282" s="143"/>
      <c r="BX282" s="143"/>
      <c r="BY282" s="1571"/>
      <c r="BZ282" s="228"/>
      <c r="CA282" s="228"/>
      <c r="CB282" s="143"/>
      <c r="CC282" s="143"/>
      <c r="CD282" s="143"/>
      <c r="CE282" s="143"/>
      <c r="CF282" s="143"/>
      <c r="CG282" s="145"/>
      <c r="CH282" s="143"/>
      <c r="CI282" s="143"/>
      <c r="CJ282" s="143"/>
      <c r="CK282" s="143"/>
      <c r="CL282" s="143"/>
      <c r="CM282" s="143"/>
      <c r="CN282" s="170"/>
      <c r="CO282" s="143"/>
      <c r="CP282" s="143"/>
      <c r="CQ282" s="143"/>
      <c r="CR282" s="143"/>
      <c r="CS282" s="143"/>
      <c r="CT282" s="143"/>
      <c r="CU282" s="143"/>
      <c r="CV282" s="143"/>
      <c r="CW282" s="143"/>
      <c r="CX282" s="143"/>
      <c r="CY282" s="143"/>
      <c r="CZ282" s="143"/>
      <c r="DA282" s="143"/>
      <c r="DB282" s="143"/>
    </row>
    <row r="283" spans="1:106">
      <c r="A283" s="143"/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143"/>
      <c r="AK283" s="143"/>
      <c r="AL283" s="143"/>
      <c r="AM283" s="143"/>
      <c r="AN283" s="143"/>
      <c r="AO283" s="143"/>
      <c r="AP283" s="143"/>
      <c r="AQ283" s="143"/>
      <c r="AR283" s="143"/>
      <c r="AS283" s="143"/>
      <c r="AT283" s="143"/>
      <c r="AU283" s="143"/>
      <c r="AV283" s="143"/>
      <c r="AW283" s="143"/>
      <c r="AX283" s="143"/>
      <c r="AY283" s="143"/>
      <c r="AZ283" s="143"/>
      <c r="BA283" s="143"/>
      <c r="BB283" s="143"/>
      <c r="BC283" s="143"/>
      <c r="BD283" s="143"/>
      <c r="BE283" s="143"/>
      <c r="BF283" s="143"/>
      <c r="BG283" s="143"/>
      <c r="BH283" s="143"/>
      <c r="BI283" s="143"/>
      <c r="BJ283" s="143"/>
      <c r="BK283" s="143"/>
      <c r="BL283" s="143"/>
      <c r="BM283" s="143"/>
      <c r="BN283" s="143"/>
      <c r="BO283" s="143"/>
      <c r="BP283" s="143"/>
      <c r="BQ283" s="143"/>
      <c r="BR283" s="143"/>
      <c r="BS283" s="143"/>
      <c r="BT283" s="143"/>
      <c r="BU283" s="143"/>
      <c r="BV283" s="143"/>
      <c r="BW283" s="143"/>
      <c r="BX283" s="143"/>
      <c r="BY283" s="1571"/>
      <c r="BZ283" s="1571"/>
      <c r="CA283" s="1571"/>
      <c r="CB283" s="240" t="s">
        <v>985</v>
      </c>
      <c r="CC283" s="163" t="s">
        <v>243</v>
      </c>
      <c r="CD283" s="163" t="s">
        <v>243</v>
      </c>
      <c r="CE283" s="163" t="s">
        <v>2365</v>
      </c>
      <c r="CF283" s="143"/>
      <c r="CG283" s="145"/>
      <c r="CH283" s="143"/>
      <c r="CI283" s="143"/>
      <c r="CJ283" s="143"/>
      <c r="CK283" s="143"/>
      <c r="CL283" s="143"/>
      <c r="CM283" s="143"/>
      <c r="CN283" s="170"/>
      <c r="CO283" s="143"/>
      <c r="CP283" s="143"/>
      <c r="CQ283" s="143"/>
      <c r="CR283" s="143"/>
      <c r="CS283" s="143"/>
      <c r="CT283" s="143"/>
      <c r="CU283" s="143"/>
      <c r="CV283" s="143"/>
      <c r="CW283" s="143"/>
      <c r="CX283" s="143"/>
      <c r="CY283" s="143"/>
      <c r="CZ283" s="143"/>
      <c r="DA283" s="143"/>
      <c r="DB283" s="143"/>
    </row>
    <row r="284" spans="1:106">
      <c r="A284" s="143"/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143"/>
      <c r="AK284" s="143"/>
      <c r="AL284" s="143"/>
      <c r="AM284" s="143"/>
      <c r="AN284" s="143"/>
      <c r="AO284" s="143"/>
      <c r="AP284" s="143"/>
      <c r="AQ284" s="143"/>
      <c r="AR284" s="143"/>
      <c r="AS284" s="143"/>
      <c r="AT284" s="143"/>
      <c r="AU284" s="143"/>
      <c r="AV284" s="143"/>
      <c r="AW284" s="143"/>
      <c r="AX284" s="143"/>
      <c r="AY284" s="143"/>
      <c r="AZ284" s="143"/>
      <c r="BA284" s="143"/>
      <c r="BB284" s="143"/>
      <c r="BC284" s="143"/>
      <c r="BD284" s="143"/>
      <c r="BE284" s="143"/>
      <c r="BF284" s="143"/>
      <c r="BG284" s="143"/>
      <c r="BH284" s="143"/>
      <c r="BI284" s="143"/>
      <c r="BJ284" s="143"/>
      <c r="BK284" s="143"/>
      <c r="BL284" s="143"/>
      <c r="BM284" s="143"/>
      <c r="BN284" s="143"/>
      <c r="BO284" s="143"/>
      <c r="BP284" s="143"/>
      <c r="BQ284" s="143"/>
      <c r="BR284" s="143"/>
      <c r="BS284" s="143"/>
      <c r="BT284" s="143"/>
      <c r="BU284" s="143"/>
      <c r="BV284" s="143"/>
      <c r="BW284" s="143"/>
      <c r="BX284" s="143"/>
      <c r="BY284" s="2741" t="s">
        <v>1961</v>
      </c>
      <c r="BZ284" s="1571"/>
      <c r="CA284" s="1571"/>
      <c r="CB284" s="181" t="s">
        <v>986</v>
      </c>
      <c r="CC284" s="181" t="s">
        <v>2363</v>
      </c>
      <c r="CD284" s="181" t="s">
        <v>2364</v>
      </c>
      <c r="CE284" s="181" t="s">
        <v>2366</v>
      </c>
      <c r="CF284" s="143"/>
      <c r="CG284" s="145"/>
      <c r="CH284" s="143"/>
      <c r="CI284" s="143"/>
      <c r="CJ284" s="143"/>
      <c r="CK284" s="143"/>
      <c r="CL284" s="143"/>
      <c r="CM284" s="143"/>
      <c r="CN284" s="170"/>
      <c r="CO284" s="143"/>
      <c r="CP284" s="143"/>
      <c r="CQ284" s="143"/>
      <c r="CR284" s="143"/>
      <c r="CS284" s="143"/>
      <c r="CT284" s="143"/>
      <c r="CU284" s="143"/>
      <c r="CV284" s="143"/>
      <c r="CW284" s="143"/>
      <c r="CX284" s="143"/>
      <c r="CY284" s="143"/>
      <c r="CZ284" s="143"/>
      <c r="DA284" s="143"/>
      <c r="DB284" s="143"/>
    </row>
    <row r="285" spans="1:106">
      <c r="A285" s="143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143"/>
      <c r="AK285" s="143"/>
      <c r="AL285" s="143"/>
      <c r="AM285" s="143"/>
      <c r="AN285" s="143"/>
      <c r="AO285" s="143"/>
      <c r="AP285" s="143"/>
      <c r="AQ285" s="143"/>
      <c r="AR285" s="143"/>
      <c r="AS285" s="143"/>
      <c r="AT285" s="143"/>
      <c r="AU285" s="143"/>
      <c r="AV285" s="143"/>
      <c r="AW285" s="143"/>
      <c r="AX285" s="143"/>
      <c r="AY285" s="143"/>
      <c r="AZ285" s="143"/>
      <c r="BA285" s="143"/>
      <c r="BB285" s="143"/>
      <c r="BC285" s="143"/>
      <c r="BD285" s="143"/>
      <c r="BE285" s="143"/>
      <c r="BF285" s="143"/>
      <c r="BG285" s="143"/>
      <c r="BH285" s="143"/>
      <c r="BI285" s="143"/>
      <c r="BJ285" s="143"/>
      <c r="BK285" s="143"/>
      <c r="BL285" s="143"/>
      <c r="BM285" s="143"/>
      <c r="BN285" s="143"/>
      <c r="BO285" s="143"/>
      <c r="BP285" s="143"/>
      <c r="BQ285" s="143"/>
      <c r="BR285" s="143"/>
      <c r="BS285" s="143"/>
      <c r="BT285" s="143"/>
      <c r="BU285" s="143"/>
      <c r="BV285" s="143"/>
      <c r="BW285" s="143"/>
      <c r="BX285" s="143"/>
      <c r="BY285" s="176" t="s">
        <v>90</v>
      </c>
      <c r="BZ285" s="176" t="s">
        <v>1076</v>
      </c>
      <c r="CA285" s="1571"/>
      <c r="CB285" s="176" t="s">
        <v>2377</v>
      </c>
      <c r="CC285" s="176" t="s">
        <v>2362</v>
      </c>
      <c r="CD285" s="176" t="s">
        <v>2362</v>
      </c>
      <c r="CE285" s="176" t="s">
        <v>2367</v>
      </c>
      <c r="CF285" s="143"/>
      <c r="CG285" s="145"/>
      <c r="CH285" s="143"/>
      <c r="CI285" s="143"/>
      <c r="CJ285" s="143"/>
      <c r="CK285" s="143"/>
      <c r="CL285" s="143"/>
      <c r="CM285" s="143"/>
      <c r="CN285" s="170"/>
      <c r="CO285" s="143"/>
      <c r="CP285" s="143"/>
      <c r="CQ285" s="143"/>
      <c r="CR285" s="143"/>
      <c r="CS285" s="143"/>
      <c r="CT285" s="143"/>
      <c r="CU285" s="143"/>
      <c r="CV285" s="143"/>
      <c r="CW285" s="143"/>
      <c r="CX285" s="143"/>
      <c r="CY285" s="143"/>
      <c r="CZ285" s="143"/>
      <c r="DA285" s="143"/>
      <c r="DB285" s="143"/>
    </row>
    <row r="286" spans="1:106">
      <c r="A286" s="143"/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3"/>
      <c r="AP286" s="143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3"/>
      <c r="BB286" s="143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3"/>
      <c r="BN286" s="143"/>
      <c r="BO286" s="143"/>
      <c r="BP286" s="143"/>
      <c r="BQ286" s="143"/>
      <c r="BR286" s="143"/>
      <c r="BS286" s="143"/>
      <c r="BT286" s="143"/>
      <c r="BU286" s="143"/>
      <c r="BV286" s="143"/>
      <c r="BW286" s="143"/>
      <c r="BX286" s="143"/>
      <c r="BY286" s="1581"/>
      <c r="BZ286" s="1571"/>
      <c r="CA286" s="1571"/>
      <c r="CB286" s="2741" t="s">
        <v>1705</v>
      </c>
      <c r="CC286" s="2741" t="s">
        <v>1705</v>
      </c>
      <c r="CD286" s="2741" t="s">
        <v>1705</v>
      </c>
      <c r="CE286" s="2741" t="s">
        <v>1705</v>
      </c>
      <c r="CF286" s="143"/>
      <c r="CG286" s="145"/>
      <c r="CH286" s="143"/>
      <c r="CI286" s="143"/>
      <c r="CJ286" s="143"/>
      <c r="CK286" s="143"/>
      <c r="CL286" s="143"/>
      <c r="CM286" s="143"/>
      <c r="CN286" s="170"/>
      <c r="CO286" s="143"/>
      <c r="CP286" s="143"/>
      <c r="CQ286" s="143"/>
      <c r="CR286" s="143"/>
      <c r="CS286" s="143"/>
      <c r="CT286" s="143"/>
      <c r="CU286" s="143"/>
      <c r="CV286" s="143"/>
      <c r="CW286" s="143"/>
      <c r="CX286" s="143"/>
      <c r="CY286" s="143"/>
      <c r="CZ286" s="143"/>
      <c r="DA286" s="143"/>
      <c r="DB286" s="143"/>
    </row>
    <row r="287" spans="1:106">
      <c r="A287" s="143"/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143"/>
      <c r="AK287" s="143"/>
      <c r="AL287" s="143"/>
      <c r="AM287" s="143"/>
      <c r="AN287" s="143"/>
      <c r="AO287" s="143"/>
      <c r="AP287" s="143"/>
      <c r="AQ287" s="143"/>
      <c r="AR287" s="143"/>
      <c r="AS287" s="143"/>
      <c r="AT287" s="143"/>
      <c r="AU287" s="143"/>
      <c r="AV287" s="143"/>
      <c r="AW287" s="143"/>
      <c r="AX287" s="143"/>
      <c r="AY287" s="143"/>
      <c r="AZ287" s="143"/>
      <c r="BA287" s="143"/>
      <c r="BB287" s="143"/>
      <c r="BC287" s="143"/>
      <c r="BD287" s="143"/>
      <c r="BE287" s="143"/>
      <c r="BF287" s="143"/>
      <c r="BG287" s="143"/>
      <c r="BH287" s="143"/>
      <c r="BI287" s="143"/>
      <c r="BJ287" s="143"/>
      <c r="BK287" s="143"/>
      <c r="BL287" s="143"/>
      <c r="BM287" s="143"/>
      <c r="BN287" s="143"/>
      <c r="BO287" s="143"/>
      <c r="BP287" s="143"/>
      <c r="BQ287" s="143"/>
      <c r="BR287" s="143"/>
      <c r="BS287" s="143"/>
      <c r="BT287" s="143"/>
      <c r="BU287" s="143"/>
      <c r="BV287" s="143"/>
      <c r="BW287" s="143"/>
      <c r="BX287" s="143"/>
      <c r="BY287" s="2741">
        <v>1</v>
      </c>
      <c r="BZ287" s="233" t="s">
        <v>441</v>
      </c>
      <c r="CA287" s="1571"/>
      <c r="CB287" s="164"/>
      <c r="CC287" s="164"/>
      <c r="CD287" s="164"/>
      <c r="CE287" s="163"/>
      <c r="CF287" s="143"/>
      <c r="CG287" s="145"/>
      <c r="CH287" s="143"/>
      <c r="CI287" s="143"/>
      <c r="CJ287" s="143"/>
      <c r="CK287" s="143"/>
      <c r="CL287" s="143"/>
      <c r="CM287" s="143"/>
      <c r="CN287" s="170"/>
      <c r="CO287" s="143"/>
      <c r="CP287" s="143"/>
      <c r="CQ287" s="143"/>
      <c r="CR287" s="143"/>
      <c r="CS287" s="143"/>
      <c r="CT287" s="143"/>
      <c r="CU287" s="143"/>
      <c r="CV287" s="143"/>
      <c r="CW287" s="143"/>
      <c r="CX287" s="143"/>
      <c r="CY287" s="143"/>
      <c r="CZ287" s="143"/>
      <c r="DA287" s="143"/>
      <c r="DB287" s="143"/>
    </row>
    <row r="288" spans="1:106">
      <c r="A288" s="143"/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143"/>
      <c r="AK288" s="143"/>
      <c r="AL288" s="143"/>
      <c r="AM288" s="143"/>
      <c r="AN288" s="143"/>
      <c r="AO288" s="143"/>
      <c r="AP288" s="143"/>
      <c r="AQ288" s="143"/>
      <c r="AR288" s="143"/>
      <c r="AS288" s="143"/>
      <c r="AT288" s="143"/>
      <c r="AU288" s="143"/>
      <c r="AV288" s="143"/>
      <c r="AW288" s="143"/>
      <c r="AX288" s="143"/>
      <c r="AY288" s="143"/>
      <c r="AZ288" s="143"/>
      <c r="BA288" s="143"/>
      <c r="BB288" s="143"/>
      <c r="BC288" s="143"/>
      <c r="BD288" s="143"/>
      <c r="BE288" s="143"/>
      <c r="BF288" s="143"/>
      <c r="BG288" s="143"/>
      <c r="BH288" s="143"/>
      <c r="BI288" s="143"/>
      <c r="BJ288" s="143"/>
      <c r="BK288" s="143"/>
      <c r="BL288" s="143"/>
      <c r="BM288" s="143"/>
      <c r="BN288" s="143"/>
      <c r="BO288" s="143"/>
      <c r="BP288" s="143"/>
      <c r="BQ288" s="143"/>
      <c r="BR288" s="143"/>
      <c r="BS288" s="143"/>
      <c r="BT288" s="143"/>
      <c r="BU288" s="143"/>
      <c r="BV288" s="143"/>
      <c r="BW288" s="143"/>
      <c r="BX288" s="143"/>
      <c r="BY288" s="2741">
        <v>2</v>
      </c>
      <c r="BZ288" s="235" t="str">
        <f t="shared" ref="BZ288:BZ299" si="25">BE186</f>
        <v>December 2016</v>
      </c>
      <c r="CA288" s="1571"/>
      <c r="CB288" s="182">
        <v>0</v>
      </c>
      <c r="CC288" s="182">
        <v>137210</v>
      </c>
      <c r="CD288" s="182">
        <v>395464</v>
      </c>
      <c r="CE288" s="182">
        <v>-41537</v>
      </c>
      <c r="CF288" s="143"/>
      <c r="CG288" s="145"/>
      <c r="CH288" s="143"/>
      <c r="CI288" s="143"/>
      <c r="CJ288" s="143"/>
      <c r="CK288" s="143"/>
      <c r="CL288" s="143"/>
      <c r="CM288" s="143"/>
      <c r="CN288" s="170"/>
      <c r="CO288" s="143"/>
      <c r="CP288" s="143"/>
      <c r="CQ288" s="143"/>
      <c r="CR288" s="143"/>
      <c r="CS288" s="143"/>
      <c r="CT288" s="143"/>
      <c r="CU288" s="143"/>
      <c r="CV288" s="143"/>
      <c r="CW288" s="143"/>
      <c r="CX288" s="143"/>
      <c r="CY288" s="143"/>
      <c r="CZ288" s="143"/>
      <c r="DA288" s="143"/>
      <c r="DB288" s="143"/>
    </row>
    <row r="289" spans="1:106">
      <c r="A289" s="143"/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143"/>
      <c r="AL289" s="143"/>
      <c r="AM289" s="143"/>
      <c r="AN289" s="143"/>
      <c r="AO289" s="143"/>
      <c r="AP289" s="143"/>
      <c r="AQ289" s="143"/>
      <c r="AR289" s="143"/>
      <c r="AS289" s="143"/>
      <c r="AT289" s="143"/>
      <c r="AU289" s="143"/>
      <c r="AV289" s="143"/>
      <c r="AW289" s="143"/>
      <c r="AX289" s="143"/>
      <c r="AY289" s="143"/>
      <c r="AZ289" s="143"/>
      <c r="BA289" s="143"/>
      <c r="BB289" s="143"/>
      <c r="BC289" s="143"/>
      <c r="BD289" s="143"/>
      <c r="BE289" s="143"/>
      <c r="BF289" s="143"/>
      <c r="BG289" s="143"/>
      <c r="BH289" s="143"/>
      <c r="BI289" s="143"/>
      <c r="BJ289" s="143"/>
      <c r="BK289" s="143"/>
      <c r="BL289" s="143"/>
      <c r="BM289" s="143"/>
      <c r="BN289" s="143"/>
      <c r="BO289" s="143"/>
      <c r="BP289" s="143"/>
      <c r="BQ289" s="143"/>
      <c r="BR289" s="143"/>
      <c r="BS289" s="143"/>
      <c r="BT289" s="143"/>
      <c r="BU289" s="143"/>
      <c r="BV289" s="143"/>
      <c r="BW289" s="143"/>
      <c r="BX289" s="143"/>
      <c r="BY289" s="2741">
        <f t="shared" ref="BY289:BY317" si="26">1+BY288</f>
        <v>3</v>
      </c>
      <c r="BZ289" s="235" t="str">
        <f t="shared" si="25"/>
        <v>January 2017</v>
      </c>
      <c r="CA289" s="1571"/>
      <c r="CB289" s="182">
        <v>1153350</v>
      </c>
      <c r="CC289" s="182">
        <v>120315</v>
      </c>
      <c r="CD289" s="182">
        <v>334217</v>
      </c>
      <c r="CE289" s="182">
        <v>-41871</v>
      </c>
      <c r="CF289" s="143"/>
      <c r="CG289" s="145"/>
      <c r="CH289" s="143"/>
      <c r="CI289" s="143"/>
      <c r="CJ289" s="143"/>
      <c r="CK289" s="143"/>
      <c r="CL289" s="143"/>
      <c r="CM289" s="143"/>
      <c r="CN289" s="170"/>
      <c r="CO289" s="143"/>
      <c r="CP289" s="143"/>
      <c r="CQ289" s="143"/>
      <c r="CR289" s="143"/>
      <c r="CS289" s="143"/>
      <c r="CT289" s="143"/>
      <c r="CU289" s="143"/>
      <c r="CV289" s="143"/>
      <c r="CW289" s="143"/>
      <c r="CX289" s="143"/>
      <c r="CY289" s="143"/>
      <c r="CZ289" s="143"/>
      <c r="DA289" s="143"/>
      <c r="DB289" s="143"/>
    </row>
    <row r="290" spans="1:106">
      <c r="A290" s="143"/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143"/>
      <c r="AL290" s="143"/>
      <c r="AM290" s="143"/>
      <c r="AN290" s="143"/>
      <c r="AO290" s="143"/>
      <c r="AP290" s="143"/>
      <c r="AQ290" s="143"/>
      <c r="AR290" s="143"/>
      <c r="AS290" s="143"/>
      <c r="AT290" s="143"/>
      <c r="AU290" s="143"/>
      <c r="AV290" s="143"/>
      <c r="AW290" s="143"/>
      <c r="AX290" s="143"/>
      <c r="AY290" s="143"/>
      <c r="AZ290" s="143"/>
      <c r="BA290" s="143"/>
      <c r="BB290" s="143"/>
      <c r="BC290" s="143"/>
      <c r="BD290" s="143"/>
      <c r="BE290" s="143"/>
      <c r="BF290" s="143"/>
      <c r="BG290" s="143"/>
      <c r="BH290" s="143"/>
      <c r="BI290" s="143"/>
      <c r="BJ290" s="143"/>
      <c r="BK290" s="143"/>
      <c r="BL290" s="143"/>
      <c r="BM290" s="143"/>
      <c r="BN290" s="143"/>
      <c r="BO290" s="143"/>
      <c r="BP290" s="143"/>
      <c r="BQ290" s="143"/>
      <c r="BR290" s="143"/>
      <c r="BS290" s="143"/>
      <c r="BT290" s="143"/>
      <c r="BU290" s="143"/>
      <c r="BV290" s="143"/>
      <c r="BW290" s="143"/>
      <c r="BX290" s="143"/>
      <c r="BY290" s="2741">
        <f t="shared" si="26"/>
        <v>4</v>
      </c>
      <c r="BZ290" s="235" t="str">
        <f t="shared" si="25"/>
        <v>February</v>
      </c>
      <c r="CA290" s="1571"/>
      <c r="CB290" s="182">
        <v>1048500</v>
      </c>
      <c r="CC290" s="182">
        <v>-6782</v>
      </c>
      <c r="CD290" s="182">
        <v>142699</v>
      </c>
      <c r="CE290" s="182">
        <v>-41871</v>
      </c>
      <c r="CF290" s="143"/>
      <c r="CG290" s="145"/>
      <c r="CH290" s="143"/>
      <c r="CI290" s="143"/>
      <c r="CJ290" s="143"/>
      <c r="CK290" s="143"/>
      <c r="CL290" s="143"/>
      <c r="CM290" s="143"/>
      <c r="CN290" s="170"/>
      <c r="CO290" s="143"/>
      <c r="CP290" s="143"/>
      <c r="CQ290" s="143"/>
      <c r="CR290" s="143"/>
      <c r="CS290" s="143"/>
      <c r="CT290" s="143"/>
      <c r="CU290" s="143"/>
      <c r="CV290" s="143"/>
      <c r="CW290" s="143"/>
      <c r="CX290" s="143"/>
      <c r="CY290" s="143"/>
      <c r="CZ290" s="143"/>
      <c r="DA290" s="143"/>
      <c r="DB290" s="143"/>
    </row>
    <row r="291" spans="1:106">
      <c r="A291" s="143"/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143"/>
      <c r="AL291" s="143"/>
      <c r="AM291" s="143"/>
      <c r="AN291" s="143"/>
      <c r="AO291" s="143"/>
      <c r="AP291" s="143"/>
      <c r="AQ291" s="143"/>
      <c r="AR291" s="143"/>
      <c r="AS291" s="143"/>
      <c r="AT291" s="143"/>
      <c r="AU291" s="143"/>
      <c r="AV291" s="143"/>
      <c r="AW291" s="143"/>
      <c r="AX291" s="143"/>
      <c r="AY291" s="143"/>
      <c r="AZ291" s="143"/>
      <c r="BA291" s="143"/>
      <c r="BB291" s="143"/>
      <c r="BC291" s="143"/>
      <c r="BD291" s="143"/>
      <c r="BE291" s="143"/>
      <c r="BF291" s="143"/>
      <c r="BG291" s="143"/>
      <c r="BH291" s="143"/>
      <c r="BI291" s="143"/>
      <c r="BJ291" s="143"/>
      <c r="BK291" s="143"/>
      <c r="BL291" s="143"/>
      <c r="BM291" s="143"/>
      <c r="BN291" s="143"/>
      <c r="BO291" s="143"/>
      <c r="BP291" s="143"/>
      <c r="BQ291" s="143"/>
      <c r="BR291" s="143"/>
      <c r="BS291" s="143"/>
      <c r="BT291" s="143"/>
      <c r="BU291" s="143"/>
      <c r="BV291" s="143"/>
      <c r="BW291" s="143"/>
      <c r="BX291" s="143"/>
      <c r="BY291" s="2741">
        <f t="shared" si="26"/>
        <v>5</v>
      </c>
      <c r="BZ291" s="235" t="str">
        <f t="shared" si="25"/>
        <v>March</v>
      </c>
      <c r="CA291" s="1571"/>
      <c r="CB291" s="182">
        <v>943650</v>
      </c>
      <c r="CC291" s="182">
        <v>50686</v>
      </c>
      <c r="CD291" s="182">
        <v>190807</v>
      </c>
      <c r="CE291" s="182">
        <v>-6656772</v>
      </c>
      <c r="CF291" s="143"/>
      <c r="CG291" s="145"/>
      <c r="CH291" s="143"/>
      <c r="CI291" s="143"/>
      <c r="CJ291" s="143"/>
      <c r="CK291" s="143"/>
      <c r="CL291" s="143"/>
      <c r="CM291" s="143"/>
      <c r="CN291" s="170"/>
      <c r="CO291" s="143"/>
      <c r="CP291" s="143"/>
      <c r="CQ291" s="143"/>
      <c r="CR291" s="143"/>
      <c r="CS291" s="143"/>
      <c r="CT291" s="143"/>
      <c r="CU291" s="143"/>
      <c r="CV291" s="143"/>
      <c r="CW291" s="143"/>
      <c r="CX291" s="143"/>
      <c r="CY291" s="143"/>
      <c r="CZ291" s="143"/>
      <c r="DA291" s="143"/>
      <c r="DB291" s="143"/>
    </row>
    <row r="292" spans="1:106">
      <c r="A292" s="143"/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143"/>
      <c r="AL292" s="143"/>
      <c r="AM292" s="143"/>
      <c r="AN292" s="143"/>
      <c r="AO292" s="143"/>
      <c r="AP292" s="143"/>
      <c r="AQ292" s="143"/>
      <c r="AR292" s="143"/>
      <c r="AS292" s="143"/>
      <c r="AT292" s="143"/>
      <c r="AU292" s="143"/>
      <c r="AV292" s="143"/>
      <c r="AW292" s="143"/>
      <c r="AX292" s="143"/>
      <c r="AY292" s="143"/>
      <c r="AZ292" s="143"/>
      <c r="BA292" s="143"/>
      <c r="BB292" s="143"/>
      <c r="BC292" s="143"/>
      <c r="BD292" s="143"/>
      <c r="BE292" s="143"/>
      <c r="BF292" s="143"/>
      <c r="BG292" s="143"/>
      <c r="BH292" s="143"/>
      <c r="BI292" s="143"/>
      <c r="BJ292" s="143"/>
      <c r="BK292" s="143"/>
      <c r="BL292" s="143"/>
      <c r="BM292" s="143"/>
      <c r="BN292" s="143"/>
      <c r="BO292" s="143"/>
      <c r="BP292" s="143"/>
      <c r="BQ292" s="143"/>
      <c r="BR292" s="143"/>
      <c r="BS292" s="143"/>
      <c r="BT292" s="143"/>
      <c r="BU292" s="143"/>
      <c r="BV292" s="143"/>
      <c r="BW292" s="143"/>
      <c r="BX292" s="143"/>
      <c r="BY292" s="2741">
        <f t="shared" si="26"/>
        <v>6</v>
      </c>
      <c r="BZ292" s="235" t="str">
        <f t="shared" si="25"/>
        <v>April</v>
      </c>
      <c r="CA292" s="1571"/>
      <c r="CB292" s="182">
        <v>838800</v>
      </c>
      <c r="CC292" s="182">
        <v>109430</v>
      </c>
      <c r="CD292" s="182">
        <v>204472</v>
      </c>
      <c r="CE292" s="182">
        <v>489977</v>
      </c>
      <c r="CF292" s="143"/>
      <c r="CG292" s="145"/>
      <c r="CH292" s="143"/>
      <c r="CI292" s="143"/>
      <c r="CJ292" s="143"/>
      <c r="CK292" s="143"/>
      <c r="CL292" s="143"/>
      <c r="CM292" s="143"/>
      <c r="CN292" s="170"/>
      <c r="CO292" s="143"/>
      <c r="CP292" s="143"/>
      <c r="CQ292" s="143"/>
      <c r="CR292" s="143"/>
      <c r="CS292" s="143"/>
      <c r="CT292" s="143"/>
      <c r="CU292" s="143"/>
      <c r="CV292" s="143"/>
      <c r="CW292" s="143"/>
      <c r="CX292" s="143"/>
      <c r="CY292" s="143"/>
      <c r="CZ292" s="143"/>
      <c r="DA292" s="143"/>
      <c r="DB292" s="143"/>
    </row>
    <row r="293" spans="1:106">
      <c r="A293" s="143"/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3"/>
      <c r="AP293" s="143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3"/>
      <c r="BB293" s="143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3"/>
      <c r="BN293" s="143"/>
      <c r="BO293" s="143"/>
      <c r="BP293" s="143"/>
      <c r="BQ293" s="143"/>
      <c r="BR293" s="143"/>
      <c r="BS293" s="143"/>
      <c r="BT293" s="143"/>
      <c r="BU293" s="143"/>
      <c r="BV293" s="143"/>
      <c r="BW293" s="143"/>
      <c r="BX293" s="143"/>
      <c r="BY293" s="2741">
        <f t="shared" si="26"/>
        <v>7</v>
      </c>
      <c r="BZ293" s="235" t="str">
        <f t="shared" si="25"/>
        <v>May</v>
      </c>
      <c r="CA293" s="1571"/>
      <c r="CB293" s="182">
        <v>733950</v>
      </c>
      <c r="CC293" s="182">
        <v>28551</v>
      </c>
      <c r="CD293" s="182">
        <v>80833</v>
      </c>
      <c r="CE293" s="182">
        <v>-32705</v>
      </c>
      <c r="CF293" s="143"/>
      <c r="CG293" s="145"/>
      <c r="CH293" s="143"/>
      <c r="CI293" s="143"/>
      <c r="CJ293" s="143"/>
      <c r="CK293" s="143"/>
      <c r="CL293" s="143"/>
      <c r="CM293" s="143"/>
      <c r="CN293" s="170"/>
      <c r="CO293" s="143"/>
      <c r="CP293" s="143"/>
      <c r="CQ293" s="143"/>
      <c r="CR293" s="143"/>
      <c r="CS293" s="143"/>
      <c r="CT293" s="143"/>
      <c r="CU293" s="143"/>
      <c r="CV293" s="143"/>
      <c r="CW293" s="143"/>
      <c r="CX293" s="143"/>
      <c r="CY293" s="143"/>
      <c r="CZ293" s="143"/>
      <c r="DA293" s="143"/>
      <c r="DB293" s="143"/>
    </row>
    <row r="294" spans="1:106">
      <c r="A294" s="143"/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143"/>
      <c r="AL294" s="143"/>
      <c r="AM294" s="143"/>
      <c r="AN294" s="143"/>
      <c r="AO294" s="143"/>
      <c r="AP294" s="143"/>
      <c r="AQ294" s="143"/>
      <c r="AR294" s="143"/>
      <c r="AS294" s="143"/>
      <c r="AT294" s="143"/>
      <c r="AU294" s="143"/>
      <c r="AV294" s="143"/>
      <c r="AW294" s="143"/>
      <c r="AX294" s="143"/>
      <c r="AY294" s="143"/>
      <c r="AZ294" s="143"/>
      <c r="BA294" s="143"/>
      <c r="BB294" s="143"/>
      <c r="BC294" s="143"/>
      <c r="BD294" s="143"/>
      <c r="BE294" s="143"/>
      <c r="BF294" s="143"/>
      <c r="BG294" s="143"/>
      <c r="BH294" s="143"/>
      <c r="BI294" s="143"/>
      <c r="BJ294" s="143"/>
      <c r="BK294" s="143"/>
      <c r="BL294" s="143"/>
      <c r="BM294" s="143"/>
      <c r="BN294" s="143"/>
      <c r="BO294" s="143"/>
      <c r="BP294" s="143"/>
      <c r="BQ294" s="143"/>
      <c r="BR294" s="143"/>
      <c r="BS294" s="143"/>
      <c r="BT294" s="143"/>
      <c r="BU294" s="143"/>
      <c r="BV294" s="143"/>
      <c r="BW294" s="143"/>
      <c r="BX294" s="143"/>
      <c r="BY294" s="2741">
        <f t="shared" si="26"/>
        <v>8</v>
      </c>
      <c r="BZ294" s="235" t="str">
        <f t="shared" si="25"/>
        <v>June</v>
      </c>
      <c r="CA294" s="245"/>
      <c r="CB294" s="182">
        <v>0</v>
      </c>
      <c r="CC294" s="182">
        <v>444964</v>
      </c>
      <c r="CD294" s="182">
        <v>887211</v>
      </c>
      <c r="CE294" s="182">
        <v>0</v>
      </c>
      <c r="CF294" s="143"/>
      <c r="CG294" s="145"/>
      <c r="CH294" s="143"/>
      <c r="CI294" s="143"/>
      <c r="CJ294" s="143"/>
      <c r="CK294" s="143"/>
      <c r="CL294" s="143"/>
      <c r="CM294" s="143"/>
      <c r="CN294" s="170"/>
      <c r="CO294" s="143"/>
      <c r="CP294" s="143"/>
      <c r="CQ294" s="143"/>
      <c r="CR294" s="143"/>
      <c r="CS294" s="143"/>
      <c r="CT294" s="143"/>
      <c r="CU294" s="143"/>
      <c r="CV294" s="143"/>
      <c r="CW294" s="143"/>
      <c r="CX294" s="143"/>
      <c r="CY294" s="143"/>
      <c r="CZ294" s="143"/>
      <c r="DA294" s="143"/>
      <c r="DB294" s="143"/>
    </row>
    <row r="295" spans="1:106">
      <c r="A295" s="143"/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143"/>
      <c r="AL295" s="143"/>
      <c r="AM295" s="143"/>
      <c r="AN295" s="143"/>
      <c r="AO295" s="143"/>
      <c r="AP295" s="143"/>
      <c r="AQ295" s="143"/>
      <c r="AR295" s="143"/>
      <c r="AS295" s="143"/>
      <c r="AT295" s="143"/>
      <c r="AU295" s="143"/>
      <c r="AV295" s="143"/>
      <c r="AW295" s="143"/>
      <c r="AX295" s="143"/>
      <c r="AY295" s="143"/>
      <c r="AZ295" s="143"/>
      <c r="BA295" s="143"/>
      <c r="BB295" s="143"/>
      <c r="BC295" s="143"/>
      <c r="BD295" s="143"/>
      <c r="BE295" s="143"/>
      <c r="BF295" s="143"/>
      <c r="BG295" s="143"/>
      <c r="BH295" s="143"/>
      <c r="BI295" s="143"/>
      <c r="BJ295" s="143"/>
      <c r="BK295" s="143"/>
      <c r="BL295" s="143"/>
      <c r="BM295" s="143"/>
      <c r="BN295" s="143"/>
      <c r="BO295" s="143"/>
      <c r="BP295" s="143"/>
      <c r="BQ295" s="143"/>
      <c r="BR295" s="143"/>
      <c r="BS295" s="143"/>
      <c r="BT295" s="143"/>
      <c r="BU295" s="143"/>
      <c r="BV295" s="143"/>
      <c r="BW295" s="143"/>
      <c r="BX295" s="143"/>
      <c r="BY295" s="2741">
        <f t="shared" si="26"/>
        <v>9</v>
      </c>
      <c r="BZ295" s="235" t="str">
        <f t="shared" si="25"/>
        <v>July</v>
      </c>
      <c r="CA295" s="245"/>
      <c r="CB295" s="182">
        <v>0</v>
      </c>
      <c r="CC295" s="182">
        <v>393672</v>
      </c>
      <c r="CD295" s="182">
        <v>805253</v>
      </c>
      <c r="CE295" s="182">
        <v>0</v>
      </c>
      <c r="CF295" s="143"/>
      <c r="CG295" s="145"/>
      <c r="CH295" s="143"/>
      <c r="CI295" s="143"/>
      <c r="CJ295" s="143"/>
      <c r="CK295" s="143"/>
      <c r="CL295" s="143"/>
      <c r="CM295" s="143"/>
      <c r="CN295" s="170"/>
      <c r="CO295" s="143"/>
      <c r="CP295" s="143"/>
      <c r="CQ295" s="143"/>
      <c r="CR295" s="143"/>
      <c r="CS295" s="143"/>
      <c r="CT295" s="143"/>
      <c r="CU295" s="143"/>
      <c r="CV295" s="143"/>
      <c r="CW295" s="143"/>
      <c r="CX295" s="143"/>
      <c r="CY295" s="143"/>
      <c r="CZ295" s="143"/>
      <c r="DA295" s="143"/>
      <c r="DB295" s="143"/>
    </row>
    <row r="296" spans="1:106">
      <c r="A296" s="143"/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143"/>
      <c r="AL296" s="143"/>
      <c r="AM296" s="143"/>
      <c r="AN296" s="143"/>
      <c r="AO296" s="143"/>
      <c r="AP296" s="143"/>
      <c r="AQ296" s="143"/>
      <c r="AR296" s="143"/>
      <c r="AS296" s="143"/>
      <c r="AT296" s="143"/>
      <c r="AU296" s="143"/>
      <c r="AV296" s="143"/>
      <c r="AW296" s="143"/>
      <c r="AX296" s="143"/>
      <c r="AY296" s="143"/>
      <c r="AZ296" s="143"/>
      <c r="BA296" s="143"/>
      <c r="BB296" s="143"/>
      <c r="BC296" s="143"/>
      <c r="BD296" s="143"/>
      <c r="BE296" s="143"/>
      <c r="BF296" s="143"/>
      <c r="BG296" s="143"/>
      <c r="BH296" s="143"/>
      <c r="BI296" s="143"/>
      <c r="BJ296" s="143"/>
      <c r="BK296" s="143"/>
      <c r="BL296" s="143"/>
      <c r="BM296" s="143"/>
      <c r="BN296" s="143"/>
      <c r="BO296" s="143"/>
      <c r="BP296" s="143"/>
      <c r="BQ296" s="143"/>
      <c r="BR296" s="143"/>
      <c r="BS296" s="143"/>
      <c r="BT296" s="143"/>
      <c r="BU296" s="143"/>
      <c r="BV296" s="143"/>
      <c r="BW296" s="143"/>
      <c r="BX296" s="143"/>
      <c r="BY296" s="2741">
        <f t="shared" si="26"/>
        <v>10</v>
      </c>
      <c r="BZ296" s="235" t="str">
        <f t="shared" si="25"/>
        <v>August</v>
      </c>
      <c r="CA296" s="245"/>
      <c r="CB296" s="182">
        <v>0</v>
      </c>
      <c r="CC296" s="182">
        <v>342379</v>
      </c>
      <c r="CD296" s="182">
        <v>723295</v>
      </c>
      <c r="CE296" s="182">
        <v>0</v>
      </c>
      <c r="CF296" s="143"/>
      <c r="CG296" s="145"/>
      <c r="CH296" s="143"/>
      <c r="CI296" s="143"/>
      <c r="CJ296" s="143"/>
      <c r="CK296" s="143"/>
      <c r="CL296" s="143"/>
      <c r="CM296" s="143"/>
      <c r="CN296" s="170"/>
      <c r="CO296" s="143"/>
      <c r="CP296" s="143"/>
      <c r="CQ296" s="143"/>
      <c r="CR296" s="143"/>
      <c r="CS296" s="143"/>
      <c r="CT296" s="143"/>
      <c r="CU296" s="143"/>
      <c r="CV296" s="143"/>
      <c r="CW296" s="143"/>
      <c r="CX296" s="143"/>
      <c r="CY296" s="143"/>
      <c r="CZ296" s="143"/>
      <c r="DA296" s="143"/>
      <c r="DB296" s="143"/>
    </row>
    <row r="297" spans="1:106">
      <c r="A297" s="143"/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143"/>
      <c r="AL297" s="143"/>
      <c r="AM297" s="143"/>
      <c r="AN297" s="143"/>
      <c r="AO297" s="143"/>
      <c r="AP297" s="143"/>
      <c r="AQ297" s="143"/>
      <c r="AR297" s="143"/>
      <c r="AS297" s="143"/>
      <c r="AT297" s="143"/>
      <c r="AU297" s="143"/>
      <c r="AV297" s="143"/>
      <c r="AW297" s="143"/>
      <c r="AX297" s="143"/>
      <c r="AY297" s="143"/>
      <c r="AZ297" s="143"/>
      <c r="BA297" s="143"/>
      <c r="BB297" s="143"/>
      <c r="BC297" s="143"/>
      <c r="BD297" s="143"/>
      <c r="BE297" s="143"/>
      <c r="BF297" s="143"/>
      <c r="BG297" s="143"/>
      <c r="BH297" s="143"/>
      <c r="BI297" s="143"/>
      <c r="BJ297" s="143"/>
      <c r="BK297" s="143"/>
      <c r="BL297" s="143"/>
      <c r="BM297" s="143"/>
      <c r="BN297" s="143"/>
      <c r="BO297" s="143"/>
      <c r="BP297" s="143"/>
      <c r="BQ297" s="143"/>
      <c r="BR297" s="143"/>
      <c r="BS297" s="143"/>
      <c r="BT297" s="143"/>
      <c r="BU297" s="143"/>
      <c r="BV297" s="143"/>
      <c r="BW297" s="143"/>
      <c r="BX297" s="143"/>
      <c r="BY297" s="2741">
        <f t="shared" si="26"/>
        <v>11</v>
      </c>
      <c r="BZ297" s="235" t="str">
        <f t="shared" si="25"/>
        <v>September</v>
      </c>
      <c r="CA297" s="1571"/>
      <c r="CB297" s="182">
        <v>0</v>
      </c>
      <c r="CC297" s="182">
        <v>291087</v>
      </c>
      <c r="CD297" s="182">
        <v>641337</v>
      </c>
      <c r="CE297" s="182">
        <v>0</v>
      </c>
      <c r="CF297" s="143"/>
      <c r="CG297" s="145"/>
      <c r="CH297" s="143"/>
      <c r="CI297" s="143"/>
      <c r="CJ297" s="143"/>
      <c r="CK297" s="143"/>
      <c r="CL297" s="143"/>
      <c r="CM297" s="143"/>
      <c r="CN297" s="170"/>
      <c r="CO297" s="143"/>
      <c r="CP297" s="143"/>
      <c r="CQ297" s="143"/>
      <c r="CR297" s="143"/>
      <c r="CS297" s="143"/>
      <c r="CT297" s="143"/>
      <c r="CU297" s="143"/>
      <c r="CV297" s="143"/>
      <c r="CW297" s="143"/>
      <c r="CX297" s="143"/>
      <c r="CY297" s="143"/>
      <c r="CZ297" s="143"/>
      <c r="DA297" s="143"/>
      <c r="DB297" s="143"/>
    </row>
    <row r="298" spans="1:106">
      <c r="A298" s="143"/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143"/>
      <c r="AL298" s="143"/>
      <c r="AM298" s="143"/>
      <c r="AN298" s="143"/>
      <c r="AO298" s="143"/>
      <c r="AP298" s="143"/>
      <c r="AQ298" s="143"/>
      <c r="AR298" s="143"/>
      <c r="AS298" s="143"/>
      <c r="AT298" s="143"/>
      <c r="AU298" s="143"/>
      <c r="AV298" s="143"/>
      <c r="AW298" s="143"/>
      <c r="AX298" s="143"/>
      <c r="AY298" s="143"/>
      <c r="AZ298" s="143"/>
      <c r="BA298" s="143"/>
      <c r="BB298" s="143"/>
      <c r="BC298" s="143"/>
      <c r="BD298" s="143"/>
      <c r="BE298" s="143"/>
      <c r="BF298" s="143"/>
      <c r="BG298" s="143"/>
      <c r="BH298" s="143"/>
      <c r="BI298" s="143"/>
      <c r="BJ298" s="143"/>
      <c r="BK298" s="143"/>
      <c r="BL298" s="143"/>
      <c r="BM298" s="143"/>
      <c r="BN298" s="143"/>
      <c r="BO298" s="143"/>
      <c r="BP298" s="143"/>
      <c r="BQ298" s="143"/>
      <c r="BR298" s="143"/>
      <c r="BS298" s="143"/>
      <c r="BT298" s="143"/>
      <c r="BU298" s="143"/>
      <c r="BV298" s="143"/>
      <c r="BW298" s="143"/>
      <c r="BX298" s="143"/>
      <c r="BY298" s="2741">
        <f t="shared" si="26"/>
        <v>12</v>
      </c>
      <c r="BZ298" s="235" t="str">
        <f t="shared" si="25"/>
        <v>October</v>
      </c>
      <c r="CA298" s="1571"/>
      <c r="CB298" s="182">
        <v>0</v>
      </c>
      <c r="CC298" s="182">
        <v>239795</v>
      </c>
      <c r="CD298" s="182">
        <v>559380</v>
      </c>
      <c r="CE298" s="182">
        <v>0</v>
      </c>
      <c r="CF298" s="143"/>
      <c r="CG298" s="145"/>
      <c r="CH298" s="143"/>
      <c r="CI298" s="143"/>
      <c r="CJ298" s="143"/>
      <c r="CK298" s="143"/>
      <c r="CL298" s="143"/>
      <c r="CM298" s="143"/>
      <c r="CN298" s="170"/>
      <c r="CO298" s="143"/>
      <c r="CP298" s="143"/>
      <c r="CQ298" s="143"/>
      <c r="CR298" s="143"/>
      <c r="CS298" s="143"/>
      <c r="CT298" s="143"/>
      <c r="CU298" s="143"/>
      <c r="CV298" s="143"/>
      <c r="CW298" s="143"/>
      <c r="CX298" s="143"/>
      <c r="CY298" s="143"/>
      <c r="CZ298" s="143"/>
      <c r="DA298" s="143"/>
      <c r="DB298" s="143"/>
    </row>
    <row r="299" spans="1:106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143"/>
      <c r="AL299" s="143"/>
      <c r="AM299" s="143"/>
      <c r="AN299" s="143"/>
      <c r="AO299" s="143"/>
      <c r="AP299" s="143"/>
      <c r="AQ299" s="143"/>
      <c r="AR299" s="143"/>
      <c r="AS299" s="143"/>
      <c r="AT299" s="143"/>
      <c r="AU299" s="143"/>
      <c r="AV299" s="143"/>
      <c r="AW299" s="143"/>
      <c r="AX299" s="143"/>
      <c r="AY299" s="143"/>
      <c r="AZ299" s="143"/>
      <c r="BA299" s="143"/>
      <c r="BB299" s="143"/>
      <c r="BC299" s="143"/>
      <c r="BD299" s="143"/>
      <c r="BE299" s="143"/>
      <c r="BF299" s="143"/>
      <c r="BG299" s="143"/>
      <c r="BH299" s="143"/>
      <c r="BI299" s="143"/>
      <c r="BJ299" s="143"/>
      <c r="BK299" s="143"/>
      <c r="BL299" s="143"/>
      <c r="BM299" s="143"/>
      <c r="BN299" s="143"/>
      <c r="BO299" s="143"/>
      <c r="BP299" s="143"/>
      <c r="BQ299" s="143"/>
      <c r="BR299" s="143"/>
      <c r="BS299" s="143"/>
      <c r="BT299" s="143"/>
      <c r="BU299" s="143"/>
      <c r="BV299" s="143"/>
      <c r="BW299" s="143"/>
      <c r="BX299" s="143"/>
      <c r="BY299" s="2741">
        <f t="shared" si="26"/>
        <v>13</v>
      </c>
      <c r="BZ299" s="235" t="str">
        <f t="shared" si="25"/>
        <v>November</v>
      </c>
      <c r="CA299" s="1571"/>
      <c r="CB299" s="182">
        <v>0</v>
      </c>
      <c r="CC299" s="182">
        <v>188503</v>
      </c>
      <c r="CD299" s="182">
        <v>477422</v>
      </c>
      <c r="CE299" s="182">
        <v>0</v>
      </c>
      <c r="CF299" s="143"/>
      <c r="CG299" s="145"/>
      <c r="CH299" s="143"/>
      <c r="CI299" s="143"/>
      <c r="CJ299" s="143"/>
      <c r="CK299" s="143"/>
      <c r="CL299" s="143"/>
      <c r="CM299" s="143"/>
      <c r="CN299" s="170"/>
      <c r="CO299" s="143"/>
      <c r="CP299" s="143"/>
      <c r="CQ299" s="143"/>
      <c r="CR299" s="143"/>
      <c r="CS299" s="143"/>
      <c r="CT299" s="143"/>
      <c r="CU299" s="143"/>
      <c r="CV299" s="143"/>
      <c r="CW299" s="143"/>
      <c r="CX299" s="143"/>
      <c r="CY299" s="143"/>
      <c r="CZ299" s="143"/>
      <c r="DA299" s="143"/>
      <c r="DB299" s="143"/>
    </row>
    <row r="300" spans="1:106">
      <c r="A300" s="143"/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143"/>
      <c r="AL300" s="143"/>
      <c r="AM300" s="143"/>
      <c r="AN300" s="143"/>
      <c r="AO300" s="143"/>
      <c r="AP300" s="143"/>
      <c r="AQ300" s="143"/>
      <c r="AR300" s="143"/>
      <c r="AS300" s="143"/>
      <c r="AT300" s="143"/>
      <c r="AU300" s="143"/>
      <c r="AV300" s="143"/>
      <c r="AW300" s="143"/>
      <c r="AX300" s="143"/>
      <c r="AY300" s="143"/>
      <c r="AZ300" s="143"/>
      <c r="BA300" s="143"/>
      <c r="BB300" s="143"/>
      <c r="BC300" s="143"/>
      <c r="BD300" s="143"/>
      <c r="BE300" s="143"/>
      <c r="BF300" s="143"/>
      <c r="BG300" s="143"/>
      <c r="BH300" s="143"/>
      <c r="BI300" s="143"/>
      <c r="BJ300" s="143"/>
      <c r="BK300" s="143"/>
      <c r="BL300" s="143"/>
      <c r="BM300" s="143"/>
      <c r="BN300" s="143"/>
      <c r="BO300" s="143"/>
      <c r="BP300" s="143"/>
      <c r="BQ300" s="143"/>
      <c r="BR300" s="143"/>
      <c r="BS300" s="143"/>
      <c r="BT300" s="143"/>
      <c r="BU300" s="143"/>
      <c r="BV300" s="143"/>
      <c r="BW300" s="143"/>
      <c r="BX300" s="143"/>
      <c r="BY300" s="2741">
        <f t="shared" si="26"/>
        <v>14</v>
      </c>
      <c r="BZ300" s="1571"/>
      <c r="CA300" s="1571"/>
      <c r="CB300" s="1571"/>
      <c r="CC300" s="1571"/>
      <c r="CD300" s="1571"/>
      <c r="CE300" s="1571"/>
      <c r="CF300" s="143"/>
      <c r="CG300" s="145"/>
      <c r="CH300" s="143"/>
      <c r="CI300" s="143"/>
      <c r="CJ300" s="143"/>
      <c r="CK300" s="143"/>
      <c r="CL300" s="143"/>
      <c r="CM300" s="143"/>
      <c r="CN300" s="170"/>
      <c r="CO300" s="143"/>
      <c r="CP300" s="143"/>
      <c r="CQ300" s="143"/>
      <c r="CR300" s="143"/>
      <c r="CS300" s="143"/>
      <c r="CT300" s="143"/>
      <c r="CU300" s="143"/>
      <c r="CV300" s="143"/>
      <c r="CW300" s="143"/>
      <c r="CX300" s="143"/>
      <c r="CY300" s="143"/>
      <c r="CZ300" s="143"/>
      <c r="DA300" s="143"/>
      <c r="DB300" s="143"/>
    </row>
    <row r="301" spans="1:106">
      <c r="A301" s="143"/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  <c r="AT301" s="143"/>
      <c r="AU301" s="143"/>
      <c r="AV301" s="143"/>
      <c r="AW301" s="143"/>
      <c r="AX301" s="143"/>
      <c r="AY301" s="143"/>
      <c r="AZ301" s="143"/>
      <c r="BA301" s="143"/>
      <c r="BB301" s="143"/>
      <c r="BC301" s="143"/>
      <c r="BD301" s="143"/>
      <c r="BE301" s="143"/>
      <c r="BF301" s="143"/>
      <c r="BG301" s="143"/>
      <c r="BH301" s="143"/>
      <c r="BI301" s="143"/>
      <c r="BJ301" s="143"/>
      <c r="BK301" s="143"/>
      <c r="BL301" s="143"/>
      <c r="BM301" s="143"/>
      <c r="BN301" s="143"/>
      <c r="BO301" s="143"/>
      <c r="BP301" s="143"/>
      <c r="BQ301" s="143"/>
      <c r="BR301" s="143"/>
      <c r="BS301" s="143"/>
      <c r="BT301" s="143"/>
      <c r="BU301" s="143"/>
      <c r="BV301" s="143"/>
      <c r="BW301" s="143"/>
      <c r="BX301" s="143"/>
      <c r="BY301" s="2741">
        <f t="shared" si="26"/>
        <v>15</v>
      </c>
      <c r="BZ301" s="233" t="s">
        <v>207</v>
      </c>
      <c r="CA301" s="1571"/>
      <c r="CB301" s="1571"/>
      <c r="CC301" s="1571"/>
      <c r="CD301" s="1571"/>
      <c r="CE301" s="1571"/>
      <c r="CF301" s="143"/>
      <c r="CG301" s="145"/>
      <c r="CH301" s="143"/>
      <c r="CI301" s="143"/>
      <c r="CJ301" s="143"/>
      <c r="CK301" s="143"/>
      <c r="CL301" s="143"/>
      <c r="CM301" s="143"/>
      <c r="CN301" s="170"/>
      <c r="CO301" s="143"/>
      <c r="CP301" s="143"/>
      <c r="CQ301" s="143"/>
      <c r="CR301" s="143"/>
      <c r="CS301" s="143"/>
      <c r="CT301" s="143"/>
      <c r="CU301" s="143"/>
      <c r="CV301" s="143"/>
      <c r="CW301" s="143"/>
      <c r="CX301" s="143"/>
      <c r="CY301" s="143"/>
      <c r="CZ301" s="143"/>
      <c r="DA301" s="143"/>
      <c r="DB301" s="143"/>
    </row>
    <row r="302" spans="1:106">
      <c r="A302" s="143"/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143"/>
      <c r="AK302" s="143"/>
      <c r="AL302" s="143"/>
      <c r="AM302" s="143"/>
      <c r="AN302" s="143"/>
      <c r="AO302" s="143"/>
      <c r="AP302" s="143"/>
      <c r="AQ302" s="143"/>
      <c r="AR302" s="143"/>
      <c r="AS302" s="143"/>
      <c r="AT302" s="143"/>
      <c r="AU302" s="143"/>
      <c r="AV302" s="143"/>
      <c r="AW302" s="143"/>
      <c r="AX302" s="143"/>
      <c r="AY302" s="143"/>
      <c r="AZ302" s="143"/>
      <c r="BA302" s="143"/>
      <c r="BB302" s="143"/>
      <c r="BC302" s="143"/>
      <c r="BD302" s="143"/>
      <c r="BE302" s="143"/>
      <c r="BF302" s="143"/>
      <c r="BG302" s="143"/>
      <c r="BH302" s="143"/>
      <c r="BI302" s="143"/>
      <c r="BJ302" s="143"/>
      <c r="BK302" s="143"/>
      <c r="BL302" s="143"/>
      <c r="BM302" s="143"/>
      <c r="BN302" s="143"/>
      <c r="BO302" s="143"/>
      <c r="BP302" s="143"/>
      <c r="BQ302" s="143"/>
      <c r="BR302" s="143"/>
      <c r="BS302" s="143"/>
      <c r="BT302" s="143"/>
      <c r="BU302" s="143"/>
      <c r="BV302" s="143"/>
      <c r="BW302" s="143"/>
      <c r="BX302" s="143"/>
      <c r="BY302" s="2741">
        <f t="shared" si="26"/>
        <v>16</v>
      </c>
      <c r="BZ302" s="235" t="str">
        <f t="shared" ref="BZ302:BZ314" si="27">BE200</f>
        <v>March 2018</v>
      </c>
      <c r="CA302" s="1571"/>
      <c r="CB302" s="182">
        <v>0</v>
      </c>
      <c r="CC302" s="182">
        <v>598841</v>
      </c>
      <c r="CD302" s="182">
        <v>1133084</v>
      </c>
      <c r="CE302" s="182">
        <v>0</v>
      </c>
      <c r="CF302" s="143"/>
      <c r="CG302" s="145"/>
      <c r="CH302" s="143"/>
      <c r="CI302" s="143"/>
      <c r="CJ302" s="143"/>
      <c r="CK302" s="143"/>
      <c r="CL302" s="143"/>
      <c r="CM302" s="143"/>
      <c r="CN302" s="170"/>
      <c r="CO302" s="143"/>
      <c r="CP302" s="143"/>
      <c r="CQ302" s="143"/>
      <c r="CR302" s="143"/>
      <c r="CS302" s="143"/>
      <c r="CT302" s="143"/>
      <c r="CU302" s="143"/>
      <c r="CV302" s="143"/>
      <c r="CW302" s="143"/>
      <c r="CX302" s="143"/>
      <c r="CY302" s="143"/>
      <c r="CZ302" s="143"/>
      <c r="DA302" s="143"/>
      <c r="DB302" s="143"/>
    </row>
    <row r="303" spans="1:106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3"/>
      <c r="AP303" s="143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3"/>
      <c r="BB303" s="143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3"/>
      <c r="BN303" s="143"/>
      <c r="BO303" s="143"/>
      <c r="BP303" s="143"/>
      <c r="BQ303" s="143"/>
      <c r="BR303" s="143"/>
      <c r="BS303" s="143"/>
      <c r="BT303" s="143"/>
      <c r="BU303" s="143"/>
      <c r="BV303" s="143"/>
      <c r="BW303" s="143"/>
      <c r="BX303" s="143"/>
      <c r="BY303" s="2741">
        <f t="shared" si="26"/>
        <v>17</v>
      </c>
      <c r="BZ303" s="235" t="str">
        <f t="shared" si="27"/>
        <v>April</v>
      </c>
      <c r="CA303" s="1571"/>
      <c r="CB303" s="182">
        <v>0</v>
      </c>
      <c r="CC303" s="182">
        <v>547548</v>
      </c>
      <c r="CD303" s="182">
        <v>1051126</v>
      </c>
      <c r="CE303" s="182">
        <v>0</v>
      </c>
      <c r="CF303" s="143"/>
      <c r="CG303" s="145"/>
      <c r="CH303" s="143"/>
      <c r="CI303" s="143"/>
      <c r="CJ303" s="143"/>
      <c r="CK303" s="143"/>
      <c r="CL303" s="143"/>
      <c r="CM303" s="143"/>
      <c r="CN303" s="170"/>
      <c r="CO303" s="143"/>
      <c r="CP303" s="143"/>
      <c r="CQ303" s="143"/>
      <c r="CR303" s="143"/>
      <c r="CS303" s="143"/>
      <c r="CT303" s="143"/>
      <c r="CU303" s="143"/>
      <c r="CV303" s="143"/>
      <c r="CW303" s="143"/>
      <c r="CX303" s="143"/>
      <c r="CY303" s="143"/>
      <c r="CZ303" s="143"/>
      <c r="DA303" s="143"/>
      <c r="DB303" s="143"/>
    </row>
    <row r="304" spans="1:106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3"/>
      <c r="AR304" s="143"/>
      <c r="AS304" s="143"/>
      <c r="AT304" s="143"/>
      <c r="AU304" s="143"/>
      <c r="AV304" s="143"/>
      <c r="AW304" s="143"/>
      <c r="AX304" s="143"/>
      <c r="AY304" s="143"/>
      <c r="AZ304" s="143"/>
      <c r="BA304" s="143"/>
      <c r="BB304" s="143"/>
      <c r="BC304" s="143"/>
      <c r="BD304" s="143"/>
      <c r="BE304" s="143"/>
      <c r="BF304" s="143"/>
      <c r="BG304" s="143"/>
      <c r="BH304" s="143"/>
      <c r="BI304" s="143"/>
      <c r="BJ304" s="143"/>
      <c r="BK304" s="143"/>
      <c r="BL304" s="143"/>
      <c r="BM304" s="143"/>
      <c r="BN304" s="143"/>
      <c r="BO304" s="143"/>
      <c r="BP304" s="143"/>
      <c r="BQ304" s="143"/>
      <c r="BR304" s="143"/>
      <c r="BS304" s="143"/>
      <c r="BT304" s="143"/>
      <c r="BU304" s="143"/>
      <c r="BV304" s="143"/>
      <c r="BW304" s="143"/>
      <c r="BX304" s="143"/>
      <c r="BY304" s="2741">
        <f t="shared" si="26"/>
        <v>18</v>
      </c>
      <c r="BZ304" s="235" t="str">
        <f t="shared" si="27"/>
        <v>May</v>
      </c>
      <c r="CA304" s="1571"/>
      <c r="CB304" s="182">
        <v>0</v>
      </c>
      <c r="CC304" s="182">
        <v>496256</v>
      </c>
      <c r="CD304" s="182">
        <v>969168</v>
      </c>
      <c r="CE304" s="182">
        <v>0</v>
      </c>
      <c r="CF304" s="143"/>
      <c r="CG304" s="145"/>
      <c r="CH304" s="143"/>
      <c r="CI304" s="143"/>
      <c r="CJ304" s="143"/>
      <c r="CK304" s="143"/>
      <c r="CL304" s="143"/>
      <c r="CM304" s="143"/>
      <c r="CN304" s="170"/>
      <c r="CO304" s="143"/>
      <c r="CP304" s="143"/>
      <c r="CQ304" s="143"/>
      <c r="CR304" s="143"/>
      <c r="CS304" s="143"/>
      <c r="CT304" s="143"/>
      <c r="CU304" s="143"/>
      <c r="CV304" s="143"/>
      <c r="CW304" s="143"/>
      <c r="CX304" s="143"/>
      <c r="CY304" s="143"/>
      <c r="CZ304" s="143"/>
      <c r="DA304" s="143"/>
      <c r="DB304" s="143"/>
    </row>
    <row r="305" spans="1:106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143"/>
      <c r="AK305" s="143"/>
      <c r="AL305" s="143"/>
      <c r="AM305" s="143"/>
      <c r="AN305" s="143"/>
      <c r="AO305" s="143"/>
      <c r="AP305" s="143"/>
      <c r="AQ305" s="143"/>
      <c r="AR305" s="143"/>
      <c r="AS305" s="143"/>
      <c r="AT305" s="143"/>
      <c r="AU305" s="143"/>
      <c r="AV305" s="143"/>
      <c r="AW305" s="143"/>
      <c r="AX305" s="143"/>
      <c r="AY305" s="143"/>
      <c r="AZ305" s="143"/>
      <c r="BA305" s="143"/>
      <c r="BB305" s="143"/>
      <c r="BC305" s="143"/>
      <c r="BD305" s="143"/>
      <c r="BE305" s="143"/>
      <c r="BF305" s="143"/>
      <c r="BG305" s="143"/>
      <c r="BH305" s="143"/>
      <c r="BI305" s="143"/>
      <c r="BJ305" s="143"/>
      <c r="BK305" s="143"/>
      <c r="BL305" s="143"/>
      <c r="BM305" s="143"/>
      <c r="BN305" s="143"/>
      <c r="BO305" s="143"/>
      <c r="BP305" s="143"/>
      <c r="BQ305" s="143"/>
      <c r="BR305" s="143"/>
      <c r="BS305" s="143"/>
      <c r="BT305" s="143"/>
      <c r="BU305" s="143"/>
      <c r="BV305" s="143"/>
      <c r="BW305" s="143"/>
      <c r="BX305" s="143"/>
      <c r="BY305" s="2741">
        <f t="shared" si="26"/>
        <v>19</v>
      </c>
      <c r="BZ305" s="235" t="str">
        <f t="shared" si="27"/>
        <v>June</v>
      </c>
      <c r="CA305" s="1571"/>
      <c r="CB305" s="182">
        <v>0</v>
      </c>
      <c r="CC305" s="182">
        <v>444964</v>
      </c>
      <c r="CD305" s="182">
        <v>887211</v>
      </c>
      <c r="CE305" s="182">
        <v>0</v>
      </c>
      <c r="CF305" s="143"/>
      <c r="CG305" s="145"/>
      <c r="CH305" s="143"/>
      <c r="CI305" s="143"/>
      <c r="CJ305" s="143"/>
      <c r="CK305" s="143"/>
      <c r="CL305" s="143"/>
      <c r="CM305" s="143"/>
      <c r="CN305" s="170"/>
      <c r="CO305" s="143"/>
      <c r="CP305" s="143"/>
      <c r="CQ305" s="143"/>
      <c r="CR305" s="143"/>
      <c r="CS305" s="143"/>
      <c r="CT305" s="143"/>
      <c r="CU305" s="143"/>
      <c r="CV305" s="143"/>
      <c r="CW305" s="143"/>
      <c r="CX305" s="143"/>
      <c r="CY305" s="143"/>
      <c r="CZ305" s="143"/>
      <c r="DA305" s="143"/>
      <c r="DB305" s="143"/>
    </row>
    <row r="306" spans="1:106">
      <c r="A306" s="143"/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143"/>
      <c r="AK306" s="143"/>
      <c r="AL306" s="143"/>
      <c r="AM306" s="143"/>
      <c r="AN306" s="143"/>
      <c r="AO306" s="143"/>
      <c r="AP306" s="143"/>
      <c r="AQ306" s="143"/>
      <c r="AR306" s="143"/>
      <c r="AS306" s="143"/>
      <c r="AT306" s="143"/>
      <c r="AU306" s="143"/>
      <c r="AV306" s="143"/>
      <c r="AW306" s="143"/>
      <c r="AX306" s="143"/>
      <c r="AY306" s="143"/>
      <c r="AZ306" s="143"/>
      <c r="BA306" s="143"/>
      <c r="BB306" s="143"/>
      <c r="BC306" s="143"/>
      <c r="BD306" s="143"/>
      <c r="BE306" s="143"/>
      <c r="BF306" s="143"/>
      <c r="BG306" s="143"/>
      <c r="BH306" s="143"/>
      <c r="BI306" s="143"/>
      <c r="BJ306" s="143"/>
      <c r="BK306" s="143"/>
      <c r="BL306" s="143"/>
      <c r="BM306" s="143"/>
      <c r="BN306" s="143"/>
      <c r="BO306" s="143"/>
      <c r="BP306" s="143"/>
      <c r="BQ306" s="143"/>
      <c r="BR306" s="143"/>
      <c r="BS306" s="143"/>
      <c r="BT306" s="143"/>
      <c r="BU306" s="143"/>
      <c r="BV306" s="143"/>
      <c r="BW306" s="143"/>
      <c r="BX306" s="143"/>
      <c r="BY306" s="2741">
        <f t="shared" si="26"/>
        <v>20</v>
      </c>
      <c r="BZ306" s="235" t="str">
        <f t="shared" si="27"/>
        <v>July</v>
      </c>
      <c r="CA306" s="1571"/>
      <c r="CB306" s="182">
        <v>0</v>
      </c>
      <c r="CC306" s="182">
        <v>393672</v>
      </c>
      <c r="CD306" s="182">
        <v>805253</v>
      </c>
      <c r="CE306" s="182">
        <v>0</v>
      </c>
      <c r="CF306" s="143"/>
      <c r="CG306" s="145"/>
      <c r="CH306" s="143"/>
      <c r="CI306" s="143"/>
      <c r="CJ306" s="143"/>
      <c r="CK306" s="143"/>
      <c r="CL306" s="143"/>
      <c r="CM306" s="143"/>
      <c r="CN306" s="170"/>
      <c r="CO306" s="143"/>
      <c r="CP306" s="143"/>
      <c r="CQ306" s="143"/>
      <c r="CR306" s="143"/>
      <c r="CS306" s="143"/>
      <c r="CT306" s="143"/>
      <c r="CU306" s="143"/>
      <c r="CV306" s="143"/>
      <c r="CW306" s="143"/>
      <c r="CX306" s="143"/>
      <c r="CY306" s="143"/>
      <c r="CZ306" s="143"/>
      <c r="DA306" s="143"/>
      <c r="DB306" s="143"/>
    </row>
    <row r="307" spans="1:106">
      <c r="A307" s="143"/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3"/>
      <c r="BB307" s="143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3"/>
      <c r="BN307" s="143"/>
      <c r="BO307" s="143"/>
      <c r="BP307" s="143"/>
      <c r="BQ307" s="143"/>
      <c r="BR307" s="143"/>
      <c r="BS307" s="143"/>
      <c r="BT307" s="143"/>
      <c r="BU307" s="143"/>
      <c r="BV307" s="143"/>
      <c r="BW307" s="143"/>
      <c r="BX307" s="143"/>
      <c r="BY307" s="2741">
        <f t="shared" si="26"/>
        <v>21</v>
      </c>
      <c r="BZ307" s="235" t="str">
        <f t="shared" si="27"/>
        <v>August</v>
      </c>
      <c r="CA307" s="1571"/>
      <c r="CB307" s="182">
        <v>0</v>
      </c>
      <c r="CC307" s="182">
        <v>342379</v>
      </c>
      <c r="CD307" s="182">
        <v>723295</v>
      </c>
      <c r="CE307" s="182">
        <v>0</v>
      </c>
      <c r="CF307" s="143"/>
      <c r="CG307" s="145"/>
      <c r="CH307" s="143"/>
      <c r="CI307" s="143"/>
      <c r="CJ307" s="143"/>
      <c r="CK307" s="143"/>
      <c r="CL307" s="143"/>
      <c r="CM307" s="143"/>
      <c r="CN307" s="170"/>
      <c r="CO307" s="143"/>
      <c r="CP307" s="143"/>
      <c r="CQ307" s="143"/>
      <c r="CR307" s="143"/>
      <c r="CS307" s="143"/>
      <c r="CT307" s="143"/>
      <c r="CU307" s="143"/>
      <c r="CV307" s="143"/>
      <c r="CW307" s="143"/>
      <c r="CX307" s="143"/>
      <c r="CY307" s="143"/>
      <c r="CZ307" s="143"/>
      <c r="DA307" s="143"/>
      <c r="DB307" s="143"/>
    </row>
    <row r="308" spans="1:106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  <c r="AT308" s="143"/>
      <c r="AU308" s="143"/>
      <c r="AV308" s="143"/>
      <c r="AW308" s="143"/>
      <c r="AX308" s="143"/>
      <c r="AY308" s="143"/>
      <c r="AZ308" s="143"/>
      <c r="BA308" s="143"/>
      <c r="BB308" s="143"/>
      <c r="BC308" s="143"/>
      <c r="BD308" s="143"/>
      <c r="BE308" s="143"/>
      <c r="BF308" s="143"/>
      <c r="BG308" s="143"/>
      <c r="BH308" s="143"/>
      <c r="BI308" s="143"/>
      <c r="BJ308" s="143"/>
      <c r="BK308" s="143"/>
      <c r="BL308" s="143"/>
      <c r="BM308" s="143"/>
      <c r="BN308" s="143"/>
      <c r="BO308" s="143"/>
      <c r="BP308" s="143"/>
      <c r="BQ308" s="143"/>
      <c r="BR308" s="143"/>
      <c r="BS308" s="143"/>
      <c r="BT308" s="143"/>
      <c r="BU308" s="143"/>
      <c r="BV308" s="143"/>
      <c r="BW308" s="143"/>
      <c r="BX308" s="143"/>
      <c r="BY308" s="2741">
        <f t="shared" si="26"/>
        <v>22</v>
      </c>
      <c r="BZ308" s="235" t="str">
        <f t="shared" si="27"/>
        <v>September</v>
      </c>
      <c r="CA308" s="1571"/>
      <c r="CB308" s="182">
        <v>0</v>
      </c>
      <c r="CC308" s="182">
        <v>291087</v>
      </c>
      <c r="CD308" s="182">
        <v>641337</v>
      </c>
      <c r="CE308" s="182">
        <v>0</v>
      </c>
      <c r="CF308" s="143"/>
      <c r="CG308" s="145"/>
      <c r="CH308" s="143"/>
      <c r="CI308" s="143"/>
      <c r="CJ308" s="143"/>
      <c r="CK308" s="143"/>
      <c r="CL308" s="143"/>
      <c r="CM308" s="143"/>
      <c r="CN308" s="170"/>
      <c r="CO308" s="143"/>
      <c r="CP308" s="143"/>
      <c r="CQ308" s="143"/>
      <c r="CR308" s="143"/>
      <c r="CS308" s="143"/>
      <c r="CT308" s="143"/>
      <c r="CU308" s="143"/>
      <c r="CV308" s="143"/>
      <c r="CW308" s="143"/>
      <c r="CX308" s="143"/>
      <c r="CY308" s="143"/>
      <c r="CZ308" s="143"/>
      <c r="DA308" s="143"/>
      <c r="DB308" s="143"/>
    </row>
    <row r="309" spans="1:106">
      <c r="A309" s="143"/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143"/>
      <c r="AK309" s="143"/>
      <c r="AL309" s="143"/>
      <c r="AM309" s="143"/>
      <c r="AN309" s="143"/>
      <c r="AO309" s="143"/>
      <c r="AP309" s="143"/>
      <c r="AQ309" s="143"/>
      <c r="AR309" s="143"/>
      <c r="AS309" s="143"/>
      <c r="AT309" s="143"/>
      <c r="AU309" s="143"/>
      <c r="AV309" s="143"/>
      <c r="AW309" s="143"/>
      <c r="AX309" s="143"/>
      <c r="AY309" s="143"/>
      <c r="AZ309" s="143"/>
      <c r="BA309" s="143"/>
      <c r="BB309" s="143"/>
      <c r="BC309" s="143"/>
      <c r="BD309" s="143"/>
      <c r="BE309" s="143"/>
      <c r="BF309" s="143"/>
      <c r="BG309" s="143"/>
      <c r="BH309" s="143"/>
      <c r="BI309" s="143"/>
      <c r="BJ309" s="143"/>
      <c r="BK309" s="143"/>
      <c r="BL309" s="143"/>
      <c r="BM309" s="143"/>
      <c r="BN309" s="143"/>
      <c r="BO309" s="143"/>
      <c r="BP309" s="143"/>
      <c r="BQ309" s="143"/>
      <c r="BR309" s="143"/>
      <c r="BS309" s="143"/>
      <c r="BT309" s="143"/>
      <c r="BU309" s="143"/>
      <c r="BV309" s="143"/>
      <c r="BW309" s="143"/>
      <c r="BX309" s="143"/>
      <c r="BY309" s="2741">
        <f t="shared" si="26"/>
        <v>23</v>
      </c>
      <c r="BZ309" s="235" t="str">
        <f t="shared" si="27"/>
        <v>October</v>
      </c>
      <c r="CA309" s="1571"/>
      <c r="CB309" s="182">
        <v>0</v>
      </c>
      <c r="CC309" s="182">
        <v>239795</v>
      </c>
      <c r="CD309" s="182">
        <v>559380</v>
      </c>
      <c r="CE309" s="182">
        <v>0</v>
      </c>
      <c r="CF309" s="143"/>
      <c r="CG309" s="145"/>
      <c r="CH309" s="143"/>
      <c r="CI309" s="143"/>
      <c r="CJ309" s="143"/>
      <c r="CK309" s="143"/>
      <c r="CL309" s="143"/>
      <c r="CM309" s="143"/>
      <c r="CN309" s="170"/>
      <c r="CO309" s="143"/>
      <c r="CP309" s="143"/>
      <c r="CQ309" s="143"/>
      <c r="CR309" s="143"/>
      <c r="CS309" s="143"/>
      <c r="CT309" s="143"/>
      <c r="CU309" s="143"/>
      <c r="CV309" s="143"/>
      <c r="CW309" s="143"/>
      <c r="CX309" s="143"/>
      <c r="CY309" s="143"/>
      <c r="CZ309" s="143"/>
      <c r="DA309" s="143"/>
      <c r="DB309" s="143"/>
    </row>
    <row r="310" spans="1:106">
      <c r="A310" s="143"/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3"/>
      <c r="AP310" s="143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3"/>
      <c r="BB310" s="143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3"/>
      <c r="BN310" s="143"/>
      <c r="BO310" s="143"/>
      <c r="BP310" s="143"/>
      <c r="BQ310" s="143"/>
      <c r="BR310" s="143"/>
      <c r="BS310" s="143"/>
      <c r="BT310" s="143"/>
      <c r="BU310" s="143"/>
      <c r="BV310" s="143"/>
      <c r="BW310" s="143"/>
      <c r="BX310" s="143"/>
      <c r="BY310" s="2741">
        <f t="shared" si="26"/>
        <v>24</v>
      </c>
      <c r="BZ310" s="235" t="str">
        <f t="shared" si="27"/>
        <v>November</v>
      </c>
      <c r="CA310" s="1571"/>
      <c r="CB310" s="182">
        <v>0</v>
      </c>
      <c r="CC310" s="182">
        <v>188503</v>
      </c>
      <c r="CD310" s="182">
        <v>477422</v>
      </c>
      <c r="CE310" s="182">
        <v>0</v>
      </c>
      <c r="CF310" s="143"/>
      <c r="CG310" s="145"/>
      <c r="CH310" s="143"/>
      <c r="CI310" s="143"/>
      <c r="CJ310" s="143"/>
      <c r="CK310" s="143"/>
      <c r="CL310" s="143"/>
      <c r="CM310" s="143"/>
      <c r="CN310" s="170"/>
      <c r="CO310" s="143"/>
      <c r="CP310" s="143"/>
      <c r="CQ310" s="143"/>
      <c r="CR310" s="143"/>
      <c r="CS310" s="143"/>
      <c r="CT310" s="143"/>
      <c r="CU310" s="143"/>
      <c r="CV310" s="143"/>
      <c r="CW310" s="143"/>
      <c r="CX310" s="143"/>
      <c r="CY310" s="143"/>
      <c r="CZ310" s="143"/>
      <c r="DA310" s="143"/>
      <c r="DB310" s="143"/>
    </row>
    <row r="311" spans="1:106">
      <c r="A311" s="143"/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143"/>
      <c r="AK311" s="143"/>
      <c r="AL311" s="143"/>
      <c r="AM311" s="143"/>
      <c r="AN311" s="143"/>
      <c r="AO311" s="143"/>
      <c r="AP311" s="143"/>
      <c r="AQ311" s="143"/>
      <c r="AR311" s="143"/>
      <c r="AS311" s="143"/>
      <c r="AT311" s="143"/>
      <c r="AU311" s="143"/>
      <c r="AV311" s="143"/>
      <c r="AW311" s="143"/>
      <c r="AX311" s="143"/>
      <c r="AY311" s="143"/>
      <c r="AZ311" s="143"/>
      <c r="BA311" s="143"/>
      <c r="BB311" s="143"/>
      <c r="BC311" s="143"/>
      <c r="BD311" s="143"/>
      <c r="BE311" s="143"/>
      <c r="BF311" s="143"/>
      <c r="BG311" s="143"/>
      <c r="BH311" s="143"/>
      <c r="BI311" s="143"/>
      <c r="BJ311" s="143"/>
      <c r="BK311" s="143"/>
      <c r="BL311" s="143"/>
      <c r="BM311" s="143"/>
      <c r="BN311" s="143"/>
      <c r="BO311" s="143"/>
      <c r="BP311" s="143"/>
      <c r="BQ311" s="143"/>
      <c r="BR311" s="143"/>
      <c r="BS311" s="143"/>
      <c r="BT311" s="143"/>
      <c r="BU311" s="143"/>
      <c r="BV311" s="143"/>
      <c r="BW311" s="143"/>
      <c r="BX311" s="143"/>
      <c r="BY311" s="2741">
        <f t="shared" si="26"/>
        <v>25</v>
      </c>
      <c r="BZ311" s="235" t="str">
        <f t="shared" si="27"/>
        <v>December</v>
      </c>
      <c r="CA311" s="1571"/>
      <c r="CB311" s="182">
        <v>0</v>
      </c>
      <c r="CC311" s="182">
        <v>137210</v>
      </c>
      <c r="CD311" s="182">
        <v>395464</v>
      </c>
      <c r="CE311" s="182">
        <v>0</v>
      </c>
      <c r="CF311" s="143"/>
      <c r="CG311" s="145"/>
      <c r="CH311" s="143"/>
      <c r="CI311" s="143"/>
      <c r="CJ311" s="143"/>
      <c r="CK311" s="143"/>
      <c r="CL311" s="143"/>
      <c r="CM311" s="143"/>
      <c r="CN311" s="170"/>
      <c r="CO311" s="143"/>
      <c r="CP311" s="143"/>
      <c r="CQ311" s="143"/>
      <c r="CR311" s="143"/>
      <c r="CS311" s="143"/>
      <c r="CT311" s="143"/>
      <c r="CU311" s="143"/>
      <c r="CV311" s="143"/>
      <c r="CW311" s="143"/>
      <c r="CX311" s="143"/>
      <c r="CY311" s="143"/>
      <c r="CZ311" s="143"/>
      <c r="DA311" s="143"/>
      <c r="DB311" s="143"/>
    </row>
    <row r="312" spans="1:106">
      <c r="A312" s="143"/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143"/>
      <c r="AK312" s="143"/>
      <c r="AL312" s="143"/>
      <c r="AM312" s="143"/>
      <c r="AN312" s="143"/>
      <c r="AO312" s="143"/>
      <c r="AP312" s="143"/>
      <c r="AQ312" s="143"/>
      <c r="AR312" s="143"/>
      <c r="AS312" s="143"/>
      <c r="AT312" s="143"/>
      <c r="AU312" s="143"/>
      <c r="AV312" s="143"/>
      <c r="AW312" s="143"/>
      <c r="AX312" s="143"/>
      <c r="AY312" s="143"/>
      <c r="AZ312" s="143"/>
      <c r="BA312" s="143"/>
      <c r="BB312" s="143"/>
      <c r="BC312" s="143"/>
      <c r="BD312" s="143"/>
      <c r="BE312" s="143"/>
      <c r="BF312" s="143"/>
      <c r="BG312" s="143"/>
      <c r="BH312" s="143"/>
      <c r="BI312" s="143"/>
      <c r="BJ312" s="143"/>
      <c r="BK312" s="143"/>
      <c r="BL312" s="143"/>
      <c r="BM312" s="143"/>
      <c r="BN312" s="143"/>
      <c r="BO312" s="143"/>
      <c r="BP312" s="143"/>
      <c r="BQ312" s="143"/>
      <c r="BR312" s="143"/>
      <c r="BS312" s="143"/>
      <c r="BT312" s="143"/>
      <c r="BU312" s="143"/>
      <c r="BV312" s="143"/>
      <c r="BW312" s="143"/>
      <c r="BX312" s="143"/>
      <c r="BY312" s="2741">
        <f t="shared" si="26"/>
        <v>26</v>
      </c>
      <c r="BZ312" s="235" t="str">
        <f t="shared" si="27"/>
        <v>January 2019</v>
      </c>
      <c r="CA312" s="1571"/>
      <c r="CB312" s="182">
        <v>0</v>
      </c>
      <c r="CC312" s="182">
        <v>85918</v>
      </c>
      <c r="CD312" s="182">
        <v>313506</v>
      </c>
      <c r="CE312" s="182">
        <v>0</v>
      </c>
      <c r="CF312" s="143"/>
      <c r="CG312" s="145"/>
      <c r="CH312" s="143"/>
      <c r="CI312" s="143"/>
      <c r="CJ312" s="143"/>
      <c r="CK312" s="143"/>
      <c r="CL312" s="143"/>
      <c r="CM312" s="143"/>
      <c r="CN312" s="170"/>
      <c r="CO312" s="143"/>
      <c r="CP312" s="143"/>
      <c r="CQ312" s="143"/>
      <c r="CR312" s="143"/>
      <c r="CS312" s="143"/>
      <c r="CT312" s="143"/>
      <c r="CU312" s="143"/>
      <c r="CV312" s="143"/>
      <c r="CW312" s="143"/>
      <c r="CX312" s="143"/>
      <c r="CY312" s="143"/>
      <c r="CZ312" s="143"/>
      <c r="DA312" s="143"/>
      <c r="DB312" s="143"/>
    </row>
    <row r="313" spans="1:106">
      <c r="A313" s="143"/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143"/>
      <c r="AK313" s="143"/>
      <c r="AL313" s="143"/>
      <c r="AM313" s="143"/>
      <c r="AN313" s="143"/>
      <c r="AO313" s="143"/>
      <c r="AP313" s="143"/>
      <c r="AQ313" s="143"/>
      <c r="AR313" s="143"/>
      <c r="AS313" s="143"/>
      <c r="AT313" s="143"/>
      <c r="AU313" s="143"/>
      <c r="AV313" s="143"/>
      <c r="AW313" s="143"/>
      <c r="AX313" s="143"/>
      <c r="AY313" s="143"/>
      <c r="AZ313" s="143"/>
      <c r="BA313" s="143"/>
      <c r="BB313" s="143"/>
      <c r="BC313" s="143"/>
      <c r="BD313" s="143"/>
      <c r="BE313" s="143"/>
      <c r="BF313" s="143"/>
      <c r="BG313" s="143"/>
      <c r="BH313" s="143"/>
      <c r="BI313" s="143"/>
      <c r="BJ313" s="143"/>
      <c r="BK313" s="143"/>
      <c r="BL313" s="143"/>
      <c r="BM313" s="143"/>
      <c r="BN313" s="143"/>
      <c r="BO313" s="143"/>
      <c r="BP313" s="143"/>
      <c r="BQ313" s="143"/>
      <c r="BR313" s="143"/>
      <c r="BS313" s="143"/>
      <c r="BT313" s="143"/>
      <c r="BU313" s="143"/>
      <c r="BV313" s="143"/>
      <c r="BW313" s="143"/>
      <c r="BX313" s="143"/>
      <c r="BY313" s="2741">
        <f t="shared" si="26"/>
        <v>27</v>
      </c>
      <c r="BZ313" s="235" t="str">
        <f t="shared" si="27"/>
        <v>February</v>
      </c>
      <c r="CA313" s="1571"/>
      <c r="CB313" s="182">
        <v>0</v>
      </c>
      <c r="CC313" s="182">
        <v>650133</v>
      </c>
      <c r="CD313" s="182">
        <v>1215042</v>
      </c>
      <c r="CE313" s="182">
        <v>0</v>
      </c>
      <c r="CF313" s="143"/>
      <c r="CG313" s="145"/>
      <c r="CH313" s="143"/>
      <c r="CI313" s="143"/>
      <c r="CJ313" s="143"/>
      <c r="CK313" s="143"/>
      <c r="CL313" s="143"/>
      <c r="CM313" s="143"/>
      <c r="CN313" s="170"/>
      <c r="CO313" s="143"/>
      <c r="CP313" s="143"/>
      <c r="CQ313" s="143"/>
      <c r="CR313" s="143"/>
      <c r="CS313" s="143"/>
      <c r="CT313" s="143"/>
      <c r="CU313" s="143"/>
      <c r="CV313" s="143"/>
      <c r="CW313" s="143"/>
      <c r="CX313" s="143"/>
      <c r="CY313" s="143"/>
      <c r="CZ313" s="143"/>
      <c r="DA313" s="143"/>
      <c r="DB313" s="143"/>
    </row>
    <row r="314" spans="1:106">
      <c r="A314" s="143"/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3"/>
      <c r="AP314" s="143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3"/>
      <c r="BB314" s="143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3"/>
      <c r="BN314" s="143"/>
      <c r="BO314" s="143"/>
      <c r="BP314" s="143"/>
      <c r="BQ314" s="143"/>
      <c r="BR314" s="143"/>
      <c r="BS314" s="143"/>
      <c r="BT314" s="143"/>
      <c r="BU314" s="143"/>
      <c r="BV314" s="143"/>
      <c r="BW314" s="143"/>
      <c r="BX314" s="143"/>
      <c r="BY314" s="2741">
        <f t="shared" si="26"/>
        <v>28</v>
      </c>
      <c r="BZ314" s="235" t="str">
        <f t="shared" si="27"/>
        <v>March</v>
      </c>
      <c r="CA314" s="1571"/>
      <c r="CB314" s="182">
        <v>0</v>
      </c>
      <c r="CC314" s="182">
        <v>598841</v>
      </c>
      <c r="CD314" s="182">
        <v>1133084</v>
      </c>
      <c r="CE314" s="182">
        <v>0</v>
      </c>
      <c r="CF314" s="143"/>
      <c r="CG314" s="145"/>
      <c r="CH314" s="143"/>
      <c r="CI314" s="143"/>
      <c r="CJ314" s="143"/>
      <c r="CK314" s="143"/>
      <c r="CL314" s="143"/>
      <c r="CM314" s="143"/>
      <c r="CN314" s="170"/>
      <c r="CO314" s="143"/>
      <c r="CP314" s="143"/>
      <c r="CQ314" s="143"/>
      <c r="CR314" s="143"/>
      <c r="CS314" s="143"/>
      <c r="CT314" s="143"/>
      <c r="CU314" s="143"/>
      <c r="CV314" s="143"/>
      <c r="CW314" s="143"/>
      <c r="CX314" s="143"/>
      <c r="CY314" s="143"/>
      <c r="CZ314" s="143"/>
      <c r="DA314" s="143"/>
      <c r="DB314" s="143"/>
    </row>
    <row r="315" spans="1:106" ht="13.5" thickBot="1">
      <c r="A315" s="143"/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143"/>
      <c r="AK315" s="143"/>
      <c r="AL315" s="143"/>
      <c r="AM315" s="143"/>
      <c r="AN315" s="143"/>
      <c r="AO315" s="143"/>
      <c r="AP315" s="143"/>
      <c r="AQ315" s="143"/>
      <c r="AR315" s="143"/>
      <c r="AS315" s="143"/>
      <c r="AT315" s="143"/>
      <c r="AU315" s="143"/>
      <c r="AV315" s="143"/>
      <c r="AW315" s="143"/>
      <c r="AX315" s="143"/>
      <c r="AY315" s="143"/>
      <c r="AZ315" s="143"/>
      <c r="BA315" s="143"/>
      <c r="BB315" s="143"/>
      <c r="BC315" s="143"/>
      <c r="BD315" s="143"/>
      <c r="BE315" s="143"/>
      <c r="BF315" s="143"/>
      <c r="BG315" s="143"/>
      <c r="BH315" s="143"/>
      <c r="BI315" s="143"/>
      <c r="BJ315" s="143"/>
      <c r="BK315" s="143"/>
      <c r="BL315" s="143"/>
      <c r="BM315" s="143"/>
      <c r="BN315" s="143"/>
      <c r="BO315" s="143"/>
      <c r="BP315" s="143"/>
      <c r="BQ315" s="143"/>
      <c r="BR315" s="143"/>
      <c r="BS315" s="143"/>
      <c r="BT315" s="143"/>
      <c r="BU315" s="143"/>
      <c r="BV315" s="143"/>
      <c r="BW315" s="143"/>
      <c r="BX315" s="143"/>
      <c r="BY315" s="2741">
        <f t="shared" si="26"/>
        <v>29</v>
      </c>
      <c r="BZ315" s="2741" t="s">
        <v>1929</v>
      </c>
      <c r="CA315" s="1571"/>
      <c r="CB315" s="191">
        <f>SUM(CB302:CB314)</f>
        <v>0</v>
      </c>
      <c r="CC315" s="191">
        <f>SUM(CC302:CC314)</f>
        <v>5015147</v>
      </c>
      <c r="CD315" s="191">
        <f t="shared" ref="CD315:CE315" si="28">SUM(CD302:CD314)</f>
        <v>10304372</v>
      </c>
      <c r="CE315" s="191">
        <f t="shared" si="28"/>
        <v>0</v>
      </c>
      <c r="CF315" s="143"/>
      <c r="CG315" s="145"/>
      <c r="CH315" s="143"/>
      <c r="CI315" s="143"/>
      <c r="CJ315" s="143"/>
      <c r="CK315" s="143"/>
      <c r="CL315" s="143"/>
      <c r="CM315" s="143"/>
      <c r="CN315" s="170"/>
      <c r="CO315" s="143"/>
      <c r="CP315" s="143"/>
      <c r="CQ315" s="143"/>
      <c r="CR315" s="143"/>
      <c r="CS315" s="143"/>
      <c r="CT315" s="143"/>
      <c r="CU315" s="143"/>
      <c r="CV315" s="143"/>
      <c r="CW315" s="143"/>
      <c r="CX315" s="143"/>
      <c r="CY315" s="143"/>
      <c r="CZ315" s="143"/>
      <c r="DA315" s="143"/>
      <c r="DB315" s="143"/>
    </row>
    <row r="316" spans="1:106" ht="13.5" thickTop="1">
      <c r="A316" s="143"/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  <c r="AQ316" s="143"/>
      <c r="AR316" s="143"/>
      <c r="AS316" s="143"/>
      <c r="AT316" s="143"/>
      <c r="AU316" s="143"/>
      <c r="AV316" s="143"/>
      <c r="AW316" s="143"/>
      <c r="AX316" s="143"/>
      <c r="AY316" s="143"/>
      <c r="AZ316" s="143"/>
      <c r="BA316" s="143"/>
      <c r="BB316" s="143"/>
      <c r="BC316" s="143"/>
      <c r="BD316" s="143"/>
      <c r="BE316" s="143"/>
      <c r="BF316" s="143"/>
      <c r="BG316" s="143"/>
      <c r="BH316" s="143"/>
      <c r="BI316" s="143"/>
      <c r="BJ316" s="143"/>
      <c r="BK316" s="143"/>
      <c r="BL316" s="143"/>
      <c r="BM316" s="143"/>
      <c r="BN316" s="143"/>
      <c r="BO316" s="143"/>
      <c r="BP316" s="143"/>
      <c r="BQ316" s="143"/>
      <c r="BR316" s="143"/>
      <c r="BS316" s="143"/>
      <c r="BT316" s="143"/>
      <c r="BU316" s="143"/>
      <c r="BV316" s="143"/>
      <c r="BW316" s="143"/>
      <c r="BX316" s="143"/>
      <c r="BY316" s="2741">
        <f t="shared" si="26"/>
        <v>30</v>
      </c>
      <c r="BZ316" s="1571"/>
      <c r="CA316" s="1571"/>
      <c r="CB316" s="239"/>
      <c r="CC316" s="239"/>
      <c r="CD316" s="239"/>
      <c r="CE316" s="239"/>
      <c r="CF316" s="143"/>
      <c r="CG316" s="145"/>
      <c r="CH316" s="143"/>
      <c r="CI316" s="143"/>
      <c r="CJ316" s="143"/>
      <c r="CK316" s="143"/>
      <c r="CL316" s="143"/>
      <c r="CM316" s="143"/>
      <c r="CN316" s="170"/>
      <c r="CO316" s="143"/>
      <c r="CP316" s="143"/>
      <c r="CQ316" s="143"/>
      <c r="CR316" s="143"/>
      <c r="CS316" s="143"/>
      <c r="CT316" s="143"/>
      <c r="CU316" s="143"/>
      <c r="CV316" s="143"/>
      <c r="CW316" s="143"/>
      <c r="CX316" s="143"/>
      <c r="CY316" s="143"/>
      <c r="CZ316" s="143"/>
      <c r="DA316" s="143"/>
      <c r="DB316" s="143"/>
    </row>
    <row r="317" spans="1:106" ht="13.5" thickBot="1">
      <c r="A317" s="143"/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  <c r="AT317" s="143"/>
      <c r="AU317" s="143"/>
      <c r="AV317" s="143"/>
      <c r="AW317" s="143"/>
      <c r="AX317" s="143"/>
      <c r="AY317" s="143"/>
      <c r="AZ317" s="143"/>
      <c r="BA317" s="143"/>
      <c r="BB317" s="143"/>
      <c r="BC317" s="143"/>
      <c r="BD317" s="143"/>
      <c r="BE317" s="143"/>
      <c r="BF317" s="143"/>
      <c r="BG317" s="143"/>
      <c r="BH317" s="143"/>
      <c r="BI317" s="143"/>
      <c r="BJ317" s="143"/>
      <c r="BK317" s="143"/>
      <c r="BL317" s="143"/>
      <c r="BM317" s="143"/>
      <c r="BN317" s="143"/>
      <c r="BO317" s="143"/>
      <c r="BP317" s="143"/>
      <c r="BQ317" s="143"/>
      <c r="BR317" s="143"/>
      <c r="BS317" s="143"/>
      <c r="BT317" s="143"/>
      <c r="BU317" s="143"/>
      <c r="BV317" s="143"/>
      <c r="BW317" s="143"/>
      <c r="BX317" s="143"/>
      <c r="BY317" s="2741">
        <f t="shared" si="26"/>
        <v>31</v>
      </c>
      <c r="BZ317" s="1581" t="s">
        <v>371</v>
      </c>
      <c r="CA317" s="1571"/>
      <c r="CB317" s="1301">
        <f>CB315/13</f>
        <v>0</v>
      </c>
      <c r="CC317" s="1301">
        <f>CC315/13</f>
        <v>385780.53846153844</v>
      </c>
      <c r="CD317" s="1301">
        <f t="shared" ref="CD317:CE317" si="29">CD315/13</f>
        <v>792644</v>
      </c>
      <c r="CE317" s="1301">
        <f t="shared" si="29"/>
        <v>0</v>
      </c>
      <c r="CF317" s="143"/>
      <c r="CG317" s="145"/>
      <c r="CH317" s="143"/>
      <c r="CI317" s="143"/>
      <c r="CJ317" s="143"/>
      <c r="CK317" s="143"/>
      <c r="CL317" s="143"/>
      <c r="CM317" s="143"/>
      <c r="CN317" s="170"/>
      <c r="CO317" s="143"/>
      <c r="CP317" s="143"/>
      <c r="CQ317" s="143"/>
      <c r="CR317" s="143"/>
      <c r="CS317" s="143"/>
      <c r="CT317" s="143"/>
      <c r="CU317" s="143"/>
      <c r="CV317" s="143"/>
      <c r="CW317" s="143"/>
      <c r="CX317" s="143"/>
      <c r="CY317" s="143"/>
      <c r="CZ317" s="143"/>
      <c r="DA317" s="143"/>
      <c r="DB317" s="143"/>
    </row>
    <row r="318" spans="1:106" ht="13.5" thickTop="1">
      <c r="A318" s="143"/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3"/>
      <c r="AP318" s="143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3"/>
      <c r="BB318" s="143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3"/>
      <c r="BN318" s="143"/>
      <c r="BO318" s="143"/>
      <c r="BP318" s="143"/>
      <c r="BQ318" s="143"/>
      <c r="BR318" s="143"/>
      <c r="BS318" s="143"/>
      <c r="BT318" s="143"/>
      <c r="BU318" s="143"/>
      <c r="BV318" s="143"/>
      <c r="BW318" s="143"/>
      <c r="BX318" s="143"/>
      <c r="BY318" s="143"/>
      <c r="BZ318" s="228"/>
      <c r="CA318" s="228"/>
      <c r="CB318" s="239"/>
      <c r="CC318" s="239"/>
      <c r="CD318" s="239"/>
      <c r="CE318" s="239"/>
      <c r="CF318" s="143"/>
      <c r="CG318" s="145"/>
      <c r="CH318" s="143"/>
      <c r="CI318" s="143"/>
      <c r="CJ318" s="143"/>
      <c r="CK318" s="143"/>
      <c r="CL318" s="143"/>
      <c r="CM318" s="143"/>
      <c r="CN318" s="170"/>
      <c r="CO318" s="143"/>
      <c r="CP318" s="143"/>
      <c r="CQ318" s="143"/>
      <c r="CR318" s="143"/>
      <c r="CS318" s="143"/>
      <c r="CT318" s="143"/>
      <c r="CU318" s="143"/>
      <c r="CV318" s="143"/>
      <c r="CW318" s="143"/>
      <c r="CX318" s="143"/>
      <c r="CY318" s="143"/>
      <c r="CZ318" s="143"/>
      <c r="DA318" s="143"/>
      <c r="DB318" s="143"/>
    </row>
    <row r="319" spans="1:106">
      <c r="A319" s="143"/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143"/>
      <c r="AK319" s="143"/>
      <c r="AL319" s="143"/>
      <c r="AM319" s="143"/>
      <c r="AN319" s="143"/>
      <c r="AO319" s="143"/>
      <c r="AP319" s="143"/>
      <c r="AQ319" s="143"/>
      <c r="AR319" s="143"/>
      <c r="AS319" s="143"/>
      <c r="AT319" s="143"/>
      <c r="AU319" s="143"/>
      <c r="AV319" s="143"/>
      <c r="AW319" s="143"/>
      <c r="AX319" s="143"/>
      <c r="AY319" s="143"/>
      <c r="AZ319" s="143"/>
      <c r="BA319" s="143"/>
      <c r="BB319" s="143"/>
      <c r="BC319" s="143"/>
      <c r="BD319" s="143"/>
      <c r="BE319" s="143"/>
      <c r="BF319" s="143"/>
      <c r="BG319" s="143"/>
      <c r="BH319" s="143"/>
      <c r="BI319" s="143"/>
      <c r="BJ319" s="143"/>
      <c r="BK319" s="143"/>
      <c r="BL319" s="143"/>
      <c r="BM319" s="143"/>
      <c r="BN319" s="143"/>
      <c r="BO319" s="143"/>
      <c r="BP319" s="143"/>
      <c r="BQ319" s="143"/>
      <c r="BR319" s="143"/>
      <c r="BS319" s="143"/>
      <c r="BT319" s="143"/>
      <c r="BU319" s="143"/>
      <c r="BV319" s="143"/>
      <c r="BW319" s="143"/>
      <c r="BX319" s="143"/>
      <c r="BY319" s="143"/>
      <c r="BZ319" s="228"/>
      <c r="CA319" s="228"/>
      <c r="CB319" s="2741" t="s">
        <v>536</v>
      </c>
      <c r="CC319" s="2741" t="s">
        <v>536</v>
      </c>
      <c r="CD319" s="2741" t="s">
        <v>536</v>
      </c>
      <c r="CE319" s="2741" t="s">
        <v>536</v>
      </c>
      <c r="CF319" s="143"/>
      <c r="CG319" s="145"/>
      <c r="CH319" s="143"/>
      <c r="CI319" s="143"/>
      <c r="CJ319" s="143"/>
      <c r="CK319" s="143"/>
      <c r="CL319" s="143"/>
      <c r="CM319" s="143"/>
      <c r="CN319" s="170"/>
      <c r="CO319" s="143"/>
      <c r="CP319" s="143"/>
      <c r="CQ319" s="143"/>
      <c r="CR319" s="143"/>
      <c r="CS319" s="143"/>
      <c r="CT319" s="143"/>
      <c r="CU319" s="143"/>
      <c r="CV319" s="143"/>
      <c r="CW319" s="143"/>
      <c r="CX319" s="143"/>
      <c r="CY319" s="143"/>
      <c r="CZ319" s="143"/>
      <c r="DA319" s="143"/>
      <c r="DB319" s="143"/>
    </row>
    <row r="320" spans="1:106">
      <c r="A320" s="143"/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3"/>
      <c r="AS320" s="143"/>
      <c r="AT320" s="143"/>
      <c r="AU320" s="143"/>
      <c r="AV320" s="143"/>
      <c r="AW320" s="143"/>
      <c r="AX320" s="143"/>
      <c r="AY320" s="143"/>
      <c r="AZ320" s="143"/>
      <c r="BA320" s="143"/>
      <c r="BB320" s="143"/>
      <c r="BC320" s="143"/>
      <c r="BD320" s="143"/>
      <c r="BE320" s="143"/>
      <c r="BF320" s="143"/>
      <c r="BG320" s="143"/>
      <c r="BH320" s="143"/>
      <c r="BI320" s="143"/>
      <c r="BJ320" s="143"/>
      <c r="BK320" s="143"/>
      <c r="BL320" s="143"/>
      <c r="BM320" s="143"/>
      <c r="BN320" s="143"/>
      <c r="BO320" s="143"/>
      <c r="BP320" s="143"/>
      <c r="BQ320" s="143"/>
      <c r="BR320" s="143"/>
      <c r="BS320" s="143"/>
      <c r="BT320" s="143"/>
      <c r="BU320" s="143"/>
      <c r="BV320" s="143"/>
      <c r="BW320" s="143"/>
      <c r="BX320" s="143"/>
      <c r="BY320" s="143"/>
      <c r="BZ320" s="228"/>
      <c r="CA320" s="228"/>
      <c r="CB320" s="240" t="s">
        <v>537</v>
      </c>
      <c r="CC320" s="240" t="s">
        <v>537</v>
      </c>
      <c r="CD320" s="240" t="s">
        <v>537</v>
      </c>
      <c r="CE320" s="240" t="s">
        <v>537</v>
      </c>
      <c r="CF320" s="143"/>
      <c r="CG320" s="145"/>
      <c r="CH320" s="143"/>
      <c r="CI320" s="143"/>
      <c r="CJ320" s="143"/>
      <c r="CK320" s="143"/>
      <c r="CL320" s="143"/>
      <c r="CM320" s="143"/>
      <c r="CN320" s="170"/>
      <c r="CO320" s="143"/>
      <c r="CP320" s="143"/>
      <c r="CQ320" s="143"/>
      <c r="CR320" s="143"/>
      <c r="CS320" s="143"/>
      <c r="CT320" s="143"/>
      <c r="CU320" s="143"/>
      <c r="CV320" s="143"/>
      <c r="CW320" s="143"/>
      <c r="CX320" s="143"/>
      <c r="CY320" s="143"/>
      <c r="CZ320" s="143"/>
      <c r="DA320" s="143"/>
      <c r="DB320" s="143"/>
    </row>
    <row r="321" spans="1:106">
      <c r="A321" s="143"/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  <c r="AT321" s="143"/>
      <c r="AU321" s="143"/>
      <c r="AV321" s="143"/>
      <c r="AW321" s="143"/>
      <c r="AX321" s="143"/>
      <c r="AY321" s="143"/>
      <c r="AZ321" s="143"/>
      <c r="BA321" s="143"/>
      <c r="BB321" s="143"/>
      <c r="BC321" s="143"/>
      <c r="BD321" s="143"/>
      <c r="BE321" s="143"/>
      <c r="BF321" s="143"/>
      <c r="BG321" s="143"/>
      <c r="BH321" s="143"/>
      <c r="BI321" s="143"/>
      <c r="BJ321" s="143"/>
      <c r="BK321" s="143"/>
      <c r="BL321" s="143"/>
      <c r="BM321" s="143"/>
      <c r="BN321" s="143"/>
      <c r="BO321" s="143"/>
      <c r="BP321" s="143"/>
      <c r="BQ321" s="143"/>
      <c r="BR321" s="143"/>
      <c r="BS321" s="143"/>
      <c r="BT321" s="143"/>
      <c r="BU321" s="143"/>
      <c r="BV321" s="143"/>
      <c r="BW321" s="143"/>
      <c r="BX321" s="143"/>
      <c r="BY321" s="143"/>
      <c r="BZ321" s="228"/>
      <c r="CA321" s="228"/>
      <c r="CB321" s="240" t="s">
        <v>984</v>
      </c>
      <c r="CC321" s="240" t="s">
        <v>984</v>
      </c>
      <c r="CD321" s="240" t="s">
        <v>984</v>
      </c>
      <c r="CE321" s="240" t="s">
        <v>984</v>
      </c>
      <c r="CF321" s="143"/>
      <c r="CG321" s="145"/>
      <c r="CH321" s="143"/>
      <c r="CI321" s="143"/>
      <c r="CJ321" s="143"/>
      <c r="CK321" s="143"/>
      <c r="CL321" s="143"/>
      <c r="CM321" s="143"/>
      <c r="CN321" s="170"/>
      <c r="CO321" s="143"/>
      <c r="CP321" s="143"/>
      <c r="CQ321" s="143"/>
      <c r="CR321" s="143"/>
      <c r="CS321" s="143"/>
      <c r="CT321" s="143"/>
      <c r="CU321" s="143"/>
      <c r="CV321" s="143"/>
      <c r="CW321" s="143"/>
      <c r="CX321" s="143"/>
      <c r="CY321" s="143"/>
      <c r="CZ321" s="143"/>
      <c r="DA321" s="143"/>
      <c r="DB321" s="143"/>
    </row>
    <row r="322" spans="1:106">
      <c r="A322" s="143"/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3"/>
      <c r="AS322" s="143"/>
      <c r="AT322" s="143"/>
      <c r="AU322" s="143"/>
      <c r="AV322" s="143"/>
      <c r="AW322" s="143"/>
      <c r="AX322" s="143"/>
      <c r="AY322" s="143"/>
      <c r="AZ322" s="143"/>
      <c r="BA322" s="143"/>
      <c r="BB322" s="143"/>
      <c r="BC322" s="143"/>
      <c r="BD322" s="143"/>
      <c r="BE322" s="143"/>
      <c r="BF322" s="143"/>
      <c r="BG322" s="143"/>
      <c r="BH322" s="143"/>
      <c r="BI322" s="143"/>
      <c r="BJ322" s="143"/>
      <c r="BK322" s="143"/>
      <c r="BL322" s="143"/>
      <c r="BM322" s="143"/>
      <c r="BN322" s="143"/>
      <c r="BO322" s="143"/>
      <c r="BP322" s="143"/>
      <c r="BQ322" s="143"/>
      <c r="BR322" s="143"/>
      <c r="BS322" s="143"/>
      <c r="BT322" s="143"/>
      <c r="BU322" s="143"/>
      <c r="BV322" s="143"/>
      <c r="BW322" s="143"/>
      <c r="BX322" s="143"/>
      <c r="BY322" s="2741"/>
      <c r="BZ322" s="1571"/>
      <c r="CA322" s="1571"/>
      <c r="CB322" s="182"/>
      <c r="CC322" s="182"/>
      <c r="CD322" s="1459"/>
      <c r="CE322" s="143"/>
      <c r="CF322" s="143"/>
      <c r="CG322" s="145"/>
      <c r="CH322" s="143"/>
      <c r="CI322" s="143"/>
      <c r="CJ322" s="143"/>
      <c r="CK322" s="143"/>
      <c r="CL322" s="143"/>
      <c r="CM322" s="143"/>
      <c r="CN322" s="170"/>
      <c r="CO322" s="143"/>
      <c r="CP322" s="143"/>
      <c r="CQ322" s="143"/>
      <c r="CR322" s="143"/>
      <c r="CS322" s="143"/>
      <c r="CT322" s="143"/>
      <c r="CU322" s="143"/>
      <c r="CV322" s="143"/>
      <c r="CW322" s="143"/>
      <c r="CX322" s="143"/>
      <c r="CY322" s="143"/>
      <c r="CZ322" s="143"/>
      <c r="DA322" s="143"/>
      <c r="DB322" s="143"/>
    </row>
    <row r="323" spans="1:106">
      <c r="A323" s="143"/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  <c r="AT323" s="143"/>
      <c r="AU323" s="143"/>
      <c r="AV323" s="143"/>
      <c r="AW323" s="143"/>
      <c r="AX323" s="143"/>
      <c r="AY323" s="143"/>
      <c r="AZ323" s="143"/>
      <c r="BA323" s="143"/>
      <c r="BB323" s="143"/>
      <c r="BC323" s="143"/>
      <c r="BD323" s="143"/>
      <c r="BE323" s="143"/>
      <c r="BF323" s="143"/>
      <c r="BG323" s="143"/>
      <c r="BH323" s="143"/>
      <c r="BI323" s="143"/>
      <c r="BJ323" s="143"/>
      <c r="BK323" s="143"/>
      <c r="BL323" s="143"/>
      <c r="BM323" s="143"/>
      <c r="BN323" s="143"/>
      <c r="BO323" s="143"/>
      <c r="BP323" s="143"/>
      <c r="BQ323" s="143"/>
      <c r="BR323" s="143"/>
      <c r="BS323" s="143"/>
      <c r="BT323" s="143"/>
      <c r="BU323" s="143"/>
      <c r="BV323" s="143"/>
      <c r="BW323" s="143"/>
      <c r="BX323" s="143"/>
      <c r="BY323" s="2741"/>
      <c r="BZ323" s="1571" t="s">
        <v>1078</v>
      </c>
      <c r="CA323" s="1571"/>
      <c r="CB323" s="1571"/>
      <c r="CC323" s="1571"/>
      <c r="CD323" s="1571"/>
      <c r="CE323" s="143"/>
      <c r="CF323" s="143"/>
      <c r="CG323" s="145"/>
      <c r="CH323" s="143"/>
      <c r="CI323" s="143"/>
      <c r="CJ323" s="143"/>
      <c r="CK323" s="143"/>
      <c r="CL323" s="143"/>
      <c r="CM323" s="143"/>
      <c r="CN323" s="170"/>
      <c r="CO323" s="143"/>
      <c r="CP323" s="143"/>
      <c r="CQ323" s="143"/>
      <c r="CR323" s="143"/>
      <c r="CS323" s="143"/>
      <c r="CT323" s="143"/>
      <c r="CU323" s="143"/>
      <c r="CV323" s="143"/>
      <c r="CW323" s="143"/>
      <c r="CX323" s="143"/>
      <c r="CY323" s="143"/>
      <c r="CZ323" s="143"/>
      <c r="DA323" s="143"/>
      <c r="DB323" s="143"/>
    </row>
    <row r="324" spans="1:106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3"/>
      <c r="AS324" s="143"/>
      <c r="AT324" s="143"/>
      <c r="AU324" s="143"/>
      <c r="AV324" s="143"/>
      <c r="AW324" s="143"/>
      <c r="AX324" s="143"/>
      <c r="AY324" s="143"/>
      <c r="AZ324" s="143"/>
      <c r="BA324" s="143"/>
      <c r="BB324" s="143"/>
      <c r="BC324" s="143"/>
      <c r="BD324" s="143"/>
      <c r="BE324" s="143"/>
      <c r="BF324" s="143"/>
      <c r="BG324" s="143"/>
      <c r="BH324" s="143"/>
      <c r="BI324" s="143"/>
      <c r="BJ324" s="143"/>
      <c r="BK324" s="143"/>
      <c r="BL324" s="143"/>
      <c r="BM324" s="143"/>
      <c r="BN324" s="143"/>
      <c r="BO324" s="143"/>
      <c r="BP324" s="143"/>
      <c r="BQ324" s="143"/>
      <c r="BR324" s="143"/>
      <c r="BS324" s="143"/>
      <c r="BT324" s="143"/>
      <c r="BU324" s="143"/>
      <c r="BV324" s="143"/>
      <c r="BW324" s="143"/>
      <c r="BX324" s="143"/>
      <c r="BY324" s="173"/>
      <c r="BZ324" s="1571"/>
      <c r="CA324" s="1571"/>
      <c r="CB324" s="1571"/>
      <c r="CC324" s="1571"/>
      <c r="CD324" s="1571"/>
      <c r="CE324" s="143"/>
      <c r="CF324" s="143"/>
      <c r="CG324" s="145"/>
      <c r="CH324" s="143"/>
      <c r="CI324" s="143"/>
      <c r="CJ324" s="143"/>
      <c r="CK324" s="143"/>
      <c r="CL324" s="143"/>
      <c r="CM324" s="143"/>
      <c r="CN324" s="170"/>
      <c r="CO324" s="143"/>
      <c r="CP324" s="143"/>
      <c r="CQ324" s="143"/>
      <c r="CR324" s="143"/>
      <c r="CS324" s="143"/>
      <c r="CT324" s="143"/>
      <c r="CU324" s="143"/>
      <c r="CV324" s="143"/>
      <c r="CW324" s="143"/>
      <c r="CX324" s="143"/>
      <c r="CY324" s="143"/>
      <c r="CZ324" s="143"/>
      <c r="DA324" s="143"/>
      <c r="DB324" s="143"/>
    </row>
    <row r="325" spans="1:106">
      <c r="A325" s="143"/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  <c r="AT325" s="143"/>
      <c r="AU325" s="143"/>
      <c r="AV325" s="143"/>
      <c r="AW325" s="143"/>
      <c r="AX325" s="143"/>
      <c r="AY325" s="143"/>
      <c r="AZ325" s="143"/>
      <c r="BA325" s="143"/>
      <c r="BB325" s="143"/>
      <c r="BC325" s="143"/>
      <c r="BD325" s="143"/>
      <c r="BE325" s="143"/>
      <c r="BF325" s="143"/>
      <c r="BG325" s="143"/>
      <c r="BH325" s="143"/>
      <c r="BI325" s="143"/>
      <c r="BJ325" s="143"/>
      <c r="BK325" s="143"/>
      <c r="BL325" s="143"/>
      <c r="BM325" s="143"/>
      <c r="BN325" s="143"/>
      <c r="BO325" s="143"/>
      <c r="BP325" s="143"/>
      <c r="BQ325" s="143"/>
      <c r="BR325" s="143"/>
      <c r="BS325" s="143"/>
      <c r="BT325" s="143"/>
      <c r="BU325" s="143"/>
      <c r="BV325" s="143"/>
      <c r="BW325" s="143"/>
      <c r="BX325" s="143"/>
      <c r="BY325" s="143"/>
      <c r="BZ325" s="143"/>
      <c r="CA325" s="143"/>
      <c r="CB325" s="143"/>
      <c r="CC325" s="143"/>
      <c r="CD325" s="143"/>
      <c r="CE325" s="143"/>
      <c r="CF325" s="143"/>
      <c r="CG325" s="145"/>
      <c r="CH325" s="143"/>
      <c r="CI325" s="143"/>
      <c r="CJ325" s="143"/>
      <c r="CK325" s="143"/>
      <c r="CL325" s="143"/>
      <c r="CM325" s="143"/>
      <c r="CN325" s="170"/>
      <c r="CO325" s="143"/>
      <c r="CP325" s="143"/>
      <c r="CQ325" s="143"/>
      <c r="CR325" s="143"/>
      <c r="CS325" s="143"/>
      <c r="CT325" s="143"/>
      <c r="CU325" s="143"/>
      <c r="CV325" s="143"/>
      <c r="CW325" s="143"/>
      <c r="CX325" s="143"/>
      <c r="CY325" s="143"/>
      <c r="CZ325" s="143"/>
      <c r="DA325" s="143"/>
      <c r="DB325" s="143"/>
    </row>
    <row r="326" spans="1:106">
      <c r="A326" s="143"/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143"/>
      <c r="AK326" s="143"/>
      <c r="AL326" s="143"/>
      <c r="AM326" s="143"/>
      <c r="AN326" s="143"/>
      <c r="AO326" s="143"/>
      <c r="AP326" s="143"/>
      <c r="AQ326" s="143"/>
      <c r="AR326" s="143"/>
      <c r="AS326" s="143"/>
      <c r="AT326" s="143"/>
      <c r="AU326" s="143"/>
      <c r="AV326" s="143"/>
      <c r="AW326" s="143"/>
      <c r="AX326" s="143"/>
      <c r="AY326" s="143"/>
      <c r="AZ326" s="143"/>
      <c r="BA326" s="143"/>
      <c r="BB326" s="143"/>
      <c r="BC326" s="143"/>
      <c r="BD326" s="143"/>
      <c r="BE326" s="143"/>
      <c r="BF326" s="143"/>
      <c r="BG326" s="143"/>
      <c r="BH326" s="143"/>
      <c r="BI326" s="143"/>
      <c r="BJ326" s="143"/>
      <c r="BK326" s="143"/>
      <c r="BL326" s="143"/>
      <c r="BM326" s="143"/>
      <c r="BN326" s="143"/>
      <c r="BO326" s="143"/>
      <c r="BP326" s="143"/>
      <c r="BQ326" s="143"/>
      <c r="BR326" s="143"/>
      <c r="BS326" s="143"/>
      <c r="BT326" s="143"/>
      <c r="BU326" s="143"/>
      <c r="BV326" s="143"/>
      <c r="BW326" s="143"/>
      <c r="BX326" s="143"/>
      <c r="BY326" s="143"/>
      <c r="BZ326" s="143"/>
      <c r="CA326" s="143"/>
      <c r="CB326" s="143"/>
      <c r="CC326" s="143"/>
      <c r="CD326" s="143"/>
      <c r="CE326" s="143"/>
      <c r="CF326" s="143"/>
      <c r="CG326" s="145"/>
      <c r="CH326" s="143"/>
      <c r="CI326" s="143"/>
      <c r="CJ326" s="143"/>
      <c r="CK326" s="143"/>
      <c r="CL326" s="143"/>
      <c r="CM326" s="143"/>
      <c r="CN326" s="170"/>
      <c r="CO326" s="143"/>
      <c r="CP326" s="143"/>
      <c r="CQ326" s="143"/>
      <c r="CR326" s="143"/>
      <c r="CS326" s="143"/>
      <c r="CT326" s="143"/>
      <c r="CU326" s="143"/>
      <c r="CV326" s="143"/>
      <c r="CW326" s="143"/>
      <c r="CX326" s="143"/>
      <c r="CY326" s="143"/>
      <c r="CZ326" s="143"/>
      <c r="DA326" s="143"/>
      <c r="DB326" s="143"/>
    </row>
    <row r="327" spans="1:106">
      <c r="A327" s="143"/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3"/>
      <c r="AS327" s="143"/>
      <c r="AT327" s="143"/>
      <c r="AU327" s="143"/>
      <c r="AV327" s="143"/>
      <c r="AW327" s="143"/>
      <c r="AX327" s="143"/>
      <c r="AY327" s="143"/>
      <c r="AZ327" s="143"/>
      <c r="BA327" s="143"/>
      <c r="BB327" s="143"/>
      <c r="BC327" s="143"/>
      <c r="BD327" s="143"/>
      <c r="BE327" s="143"/>
      <c r="BF327" s="143"/>
      <c r="BG327" s="143"/>
      <c r="BH327" s="143"/>
      <c r="BI327" s="143"/>
      <c r="BJ327" s="143"/>
      <c r="BK327" s="143"/>
      <c r="BL327" s="143"/>
      <c r="BM327" s="143"/>
      <c r="BN327" s="143"/>
      <c r="BO327" s="143"/>
      <c r="BP327" s="143"/>
      <c r="BQ327" s="143"/>
      <c r="BR327" s="143"/>
      <c r="BS327" s="143"/>
      <c r="BT327" s="143"/>
      <c r="BU327" s="143"/>
      <c r="BV327" s="143"/>
      <c r="BW327" s="143"/>
      <c r="BX327" s="143"/>
      <c r="BY327" s="143"/>
      <c r="BZ327" s="143"/>
      <c r="CA327" s="143"/>
      <c r="CB327" s="143"/>
      <c r="CC327" s="143"/>
      <c r="CD327" s="143"/>
      <c r="CE327" s="1581"/>
      <c r="CF327" s="228"/>
      <c r="CG327" s="1581" t="str">
        <f>COMPANY</f>
        <v>DUKE ENERGY KENTUCKY, INC.</v>
      </c>
      <c r="CH327" s="228"/>
      <c r="CI327" s="228"/>
      <c r="CJ327" s="1571"/>
      <c r="CK327" s="143"/>
      <c r="CL327" s="143"/>
      <c r="CM327" s="143"/>
      <c r="CN327" s="170"/>
      <c r="CO327" s="1581" t="s">
        <v>794</v>
      </c>
      <c r="CP327" s="143"/>
      <c r="CQ327" s="143"/>
      <c r="CR327" s="143"/>
      <c r="CS327" s="143"/>
      <c r="CT327" s="143"/>
      <c r="CU327" s="143"/>
      <c r="CV327" s="143"/>
      <c r="CW327" s="143"/>
      <c r="CX327" s="143"/>
      <c r="CY327" s="143"/>
      <c r="CZ327" s="143"/>
      <c r="DA327" s="143"/>
      <c r="DB327" s="143"/>
    </row>
    <row r="328" spans="1:106">
      <c r="A328" s="143"/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3"/>
      <c r="AP328" s="143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3"/>
      <c r="BB328" s="143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3"/>
      <c r="BN328" s="143"/>
      <c r="BO328" s="143"/>
      <c r="BP328" s="143"/>
      <c r="BQ328" s="143"/>
      <c r="BR328" s="143"/>
      <c r="BS328" s="143"/>
      <c r="BT328" s="143"/>
      <c r="BU328" s="143"/>
      <c r="BV328" s="143"/>
      <c r="BW328" s="143"/>
      <c r="BX328" s="143"/>
      <c r="BY328" s="143"/>
      <c r="BZ328" s="143"/>
      <c r="CA328" s="143"/>
      <c r="CB328" s="143"/>
      <c r="CC328" s="143"/>
      <c r="CD328" s="143"/>
      <c r="CE328" s="1581"/>
      <c r="CF328" s="228"/>
      <c r="CG328" s="1581" t="str">
        <f>DEPT</f>
        <v>ELECTRIC DEPARTMENT</v>
      </c>
      <c r="CH328" s="228"/>
      <c r="CI328" s="228"/>
      <c r="CJ328" s="1459"/>
      <c r="CK328" s="143"/>
      <c r="CL328" s="143"/>
      <c r="CM328" s="143"/>
      <c r="CN328" s="170"/>
      <c r="CO328" s="173" t="s">
        <v>622</v>
      </c>
      <c r="CP328" s="143"/>
      <c r="CQ328" s="143"/>
      <c r="CR328" s="143"/>
      <c r="CS328" s="143"/>
      <c r="CT328" s="143"/>
      <c r="CU328" s="143"/>
      <c r="CV328" s="143"/>
      <c r="CW328" s="143"/>
      <c r="CX328" s="143"/>
      <c r="CY328" s="143"/>
      <c r="CZ328" s="143"/>
      <c r="DA328" s="143"/>
      <c r="DB328" s="143"/>
    </row>
    <row r="329" spans="1:106">
      <c r="A329" s="143"/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3"/>
      <c r="BB329" s="143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3"/>
      <c r="BN329" s="143"/>
      <c r="BO329" s="143"/>
      <c r="BP329" s="143"/>
      <c r="BQ329" s="143"/>
      <c r="BR329" s="143"/>
      <c r="BS329" s="143"/>
      <c r="BT329" s="143"/>
      <c r="BU329" s="143"/>
      <c r="BV329" s="143"/>
      <c r="BW329" s="143"/>
      <c r="BX329" s="143"/>
      <c r="BY329" s="143"/>
      <c r="BZ329" s="143"/>
      <c r="CA329" s="143"/>
      <c r="CB329" s="143"/>
      <c r="CC329" s="143"/>
      <c r="CD329" s="143"/>
      <c r="CE329" s="173"/>
      <c r="CF329" s="228"/>
      <c r="CG329" s="173" t="str">
        <f>CASE</f>
        <v>CASE NO. 2017-00321</v>
      </c>
      <c r="CH329" s="228"/>
      <c r="CI329" s="228"/>
      <c r="CJ329" s="1459"/>
      <c r="CK329" s="143"/>
      <c r="CL329" s="143"/>
      <c r="CM329" s="143"/>
      <c r="CN329" s="170"/>
      <c r="CO329" s="127" t="s">
        <v>2709</v>
      </c>
      <c r="CP329" s="143"/>
      <c r="CQ329" s="143"/>
      <c r="CR329" s="143"/>
      <c r="CS329" s="143"/>
      <c r="CT329" s="143"/>
      <c r="CU329" s="143"/>
      <c r="CV329" s="143"/>
      <c r="CW329" s="143"/>
      <c r="CX329" s="143"/>
      <c r="CY329" s="143"/>
      <c r="CZ329" s="143"/>
      <c r="DA329" s="143"/>
      <c r="DB329" s="143"/>
    </row>
    <row r="330" spans="1:106">
      <c r="A330" s="143"/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143"/>
      <c r="AK330" s="143"/>
      <c r="AL330" s="143"/>
      <c r="AM330" s="143"/>
      <c r="AN330" s="143"/>
      <c r="AO330" s="143"/>
      <c r="AP330" s="143"/>
      <c r="AQ330" s="143"/>
      <c r="AR330" s="143"/>
      <c r="AS330" s="143"/>
      <c r="AT330" s="143"/>
      <c r="AU330" s="143"/>
      <c r="AV330" s="143"/>
      <c r="AW330" s="143"/>
      <c r="AX330" s="143"/>
      <c r="AY330" s="143"/>
      <c r="AZ330" s="143"/>
      <c r="BA330" s="143"/>
      <c r="BB330" s="143"/>
      <c r="BC330" s="143"/>
      <c r="BD330" s="143"/>
      <c r="BE330" s="143"/>
      <c r="BF330" s="143"/>
      <c r="BG330" s="143"/>
      <c r="BH330" s="143"/>
      <c r="BI330" s="143"/>
      <c r="BJ330" s="143"/>
      <c r="BK330" s="143"/>
      <c r="BL330" s="143"/>
      <c r="BM330" s="143"/>
      <c r="BN330" s="143"/>
      <c r="BO330" s="143"/>
      <c r="BP330" s="143"/>
      <c r="BQ330" s="143"/>
      <c r="BR330" s="143"/>
      <c r="BS330" s="143"/>
      <c r="BT330" s="143"/>
      <c r="BU330" s="143"/>
      <c r="BV330" s="143"/>
      <c r="BW330" s="143"/>
      <c r="BX330" s="143"/>
      <c r="BY330" s="143"/>
      <c r="BZ330" s="143"/>
      <c r="CA330" s="143"/>
      <c r="CB330" s="143"/>
      <c r="CC330" s="143"/>
      <c r="CD330" s="143"/>
      <c r="CE330" s="174"/>
      <c r="CF330" s="228"/>
      <c r="CG330" s="174" t="s">
        <v>347</v>
      </c>
      <c r="CH330" s="228"/>
      <c r="CI330" s="228"/>
      <c r="CJ330" s="1459"/>
      <c r="CK330" s="143"/>
      <c r="CL330" s="143"/>
      <c r="CM330" s="143"/>
      <c r="CN330" s="170"/>
      <c r="CO330" s="143"/>
      <c r="CP330" s="143"/>
      <c r="CQ330" s="143"/>
      <c r="CR330" s="143"/>
      <c r="CS330" s="143"/>
      <c r="CT330" s="143"/>
      <c r="CU330" s="143"/>
      <c r="CV330" s="143"/>
      <c r="CW330" s="143"/>
      <c r="CX330" s="143"/>
      <c r="CY330" s="143"/>
      <c r="CZ330" s="143"/>
      <c r="DA330" s="143"/>
      <c r="DB330" s="143"/>
    </row>
    <row r="331" spans="1:106">
      <c r="A331" s="143"/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  <c r="AT331" s="143"/>
      <c r="AU331" s="143"/>
      <c r="AV331" s="143"/>
      <c r="AW331" s="143"/>
      <c r="AX331" s="143"/>
      <c r="AY331" s="143"/>
      <c r="AZ331" s="143"/>
      <c r="BA331" s="143"/>
      <c r="BB331" s="143"/>
      <c r="BC331" s="143"/>
      <c r="BD331" s="143"/>
      <c r="BE331" s="143"/>
      <c r="BF331" s="143"/>
      <c r="BG331" s="143"/>
      <c r="BH331" s="143"/>
      <c r="BI331" s="143"/>
      <c r="BJ331" s="143"/>
      <c r="BK331" s="143"/>
      <c r="BL331" s="143"/>
      <c r="BM331" s="143"/>
      <c r="BN331" s="143"/>
      <c r="BO331" s="143"/>
      <c r="BP331" s="143"/>
      <c r="BQ331" s="143"/>
      <c r="BR331" s="143"/>
      <c r="BS331" s="143"/>
      <c r="BT331" s="143"/>
      <c r="BU331" s="143"/>
      <c r="BV331" s="143"/>
      <c r="BW331" s="143"/>
      <c r="BX331" s="143"/>
      <c r="BY331" s="143"/>
      <c r="BZ331" s="143"/>
      <c r="CA331" s="143"/>
      <c r="CB331" s="143"/>
      <c r="CC331" s="143"/>
      <c r="CD331" s="143"/>
      <c r="CE331" s="174"/>
      <c r="CF331" s="228"/>
      <c r="CG331" s="174" t="s">
        <v>206</v>
      </c>
      <c r="CH331" s="228"/>
      <c r="CI331" s="228"/>
      <c r="CJ331" s="1459"/>
      <c r="CK331" s="1571"/>
      <c r="CL331" s="143"/>
      <c r="CM331" s="143"/>
      <c r="CN331" s="170"/>
      <c r="CO331" s="143"/>
      <c r="CP331" s="143"/>
      <c r="CQ331" s="143"/>
      <c r="CR331" s="143"/>
      <c r="CS331" s="143"/>
      <c r="CT331" s="143"/>
      <c r="CU331" s="143"/>
      <c r="CV331" s="143"/>
      <c r="CW331" s="143"/>
      <c r="CX331" s="143"/>
      <c r="CY331" s="143"/>
      <c r="CZ331" s="143"/>
      <c r="DA331" s="143"/>
      <c r="DB331" s="143"/>
    </row>
    <row r="332" spans="1:106">
      <c r="A332" s="143"/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143"/>
      <c r="AK332" s="143"/>
      <c r="AL332" s="143"/>
      <c r="AM332" s="143"/>
      <c r="AN332" s="143"/>
      <c r="AO332" s="143"/>
      <c r="AP332" s="143"/>
      <c r="AQ332" s="143"/>
      <c r="AR332" s="143"/>
      <c r="AS332" s="143"/>
      <c r="AT332" s="143"/>
      <c r="AU332" s="143"/>
      <c r="AV332" s="143"/>
      <c r="AW332" s="143"/>
      <c r="AX332" s="143"/>
      <c r="AY332" s="143"/>
      <c r="AZ332" s="143"/>
      <c r="BA332" s="143"/>
      <c r="BB332" s="143"/>
      <c r="BC332" s="143"/>
      <c r="BD332" s="143"/>
      <c r="BE332" s="143"/>
      <c r="BF332" s="143"/>
      <c r="BG332" s="143"/>
      <c r="BH332" s="143"/>
      <c r="BI332" s="143"/>
      <c r="BJ332" s="143"/>
      <c r="BK332" s="143"/>
      <c r="BL332" s="143"/>
      <c r="BM332" s="143"/>
      <c r="BN332" s="143"/>
      <c r="BO332" s="143"/>
      <c r="BP332" s="143"/>
      <c r="BQ332" s="143"/>
      <c r="BR332" s="143"/>
      <c r="BS332" s="143"/>
      <c r="BT332" s="143"/>
      <c r="BU332" s="143"/>
      <c r="BV332" s="143"/>
      <c r="BW332" s="143"/>
      <c r="BX332" s="143"/>
      <c r="BY332" s="143"/>
      <c r="BZ332" s="143"/>
      <c r="CA332" s="143"/>
      <c r="CB332" s="143"/>
      <c r="CC332" s="143"/>
      <c r="CD332" s="143"/>
      <c r="CE332" s="1571"/>
      <c r="CF332" s="228"/>
      <c r="CG332" s="1571"/>
      <c r="CH332" s="228"/>
      <c r="CI332" s="228"/>
      <c r="CJ332" s="1459"/>
      <c r="CK332" s="182"/>
      <c r="CL332" s="143"/>
      <c r="CM332" s="143"/>
      <c r="CN332" s="170"/>
      <c r="CO332" s="143"/>
      <c r="CP332" s="143"/>
      <c r="CQ332" s="143"/>
      <c r="CR332" s="143"/>
      <c r="CS332" s="143"/>
      <c r="CT332" s="143"/>
      <c r="CU332" s="143"/>
      <c r="CV332" s="143"/>
      <c r="CW332" s="143"/>
      <c r="CX332" s="143"/>
      <c r="CY332" s="143"/>
      <c r="CZ332" s="143"/>
      <c r="DA332" s="143"/>
      <c r="DB332" s="143"/>
    </row>
    <row r="333" spans="1:106">
      <c r="A333" s="143"/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  <c r="AT333" s="143"/>
      <c r="AU333" s="143"/>
      <c r="AV333" s="143"/>
      <c r="AW333" s="143"/>
      <c r="AX333" s="143"/>
      <c r="AY333" s="143"/>
      <c r="AZ333" s="143"/>
      <c r="BA333" s="143"/>
      <c r="BB333" s="143"/>
      <c r="BC333" s="143"/>
      <c r="BD333" s="143"/>
      <c r="BE333" s="143"/>
      <c r="BF333" s="143"/>
      <c r="BG333" s="143"/>
      <c r="BH333" s="143"/>
      <c r="BI333" s="143"/>
      <c r="BJ333" s="143"/>
      <c r="BK333" s="143"/>
      <c r="BL333" s="143"/>
      <c r="BM333" s="143"/>
      <c r="BN333" s="143"/>
      <c r="BO333" s="143"/>
      <c r="BP333" s="143"/>
      <c r="BQ333" s="143"/>
      <c r="BR333" s="143"/>
      <c r="BS333" s="143"/>
      <c r="BT333" s="143"/>
      <c r="BU333" s="143"/>
      <c r="BV333" s="143"/>
      <c r="BW333" s="143"/>
      <c r="BX333" s="143"/>
      <c r="BY333" s="143"/>
      <c r="BZ333" s="143"/>
      <c r="CA333" s="143"/>
      <c r="CB333" s="143"/>
      <c r="CC333" s="143"/>
      <c r="CD333" s="143"/>
      <c r="CE333" s="1571"/>
      <c r="CF333" s="1571"/>
      <c r="CG333" s="1571"/>
      <c r="CH333" s="228"/>
      <c r="CI333" s="228"/>
      <c r="CJ333" s="1459"/>
      <c r="CK333" s="182"/>
      <c r="CL333" s="143"/>
      <c r="CM333" s="143"/>
      <c r="CN333" s="170"/>
      <c r="CO333" s="143"/>
      <c r="CP333" s="143"/>
      <c r="CQ333" s="143"/>
      <c r="CR333" s="143"/>
      <c r="CS333" s="143"/>
      <c r="CT333" s="143"/>
      <c r="CU333" s="143"/>
      <c r="CV333" s="143"/>
      <c r="CW333" s="143"/>
      <c r="CX333" s="143"/>
      <c r="CY333" s="143"/>
      <c r="CZ333" s="143"/>
      <c r="DA333" s="143"/>
      <c r="DB333" s="143"/>
    </row>
    <row r="334" spans="1:106">
      <c r="A334" s="143"/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43"/>
      <c r="AU334" s="143"/>
      <c r="AV334" s="143"/>
      <c r="AW334" s="143"/>
      <c r="AX334" s="143"/>
      <c r="AY334" s="143"/>
      <c r="AZ334" s="143"/>
      <c r="BA334" s="143"/>
      <c r="BB334" s="143"/>
      <c r="BC334" s="143"/>
      <c r="BD334" s="143"/>
      <c r="BE334" s="143"/>
      <c r="BF334" s="143"/>
      <c r="BG334" s="143"/>
      <c r="BH334" s="143"/>
      <c r="BI334" s="143"/>
      <c r="BJ334" s="143"/>
      <c r="BK334" s="143"/>
      <c r="BL334" s="143"/>
      <c r="BM334" s="143"/>
      <c r="BN334" s="143"/>
      <c r="BO334" s="143"/>
      <c r="BP334" s="143"/>
      <c r="BQ334" s="143"/>
      <c r="BR334" s="143"/>
      <c r="BS334" s="143"/>
      <c r="BT334" s="143"/>
      <c r="BU334" s="143"/>
      <c r="BV334" s="143"/>
      <c r="BW334" s="143"/>
      <c r="BX334" s="143"/>
      <c r="BY334" s="143"/>
      <c r="BZ334" s="143"/>
      <c r="CA334" s="143"/>
      <c r="CB334" s="143"/>
      <c r="CC334" s="143"/>
      <c r="CD334" s="143"/>
      <c r="CE334" s="2741"/>
      <c r="CF334" s="1571"/>
      <c r="CG334" s="1571"/>
      <c r="CH334" s="228"/>
      <c r="CI334" s="228"/>
      <c r="CJ334" s="1459"/>
      <c r="CK334" s="182"/>
      <c r="CL334" s="143"/>
      <c r="CM334" s="143"/>
      <c r="CN334" s="170"/>
      <c r="CO334" s="143"/>
      <c r="CP334" s="143"/>
      <c r="CQ334" s="143"/>
      <c r="CR334" s="143"/>
      <c r="CS334" s="143"/>
      <c r="CT334" s="143"/>
      <c r="CU334" s="143"/>
      <c r="CV334" s="143"/>
      <c r="CW334" s="143"/>
      <c r="CX334" s="143"/>
      <c r="CY334" s="143"/>
      <c r="CZ334" s="143"/>
      <c r="DA334" s="143"/>
      <c r="DB334" s="143"/>
    </row>
    <row r="335" spans="1:106">
      <c r="A335" s="143"/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143"/>
      <c r="AK335" s="143"/>
      <c r="AL335" s="143"/>
      <c r="AM335" s="143"/>
      <c r="AN335" s="143"/>
      <c r="AO335" s="143"/>
      <c r="AP335" s="143"/>
      <c r="AQ335" s="143"/>
      <c r="AR335" s="143"/>
      <c r="AS335" s="143"/>
      <c r="AT335" s="143"/>
      <c r="AU335" s="143"/>
      <c r="AV335" s="143"/>
      <c r="AW335" s="143"/>
      <c r="AX335" s="143"/>
      <c r="AY335" s="143"/>
      <c r="AZ335" s="143"/>
      <c r="BA335" s="143"/>
      <c r="BB335" s="143"/>
      <c r="BC335" s="143"/>
      <c r="BD335" s="143"/>
      <c r="BE335" s="143"/>
      <c r="BF335" s="143"/>
      <c r="BG335" s="143"/>
      <c r="BH335" s="143"/>
      <c r="BI335" s="143"/>
      <c r="BJ335" s="143"/>
      <c r="BK335" s="143"/>
      <c r="BL335" s="143"/>
      <c r="BM335" s="143"/>
      <c r="BN335" s="143"/>
      <c r="BO335" s="143"/>
      <c r="BP335" s="143"/>
      <c r="BQ335" s="143"/>
      <c r="BR335" s="143"/>
      <c r="BS335" s="143"/>
      <c r="BT335" s="143"/>
      <c r="BU335" s="143"/>
      <c r="BV335" s="143"/>
      <c r="BW335" s="143"/>
      <c r="BX335" s="143"/>
      <c r="BY335" s="143"/>
      <c r="BZ335" s="143"/>
      <c r="CA335" s="143"/>
      <c r="CB335" s="143"/>
      <c r="CC335" s="143"/>
      <c r="CD335" s="143"/>
      <c r="CE335" s="176"/>
      <c r="CF335" s="176"/>
      <c r="CG335" s="1571"/>
      <c r="CH335" s="1571"/>
      <c r="CI335" s="1571"/>
      <c r="CJ335" s="247" t="s">
        <v>2370</v>
      </c>
      <c r="CK335" s="247"/>
      <c r="CL335" s="1285"/>
      <c r="CM335" s="249" t="s">
        <v>2373</v>
      </c>
      <c r="CN335" s="249"/>
      <c r="CO335" s="248" t="s">
        <v>2063</v>
      </c>
      <c r="CP335" s="1285" t="s">
        <v>991</v>
      </c>
      <c r="CQ335" s="143"/>
      <c r="CR335" s="143"/>
      <c r="CS335" s="143"/>
      <c r="CT335" s="143"/>
      <c r="CU335" s="143"/>
      <c r="CV335" s="143"/>
      <c r="CW335" s="143"/>
      <c r="CX335" s="143"/>
      <c r="CY335" s="143"/>
      <c r="CZ335" s="143"/>
      <c r="DA335" s="143"/>
      <c r="DB335" s="143"/>
    </row>
    <row r="336" spans="1:106">
      <c r="A336" s="143"/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3"/>
      <c r="AR336" s="143"/>
      <c r="AS336" s="143"/>
      <c r="AT336" s="143"/>
      <c r="AU336" s="143"/>
      <c r="AV336" s="143"/>
      <c r="AW336" s="143"/>
      <c r="AX336" s="143"/>
      <c r="AY336" s="143"/>
      <c r="AZ336" s="143"/>
      <c r="BA336" s="143"/>
      <c r="BB336" s="143"/>
      <c r="BC336" s="143"/>
      <c r="BD336" s="143"/>
      <c r="BE336" s="143"/>
      <c r="BF336" s="143"/>
      <c r="BG336" s="143"/>
      <c r="BH336" s="143"/>
      <c r="BI336" s="143"/>
      <c r="BJ336" s="143"/>
      <c r="BK336" s="143"/>
      <c r="BL336" s="143"/>
      <c r="BM336" s="143"/>
      <c r="BN336" s="143"/>
      <c r="BO336" s="143"/>
      <c r="BP336" s="143"/>
      <c r="BQ336" s="143"/>
      <c r="BR336" s="143"/>
      <c r="BS336" s="143"/>
      <c r="BT336" s="143"/>
      <c r="BU336" s="143"/>
      <c r="BV336" s="143"/>
      <c r="BW336" s="143"/>
      <c r="BX336" s="143"/>
      <c r="BY336" s="143"/>
      <c r="BZ336" s="143"/>
      <c r="CA336" s="143"/>
      <c r="CB336" s="143"/>
      <c r="CC336" s="143"/>
      <c r="CD336" s="143"/>
      <c r="CE336" s="143"/>
      <c r="CF336" s="143"/>
      <c r="CG336" s="2741" t="s">
        <v>1961</v>
      </c>
      <c r="CH336" s="1571"/>
      <c r="CI336" s="1571"/>
      <c r="CJ336" s="181"/>
      <c r="CK336" s="181"/>
      <c r="CL336" s="181"/>
      <c r="CM336" s="181" t="s">
        <v>994</v>
      </c>
      <c r="CN336" s="250"/>
      <c r="CO336" s="181" t="s">
        <v>993</v>
      </c>
      <c r="CP336" s="181" t="s">
        <v>993</v>
      </c>
      <c r="CQ336" s="143"/>
      <c r="CR336" s="143"/>
      <c r="CS336" s="143"/>
      <c r="CT336" s="143"/>
      <c r="CU336" s="143"/>
      <c r="CV336" s="143"/>
      <c r="CW336" s="143"/>
      <c r="CX336" s="143"/>
      <c r="CY336" s="143"/>
      <c r="CZ336" s="143"/>
      <c r="DA336" s="143"/>
      <c r="DB336" s="143"/>
    </row>
    <row r="337" spans="1:106">
      <c r="A337" s="143"/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3"/>
      <c r="AP337" s="143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3"/>
      <c r="BB337" s="143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3"/>
      <c r="BN337" s="143"/>
      <c r="BO337" s="143"/>
      <c r="BP337" s="143"/>
      <c r="BQ337" s="143"/>
      <c r="BR337" s="143"/>
      <c r="BS337" s="143"/>
      <c r="BT337" s="143"/>
      <c r="BU337" s="143"/>
      <c r="BV337" s="143"/>
      <c r="BW337" s="143"/>
      <c r="BX337" s="143"/>
      <c r="BY337" s="143"/>
      <c r="BZ337" s="143"/>
      <c r="CA337" s="143"/>
      <c r="CB337" s="143"/>
      <c r="CC337" s="143"/>
      <c r="CD337" s="143"/>
      <c r="CE337" s="143"/>
      <c r="CF337" s="143"/>
      <c r="CG337" s="176" t="s">
        <v>90</v>
      </c>
      <c r="CH337" s="176" t="s">
        <v>1076</v>
      </c>
      <c r="CI337" s="1571"/>
      <c r="CJ337" s="176" t="s">
        <v>2371</v>
      </c>
      <c r="CK337" s="176" t="s">
        <v>2372</v>
      </c>
      <c r="CL337" s="176"/>
      <c r="CM337" s="176" t="s">
        <v>2374</v>
      </c>
      <c r="CN337" s="231"/>
      <c r="CO337" s="176" t="s">
        <v>2376</v>
      </c>
      <c r="CP337" s="176" t="s">
        <v>990</v>
      </c>
      <c r="CQ337" s="143"/>
      <c r="CR337" s="143"/>
      <c r="CS337" s="143"/>
      <c r="CT337" s="143"/>
      <c r="CU337" s="143"/>
      <c r="CV337" s="143"/>
      <c r="CW337" s="143"/>
      <c r="CX337" s="143"/>
      <c r="CY337" s="143"/>
      <c r="CZ337" s="143"/>
      <c r="DA337" s="143"/>
      <c r="DB337" s="143"/>
    </row>
    <row r="338" spans="1:106">
      <c r="A338" s="143"/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143"/>
      <c r="AK338" s="143"/>
      <c r="AL338" s="143"/>
      <c r="AM338" s="143"/>
      <c r="AN338" s="143"/>
      <c r="AO338" s="143"/>
      <c r="AP338" s="143"/>
      <c r="AQ338" s="143"/>
      <c r="AR338" s="143"/>
      <c r="AS338" s="143"/>
      <c r="AT338" s="143"/>
      <c r="AU338" s="143"/>
      <c r="AV338" s="143"/>
      <c r="AW338" s="143"/>
      <c r="AX338" s="143"/>
      <c r="AY338" s="143"/>
      <c r="AZ338" s="143"/>
      <c r="BA338" s="143"/>
      <c r="BB338" s="143"/>
      <c r="BC338" s="143"/>
      <c r="BD338" s="143"/>
      <c r="BE338" s="143"/>
      <c r="BF338" s="143"/>
      <c r="BG338" s="143"/>
      <c r="BH338" s="143"/>
      <c r="BI338" s="143"/>
      <c r="BJ338" s="143"/>
      <c r="BK338" s="143"/>
      <c r="BL338" s="143"/>
      <c r="BM338" s="143"/>
      <c r="BN338" s="143"/>
      <c r="BO338" s="143"/>
      <c r="BP338" s="143"/>
      <c r="BQ338" s="143"/>
      <c r="BR338" s="143"/>
      <c r="BS338" s="143"/>
      <c r="BT338" s="143"/>
      <c r="BU338" s="143"/>
      <c r="BV338" s="143"/>
      <c r="BW338" s="143"/>
      <c r="BX338" s="143"/>
      <c r="BY338" s="143"/>
      <c r="BZ338" s="143"/>
      <c r="CA338" s="143"/>
      <c r="CB338" s="143"/>
      <c r="CC338" s="143"/>
      <c r="CD338" s="143"/>
      <c r="CE338" s="163"/>
      <c r="CF338" s="235"/>
      <c r="CG338" s="1581"/>
      <c r="CH338" s="1571"/>
      <c r="CI338" s="1571"/>
      <c r="CJ338" s="2741" t="s">
        <v>1705</v>
      </c>
      <c r="CK338" s="2741" t="s">
        <v>1705</v>
      </c>
      <c r="CL338" s="2741"/>
      <c r="CM338" s="2741" t="s">
        <v>1705</v>
      </c>
      <c r="CN338" s="232"/>
      <c r="CO338" s="2741" t="s">
        <v>1705</v>
      </c>
      <c r="CP338" s="2741" t="s">
        <v>1705</v>
      </c>
      <c r="CQ338" s="143"/>
      <c r="CR338" s="143"/>
      <c r="CS338" s="143"/>
      <c r="CT338" s="143"/>
      <c r="CU338" s="143"/>
      <c r="CV338" s="143"/>
      <c r="CW338" s="143"/>
      <c r="CX338" s="143"/>
      <c r="CY338" s="143"/>
      <c r="CZ338" s="143"/>
      <c r="DA338" s="143"/>
      <c r="DB338" s="143"/>
    </row>
    <row r="339" spans="1:106">
      <c r="A339" s="143"/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143"/>
      <c r="AK339" s="143"/>
      <c r="AL339" s="143"/>
      <c r="AM339" s="143"/>
      <c r="AN339" s="143"/>
      <c r="AO339" s="143"/>
      <c r="AP339" s="143"/>
      <c r="AQ339" s="143"/>
      <c r="AR339" s="143"/>
      <c r="AS339" s="143"/>
      <c r="AT339" s="143"/>
      <c r="AU339" s="143"/>
      <c r="AV339" s="143"/>
      <c r="AW339" s="143"/>
      <c r="AX339" s="143"/>
      <c r="AY339" s="143"/>
      <c r="AZ339" s="143"/>
      <c r="BA339" s="143"/>
      <c r="BB339" s="143"/>
      <c r="BC339" s="143"/>
      <c r="BD339" s="143"/>
      <c r="BE339" s="143"/>
      <c r="BF339" s="143"/>
      <c r="BG339" s="143"/>
      <c r="BH339" s="143"/>
      <c r="BI339" s="143"/>
      <c r="BJ339" s="143"/>
      <c r="BK339" s="143"/>
      <c r="BL339" s="143"/>
      <c r="BM339" s="143"/>
      <c r="BN339" s="143"/>
      <c r="BO339" s="143"/>
      <c r="BP339" s="143"/>
      <c r="BQ339" s="143"/>
      <c r="BR339" s="143"/>
      <c r="BS339" s="143"/>
      <c r="BT339" s="143"/>
      <c r="BU339" s="143"/>
      <c r="BV339" s="143"/>
      <c r="BW339" s="143"/>
      <c r="BX339" s="143"/>
      <c r="BY339" s="143"/>
      <c r="BZ339" s="143"/>
      <c r="CA339" s="143"/>
      <c r="CB339" s="143"/>
      <c r="CC339" s="143"/>
      <c r="CD339" s="143"/>
      <c r="CE339" s="163"/>
      <c r="CF339" s="235"/>
      <c r="CG339" s="2741">
        <v>1</v>
      </c>
      <c r="CH339" s="233" t="s">
        <v>441</v>
      </c>
      <c r="CI339" s="1571"/>
      <c r="CJ339" s="246"/>
      <c r="CK339" s="246"/>
      <c r="CL339" s="164"/>
      <c r="CM339" s="164"/>
      <c r="CN339" s="252"/>
      <c r="CO339" s="164"/>
      <c r="CP339" s="163"/>
      <c r="CQ339" s="143"/>
      <c r="CR339" s="143"/>
      <c r="CS339" s="143"/>
      <c r="CT339" s="143"/>
      <c r="CU339" s="143"/>
      <c r="CV339" s="143"/>
      <c r="CW339" s="143"/>
      <c r="CX339" s="143"/>
      <c r="CY339" s="143"/>
      <c r="CZ339" s="143"/>
      <c r="DA339" s="143"/>
      <c r="DB339" s="143"/>
    </row>
    <row r="340" spans="1:106">
      <c r="A340" s="143"/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  <c r="AT340" s="143"/>
      <c r="AU340" s="143"/>
      <c r="AV340" s="143"/>
      <c r="AW340" s="143"/>
      <c r="AX340" s="143"/>
      <c r="AY340" s="143"/>
      <c r="AZ340" s="143"/>
      <c r="BA340" s="143"/>
      <c r="BB340" s="143"/>
      <c r="BC340" s="143"/>
      <c r="BD340" s="143"/>
      <c r="BE340" s="143"/>
      <c r="BF340" s="143"/>
      <c r="BG340" s="143"/>
      <c r="BH340" s="143"/>
      <c r="BI340" s="143"/>
      <c r="BJ340" s="143"/>
      <c r="BK340" s="143"/>
      <c r="BL340" s="143"/>
      <c r="BM340" s="143"/>
      <c r="BN340" s="143"/>
      <c r="BO340" s="143"/>
      <c r="BP340" s="143"/>
      <c r="BQ340" s="143"/>
      <c r="BR340" s="143"/>
      <c r="BS340" s="143"/>
      <c r="BT340" s="143"/>
      <c r="BU340" s="143"/>
      <c r="BV340" s="143"/>
      <c r="BW340" s="143"/>
      <c r="BX340" s="143"/>
      <c r="BY340" s="143"/>
      <c r="BZ340" s="143"/>
      <c r="CA340" s="143"/>
      <c r="CB340" s="143"/>
      <c r="CC340" s="143"/>
      <c r="CD340" s="143"/>
      <c r="CE340" s="163"/>
      <c r="CF340" s="235"/>
      <c r="CG340" s="2741">
        <v>2</v>
      </c>
      <c r="CH340" s="235" t="str">
        <f t="shared" ref="CH340:CH351" si="30">BE186</f>
        <v>December 2016</v>
      </c>
      <c r="CI340" s="1571"/>
      <c r="CJ340" s="182">
        <v>14374100</v>
      </c>
      <c r="CK340" s="182">
        <v>5124561</v>
      </c>
      <c r="CL340" s="182"/>
      <c r="CM340" s="182">
        <v>447542</v>
      </c>
      <c r="CN340" s="236"/>
      <c r="CO340" s="182">
        <v>0</v>
      </c>
      <c r="CP340" s="182">
        <v>947646</v>
      </c>
      <c r="CQ340" s="143"/>
      <c r="CR340" s="143"/>
      <c r="CS340" s="143"/>
      <c r="CT340" s="143"/>
      <c r="CU340" s="143"/>
      <c r="CV340" s="143"/>
      <c r="CW340" s="143"/>
      <c r="CX340" s="143"/>
      <c r="CY340" s="143"/>
      <c r="CZ340" s="143"/>
      <c r="DA340" s="143"/>
      <c r="DB340" s="143"/>
    </row>
    <row r="341" spans="1:106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143"/>
      <c r="AK341" s="143"/>
      <c r="AL341" s="143"/>
      <c r="AM341" s="143"/>
      <c r="AN341" s="143"/>
      <c r="AO341" s="143"/>
      <c r="AP341" s="143"/>
      <c r="AQ341" s="143"/>
      <c r="AR341" s="143"/>
      <c r="AS341" s="143"/>
      <c r="AT341" s="143"/>
      <c r="AU341" s="143"/>
      <c r="AV341" s="143"/>
      <c r="AW341" s="143"/>
      <c r="AX341" s="143"/>
      <c r="AY341" s="143"/>
      <c r="AZ341" s="143"/>
      <c r="BA341" s="143"/>
      <c r="BB341" s="143"/>
      <c r="BC341" s="143"/>
      <c r="BD341" s="143"/>
      <c r="BE341" s="143"/>
      <c r="BF341" s="143"/>
      <c r="BG341" s="143"/>
      <c r="BH341" s="143"/>
      <c r="BI341" s="143"/>
      <c r="BJ341" s="143"/>
      <c r="BK341" s="143"/>
      <c r="BL341" s="143"/>
      <c r="BM341" s="143"/>
      <c r="BN341" s="143"/>
      <c r="BO341" s="143"/>
      <c r="BP341" s="143"/>
      <c r="BQ341" s="143"/>
      <c r="BR341" s="143"/>
      <c r="BS341" s="143"/>
      <c r="BT341" s="143"/>
      <c r="BU341" s="143"/>
      <c r="BV341" s="143"/>
      <c r="BW341" s="143"/>
      <c r="BX341" s="143"/>
      <c r="BY341" s="143"/>
      <c r="BZ341" s="143"/>
      <c r="CA341" s="143"/>
      <c r="CB341" s="143"/>
      <c r="CC341" s="143"/>
      <c r="CD341" s="143"/>
      <c r="CE341" s="163"/>
      <c r="CF341" s="235"/>
      <c r="CG341" s="2741">
        <f t="shared" ref="CG341:CG369" si="31">1+CG340</f>
        <v>3</v>
      </c>
      <c r="CH341" s="235" t="str">
        <f t="shared" si="30"/>
        <v>January 2017</v>
      </c>
      <c r="CI341" s="1571"/>
      <c r="CJ341" s="182">
        <v>13299647</v>
      </c>
      <c r="CK341" s="182">
        <v>4484238</v>
      </c>
      <c r="CL341" s="182"/>
      <c r="CM341" s="182">
        <v>358608</v>
      </c>
      <c r="CN341" s="236"/>
      <c r="CO341" s="182">
        <v>0</v>
      </c>
      <c r="CP341" s="182">
        <v>947189</v>
      </c>
      <c r="CQ341" s="143"/>
      <c r="CR341" s="143"/>
      <c r="CS341" s="143"/>
      <c r="CT341" s="143"/>
      <c r="CU341" s="143"/>
      <c r="CV341" s="143"/>
      <c r="CW341" s="143"/>
      <c r="CX341" s="143"/>
      <c r="CY341" s="143"/>
      <c r="CZ341" s="143"/>
      <c r="DA341" s="143"/>
      <c r="DB341" s="143"/>
    </row>
    <row r="342" spans="1:106">
      <c r="A342" s="143"/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143"/>
      <c r="AK342" s="143"/>
      <c r="AL342" s="143"/>
      <c r="AM342" s="143"/>
      <c r="AN342" s="143"/>
      <c r="AO342" s="143"/>
      <c r="AP342" s="143"/>
      <c r="AQ342" s="143"/>
      <c r="AR342" s="143"/>
      <c r="AS342" s="143"/>
      <c r="AT342" s="143"/>
      <c r="AU342" s="143"/>
      <c r="AV342" s="143"/>
      <c r="AW342" s="143"/>
      <c r="AX342" s="143"/>
      <c r="AY342" s="143"/>
      <c r="AZ342" s="143"/>
      <c r="BA342" s="143"/>
      <c r="BB342" s="143"/>
      <c r="BC342" s="143"/>
      <c r="BD342" s="143"/>
      <c r="BE342" s="143"/>
      <c r="BF342" s="143"/>
      <c r="BG342" s="143"/>
      <c r="BH342" s="143"/>
      <c r="BI342" s="143"/>
      <c r="BJ342" s="143"/>
      <c r="BK342" s="143"/>
      <c r="BL342" s="143"/>
      <c r="BM342" s="143"/>
      <c r="BN342" s="143"/>
      <c r="BO342" s="143"/>
      <c r="BP342" s="143"/>
      <c r="BQ342" s="143"/>
      <c r="BR342" s="143"/>
      <c r="BS342" s="143"/>
      <c r="BT342" s="143"/>
      <c r="BU342" s="143"/>
      <c r="BV342" s="143"/>
      <c r="BW342" s="143"/>
      <c r="BX342" s="143"/>
      <c r="BY342" s="143"/>
      <c r="BZ342" s="143"/>
      <c r="CA342" s="143"/>
      <c r="CB342" s="143"/>
      <c r="CC342" s="143"/>
      <c r="CD342" s="143"/>
      <c r="CE342" s="163"/>
      <c r="CF342" s="235"/>
      <c r="CG342" s="2741">
        <f t="shared" si="31"/>
        <v>4</v>
      </c>
      <c r="CH342" s="235" t="str">
        <f t="shared" si="30"/>
        <v>February</v>
      </c>
      <c r="CI342" s="1571"/>
      <c r="CJ342" s="182">
        <v>13841358</v>
      </c>
      <c r="CK342" s="182">
        <v>4521041</v>
      </c>
      <c r="CL342" s="182"/>
      <c r="CM342" s="182">
        <v>242370</v>
      </c>
      <c r="CN342" s="236"/>
      <c r="CO342" s="182">
        <v>0</v>
      </c>
      <c r="CP342" s="182">
        <v>946979</v>
      </c>
      <c r="CQ342" s="143"/>
      <c r="CR342" s="143"/>
      <c r="CS342" s="143"/>
      <c r="CT342" s="143"/>
      <c r="CU342" s="143"/>
      <c r="CV342" s="143"/>
      <c r="CW342" s="143"/>
      <c r="CX342" s="143"/>
      <c r="CY342" s="143"/>
      <c r="CZ342" s="143"/>
      <c r="DA342" s="143"/>
      <c r="DB342" s="143"/>
    </row>
    <row r="343" spans="1:106">
      <c r="A343" s="143"/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3"/>
      <c r="AP343" s="143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3"/>
      <c r="BB343" s="143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3"/>
      <c r="BN343" s="143"/>
      <c r="BO343" s="143"/>
      <c r="BP343" s="143"/>
      <c r="BQ343" s="143"/>
      <c r="BR343" s="143"/>
      <c r="BS343" s="143"/>
      <c r="BT343" s="143"/>
      <c r="BU343" s="143"/>
      <c r="BV343" s="143"/>
      <c r="BW343" s="143"/>
      <c r="BX343" s="143"/>
      <c r="BY343" s="143"/>
      <c r="BZ343" s="143"/>
      <c r="CA343" s="143"/>
      <c r="CB343" s="143"/>
      <c r="CC343" s="143"/>
      <c r="CD343" s="143"/>
      <c r="CE343" s="163"/>
      <c r="CF343" s="235"/>
      <c r="CG343" s="2741">
        <f t="shared" si="31"/>
        <v>5</v>
      </c>
      <c r="CH343" s="235" t="str">
        <f t="shared" si="30"/>
        <v>March</v>
      </c>
      <c r="CI343" s="1571"/>
      <c r="CJ343" s="182">
        <v>13248468</v>
      </c>
      <c r="CK343" s="182">
        <v>4119400</v>
      </c>
      <c r="CL343" s="182"/>
      <c r="CM343" s="182">
        <v>299480</v>
      </c>
      <c r="CN343" s="236"/>
      <c r="CO343" s="182">
        <v>0</v>
      </c>
      <c r="CP343" s="182">
        <v>946725</v>
      </c>
      <c r="CQ343" s="143"/>
      <c r="CR343" s="143"/>
      <c r="CS343" s="143"/>
      <c r="CT343" s="143"/>
      <c r="CU343" s="143"/>
      <c r="CV343" s="143"/>
      <c r="CW343" s="143"/>
      <c r="CX343" s="143"/>
      <c r="CY343" s="143"/>
      <c r="CZ343" s="143"/>
      <c r="DA343" s="143"/>
      <c r="DB343" s="143"/>
    </row>
    <row r="344" spans="1:106">
      <c r="A344" s="143"/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3"/>
      <c r="AR344" s="143"/>
      <c r="AS344" s="143"/>
      <c r="AT344" s="143"/>
      <c r="AU344" s="143"/>
      <c r="AV344" s="143"/>
      <c r="AW344" s="143"/>
      <c r="AX344" s="143"/>
      <c r="AY344" s="143"/>
      <c r="AZ344" s="143"/>
      <c r="BA344" s="143"/>
      <c r="BB344" s="143"/>
      <c r="BC344" s="143"/>
      <c r="BD344" s="143"/>
      <c r="BE344" s="143"/>
      <c r="BF344" s="143"/>
      <c r="BG344" s="143"/>
      <c r="BH344" s="143"/>
      <c r="BI344" s="143"/>
      <c r="BJ344" s="143"/>
      <c r="BK344" s="143"/>
      <c r="BL344" s="143"/>
      <c r="BM344" s="143"/>
      <c r="BN344" s="143"/>
      <c r="BO344" s="143"/>
      <c r="BP344" s="143"/>
      <c r="BQ344" s="143"/>
      <c r="BR344" s="143"/>
      <c r="BS344" s="143"/>
      <c r="BT344" s="143"/>
      <c r="BU344" s="143"/>
      <c r="BV344" s="143"/>
      <c r="BW344" s="143"/>
      <c r="BX344" s="143"/>
      <c r="BY344" s="143"/>
      <c r="BZ344" s="143"/>
      <c r="CA344" s="143"/>
      <c r="CB344" s="143"/>
      <c r="CC344" s="143"/>
      <c r="CD344" s="143"/>
      <c r="CE344" s="163"/>
      <c r="CF344" s="235"/>
      <c r="CG344" s="2741">
        <f t="shared" si="31"/>
        <v>6</v>
      </c>
      <c r="CH344" s="235" t="str">
        <f t="shared" si="30"/>
        <v>April</v>
      </c>
      <c r="CI344" s="1571"/>
      <c r="CJ344" s="182">
        <v>13018216</v>
      </c>
      <c r="CK344" s="182">
        <v>4197095</v>
      </c>
      <c r="CL344" s="182"/>
      <c r="CM344" s="182">
        <v>420164</v>
      </c>
      <c r="CN344" s="236"/>
      <c r="CO344" s="182">
        <v>0</v>
      </c>
      <c r="CP344" s="182">
        <v>946448</v>
      </c>
      <c r="CQ344" s="143"/>
      <c r="CR344" s="143"/>
      <c r="CS344" s="143"/>
      <c r="CT344" s="143"/>
      <c r="CU344" s="143"/>
      <c r="CV344" s="143"/>
      <c r="CW344" s="143"/>
      <c r="CX344" s="143"/>
      <c r="CY344" s="143"/>
      <c r="CZ344" s="143"/>
      <c r="DA344" s="143"/>
      <c r="DB344" s="143"/>
    </row>
    <row r="345" spans="1:106">
      <c r="A345" s="143"/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  <c r="AT345" s="143"/>
      <c r="AU345" s="143"/>
      <c r="AV345" s="143"/>
      <c r="AW345" s="143"/>
      <c r="AX345" s="143"/>
      <c r="AY345" s="143"/>
      <c r="AZ345" s="143"/>
      <c r="BA345" s="143"/>
      <c r="BB345" s="143"/>
      <c r="BC345" s="143"/>
      <c r="BD345" s="143"/>
      <c r="BE345" s="143"/>
      <c r="BF345" s="143"/>
      <c r="BG345" s="143"/>
      <c r="BH345" s="143"/>
      <c r="BI345" s="143"/>
      <c r="BJ345" s="143"/>
      <c r="BK345" s="143"/>
      <c r="BL345" s="143"/>
      <c r="BM345" s="143"/>
      <c r="BN345" s="143"/>
      <c r="BO345" s="143"/>
      <c r="BP345" s="143"/>
      <c r="BQ345" s="143"/>
      <c r="BR345" s="143"/>
      <c r="BS345" s="143"/>
      <c r="BT345" s="143"/>
      <c r="BU345" s="143"/>
      <c r="BV345" s="143"/>
      <c r="BW345" s="143"/>
      <c r="BX345" s="143"/>
      <c r="BY345" s="143"/>
      <c r="BZ345" s="143"/>
      <c r="CA345" s="143"/>
      <c r="CB345" s="143"/>
      <c r="CC345" s="143"/>
      <c r="CD345" s="143"/>
      <c r="CE345" s="163"/>
      <c r="CF345" s="235"/>
      <c r="CG345" s="2741">
        <f t="shared" si="31"/>
        <v>7</v>
      </c>
      <c r="CH345" s="235" t="str">
        <f t="shared" si="30"/>
        <v>May</v>
      </c>
      <c r="CI345" s="1571"/>
      <c r="CJ345" s="182">
        <v>12699402</v>
      </c>
      <c r="CK345" s="182">
        <v>3378436</v>
      </c>
      <c r="CL345" s="182"/>
      <c r="CM345" s="182">
        <v>468998</v>
      </c>
      <c r="CN345" s="236"/>
      <c r="CO345" s="182">
        <v>0</v>
      </c>
      <c r="CP345" s="182">
        <v>946122</v>
      </c>
      <c r="CQ345" s="143"/>
      <c r="CR345" s="143"/>
      <c r="CS345" s="143"/>
      <c r="CT345" s="143"/>
      <c r="CU345" s="143"/>
      <c r="CV345" s="143"/>
      <c r="CW345" s="143"/>
      <c r="CX345" s="143"/>
      <c r="CY345" s="143"/>
      <c r="CZ345" s="143"/>
      <c r="DA345" s="143"/>
      <c r="DB345" s="143"/>
    </row>
    <row r="346" spans="1:106">
      <c r="A346" s="143"/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43"/>
      <c r="AU346" s="143"/>
      <c r="AV346" s="143"/>
      <c r="AW346" s="143"/>
      <c r="AX346" s="143"/>
      <c r="AY346" s="143"/>
      <c r="AZ346" s="143"/>
      <c r="BA346" s="143"/>
      <c r="BB346" s="143"/>
      <c r="BC346" s="143"/>
      <c r="BD346" s="143"/>
      <c r="BE346" s="143"/>
      <c r="BF346" s="143"/>
      <c r="BG346" s="143"/>
      <c r="BH346" s="143"/>
      <c r="BI346" s="143"/>
      <c r="BJ346" s="143"/>
      <c r="BK346" s="143"/>
      <c r="BL346" s="143"/>
      <c r="BM346" s="143"/>
      <c r="BN346" s="143"/>
      <c r="BO346" s="143"/>
      <c r="BP346" s="143"/>
      <c r="BQ346" s="143"/>
      <c r="BR346" s="143"/>
      <c r="BS346" s="143"/>
      <c r="BT346" s="143"/>
      <c r="BU346" s="143"/>
      <c r="BV346" s="143"/>
      <c r="BW346" s="143"/>
      <c r="BX346" s="143"/>
      <c r="BY346" s="143"/>
      <c r="BZ346" s="143"/>
      <c r="CA346" s="143"/>
      <c r="CB346" s="143"/>
      <c r="CC346" s="143"/>
      <c r="CD346" s="143"/>
      <c r="CE346" s="163"/>
      <c r="CF346" s="235"/>
      <c r="CG346" s="2741">
        <f t="shared" si="31"/>
        <v>8</v>
      </c>
      <c r="CH346" s="235" t="str">
        <f t="shared" si="30"/>
        <v>June</v>
      </c>
      <c r="CI346" s="245"/>
      <c r="CJ346" s="182">
        <v>14374100</v>
      </c>
      <c r="CK346" s="182">
        <v>5124561</v>
      </c>
      <c r="CL346" s="182"/>
      <c r="CM346" s="182">
        <v>447542</v>
      </c>
      <c r="CN346" s="236"/>
      <c r="CO346" s="182">
        <v>0</v>
      </c>
      <c r="CP346" s="182">
        <v>947646</v>
      </c>
      <c r="CQ346" s="143"/>
      <c r="CR346" s="143"/>
      <c r="CS346" s="143"/>
      <c r="CT346" s="143"/>
      <c r="CU346" s="143"/>
      <c r="CV346" s="143"/>
      <c r="CW346" s="143"/>
      <c r="CX346" s="143"/>
      <c r="CY346" s="143"/>
      <c r="CZ346" s="143"/>
      <c r="DA346" s="143"/>
      <c r="DB346" s="143"/>
    </row>
    <row r="347" spans="1:106">
      <c r="A347" s="143"/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43"/>
      <c r="AU347" s="143"/>
      <c r="AV347" s="143"/>
      <c r="AW347" s="143"/>
      <c r="AX347" s="143"/>
      <c r="AY347" s="143"/>
      <c r="AZ347" s="143"/>
      <c r="BA347" s="143"/>
      <c r="BB347" s="143"/>
      <c r="BC347" s="143"/>
      <c r="BD347" s="143"/>
      <c r="BE347" s="143"/>
      <c r="BF347" s="143"/>
      <c r="BG347" s="143"/>
      <c r="BH347" s="143"/>
      <c r="BI347" s="143"/>
      <c r="BJ347" s="143"/>
      <c r="BK347" s="143"/>
      <c r="BL347" s="143"/>
      <c r="BM347" s="143"/>
      <c r="BN347" s="143"/>
      <c r="BO347" s="143"/>
      <c r="BP347" s="143"/>
      <c r="BQ347" s="143"/>
      <c r="BR347" s="143"/>
      <c r="BS347" s="143"/>
      <c r="BT347" s="143"/>
      <c r="BU347" s="143"/>
      <c r="BV347" s="143"/>
      <c r="BW347" s="143"/>
      <c r="BX347" s="143"/>
      <c r="BY347" s="143"/>
      <c r="BZ347" s="143"/>
      <c r="CA347" s="143"/>
      <c r="CB347" s="143"/>
      <c r="CC347" s="143"/>
      <c r="CD347" s="143"/>
      <c r="CE347" s="163"/>
      <c r="CF347" s="235"/>
      <c r="CG347" s="2741">
        <f t="shared" si="31"/>
        <v>9</v>
      </c>
      <c r="CH347" s="235" t="str">
        <f t="shared" si="30"/>
        <v>July</v>
      </c>
      <c r="CI347" s="245"/>
      <c r="CJ347" s="182">
        <v>14374100</v>
      </c>
      <c r="CK347" s="182">
        <v>5124561</v>
      </c>
      <c r="CL347" s="182"/>
      <c r="CM347" s="182">
        <v>447542</v>
      </c>
      <c r="CN347" s="236"/>
      <c r="CO347" s="182">
        <v>0</v>
      </c>
      <c r="CP347" s="182">
        <v>947646</v>
      </c>
      <c r="CQ347" s="143"/>
      <c r="CR347" s="143"/>
      <c r="CS347" s="143"/>
      <c r="CT347" s="143"/>
      <c r="CU347" s="143"/>
      <c r="CV347" s="143"/>
      <c r="CW347" s="143"/>
      <c r="CX347" s="143"/>
      <c r="CY347" s="143"/>
      <c r="CZ347" s="143"/>
      <c r="DA347" s="143"/>
      <c r="DB347" s="143"/>
    </row>
    <row r="348" spans="1:106">
      <c r="A348" s="143"/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43"/>
      <c r="AU348" s="143"/>
      <c r="AV348" s="143"/>
      <c r="AW348" s="143"/>
      <c r="AX348" s="143"/>
      <c r="AY348" s="143"/>
      <c r="AZ348" s="143"/>
      <c r="BA348" s="143"/>
      <c r="BB348" s="143"/>
      <c r="BC348" s="143"/>
      <c r="BD348" s="143"/>
      <c r="BE348" s="143"/>
      <c r="BF348" s="143"/>
      <c r="BG348" s="143"/>
      <c r="BH348" s="143"/>
      <c r="BI348" s="143"/>
      <c r="BJ348" s="143"/>
      <c r="BK348" s="143"/>
      <c r="BL348" s="143"/>
      <c r="BM348" s="143"/>
      <c r="BN348" s="143"/>
      <c r="BO348" s="143"/>
      <c r="BP348" s="143"/>
      <c r="BQ348" s="143"/>
      <c r="BR348" s="143"/>
      <c r="BS348" s="143"/>
      <c r="BT348" s="143"/>
      <c r="BU348" s="143"/>
      <c r="BV348" s="143"/>
      <c r="BW348" s="143"/>
      <c r="BX348" s="143"/>
      <c r="BY348" s="143"/>
      <c r="BZ348" s="143"/>
      <c r="CA348" s="143"/>
      <c r="CB348" s="143"/>
      <c r="CC348" s="143"/>
      <c r="CD348" s="143"/>
      <c r="CE348" s="163"/>
      <c r="CF348" s="143"/>
      <c r="CG348" s="2741">
        <f t="shared" si="31"/>
        <v>10</v>
      </c>
      <c r="CH348" s="235" t="str">
        <f t="shared" si="30"/>
        <v>August</v>
      </c>
      <c r="CI348" s="245"/>
      <c r="CJ348" s="182">
        <v>14374100</v>
      </c>
      <c r="CK348" s="182">
        <v>5124561</v>
      </c>
      <c r="CL348" s="182"/>
      <c r="CM348" s="182">
        <v>447542</v>
      </c>
      <c r="CN348" s="236"/>
      <c r="CO348" s="182">
        <v>0</v>
      </c>
      <c r="CP348" s="182">
        <v>947646</v>
      </c>
      <c r="CQ348" s="143"/>
      <c r="CR348" s="143"/>
      <c r="CS348" s="143"/>
      <c r="CT348" s="143"/>
      <c r="CU348" s="143"/>
      <c r="CV348" s="143"/>
      <c r="CW348" s="143"/>
      <c r="CX348" s="143"/>
      <c r="CY348" s="143"/>
      <c r="CZ348" s="143"/>
      <c r="DA348" s="143"/>
      <c r="DB348" s="143"/>
    </row>
    <row r="349" spans="1:106">
      <c r="A349" s="143"/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43"/>
      <c r="AU349" s="143"/>
      <c r="AV349" s="143"/>
      <c r="AW349" s="143"/>
      <c r="AX349" s="143"/>
      <c r="AY349" s="143"/>
      <c r="AZ349" s="143"/>
      <c r="BA349" s="143"/>
      <c r="BB349" s="143"/>
      <c r="BC349" s="143"/>
      <c r="BD349" s="143"/>
      <c r="BE349" s="143"/>
      <c r="BF349" s="143"/>
      <c r="BG349" s="143"/>
      <c r="BH349" s="143"/>
      <c r="BI349" s="143"/>
      <c r="BJ349" s="143"/>
      <c r="BK349" s="143"/>
      <c r="BL349" s="143"/>
      <c r="BM349" s="143"/>
      <c r="BN349" s="143"/>
      <c r="BO349" s="143"/>
      <c r="BP349" s="143"/>
      <c r="BQ349" s="143"/>
      <c r="BR349" s="143"/>
      <c r="BS349" s="143"/>
      <c r="BT349" s="143"/>
      <c r="BU349" s="143"/>
      <c r="BV349" s="143"/>
      <c r="BW349" s="143"/>
      <c r="BX349" s="143"/>
      <c r="BY349" s="143"/>
      <c r="BZ349" s="143"/>
      <c r="CA349" s="143"/>
      <c r="CB349" s="143"/>
      <c r="CC349" s="143"/>
      <c r="CD349" s="143"/>
      <c r="CE349" s="163"/>
      <c r="CF349" s="143"/>
      <c r="CG349" s="2741">
        <f t="shared" si="31"/>
        <v>11</v>
      </c>
      <c r="CH349" s="235" t="str">
        <f t="shared" si="30"/>
        <v>September</v>
      </c>
      <c r="CI349" s="1571"/>
      <c r="CJ349" s="182">
        <v>14374100</v>
      </c>
      <c r="CK349" s="182">
        <v>5124561</v>
      </c>
      <c r="CL349" s="182"/>
      <c r="CM349" s="182">
        <v>447542</v>
      </c>
      <c r="CN349" s="236"/>
      <c r="CO349" s="182">
        <v>0</v>
      </c>
      <c r="CP349" s="182">
        <v>947646</v>
      </c>
      <c r="CQ349" s="143"/>
      <c r="CR349" s="143"/>
      <c r="CS349" s="143"/>
      <c r="CT349" s="143"/>
      <c r="CU349" s="143"/>
      <c r="CV349" s="143"/>
      <c r="CW349" s="143"/>
      <c r="CX349" s="143"/>
      <c r="CY349" s="143"/>
      <c r="CZ349" s="143"/>
      <c r="DA349" s="143"/>
      <c r="DB349" s="143"/>
    </row>
    <row r="350" spans="1:106">
      <c r="A350" s="143"/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43"/>
      <c r="AU350" s="143"/>
      <c r="AV350" s="143"/>
      <c r="AW350" s="143"/>
      <c r="AX350" s="143"/>
      <c r="AY350" s="143"/>
      <c r="AZ350" s="143"/>
      <c r="BA350" s="143"/>
      <c r="BB350" s="143"/>
      <c r="BC350" s="143"/>
      <c r="BD350" s="143"/>
      <c r="BE350" s="143"/>
      <c r="BF350" s="143"/>
      <c r="BG350" s="143"/>
      <c r="BH350" s="143"/>
      <c r="BI350" s="143"/>
      <c r="BJ350" s="143"/>
      <c r="BK350" s="143"/>
      <c r="BL350" s="143"/>
      <c r="BM350" s="143"/>
      <c r="BN350" s="143"/>
      <c r="BO350" s="143"/>
      <c r="BP350" s="143"/>
      <c r="BQ350" s="143"/>
      <c r="BR350" s="143"/>
      <c r="BS350" s="143"/>
      <c r="BT350" s="143"/>
      <c r="BU350" s="143"/>
      <c r="BV350" s="143"/>
      <c r="BW350" s="143"/>
      <c r="BX350" s="143"/>
      <c r="BY350" s="143"/>
      <c r="BZ350" s="143"/>
      <c r="CA350" s="143"/>
      <c r="CB350" s="143"/>
      <c r="CC350" s="143"/>
      <c r="CD350" s="143"/>
      <c r="CE350" s="163"/>
      <c r="CF350" s="143"/>
      <c r="CG350" s="2741">
        <f t="shared" si="31"/>
        <v>12</v>
      </c>
      <c r="CH350" s="235" t="str">
        <f t="shared" si="30"/>
        <v>October</v>
      </c>
      <c r="CI350" s="1571"/>
      <c r="CJ350" s="182">
        <v>14374100</v>
      </c>
      <c r="CK350" s="182">
        <v>5124561</v>
      </c>
      <c r="CL350" s="182"/>
      <c r="CM350" s="182">
        <v>447542</v>
      </c>
      <c r="CN350" s="236"/>
      <c r="CO350" s="182">
        <v>0</v>
      </c>
      <c r="CP350" s="182">
        <v>947646</v>
      </c>
      <c r="CQ350" s="143"/>
      <c r="CR350" s="143"/>
      <c r="CS350" s="143"/>
      <c r="CT350" s="143"/>
      <c r="CU350" s="143"/>
      <c r="CV350" s="143"/>
      <c r="CW350" s="143"/>
      <c r="CX350" s="143"/>
      <c r="CY350" s="143"/>
      <c r="CZ350" s="143"/>
      <c r="DA350" s="143"/>
      <c r="DB350" s="143"/>
    </row>
    <row r="351" spans="1:106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3"/>
      <c r="BB351" s="143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3"/>
      <c r="BN351" s="143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3"/>
      <c r="BZ351" s="143"/>
      <c r="CA351" s="143"/>
      <c r="CB351" s="143"/>
      <c r="CC351" s="143"/>
      <c r="CD351" s="143"/>
      <c r="CE351" s="163"/>
      <c r="CF351" s="143"/>
      <c r="CG351" s="2741">
        <f t="shared" si="31"/>
        <v>13</v>
      </c>
      <c r="CH351" s="235" t="str">
        <f t="shared" si="30"/>
        <v>November</v>
      </c>
      <c r="CI351" s="1571"/>
      <c r="CJ351" s="182">
        <v>14374100</v>
      </c>
      <c r="CK351" s="182">
        <v>5124561</v>
      </c>
      <c r="CL351" s="182"/>
      <c r="CM351" s="182">
        <v>447542</v>
      </c>
      <c r="CN351" s="236"/>
      <c r="CO351" s="182">
        <v>0</v>
      </c>
      <c r="CP351" s="182">
        <v>947646</v>
      </c>
      <c r="CQ351" s="143"/>
      <c r="CR351" s="143"/>
      <c r="CS351" s="143"/>
      <c r="CT351" s="143"/>
      <c r="CU351" s="143"/>
      <c r="CV351" s="143"/>
      <c r="CW351" s="143"/>
      <c r="CX351" s="143"/>
      <c r="CY351" s="143"/>
      <c r="CZ351" s="143"/>
      <c r="DA351" s="143"/>
      <c r="DB351" s="143"/>
    </row>
    <row r="352" spans="1:106">
      <c r="A352" s="143"/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43"/>
      <c r="AU352" s="143"/>
      <c r="AV352" s="143"/>
      <c r="AW352" s="143"/>
      <c r="AX352" s="143"/>
      <c r="AY352" s="143"/>
      <c r="AZ352" s="143"/>
      <c r="BA352" s="143"/>
      <c r="BB352" s="143"/>
      <c r="BC352" s="143"/>
      <c r="BD352" s="143"/>
      <c r="BE352" s="143"/>
      <c r="BF352" s="143"/>
      <c r="BG352" s="143"/>
      <c r="BH352" s="143"/>
      <c r="BI352" s="143"/>
      <c r="BJ352" s="143"/>
      <c r="BK352" s="143"/>
      <c r="BL352" s="143"/>
      <c r="BM352" s="143"/>
      <c r="BN352" s="143"/>
      <c r="BO352" s="143"/>
      <c r="BP352" s="143"/>
      <c r="BQ352" s="143"/>
      <c r="BR352" s="143"/>
      <c r="BS352" s="143"/>
      <c r="BT352" s="143"/>
      <c r="BU352" s="143"/>
      <c r="BV352" s="143"/>
      <c r="BW352" s="143"/>
      <c r="BX352" s="143"/>
      <c r="BY352" s="143"/>
      <c r="BZ352" s="143"/>
      <c r="CA352" s="143"/>
      <c r="CB352" s="143"/>
      <c r="CC352" s="143"/>
      <c r="CD352" s="143"/>
      <c r="CE352" s="163"/>
      <c r="CF352" s="143"/>
      <c r="CG352" s="2741">
        <f t="shared" si="31"/>
        <v>14</v>
      </c>
      <c r="CH352" s="1571"/>
      <c r="CI352" s="1571"/>
      <c r="CJ352" s="1571"/>
      <c r="CK352" s="1571"/>
      <c r="CL352" s="143"/>
      <c r="CM352" s="1571"/>
      <c r="CN352" s="234"/>
      <c r="CO352" s="1571"/>
      <c r="CP352" s="1571"/>
      <c r="CQ352" s="143"/>
      <c r="CR352" s="143"/>
      <c r="CS352" s="143"/>
      <c r="CT352" s="143"/>
      <c r="CU352" s="143"/>
      <c r="CV352" s="143"/>
      <c r="CW352" s="143"/>
      <c r="CX352" s="143"/>
      <c r="CY352" s="143"/>
      <c r="CZ352" s="143"/>
      <c r="DA352" s="143"/>
      <c r="DB352" s="143"/>
    </row>
    <row r="353" spans="1:106">
      <c r="A353" s="143"/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3"/>
      <c r="BB353" s="143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3"/>
      <c r="BN353" s="143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3"/>
      <c r="BZ353" s="143"/>
      <c r="CA353" s="143"/>
      <c r="CB353" s="143"/>
      <c r="CC353" s="143"/>
      <c r="CD353" s="143"/>
      <c r="CE353" s="163"/>
      <c r="CF353" s="143"/>
      <c r="CG353" s="2741">
        <f t="shared" si="31"/>
        <v>15</v>
      </c>
      <c r="CH353" s="233" t="s">
        <v>207</v>
      </c>
      <c r="CI353" s="1571"/>
      <c r="CJ353" s="1571"/>
      <c r="CK353" s="1571"/>
      <c r="CL353" s="143"/>
      <c r="CM353" s="1571"/>
      <c r="CN353" s="234"/>
      <c r="CO353" s="1571"/>
      <c r="CP353" s="1571"/>
      <c r="CQ353" s="143"/>
      <c r="CR353" s="143"/>
      <c r="CS353" s="143"/>
      <c r="CT353" s="143"/>
      <c r="CU353" s="143"/>
      <c r="CV353" s="143"/>
      <c r="CW353" s="143"/>
      <c r="CX353" s="143"/>
      <c r="CY353" s="143"/>
      <c r="CZ353" s="143"/>
      <c r="DA353" s="143"/>
      <c r="DB353" s="143"/>
    </row>
    <row r="354" spans="1:106">
      <c r="A354" s="143"/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43"/>
      <c r="AU354" s="143"/>
      <c r="AV354" s="143"/>
      <c r="AW354" s="143"/>
      <c r="AX354" s="143"/>
      <c r="AY354" s="143"/>
      <c r="AZ354" s="143"/>
      <c r="BA354" s="143"/>
      <c r="BB354" s="143"/>
      <c r="BC354" s="143"/>
      <c r="BD354" s="143"/>
      <c r="BE354" s="143"/>
      <c r="BF354" s="143"/>
      <c r="BG354" s="143"/>
      <c r="BH354" s="143"/>
      <c r="BI354" s="143"/>
      <c r="BJ354" s="143"/>
      <c r="BK354" s="143"/>
      <c r="BL354" s="143"/>
      <c r="BM354" s="143"/>
      <c r="BN354" s="143"/>
      <c r="BO354" s="143"/>
      <c r="BP354" s="143"/>
      <c r="BQ354" s="143"/>
      <c r="BR354" s="143"/>
      <c r="BS354" s="143"/>
      <c r="BT354" s="143"/>
      <c r="BU354" s="143"/>
      <c r="BV354" s="143"/>
      <c r="BW354" s="143"/>
      <c r="BX354" s="143"/>
      <c r="BY354" s="143"/>
      <c r="BZ354" s="143"/>
      <c r="CA354" s="143"/>
      <c r="CB354" s="143"/>
      <c r="CC354" s="143"/>
      <c r="CD354" s="143"/>
      <c r="CE354" s="163"/>
      <c r="CF354" s="143"/>
      <c r="CG354" s="2741">
        <f t="shared" si="31"/>
        <v>16</v>
      </c>
      <c r="CH354" s="235" t="str">
        <f t="shared" ref="CH354:CH366" si="32">BE200</f>
        <v>March 2018</v>
      </c>
      <c r="CI354" s="1571"/>
      <c r="CJ354" s="182">
        <v>14374100</v>
      </c>
      <c r="CK354" s="182">
        <v>5124561</v>
      </c>
      <c r="CL354" s="182"/>
      <c r="CM354" s="182">
        <v>447542</v>
      </c>
      <c r="CN354" s="236"/>
      <c r="CO354" s="182">
        <v>0</v>
      </c>
      <c r="CP354" s="182">
        <v>0</v>
      </c>
      <c r="CQ354" s="143"/>
      <c r="CR354" s="143"/>
      <c r="CS354" s="143"/>
      <c r="CT354" s="143"/>
      <c r="CU354" s="143"/>
      <c r="CV354" s="143"/>
      <c r="CW354" s="143"/>
      <c r="CX354" s="143"/>
      <c r="CY354" s="143"/>
      <c r="CZ354" s="143"/>
      <c r="DA354" s="143"/>
      <c r="DB354" s="143"/>
    </row>
    <row r="355" spans="1:106">
      <c r="A355" s="143"/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43"/>
      <c r="AU355" s="143"/>
      <c r="AV355" s="143"/>
      <c r="AW355" s="143"/>
      <c r="AX355" s="143"/>
      <c r="AY355" s="143"/>
      <c r="AZ355" s="143"/>
      <c r="BA355" s="143"/>
      <c r="BB355" s="143"/>
      <c r="BC355" s="143"/>
      <c r="BD355" s="143"/>
      <c r="BE355" s="143"/>
      <c r="BF355" s="143"/>
      <c r="BG355" s="143"/>
      <c r="BH355" s="143"/>
      <c r="BI355" s="143"/>
      <c r="BJ355" s="143"/>
      <c r="BK355" s="143"/>
      <c r="BL355" s="143"/>
      <c r="BM355" s="143"/>
      <c r="BN355" s="143"/>
      <c r="BO355" s="143"/>
      <c r="BP355" s="143"/>
      <c r="BQ355" s="143"/>
      <c r="BR355" s="143"/>
      <c r="BS355" s="143"/>
      <c r="BT355" s="143"/>
      <c r="BU355" s="143"/>
      <c r="BV355" s="143"/>
      <c r="BW355" s="143"/>
      <c r="BX355" s="143"/>
      <c r="BY355" s="143"/>
      <c r="BZ355" s="143"/>
      <c r="CA355" s="143"/>
      <c r="CB355" s="143"/>
      <c r="CC355" s="143"/>
      <c r="CD355" s="143"/>
      <c r="CE355" s="163"/>
      <c r="CF355" s="143"/>
      <c r="CG355" s="2741">
        <f t="shared" si="31"/>
        <v>17</v>
      </c>
      <c r="CH355" s="235" t="str">
        <f t="shared" si="32"/>
        <v>April</v>
      </c>
      <c r="CI355" s="1571"/>
      <c r="CJ355" s="182">
        <v>14374100</v>
      </c>
      <c r="CK355" s="182">
        <v>5124561</v>
      </c>
      <c r="CL355" s="182"/>
      <c r="CM355" s="182">
        <v>447542</v>
      </c>
      <c r="CN355" s="236"/>
      <c r="CO355" s="182">
        <v>0</v>
      </c>
      <c r="CP355" s="182">
        <v>0</v>
      </c>
      <c r="CQ355" s="143"/>
      <c r="CR355" s="143"/>
      <c r="CS355" s="143"/>
      <c r="CT355" s="143"/>
      <c r="CU355" s="143"/>
      <c r="CV355" s="143"/>
      <c r="CW355" s="143"/>
      <c r="CX355" s="143"/>
      <c r="CY355" s="143"/>
      <c r="CZ355" s="143"/>
      <c r="DA355" s="143"/>
      <c r="DB355" s="143"/>
    </row>
    <row r="356" spans="1:106">
      <c r="A356" s="143"/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43"/>
      <c r="AU356" s="143"/>
      <c r="AV356" s="143"/>
      <c r="AW356" s="143"/>
      <c r="AX356" s="143"/>
      <c r="AY356" s="143"/>
      <c r="AZ356" s="143"/>
      <c r="BA356" s="143"/>
      <c r="BB356" s="143"/>
      <c r="BC356" s="143"/>
      <c r="BD356" s="143"/>
      <c r="BE356" s="143"/>
      <c r="BF356" s="143"/>
      <c r="BG356" s="143"/>
      <c r="BH356" s="143"/>
      <c r="BI356" s="143"/>
      <c r="BJ356" s="143"/>
      <c r="BK356" s="143"/>
      <c r="BL356" s="143"/>
      <c r="BM356" s="143"/>
      <c r="BN356" s="143"/>
      <c r="BO356" s="143"/>
      <c r="BP356" s="143"/>
      <c r="BQ356" s="143"/>
      <c r="BR356" s="143"/>
      <c r="BS356" s="143"/>
      <c r="BT356" s="143"/>
      <c r="BU356" s="143"/>
      <c r="BV356" s="143"/>
      <c r="BW356" s="143"/>
      <c r="BX356" s="143"/>
      <c r="BY356" s="143"/>
      <c r="BZ356" s="143"/>
      <c r="CA356" s="143"/>
      <c r="CB356" s="143"/>
      <c r="CC356" s="143"/>
      <c r="CD356" s="143"/>
      <c r="CE356" s="163"/>
      <c r="CF356" s="143"/>
      <c r="CG356" s="2741">
        <f t="shared" si="31"/>
        <v>18</v>
      </c>
      <c r="CH356" s="235" t="str">
        <f t="shared" si="32"/>
        <v>May</v>
      </c>
      <c r="CI356" s="1571"/>
      <c r="CJ356" s="182">
        <v>14374100</v>
      </c>
      <c r="CK356" s="182">
        <v>5124561</v>
      </c>
      <c r="CL356" s="182"/>
      <c r="CM356" s="182">
        <v>447542</v>
      </c>
      <c r="CN356" s="236"/>
      <c r="CO356" s="182">
        <v>0</v>
      </c>
      <c r="CP356" s="182">
        <v>0</v>
      </c>
      <c r="CQ356" s="143"/>
      <c r="CR356" s="143"/>
      <c r="CS356" s="143"/>
      <c r="CT356" s="143"/>
      <c r="CU356" s="143"/>
      <c r="CV356" s="143"/>
      <c r="CW356" s="143"/>
      <c r="CX356" s="143"/>
      <c r="CY356" s="143"/>
      <c r="CZ356" s="143"/>
      <c r="DA356" s="143"/>
      <c r="DB356" s="143"/>
    </row>
    <row r="357" spans="1:106">
      <c r="A357" s="143"/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3"/>
      <c r="BB357" s="143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3"/>
      <c r="BN357" s="143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3"/>
      <c r="BZ357" s="143"/>
      <c r="CA357" s="143"/>
      <c r="CB357" s="143"/>
      <c r="CC357" s="143"/>
      <c r="CD357" s="143"/>
      <c r="CE357" s="163"/>
      <c r="CF357" s="143"/>
      <c r="CG357" s="2741">
        <f t="shared" si="31"/>
        <v>19</v>
      </c>
      <c r="CH357" s="235" t="str">
        <f t="shared" si="32"/>
        <v>June</v>
      </c>
      <c r="CI357" s="1571"/>
      <c r="CJ357" s="182">
        <v>14374100</v>
      </c>
      <c r="CK357" s="182">
        <v>5124561</v>
      </c>
      <c r="CL357" s="182"/>
      <c r="CM357" s="182">
        <v>447542</v>
      </c>
      <c r="CN357" s="236"/>
      <c r="CO357" s="182">
        <v>0</v>
      </c>
      <c r="CP357" s="182">
        <v>0</v>
      </c>
      <c r="CQ357" s="143"/>
      <c r="CR357" s="143"/>
      <c r="CS357" s="143"/>
      <c r="CT357" s="143"/>
      <c r="CU357" s="143"/>
      <c r="CV357" s="143"/>
      <c r="CW357" s="143"/>
      <c r="CX357" s="143"/>
      <c r="CY357" s="143"/>
      <c r="CZ357" s="143"/>
      <c r="DA357" s="143"/>
      <c r="DB357" s="143"/>
    </row>
    <row r="358" spans="1:106">
      <c r="A358" s="143"/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3"/>
      <c r="BB358" s="143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3"/>
      <c r="BN358" s="143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3"/>
      <c r="BZ358" s="143"/>
      <c r="CA358" s="143"/>
      <c r="CB358" s="143"/>
      <c r="CC358" s="143"/>
      <c r="CD358" s="143"/>
      <c r="CE358" s="163"/>
      <c r="CF358" s="143"/>
      <c r="CG358" s="2741">
        <f t="shared" si="31"/>
        <v>20</v>
      </c>
      <c r="CH358" s="235" t="str">
        <f t="shared" si="32"/>
        <v>July</v>
      </c>
      <c r="CI358" s="1571"/>
      <c r="CJ358" s="182">
        <v>14374100</v>
      </c>
      <c r="CK358" s="182">
        <v>5124561</v>
      </c>
      <c r="CL358" s="182"/>
      <c r="CM358" s="182">
        <v>447542</v>
      </c>
      <c r="CN358" s="236"/>
      <c r="CO358" s="182">
        <v>0</v>
      </c>
      <c r="CP358" s="182">
        <v>0</v>
      </c>
      <c r="CQ358" s="143"/>
      <c r="CR358" s="143"/>
      <c r="CS358" s="143"/>
      <c r="CT358" s="143"/>
      <c r="CU358" s="143"/>
      <c r="CV358" s="143"/>
      <c r="CW358" s="143"/>
      <c r="CX358" s="143"/>
      <c r="CY358" s="143"/>
      <c r="CZ358" s="143"/>
      <c r="DA358" s="143"/>
      <c r="DB358" s="143"/>
    </row>
    <row r="359" spans="1:106">
      <c r="A359" s="143"/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43"/>
      <c r="AU359" s="143"/>
      <c r="AV359" s="143"/>
      <c r="AW359" s="143"/>
      <c r="AX359" s="143"/>
      <c r="AY359" s="143"/>
      <c r="AZ359" s="143"/>
      <c r="BA359" s="143"/>
      <c r="BB359" s="143"/>
      <c r="BC359" s="143"/>
      <c r="BD359" s="143"/>
      <c r="BE359" s="143"/>
      <c r="BF359" s="143"/>
      <c r="BG359" s="143"/>
      <c r="BH359" s="143"/>
      <c r="BI359" s="143"/>
      <c r="BJ359" s="143"/>
      <c r="BK359" s="143"/>
      <c r="BL359" s="143"/>
      <c r="BM359" s="143"/>
      <c r="BN359" s="143"/>
      <c r="BO359" s="143"/>
      <c r="BP359" s="143"/>
      <c r="BQ359" s="143"/>
      <c r="BR359" s="143"/>
      <c r="BS359" s="143"/>
      <c r="BT359" s="143"/>
      <c r="BU359" s="143"/>
      <c r="BV359" s="143"/>
      <c r="BW359" s="143"/>
      <c r="BX359" s="143"/>
      <c r="BY359" s="143"/>
      <c r="BZ359" s="143"/>
      <c r="CA359" s="143"/>
      <c r="CB359" s="143"/>
      <c r="CC359" s="143"/>
      <c r="CD359" s="143"/>
      <c r="CE359" s="163"/>
      <c r="CF359" s="143"/>
      <c r="CG359" s="2741">
        <f t="shared" si="31"/>
        <v>21</v>
      </c>
      <c r="CH359" s="235" t="str">
        <f t="shared" si="32"/>
        <v>August</v>
      </c>
      <c r="CI359" s="1571"/>
      <c r="CJ359" s="182">
        <v>14374100</v>
      </c>
      <c r="CK359" s="182">
        <v>5124561</v>
      </c>
      <c r="CL359" s="182"/>
      <c r="CM359" s="182">
        <v>447542</v>
      </c>
      <c r="CN359" s="236"/>
      <c r="CO359" s="182">
        <v>0</v>
      </c>
      <c r="CP359" s="182">
        <v>0</v>
      </c>
      <c r="CQ359" s="143"/>
      <c r="CR359" s="143"/>
      <c r="CS359" s="143"/>
      <c r="CT359" s="143"/>
      <c r="CU359" s="143"/>
      <c r="CV359" s="143"/>
      <c r="CW359" s="143"/>
      <c r="CX359" s="143"/>
      <c r="CY359" s="143"/>
      <c r="CZ359" s="143"/>
      <c r="DA359" s="143"/>
      <c r="DB359" s="143"/>
    </row>
    <row r="360" spans="1:106">
      <c r="A360" s="143"/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  <c r="AU360" s="143"/>
      <c r="AV360" s="143"/>
      <c r="AW360" s="143"/>
      <c r="AX360" s="143"/>
      <c r="AY360" s="143"/>
      <c r="AZ360" s="143"/>
      <c r="BA360" s="143"/>
      <c r="BB360" s="143"/>
      <c r="BC360" s="143"/>
      <c r="BD360" s="143"/>
      <c r="BE360" s="143"/>
      <c r="BF360" s="143"/>
      <c r="BG360" s="143"/>
      <c r="BH360" s="143"/>
      <c r="BI360" s="143"/>
      <c r="BJ360" s="143"/>
      <c r="BK360" s="143"/>
      <c r="BL360" s="143"/>
      <c r="BM360" s="143"/>
      <c r="BN360" s="143"/>
      <c r="BO360" s="143"/>
      <c r="BP360" s="143"/>
      <c r="BQ360" s="143"/>
      <c r="BR360" s="143"/>
      <c r="BS360" s="143"/>
      <c r="BT360" s="143"/>
      <c r="BU360" s="143"/>
      <c r="BV360" s="143"/>
      <c r="BW360" s="143"/>
      <c r="BX360" s="143"/>
      <c r="BY360" s="143"/>
      <c r="BZ360" s="143"/>
      <c r="CA360" s="143"/>
      <c r="CB360" s="143"/>
      <c r="CC360" s="143"/>
      <c r="CD360" s="143"/>
      <c r="CE360" s="163"/>
      <c r="CF360" s="143"/>
      <c r="CG360" s="2741">
        <f t="shared" si="31"/>
        <v>22</v>
      </c>
      <c r="CH360" s="235" t="str">
        <f t="shared" si="32"/>
        <v>September</v>
      </c>
      <c r="CI360" s="1571"/>
      <c r="CJ360" s="182">
        <v>14374100</v>
      </c>
      <c r="CK360" s="182">
        <v>5124561</v>
      </c>
      <c r="CL360" s="182"/>
      <c r="CM360" s="182">
        <v>447542</v>
      </c>
      <c r="CN360" s="236"/>
      <c r="CO360" s="182">
        <v>0</v>
      </c>
      <c r="CP360" s="182">
        <v>0</v>
      </c>
      <c r="CQ360" s="143"/>
      <c r="CR360" s="143"/>
      <c r="CS360" s="143"/>
      <c r="CT360" s="143"/>
      <c r="CU360" s="143"/>
      <c r="CV360" s="143"/>
      <c r="CW360" s="143"/>
      <c r="CX360" s="143"/>
      <c r="CY360" s="143"/>
      <c r="CZ360" s="143"/>
      <c r="DA360" s="143"/>
      <c r="DB360" s="143"/>
    </row>
    <row r="361" spans="1:106">
      <c r="A361" s="143"/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43"/>
      <c r="AU361" s="143"/>
      <c r="AV361" s="143"/>
      <c r="AW361" s="143"/>
      <c r="AX361" s="143"/>
      <c r="AY361" s="143"/>
      <c r="AZ361" s="143"/>
      <c r="BA361" s="143"/>
      <c r="BB361" s="143"/>
      <c r="BC361" s="143"/>
      <c r="BD361" s="143"/>
      <c r="BE361" s="143"/>
      <c r="BF361" s="143"/>
      <c r="BG361" s="143"/>
      <c r="BH361" s="143"/>
      <c r="BI361" s="143"/>
      <c r="BJ361" s="143"/>
      <c r="BK361" s="143"/>
      <c r="BL361" s="143"/>
      <c r="BM361" s="143"/>
      <c r="BN361" s="143"/>
      <c r="BO361" s="143"/>
      <c r="BP361" s="143"/>
      <c r="BQ361" s="143"/>
      <c r="BR361" s="143"/>
      <c r="BS361" s="143"/>
      <c r="BT361" s="143"/>
      <c r="BU361" s="143"/>
      <c r="BV361" s="143"/>
      <c r="BW361" s="143"/>
      <c r="BX361" s="143"/>
      <c r="BY361" s="143"/>
      <c r="BZ361" s="143"/>
      <c r="CA361" s="143"/>
      <c r="CB361" s="143"/>
      <c r="CC361" s="143"/>
      <c r="CD361" s="143"/>
      <c r="CE361" s="143"/>
      <c r="CF361" s="143"/>
      <c r="CG361" s="2741">
        <f t="shared" si="31"/>
        <v>23</v>
      </c>
      <c r="CH361" s="235" t="str">
        <f t="shared" si="32"/>
        <v>October</v>
      </c>
      <c r="CI361" s="1571"/>
      <c r="CJ361" s="182">
        <v>14374100</v>
      </c>
      <c r="CK361" s="182">
        <v>5124561</v>
      </c>
      <c r="CL361" s="182"/>
      <c r="CM361" s="182">
        <v>447542</v>
      </c>
      <c r="CN361" s="236"/>
      <c r="CO361" s="182">
        <v>0</v>
      </c>
      <c r="CP361" s="182">
        <v>0</v>
      </c>
      <c r="CQ361" s="143"/>
      <c r="CR361" s="143"/>
      <c r="CS361" s="143"/>
      <c r="CT361" s="143"/>
      <c r="CU361" s="143"/>
      <c r="CV361" s="143"/>
      <c r="CW361" s="143"/>
      <c r="CX361" s="143"/>
      <c r="CY361" s="143"/>
      <c r="CZ361" s="143"/>
      <c r="DA361" s="143"/>
      <c r="DB361" s="143"/>
    </row>
    <row r="362" spans="1:106">
      <c r="A362" s="143"/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43"/>
      <c r="AU362" s="143"/>
      <c r="AV362" s="143"/>
      <c r="AW362" s="143"/>
      <c r="AX362" s="143"/>
      <c r="AY362" s="143"/>
      <c r="AZ362" s="143"/>
      <c r="BA362" s="143"/>
      <c r="BB362" s="143"/>
      <c r="BC362" s="143"/>
      <c r="BD362" s="143"/>
      <c r="BE362" s="143"/>
      <c r="BF362" s="143"/>
      <c r="BG362" s="143"/>
      <c r="BH362" s="143"/>
      <c r="BI362" s="143"/>
      <c r="BJ362" s="143"/>
      <c r="BK362" s="143"/>
      <c r="BL362" s="143"/>
      <c r="BM362" s="143"/>
      <c r="BN362" s="143"/>
      <c r="BO362" s="143"/>
      <c r="BP362" s="143"/>
      <c r="BQ362" s="143"/>
      <c r="BR362" s="143"/>
      <c r="BS362" s="143"/>
      <c r="BT362" s="143"/>
      <c r="BU362" s="143"/>
      <c r="BV362" s="143"/>
      <c r="BW362" s="143"/>
      <c r="BX362" s="143"/>
      <c r="BY362" s="143"/>
      <c r="BZ362" s="143"/>
      <c r="CA362" s="143"/>
      <c r="CB362" s="143"/>
      <c r="CC362" s="143"/>
      <c r="CD362" s="143"/>
      <c r="CE362" s="143"/>
      <c r="CF362" s="143"/>
      <c r="CG362" s="2741">
        <f t="shared" si="31"/>
        <v>24</v>
      </c>
      <c r="CH362" s="235" t="str">
        <f t="shared" si="32"/>
        <v>November</v>
      </c>
      <c r="CI362" s="1571"/>
      <c r="CJ362" s="182">
        <v>14374100</v>
      </c>
      <c r="CK362" s="182">
        <v>5124561</v>
      </c>
      <c r="CL362" s="182"/>
      <c r="CM362" s="182">
        <v>447542</v>
      </c>
      <c r="CN362" s="236"/>
      <c r="CO362" s="182">
        <v>0</v>
      </c>
      <c r="CP362" s="182">
        <v>0</v>
      </c>
      <c r="CQ362" s="143"/>
      <c r="CR362" s="143"/>
      <c r="CS362" s="143"/>
      <c r="CT362" s="143"/>
      <c r="CU362" s="143"/>
      <c r="CV362" s="143"/>
      <c r="CW362" s="143"/>
      <c r="CX362" s="143"/>
      <c r="CY362" s="143"/>
      <c r="CZ362" s="143"/>
      <c r="DA362" s="143"/>
      <c r="DB362" s="143"/>
    </row>
    <row r="363" spans="1:106">
      <c r="A363" s="143"/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43"/>
      <c r="AU363" s="143"/>
      <c r="AV363" s="143"/>
      <c r="AW363" s="143"/>
      <c r="AX363" s="143"/>
      <c r="AY363" s="143"/>
      <c r="AZ363" s="143"/>
      <c r="BA363" s="143"/>
      <c r="BB363" s="143"/>
      <c r="BC363" s="143"/>
      <c r="BD363" s="143"/>
      <c r="BE363" s="143"/>
      <c r="BF363" s="143"/>
      <c r="BG363" s="143"/>
      <c r="BH363" s="143"/>
      <c r="BI363" s="143"/>
      <c r="BJ363" s="143"/>
      <c r="BK363" s="143"/>
      <c r="BL363" s="143"/>
      <c r="BM363" s="143"/>
      <c r="BN363" s="143"/>
      <c r="BO363" s="143"/>
      <c r="BP363" s="143"/>
      <c r="BQ363" s="143"/>
      <c r="BR363" s="143"/>
      <c r="BS363" s="143"/>
      <c r="BT363" s="143"/>
      <c r="BU363" s="143"/>
      <c r="BV363" s="143"/>
      <c r="BW363" s="143"/>
      <c r="BX363" s="143"/>
      <c r="BY363" s="143"/>
      <c r="BZ363" s="143"/>
      <c r="CA363" s="143"/>
      <c r="CB363" s="143"/>
      <c r="CC363" s="143"/>
      <c r="CD363" s="143"/>
      <c r="CE363" s="143"/>
      <c r="CF363" s="143"/>
      <c r="CG363" s="2741">
        <f t="shared" si="31"/>
        <v>25</v>
      </c>
      <c r="CH363" s="235" t="str">
        <f t="shared" si="32"/>
        <v>December</v>
      </c>
      <c r="CI363" s="1571"/>
      <c r="CJ363" s="182">
        <v>14374100</v>
      </c>
      <c r="CK363" s="182">
        <v>5124561</v>
      </c>
      <c r="CL363" s="182"/>
      <c r="CM363" s="182">
        <v>447542</v>
      </c>
      <c r="CN363" s="236"/>
      <c r="CO363" s="182">
        <v>0</v>
      </c>
      <c r="CP363" s="182">
        <v>0</v>
      </c>
      <c r="CQ363" s="143"/>
      <c r="CR363" s="143"/>
      <c r="CS363" s="143"/>
      <c r="CT363" s="143"/>
      <c r="CU363" s="143"/>
      <c r="CV363" s="143"/>
      <c r="CW363" s="143"/>
      <c r="CX363" s="143"/>
      <c r="CY363" s="143"/>
      <c r="CZ363" s="143"/>
      <c r="DA363" s="143"/>
      <c r="DB363" s="143"/>
    </row>
    <row r="364" spans="1:106">
      <c r="A364" s="143"/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43"/>
      <c r="AU364" s="143"/>
      <c r="AV364" s="143"/>
      <c r="AW364" s="143"/>
      <c r="AX364" s="143"/>
      <c r="AY364" s="143"/>
      <c r="AZ364" s="143"/>
      <c r="BA364" s="143"/>
      <c r="BB364" s="143"/>
      <c r="BC364" s="143"/>
      <c r="BD364" s="143"/>
      <c r="BE364" s="143"/>
      <c r="BF364" s="143"/>
      <c r="BG364" s="143"/>
      <c r="BH364" s="143"/>
      <c r="BI364" s="143"/>
      <c r="BJ364" s="143"/>
      <c r="BK364" s="143"/>
      <c r="BL364" s="143"/>
      <c r="BM364" s="143"/>
      <c r="BN364" s="143"/>
      <c r="BO364" s="143"/>
      <c r="BP364" s="143"/>
      <c r="BQ364" s="143"/>
      <c r="BR364" s="143"/>
      <c r="BS364" s="143"/>
      <c r="BT364" s="143"/>
      <c r="BU364" s="143"/>
      <c r="BV364" s="143"/>
      <c r="BW364" s="143"/>
      <c r="BX364" s="143"/>
      <c r="BY364" s="143"/>
      <c r="BZ364" s="143"/>
      <c r="CA364" s="143"/>
      <c r="CB364" s="143"/>
      <c r="CC364" s="143"/>
      <c r="CD364" s="143"/>
      <c r="CE364" s="143"/>
      <c r="CF364" s="143"/>
      <c r="CG364" s="2741">
        <f t="shared" si="31"/>
        <v>26</v>
      </c>
      <c r="CH364" s="235" t="str">
        <f t="shared" si="32"/>
        <v>January 2019</v>
      </c>
      <c r="CI364" s="1571"/>
      <c r="CJ364" s="182">
        <v>14374100</v>
      </c>
      <c r="CK364" s="182">
        <v>5124561</v>
      </c>
      <c r="CL364" s="182"/>
      <c r="CM364" s="182">
        <v>447542</v>
      </c>
      <c r="CN364" s="236"/>
      <c r="CO364" s="182">
        <v>0</v>
      </c>
      <c r="CP364" s="182">
        <v>0</v>
      </c>
      <c r="CQ364" s="143"/>
      <c r="CR364" s="143"/>
      <c r="CS364" s="143"/>
      <c r="CT364" s="143"/>
      <c r="CU364" s="143"/>
      <c r="CV364" s="143"/>
      <c r="CW364" s="143"/>
      <c r="CX364" s="143"/>
      <c r="CY364" s="143"/>
      <c r="CZ364" s="143"/>
      <c r="DA364" s="143"/>
      <c r="DB364" s="143"/>
    </row>
    <row r="365" spans="1:106">
      <c r="A365" s="143"/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43"/>
      <c r="AU365" s="143"/>
      <c r="AV365" s="143"/>
      <c r="AW365" s="143"/>
      <c r="AX365" s="143"/>
      <c r="AY365" s="143"/>
      <c r="AZ365" s="143"/>
      <c r="BA365" s="143"/>
      <c r="BB365" s="143"/>
      <c r="BC365" s="143"/>
      <c r="BD365" s="143"/>
      <c r="BE365" s="143"/>
      <c r="BF365" s="143"/>
      <c r="BG365" s="143"/>
      <c r="BH365" s="143"/>
      <c r="BI365" s="143"/>
      <c r="BJ365" s="143"/>
      <c r="BK365" s="143"/>
      <c r="BL365" s="143"/>
      <c r="BM365" s="143"/>
      <c r="BN365" s="143"/>
      <c r="BO365" s="143"/>
      <c r="BP365" s="143"/>
      <c r="BQ365" s="143"/>
      <c r="BR365" s="143"/>
      <c r="BS365" s="143"/>
      <c r="BT365" s="143"/>
      <c r="BU365" s="143"/>
      <c r="BV365" s="143"/>
      <c r="BW365" s="143"/>
      <c r="BX365" s="143"/>
      <c r="BY365" s="143"/>
      <c r="BZ365" s="143"/>
      <c r="CA365" s="143"/>
      <c r="CB365" s="143"/>
      <c r="CC365" s="143"/>
      <c r="CD365" s="143"/>
      <c r="CE365" s="143"/>
      <c r="CF365" s="143"/>
      <c r="CG365" s="2741">
        <f t="shared" si="31"/>
        <v>27</v>
      </c>
      <c r="CH365" s="235" t="str">
        <f t="shared" si="32"/>
        <v>February</v>
      </c>
      <c r="CI365" s="1571"/>
      <c r="CJ365" s="182">
        <v>14374100</v>
      </c>
      <c r="CK365" s="182">
        <v>5124561</v>
      </c>
      <c r="CL365" s="182"/>
      <c r="CM365" s="182">
        <v>447542</v>
      </c>
      <c r="CN365" s="236"/>
      <c r="CO365" s="182">
        <v>0</v>
      </c>
      <c r="CP365" s="182">
        <v>0</v>
      </c>
      <c r="CQ365" s="143"/>
      <c r="CR365" s="143"/>
      <c r="CS365" s="143"/>
      <c r="CT365" s="143"/>
      <c r="CU365" s="143"/>
      <c r="CV365" s="143"/>
      <c r="CW365" s="143"/>
      <c r="CX365" s="143"/>
      <c r="CY365" s="143"/>
      <c r="CZ365" s="143"/>
      <c r="DA365" s="143"/>
      <c r="DB365" s="143"/>
    </row>
    <row r="366" spans="1:106">
      <c r="A366" s="143"/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43"/>
      <c r="AU366" s="143"/>
      <c r="AV366" s="143"/>
      <c r="AW366" s="143"/>
      <c r="AX366" s="143"/>
      <c r="AY366" s="143"/>
      <c r="AZ366" s="143"/>
      <c r="BA366" s="143"/>
      <c r="BB366" s="143"/>
      <c r="BC366" s="143"/>
      <c r="BD366" s="143"/>
      <c r="BE366" s="143"/>
      <c r="BF366" s="143"/>
      <c r="BG366" s="143"/>
      <c r="BH366" s="143"/>
      <c r="BI366" s="143"/>
      <c r="BJ366" s="143"/>
      <c r="BK366" s="143"/>
      <c r="BL366" s="143"/>
      <c r="BM366" s="143"/>
      <c r="BN366" s="143"/>
      <c r="BO366" s="143"/>
      <c r="BP366" s="143"/>
      <c r="BQ366" s="143"/>
      <c r="BR366" s="143"/>
      <c r="BS366" s="143"/>
      <c r="BT366" s="143"/>
      <c r="BU366" s="143"/>
      <c r="BV366" s="143"/>
      <c r="BW366" s="143"/>
      <c r="BX366" s="143"/>
      <c r="BY366" s="143"/>
      <c r="BZ366" s="143"/>
      <c r="CA366" s="143"/>
      <c r="CB366" s="143"/>
      <c r="CC366" s="143"/>
      <c r="CD366" s="143"/>
      <c r="CE366" s="143"/>
      <c r="CF366" s="143"/>
      <c r="CG366" s="2741">
        <f t="shared" si="31"/>
        <v>28</v>
      </c>
      <c r="CH366" s="235" t="str">
        <f t="shared" si="32"/>
        <v>March</v>
      </c>
      <c r="CI366" s="1571"/>
      <c r="CJ366" s="182">
        <v>14374100</v>
      </c>
      <c r="CK366" s="182">
        <v>5124561</v>
      </c>
      <c r="CL366" s="182"/>
      <c r="CM366" s="182">
        <v>447542</v>
      </c>
      <c r="CN366" s="236"/>
      <c r="CO366" s="182">
        <v>0</v>
      </c>
      <c r="CP366" s="182">
        <v>0</v>
      </c>
      <c r="CQ366" s="143"/>
      <c r="CR366" s="143"/>
      <c r="CS366" s="143"/>
      <c r="CT366" s="143"/>
      <c r="CU366" s="143"/>
      <c r="CV366" s="143"/>
      <c r="CW366" s="143"/>
      <c r="CX366" s="143"/>
      <c r="CY366" s="143"/>
      <c r="CZ366" s="143"/>
      <c r="DA366" s="143"/>
      <c r="DB366" s="143"/>
    </row>
    <row r="367" spans="1:106" ht="13.5" thickBot="1">
      <c r="A367" s="143"/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43"/>
      <c r="AU367" s="143"/>
      <c r="AV367" s="143"/>
      <c r="AW367" s="143"/>
      <c r="AX367" s="143"/>
      <c r="AY367" s="143"/>
      <c r="AZ367" s="143"/>
      <c r="BA367" s="143"/>
      <c r="BB367" s="143"/>
      <c r="BC367" s="143"/>
      <c r="BD367" s="143"/>
      <c r="BE367" s="143"/>
      <c r="BF367" s="143"/>
      <c r="BG367" s="143"/>
      <c r="BH367" s="143"/>
      <c r="BI367" s="143"/>
      <c r="BJ367" s="143"/>
      <c r="BK367" s="143"/>
      <c r="BL367" s="143"/>
      <c r="BM367" s="143"/>
      <c r="BN367" s="143"/>
      <c r="BO367" s="143"/>
      <c r="BP367" s="143"/>
      <c r="BQ367" s="143"/>
      <c r="BR367" s="143"/>
      <c r="BS367" s="143"/>
      <c r="BT367" s="143"/>
      <c r="BU367" s="143"/>
      <c r="BV367" s="143"/>
      <c r="BW367" s="143"/>
      <c r="BX367" s="143"/>
      <c r="BY367" s="143"/>
      <c r="BZ367" s="143"/>
      <c r="CA367" s="143"/>
      <c r="CB367" s="143"/>
      <c r="CC367" s="143"/>
      <c r="CD367" s="143"/>
      <c r="CE367" s="143"/>
      <c r="CF367" s="143"/>
      <c r="CG367" s="2741">
        <f t="shared" si="31"/>
        <v>29</v>
      </c>
      <c r="CH367" s="2741" t="s">
        <v>1929</v>
      </c>
      <c r="CI367" s="1571"/>
      <c r="CJ367" s="191">
        <f>SUM(CJ354:CJ366)</f>
        <v>186863300</v>
      </c>
      <c r="CK367" s="191">
        <f>SUM(CK354:CK366)</f>
        <v>66619293</v>
      </c>
      <c r="CL367" s="191"/>
      <c r="CM367" s="191">
        <f>SUM(CM354:CM366)</f>
        <v>5818046</v>
      </c>
      <c r="CN367" s="1460"/>
      <c r="CO367" s="191">
        <f>SUM(CO354:CO366)</f>
        <v>0</v>
      </c>
      <c r="CP367" s="191">
        <f>SUM(CP354:CP366)</f>
        <v>0</v>
      </c>
      <c r="CQ367" s="143"/>
      <c r="CR367" s="143"/>
      <c r="CS367" s="143"/>
      <c r="CT367" s="143"/>
      <c r="CU367" s="143"/>
      <c r="CV367" s="143"/>
      <c r="CW367" s="143"/>
      <c r="CX367" s="143"/>
      <c r="CY367" s="143"/>
      <c r="CZ367" s="143"/>
      <c r="DA367" s="143"/>
      <c r="DB367" s="143"/>
    </row>
    <row r="368" spans="1:106" ht="13.5" thickTop="1">
      <c r="A368" s="143"/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3"/>
      <c r="BB368" s="143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3"/>
      <c r="BN368" s="143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3"/>
      <c r="BZ368" s="143"/>
      <c r="CA368" s="143"/>
      <c r="CB368" s="143"/>
      <c r="CC368" s="143"/>
      <c r="CD368" s="143"/>
      <c r="CE368" s="143"/>
      <c r="CF368" s="143"/>
      <c r="CG368" s="2741">
        <f t="shared" si="31"/>
        <v>30</v>
      </c>
      <c r="CH368" s="1571"/>
      <c r="CI368" s="1571"/>
      <c r="CJ368" s="239"/>
      <c r="CK368" s="239"/>
      <c r="CL368" s="239"/>
      <c r="CM368" s="239"/>
      <c r="CN368" s="238"/>
      <c r="CO368" s="239"/>
      <c r="CP368" s="239"/>
      <c r="CQ368" s="143"/>
      <c r="CR368" s="143"/>
      <c r="CS368" s="143"/>
      <c r="CT368" s="143"/>
      <c r="CU368" s="143"/>
      <c r="CV368" s="143"/>
      <c r="CW368" s="143"/>
      <c r="CX368" s="143"/>
      <c r="CY368" s="143"/>
      <c r="CZ368" s="143"/>
      <c r="DA368" s="143"/>
      <c r="DB368" s="143"/>
    </row>
    <row r="369" spans="1:106" ht="13.5" thickBot="1">
      <c r="A369" s="143"/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3"/>
      <c r="AZ369" s="143"/>
      <c r="BA369" s="143"/>
      <c r="BB369" s="143"/>
      <c r="BC369" s="143"/>
      <c r="BD369" s="143"/>
      <c r="BE369" s="143"/>
      <c r="BF369" s="143"/>
      <c r="BG369" s="143"/>
      <c r="BH369" s="143"/>
      <c r="BI369" s="143"/>
      <c r="BJ369" s="143"/>
      <c r="BK369" s="143"/>
      <c r="BL369" s="143"/>
      <c r="BM369" s="143"/>
      <c r="BN369" s="143"/>
      <c r="BO369" s="143"/>
      <c r="BP369" s="143"/>
      <c r="BQ369" s="143"/>
      <c r="BR369" s="143"/>
      <c r="BS369" s="143"/>
      <c r="BT369" s="143"/>
      <c r="BU369" s="143"/>
      <c r="BV369" s="143"/>
      <c r="BW369" s="143"/>
      <c r="BX369" s="143"/>
      <c r="BY369" s="143"/>
      <c r="BZ369" s="143"/>
      <c r="CA369" s="143"/>
      <c r="CB369" s="143"/>
      <c r="CC369" s="143"/>
      <c r="CD369" s="143"/>
      <c r="CE369" s="143"/>
      <c r="CF369" s="143"/>
      <c r="CG369" s="2741">
        <f t="shared" si="31"/>
        <v>31</v>
      </c>
      <c r="CH369" s="1581" t="s">
        <v>371</v>
      </c>
      <c r="CI369" s="1571"/>
      <c r="CJ369" s="1301">
        <f t="shared" ref="CJ369:CP369" si="33">CJ367/13</f>
        <v>14374100</v>
      </c>
      <c r="CK369" s="1301">
        <f t="shared" si="33"/>
        <v>5124561</v>
      </c>
      <c r="CL369" s="1301"/>
      <c r="CM369" s="1301">
        <f t="shared" si="33"/>
        <v>447542</v>
      </c>
      <c r="CN369" s="1460"/>
      <c r="CO369" s="1301">
        <f>CO367/13</f>
        <v>0</v>
      </c>
      <c r="CP369" s="1301">
        <f t="shared" si="33"/>
        <v>0</v>
      </c>
      <c r="CQ369" s="143"/>
      <c r="CR369" s="143"/>
      <c r="CS369" s="143"/>
      <c r="CT369" s="143"/>
      <c r="CU369" s="143"/>
      <c r="CV369" s="143"/>
      <c r="CW369" s="143"/>
      <c r="CX369" s="143"/>
      <c r="CY369" s="143"/>
      <c r="CZ369" s="143"/>
      <c r="DA369" s="143"/>
      <c r="DB369" s="143"/>
    </row>
    <row r="370" spans="1:106" ht="13.5" thickTop="1">
      <c r="A370" s="143"/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3"/>
      <c r="AZ370" s="143"/>
      <c r="BA370" s="143"/>
      <c r="BB370" s="143"/>
      <c r="BC370" s="143"/>
      <c r="BD370" s="143"/>
      <c r="BE370" s="143"/>
      <c r="BF370" s="143"/>
      <c r="BG370" s="143"/>
      <c r="BH370" s="143"/>
      <c r="BI370" s="143"/>
      <c r="BJ370" s="143"/>
      <c r="BK370" s="143"/>
      <c r="BL370" s="143"/>
      <c r="BM370" s="143"/>
      <c r="BN370" s="143"/>
      <c r="BO370" s="143"/>
      <c r="BP370" s="143"/>
      <c r="BQ370" s="143"/>
      <c r="BR370" s="143"/>
      <c r="BS370" s="143"/>
      <c r="BT370" s="143"/>
      <c r="BU370" s="143"/>
      <c r="BV370" s="143"/>
      <c r="BW370" s="143"/>
      <c r="BX370" s="143"/>
      <c r="BY370" s="143"/>
      <c r="BZ370" s="143"/>
      <c r="CA370" s="143"/>
      <c r="CB370" s="143"/>
      <c r="CC370" s="143"/>
      <c r="CD370" s="143"/>
      <c r="CE370" s="143"/>
      <c r="CF370" s="143"/>
      <c r="CG370" s="143"/>
      <c r="CH370" s="228"/>
      <c r="CI370" s="228"/>
      <c r="CJ370" s="239"/>
      <c r="CK370" s="239"/>
      <c r="CL370" s="239"/>
      <c r="CM370" s="239"/>
      <c r="CN370" s="238"/>
      <c r="CO370" s="239"/>
      <c r="CP370" s="239"/>
      <c r="CQ370" s="143"/>
      <c r="CR370" s="143"/>
      <c r="CS370" s="143"/>
      <c r="CT370" s="143"/>
      <c r="CU370" s="143"/>
      <c r="CV370" s="143"/>
      <c r="CW370" s="143"/>
      <c r="CX370" s="143"/>
      <c r="CY370" s="143"/>
      <c r="CZ370" s="143"/>
      <c r="DA370" s="143"/>
      <c r="DB370" s="143"/>
    </row>
    <row r="371" spans="1:106">
      <c r="A371" s="143"/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  <c r="BA371" s="143"/>
      <c r="BB371" s="143"/>
      <c r="BC371" s="143"/>
      <c r="BD371" s="143"/>
      <c r="BE371" s="143"/>
      <c r="BF371" s="143"/>
      <c r="BG371" s="143"/>
      <c r="BH371" s="143"/>
      <c r="BI371" s="143"/>
      <c r="BJ371" s="143"/>
      <c r="BK371" s="143"/>
      <c r="BL371" s="143"/>
      <c r="BM371" s="143"/>
      <c r="BN371" s="143"/>
      <c r="BO371" s="143"/>
      <c r="BP371" s="143"/>
      <c r="BQ371" s="143"/>
      <c r="BR371" s="143"/>
      <c r="BS371" s="143"/>
      <c r="BT371" s="143"/>
      <c r="BU371" s="143"/>
      <c r="BV371" s="143"/>
      <c r="BW371" s="143"/>
      <c r="BX371" s="143"/>
      <c r="BY371" s="143"/>
      <c r="BZ371" s="143"/>
      <c r="CA371" s="143"/>
      <c r="CB371" s="143"/>
      <c r="CC371" s="143"/>
      <c r="CD371" s="143"/>
      <c r="CE371" s="143"/>
      <c r="CF371" s="143"/>
      <c r="CG371" s="143"/>
      <c r="CH371" s="228"/>
      <c r="CI371" s="228"/>
      <c r="CJ371" s="2741" t="s">
        <v>536</v>
      </c>
      <c r="CK371" s="2741" t="s">
        <v>536</v>
      </c>
      <c r="CL371" s="2741"/>
      <c r="CM371" s="2741" t="s">
        <v>536</v>
      </c>
      <c r="CN371" s="232"/>
      <c r="CO371" s="2741" t="s">
        <v>536</v>
      </c>
      <c r="CP371" s="2741" t="s">
        <v>536</v>
      </c>
      <c r="CQ371" s="143"/>
      <c r="CR371" s="143"/>
      <c r="CS371" s="143"/>
      <c r="CT371" s="143"/>
      <c r="CU371" s="143"/>
      <c r="CV371" s="143"/>
      <c r="CW371" s="143"/>
      <c r="CX371" s="143"/>
      <c r="CY371" s="143"/>
      <c r="CZ371" s="143"/>
      <c r="DA371" s="143"/>
      <c r="DB371" s="143"/>
    </row>
    <row r="372" spans="1:106">
      <c r="A372" s="143"/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  <c r="AU372" s="143"/>
      <c r="AV372" s="143"/>
      <c r="AW372" s="143"/>
      <c r="AX372" s="143"/>
      <c r="AY372" s="143"/>
      <c r="AZ372" s="143"/>
      <c r="BA372" s="143"/>
      <c r="BB372" s="143"/>
      <c r="BC372" s="143"/>
      <c r="BD372" s="143"/>
      <c r="BE372" s="143"/>
      <c r="BF372" s="143"/>
      <c r="BG372" s="143"/>
      <c r="BH372" s="143"/>
      <c r="BI372" s="143"/>
      <c r="BJ372" s="143"/>
      <c r="BK372" s="143"/>
      <c r="BL372" s="143"/>
      <c r="BM372" s="143"/>
      <c r="BN372" s="143"/>
      <c r="BO372" s="143"/>
      <c r="BP372" s="143"/>
      <c r="BQ372" s="143"/>
      <c r="BR372" s="143"/>
      <c r="BS372" s="143"/>
      <c r="BT372" s="143"/>
      <c r="BU372" s="143"/>
      <c r="BV372" s="143"/>
      <c r="BW372" s="143"/>
      <c r="BX372" s="143"/>
      <c r="BY372" s="143"/>
      <c r="BZ372" s="143"/>
      <c r="CA372" s="143"/>
      <c r="CB372" s="143"/>
      <c r="CC372" s="143"/>
      <c r="CD372" s="143"/>
      <c r="CE372" s="143"/>
      <c r="CF372" s="143"/>
      <c r="CG372" s="143"/>
      <c r="CH372" s="228"/>
      <c r="CI372" s="228"/>
      <c r="CJ372" s="240" t="s">
        <v>537</v>
      </c>
      <c r="CK372" s="240" t="s">
        <v>537</v>
      </c>
      <c r="CL372" s="240"/>
      <c r="CM372" s="240" t="s">
        <v>537</v>
      </c>
      <c r="CN372" s="192"/>
      <c r="CO372" s="240" t="s">
        <v>537</v>
      </c>
      <c r="CP372" s="240" t="s">
        <v>537</v>
      </c>
      <c r="CQ372" s="143"/>
      <c r="CR372" s="143"/>
      <c r="CS372" s="143"/>
      <c r="CT372" s="143"/>
      <c r="CU372" s="143"/>
      <c r="CV372" s="143"/>
      <c r="CW372" s="143"/>
      <c r="CX372" s="143"/>
      <c r="CY372" s="143"/>
      <c r="CZ372" s="143"/>
      <c r="DA372" s="143"/>
      <c r="DB372" s="143"/>
    </row>
    <row r="373" spans="1:106">
      <c r="A373" s="143"/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3"/>
      <c r="AZ373" s="143"/>
      <c r="BA373" s="143"/>
      <c r="BB373" s="143"/>
      <c r="BC373" s="143"/>
      <c r="BD373" s="143"/>
      <c r="BE373" s="143"/>
      <c r="BF373" s="143"/>
      <c r="BG373" s="143"/>
      <c r="BH373" s="143"/>
      <c r="BI373" s="143"/>
      <c r="BJ373" s="143"/>
      <c r="BK373" s="143"/>
      <c r="BL373" s="143"/>
      <c r="BM373" s="143"/>
      <c r="BN373" s="143"/>
      <c r="BO373" s="143"/>
      <c r="BP373" s="143"/>
      <c r="BQ373" s="143"/>
      <c r="BR373" s="143"/>
      <c r="BS373" s="143"/>
      <c r="BT373" s="143"/>
      <c r="BU373" s="143"/>
      <c r="BV373" s="143"/>
      <c r="BW373" s="143"/>
      <c r="BX373" s="143"/>
      <c r="BY373" s="143"/>
      <c r="BZ373" s="143"/>
      <c r="CA373" s="143"/>
      <c r="CB373" s="143"/>
      <c r="CC373" s="143"/>
      <c r="CD373" s="143"/>
      <c r="CE373" s="143"/>
      <c r="CF373" s="143"/>
      <c r="CG373" s="143"/>
      <c r="CH373" s="228"/>
      <c r="CI373" s="228"/>
      <c r="CJ373" s="240" t="s">
        <v>996</v>
      </c>
      <c r="CK373" s="240" t="s">
        <v>996</v>
      </c>
      <c r="CL373" s="240"/>
      <c r="CM373" s="240" t="s">
        <v>996</v>
      </c>
      <c r="CN373" s="192"/>
      <c r="CO373" s="240" t="s">
        <v>996</v>
      </c>
      <c r="CP373" s="240" t="s">
        <v>996</v>
      </c>
      <c r="CQ373" s="143"/>
      <c r="CR373" s="143"/>
      <c r="CS373" s="143"/>
      <c r="CT373" s="143"/>
      <c r="CU373" s="143"/>
      <c r="CV373" s="143"/>
      <c r="CW373" s="143"/>
      <c r="CX373" s="143"/>
      <c r="CY373" s="143"/>
      <c r="CZ373" s="143"/>
      <c r="DA373" s="143"/>
      <c r="DB373" s="143"/>
    </row>
    <row r="374" spans="1:106">
      <c r="A374" s="143"/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43"/>
      <c r="AU374" s="143"/>
      <c r="AV374" s="143"/>
      <c r="AW374" s="143"/>
      <c r="AX374" s="143"/>
      <c r="AY374" s="143"/>
      <c r="AZ374" s="143"/>
      <c r="BA374" s="143"/>
      <c r="BB374" s="143"/>
      <c r="BC374" s="143"/>
      <c r="BD374" s="143"/>
      <c r="BE374" s="143"/>
      <c r="BF374" s="143"/>
      <c r="BG374" s="143"/>
      <c r="BH374" s="143"/>
      <c r="BI374" s="143"/>
      <c r="BJ374" s="143"/>
      <c r="BK374" s="143"/>
      <c r="BL374" s="143"/>
      <c r="BM374" s="143"/>
      <c r="BN374" s="143"/>
      <c r="BO374" s="143"/>
      <c r="BP374" s="143"/>
      <c r="BQ374" s="143"/>
      <c r="BR374" s="143"/>
      <c r="BS374" s="143"/>
      <c r="BT374" s="143"/>
      <c r="BU374" s="143"/>
      <c r="BV374" s="143"/>
      <c r="BW374" s="143"/>
      <c r="BX374" s="143"/>
      <c r="BY374" s="143"/>
      <c r="BZ374" s="143"/>
      <c r="CA374" s="143"/>
      <c r="CB374" s="143"/>
      <c r="CC374" s="143"/>
      <c r="CD374" s="143"/>
      <c r="CE374" s="143"/>
      <c r="CF374" s="143"/>
      <c r="CG374" s="2741"/>
      <c r="CH374" s="1571"/>
      <c r="CI374" s="1571"/>
      <c r="CJ374" s="243"/>
      <c r="CK374" s="182"/>
      <c r="CL374" s="1459"/>
      <c r="CM374" s="182"/>
      <c r="CN374" s="236"/>
      <c r="CO374" s="143"/>
      <c r="CP374" s="143"/>
      <c r="CQ374" s="143"/>
      <c r="CR374" s="143"/>
      <c r="CS374" s="143"/>
      <c r="CT374" s="143"/>
      <c r="CU374" s="143"/>
      <c r="CV374" s="143"/>
      <c r="CW374" s="143"/>
      <c r="CX374" s="143"/>
      <c r="CY374" s="143"/>
      <c r="CZ374" s="143"/>
      <c r="DA374" s="143"/>
      <c r="DB374" s="143"/>
    </row>
    <row r="375" spans="1:106">
      <c r="A375" s="143"/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3"/>
      <c r="BB375" s="143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3"/>
      <c r="BN375" s="143"/>
      <c r="BO375" s="143"/>
      <c r="BP375" s="143"/>
      <c r="BQ375" s="143"/>
      <c r="BR375" s="143"/>
      <c r="BS375" s="143"/>
      <c r="BT375" s="143"/>
      <c r="BU375" s="143"/>
      <c r="BV375" s="143"/>
      <c r="BW375" s="143"/>
      <c r="BX375" s="143"/>
      <c r="BY375" s="143"/>
      <c r="BZ375" s="143"/>
      <c r="CA375" s="143"/>
      <c r="CB375" s="143"/>
      <c r="CC375" s="143"/>
      <c r="CD375" s="143"/>
      <c r="CE375" s="143"/>
      <c r="CF375" s="143"/>
      <c r="CG375" s="2741"/>
      <c r="CH375" s="1571" t="s">
        <v>1078</v>
      </c>
      <c r="CI375" s="1571"/>
      <c r="CJ375" s="243"/>
      <c r="CK375" s="182"/>
      <c r="CL375" s="1459"/>
      <c r="CM375" s="182"/>
      <c r="CN375" s="236"/>
      <c r="CO375" s="143"/>
      <c r="CP375" s="143"/>
      <c r="CQ375" s="143"/>
      <c r="CR375" s="143"/>
      <c r="CS375" s="143"/>
      <c r="CT375" s="143"/>
      <c r="CU375" s="143"/>
      <c r="CV375" s="143"/>
      <c r="CW375" s="143"/>
      <c r="CX375" s="143"/>
      <c r="CY375" s="143"/>
      <c r="CZ375" s="143"/>
      <c r="DA375" s="143"/>
      <c r="DB375" s="143"/>
    </row>
    <row r="376" spans="1:106">
      <c r="A376" s="143"/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3"/>
      <c r="BB376" s="143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3"/>
      <c r="BN376" s="143"/>
      <c r="BO376" s="143"/>
      <c r="BP376" s="143"/>
      <c r="BQ376" s="143"/>
      <c r="BR376" s="143"/>
      <c r="BS376" s="143"/>
      <c r="BT376" s="143"/>
      <c r="BU376" s="143"/>
      <c r="BV376" s="143"/>
      <c r="BW376" s="143"/>
      <c r="BX376" s="143"/>
      <c r="BY376" s="143"/>
      <c r="BZ376" s="143"/>
      <c r="CA376" s="143"/>
      <c r="CB376" s="143"/>
      <c r="CC376" s="143"/>
      <c r="CD376" s="143"/>
      <c r="CE376" s="143"/>
      <c r="CF376" s="143"/>
      <c r="CG376" s="2741"/>
      <c r="CH376" s="1571" t="s">
        <v>3306</v>
      </c>
      <c r="CI376" s="1571"/>
      <c r="CJ376" s="1571"/>
      <c r="CK376" s="1571"/>
      <c r="CL376" s="1571"/>
      <c r="CM376" s="1571"/>
      <c r="CN376" s="234"/>
      <c r="CO376" s="143"/>
      <c r="CP376" s="143"/>
      <c r="CQ376" s="143"/>
      <c r="CR376" s="143"/>
      <c r="CS376" s="143"/>
      <c r="CT376" s="143"/>
      <c r="CU376" s="143"/>
      <c r="CV376" s="143"/>
      <c r="CW376" s="143"/>
      <c r="CX376" s="143"/>
      <c r="CY376" s="143"/>
      <c r="CZ376" s="143"/>
      <c r="DA376" s="143"/>
      <c r="DB376" s="143"/>
    </row>
    <row r="377" spans="1:106">
      <c r="A377" s="143"/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43"/>
      <c r="AU377" s="143"/>
      <c r="AV377" s="143"/>
      <c r="AW377" s="143"/>
      <c r="AX377" s="143"/>
      <c r="AY377" s="143"/>
      <c r="AZ377" s="143"/>
      <c r="BA377" s="143"/>
      <c r="BB377" s="143"/>
      <c r="BC377" s="143"/>
      <c r="BD377" s="143"/>
      <c r="BE377" s="143"/>
      <c r="BF377" s="143"/>
      <c r="BG377" s="143"/>
      <c r="BH377" s="143"/>
      <c r="BI377" s="143"/>
      <c r="BJ377" s="143"/>
      <c r="BK377" s="143"/>
      <c r="BL377" s="143"/>
      <c r="BM377" s="143"/>
      <c r="BN377" s="143"/>
      <c r="BO377" s="143"/>
      <c r="BP377" s="143"/>
      <c r="BQ377" s="143"/>
      <c r="BR377" s="143"/>
      <c r="BS377" s="143"/>
      <c r="BT377" s="143"/>
      <c r="BU377" s="143"/>
      <c r="BV377" s="143"/>
      <c r="BW377" s="143"/>
      <c r="BX377" s="143"/>
      <c r="BY377" s="143"/>
      <c r="BZ377" s="143"/>
      <c r="CA377" s="143"/>
      <c r="CB377" s="143"/>
      <c r="CC377" s="143"/>
      <c r="CD377" s="143"/>
      <c r="CE377" s="143"/>
      <c r="CF377" s="143"/>
      <c r="CG377" s="173"/>
      <c r="CH377" s="1571"/>
      <c r="CI377" s="1571"/>
      <c r="CJ377" s="1571"/>
      <c r="CK377" s="1571"/>
      <c r="CL377" s="1571"/>
      <c r="CM377" s="1571"/>
      <c r="CN377" s="234"/>
      <c r="CO377" s="1571"/>
      <c r="CP377" s="143"/>
      <c r="CQ377" s="143"/>
      <c r="CR377" s="143"/>
      <c r="CS377" s="143"/>
      <c r="CT377" s="143"/>
      <c r="CU377" s="143"/>
      <c r="CV377" s="143"/>
      <c r="CW377" s="143"/>
      <c r="CX377" s="143"/>
      <c r="CY377" s="143"/>
      <c r="CZ377" s="143"/>
      <c r="DA377" s="143"/>
      <c r="DB377" s="143"/>
    </row>
    <row r="378" spans="1:106">
      <c r="A378" s="143"/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  <c r="BA378" s="143"/>
      <c r="BB378" s="143"/>
      <c r="BC378" s="143"/>
      <c r="BD378" s="143"/>
      <c r="BE378" s="143"/>
      <c r="BF378" s="143"/>
      <c r="BG378" s="143"/>
      <c r="BH378" s="143"/>
      <c r="BI378" s="143"/>
      <c r="BJ378" s="143"/>
      <c r="BK378" s="143"/>
      <c r="BL378" s="143"/>
      <c r="BM378" s="143"/>
      <c r="BN378" s="143"/>
      <c r="BO378" s="143"/>
      <c r="BP378" s="143"/>
      <c r="BQ378" s="143"/>
      <c r="BR378" s="143"/>
      <c r="BS378" s="143"/>
      <c r="BT378" s="143"/>
      <c r="BU378" s="143"/>
      <c r="BV378" s="143"/>
      <c r="BW378" s="143"/>
      <c r="BX378" s="143"/>
      <c r="BY378" s="143"/>
      <c r="BZ378" s="143"/>
      <c r="CA378" s="143"/>
      <c r="CB378" s="143"/>
      <c r="CC378" s="143"/>
      <c r="CD378" s="143"/>
      <c r="CE378" s="143"/>
      <c r="CF378" s="143"/>
      <c r="CG378" s="143"/>
      <c r="CH378" s="143"/>
      <c r="CI378" s="143"/>
      <c r="CJ378" s="143"/>
      <c r="CK378" s="143"/>
      <c r="CL378" s="143"/>
      <c r="CM378" s="143"/>
      <c r="CN378" s="170"/>
      <c r="CO378" s="143"/>
      <c r="CP378" s="143"/>
      <c r="CQ378" s="143"/>
      <c r="CR378" s="143"/>
      <c r="CS378" s="143"/>
      <c r="CT378" s="143"/>
      <c r="CU378" s="143"/>
      <c r="CV378" s="143"/>
      <c r="CW378" s="143"/>
      <c r="CX378" s="143"/>
      <c r="CY378" s="143"/>
      <c r="CZ378" s="143"/>
      <c r="DA378" s="143"/>
      <c r="DB378" s="143"/>
    </row>
    <row r="379" spans="1:106">
      <c r="A379" s="143"/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43"/>
      <c r="AU379" s="143"/>
      <c r="AV379" s="143"/>
      <c r="AW379" s="143"/>
      <c r="AX379" s="143"/>
      <c r="AY379" s="143"/>
      <c r="AZ379" s="143"/>
      <c r="BA379" s="143"/>
      <c r="BB379" s="143"/>
      <c r="BC379" s="143"/>
      <c r="BD379" s="143"/>
      <c r="BE379" s="143"/>
      <c r="BF379" s="143"/>
      <c r="BG379" s="143"/>
      <c r="BH379" s="143"/>
      <c r="BI379" s="143"/>
      <c r="BJ379" s="143"/>
      <c r="BK379" s="143"/>
      <c r="BL379" s="143"/>
      <c r="BM379" s="143"/>
      <c r="BN379" s="143"/>
      <c r="BO379" s="143"/>
      <c r="BP379" s="143"/>
      <c r="BQ379" s="143"/>
      <c r="BR379" s="143"/>
      <c r="BS379" s="143"/>
      <c r="BT379" s="143"/>
      <c r="BU379" s="143"/>
      <c r="BV379" s="143"/>
      <c r="BW379" s="143"/>
      <c r="BX379" s="143"/>
      <c r="BY379" s="143"/>
      <c r="BZ379" s="143"/>
      <c r="CA379" s="143"/>
      <c r="CB379" s="143"/>
      <c r="CC379" s="143"/>
      <c r="CD379" s="143"/>
      <c r="CE379" s="143"/>
      <c r="CF379" s="143"/>
      <c r="CG379" s="145"/>
      <c r="CH379" s="143"/>
      <c r="CI379" s="143"/>
      <c r="CJ379" s="143"/>
      <c r="CK379" s="143"/>
      <c r="CL379" s="143"/>
      <c r="CM379" s="143"/>
      <c r="CN379" s="170"/>
      <c r="CO379" s="143"/>
      <c r="CP379" s="143"/>
      <c r="CQ379" s="143"/>
      <c r="CR379" s="1581" t="str">
        <f>COMPANY</f>
        <v>DUKE ENERGY KENTUCKY, INC.</v>
      </c>
      <c r="CS379" s="228"/>
      <c r="CT379" s="228"/>
      <c r="CU379" s="1571"/>
      <c r="CV379" s="143"/>
      <c r="CW379" s="143"/>
      <c r="CX379" s="143"/>
      <c r="CY379" s="143"/>
      <c r="CZ379" s="1581" t="s">
        <v>989</v>
      </c>
      <c r="DA379" s="143"/>
      <c r="DB379" s="143"/>
    </row>
    <row r="380" spans="1:106">
      <c r="A380" s="143"/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43"/>
      <c r="AU380" s="143"/>
      <c r="AV380" s="143"/>
      <c r="AW380" s="143"/>
      <c r="AX380" s="143"/>
      <c r="AY380" s="143"/>
      <c r="AZ380" s="143"/>
      <c r="BA380" s="143"/>
      <c r="BB380" s="143"/>
      <c r="BC380" s="143"/>
      <c r="BD380" s="143"/>
      <c r="BE380" s="143"/>
      <c r="BF380" s="143"/>
      <c r="BG380" s="143"/>
      <c r="BH380" s="143"/>
      <c r="BI380" s="143"/>
      <c r="BJ380" s="143"/>
      <c r="BK380" s="143"/>
      <c r="BL380" s="143"/>
      <c r="BM380" s="143"/>
      <c r="BN380" s="143"/>
      <c r="BO380" s="143"/>
      <c r="BP380" s="143"/>
      <c r="BQ380" s="143"/>
      <c r="BR380" s="143"/>
      <c r="BS380" s="143"/>
      <c r="BT380" s="143"/>
      <c r="BU380" s="143"/>
      <c r="BV380" s="143"/>
      <c r="BW380" s="143"/>
      <c r="BX380" s="143"/>
      <c r="BY380" s="143"/>
      <c r="BZ380" s="143"/>
      <c r="CA380" s="143"/>
      <c r="CB380" s="143"/>
      <c r="CC380" s="143"/>
      <c r="CD380" s="143"/>
      <c r="CE380" s="143"/>
      <c r="CF380" s="143"/>
      <c r="CG380" s="145"/>
      <c r="CH380" s="143"/>
      <c r="CI380" s="143"/>
      <c r="CJ380" s="143"/>
      <c r="CK380" s="143"/>
      <c r="CL380" s="143"/>
      <c r="CM380" s="143"/>
      <c r="CN380" s="170"/>
      <c r="CO380" s="143"/>
      <c r="CP380" s="143"/>
      <c r="CQ380" s="143"/>
      <c r="CR380" s="1581" t="str">
        <f>DEPT</f>
        <v>ELECTRIC DEPARTMENT</v>
      </c>
      <c r="CS380" s="228"/>
      <c r="CT380" s="228"/>
      <c r="CU380" s="1459"/>
      <c r="CV380" s="143"/>
      <c r="CW380" s="143"/>
      <c r="CX380" s="143"/>
      <c r="CY380" s="143"/>
      <c r="CZ380" s="173" t="s">
        <v>622</v>
      </c>
      <c r="DA380" s="143"/>
      <c r="DB380" s="143"/>
    </row>
    <row r="381" spans="1:106">
      <c r="A381" s="143"/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43"/>
      <c r="AU381" s="143"/>
      <c r="AV381" s="143"/>
      <c r="AW381" s="143"/>
      <c r="AX381" s="143"/>
      <c r="AY381" s="143"/>
      <c r="AZ381" s="143"/>
      <c r="BA381" s="143"/>
      <c r="BB381" s="143"/>
      <c r="BC381" s="143"/>
      <c r="BD381" s="143"/>
      <c r="BE381" s="143"/>
      <c r="BF381" s="143"/>
      <c r="BG381" s="143"/>
      <c r="BH381" s="143"/>
      <c r="BI381" s="143"/>
      <c r="BJ381" s="143"/>
      <c r="BK381" s="143"/>
      <c r="BL381" s="143"/>
      <c r="BM381" s="143"/>
      <c r="BN381" s="143"/>
      <c r="BO381" s="143"/>
      <c r="BP381" s="143"/>
      <c r="BQ381" s="143"/>
      <c r="BR381" s="143"/>
      <c r="BS381" s="143"/>
      <c r="BT381" s="143"/>
      <c r="BU381" s="143"/>
      <c r="BV381" s="143"/>
      <c r="BW381" s="143"/>
      <c r="BX381" s="143"/>
      <c r="BY381" s="143"/>
      <c r="BZ381" s="143"/>
      <c r="CA381" s="143"/>
      <c r="CB381" s="143"/>
      <c r="CC381" s="143"/>
      <c r="CD381" s="143"/>
      <c r="CE381" s="143"/>
      <c r="CF381" s="143"/>
      <c r="CG381" s="145"/>
      <c r="CH381" s="143"/>
      <c r="CI381" s="143"/>
      <c r="CJ381" s="143"/>
      <c r="CK381" s="143"/>
      <c r="CL381" s="143"/>
      <c r="CM381" s="143"/>
      <c r="CN381" s="170"/>
      <c r="CO381" s="143"/>
      <c r="CP381" s="143"/>
      <c r="CQ381" s="143"/>
      <c r="CR381" s="173" t="str">
        <f>CASE</f>
        <v>CASE NO. 2017-00321</v>
      </c>
      <c r="CS381" s="228"/>
      <c r="CT381" s="228"/>
      <c r="CU381" s="1459"/>
      <c r="CV381" s="143"/>
      <c r="CW381" s="143"/>
      <c r="CX381" s="143"/>
      <c r="CY381" s="143"/>
      <c r="CZ381" s="127" t="s">
        <v>2709</v>
      </c>
      <c r="DA381" s="143"/>
      <c r="DB381" s="143"/>
    </row>
    <row r="382" spans="1:106">
      <c r="A382" s="143"/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43"/>
      <c r="AU382" s="143"/>
      <c r="AV382" s="143"/>
      <c r="AW382" s="143"/>
      <c r="AX382" s="143"/>
      <c r="AY382" s="143"/>
      <c r="AZ382" s="143"/>
      <c r="BA382" s="143"/>
      <c r="BB382" s="143"/>
      <c r="BC382" s="143"/>
      <c r="BD382" s="143"/>
      <c r="BE382" s="143"/>
      <c r="BF382" s="143"/>
      <c r="BG382" s="143"/>
      <c r="BH382" s="143"/>
      <c r="BI382" s="143"/>
      <c r="BJ382" s="143"/>
      <c r="BK382" s="143"/>
      <c r="BL382" s="143"/>
      <c r="BM382" s="143"/>
      <c r="BN382" s="143"/>
      <c r="BO382" s="143"/>
      <c r="BP382" s="143"/>
      <c r="BQ382" s="143"/>
      <c r="BR382" s="143"/>
      <c r="BS382" s="143"/>
      <c r="BT382" s="143"/>
      <c r="BU382" s="143"/>
      <c r="BV382" s="143"/>
      <c r="BW382" s="143"/>
      <c r="BX382" s="143"/>
      <c r="BY382" s="143"/>
      <c r="BZ382" s="143"/>
      <c r="CA382" s="143"/>
      <c r="CB382" s="143"/>
      <c r="CC382" s="143"/>
      <c r="CD382" s="143"/>
      <c r="CE382" s="143"/>
      <c r="CF382" s="143"/>
      <c r="CG382" s="145"/>
      <c r="CH382" s="143"/>
      <c r="CI382" s="143"/>
      <c r="CJ382" s="143"/>
      <c r="CK382" s="143"/>
      <c r="CL382" s="143"/>
      <c r="CM382" s="143"/>
      <c r="CN382" s="170"/>
      <c r="CO382" s="143"/>
      <c r="CP382" s="143"/>
      <c r="CQ382" s="143"/>
      <c r="CR382" s="174" t="s">
        <v>3347</v>
      </c>
      <c r="CS382" s="228"/>
      <c r="CT382" s="228"/>
      <c r="CU382" s="1459"/>
      <c r="CV382" s="143"/>
      <c r="CW382" s="143"/>
      <c r="CX382" s="143"/>
      <c r="CY382" s="143"/>
      <c r="CZ382" s="143"/>
      <c r="DA382" s="143"/>
      <c r="DB382" s="143"/>
    </row>
    <row r="383" spans="1:106">
      <c r="A383" s="143"/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43"/>
      <c r="AU383" s="143"/>
      <c r="AV383" s="143"/>
      <c r="AW383" s="143"/>
      <c r="AX383" s="143"/>
      <c r="AY383" s="143"/>
      <c r="AZ383" s="143"/>
      <c r="BA383" s="143"/>
      <c r="BB383" s="143"/>
      <c r="BC383" s="143"/>
      <c r="BD383" s="143"/>
      <c r="BE383" s="143"/>
      <c r="BF383" s="143"/>
      <c r="BG383" s="143"/>
      <c r="BH383" s="143"/>
      <c r="BI383" s="143"/>
      <c r="BJ383" s="143"/>
      <c r="BK383" s="143"/>
      <c r="BL383" s="143"/>
      <c r="BM383" s="143"/>
      <c r="BN383" s="143"/>
      <c r="BO383" s="143"/>
      <c r="BP383" s="143"/>
      <c r="BQ383" s="143"/>
      <c r="BR383" s="143"/>
      <c r="BS383" s="143"/>
      <c r="BT383" s="143"/>
      <c r="BU383" s="143"/>
      <c r="BV383" s="143"/>
      <c r="BW383" s="143"/>
      <c r="BX383" s="143"/>
      <c r="BY383" s="143"/>
      <c r="BZ383" s="143"/>
      <c r="CA383" s="143"/>
      <c r="CB383" s="143"/>
      <c r="CC383" s="143"/>
      <c r="CD383" s="143"/>
      <c r="CE383" s="143"/>
      <c r="CF383" s="143"/>
      <c r="CG383" s="145"/>
      <c r="CH383" s="143"/>
      <c r="CI383" s="143"/>
      <c r="CJ383" s="143"/>
      <c r="CK383" s="143"/>
      <c r="CL383" s="143"/>
      <c r="CM383" s="143"/>
      <c r="CN383" s="170"/>
      <c r="CO383" s="143"/>
      <c r="CP383" s="143"/>
      <c r="CQ383" s="143"/>
      <c r="CR383" s="174" t="s">
        <v>206</v>
      </c>
      <c r="CS383" s="228"/>
      <c r="CT383" s="228"/>
      <c r="CU383" s="1459"/>
      <c r="CV383" s="1571"/>
      <c r="CW383" s="143"/>
      <c r="CX383" s="143"/>
      <c r="CY383" s="143"/>
      <c r="CZ383" s="143"/>
      <c r="DA383" s="143"/>
      <c r="DB383" s="143"/>
    </row>
    <row r="384" spans="1:106">
      <c r="A384" s="143"/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43"/>
      <c r="AU384" s="143"/>
      <c r="AV384" s="143"/>
      <c r="AW384" s="143"/>
      <c r="AX384" s="143"/>
      <c r="AY384" s="143"/>
      <c r="AZ384" s="143"/>
      <c r="BA384" s="143"/>
      <c r="BB384" s="143"/>
      <c r="BC384" s="143"/>
      <c r="BD384" s="143"/>
      <c r="BE384" s="143"/>
      <c r="BF384" s="143"/>
      <c r="BG384" s="143"/>
      <c r="BH384" s="143"/>
      <c r="BI384" s="143"/>
      <c r="BJ384" s="143"/>
      <c r="BK384" s="143"/>
      <c r="BL384" s="143"/>
      <c r="BM384" s="143"/>
      <c r="BN384" s="143"/>
      <c r="BO384" s="143"/>
      <c r="BP384" s="143"/>
      <c r="BQ384" s="143"/>
      <c r="BR384" s="143"/>
      <c r="BS384" s="143"/>
      <c r="BT384" s="143"/>
      <c r="BU384" s="143"/>
      <c r="BV384" s="143"/>
      <c r="BW384" s="143"/>
      <c r="BX384" s="143"/>
      <c r="BY384" s="143"/>
      <c r="BZ384" s="143"/>
      <c r="CA384" s="143"/>
      <c r="CB384" s="143"/>
      <c r="CC384" s="143"/>
      <c r="CD384" s="143"/>
      <c r="CE384" s="143"/>
      <c r="CF384" s="143"/>
      <c r="CG384" s="145"/>
      <c r="CH384" s="143"/>
      <c r="CI384" s="143"/>
      <c r="CJ384" s="143"/>
      <c r="CK384" s="143"/>
      <c r="CL384" s="143"/>
      <c r="CM384" s="143"/>
      <c r="CN384" s="170"/>
      <c r="CO384" s="143"/>
      <c r="CP384" s="143"/>
      <c r="CQ384" s="143"/>
      <c r="CR384" s="1571"/>
      <c r="CS384" s="228"/>
      <c r="CT384" s="228"/>
      <c r="CU384" s="1459"/>
      <c r="CV384" s="182"/>
      <c r="CW384" s="143"/>
      <c r="CX384" s="143"/>
      <c r="CY384" s="143"/>
      <c r="CZ384" s="143"/>
      <c r="DA384" s="143"/>
      <c r="DB384" s="143"/>
    </row>
    <row r="385" spans="1:106">
      <c r="A385" s="143"/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  <c r="BC385" s="143"/>
      <c r="BD385" s="143"/>
      <c r="BE385" s="143"/>
      <c r="BF385" s="143"/>
      <c r="BG385" s="143"/>
      <c r="BH385" s="143"/>
      <c r="BI385" s="143"/>
      <c r="BJ385" s="143"/>
      <c r="BK385" s="143"/>
      <c r="BL385" s="143"/>
      <c r="BM385" s="143"/>
      <c r="BN385" s="143"/>
      <c r="BO385" s="143"/>
      <c r="BP385" s="143"/>
      <c r="BQ385" s="143"/>
      <c r="BR385" s="143"/>
      <c r="BS385" s="143"/>
      <c r="BT385" s="143"/>
      <c r="BU385" s="143"/>
      <c r="BV385" s="143"/>
      <c r="BW385" s="143"/>
      <c r="BX385" s="143"/>
      <c r="BY385" s="143"/>
      <c r="BZ385" s="143"/>
      <c r="CA385" s="143"/>
      <c r="CB385" s="143"/>
      <c r="CC385" s="143"/>
      <c r="CD385" s="143"/>
      <c r="CE385" s="143"/>
      <c r="CF385" s="143"/>
      <c r="CG385" s="145"/>
      <c r="CH385" s="143"/>
      <c r="CI385" s="143"/>
      <c r="CJ385" s="143"/>
      <c r="CK385" s="143"/>
      <c r="CL385" s="143"/>
      <c r="CM385" s="143"/>
      <c r="CN385" s="170"/>
      <c r="CO385" s="143"/>
      <c r="CP385" s="143"/>
      <c r="CQ385" s="143"/>
      <c r="CR385" s="1571"/>
      <c r="CS385" s="228"/>
      <c r="CT385" s="228"/>
      <c r="CU385" s="1459"/>
      <c r="CV385" s="182"/>
      <c r="CW385" s="143"/>
      <c r="CX385" s="143"/>
      <c r="CY385" s="143"/>
      <c r="CZ385" s="143"/>
      <c r="DA385" s="143"/>
      <c r="DB385" s="143"/>
    </row>
    <row r="386" spans="1:106">
      <c r="A386" s="143"/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3"/>
      <c r="BN386" s="143"/>
      <c r="BO386" s="143"/>
      <c r="BP386" s="143"/>
      <c r="BQ386" s="143"/>
      <c r="BR386" s="143"/>
      <c r="BS386" s="143"/>
      <c r="BT386" s="143"/>
      <c r="BU386" s="143"/>
      <c r="BV386" s="143"/>
      <c r="BW386" s="143"/>
      <c r="BX386" s="143"/>
      <c r="BY386" s="143"/>
      <c r="BZ386" s="143"/>
      <c r="CA386" s="143"/>
      <c r="CB386" s="143"/>
      <c r="CC386" s="143"/>
      <c r="CD386" s="143"/>
      <c r="CE386" s="143"/>
      <c r="CF386" s="143"/>
      <c r="CG386" s="145"/>
      <c r="CH386" s="143"/>
      <c r="CI386" s="143"/>
      <c r="CJ386" s="143"/>
      <c r="CK386" s="143"/>
      <c r="CL386" s="143"/>
      <c r="CM386" s="143"/>
      <c r="CN386" s="170"/>
      <c r="CO386" s="143"/>
      <c r="CP386" s="143"/>
      <c r="CQ386" s="143"/>
      <c r="CR386" s="1571"/>
      <c r="CS386" s="228"/>
      <c r="CT386" s="228"/>
      <c r="CU386" s="1459"/>
      <c r="CV386" s="182"/>
      <c r="CW386" s="143"/>
      <c r="CX386" s="143"/>
      <c r="CY386" s="143"/>
      <c r="CZ386" s="143"/>
      <c r="DA386" s="143"/>
      <c r="DB386" s="143"/>
    </row>
    <row r="387" spans="1:106">
      <c r="A387" s="143"/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43"/>
      <c r="AU387" s="143"/>
      <c r="AV387" s="143"/>
      <c r="AW387" s="143"/>
      <c r="AX387" s="143"/>
      <c r="AY387" s="143"/>
      <c r="AZ387" s="143"/>
      <c r="BA387" s="143"/>
      <c r="BB387" s="143"/>
      <c r="BC387" s="143"/>
      <c r="BD387" s="143"/>
      <c r="BE387" s="143"/>
      <c r="BF387" s="143"/>
      <c r="BG387" s="143"/>
      <c r="BH387" s="143"/>
      <c r="BI387" s="143"/>
      <c r="BJ387" s="143"/>
      <c r="BK387" s="143"/>
      <c r="BL387" s="143"/>
      <c r="BM387" s="143"/>
      <c r="BN387" s="143"/>
      <c r="BO387" s="143"/>
      <c r="BP387" s="143"/>
      <c r="BQ387" s="143"/>
      <c r="BR387" s="143"/>
      <c r="BS387" s="143"/>
      <c r="BT387" s="143"/>
      <c r="BU387" s="143"/>
      <c r="BV387" s="143"/>
      <c r="BW387" s="143"/>
      <c r="BX387" s="143"/>
      <c r="BY387" s="143"/>
      <c r="BZ387" s="143"/>
      <c r="CA387" s="143"/>
      <c r="CB387" s="143"/>
      <c r="CC387" s="143"/>
      <c r="CD387" s="143"/>
      <c r="CE387" s="143"/>
      <c r="CF387" s="143"/>
      <c r="CG387" s="145"/>
      <c r="CH387" s="143"/>
      <c r="CI387" s="143"/>
      <c r="CJ387" s="143"/>
      <c r="CK387" s="143"/>
      <c r="CL387" s="143"/>
      <c r="CM387" s="143"/>
      <c r="CN387" s="170"/>
      <c r="CO387" s="143"/>
      <c r="CP387" s="143"/>
      <c r="CQ387" s="143"/>
      <c r="CR387" s="1571"/>
      <c r="CS387" s="1571"/>
      <c r="CT387" s="1571"/>
      <c r="CU387" s="248"/>
      <c r="CV387" s="248"/>
      <c r="CW387" s="248"/>
      <c r="CX387" s="248"/>
      <c r="CY387" s="2741"/>
      <c r="CZ387" s="249"/>
      <c r="DA387" s="249"/>
      <c r="DB387" s="143"/>
    </row>
    <row r="388" spans="1:106">
      <c r="A388" s="143"/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  <c r="AU388" s="143"/>
      <c r="AV388" s="143"/>
      <c r="AW388" s="143"/>
      <c r="AX388" s="143"/>
      <c r="AY388" s="143"/>
      <c r="AZ388" s="143"/>
      <c r="BA388" s="143"/>
      <c r="BB388" s="143"/>
      <c r="BC388" s="143"/>
      <c r="BD388" s="143"/>
      <c r="BE388" s="143"/>
      <c r="BF388" s="143"/>
      <c r="BG388" s="143"/>
      <c r="BH388" s="143"/>
      <c r="BI388" s="143"/>
      <c r="BJ388" s="143"/>
      <c r="BK388" s="143"/>
      <c r="BL388" s="143"/>
      <c r="BM388" s="143"/>
      <c r="BN388" s="143"/>
      <c r="BO388" s="143"/>
      <c r="BP388" s="143"/>
      <c r="BQ388" s="143"/>
      <c r="BR388" s="143"/>
      <c r="BS388" s="143"/>
      <c r="BT388" s="143"/>
      <c r="BU388" s="143"/>
      <c r="BV388" s="143"/>
      <c r="BW388" s="143"/>
      <c r="BX388" s="143"/>
      <c r="BY388" s="143"/>
      <c r="BZ388" s="143"/>
      <c r="CA388" s="143"/>
      <c r="CB388" s="143"/>
      <c r="CC388" s="143"/>
      <c r="CD388" s="143"/>
      <c r="CE388" s="143"/>
      <c r="CF388" s="143"/>
      <c r="CG388" s="145"/>
      <c r="CH388" s="143"/>
      <c r="CI388" s="143"/>
      <c r="CJ388" s="143"/>
      <c r="CK388" s="143"/>
      <c r="CL388" s="143"/>
      <c r="CM388" s="143"/>
      <c r="CN388" s="170"/>
      <c r="CO388" s="143"/>
      <c r="CP388" s="143"/>
      <c r="CQ388" s="143"/>
      <c r="CR388" s="2741" t="s">
        <v>1961</v>
      </c>
      <c r="CS388" s="1571"/>
      <c r="CT388" s="1571"/>
      <c r="CU388" s="250"/>
      <c r="CV388" s="250"/>
      <c r="CW388" s="250"/>
      <c r="CX388" s="248" t="s">
        <v>997</v>
      </c>
      <c r="CY388" s="249" t="s">
        <v>998</v>
      </c>
      <c r="CZ388" s="249" t="s">
        <v>998</v>
      </c>
      <c r="DA388" s="181" t="s">
        <v>1929</v>
      </c>
      <c r="DB388" s="143"/>
    </row>
    <row r="389" spans="1:106">
      <c r="A389" s="143"/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43"/>
      <c r="AU389" s="143"/>
      <c r="AV389" s="143"/>
      <c r="AW389" s="143"/>
      <c r="AX389" s="143"/>
      <c r="AY389" s="143"/>
      <c r="AZ389" s="143"/>
      <c r="BA389" s="143"/>
      <c r="BB389" s="143"/>
      <c r="BC389" s="143"/>
      <c r="BD389" s="143"/>
      <c r="BE389" s="143"/>
      <c r="BF389" s="143"/>
      <c r="BG389" s="143"/>
      <c r="BH389" s="170"/>
      <c r="BI389" s="170"/>
      <c r="BJ389" s="170"/>
      <c r="BK389" s="170"/>
      <c r="BL389" s="170"/>
      <c r="BM389" s="170"/>
      <c r="BN389" s="170"/>
      <c r="BO389" s="170"/>
      <c r="BP389" s="170"/>
      <c r="BQ389" s="170"/>
      <c r="BR389" s="170"/>
      <c r="BS389" s="143"/>
      <c r="BT389" s="143"/>
      <c r="BU389" s="143"/>
      <c r="BV389" s="143"/>
      <c r="BW389" s="143"/>
      <c r="BX389" s="143"/>
      <c r="BY389" s="143"/>
      <c r="BZ389" s="143"/>
      <c r="CA389" s="143"/>
      <c r="CB389" s="143"/>
      <c r="CC389" s="143"/>
      <c r="CD389" s="143"/>
      <c r="CE389" s="143"/>
      <c r="CF389" s="143"/>
      <c r="CG389" s="145"/>
      <c r="CH389" s="143"/>
      <c r="CI389" s="143"/>
      <c r="CJ389" s="143"/>
      <c r="CK389" s="143"/>
      <c r="CL389" s="143"/>
      <c r="CM389" s="143"/>
      <c r="CN389" s="170"/>
      <c r="CO389" s="143"/>
      <c r="CP389" s="143"/>
      <c r="CQ389" s="143"/>
      <c r="CR389" s="176" t="s">
        <v>90</v>
      </c>
      <c r="CS389" s="176" t="s">
        <v>1076</v>
      </c>
      <c r="CT389" s="1571"/>
      <c r="CU389" s="231"/>
      <c r="CV389" s="231"/>
      <c r="CW389" s="231"/>
      <c r="CX389" s="176" t="s">
        <v>2379</v>
      </c>
      <c r="CY389" s="176" t="s">
        <v>2380</v>
      </c>
      <c r="CZ389" s="176" t="s">
        <v>2585</v>
      </c>
      <c r="DA389" s="176" t="s">
        <v>1022</v>
      </c>
      <c r="DB389" s="143"/>
    </row>
    <row r="390" spans="1:106">
      <c r="A390" s="143"/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43"/>
      <c r="AU390" s="143"/>
      <c r="AV390" s="143"/>
      <c r="AW390" s="143"/>
      <c r="AX390" s="143"/>
      <c r="AY390" s="143"/>
      <c r="AZ390" s="143"/>
      <c r="BA390" s="143"/>
      <c r="BB390" s="143"/>
      <c r="BC390" s="143"/>
      <c r="BD390" s="143"/>
      <c r="BE390" s="143"/>
      <c r="BF390" s="143"/>
      <c r="BG390" s="143"/>
      <c r="BH390" s="170"/>
      <c r="BI390" s="170"/>
      <c r="BJ390" s="170"/>
      <c r="BK390" s="170"/>
      <c r="BL390" s="170"/>
      <c r="BM390" s="170"/>
      <c r="BN390" s="170"/>
      <c r="BO390" s="170"/>
      <c r="BP390" s="170"/>
      <c r="BQ390" s="170"/>
      <c r="BR390" s="170"/>
      <c r="BS390" s="143"/>
      <c r="BT390" s="143"/>
      <c r="BU390" s="143"/>
      <c r="BV390" s="143"/>
      <c r="BW390" s="143"/>
      <c r="BX390" s="143"/>
      <c r="BY390" s="143"/>
      <c r="BZ390" s="143"/>
      <c r="CA390" s="143"/>
      <c r="CB390" s="143"/>
      <c r="CC390" s="143"/>
      <c r="CD390" s="143"/>
      <c r="CE390" s="143"/>
      <c r="CF390" s="143"/>
      <c r="CG390" s="145"/>
      <c r="CH390" s="143"/>
      <c r="CI390" s="143"/>
      <c r="CJ390" s="143"/>
      <c r="CK390" s="143"/>
      <c r="CL390" s="143"/>
      <c r="CM390" s="143"/>
      <c r="CN390" s="170"/>
      <c r="CO390" s="143"/>
      <c r="CP390" s="143"/>
      <c r="CQ390" s="143"/>
      <c r="CR390" s="1581"/>
      <c r="CS390" s="1571"/>
      <c r="CT390" s="1571"/>
      <c r="CU390" s="232"/>
      <c r="CV390" s="232"/>
      <c r="CW390" s="232"/>
      <c r="CX390" s="2741" t="s">
        <v>1705</v>
      </c>
      <c r="CY390" s="2741" t="s">
        <v>1705</v>
      </c>
      <c r="CZ390" s="2741" t="s">
        <v>1705</v>
      </c>
      <c r="DA390" s="2741" t="s">
        <v>1705</v>
      </c>
      <c r="DB390" s="143"/>
    </row>
    <row r="391" spans="1:106">
      <c r="A391" s="143"/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43"/>
      <c r="AU391" s="143"/>
      <c r="AV391" s="143"/>
      <c r="AW391" s="143"/>
      <c r="AX391" s="143"/>
      <c r="AY391" s="143"/>
      <c r="AZ391" s="143"/>
      <c r="BA391" s="143"/>
      <c r="BB391" s="143"/>
      <c r="BC391" s="143"/>
      <c r="BD391" s="143"/>
      <c r="BE391" s="143"/>
      <c r="BF391" s="143"/>
      <c r="BG391" s="143"/>
      <c r="BH391" s="170"/>
      <c r="BI391" s="170"/>
      <c r="BJ391" s="170"/>
      <c r="BK391" s="170"/>
      <c r="BL391" s="170"/>
      <c r="BM391" s="170"/>
      <c r="BN391" s="170"/>
      <c r="BO391" s="170"/>
      <c r="BP391" s="170"/>
      <c r="BQ391" s="170"/>
      <c r="BR391" s="170"/>
      <c r="BS391" s="143"/>
      <c r="BT391" s="143"/>
      <c r="BU391" s="143"/>
      <c r="BV391" s="143"/>
      <c r="BW391" s="143"/>
      <c r="BX391" s="143"/>
      <c r="BY391" s="143"/>
      <c r="BZ391" s="143"/>
      <c r="CA391" s="143"/>
      <c r="CB391" s="143"/>
      <c r="CC391" s="143"/>
      <c r="CD391" s="143"/>
      <c r="CE391" s="143"/>
      <c r="CF391" s="143"/>
      <c r="CG391" s="145"/>
      <c r="CH391" s="143"/>
      <c r="CI391" s="143"/>
      <c r="CJ391" s="143"/>
      <c r="CK391" s="143"/>
      <c r="CL391" s="143"/>
      <c r="CM391" s="143"/>
      <c r="CN391" s="170"/>
      <c r="CO391" s="143"/>
      <c r="CP391" s="143"/>
      <c r="CQ391" s="143"/>
      <c r="CR391" s="2741">
        <v>1</v>
      </c>
      <c r="CS391" s="233" t="s">
        <v>441</v>
      </c>
      <c r="CT391" s="1571"/>
      <c r="CU391" s="251"/>
      <c r="CV391" s="251"/>
      <c r="CW391" s="252"/>
      <c r="CX391" s="164"/>
      <c r="CY391" s="163"/>
      <c r="CZ391" s="163"/>
      <c r="DA391" s="163"/>
      <c r="DB391" s="143"/>
    </row>
    <row r="392" spans="1:106">
      <c r="A392" s="143"/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43"/>
      <c r="AU392" s="143"/>
      <c r="AV392" s="143"/>
      <c r="AW392" s="143"/>
      <c r="AX392" s="143"/>
      <c r="AY392" s="143"/>
      <c r="AZ392" s="143"/>
      <c r="BA392" s="143"/>
      <c r="BB392" s="143"/>
      <c r="BC392" s="143"/>
      <c r="BD392" s="143"/>
      <c r="BE392" s="143"/>
      <c r="BF392" s="143"/>
      <c r="BG392" s="143"/>
      <c r="BH392" s="170"/>
      <c r="BI392" s="170"/>
      <c r="BJ392" s="170"/>
      <c r="BK392" s="170"/>
      <c r="BL392" s="170"/>
      <c r="BM392" s="170"/>
      <c r="BN392" s="170"/>
      <c r="BO392" s="170"/>
      <c r="BP392" s="170"/>
      <c r="BQ392" s="170"/>
      <c r="BR392" s="170"/>
      <c r="BS392" s="143"/>
      <c r="BT392" s="143"/>
      <c r="BU392" s="143"/>
      <c r="BV392" s="143"/>
      <c r="BW392" s="143"/>
      <c r="BX392" s="143"/>
      <c r="BY392" s="143"/>
      <c r="BZ392" s="143"/>
      <c r="CA392" s="143"/>
      <c r="CB392" s="143"/>
      <c r="CC392" s="143"/>
      <c r="CD392" s="143"/>
      <c r="CE392" s="143"/>
      <c r="CF392" s="143"/>
      <c r="CG392" s="145"/>
      <c r="CH392" s="143"/>
      <c r="CI392" s="143"/>
      <c r="CJ392" s="143"/>
      <c r="CK392" s="143"/>
      <c r="CL392" s="143"/>
      <c r="CM392" s="143"/>
      <c r="CN392" s="170"/>
      <c r="CO392" s="143"/>
      <c r="CP392" s="143"/>
      <c r="CQ392" s="143"/>
      <c r="CR392" s="2741">
        <v>2</v>
      </c>
      <c r="CS392" s="235" t="str">
        <f t="shared" ref="CS392:CS403" si="34">BE186</f>
        <v>December 2016</v>
      </c>
      <c r="CT392" s="1571"/>
      <c r="CU392" s="236"/>
      <c r="CV392" s="236"/>
      <c r="CW392" s="236"/>
      <c r="CX392" s="182">
        <v>0</v>
      </c>
      <c r="CY392" s="182">
        <v>0</v>
      </c>
      <c r="CZ392" s="182">
        <v>0</v>
      </c>
      <c r="DA392" s="401">
        <f t="shared" ref="DA392:DA403" si="35">SUM(CW392:CZ392)</f>
        <v>0</v>
      </c>
      <c r="DB392" s="143"/>
    </row>
    <row r="393" spans="1:106">
      <c r="A393" s="143"/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3"/>
      <c r="BB393" s="143"/>
      <c r="BC393" s="143"/>
      <c r="BD393" s="143"/>
      <c r="BE393" s="143"/>
      <c r="BF393" s="143"/>
      <c r="BG393" s="143"/>
      <c r="BH393" s="170"/>
      <c r="BI393" s="170"/>
      <c r="BJ393" s="170"/>
      <c r="BK393" s="170"/>
      <c r="BL393" s="170"/>
      <c r="BM393" s="170"/>
      <c r="BN393" s="170"/>
      <c r="BO393" s="170"/>
      <c r="BP393" s="170"/>
      <c r="BQ393" s="170"/>
      <c r="BR393" s="170"/>
      <c r="BS393" s="143"/>
      <c r="BT393" s="143"/>
      <c r="BU393" s="143"/>
      <c r="BV393" s="143"/>
      <c r="BW393" s="143"/>
      <c r="BX393" s="143"/>
      <c r="BY393" s="143"/>
      <c r="BZ393" s="143"/>
      <c r="CA393" s="143"/>
      <c r="CB393" s="143"/>
      <c r="CC393" s="143"/>
      <c r="CD393" s="143"/>
      <c r="CE393" s="143"/>
      <c r="CF393" s="143"/>
      <c r="CG393" s="145"/>
      <c r="CH393" s="143"/>
      <c r="CI393" s="143"/>
      <c r="CJ393" s="143"/>
      <c r="CK393" s="143"/>
      <c r="CL393" s="143"/>
      <c r="CM393" s="143"/>
      <c r="CN393" s="170"/>
      <c r="CO393" s="143"/>
      <c r="CP393" s="143"/>
      <c r="CQ393" s="143"/>
      <c r="CR393" s="2741">
        <f t="shared" ref="CR393:CR421" si="36">1+CR392</f>
        <v>3</v>
      </c>
      <c r="CS393" s="235" t="str">
        <f t="shared" si="34"/>
        <v>January 2017</v>
      </c>
      <c r="CT393" s="1571"/>
      <c r="CU393" s="236"/>
      <c r="CV393" s="236"/>
      <c r="CW393" s="236"/>
      <c r="CX393" s="182">
        <v>0</v>
      </c>
      <c r="CY393" s="182">
        <v>0</v>
      </c>
      <c r="CZ393" s="182">
        <v>0</v>
      </c>
      <c r="DA393" s="401">
        <f t="shared" si="35"/>
        <v>0</v>
      </c>
      <c r="DB393" s="143"/>
    </row>
    <row r="394" spans="1:106">
      <c r="A394" s="143"/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3"/>
      <c r="BB394" s="143"/>
      <c r="BC394" s="143"/>
      <c r="BD394" s="143"/>
      <c r="BE394" s="143"/>
      <c r="BF394" s="143"/>
      <c r="BG394" s="143"/>
      <c r="BH394" s="170"/>
      <c r="BI394" s="170"/>
      <c r="BJ394" s="170"/>
      <c r="BK394" s="170"/>
      <c r="BL394" s="170"/>
      <c r="BM394" s="170"/>
      <c r="BN394" s="170"/>
      <c r="BO394" s="170"/>
      <c r="BP394" s="170"/>
      <c r="BQ394" s="170"/>
      <c r="BR394" s="170"/>
      <c r="BS394" s="143"/>
      <c r="BT394" s="143"/>
      <c r="BU394" s="143"/>
      <c r="BV394" s="143"/>
      <c r="BW394" s="143"/>
      <c r="BX394" s="143"/>
      <c r="BY394" s="143"/>
      <c r="BZ394" s="143"/>
      <c r="CA394" s="143"/>
      <c r="CB394" s="143"/>
      <c r="CC394" s="143"/>
      <c r="CD394" s="143"/>
      <c r="CE394" s="143"/>
      <c r="CF394" s="143"/>
      <c r="CG394" s="145"/>
      <c r="CH394" s="143"/>
      <c r="CI394" s="143"/>
      <c r="CJ394" s="143"/>
      <c r="CK394" s="143"/>
      <c r="CL394" s="143"/>
      <c r="CM394" s="143"/>
      <c r="CN394" s="170"/>
      <c r="CO394" s="143"/>
      <c r="CP394" s="143"/>
      <c r="CQ394" s="143"/>
      <c r="CR394" s="2741">
        <f t="shared" si="36"/>
        <v>4</v>
      </c>
      <c r="CS394" s="235" t="str">
        <f t="shared" si="34"/>
        <v>February</v>
      </c>
      <c r="CT394" s="1571"/>
      <c r="CU394" s="236"/>
      <c r="CV394" s="236"/>
      <c r="CW394" s="236"/>
      <c r="CX394" s="182">
        <v>0</v>
      </c>
      <c r="CY394" s="182">
        <v>0</v>
      </c>
      <c r="CZ394" s="182">
        <v>0</v>
      </c>
      <c r="DA394" s="401">
        <f t="shared" si="35"/>
        <v>0</v>
      </c>
      <c r="DB394" s="143"/>
    </row>
    <row r="395" spans="1:106">
      <c r="A395" s="143"/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43"/>
      <c r="AU395" s="143"/>
      <c r="AV395" s="143"/>
      <c r="AW395" s="143"/>
      <c r="AX395" s="143"/>
      <c r="AY395" s="143"/>
      <c r="AZ395" s="143"/>
      <c r="BA395" s="143"/>
      <c r="BB395" s="143"/>
      <c r="BC395" s="143"/>
      <c r="BD395" s="143"/>
      <c r="BE395" s="143"/>
      <c r="BF395" s="143"/>
      <c r="BG395" s="143"/>
      <c r="BH395" s="170"/>
      <c r="BI395" s="170"/>
      <c r="BJ395" s="170"/>
      <c r="BK395" s="170"/>
      <c r="BL395" s="170"/>
      <c r="BM395" s="170"/>
      <c r="BN395" s="170"/>
      <c r="BO395" s="170"/>
      <c r="BP395" s="170"/>
      <c r="BQ395" s="170"/>
      <c r="BR395" s="170"/>
      <c r="BS395" s="143"/>
      <c r="BT395" s="143"/>
      <c r="BU395" s="143"/>
      <c r="BV395" s="143"/>
      <c r="BW395" s="143"/>
      <c r="BX395" s="143"/>
      <c r="BY395" s="143"/>
      <c r="BZ395" s="143"/>
      <c r="CA395" s="143"/>
      <c r="CB395" s="143"/>
      <c r="CC395" s="143"/>
      <c r="CD395" s="143"/>
      <c r="CE395" s="143"/>
      <c r="CF395" s="143"/>
      <c r="CG395" s="145"/>
      <c r="CH395" s="143"/>
      <c r="CI395" s="143"/>
      <c r="CJ395" s="143"/>
      <c r="CK395" s="143"/>
      <c r="CL395" s="143"/>
      <c r="CM395" s="143"/>
      <c r="CN395" s="170"/>
      <c r="CO395" s="143"/>
      <c r="CP395" s="143"/>
      <c r="CQ395" s="143"/>
      <c r="CR395" s="2741">
        <f t="shared" si="36"/>
        <v>5</v>
      </c>
      <c r="CS395" s="235" t="str">
        <f t="shared" si="34"/>
        <v>March</v>
      </c>
      <c r="CT395" s="1571"/>
      <c r="CU395" s="236"/>
      <c r="CV395" s="236"/>
      <c r="CW395" s="236"/>
      <c r="CX395" s="182">
        <v>0</v>
      </c>
      <c r="CY395" s="182">
        <v>0</v>
      </c>
      <c r="CZ395" s="182">
        <v>0</v>
      </c>
      <c r="DA395" s="401">
        <f t="shared" si="35"/>
        <v>0</v>
      </c>
      <c r="DB395" s="143"/>
    </row>
    <row r="396" spans="1:106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43"/>
      <c r="AU396" s="143"/>
      <c r="AV396" s="143"/>
      <c r="AW396" s="143"/>
      <c r="AX396" s="143"/>
      <c r="AY396" s="143"/>
      <c r="AZ396" s="143"/>
      <c r="BA396" s="143"/>
      <c r="BB396" s="143"/>
      <c r="BC396" s="143"/>
      <c r="BD396" s="143"/>
      <c r="BE396" s="143"/>
      <c r="BF396" s="143"/>
      <c r="BG396" s="143"/>
      <c r="BH396" s="170"/>
      <c r="BI396" s="170"/>
      <c r="BJ396" s="170"/>
      <c r="BK396" s="253"/>
      <c r="BL396" s="254"/>
      <c r="BM396" s="254"/>
      <c r="BN396" s="255"/>
      <c r="BO396" s="255"/>
      <c r="BP396" s="256"/>
      <c r="BQ396" s="170"/>
      <c r="BR396" s="170"/>
      <c r="BS396" s="143"/>
      <c r="BT396" s="143"/>
      <c r="BU396" s="143"/>
      <c r="BV396" s="143"/>
      <c r="BW396" s="143"/>
      <c r="BX396" s="143"/>
      <c r="BY396" s="143"/>
      <c r="BZ396" s="143"/>
      <c r="CA396" s="143"/>
      <c r="CB396" s="143"/>
      <c r="CC396" s="143"/>
      <c r="CD396" s="143"/>
      <c r="CE396" s="143"/>
      <c r="CF396" s="143"/>
      <c r="CG396" s="145"/>
      <c r="CH396" s="143"/>
      <c r="CI396" s="143"/>
      <c r="CJ396" s="143"/>
      <c r="CK396" s="143"/>
      <c r="CL396" s="143"/>
      <c r="CM396" s="143"/>
      <c r="CN396" s="170"/>
      <c r="CO396" s="143"/>
      <c r="CP396" s="143"/>
      <c r="CQ396" s="143"/>
      <c r="CR396" s="2741">
        <f t="shared" si="36"/>
        <v>6</v>
      </c>
      <c r="CS396" s="235" t="str">
        <f t="shared" si="34"/>
        <v>April</v>
      </c>
      <c r="CT396" s="1571"/>
      <c r="CU396" s="236"/>
      <c r="CV396" s="236"/>
      <c r="CW396" s="236"/>
      <c r="CX396" s="182">
        <v>0</v>
      </c>
      <c r="CY396" s="182">
        <v>0</v>
      </c>
      <c r="CZ396" s="182">
        <v>0</v>
      </c>
      <c r="DA396" s="401">
        <f t="shared" si="35"/>
        <v>0</v>
      </c>
      <c r="DB396" s="143"/>
    </row>
    <row r="397" spans="1:106">
      <c r="A397" s="143"/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3"/>
      <c r="BB397" s="143"/>
      <c r="BC397" s="143"/>
      <c r="BD397" s="143"/>
      <c r="BE397" s="143"/>
      <c r="BF397" s="143"/>
      <c r="BG397" s="143"/>
      <c r="BH397" s="170"/>
      <c r="BI397" s="170"/>
      <c r="BJ397" s="170"/>
      <c r="BK397" s="253"/>
      <c r="BL397" s="254"/>
      <c r="BM397" s="254"/>
      <c r="BN397" s="255"/>
      <c r="BO397" s="255"/>
      <c r="BP397" s="256"/>
      <c r="BQ397" s="170"/>
      <c r="BR397" s="255"/>
      <c r="BS397" s="143"/>
      <c r="BT397" s="143"/>
      <c r="BU397" s="143"/>
      <c r="BV397" s="143"/>
      <c r="BW397" s="143"/>
      <c r="BX397" s="143"/>
      <c r="BY397" s="143"/>
      <c r="BZ397" s="143"/>
      <c r="CA397" s="143"/>
      <c r="CB397" s="143"/>
      <c r="CC397" s="143"/>
      <c r="CD397" s="143"/>
      <c r="CE397" s="143"/>
      <c r="CF397" s="143"/>
      <c r="CG397" s="145"/>
      <c r="CH397" s="143"/>
      <c r="CI397" s="143"/>
      <c r="CJ397" s="143"/>
      <c r="CK397" s="143"/>
      <c r="CL397" s="143"/>
      <c r="CM397" s="143"/>
      <c r="CN397" s="170"/>
      <c r="CO397" s="143"/>
      <c r="CP397" s="143"/>
      <c r="CQ397" s="143"/>
      <c r="CR397" s="2741">
        <f t="shared" si="36"/>
        <v>7</v>
      </c>
      <c r="CS397" s="235" t="str">
        <f t="shared" si="34"/>
        <v>May</v>
      </c>
      <c r="CT397" s="1571"/>
      <c r="CU397" s="236"/>
      <c r="CV397" s="236"/>
      <c r="CW397" s="236"/>
      <c r="CX397" s="182">
        <v>0</v>
      </c>
      <c r="CY397" s="182">
        <v>0</v>
      </c>
      <c r="CZ397" s="182">
        <v>0</v>
      </c>
      <c r="DA397" s="401">
        <f t="shared" si="35"/>
        <v>0</v>
      </c>
      <c r="DB397" s="143"/>
    </row>
    <row r="398" spans="1:106">
      <c r="A398" s="143"/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43"/>
      <c r="AU398" s="143"/>
      <c r="AV398" s="143"/>
      <c r="AW398" s="143"/>
      <c r="AX398" s="143"/>
      <c r="AY398" s="143"/>
      <c r="AZ398" s="143"/>
      <c r="BA398" s="143"/>
      <c r="BB398" s="143"/>
      <c r="BC398" s="143"/>
      <c r="BD398" s="143"/>
      <c r="BE398" s="143"/>
      <c r="BF398" s="143"/>
      <c r="BG398" s="143"/>
      <c r="BH398" s="170"/>
      <c r="BI398" s="170"/>
      <c r="BJ398" s="170"/>
      <c r="BK398" s="253"/>
      <c r="BL398" s="254"/>
      <c r="BM398" s="254"/>
      <c r="BN398" s="255"/>
      <c r="BO398" s="255"/>
      <c r="BP398" s="256"/>
      <c r="BQ398" s="170"/>
      <c r="BR398" s="255"/>
      <c r="BS398" s="143"/>
      <c r="BT398" s="143"/>
      <c r="BU398" s="143"/>
      <c r="BV398" s="143"/>
      <c r="BW398" s="143"/>
      <c r="BX398" s="143"/>
      <c r="BY398" s="143"/>
      <c r="BZ398" s="143"/>
      <c r="CA398" s="143"/>
      <c r="CB398" s="143"/>
      <c r="CC398" s="143"/>
      <c r="CD398" s="143"/>
      <c r="CE398" s="143"/>
      <c r="CF398" s="143"/>
      <c r="CG398" s="145"/>
      <c r="CH398" s="143"/>
      <c r="CI398" s="143"/>
      <c r="CJ398" s="143"/>
      <c r="CK398" s="143"/>
      <c r="CL398" s="143"/>
      <c r="CM398" s="143"/>
      <c r="CN398" s="170"/>
      <c r="CO398" s="143"/>
      <c r="CP398" s="143"/>
      <c r="CQ398" s="143"/>
      <c r="CR398" s="2741">
        <f t="shared" si="36"/>
        <v>8</v>
      </c>
      <c r="CS398" s="235" t="str">
        <f t="shared" si="34"/>
        <v>June</v>
      </c>
      <c r="CT398" s="143"/>
      <c r="CU398" s="236"/>
      <c r="CV398" s="236"/>
      <c r="CW398" s="236"/>
      <c r="CX398" s="182">
        <v>0</v>
      </c>
      <c r="CY398" s="182">
        <v>0</v>
      </c>
      <c r="CZ398" s="182">
        <v>0</v>
      </c>
      <c r="DA398" s="401">
        <f t="shared" si="35"/>
        <v>0</v>
      </c>
      <c r="DB398" s="143"/>
    </row>
    <row r="399" spans="1:106">
      <c r="A399" s="143"/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43"/>
      <c r="AU399" s="143"/>
      <c r="AV399" s="143"/>
      <c r="AW399" s="143"/>
      <c r="AX399" s="143"/>
      <c r="AY399" s="143"/>
      <c r="AZ399" s="143"/>
      <c r="BA399" s="143"/>
      <c r="BB399" s="143"/>
      <c r="BC399" s="143"/>
      <c r="BD399" s="143"/>
      <c r="BE399" s="143"/>
      <c r="BF399" s="143"/>
      <c r="BG399" s="143"/>
      <c r="BH399" s="170"/>
      <c r="BI399" s="170"/>
      <c r="BJ399" s="170"/>
      <c r="BK399" s="257"/>
      <c r="BL399" s="255"/>
      <c r="BM399" s="255"/>
      <c r="BN399" s="258"/>
      <c r="BO399" s="258"/>
      <c r="BP399" s="258"/>
      <c r="BQ399" s="170"/>
      <c r="BR399" s="259"/>
      <c r="BS399" s="143"/>
      <c r="BT399" s="143"/>
      <c r="BU399" s="143"/>
      <c r="BV399" s="143"/>
      <c r="BW399" s="143"/>
      <c r="BX399" s="143"/>
      <c r="BY399" s="143"/>
      <c r="BZ399" s="143"/>
      <c r="CA399" s="143"/>
      <c r="CB399" s="143"/>
      <c r="CC399" s="143"/>
      <c r="CD399" s="143"/>
      <c r="CE399" s="143"/>
      <c r="CF399" s="143"/>
      <c r="CG399" s="145"/>
      <c r="CH399" s="143"/>
      <c r="CI399" s="143"/>
      <c r="CJ399" s="143"/>
      <c r="CK399" s="143"/>
      <c r="CL399" s="143"/>
      <c r="CM399" s="143"/>
      <c r="CN399" s="170"/>
      <c r="CO399" s="143"/>
      <c r="CP399" s="143"/>
      <c r="CQ399" s="143"/>
      <c r="CR399" s="2741">
        <f t="shared" si="36"/>
        <v>9</v>
      </c>
      <c r="CS399" s="235" t="str">
        <f t="shared" si="34"/>
        <v>July</v>
      </c>
      <c r="CT399" s="143"/>
      <c r="CU399" s="236"/>
      <c r="CV399" s="236"/>
      <c r="CW399" s="236"/>
      <c r="CX399" s="182">
        <v>0</v>
      </c>
      <c r="CY399" s="182">
        <v>0</v>
      </c>
      <c r="CZ399" s="182">
        <v>0</v>
      </c>
      <c r="DA399" s="401">
        <f t="shared" si="35"/>
        <v>0</v>
      </c>
      <c r="DB399" s="143"/>
    </row>
    <row r="400" spans="1:106">
      <c r="A400" s="143"/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3"/>
      <c r="BB400" s="143"/>
      <c r="BC400" s="143"/>
      <c r="BD400" s="143"/>
      <c r="BE400" s="143"/>
      <c r="BF400" s="143"/>
      <c r="BG400" s="143"/>
      <c r="BH400" s="170"/>
      <c r="BI400" s="170"/>
      <c r="BJ400" s="170"/>
      <c r="BK400" s="257"/>
      <c r="BL400" s="255"/>
      <c r="BM400" s="255"/>
      <c r="BN400" s="255"/>
      <c r="BO400" s="255"/>
      <c r="BP400" s="258"/>
      <c r="BQ400" s="170"/>
      <c r="BR400" s="255"/>
      <c r="BS400" s="143"/>
      <c r="BT400" s="143"/>
      <c r="BU400" s="143"/>
      <c r="BV400" s="143"/>
      <c r="BW400" s="143"/>
      <c r="BX400" s="143"/>
      <c r="BY400" s="143"/>
      <c r="BZ400" s="143"/>
      <c r="CA400" s="143"/>
      <c r="CB400" s="143"/>
      <c r="CC400" s="143"/>
      <c r="CD400" s="143"/>
      <c r="CE400" s="143"/>
      <c r="CF400" s="143"/>
      <c r="CG400" s="145"/>
      <c r="CH400" s="143"/>
      <c r="CI400" s="143"/>
      <c r="CJ400" s="143"/>
      <c r="CK400" s="143"/>
      <c r="CL400" s="143"/>
      <c r="CM400" s="143"/>
      <c r="CN400" s="170"/>
      <c r="CO400" s="143"/>
      <c r="CP400" s="143"/>
      <c r="CQ400" s="143"/>
      <c r="CR400" s="2741">
        <f t="shared" si="36"/>
        <v>10</v>
      </c>
      <c r="CS400" s="235" t="str">
        <f t="shared" si="34"/>
        <v>August</v>
      </c>
      <c r="CT400" s="143"/>
      <c r="CU400" s="236"/>
      <c r="CV400" s="236"/>
      <c r="CW400" s="236"/>
      <c r="CX400" s="182">
        <v>0</v>
      </c>
      <c r="CY400" s="182">
        <v>0</v>
      </c>
      <c r="CZ400" s="182">
        <v>0</v>
      </c>
      <c r="DA400" s="401">
        <f t="shared" si="35"/>
        <v>0</v>
      </c>
      <c r="DB400" s="143"/>
    </row>
    <row r="401" spans="1:106">
      <c r="A401" s="143"/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3"/>
      <c r="BB401" s="143"/>
      <c r="BC401" s="143"/>
      <c r="BD401" s="143"/>
      <c r="BE401" s="143"/>
      <c r="BF401" s="143"/>
      <c r="BG401" s="143"/>
      <c r="BH401" s="170"/>
      <c r="BI401" s="170"/>
      <c r="BJ401" s="170"/>
      <c r="BK401" s="257"/>
      <c r="BL401" s="255"/>
      <c r="BM401" s="255"/>
      <c r="BN401" s="255"/>
      <c r="BO401" s="255"/>
      <c r="BP401" s="258"/>
      <c r="BQ401" s="255"/>
      <c r="BR401" s="255"/>
      <c r="BS401" s="143"/>
      <c r="BT401" s="143"/>
      <c r="BU401" s="143"/>
      <c r="BV401" s="143"/>
      <c r="BW401" s="143"/>
      <c r="BX401" s="143"/>
      <c r="BY401" s="143"/>
      <c r="BZ401" s="143"/>
      <c r="CA401" s="143"/>
      <c r="CB401" s="143"/>
      <c r="CC401" s="143"/>
      <c r="CD401" s="143"/>
      <c r="CE401" s="143"/>
      <c r="CF401" s="143"/>
      <c r="CG401" s="145"/>
      <c r="CH401" s="143"/>
      <c r="CI401" s="143"/>
      <c r="CJ401" s="143"/>
      <c r="CK401" s="143"/>
      <c r="CL401" s="143"/>
      <c r="CM401" s="143"/>
      <c r="CN401" s="170"/>
      <c r="CO401" s="143"/>
      <c r="CP401" s="143"/>
      <c r="CQ401" s="143"/>
      <c r="CR401" s="2741">
        <f t="shared" si="36"/>
        <v>11</v>
      </c>
      <c r="CS401" s="235" t="str">
        <f t="shared" si="34"/>
        <v>September</v>
      </c>
      <c r="CT401" s="1571"/>
      <c r="CU401" s="236"/>
      <c r="CV401" s="236"/>
      <c r="CW401" s="236"/>
      <c r="CX401" s="182">
        <v>0</v>
      </c>
      <c r="CY401" s="182">
        <v>0</v>
      </c>
      <c r="CZ401" s="182">
        <v>0</v>
      </c>
      <c r="DA401" s="401">
        <f t="shared" si="35"/>
        <v>0</v>
      </c>
      <c r="DB401" s="143"/>
    </row>
    <row r="402" spans="1:106">
      <c r="A402" s="143"/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43"/>
      <c r="AU402" s="143"/>
      <c r="AV402" s="143"/>
      <c r="AW402" s="143"/>
      <c r="AX402" s="143"/>
      <c r="AY402" s="143"/>
      <c r="AZ402" s="143"/>
      <c r="BA402" s="143"/>
      <c r="BB402" s="143"/>
      <c r="BC402" s="143"/>
      <c r="BD402" s="143"/>
      <c r="BE402" s="143"/>
      <c r="BF402" s="143"/>
      <c r="BG402" s="143"/>
      <c r="BH402" s="170"/>
      <c r="BI402" s="170"/>
      <c r="BJ402" s="170"/>
      <c r="BK402" s="257"/>
      <c r="BL402" s="260"/>
      <c r="BM402" s="260"/>
      <c r="BN402" s="261"/>
      <c r="BO402" s="261"/>
      <c r="BP402" s="262"/>
      <c r="BQ402" s="261"/>
      <c r="BR402" s="261"/>
      <c r="BS402" s="143"/>
      <c r="BT402" s="143"/>
      <c r="BU402" s="143"/>
      <c r="BV402" s="143"/>
      <c r="BW402" s="143"/>
      <c r="BX402" s="143"/>
      <c r="BY402" s="143"/>
      <c r="BZ402" s="143"/>
      <c r="CA402" s="143"/>
      <c r="CB402" s="143"/>
      <c r="CC402" s="143"/>
      <c r="CD402" s="143"/>
      <c r="CE402" s="143"/>
      <c r="CF402" s="143"/>
      <c r="CG402" s="145"/>
      <c r="CH402" s="143"/>
      <c r="CI402" s="143"/>
      <c r="CJ402" s="143"/>
      <c r="CK402" s="143"/>
      <c r="CL402" s="143"/>
      <c r="CM402" s="143"/>
      <c r="CN402" s="170"/>
      <c r="CO402" s="143"/>
      <c r="CP402" s="143"/>
      <c r="CQ402" s="143"/>
      <c r="CR402" s="2741">
        <f t="shared" si="36"/>
        <v>12</v>
      </c>
      <c r="CS402" s="235" t="str">
        <f t="shared" si="34"/>
        <v>October</v>
      </c>
      <c r="CT402" s="1571"/>
      <c r="CU402" s="236"/>
      <c r="CV402" s="236"/>
      <c r="CW402" s="236"/>
      <c r="CX402" s="182">
        <v>0</v>
      </c>
      <c r="CY402" s="182">
        <v>0</v>
      </c>
      <c r="CZ402" s="182">
        <v>0</v>
      </c>
      <c r="DA402" s="401">
        <f t="shared" si="35"/>
        <v>0</v>
      </c>
      <c r="DB402" s="143"/>
    </row>
    <row r="403" spans="1:106">
      <c r="A403" s="143"/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  <c r="BA403" s="143"/>
      <c r="BB403" s="143"/>
      <c r="BC403" s="143"/>
      <c r="BD403" s="143"/>
      <c r="BE403" s="143"/>
      <c r="BF403" s="143"/>
      <c r="BG403" s="143"/>
      <c r="BH403" s="263"/>
      <c r="BI403" s="170"/>
      <c r="BJ403" s="170"/>
      <c r="BK403" s="257"/>
      <c r="BL403" s="263"/>
      <c r="BM403" s="263"/>
      <c r="BN403" s="263"/>
      <c r="BO403" s="263"/>
      <c r="BP403" s="264"/>
      <c r="BQ403" s="265"/>
      <c r="BR403" s="265"/>
      <c r="BS403" s="143"/>
      <c r="BT403" s="143"/>
      <c r="BU403" s="143"/>
      <c r="BV403" s="143"/>
      <c r="BW403" s="143"/>
      <c r="BX403" s="143"/>
      <c r="BY403" s="143"/>
      <c r="BZ403" s="143"/>
      <c r="CA403" s="143"/>
      <c r="CB403" s="143"/>
      <c r="CC403" s="143"/>
      <c r="CD403" s="143"/>
      <c r="CE403" s="143"/>
      <c r="CF403" s="143"/>
      <c r="CG403" s="145"/>
      <c r="CH403" s="143"/>
      <c r="CI403" s="143"/>
      <c r="CJ403" s="143"/>
      <c r="CK403" s="143"/>
      <c r="CL403" s="143"/>
      <c r="CM403" s="143"/>
      <c r="CN403" s="170"/>
      <c r="CO403" s="143"/>
      <c r="CP403" s="143"/>
      <c r="CQ403" s="143"/>
      <c r="CR403" s="2741">
        <f t="shared" si="36"/>
        <v>13</v>
      </c>
      <c r="CS403" s="235" t="str">
        <f t="shared" si="34"/>
        <v>November</v>
      </c>
      <c r="CT403" s="1571"/>
      <c r="CU403" s="236"/>
      <c r="CV403" s="236"/>
      <c r="CW403" s="236"/>
      <c r="CX403" s="182">
        <v>0</v>
      </c>
      <c r="CY403" s="182">
        <v>0</v>
      </c>
      <c r="CZ403" s="182">
        <v>0</v>
      </c>
      <c r="DA403" s="401">
        <f t="shared" si="35"/>
        <v>0</v>
      </c>
      <c r="DB403" s="143"/>
    </row>
    <row r="404" spans="1:106">
      <c r="A404" s="143"/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43"/>
      <c r="AU404" s="143"/>
      <c r="AV404" s="143"/>
      <c r="AW404" s="143"/>
      <c r="AX404" s="143"/>
      <c r="AY404" s="143"/>
      <c r="AZ404" s="143"/>
      <c r="BA404" s="143"/>
      <c r="BB404" s="143"/>
      <c r="BC404" s="143"/>
      <c r="BD404" s="143"/>
      <c r="BE404" s="143"/>
      <c r="BF404" s="143"/>
      <c r="BG404" s="143"/>
      <c r="BH404" s="266"/>
      <c r="BI404" s="267"/>
      <c r="BJ404" s="266"/>
      <c r="BK404" s="268"/>
      <c r="BL404" s="266"/>
      <c r="BM404" s="266"/>
      <c r="BN404" s="266"/>
      <c r="BO404" s="266"/>
      <c r="BP404" s="266"/>
      <c r="BQ404" s="266"/>
      <c r="BR404" s="266"/>
      <c r="BS404" s="143"/>
      <c r="BT404" s="143"/>
      <c r="BU404" s="143"/>
      <c r="BV404" s="143"/>
      <c r="BW404" s="143"/>
      <c r="BX404" s="143"/>
      <c r="BY404" s="143"/>
      <c r="BZ404" s="143"/>
      <c r="CA404" s="143"/>
      <c r="CB404" s="143"/>
      <c r="CC404" s="143"/>
      <c r="CD404" s="143"/>
      <c r="CE404" s="143"/>
      <c r="CF404" s="143"/>
      <c r="CG404" s="145"/>
      <c r="CH404" s="143"/>
      <c r="CI404" s="143"/>
      <c r="CJ404" s="143"/>
      <c r="CK404" s="143"/>
      <c r="CL404" s="143"/>
      <c r="CM404" s="143"/>
      <c r="CN404" s="170"/>
      <c r="CO404" s="143"/>
      <c r="CP404" s="143"/>
      <c r="CQ404" s="143"/>
      <c r="CR404" s="2741">
        <f t="shared" si="36"/>
        <v>14</v>
      </c>
      <c r="CS404" s="1571"/>
      <c r="CT404" s="1571"/>
      <c r="CU404" s="170"/>
      <c r="CV404" s="170"/>
      <c r="CW404" s="234"/>
      <c r="CX404" s="1571"/>
      <c r="CY404" s="1571"/>
      <c r="CZ404" s="1571"/>
      <c r="DA404" s="143"/>
      <c r="DB404" s="143"/>
    </row>
    <row r="405" spans="1:106">
      <c r="A405" s="143"/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43"/>
      <c r="AU405" s="143"/>
      <c r="AV405" s="143"/>
      <c r="AW405" s="143"/>
      <c r="AX405" s="143"/>
      <c r="AY405" s="143"/>
      <c r="AZ405" s="143"/>
      <c r="BA405" s="143"/>
      <c r="BB405" s="143"/>
      <c r="BC405" s="143"/>
      <c r="BD405" s="143"/>
      <c r="BE405" s="143"/>
      <c r="BF405" s="143"/>
      <c r="BG405" s="143"/>
      <c r="BH405" s="170"/>
      <c r="BI405" s="170"/>
      <c r="BJ405" s="170"/>
      <c r="BK405" s="257"/>
      <c r="BL405" s="170"/>
      <c r="BM405" s="170"/>
      <c r="BN405" s="170"/>
      <c r="BO405" s="170"/>
      <c r="BP405" s="170"/>
      <c r="BQ405" s="170"/>
      <c r="BR405" s="170"/>
      <c r="BS405" s="143"/>
      <c r="BT405" s="143"/>
      <c r="BU405" s="143"/>
      <c r="BV405" s="143"/>
      <c r="BW405" s="143"/>
      <c r="BX405" s="143"/>
      <c r="BY405" s="143"/>
      <c r="BZ405" s="143"/>
      <c r="CA405" s="143"/>
      <c r="CB405" s="143"/>
      <c r="CC405" s="143"/>
      <c r="CD405" s="143"/>
      <c r="CE405" s="143"/>
      <c r="CF405" s="143"/>
      <c r="CG405" s="145"/>
      <c r="CH405" s="143"/>
      <c r="CI405" s="143"/>
      <c r="CJ405" s="143"/>
      <c r="CK405" s="143"/>
      <c r="CL405" s="143"/>
      <c r="CM405" s="143"/>
      <c r="CN405" s="170"/>
      <c r="CO405" s="143"/>
      <c r="CP405" s="143"/>
      <c r="CQ405" s="143"/>
      <c r="CR405" s="2741">
        <f t="shared" si="36"/>
        <v>15</v>
      </c>
      <c r="CS405" s="233" t="s">
        <v>207</v>
      </c>
      <c r="CT405" s="1571"/>
      <c r="CU405" s="170"/>
      <c r="CV405" s="170"/>
      <c r="CW405" s="234"/>
      <c r="CX405" s="1571"/>
      <c r="CY405" s="1571"/>
      <c r="CZ405" s="1571"/>
      <c r="DA405" s="143"/>
      <c r="DB405" s="143"/>
    </row>
    <row r="406" spans="1:106">
      <c r="A406" s="143"/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  <c r="AU406" s="143"/>
      <c r="AV406" s="143"/>
      <c r="AW406" s="143"/>
      <c r="AX406" s="143"/>
      <c r="AY406" s="143"/>
      <c r="AZ406" s="143"/>
      <c r="BA406" s="143"/>
      <c r="BB406" s="143"/>
      <c r="BC406" s="143"/>
      <c r="BD406" s="143"/>
      <c r="BE406" s="143"/>
      <c r="BF406" s="143"/>
      <c r="BG406" s="143"/>
      <c r="BH406" s="170"/>
      <c r="BI406" s="170"/>
      <c r="BJ406" s="269"/>
      <c r="BK406" s="254"/>
      <c r="BL406" s="255"/>
      <c r="BM406" s="255"/>
      <c r="BN406" s="255"/>
      <c r="BO406" s="255"/>
      <c r="BP406" s="255"/>
      <c r="BQ406" s="170"/>
      <c r="BR406" s="255"/>
      <c r="BS406" s="143"/>
      <c r="BT406" s="143"/>
      <c r="BU406" s="143"/>
      <c r="BV406" s="143"/>
      <c r="BW406" s="143"/>
      <c r="BX406" s="143"/>
      <c r="BY406" s="143"/>
      <c r="BZ406" s="143"/>
      <c r="CA406" s="143"/>
      <c r="CB406" s="143"/>
      <c r="CC406" s="143"/>
      <c r="CD406" s="143"/>
      <c r="CE406" s="143"/>
      <c r="CF406" s="143"/>
      <c r="CG406" s="145"/>
      <c r="CH406" s="143"/>
      <c r="CI406" s="143"/>
      <c r="CJ406" s="143"/>
      <c r="CK406" s="143"/>
      <c r="CL406" s="143"/>
      <c r="CM406" s="143"/>
      <c r="CN406" s="170"/>
      <c r="CO406" s="143"/>
      <c r="CP406" s="143"/>
      <c r="CQ406" s="143"/>
      <c r="CR406" s="2741">
        <f t="shared" si="36"/>
        <v>16</v>
      </c>
      <c r="CS406" s="235" t="str">
        <f>BE200</f>
        <v>March 2018</v>
      </c>
      <c r="CT406" s="1571"/>
      <c r="CU406" s="236"/>
      <c r="CV406" s="236"/>
      <c r="CW406" s="236"/>
      <c r="CX406" s="182">
        <v>0</v>
      </c>
      <c r="CY406" s="182">
        <v>0</v>
      </c>
      <c r="CZ406" s="182">
        <v>0</v>
      </c>
      <c r="DA406" s="401">
        <f t="shared" ref="DA406:DA418" si="37">SUM(CW406:CZ406)</f>
        <v>0</v>
      </c>
      <c r="DB406" s="143"/>
    </row>
    <row r="407" spans="1:106">
      <c r="A407" s="143"/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43"/>
      <c r="AU407" s="143"/>
      <c r="AV407" s="143"/>
      <c r="AW407" s="143"/>
      <c r="AX407" s="143"/>
      <c r="AY407" s="143"/>
      <c r="AZ407" s="143"/>
      <c r="BA407" s="143"/>
      <c r="BB407" s="143"/>
      <c r="BC407" s="143"/>
      <c r="BD407" s="143"/>
      <c r="BE407" s="143"/>
      <c r="BF407" s="143"/>
      <c r="BG407" s="143"/>
      <c r="BH407" s="170"/>
      <c r="BI407" s="170"/>
      <c r="BJ407" s="269"/>
      <c r="BK407" s="254"/>
      <c r="BL407" s="255"/>
      <c r="BM407" s="255"/>
      <c r="BN407" s="255"/>
      <c r="BO407" s="255"/>
      <c r="BP407" s="255"/>
      <c r="BQ407" s="170"/>
      <c r="BR407" s="255"/>
      <c r="BS407" s="143"/>
      <c r="BT407" s="143"/>
      <c r="BU407" s="143"/>
      <c r="BV407" s="143"/>
      <c r="BW407" s="143"/>
      <c r="BX407" s="143"/>
      <c r="BY407" s="143"/>
      <c r="BZ407" s="143"/>
      <c r="CA407" s="143"/>
      <c r="CB407" s="143"/>
      <c r="CC407" s="143"/>
      <c r="CD407" s="143"/>
      <c r="CE407" s="143"/>
      <c r="CF407" s="143"/>
      <c r="CG407" s="145"/>
      <c r="CH407" s="143"/>
      <c r="CI407" s="143"/>
      <c r="CJ407" s="143"/>
      <c r="CK407" s="143"/>
      <c r="CL407" s="143"/>
      <c r="CM407" s="143"/>
      <c r="CN407" s="170"/>
      <c r="CO407" s="143"/>
      <c r="CP407" s="143"/>
      <c r="CQ407" s="143"/>
      <c r="CR407" s="2741">
        <f t="shared" si="36"/>
        <v>17</v>
      </c>
      <c r="CS407" s="235" t="str">
        <f t="shared" ref="CS407:CS418" si="38">BE201</f>
        <v>April</v>
      </c>
      <c r="CT407" s="1571"/>
      <c r="CU407" s="236"/>
      <c r="CV407" s="236"/>
      <c r="CW407" s="236"/>
      <c r="CX407" s="182">
        <v>0</v>
      </c>
      <c r="CY407" s="182">
        <v>0</v>
      </c>
      <c r="CZ407" s="182">
        <v>0</v>
      </c>
      <c r="DA407" s="401">
        <f t="shared" si="37"/>
        <v>0</v>
      </c>
      <c r="DB407" s="143"/>
    </row>
    <row r="408" spans="1:106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43"/>
      <c r="AU408" s="143"/>
      <c r="AV408" s="143"/>
      <c r="AW408" s="143"/>
      <c r="AX408" s="143"/>
      <c r="AY408" s="143"/>
      <c r="AZ408" s="143"/>
      <c r="BA408" s="143"/>
      <c r="BB408" s="143"/>
      <c r="BC408" s="143"/>
      <c r="BD408" s="143"/>
      <c r="BE408" s="143"/>
      <c r="BF408" s="143"/>
      <c r="BG408" s="143"/>
      <c r="BH408" s="170"/>
      <c r="BI408" s="170"/>
      <c r="BJ408" s="269"/>
      <c r="BK408" s="254"/>
      <c r="BL408" s="255"/>
      <c r="BM408" s="255"/>
      <c r="BN408" s="255"/>
      <c r="BO408" s="255"/>
      <c r="BP408" s="255"/>
      <c r="BQ408" s="170"/>
      <c r="BR408" s="255"/>
      <c r="BS408" s="143"/>
      <c r="BT408" s="143"/>
      <c r="BU408" s="143"/>
      <c r="BV408" s="143"/>
      <c r="BW408" s="143"/>
      <c r="BX408" s="143"/>
      <c r="BY408" s="143"/>
      <c r="BZ408" s="143"/>
      <c r="CA408" s="143"/>
      <c r="CB408" s="143"/>
      <c r="CC408" s="143"/>
      <c r="CD408" s="143"/>
      <c r="CE408" s="143"/>
      <c r="CF408" s="143"/>
      <c r="CG408" s="145"/>
      <c r="CH408" s="143"/>
      <c r="CI408" s="143"/>
      <c r="CJ408" s="143"/>
      <c r="CK408" s="143"/>
      <c r="CL408" s="143"/>
      <c r="CM408" s="143"/>
      <c r="CN408" s="170"/>
      <c r="CO408" s="143"/>
      <c r="CP408" s="143"/>
      <c r="CQ408" s="143"/>
      <c r="CR408" s="2741">
        <f t="shared" si="36"/>
        <v>18</v>
      </c>
      <c r="CS408" s="235" t="str">
        <f t="shared" si="38"/>
        <v>May</v>
      </c>
      <c r="CT408" s="1571"/>
      <c r="CU408" s="236"/>
      <c r="CV408" s="236"/>
      <c r="CW408" s="236"/>
      <c r="CX408" s="182">
        <v>0</v>
      </c>
      <c r="CY408" s="182">
        <v>0</v>
      </c>
      <c r="CZ408" s="182">
        <v>0</v>
      </c>
      <c r="DA408" s="401">
        <f t="shared" si="37"/>
        <v>0</v>
      </c>
      <c r="DB408" s="143"/>
    </row>
    <row r="409" spans="1:106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43"/>
      <c r="AU409" s="143"/>
      <c r="AV409" s="143"/>
      <c r="AW409" s="143"/>
      <c r="AX409" s="143"/>
      <c r="AY409" s="143"/>
      <c r="AZ409" s="143"/>
      <c r="BA409" s="143"/>
      <c r="BB409" s="143"/>
      <c r="BC409" s="143"/>
      <c r="BD409" s="143"/>
      <c r="BE409" s="143"/>
      <c r="BF409" s="143"/>
      <c r="BG409" s="143"/>
      <c r="BH409" s="170"/>
      <c r="BI409" s="170"/>
      <c r="BJ409" s="269"/>
      <c r="BK409" s="254"/>
      <c r="BL409" s="255"/>
      <c r="BM409" s="255"/>
      <c r="BN409" s="255"/>
      <c r="BO409" s="255"/>
      <c r="BP409" s="255"/>
      <c r="BQ409" s="170"/>
      <c r="BR409" s="255"/>
      <c r="BS409" s="143"/>
      <c r="BT409" s="143"/>
      <c r="BU409" s="143"/>
      <c r="BV409" s="143"/>
      <c r="BW409" s="143"/>
      <c r="BX409" s="143"/>
      <c r="BY409" s="143"/>
      <c r="BZ409" s="143"/>
      <c r="CA409" s="143"/>
      <c r="CB409" s="143"/>
      <c r="CC409" s="143"/>
      <c r="CD409" s="143"/>
      <c r="CE409" s="143"/>
      <c r="CF409" s="143"/>
      <c r="CG409" s="145"/>
      <c r="CH409" s="143"/>
      <c r="CI409" s="143"/>
      <c r="CJ409" s="143"/>
      <c r="CK409" s="143"/>
      <c r="CL409" s="143"/>
      <c r="CM409" s="143"/>
      <c r="CN409" s="170"/>
      <c r="CO409" s="143"/>
      <c r="CP409" s="143"/>
      <c r="CQ409" s="143"/>
      <c r="CR409" s="2741">
        <f t="shared" si="36"/>
        <v>19</v>
      </c>
      <c r="CS409" s="235" t="str">
        <f t="shared" si="38"/>
        <v>June</v>
      </c>
      <c r="CT409" s="1571"/>
      <c r="CU409" s="236"/>
      <c r="CV409" s="236"/>
      <c r="CW409" s="236"/>
      <c r="CX409" s="182">
        <v>0</v>
      </c>
      <c r="CY409" s="182">
        <v>0</v>
      </c>
      <c r="CZ409" s="182">
        <v>0</v>
      </c>
      <c r="DA409" s="401">
        <f t="shared" si="37"/>
        <v>0</v>
      </c>
      <c r="DB409" s="143"/>
    </row>
    <row r="410" spans="1:106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43"/>
      <c r="AU410" s="143"/>
      <c r="AV410" s="143"/>
      <c r="AW410" s="143"/>
      <c r="AX410" s="143"/>
      <c r="AY410" s="143"/>
      <c r="AZ410" s="143"/>
      <c r="BA410" s="143"/>
      <c r="BB410" s="143"/>
      <c r="BC410" s="143"/>
      <c r="BD410" s="143"/>
      <c r="BE410" s="143"/>
      <c r="BF410" s="143"/>
      <c r="BG410" s="143"/>
      <c r="BH410" s="170"/>
      <c r="BI410" s="170"/>
      <c r="BJ410" s="269"/>
      <c r="BK410" s="254"/>
      <c r="BL410" s="255"/>
      <c r="BM410" s="255"/>
      <c r="BN410" s="255"/>
      <c r="BO410" s="255"/>
      <c r="BP410" s="255"/>
      <c r="BQ410" s="170"/>
      <c r="BR410" s="255"/>
      <c r="BS410" s="143"/>
      <c r="BT410" s="143"/>
      <c r="BU410" s="143"/>
      <c r="BV410" s="143"/>
      <c r="BW410" s="143"/>
      <c r="BX410" s="143"/>
      <c r="BY410" s="143"/>
      <c r="BZ410" s="143"/>
      <c r="CA410" s="143"/>
      <c r="CB410" s="143"/>
      <c r="CC410" s="143"/>
      <c r="CD410" s="143"/>
      <c r="CE410" s="143"/>
      <c r="CF410" s="143"/>
      <c r="CG410" s="145"/>
      <c r="CH410" s="143"/>
      <c r="CI410" s="143"/>
      <c r="CJ410" s="143"/>
      <c r="CK410" s="143"/>
      <c r="CL410" s="143"/>
      <c r="CM410" s="143"/>
      <c r="CN410" s="170"/>
      <c r="CO410" s="143"/>
      <c r="CP410" s="143"/>
      <c r="CQ410" s="143"/>
      <c r="CR410" s="2741">
        <f t="shared" si="36"/>
        <v>20</v>
      </c>
      <c r="CS410" s="235" t="str">
        <f t="shared" si="38"/>
        <v>July</v>
      </c>
      <c r="CT410" s="1571"/>
      <c r="CU410" s="236"/>
      <c r="CV410" s="236"/>
      <c r="CW410" s="236"/>
      <c r="CX410" s="182">
        <v>0</v>
      </c>
      <c r="CY410" s="182">
        <v>0</v>
      </c>
      <c r="CZ410" s="182">
        <v>0</v>
      </c>
      <c r="DA410" s="401">
        <f t="shared" si="37"/>
        <v>0</v>
      </c>
      <c r="DB410" s="143"/>
    </row>
    <row r="411" spans="1:106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43"/>
      <c r="AU411" s="143"/>
      <c r="AV411" s="143"/>
      <c r="AW411" s="143"/>
      <c r="AX411" s="143"/>
      <c r="AY411" s="143"/>
      <c r="AZ411" s="143"/>
      <c r="BA411" s="143"/>
      <c r="BB411" s="143"/>
      <c r="BC411" s="143"/>
      <c r="BD411" s="143"/>
      <c r="BE411" s="143"/>
      <c r="BF411" s="143"/>
      <c r="BG411" s="143"/>
      <c r="BH411" s="170"/>
      <c r="BI411" s="170"/>
      <c r="BJ411" s="269"/>
      <c r="BK411" s="254"/>
      <c r="BL411" s="255"/>
      <c r="BM411" s="255"/>
      <c r="BN411" s="255"/>
      <c r="BO411" s="255"/>
      <c r="BP411" s="255"/>
      <c r="BQ411" s="170"/>
      <c r="BR411" s="255"/>
      <c r="BS411" s="143"/>
      <c r="BT411" s="143"/>
      <c r="BU411" s="143"/>
      <c r="BV411" s="143"/>
      <c r="BW411" s="143"/>
      <c r="BX411" s="143"/>
      <c r="BY411" s="143"/>
      <c r="BZ411" s="143"/>
      <c r="CA411" s="143"/>
      <c r="CB411" s="143"/>
      <c r="CC411" s="143"/>
      <c r="CD411" s="143"/>
      <c r="CE411" s="143"/>
      <c r="CF411" s="143"/>
      <c r="CG411" s="145"/>
      <c r="CH411" s="143"/>
      <c r="CI411" s="143"/>
      <c r="CJ411" s="143"/>
      <c r="CK411" s="143"/>
      <c r="CL411" s="143"/>
      <c r="CM411" s="143"/>
      <c r="CN411" s="170"/>
      <c r="CO411" s="143"/>
      <c r="CP411" s="143"/>
      <c r="CQ411" s="143"/>
      <c r="CR411" s="2741">
        <f t="shared" si="36"/>
        <v>21</v>
      </c>
      <c r="CS411" s="235" t="str">
        <f t="shared" si="38"/>
        <v>August</v>
      </c>
      <c r="CT411" s="1571"/>
      <c r="CU411" s="236"/>
      <c r="CV411" s="236"/>
      <c r="CW411" s="236"/>
      <c r="CX411" s="182">
        <v>0</v>
      </c>
      <c r="CY411" s="182">
        <v>0</v>
      </c>
      <c r="CZ411" s="182">
        <v>0</v>
      </c>
      <c r="DA411" s="401">
        <f t="shared" si="37"/>
        <v>0</v>
      </c>
      <c r="DB411" s="143"/>
    </row>
    <row r="412" spans="1:106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43"/>
      <c r="AU412" s="143"/>
      <c r="AV412" s="143"/>
      <c r="AW412" s="143"/>
      <c r="AX412" s="143"/>
      <c r="AY412" s="143"/>
      <c r="AZ412" s="143"/>
      <c r="BA412" s="143"/>
      <c r="BB412" s="143"/>
      <c r="BC412" s="143"/>
      <c r="BD412" s="143"/>
      <c r="BE412" s="143"/>
      <c r="BF412" s="143"/>
      <c r="BG412" s="143"/>
      <c r="BH412" s="170"/>
      <c r="BI412" s="170"/>
      <c r="BJ412" s="269"/>
      <c r="BK412" s="254"/>
      <c r="BL412" s="255"/>
      <c r="BM412" s="255"/>
      <c r="BN412" s="255"/>
      <c r="BO412" s="255"/>
      <c r="BP412" s="255"/>
      <c r="BQ412" s="170"/>
      <c r="BR412" s="255"/>
      <c r="BS412" s="143"/>
      <c r="BT412" s="143"/>
      <c r="BU412" s="143"/>
      <c r="BV412" s="143"/>
      <c r="BW412" s="143"/>
      <c r="BX412" s="143"/>
      <c r="BY412" s="143"/>
      <c r="BZ412" s="143"/>
      <c r="CA412" s="143"/>
      <c r="CB412" s="143"/>
      <c r="CC412" s="143"/>
      <c r="CD412" s="143"/>
      <c r="CE412" s="143"/>
      <c r="CF412" s="143"/>
      <c r="CG412" s="145"/>
      <c r="CH412" s="143"/>
      <c r="CI412" s="143"/>
      <c r="CJ412" s="143"/>
      <c r="CK412" s="143"/>
      <c r="CL412" s="143"/>
      <c r="CM412" s="143"/>
      <c r="CN412" s="170"/>
      <c r="CO412" s="143"/>
      <c r="CP412" s="143"/>
      <c r="CQ412" s="143"/>
      <c r="CR412" s="2741">
        <f t="shared" si="36"/>
        <v>22</v>
      </c>
      <c r="CS412" s="235" t="str">
        <f t="shared" si="38"/>
        <v>September</v>
      </c>
      <c r="CT412" s="1571"/>
      <c r="CU412" s="236"/>
      <c r="CV412" s="236"/>
      <c r="CW412" s="236"/>
      <c r="CX412" s="182">
        <v>0</v>
      </c>
      <c r="CY412" s="182">
        <v>0</v>
      </c>
      <c r="CZ412" s="182">
        <v>0</v>
      </c>
      <c r="DA412" s="401">
        <f t="shared" si="37"/>
        <v>0</v>
      </c>
      <c r="DB412" s="143"/>
    </row>
    <row r="413" spans="1:106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43"/>
      <c r="AU413" s="143"/>
      <c r="AV413" s="143"/>
      <c r="AW413" s="143"/>
      <c r="AX413" s="143"/>
      <c r="AY413" s="143"/>
      <c r="AZ413" s="143"/>
      <c r="BA413" s="143"/>
      <c r="BB413" s="143"/>
      <c r="BC413" s="143"/>
      <c r="BD413" s="143"/>
      <c r="BE413" s="143"/>
      <c r="BF413" s="143"/>
      <c r="BG413" s="143"/>
      <c r="BH413" s="170"/>
      <c r="BI413" s="170"/>
      <c r="BJ413" s="269"/>
      <c r="BK413" s="254"/>
      <c r="BL413" s="255"/>
      <c r="BM413" s="255"/>
      <c r="BN413" s="255"/>
      <c r="BO413" s="255"/>
      <c r="BP413" s="255"/>
      <c r="BQ413" s="170"/>
      <c r="BR413" s="255"/>
      <c r="BS413" s="143"/>
      <c r="BT413" s="143"/>
      <c r="BU413" s="143"/>
      <c r="BV413" s="143"/>
      <c r="BW413" s="143"/>
      <c r="BX413" s="143"/>
      <c r="BY413" s="143"/>
      <c r="BZ413" s="143"/>
      <c r="CA413" s="143"/>
      <c r="CB413" s="143"/>
      <c r="CC413" s="143"/>
      <c r="CD413" s="143"/>
      <c r="CE413" s="143"/>
      <c r="CF413" s="143"/>
      <c r="CG413" s="145"/>
      <c r="CH413" s="143"/>
      <c r="CI413" s="143"/>
      <c r="CJ413" s="143"/>
      <c r="CK413" s="143"/>
      <c r="CL413" s="143"/>
      <c r="CM413" s="143"/>
      <c r="CN413" s="170"/>
      <c r="CO413" s="143"/>
      <c r="CP413" s="143"/>
      <c r="CQ413" s="143"/>
      <c r="CR413" s="2741">
        <f t="shared" si="36"/>
        <v>23</v>
      </c>
      <c r="CS413" s="235" t="str">
        <f t="shared" si="38"/>
        <v>October</v>
      </c>
      <c r="CT413" s="1571"/>
      <c r="CU413" s="236"/>
      <c r="CV413" s="236"/>
      <c r="CW413" s="236"/>
      <c r="CX413" s="182">
        <v>0</v>
      </c>
      <c r="CY413" s="182">
        <v>0</v>
      </c>
      <c r="CZ413" s="182">
        <v>0</v>
      </c>
      <c r="DA413" s="401">
        <f t="shared" si="37"/>
        <v>0</v>
      </c>
      <c r="DB413" s="143"/>
    </row>
    <row r="414" spans="1:106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43"/>
      <c r="AU414" s="143"/>
      <c r="AV414" s="143"/>
      <c r="AW414" s="143"/>
      <c r="AX414" s="143"/>
      <c r="AY414" s="143"/>
      <c r="AZ414" s="143"/>
      <c r="BA414" s="143"/>
      <c r="BB414" s="143"/>
      <c r="BC414" s="143"/>
      <c r="BD414" s="143"/>
      <c r="BE414" s="143"/>
      <c r="BF414" s="143"/>
      <c r="BG414" s="143"/>
      <c r="BH414" s="170"/>
      <c r="BI414" s="170"/>
      <c r="BJ414" s="269"/>
      <c r="BK414" s="254"/>
      <c r="BL414" s="255"/>
      <c r="BM414" s="255"/>
      <c r="BN414" s="255"/>
      <c r="BO414" s="255"/>
      <c r="BP414" s="255"/>
      <c r="BQ414" s="170"/>
      <c r="BR414" s="255"/>
      <c r="BS414" s="143"/>
      <c r="BT414" s="143"/>
      <c r="BU414" s="143"/>
      <c r="BV414" s="143"/>
      <c r="BW414" s="143"/>
      <c r="BX414" s="143"/>
      <c r="BY414" s="143"/>
      <c r="BZ414" s="143"/>
      <c r="CA414" s="143"/>
      <c r="CB414" s="143"/>
      <c r="CC414" s="143"/>
      <c r="CD414" s="143"/>
      <c r="CE414" s="143"/>
      <c r="CF414" s="143"/>
      <c r="CG414" s="145"/>
      <c r="CH414" s="143"/>
      <c r="CI414" s="143"/>
      <c r="CJ414" s="143"/>
      <c r="CK414" s="143"/>
      <c r="CL414" s="143"/>
      <c r="CM414" s="143"/>
      <c r="CN414" s="170"/>
      <c r="CO414" s="143"/>
      <c r="CP414" s="143"/>
      <c r="CQ414" s="143"/>
      <c r="CR414" s="2741">
        <f t="shared" si="36"/>
        <v>24</v>
      </c>
      <c r="CS414" s="235" t="str">
        <f t="shared" si="38"/>
        <v>November</v>
      </c>
      <c r="CT414" s="1571"/>
      <c r="CU414" s="236"/>
      <c r="CV414" s="236"/>
      <c r="CW414" s="236"/>
      <c r="CX414" s="182">
        <v>0</v>
      </c>
      <c r="CY414" s="182">
        <v>0</v>
      </c>
      <c r="CZ414" s="182">
        <v>0</v>
      </c>
      <c r="DA414" s="401">
        <f t="shared" si="37"/>
        <v>0</v>
      </c>
      <c r="DB414" s="143"/>
    </row>
    <row r="415" spans="1:106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  <c r="AU415" s="143"/>
      <c r="AV415" s="143"/>
      <c r="AW415" s="143"/>
      <c r="AX415" s="143"/>
      <c r="AY415" s="143"/>
      <c r="AZ415" s="143"/>
      <c r="BA415" s="143"/>
      <c r="BB415" s="143"/>
      <c r="BC415" s="143"/>
      <c r="BD415" s="143"/>
      <c r="BE415" s="143"/>
      <c r="BF415" s="143"/>
      <c r="BG415" s="143"/>
      <c r="BH415" s="170"/>
      <c r="BI415" s="170"/>
      <c r="BJ415" s="269"/>
      <c r="BK415" s="254"/>
      <c r="BL415" s="255"/>
      <c r="BM415" s="255"/>
      <c r="BN415" s="255"/>
      <c r="BO415" s="255"/>
      <c r="BP415" s="255"/>
      <c r="BQ415" s="170"/>
      <c r="BR415" s="255"/>
      <c r="BS415" s="143"/>
      <c r="BT415" s="143"/>
      <c r="BU415" s="143"/>
      <c r="BV415" s="143"/>
      <c r="BW415" s="143"/>
      <c r="BX415" s="143"/>
      <c r="BY415" s="143"/>
      <c r="BZ415" s="143"/>
      <c r="CA415" s="143"/>
      <c r="CB415" s="143"/>
      <c r="CC415" s="143"/>
      <c r="CD415" s="143"/>
      <c r="CE415" s="143"/>
      <c r="CF415" s="143"/>
      <c r="CG415" s="145"/>
      <c r="CH415" s="143"/>
      <c r="CI415" s="143"/>
      <c r="CJ415" s="143"/>
      <c r="CK415" s="143"/>
      <c r="CL415" s="143"/>
      <c r="CM415" s="143"/>
      <c r="CN415" s="170"/>
      <c r="CO415" s="143"/>
      <c r="CP415" s="143"/>
      <c r="CQ415" s="143"/>
      <c r="CR415" s="2741">
        <f t="shared" si="36"/>
        <v>25</v>
      </c>
      <c r="CS415" s="235" t="str">
        <f t="shared" si="38"/>
        <v>December</v>
      </c>
      <c r="CT415" s="1571"/>
      <c r="CU415" s="236"/>
      <c r="CV415" s="236"/>
      <c r="CW415" s="236"/>
      <c r="CX415" s="182">
        <v>0</v>
      </c>
      <c r="CY415" s="182">
        <v>0</v>
      </c>
      <c r="CZ415" s="182">
        <v>0</v>
      </c>
      <c r="DA415" s="401">
        <f t="shared" si="37"/>
        <v>0</v>
      </c>
      <c r="DB415" s="143"/>
    </row>
    <row r="416" spans="1:106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43"/>
      <c r="AU416" s="143"/>
      <c r="AV416" s="143"/>
      <c r="AW416" s="143"/>
      <c r="AX416" s="143"/>
      <c r="AY416" s="143"/>
      <c r="AZ416" s="143"/>
      <c r="BA416" s="143"/>
      <c r="BB416" s="143"/>
      <c r="BC416" s="143"/>
      <c r="BD416" s="143"/>
      <c r="BE416" s="143"/>
      <c r="BF416" s="143"/>
      <c r="BG416" s="143"/>
      <c r="BH416" s="170"/>
      <c r="BI416" s="170"/>
      <c r="BJ416" s="269"/>
      <c r="BK416" s="254"/>
      <c r="BL416" s="255"/>
      <c r="BM416" s="255"/>
      <c r="BN416" s="255"/>
      <c r="BO416" s="255"/>
      <c r="BP416" s="255"/>
      <c r="BQ416" s="170"/>
      <c r="BR416" s="255"/>
      <c r="BS416" s="143"/>
      <c r="BT416" s="143"/>
      <c r="BU416" s="143"/>
      <c r="BV416" s="143"/>
      <c r="BW416" s="143"/>
      <c r="BX416" s="143"/>
      <c r="BY416" s="143"/>
      <c r="BZ416" s="143"/>
      <c r="CA416" s="143"/>
      <c r="CB416" s="143"/>
      <c r="CC416" s="143"/>
      <c r="CD416" s="143"/>
      <c r="CE416" s="143"/>
      <c r="CF416" s="143"/>
      <c r="CG416" s="145"/>
      <c r="CH416" s="143"/>
      <c r="CI416" s="143"/>
      <c r="CJ416" s="143"/>
      <c r="CK416" s="143"/>
      <c r="CL416" s="143"/>
      <c r="CM416" s="143"/>
      <c r="CN416" s="170"/>
      <c r="CO416" s="143"/>
      <c r="CP416" s="143"/>
      <c r="CQ416" s="143"/>
      <c r="CR416" s="2741">
        <f t="shared" si="36"/>
        <v>26</v>
      </c>
      <c r="CS416" s="235" t="str">
        <f t="shared" si="38"/>
        <v>January 2019</v>
      </c>
      <c r="CT416" s="1571"/>
      <c r="CU416" s="236"/>
      <c r="CV416" s="236"/>
      <c r="CW416" s="236"/>
      <c r="CX416" s="182">
        <v>0</v>
      </c>
      <c r="CY416" s="182">
        <v>0</v>
      </c>
      <c r="CZ416" s="182">
        <v>0</v>
      </c>
      <c r="DA416" s="401">
        <f t="shared" si="37"/>
        <v>0</v>
      </c>
      <c r="DB416" s="143"/>
    </row>
    <row r="417" spans="1:106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43"/>
      <c r="AU417" s="143"/>
      <c r="AV417" s="143"/>
      <c r="AW417" s="143"/>
      <c r="AX417" s="143"/>
      <c r="AY417" s="143"/>
      <c r="AZ417" s="143"/>
      <c r="BA417" s="143"/>
      <c r="BB417" s="143"/>
      <c r="BC417" s="143"/>
      <c r="BD417" s="143"/>
      <c r="BE417" s="143"/>
      <c r="BF417" s="143"/>
      <c r="BG417" s="143"/>
      <c r="BH417" s="170"/>
      <c r="BI417" s="170"/>
      <c r="BJ417" s="269"/>
      <c r="BK417" s="254"/>
      <c r="BL417" s="255"/>
      <c r="BM417" s="255"/>
      <c r="BN417" s="255"/>
      <c r="BO417" s="255"/>
      <c r="BP417" s="255"/>
      <c r="BQ417" s="170"/>
      <c r="BR417" s="255"/>
      <c r="BS417" s="143"/>
      <c r="BT417" s="143"/>
      <c r="BU417" s="143"/>
      <c r="BV417" s="143"/>
      <c r="BW417" s="143"/>
      <c r="BX417" s="143"/>
      <c r="BY417" s="143"/>
      <c r="BZ417" s="143"/>
      <c r="CA417" s="143"/>
      <c r="CB417" s="143"/>
      <c r="CC417" s="143"/>
      <c r="CD417" s="143"/>
      <c r="CE417" s="143"/>
      <c r="CF417" s="143"/>
      <c r="CG417" s="145"/>
      <c r="CH417" s="143"/>
      <c r="CI417" s="143"/>
      <c r="CJ417" s="143"/>
      <c r="CK417" s="143"/>
      <c r="CL417" s="143"/>
      <c r="CM417" s="143"/>
      <c r="CN417" s="170"/>
      <c r="CO417" s="143"/>
      <c r="CP417" s="143"/>
      <c r="CQ417" s="143"/>
      <c r="CR417" s="2741">
        <f t="shared" si="36"/>
        <v>27</v>
      </c>
      <c r="CS417" s="235" t="str">
        <f t="shared" si="38"/>
        <v>February</v>
      </c>
      <c r="CT417" s="1571"/>
      <c r="CU417" s="236"/>
      <c r="CV417" s="236"/>
      <c r="CW417" s="236"/>
      <c r="CX417" s="182">
        <v>0</v>
      </c>
      <c r="CY417" s="182">
        <v>0</v>
      </c>
      <c r="CZ417" s="182">
        <v>0</v>
      </c>
      <c r="DA417" s="401">
        <f t="shared" si="37"/>
        <v>0</v>
      </c>
      <c r="DB417" s="143"/>
    </row>
    <row r="418" spans="1:106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43"/>
      <c r="AU418" s="143"/>
      <c r="AV418" s="143"/>
      <c r="AW418" s="143"/>
      <c r="AX418" s="143"/>
      <c r="AY418" s="143"/>
      <c r="AZ418" s="143"/>
      <c r="BA418" s="143"/>
      <c r="BB418" s="143"/>
      <c r="BC418" s="143"/>
      <c r="BD418" s="143"/>
      <c r="BE418" s="143"/>
      <c r="BF418" s="143"/>
      <c r="BG418" s="143"/>
      <c r="BH418" s="170"/>
      <c r="BI418" s="170"/>
      <c r="BJ418" s="269"/>
      <c r="BK418" s="254"/>
      <c r="BL418" s="270"/>
      <c r="BM418" s="270"/>
      <c r="BN418" s="270"/>
      <c r="BO418" s="270"/>
      <c r="BP418" s="270"/>
      <c r="BQ418" s="267"/>
      <c r="BR418" s="270"/>
      <c r="BS418" s="143"/>
      <c r="BT418" s="143"/>
      <c r="BU418" s="143"/>
      <c r="BV418" s="143"/>
      <c r="BW418" s="143"/>
      <c r="BX418" s="143"/>
      <c r="BY418" s="143"/>
      <c r="BZ418" s="143"/>
      <c r="CA418" s="143"/>
      <c r="CB418" s="143"/>
      <c r="CC418" s="143"/>
      <c r="CD418" s="143"/>
      <c r="CE418" s="143"/>
      <c r="CF418" s="143"/>
      <c r="CG418" s="145"/>
      <c r="CH418" s="143"/>
      <c r="CI418" s="143"/>
      <c r="CJ418" s="143"/>
      <c r="CK418" s="143"/>
      <c r="CL418" s="143"/>
      <c r="CM418" s="143"/>
      <c r="CN418" s="170"/>
      <c r="CO418" s="143"/>
      <c r="CP418" s="143"/>
      <c r="CQ418" s="143"/>
      <c r="CR418" s="2741">
        <f t="shared" si="36"/>
        <v>28</v>
      </c>
      <c r="CS418" s="235" t="str">
        <f t="shared" si="38"/>
        <v>March</v>
      </c>
      <c r="CT418" s="1571"/>
      <c r="CU418" s="236"/>
      <c r="CV418" s="236"/>
      <c r="CW418" s="236"/>
      <c r="CX418" s="182">
        <v>0</v>
      </c>
      <c r="CY418" s="182">
        <v>0</v>
      </c>
      <c r="CZ418" s="182">
        <v>0</v>
      </c>
      <c r="DA418" s="401">
        <f t="shared" si="37"/>
        <v>0</v>
      </c>
      <c r="DB418" s="143"/>
    </row>
    <row r="419" spans="1:106" ht="13.5" thickBot="1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43"/>
      <c r="AU419" s="143"/>
      <c r="AV419" s="143"/>
      <c r="AW419" s="143"/>
      <c r="AX419" s="143"/>
      <c r="AY419" s="143"/>
      <c r="AZ419" s="143"/>
      <c r="BA419" s="143"/>
      <c r="BB419" s="143"/>
      <c r="BC419" s="143"/>
      <c r="BD419" s="143"/>
      <c r="BE419" s="143"/>
      <c r="BF419" s="143"/>
      <c r="BG419" s="143"/>
      <c r="BH419" s="170"/>
      <c r="BI419" s="170"/>
      <c r="BJ419" s="170"/>
      <c r="BK419" s="255"/>
      <c r="BL419" s="271"/>
      <c r="BM419" s="255"/>
      <c r="BN419" s="271"/>
      <c r="BO419" s="255"/>
      <c r="BP419" s="271"/>
      <c r="BQ419" s="170"/>
      <c r="BR419" s="271"/>
      <c r="BS419" s="143"/>
      <c r="BT419" s="143"/>
      <c r="BU419" s="143"/>
      <c r="BV419" s="143"/>
      <c r="BW419" s="143"/>
      <c r="BX419" s="143"/>
      <c r="BY419" s="143"/>
      <c r="BZ419" s="143"/>
      <c r="CA419" s="143"/>
      <c r="CB419" s="143"/>
      <c r="CC419" s="143"/>
      <c r="CD419" s="143"/>
      <c r="CE419" s="143"/>
      <c r="CF419" s="143"/>
      <c r="CG419" s="145"/>
      <c r="CH419" s="143"/>
      <c r="CI419" s="143"/>
      <c r="CJ419" s="143"/>
      <c r="CK419" s="143"/>
      <c r="CL419" s="143"/>
      <c r="CM419" s="143"/>
      <c r="CN419" s="170"/>
      <c r="CO419" s="143"/>
      <c r="CP419" s="143"/>
      <c r="CQ419" s="143"/>
      <c r="CR419" s="2741">
        <f t="shared" si="36"/>
        <v>29</v>
      </c>
      <c r="CS419" s="2741" t="s">
        <v>1929</v>
      </c>
      <c r="CT419" s="1571"/>
      <c r="CU419" s="1460"/>
      <c r="CV419" s="1460"/>
      <c r="CW419" s="1460"/>
      <c r="CX419" s="191">
        <f>SUM(CX406:CX418)</f>
        <v>0</v>
      </c>
      <c r="CY419" s="191">
        <f>SUM(CY406:CY418)</f>
        <v>0</v>
      </c>
      <c r="CZ419" s="191">
        <f>SUM(CZ406:CZ418)</f>
        <v>0</v>
      </c>
      <c r="DA419" s="191">
        <f>SUM(DA406:DA418)</f>
        <v>0</v>
      </c>
      <c r="DB419" s="143"/>
    </row>
    <row r="420" spans="1:106" ht="13.5" thickTop="1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43"/>
      <c r="AU420" s="143"/>
      <c r="AV420" s="143"/>
      <c r="AW420" s="143"/>
      <c r="AX420" s="143"/>
      <c r="AY420" s="143"/>
      <c r="AZ420" s="143"/>
      <c r="BA420" s="143"/>
      <c r="BB420" s="143"/>
      <c r="BC420" s="143"/>
      <c r="BD420" s="143"/>
      <c r="BE420" s="143"/>
      <c r="BF420" s="143"/>
      <c r="BG420" s="143"/>
      <c r="BH420" s="170"/>
      <c r="BI420" s="170"/>
      <c r="BJ420" s="170"/>
      <c r="BK420" s="255"/>
      <c r="BL420" s="255"/>
      <c r="BM420" s="255"/>
      <c r="BN420" s="255"/>
      <c r="BO420" s="255"/>
      <c r="BP420" s="255"/>
      <c r="BQ420" s="170"/>
      <c r="BR420" s="255"/>
      <c r="BS420" s="143"/>
      <c r="BT420" s="143"/>
      <c r="BU420" s="143"/>
      <c r="BV420" s="143"/>
      <c r="BW420" s="143"/>
      <c r="BX420" s="143"/>
      <c r="BY420" s="143"/>
      <c r="BZ420" s="143"/>
      <c r="CA420" s="143"/>
      <c r="CB420" s="143"/>
      <c r="CC420" s="143"/>
      <c r="CD420" s="143"/>
      <c r="CE420" s="143"/>
      <c r="CF420" s="143"/>
      <c r="CG420" s="145"/>
      <c r="CH420" s="143"/>
      <c r="CI420" s="143"/>
      <c r="CJ420" s="143"/>
      <c r="CK420" s="143"/>
      <c r="CL420" s="143"/>
      <c r="CM420" s="143"/>
      <c r="CN420" s="170"/>
      <c r="CO420" s="143"/>
      <c r="CP420" s="143"/>
      <c r="CQ420" s="143"/>
      <c r="CR420" s="2741">
        <f t="shared" si="36"/>
        <v>30</v>
      </c>
      <c r="CS420" s="1571"/>
      <c r="CT420" s="1571"/>
      <c r="CU420" s="238"/>
      <c r="CV420" s="238"/>
      <c r="CW420" s="238"/>
      <c r="CX420" s="239"/>
      <c r="CY420" s="239"/>
      <c r="CZ420" s="239"/>
      <c r="DA420" s="239"/>
      <c r="DB420" s="143"/>
    </row>
    <row r="421" spans="1:106" ht="13.5" thickBot="1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43"/>
      <c r="AU421" s="143"/>
      <c r="AV421" s="143"/>
      <c r="AW421" s="143"/>
      <c r="AX421" s="143"/>
      <c r="AY421" s="143"/>
      <c r="AZ421" s="143"/>
      <c r="BA421" s="143"/>
      <c r="BB421" s="143"/>
      <c r="BC421" s="143"/>
      <c r="BD421" s="143"/>
      <c r="BE421" s="143"/>
      <c r="BF421" s="143"/>
      <c r="BG421" s="143"/>
      <c r="BH421" s="170"/>
      <c r="BI421" s="170"/>
      <c r="BJ421" s="170"/>
      <c r="BK421" s="255"/>
      <c r="BL421" s="271"/>
      <c r="BM421" s="255"/>
      <c r="BN421" s="271"/>
      <c r="BO421" s="255"/>
      <c r="BP421" s="271"/>
      <c r="BQ421" s="170"/>
      <c r="BR421" s="271"/>
      <c r="BS421" s="143"/>
      <c r="BT421" s="143"/>
      <c r="BU421" s="143"/>
      <c r="BV421" s="143"/>
      <c r="BW421" s="143"/>
      <c r="BX421" s="143"/>
      <c r="BY421" s="143"/>
      <c r="BZ421" s="143"/>
      <c r="CA421" s="143"/>
      <c r="CB421" s="143"/>
      <c r="CC421" s="143"/>
      <c r="CD421" s="143"/>
      <c r="CE421" s="143"/>
      <c r="CF421" s="143"/>
      <c r="CG421" s="145"/>
      <c r="CH421" s="143"/>
      <c r="CI421" s="143"/>
      <c r="CJ421" s="143"/>
      <c r="CK421" s="143"/>
      <c r="CL421" s="143"/>
      <c r="CM421" s="143"/>
      <c r="CN421" s="170"/>
      <c r="CO421" s="143"/>
      <c r="CP421" s="143"/>
      <c r="CQ421" s="143"/>
      <c r="CR421" s="2741">
        <f t="shared" si="36"/>
        <v>31</v>
      </c>
      <c r="CS421" s="1581" t="s">
        <v>371</v>
      </c>
      <c r="CT421" s="1571"/>
      <c r="CU421" s="1460"/>
      <c r="CV421" s="1460"/>
      <c r="CW421" s="1460"/>
      <c r="CX421" s="1301">
        <f>CX419/13</f>
        <v>0</v>
      </c>
      <c r="CY421" s="1301">
        <f>CY419/13</f>
        <v>0</v>
      </c>
      <c r="CZ421" s="1301">
        <f>CZ419/13</f>
        <v>0</v>
      </c>
      <c r="DA421" s="1301">
        <f>DA419/13</f>
        <v>0</v>
      </c>
      <c r="DB421" s="143"/>
    </row>
    <row r="422" spans="1:106" ht="13.5" thickTop="1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43"/>
      <c r="AU422" s="143"/>
      <c r="AV422" s="143"/>
      <c r="AW422" s="143"/>
      <c r="AX422" s="143"/>
      <c r="AY422" s="143"/>
      <c r="AZ422" s="143"/>
      <c r="BA422" s="143"/>
      <c r="BB422" s="143"/>
      <c r="BC422" s="143"/>
      <c r="BD422" s="143"/>
      <c r="BE422" s="143"/>
      <c r="BF422" s="143"/>
      <c r="BG422" s="143"/>
      <c r="BH422" s="170"/>
      <c r="BI422" s="170"/>
      <c r="BJ422" s="170"/>
      <c r="BK422" s="255"/>
      <c r="BL422" s="255"/>
      <c r="BM422" s="255"/>
      <c r="BN422" s="255"/>
      <c r="BO422" s="255"/>
      <c r="BP422" s="255"/>
      <c r="BQ422" s="170"/>
      <c r="BR422" s="255"/>
      <c r="BS422" s="143"/>
      <c r="BT422" s="143"/>
      <c r="BU422" s="143"/>
      <c r="BV422" s="143"/>
      <c r="BW422" s="143"/>
      <c r="BX422" s="143"/>
      <c r="BY422" s="143"/>
      <c r="BZ422" s="143"/>
      <c r="CA422" s="143"/>
      <c r="CB422" s="143"/>
      <c r="CC422" s="143"/>
      <c r="CD422" s="143"/>
      <c r="CE422" s="143"/>
      <c r="CF422" s="143"/>
      <c r="CG422" s="145"/>
      <c r="CH422" s="143"/>
      <c r="CI422" s="143"/>
      <c r="CJ422" s="143"/>
      <c r="CK422" s="143"/>
      <c r="CL422" s="143"/>
      <c r="CM422" s="143"/>
      <c r="CN422" s="170"/>
      <c r="CO422" s="143"/>
      <c r="CP422" s="143"/>
      <c r="CQ422" s="143"/>
      <c r="CR422" s="143"/>
      <c r="CS422" s="228"/>
      <c r="CT422" s="228"/>
      <c r="CU422" s="238"/>
      <c r="CV422" s="238"/>
      <c r="CW422" s="238"/>
      <c r="CX422" s="239"/>
      <c r="CY422" s="239"/>
      <c r="CZ422" s="239"/>
      <c r="DA422" s="239"/>
      <c r="DB422" s="143"/>
    </row>
    <row r="423" spans="1:106">
      <c r="A423" s="143"/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43"/>
      <c r="AU423" s="143"/>
      <c r="AV423" s="143"/>
      <c r="AW423" s="143"/>
      <c r="AX423" s="143"/>
      <c r="AY423" s="143"/>
      <c r="AZ423" s="143"/>
      <c r="BA423" s="143"/>
      <c r="BB423" s="143"/>
      <c r="BC423" s="143"/>
      <c r="BD423" s="143"/>
      <c r="BE423" s="143"/>
      <c r="BF423" s="143"/>
      <c r="BG423" s="143"/>
      <c r="BH423" s="170"/>
      <c r="BI423" s="170"/>
      <c r="BJ423" s="170"/>
      <c r="BK423" s="170"/>
      <c r="BL423" s="170"/>
      <c r="BM423" s="170"/>
      <c r="BN423" s="170"/>
      <c r="BO423" s="170"/>
      <c r="BP423" s="170"/>
      <c r="BQ423" s="170"/>
      <c r="BR423" s="170"/>
      <c r="BS423" s="143"/>
      <c r="BT423" s="143"/>
      <c r="BU423" s="143"/>
      <c r="BV423" s="143"/>
      <c r="BW423" s="143"/>
      <c r="BX423" s="143"/>
      <c r="BY423" s="143"/>
      <c r="BZ423" s="143"/>
      <c r="CA423" s="143"/>
      <c r="CB423" s="143"/>
      <c r="CC423" s="143"/>
      <c r="CD423" s="143"/>
      <c r="CE423" s="143"/>
      <c r="CF423" s="143"/>
      <c r="CG423" s="145"/>
      <c r="CH423" s="143"/>
      <c r="CI423" s="143"/>
      <c r="CJ423" s="143"/>
      <c r="CK423" s="143"/>
      <c r="CL423" s="143"/>
      <c r="CM423" s="143"/>
      <c r="CN423" s="170"/>
      <c r="CO423" s="143"/>
      <c r="CP423" s="143"/>
      <c r="CQ423" s="143"/>
      <c r="CR423" s="143"/>
      <c r="CS423" s="228"/>
      <c r="CT423" s="228"/>
      <c r="CU423" s="232"/>
      <c r="CV423" s="232"/>
      <c r="CW423" s="232"/>
      <c r="CX423" s="2741"/>
      <c r="CY423" s="2741"/>
      <c r="CZ423" s="2741"/>
      <c r="DA423" s="2741" t="s">
        <v>536</v>
      </c>
      <c r="DB423" s="143"/>
    </row>
    <row r="424" spans="1:106">
      <c r="A424" s="143"/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43"/>
      <c r="AU424" s="143"/>
      <c r="AV424" s="143"/>
      <c r="AW424" s="143"/>
      <c r="AX424" s="143"/>
      <c r="AY424" s="143"/>
      <c r="AZ424" s="143"/>
      <c r="BA424" s="143"/>
      <c r="BB424" s="143"/>
      <c r="BC424" s="143"/>
      <c r="BD424" s="143"/>
      <c r="BE424" s="143"/>
      <c r="BF424" s="143"/>
      <c r="BG424" s="143"/>
      <c r="BH424" s="170"/>
      <c r="BI424" s="170"/>
      <c r="BJ424" s="170"/>
      <c r="BK424" s="170"/>
      <c r="BL424" s="260"/>
      <c r="BM424" s="272"/>
      <c r="BN424" s="272"/>
      <c r="BO424" s="272"/>
      <c r="BP424" s="272"/>
      <c r="BQ424" s="272"/>
      <c r="BR424" s="272"/>
      <c r="BS424" s="143"/>
      <c r="BT424" s="143"/>
      <c r="BU424" s="143"/>
      <c r="BV424" s="143"/>
      <c r="BW424" s="143"/>
      <c r="BX424" s="143"/>
      <c r="BY424" s="143"/>
      <c r="BZ424" s="143"/>
      <c r="CA424" s="143"/>
      <c r="CB424" s="143"/>
      <c r="CC424" s="143"/>
      <c r="CD424" s="143"/>
      <c r="CE424" s="143"/>
      <c r="CF424" s="143"/>
      <c r="CG424" s="145"/>
      <c r="CH424" s="143"/>
      <c r="CI424" s="143"/>
      <c r="CJ424" s="143"/>
      <c r="CK424" s="143"/>
      <c r="CL424" s="143"/>
      <c r="CM424" s="143"/>
      <c r="CN424" s="170"/>
      <c r="CO424" s="143"/>
      <c r="CP424" s="143"/>
      <c r="CQ424" s="143"/>
      <c r="CR424" s="143"/>
      <c r="CS424" s="228"/>
      <c r="CT424" s="228"/>
      <c r="CU424" s="192"/>
      <c r="CV424" s="192"/>
      <c r="CW424" s="192"/>
      <c r="CX424" s="240"/>
      <c r="CY424" s="240"/>
      <c r="CZ424" s="240"/>
      <c r="DA424" s="240" t="s">
        <v>537</v>
      </c>
      <c r="DB424" s="143"/>
    </row>
    <row r="425" spans="1:106">
      <c r="A425" s="143"/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43"/>
      <c r="AU425" s="143"/>
      <c r="AV425" s="143"/>
      <c r="AW425" s="143"/>
      <c r="AX425" s="143"/>
      <c r="AY425" s="143"/>
      <c r="AZ425" s="143"/>
      <c r="BA425" s="143"/>
      <c r="BB425" s="143"/>
      <c r="BC425" s="143"/>
      <c r="BD425" s="143"/>
      <c r="BE425" s="143"/>
      <c r="BF425" s="143"/>
      <c r="BG425" s="143"/>
      <c r="BH425" s="170"/>
      <c r="BI425" s="170"/>
      <c r="BJ425" s="170"/>
      <c r="BK425" s="170"/>
      <c r="BL425" s="170"/>
      <c r="BM425" s="170"/>
      <c r="BN425" s="170"/>
      <c r="BO425" s="170"/>
      <c r="BP425" s="170"/>
      <c r="BQ425" s="170"/>
      <c r="BR425" s="170"/>
      <c r="BS425" s="143"/>
      <c r="BT425" s="143"/>
      <c r="BU425" s="143"/>
      <c r="BV425" s="143"/>
      <c r="BW425" s="143"/>
      <c r="BX425" s="143"/>
      <c r="BY425" s="143"/>
      <c r="BZ425" s="143"/>
      <c r="CA425" s="143"/>
      <c r="CB425" s="143"/>
      <c r="CC425" s="143"/>
      <c r="CD425" s="143"/>
      <c r="CE425" s="143"/>
      <c r="CF425" s="143"/>
      <c r="CG425" s="145"/>
      <c r="CH425" s="143"/>
      <c r="CI425" s="143"/>
      <c r="CJ425" s="143"/>
      <c r="CK425" s="143"/>
      <c r="CL425" s="143"/>
      <c r="CM425" s="143"/>
      <c r="CN425" s="170"/>
      <c r="CO425" s="143"/>
      <c r="CP425" s="143"/>
      <c r="CQ425" s="143"/>
      <c r="CR425" s="143"/>
      <c r="CS425" s="228"/>
      <c r="CT425" s="228"/>
      <c r="CU425" s="192"/>
      <c r="CV425" s="192"/>
      <c r="CW425" s="192"/>
      <c r="CX425" s="240"/>
      <c r="CY425" s="240"/>
      <c r="CZ425" s="240"/>
      <c r="DA425" s="240" t="s">
        <v>996</v>
      </c>
      <c r="DB425" s="143"/>
    </row>
    <row r="426" spans="1:106">
      <c r="A426" s="143"/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43"/>
      <c r="AU426" s="143"/>
      <c r="AV426" s="143"/>
      <c r="AW426" s="143"/>
      <c r="AX426" s="143"/>
      <c r="AY426" s="143"/>
      <c r="AZ426" s="143"/>
      <c r="BA426" s="143"/>
      <c r="BB426" s="143"/>
      <c r="BC426" s="143"/>
      <c r="BD426" s="143"/>
      <c r="BE426" s="143"/>
      <c r="BF426" s="143"/>
      <c r="BG426" s="143"/>
      <c r="BH426" s="170"/>
      <c r="BI426" s="170"/>
      <c r="BJ426" s="170"/>
      <c r="BK426" s="255"/>
      <c r="BL426" s="255"/>
      <c r="BM426" s="255"/>
      <c r="BN426" s="255"/>
      <c r="BO426" s="255"/>
      <c r="BP426" s="255"/>
      <c r="BQ426" s="273"/>
      <c r="BR426" s="255"/>
      <c r="BS426" s="143"/>
      <c r="BT426" s="143"/>
      <c r="BU426" s="143"/>
      <c r="BV426" s="143"/>
      <c r="BW426" s="143"/>
      <c r="BX426" s="143"/>
      <c r="BY426" s="143"/>
      <c r="BZ426" s="143"/>
      <c r="CA426" s="143"/>
      <c r="CB426" s="143"/>
      <c r="CC426" s="143"/>
      <c r="CD426" s="143"/>
      <c r="CE426" s="143"/>
      <c r="CF426" s="143"/>
      <c r="CG426" s="145"/>
      <c r="CH426" s="143"/>
      <c r="CI426" s="143"/>
      <c r="CJ426" s="143"/>
      <c r="CK426" s="143"/>
      <c r="CL426" s="143"/>
      <c r="CM426" s="143"/>
      <c r="CN426" s="170"/>
      <c r="CO426" s="143"/>
      <c r="CP426" s="143"/>
      <c r="CQ426" s="143"/>
      <c r="CR426" s="2741"/>
      <c r="CS426" s="1571"/>
      <c r="CT426" s="1571"/>
      <c r="CU426" s="274"/>
      <c r="CV426" s="236"/>
      <c r="CW426" s="1460"/>
      <c r="CX426" s="182"/>
      <c r="CY426" s="182"/>
      <c r="CZ426" s="143"/>
      <c r="DA426" s="143"/>
      <c r="DB426" s="143"/>
    </row>
    <row r="427" spans="1:106">
      <c r="A427" s="143"/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43"/>
      <c r="AU427" s="143"/>
      <c r="AV427" s="143"/>
      <c r="AW427" s="143"/>
      <c r="AX427" s="143"/>
      <c r="AY427" s="143"/>
      <c r="AZ427" s="143"/>
      <c r="BA427" s="143"/>
      <c r="BB427" s="143"/>
      <c r="BC427" s="143"/>
      <c r="BD427" s="143"/>
      <c r="BE427" s="143"/>
      <c r="BF427" s="143"/>
      <c r="BG427" s="143"/>
      <c r="BH427" s="170"/>
      <c r="BI427" s="170"/>
      <c r="BJ427" s="170"/>
      <c r="BK427" s="255"/>
      <c r="BL427" s="255"/>
      <c r="BM427" s="255"/>
      <c r="BN427" s="255"/>
      <c r="BO427" s="255"/>
      <c r="BP427" s="255"/>
      <c r="BQ427" s="273"/>
      <c r="BR427" s="255"/>
      <c r="BS427" s="143"/>
      <c r="BT427" s="143"/>
      <c r="BU427" s="143"/>
      <c r="BV427" s="143"/>
      <c r="BW427" s="143"/>
      <c r="BX427" s="143"/>
      <c r="BY427" s="143"/>
      <c r="BZ427" s="143"/>
      <c r="CA427" s="143"/>
      <c r="CB427" s="143"/>
      <c r="CC427" s="143"/>
      <c r="CD427" s="143"/>
      <c r="CE427" s="143"/>
      <c r="CF427" s="143"/>
      <c r="CG427" s="145"/>
      <c r="CH427" s="143"/>
      <c r="CI427" s="143"/>
      <c r="CJ427" s="143"/>
      <c r="CK427" s="143"/>
      <c r="CL427" s="143"/>
      <c r="CM427" s="143"/>
      <c r="CN427" s="170"/>
      <c r="CO427" s="143"/>
      <c r="CP427" s="143"/>
      <c r="CQ427" s="143"/>
      <c r="CR427" s="2741"/>
      <c r="CS427" s="1571" t="s">
        <v>3301</v>
      </c>
      <c r="CT427" s="1571"/>
      <c r="CU427" s="1571"/>
      <c r="CV427" s="1571"/>
      <c r="CW427" s="234"/>
      <c r="CX427" s="1571"/>
      <c r="CY427" s="1571"/>
      <c r="CZ427" s="143"/>
      <c r="DA427" s="143"/>
      <c r="DB427" s="143"/>
    </row>
    <row r="428" spans="1:106">
      <c r="A428" s="143"/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43"/>
      <c r="AU428" s="143"/>
      <c r="AV428" s="143"/>
      <c r="AW428" s="143"/>
      <c r="AX428" s="143"/>
      <c r="AY428" s="143"/>
      <c r="AZ428" s="143"/>
      <c r="BA428" s="143"/>
      <c r="BB428" s="143"/>
      <c r="BC428" s="143"/>
      <c r="BD428" s="143"/>
      <c r="BE428" s="143"/>
      <c r="BF428" s="143"/>
      <c r="BG428" s="143"/>
      <c r="BH428" s="170"/>
      <c r="BI428" s="170"/>
      <c r="BJ428" s="170"/>
      <c r="BK428" s="255"/>
      <c r="BL428" s="255"/>
      <c r="BM428" s="255"/>
      <c r="BN428" s="255"/>
      <c r="BO428" s="255"/>
      <c r="BP428" s="255"/>
      <c r="BQ428" s="273"/>
      <c r="BR428" s="255"/>
      <c r="BS428" s="143"/>
      <c r="BT428" s="143"/>
      <c r="BU428" s="143"/>
      <c r="BV428" s="143"/>
      <c r="BW428" s="143"/>
      <c r="BX428" s="143"/>
      <c r="BY428" s="143"/>
      <c r="BZ428" s="143"/>
      <c r="CA428" s="143"/>
      <c r="CB428" s="143"/>
      <c r="CC428" s="143"/>
      <c r="CD428" s="143"/>
      <c r="CE428" s="143"/>
      <c r="CF428" s="143"/>
      <c r="CG428" s="145"/>
      <c r="CH428" s="143"/>
      <c r="CI428" s="143"/>
      <c r="CJ428" s="143"/>
      <c r="CK428" s="143"/>
      <c r="CL428" s="143"/>
      <c r="CM428" s="143"/>
      <c r="CN428" s="170"/>
      <c r="CO428" s="143"/>
      <c r="CP428" s="143"/>
      <c r="CQ428" s="143"/>
      <c r="CR428" s="173"/>
      <c r="CS428" s="1571"/>
      <c r="CT428" s="1571"/>
      <c r="CU428" s="1571"/>
      <c r="CV428" s="1571"/>
      <c r="CW428" s="234"/>
      <c r="CX428" s="1571"/>
      <c r="CY428" s="1571"/>
      <c r="CZ428" s="1571"/>
      <c r="DA428" s="143"/>
      <c r="DB428" s="143"/>
    </row>
    <row r="429" spans="1:106">
      <c r="A429" s="143"/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43"/>
      <c r="AU429" s="143"/>
      <c r="AV429" s="143"/>
      <c r="AW429" s="143"/>
      <c r="AX429" s="143"/>
      <c r="AY429" s="143"/>
      <c r="AZ429" s="143"/>
      <c r="BA429" s="143"/>
      <c r="BB429" s="143"/>
      <c r="BC429" s="143"/>
      <c r="BD429" s="143"/>
      <c r="BE429" s="143"/>
      <c r="BF429" s="143"/>
      <c r="BG429" s="143"/>
      <c r="BH429" s="170"/>
      <c r="BI429" s="170"/>
      <c r="BJ429" s="170"/>
      <c r="BK429" s="255"/>
      <c r="BL429" s="255"/>
      <c r="BM429" s="255"/>
      <c r="BN429" s="255"/>
      <c r="BO429" s="255"/>
      <c r="BP429" s="255"/>
      <c r="BQ429" s="273"/>
      <c r="BR429" s="255"/>
      <c r="BS429" s="143"/>
      <c r="BT429" s="143"/>
      <c r="BU429" s="143"/>
      <c r="BV429" s="143"/>
      <c r="BW429" s="143"/>
      <c r="BX429" s="143"/>
      <c r="BY429" s="143"/>
      <c r="BZ429" s="143"/>
      <c r="CA429" s="143"/>
      <c r="CB429" s="143"/>
      <c r="CC429" s="143"/>
      <c r="CD429" s="143"/>
      <c r="CE429" s="143"/>
      <c r="CF429" s="143"/>
      <c r="CG429" s="145"/>
      <c r="CH429" s="143"/>
      <c r="CI429" s="143"/>
      <c r="CJ429" s="143"/>
      <c r="CK429" s="143"/>
      <c r="CL429" s="143"/>
      <c r="CM429" s="143"/>
      <c r="CN429" s="170"/>
      <c r="CO429" s="143"/>
      <c r="CP429" s="143"/>
      <c r="CQ429" s="143"/>
      <c r="CR429" s="143"/>
      <c r="CS429" s="143"/>
      <c r="CT429" s="143"/>
      <c r="CU429" s="143"/>
      <c r="CV429" s="143"/>
      <c r="CW429" s="170"/>
      <c r="CX429" s="143"/>
      <c r="CY429" s="143"/>
      <c r="CZ429" s="143"/>
      <c r="DA429" s="143"/>
      <c r="DB429" s="143"/>
    </row>
    <row r="430" spans="1:106">
      <c r="A430" s="143"/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43"/>
      <c r="AU430" s="143"/>
      <c r="AV430" s="143"/>
      <c r="AW430" s="143"/>
      <c r="AX430" s="143"/>
      <c r="AY430" s="143"/>
      <c r="AZ430" s="143"/>
      <c r="BA430" s="143"/>
      <c r="BB430" s="143"/>
      <c r="BC430" s="143"/>
      <c r="BD430" s="143"/>
      <c r="BE430" s="143"/>
      <c r="BF430" s="143"/>
      <c r="BG430" s="143"/>
      <c r="BH430" s="170"/>
      <c r="BI430" s="170"/>
      <c r="BJ430" s="170"/>
      <c r="BK430" s="255"/>
      <c r="BL430" s="255"/>
      <c r="BM430" s="255"/>
      <c r="BN430" s="255"/>
      <c r="BO430" s="255"/>
      <c r="BP430" s="255"/>
      <c r="BQ430" s="273"/>
      <c r="BR430" s="255"/>
      <c r="BS430" s="143"/>
      <c r="BT430" s="143"/>
      <c r="BU430" s="143"/>
      <c r="BV430" s="143"/>
      <c r="BW430" s="143"/>
      <c r="BX430" s="143"/>
      <c r="BY430" s="143"/>
      <c r="BZ430" s="143"/>
      <c r="CA430" s="143"/>
      <c r="CB430" s="143"/>
      <c r="CC430" s="143"/>
      <c r="CD430" s="143"/>
      <c r="CE430" s="143"/>
      <c r="CF430" s="143"/>
      <c r="CG430" s="145"/>
      <c r="CH430" s="143"/>
      <c r="CI430" s="143"/>
      <c r="CJ430" s="143"/>
      <c r="CK430" s="143"/>
      <c r="CL430" s="143"/>
      <c r="CM430" s="143"/>
      <c r="CN430" s="170"/>
      <c r="CO430" s="143"/>
      <c r="CP430" s="143"/>
      <c r="CQ430" s="143"/>
      <c r="CR430" s="143"/>
      <c r="CS430" s="143"/>
      <c r="CT430" s="143"/>
      <c r="CU430" s="143"/>
      <c r="CV430" s="143"/>
      <c r="CW430" s="170"/>
      <c r="CX430" s="143"/>
      <c r="CY430" s="143"/>
      <c r="CZ430" s="143"/>
      <c r="DA430" s="143"/>
      <c r="DB430" s="143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4" tint="0.39997558519241921"/>
  </sheetPr>
  <dimension ref="A1:R75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5.5703125" style="18" customWidth="1"/>
    <col min="2" max="2" width="1.42578125" style="18" customWidth="1"/>
    <col min="3" max="3" width="12.85546875" style="18" customWidth="1"/>
    <col min="4" max="4" width="1.140625" style="18" customWidth="1"/>
    <col min="5" max="5" width="2.85546875" style="18" customWidth="1"/>
    <col min="6" max="6" width="32.7109375" style="18" customWidth="1"/>
    <col min="7" max="7" width="17.7109375" style="18" customWidth="1"/>
    <col min="8" max="8" width="2" style="18" customWidth="1"/>
    <col min="9" max="9" width="9.85546875" style="18" customWidth="1"/>
    <col min="10" max="10" width="10" style="18" customWidth="1"/>
    <col min="11" max="11" width="1.28515625" style="18" customWidth="1"/>
    <col min="12" max="12" width="16.28515625" style="18" customWidth="1"/>
    <col min="13" max="13" width="1.42578125" style="18" customWidth="1"/>
    <col min="14" max="14" width="16.5703125" style="18" customWidth="1"/>
    <col min="15" max="15" width="4.5703125" style="18" customWidth="1"/>
    <col min="16" max="16" width="18.85546875" style="18" customWidth="1"/>
    <col min="17" max="17" width="5.5703125" style="18" customWidth="1"/>
    <col min="18" max="18" width="5.42578125" style="18" customWidth="1"/>
    <col min="19" max="16384" width="8" style="18"/>
  </cols>
  <sheetData>
    <row r="1" spans="1:18">
      <c r="A1" s="283" t="str">
        <f>COMPANY</f>
        <v>DUKE ENERGY KENTUCKY, INC.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9"/>
    </row>
    <row r="2" spans="1:18">
      <c r="A2" s="283" t="str">
        <f>CASE</f>
        <v>CASE NO. 2017-00321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9"/>
    </row>
    <row r="3" spans="1:18">
      <c r="A3" s="283" t="s">
        <v>539</v>
      </c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9"/>
    </row>
    <row r="4" spans="1:18">
      <c r="A4" s="76" t="str">
        <f>"AS OF " &amp;RIGHT(TESTYR,(LEN(TESTYR)-16))</f>
        <v>AS OF NOVEMBER 30, 2017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9"/>
    </row>
    <row r="5" spans="1:18">
      <c r="A5" s="283"/>
      <c r="B5" s="278"/>
      <c r="C5" s="278"/>
      <c r="D5" s="278"/>
      <c r="E5" s="1590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9"/>
    </row>
    <row r="6" spans="1:18">
      <c r="A6" s="283"/>
      <c r="B6" s="27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9"/>
    </row>
    <row r="7" spans="1:18">
      <c r="A7" s="279"/>
      <c r="B7" s="279"/>
      <c r="C7" s="279"/>
      <c r="D7" s="279"/>
      <c r="E7" s="279"/>
      <c r="F7" s="279"/>
      <c r="G7" s="279"/>
      <c r="H7" s="279"/>
      <c r="I7" s="1302"/>
      <c r="J7" s="279"/>
      <c r="K7" s="279"/>
      <c r="L7" s="279"/>
      <c r="M7" s="279"/>
      <c r="N7" s="279"/>
      <c r="O7" s="1302"/>
      <c r="P7" s="279"/>
      <c r="Q7" s="279"/>
      <c r="R7" s="279"/>
    </row>
    <row r="8" spans="1:18">
      <c r="A8" s="2460" t="str">
        <f>Data</f>
        <v>DATA: "X" BASE PERIOD   FORECASTED PERIOD</v>
      </c>
      <c r="B8" s="279"/>
      <c r="C8" s="279"/>
      <c r="D8" s="279"/>
      <c r="E8" s="279"/>
      <c r="F8" s="279"/>
      <c r="G8" s="279"/>
      <c r="H8" s="279"/>
      <c r="I8" s="1302"/>
      <c r="J8" s="279"/>
      <c r="K8" s="279"/>
      <c r="L8" s="279"/>
      <c r="M8" s="279"/>
      <c r="N8" s="279"/>
      <c r="O8" s="1563" t="s">
        <v>540</v>
      </c>
      <c r="P8" s="279"/>
      <c r="Q8" s="279"/>
      <c r="R8" s="279"/>
    </row>
    <row r="9" spans="1:18">
      <c r="A9" s="2460" t="str">
        <f>Type</f>
        <v xml:space="preserve">TYPE OF FILING:  "X" ORIGINAL   UPDATED    REVISED  </v>
      </c>
      <c r="B9" s="279"/>
      <c r="C9" s="279"/>
      <c r="D9" s="279"/>
      <c r="E9" s="279"/>
      <c r="F9" s="279"/>
      <c r="G9" s="279"/>
      <c r="H9" s="279"/>
      <c r="I9" s="1302"/>
      <c r="J9" s="279"/>
      <c r="K9" s="279"/>
      <c r="L9" s="279"/>
      <c r="M9" s="279"/>
      <c r="N9" s="279"/>
      <c r="O9" s="1563" t="s">
        <v>1458</v>
      </c>
      <c r="P9" s="279"/>
      <c r="Q9" s="279"/>
      <c r="R9" s="279"/>
    </row>
    <row r="10" spans="1:18">
      <c r="A10" s="1563" t="s">
        <v>1636</v>
      </c>
      <c r="B10" s="279"/>
      <c r="C10" s="279"/>
      <c r="D10" s="279"/>
      <c r="E10" s="279"/>
      <c r="F10" s="279"/>
      <c r="G10" s="279"/>
      <c r="H10" s="279"/>
      <c r="I10" s="1302"/>
      <c r="J10" s="279"/>
      <c r="K10" s="279"/>
      <c r="L10" s="279"/>
      <c r="M10" s="279"/>
      <c r="N10" s="279"/>
      <c r="O10" s="1563" t="s">
        <v>622</v>
      </c>
      <c r="P10" s="279"/>
      <c r="Q10" s="279"/>
      <c r="R10" s="279"/>
    </row>
    <row r="11" spans="1:18">
      <c r="A11" s="279"/>
      <c r="B11" s="279"/>
      <c r="C11" s="279"/>
      <c r="D11" s="279"/>
      <c r="E11" s="279"/>
      <c r="F11" s="279"/>
      <c r="G11" s="279"/>
      <c r="H11" s="279"/>
      <c r="I11" s="1302"/>
      <c r="J11" s="279"/>
      <c r="K11" s="279"/>
      <c r="L11" s="279"/>
      <c r="M11" s="279"/>
      <c r="N11" s="279"/>
      <c r="O11" s="143" t="str">
        <f>_WIT3</f>
        <v>L. M. BELLUCCI</v>
      </c>
      <c r="P11" s="279"/>
      <c r="Q11" s="279"/>
      <c r="R11" s="279"/>
    </row>
    <row r="12" spans="1:18">
      <c r="A12" s="286"/>
      <c r="B12" s="286"/>
      <c r="C12" s="286"/>
      <c r="D12" s="286"/>
      <c r="E12" s="286"/>
      <c r="F12" s="286"/>
      <c r="G12" s="286"/>
      <c r="H12" s="286"/>
      <c r="I12" s="308"/>
      <c r="J12" s="286"/>
      <c r="K12" s="286"/>
      <c r="L12" s="286"/>
      <c r="M12" s="279"/>
      <c r="N12" s="279"/>
      <c r="O12" s="1302"/>
      <c r="P12" s="279"/>
      <c r="Q12" s="279"/>
      <c r="R12" s="279"/>
    </row>
    <row r="13" spans="1:18">
      <c r="A13" s="279"/>
      <c r="B13" s="279"/>
      <c r="C13" s="279"/>
      <c r="D13" s="279"/>
      <c r="E13" s="279"/>
      <c r="F13" s="279"/>
      <c r="G13" s="1302"/>
      <c r="H13" s="279"/>
      <c r="I13" s="1302"/>
      <c r="J13" s="279"/>
      <c r="K13" s="279"/>
      <c r="L13" s="279"/>
      <c r="M13" s="309"/>
      <c r="N13" s="309"/>
      <c r="O13" s="310"/>
      <c r="P13" s="310" t="s">
        <v>541</v>
      </c>
      <c r="Q13" s="279"/>
      <c r="R13" s="279"/>
    </row>
    <row r="14" spans="1:18">
      <c r="A14" s="288" t="s">
        <v>1961</v>
      </c>
      <c r="B14" s="279"/>
      <c r="C14" s="288" t="s">
        <v>1080</v>
      </c>
      <c r="D14" s="278"/>
      <c r="E14" s="279"/>
      <c r="F14" s="279"/>
      <c r="G14" s="288" t="s">
        <v>1035</v>
      </c>
      <c r="H14" s="279"/>
      <c r="I14" s="278" t="s">
        <v>1461</v>
      </c>
      <c r="J14" s="278"/>
      <c r="K14" s="279"/>
      <c r="L14" s="288" t="s">
        <v>1056</v>
      </c>
      <c r="M14" s="279"/>
      <c r="N14" s="279"/>
      <c r="O14" s="1302"/>
      <c r="P14" s="1302" t="s">
        <v>1056</v>
      </c>
      <c r="Q14" s="279"/>
      <c r="R14" s="279"/>
    </row>
    <row r="15" spans="1:18">
      <c r="A15" s="288" t="s">
        <v>1854</v>
      </c>
      <c r="B15" s="279"/>
      <c r="C15" s="288" t="s">
        <v>1703</v>
      </c>
      <c r="D15" s="278"/>
      <c r="E15" s="283" t="s">
        <v>566</v>
      </c>
      <c r="F15" s="278"/>
      <c r="G15" s="288" t="s">
        <v>1704</v>
      </c>
      <c r="H15" s="279"/>
      <c r="I15" s="1302" t="s">
        <v>1061</v>
      </c>
      <c r="J15" s="1302" t="s">
        <v>363</v>
      </c>
      <c r="K15" s="279"/>
      <c r="L15" s="1302" t="s">
        <v>364</v>
      </c>
      <c r="M15" s="279"/>
      <c r="N15" s="1302" t="s">
        <v>542</v>
      </c>
      <c r="O15" s="1302"/>
      <c r="P15" s="1302" t="s">
        <v>364</v>
      </c>
      <c r="Q15" s="279"/>
      <c r="R15" s="279"/>
    </row>
    <row r="16" spans="1:18">
      <c r="A16" s="286"/>
      <c r="B16" s="286"/>
      <c r="C16" s="286"/>
      <c r="D16" s="286"/>
      <c r="E16" s="286"/>
      <c r="F16" s="286"/>
      <c r="G16" s="2461"/>
      <c r="H16" s="286"/>
      <c r="I16" s="308"/>
      <c r="J16" s="286"/>
      <c r="K16" s="286"/>
      <c r="L16" s="286"/>
      <c r="M16" s="279"/>
      <c r="N16" s="279"/>
      <c r="O16" s="1302"/>
      <c r="P16" s="279"/>
      <c r="Q16" s="279"/>
      <c r="R16" s="279"/>
    </row>
    <row r="17" spans="1:18">
      <c r="A17" s="279"/>
      <c r="B17" s="279"/>
      <c r="C17" s="279"/>
      <c r="D17" s="279"/>
      <c r="E17" s="279"/>
      <c r="F17" s="279"/>
      <c r="G17" s="291" t="s">
        <v>365</v>
      </c>
      <c r="H17" s="284"/>
      <c r="I17" s="292" t="s">
        <v>318</v>
      </c>
      <c r="J17" s="281"/>
      <c r="K17" s="284"/>
      <c r="L17" s="291" t="s">
        <v>319</v>
      </c>
      <c r="M17" s="309"/>
      <c r="N17" s="310" t="s">
        <v>320</v>
      </c>
      <c r="O17" s="310"/>
      <c r="P17" s="310" t="s">
        <v>321</v>
      </c>
      <c r="Q17" s="279"/>
      <c r="R17" s="279"/>
    </row>
    <row r="18" spans="1:18">
      <c r="A18" s="279"/>
      <c r="B18" s="279"/>
      <c r="C18" s="279"/>
      <c r="D18" s="284"/>
      <c r="E18" s="279"/>
      <c r="F18" s="279"/>
      <c r="G18" s="295"/>
      <c r="H18" s="295"/>
      <c r="I18" s="296"/>
      <c r="J18" s="295"/>
      <c r="K18" s="295"/>
      <c r="L18" s="295"/>
      <c r="M18" s="279"/>
      <c r="N18" s="279"/>
      <c r="O18" s="1302"/>
      <c r="P18" s="279"/>
      <c r="Q18" s="279"/>
      <c r="R18" s="279"/>
    </row>
    <row r="19" spans="1:18">
      <c r="A19" s="279">
        <v>1</v>
      </c>
      <c r="B19" s="279"/>
      <c r="C19" s="1302">
        <v>255</v>
      </c>
      <c r="D19" s="284"/>
      <c r="E19" s="279" t="s">
        <v>1582</v>
      </c>
      <c r="F19" s="279"/>
      <c r="G19" s="276"/>
      <c r="H19" s="295"/>
      <c r="I19" s="296"/>
      <c r="J19" s="295"/>
      <c r="K19" s="295"/>
      <c r="L19" s="295"/>
      <c r="M19" s="279"/>
      <c r="N19" s="279"/>
      <c r="O19" s="1302"/>
      <c r="P19" s="279"/>
      <c r="Q19" s="279"/>
      <c r="R19" s="279"/>
    </row>
    <row r="20" spans="1:18">
      <c r="A20" s="279">
        <f>A19+1</f>
        <v>2</v>
      </c>
      <c r="B20" s="279"/>
      <c r="C20" s="1302"/>
      <c r="D20" s="284"/>
      <c r="E20" s="279"/>
      <c r="F20" s="279" t="s">
        <v>297</v>
      </c>
      <c r="G20" s="2462">
        <v>0</v>
      </c>
      <c r="H20" s="295"/>
      <c r="I20" s="296" t="s">
        <v>593</v>
      </c>
      <c r="J20" s="2463">
        <f>VLOOKUP(I20,ALLOCTABLE,2)</f>
        <v>100</v>
      </c>
      <c r="K20" s="295"/>
      <c r="L20" s="295">
        <f>ROUND(G20*(J20/100),0)</f>
        <v>0</v>
      </c>
      <c r="M20" s="279"/>
      <c r="N20" s="295">
        <f>-'WPB-6''s'!AD153</f>
        <v>0</v>
      </c>
      <c r="O20" s="1302"/>
      <c r="P20" s="295">
        <f>L20+N20</f>
        <v>0</v>
      </c>
      <c r="Q20" s="279"/>
      <c r="R20" s="279"/>
    </row>
    <row r="21" spans="1:18">
      <c r="A21" s="279">
        <f t="shared" ref="A21:A27" si="0">A20+1</f>
        <v>3</v>
      </c>
      <c r="B21" s="279"/>
      <c r="C21" s="1302"/>
      <c r="D21" s="284"/>
      <c r="E21" s="279"/>
      <c r="F21" s="279" t="s">
        <v>299</v>
      </c>
      <c r="G21" s="2464">
        <f>'WPB-6''s'!L40</f>
        <v>0</v>
      </c>
      <c r="H21" s="295"/>
      <c r="I21" s="296" t="s">
        <v>593</v>
      </c>
      <c r="J21" s="2463">
        <f>VLOOKUP(I21,ALLOCTABLE,2)</f>
        <v>100</v>
      </c>
      <c r="K21" s="295"/>
      <c r="L21" s="295">
        <f>ROUND(G21*(J21/100),0)</f>
        <v>0</v>
      </c>
      <c r="M21" s="279"/>
      <c r="N21" s="295">
        <f>-L21</f>
        <v>0</v>
      </c>
      <c r="O21" s="1302" t="s">
        <v>944</v>
      </c>
      <c r="P21" s="295">
        <f>L21+N21</f>
        <v>0</v>
      </c>
      <c r="Q21" s="279"/>
      <c r="R21" s="279"/>
    </row>
    <row r="22" spans="1:18">
      <c r="A22" s="279">
        <f t="shared" si="0"/>
        <v>4</v>
      </c>
      <c r="B22" s="279"/>
      <c r="C22" s="1302"/>
      <c r="D22" s="284"/>
      <c r="E22" s="279"/>
      <c r="F22" s="279" t="s">
        <v>301</v>
      </c>
      <c r="G22" s="2464">
        <f>'WPB-6''s'!L41</f>
        <v>-13466</v>
      </c>
      <c r="H22" s="295"/>
      <c r="I22" s="296" t="s">
        <v>593</v>
      </c>
      <c r="J22" s="2463">
        <f>VLOOKUP(I22,ALLOCTABLE,2)</f>
        <v>100</v>
      </c>
      <c r="K22" s="295"/>
      <c r="L22" s="294">
        <f>ROUND(G22*(J22/100),0)</f>
        <v>-13466</v>
      </c>
      <c r="M22" s="279"/>
      <c r="N22" s="294">
        <f>-L22</f>
        <v>13466</v>
      </c>
      <c r="O22" s="1302" t="s">
        <v>944</v>
      </c>
      <c r="P22" s="294">
        <f>L22+N22</f>
        <v>0</v>
      </c>
      <c r="Q22" s="279"/>
      <c r="R22" s="279"/>
    </row>
    <row r="23" spans="1:18">
      <c r="A23" s="279">
        <f t="shared" si="0"/>
        <v>5</v>
      </c>
      <c r="B23" s="279"/>
      <c r="C23" s="1302"/>
      <c r="D23" s="284"/>
      <c r="E23" s="279"/>
      <c r="F23" s="279" t="s">
        <v>2758</v>
      </c>
      <c r="G23" s="2465">
        <f>'WPB-6''s'!L42</f>
        <v>0</v>
      </c>
      <c r="H23" s="295"/>
      <c r="I23" s="296" t="s">
        <v>593</v>
      </c>
      <c r="J23" s="2463">
        <f>VLOOKUP(I23,ALLOCTABLE,2)</f>
        <v>100</v>
      </c>
      <c r="K23" s="295"/>
      <c r="L23" s="312">
        <f>ROUND(G23*(J23/100),0)</f>
        <v>0</v>
      </c>
      <c r="M23" s="279"/>
      <c r="N23" s="294">
        <f>-L23</f>
        <v>0</v>
      </c>
      <c r="O23" s="1302" t="s">
        <v>944</v>
      </c>
      <c r="P23" s="294">
        <f>L23+N23</f>
        <v>0</v>
      </c>
      <c r="Q23" s="279"/>
      <c r="R23" s="279"/>
    </row>
    <row r="24" spans="1:18" ht="13.5" thickBot="1">
      <c r="A24" s="279">
        <f t="shared" si="0"/>
        <v>6</v>
      </c>
      <c r="B24" s="279"/>
      <c r="C24" s="1302"/>
      <c r="D24" s="284"/>
      <c r="E24" s="279" t="s">
        <v>302</v>
      </c>
      <c r="F24" s="279"/>
      <c r="G24" s="313">
        <f>SUM(G19:G23)</f>
        <v>-13466</v>
      </c>
      <c r="H24" s="295"/>
      <c r="I24" s="296"/>
      <c r="J24" s="295"/>
      <c r="K24" s="295"/>
      <c r="L24" s="313">
        <f>SUM(L19:L23)</f>
        <v>-13466</v>
      </c>
      <c r="M24" s="279"/>
      <c r="N24" s="313">
        <f>SUM(N19:N23)</f>
        <v>13466</v>
      </c>
      <c r="O24" s="1302"/>
      <c r="P24" s="313">
        <f>SUM(P19:P23)</f>
        <v>0</v>
      </c>
      <c r="Q24" s="2466" t="s">
        <v>210</v>
      </c>
      <c r="R24" s="279"/>
    </row>
    <row r="25" spans="1:18" ht="13.5" thickTop="1">
      <c r="A25" s="279">
        <f t="shared" si="0"/>
        <v>7</v>
      </c>
      <c r="B25" s="279"/>
      <c r="C25" s="1302"/>
      <c r="D25" s="284"/>
      <c r="E25" s="279"/>
      <c r="F25" s="279"/>
      <c r="G25" s="295"/>
      <c r="H25" s="295"/>
      <c r="I25" s="296"/>
      <c r="J25" s="295"/>
      <c r="K25" s="295"/>
      <c r="L25" s="295"/>
      <c r="M25" s="279"/>
      <c r="N25" s="279"/>
      <c r="O25" s="1302"/>
      <c r="P25" s="279"/>
      <c r="Q25" s="279"/>
      <c r="R25" s="279"/>
    </row>
    <row r="26" spans="1:18">
      <c r="A26" s="279">
        <f t="shared" si="0"/>
        <v>8</v>
      </c>
      <c r="B26" s="279"/>
      <c r="C26" s="1302" t="s">
        <v>2935</v>
      </c>
      <c r="D26" s="284"/>
      <c r="E26" s="279" t="s">
        <v>304</v>
      </c>
      <c r="F26" s="279"/>
      <c r="G26" s="276"/>
      <c r="H26" s="295"/>
      <c r="I26" s="296"/>
      <c r="J26" s="295"/>
      <c r="K26" s="295"/>
      <c r="L26" s="295"/>
      <c r="M26" s="279"/>
      <c r="N26" s="279"/>
      <c r="O26" s="1302"/>
      <c r="P26" s="279"/>
      <c r="Q26" s="279"/>
      <c r="R26" s="279"/>
    </row>
    <row r="27" spans="1:18" ht="13.5" thickBot="1">
      <c r="A27" s="279">
        <f t="shared" si="0"/>
        <v>9</v>
      </c>
      <c r="B27" s="279"/>
      <c r="C27" s="2467" t="s">
        <v>2934</v>
      </c>
      <c r="D27" s="279"/>
      <c r="E27" s="2466" t="s">
        <v>1801</v>
      </c>
      <c r="F27" s="279"/>
      <c r="G27" s="1306">
        <f>'WPB-6''s'!L51</f>
        <v>-212949748</v>
      </c>
      <c r="H27" s="295"/>
      <c r="I27" s="296" t="s">
        <v>593</v>
      </c>
      <c r="J27" s="2463">
        <f>VLOOKUP(I27,ALLOCTABLE,2)</f>
        <v>100</v>
      </c>
      <c r="K27" s="295"/>
      <c r="L27" s="275">
        <f>ROUND(G27*(J27/100),0)</f>
        <v>-212949748</v>
      </c>
      <c r="M27" s="279"/>
      <c r="N27" s="275">
        <f>-'WPB-6''s'!AD155</f>
        <v>0</v>
      </c>
      <c r="O27" s="1302"/>
      <c r="P27" s="1306">
        <f>L27+N27</f>
        <v>-212949748</v>
      </c>
      <c r="Q27" s="2466" t="s">
        <v>303</v>
      </c>
      <c r="R27" s="279"/>
    </row>
    <row r="28" spans="1:18" ht="13.5" thickTop="1">
      <c r="A28" s="279"/>
      <c r="B28" s="279"/>
      <c r="C28" s="1302"/>
      <c r="D28" s="279"/>
      <c r="E28" s="1581"/>
      <c r="F28" s="1581"/>
      <c r="G28" s="295"/>
      <c r="H28" s="1571"/>
      <c r="I28" s="1302"/>
      <c r="J28" s="279"/>
      <c r="K28" s="279"/>
      <c r="L28" s="2468"/>
      <c r="M28" s="279"/>
      <c r="N28" s="2468"/>
      <c r="O28" s="1302"/>
      <c r="P28" s="2468"/>
      <c r="Q28" s="279"/>
      <c r="R28" s="279"/>
    </row>
    <row r="29" spans="1:18">
      <c r="A29" s="279"/>
      <c r="B29" s="279"/>
      <c r="C29" s="279"/>
      <c r="D29" s="279"/>
      <c r="E29" s="279"/>
      <c r="F29" s="1581"/>
      <c r="G29" s="279"/>
      <c r="H29" s="1571"/>
      <c r="I29" s="1302"/>
      <c r="J29" s="279"/>
      <c r="K29" s="279"/>
      <c r="L29" s="279"/>
      <c r="M29" s="279"/>
      <c r="N29" s="279"/>
      <c r="O29" s="1302"/>
      <c r="P29" s="279"/>
      <c r="Q29" s="279"/>
      <c r="R29" s="279"/>
    </row>
    <row r="30" spans="1:18">
      <c r="A30" s="279"/>
      <c r="B30" s="2469" t="s">
        <v>1936</v>
      </c>
      <c r="C30" s="279"/>
      <c r="D30" s="279"/>
      <c r="E30" s="279"/>
      <c r="F30" s="1571"/>
      <c r="G30" s="1571"/>
      <c r="H30" s="1571"/>
      <c r="I30" s="1302"/>
      <c r="J30" s="279"/>
      <c r="K30" s="279"/>
      <c r="L30" s="279"/>
      <c r="M30" s="279"/>
      <c r="N30" s="279"/>
      <c r="O30" s="1302"/>
      <c r="P30" s="279"/>
      <c r="Q30" s="279"/>
      <c r="R30" s="279"/>
    </row>
    <row r="31" spans="1:18">
      <c r="A31" s="279"/>
      <c r="B31" s="279"/>
      <c r="C31" s="1563" t="s">
        <v>3349</v>
      </c>
      <c r="D31" s="279"/>
      <c r="E31" s="284"/>
      <c r="F31" s="284"/>
      <c r="G31" s="279"/>
      <c r="H31" s="279"/>
      <c r="I31" s="1302"/>
      <c r="J31" s="279"/>
      <c r="K31" s="279"/>
      <c r="L31" s="279"/>
      <c r="M31" s="279"/>
      <c r="N31" s="279"/>
      <c r="O31" s="1302"/>
      <c r="P31" s="279"/>
      <c r="Q31" s="279"/>
      <c r="R31" s="279"/>
    </row>
    <row r="32" spans="1:18">
      <c r="A32" s="279"/>
      <c r="B32" s="279"/>
      <c r="C32" s="1563" t="s">
        <v>1270</v>
      </c>
      <c r="D32" s="279"/>
      <c r="E32" s="284"/>
      <c r="F32" s="284"/>
      <c r="G32" s="284"/>
      <c r="H32" s="284"/>
      <c r="I32" s="285"/>
      <c r="J32" s="284"/>
      <c r="K32" s="284"/>
      <c r="L32" s="284"/>
      <c r="M32" s="279"/>
      <c r="N32" s="279"/>
      <c r="O32" s="1302"/>
      <c r="P32" s="279"/>
      <c r="Q32" s="279"/>
      <c r="R32" s="279"/>
    </row>
    <row r="33" spans="1:18">
      <c r="A33" s="279"/>
      <c r="B33" s="279"/>
      <c r="C33" s="1563" t="s">
        <v>1581</v>
      </c>
      <c r="D33" s="279"/>
      <c r="E33" s="284"/>
      <c r="F33" s="284"/>
      <c r="G33" s="284"/>
      <c r="H33" s="284"/>
      <c r="I33" s="285"/>
      <c r="J33" s="284"/>
      <c r="K33" s="284"/>
      <c r="L33" s="284"/>
      <c r="M33" s="279"/>
      <c r="N33" s="279"/>
      <c r="O33" s="1302"/>
      <c r="P33" s="279"/>
      <c r="Q33" s="279"/>
      <c r="R33" s="279"/>
    </row>
    <row r="34" spans="1:18">
      <c r="A34" s="279"/>
      <c r="B34" s="279"/>
      <c r="C34" s="1563" t="s">
        <v>3031</v>
      </c>
      <c r="D34" s="279"/>
      <c r="E34" s="284"/>
      <c r="F34" s="284"/>
      <c r="G34" s="284"/>
      <c r="H34" s="284"/>
      <c r="I34" s="285"/>
      <c r="J34" s="284"/>
      <c r="K34" s="284"/>
      <c r="L34" s="284"/>
      <c r="M34" s="279"/>
      <c r="N34" s="279"/>
      <c r="O34" s="1302"/>
      <c r="P34" s="279"/>
      <c r="Q34" s="279"/>
      <c r="R34" s="279"/>
    </row>
    <row r="35" spans="1:18">
      <c r="A35" s="279"/>
      <c r="B35" s="284"/>
      <c r="C35" s="2466"/>
      <c r="D35" s="284"/>
      <c r="E35" s="284"/>
      <c r="F35" s="284"/>
      <c r="G35" s="284"/>
      <c r="H35" s="284"/>
      <c r="I35" s="285"/>
      <c r="J35" s="284"/>
      <c r="K35" s="284"/>
      <c r="L35" s="284"/>
      <c r="M35" s="279"/>
      <c r="N35" s="279"/>
      <c r="O35" s="1302"/>
      <c r="P35" s="279"/>
      <c r="Q35" s="279"/>
      <c r="R35" s="279"/>
    </row>
    <row r="36" spans="1:18">
      <c r="A36" s="279"/>
      <c r="B36" s="284"/>
      <c r="C36" s="2466"/>
      <c r="D36" s="284"/>
      <c r="E36" s="284"/>
      <c r="F36" s="284"/>
      <c r="G36" s="284"/>
      <c r="H36" s="284"/>
      <c r="I36" s="285"/>
      <c r="J36" s="284"/>
      <c r="K36" s="284"/>
      <c r="L36" s="284"/>
      <c r="M36" s="279"/>
      <c r="N36" s="279"/>
      <c r="O36" s="1302"/>
      <c r="P36" s="279"/>
      <c r="Q36" s="279"/>
      <c r="R36" s="279"/>
    </row>
    <row r="37" spans="1:18">
      <c r="A37" s="279"/>
      <c r="B37" s="284"/>
      <c r="C37" s="2466"/>
      <c r="D37" s="284"/>
      <c r="E37" s="284"/>
      <c r="F37" s="284"/>
      <c r="G37" s="284"/>
      <c r="H37" s="284"/>
      <c r="I37" s="285"/>
      <c r="J37" s="284"/>
      <c r="K37" s="284"/>
      <c r="L37" s="284"/>
      <c r="M37" s="279"/>
      <c r="N37" s="279"/>
      <c r="O37" s="1302"/>
      <c r="P37" s="279"/>
      <c r="Q37" s="279"/>
      <c r="R37" s="279"/>
    </row>
    <row r="38" spans="1:18">
      <c r="A38" s="284"/>
      <c r="B38" s="284"/>
      <c r="C38" s="284"/>
      <c r="D38" s="284"/>
      <c r="E38" s="284"/>
      <c r="F38" s="284"/>
      <c r="G38" s="284"/>
      <c r="H38" s="284"/>
      <c r="I38" s="285"/>
      <c r="J38" s="284"/>
      <c r="K38" s="284"/>
      <c r="L38" s="284"/>
      <c r="M38" s="281"/>
      <c r="N38" s="281"/>
      <c r="O38" s="281"/>
      <c r="P38" s="281"/>
      <c r="Q38" s="281"/>
      <c r="R38" s="281"/>
    </row>
    <row r="39" spans="1:18">
      <c r="A39" s="284"/>
      <c r="B39" s="284"/>
      <c r="C39" s="284"/>
      <c r="D39" s="284"/>
      <c r="E39" s="284"/>
      <c r="F39" s="284"/>
      <c r="G39" s="284"/>
      <c r="H39" s="284"/>
      <c r="I39" s="285"/>
      <c r="J39" s="284"/>
      <c r="K39" s="284"/>
      <c r="L39" s="284"/>
      <c r="M39" s="281"/>
      <c r="N39" s="281"/>
      <c r="O39" s="281"/>
      <c r="P39" s="281"/>
      <c r="Q39" s="281"/>
      <c r="R39" s="281"/>
    </row>
    <row r="40" spans="1:18">
      <c r="A40" s="283" t="str">
        <f>COMPANY</f>
        <v>DUKE ENERGY KENTUCKY, INC.</v>
      </c>
      <c r="B40" s="278"/>
      <c r="C40" s="278"/>
      <c r="D40" s="278"/>
      <c r="E40" s="278"/>
      <c r="F40" s="278"/>
      <c r="G40" s="278"/>
      <c r="H40" s="278"/>
      <c r="I40" s="278"/>
      <c r="J40" s="278"/>
      <c r="K40" s="278"/>
      <c r="L40" s="278"/>
      <c r="M40" s="278"/>
      <c r="N40" s="278"/>
      <c r="O40" s="278"/>
      <c r="P40" s="278"/>
      <c r="Q40" s="278"/>
      <c r="R40" s="279"/>
    </row>
    <row r="41" spans="1:18">
      <c r="A41" s="283" t="str">
        <f>CASE</f>
        <v>CASE NO. 2017-00321</v>
      </c>
      <c r="B41" s="278"/>
      <c r="C41" s="278"/>
      <c r="D41" s="278"/>
      <c r="E41" s="278"/>
      <c r="F41" s="278"/>
      <c r="G41" s="278"/>
      <c r="H41" s="278"/>
      <c r="I41" s="278"/>
      <c r="J41" s="278"/>
      <c r="K41" s="278"/>
      <c r="L41" s="278"/>
      <c r="M41" s="278"/>
      <c r="N41" s="278"/>
      <c r="O41" s="278"/>
      <c r="P41" s="278"/>
      <c r="Q41" s="278"/>
      <c r="R41" s="279"/>
    </row>
    <row r="42" spans="1:18">
      <c r="A42" s="283" t="s">
        <v>539</v>
      </c>
      <c r="B42" s="278"/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79"/>
    </row>
    <row r="43" spans="1:18">
      <c r="A43" s="76" t="str">
        <f>"AS OF " &amp;RIGHT(Forecast,(LEN(Forecast)-16))</f>
        <v>AS OF MARCH 31, 2019</v>
      </c>
      <c r="B43" s="278"/>
      <c r="C43" s="278"/>
      <c r="D43" s="278"/>
      <c r="E43" s="278"/>
      <c r="F43" s="278"/>
      <c r="G43" s="278"/>
      <c r="H43" s="278"/>
      <c r="I43" s="278"/>
      <c r="J43" s="278"/>
      <c r="K43" s="278"/>
      <c r="L43" s="278"/>
      <c r="M43" s="278"/>
      <c r="N43" s="278"/>
      <c r="O43" s="278"/>
      <c r="P43" s="278"/>
      <c r="Q43" s="278"/>
      <c r="R43" s="279"/>
    </row>
    <row r="44" spans="1:18">
      <c r="A44" s="283"/>
      <c r="B44" s="278"/>
      <c r="C44" s="278"/>
      <c r="D44" s="278"/>
      <c r="E44" s="278"/>
      <c r="F44" s="278"/>
      <c r="G44" s="278"/>
      <c r="H44" s="278"/>
      <c r="I44" s="278"/>
      <c r="J44" s="278"/>
      <c r="K44" s="278"/>
      <c r="L44" s="278"/>
      <c r="M44" s="278"/>
      <c r="N44" s="278"/>
      <c r="O44" s="278"/>
      <c r="P44" s="278"/>
      <c r="Q44" s="278"/>
      <c r="R44" s="279"/>
    </row>
    <row r="45" spans="1:18">
      <c r="A45" s="283"/>
      <c r="B45" s="278"/>
      <c r="C45" s="278"/>
      <c r="D45" s="278"/>
      <c r="E45" s="278"/>
      <c r="F45" s="278"/>
      <c r="G45" s="278"/>
      <c r="H45" s="278"/>
      <c r="I45" s="278"/>
      <c r="J45" s="278"/>
      <c r="K45" s="278"/>
      <c r="L45" s="278"/>
      <c r="M45" s="278"/>
      <c r="N45" s="278"/>
      <c r="O45" s="278"/>
      <c r="P45" s="278"/>
      <c r="Q45" s="278"/>
      <c r="R45" s="279"/>
    </row>
    <row r="46" spans="1:18">
      <c r="A46" s="279"/>
      <c r="B46" s="279"/>
      <c r="C46" s="279"/>
      <c r="D46" s="279"/>
      <c r="E46" s="279"/>
      <c r="F46" s="279"/>
      <c r="G46" s="279"/>
      <c r="H46" s="279"/>
      <c r="I46" s="1302"/>
      <c r="J46" s="279"/>
      <c r="K46" s="279"/>
      <c r="L46" s="279"/>
      <c r="M46" s="279"/>
      <c r="N46" s="279"/>
      <c r="O46" s="1302"/>
      <c r="P46" s="279"/>
      <c r="Q46" s="279"/>
      <c r="R46" s="279"/>
    </row>
    <row r="47" spans="1:18">
      <c r="A47" s="2460" t="str">
        <f>DataF</f>
        <v>DATA:  BASE PERIOD  "X" FORECASTED PERIOD</v>
      </c>
      <c r="B47" s="279"/>
      <c r="C47" s="279"/>
      <c r="D47" s="279"/>
      <c r="E47" s="279"/>
      <c r="F47" s="279"/>
      <c r="G47" s="279"/>
      <c r="H47" s="279"/>
      <c r="I47" s="1302"/>
      <c r="J47" s="279"/>
      <c r="K47" s="279"/>
      <c r="L47" s="279"/>
      <c r="M47" s="279"/>
      <c r="N47" s="279"/>
      <c r="O47" s="1563" t="s">
        <v>540</v>
      </c>
      <c r="P47" s="279"/>
      <c r="Q47" s="279"/>
      <c r="R47" s="279"/>
    </row>
    <row r="48" spans="1:18">
      <c r="A48" s="2460" t="str">
        <f>Type</f>
        <v xml:space="preserve">TYPE OF FILING:  "X" ORIGINAL   UPDATED    REVISED  </v>
      </c>
      <c r="B48" s="279"/>
      <c r="C48" s="279"/>
      <c r="D48" s="279"/>
      <c r="E48" s="279"/>
      <c r="F48" s="279"/>
      <c r="G48" s="279"/>
      <c r="H48" s="279"/>
      <c r="I48" s="1302"/>
      <c r="J48" s="279"/>
      <c r="K48" s="279"/>
      <c r="L48" s="279"/>
      <c r="M48" s="279"/>
      <c r="N48" s="279"/>
      <c r="O48" s="1563" t="s">
        <v>86</v>
      </c>
      <c r="P48" s="279"/>
      <c r="Q48" s="279"/>
      <c r="R48" s="279"/>
    </row>
    <row r="49" spans="1:18">
      <c r="A49" s="1563" t="s">
        <v>1635</v>
      </c>
      <c r="B49" s="279"/>
      <c r="C49" s="279"/>
      <c r="D49" s="279"/>
      <c r="E49" s="279"/>
      <c r="F49" s="279"/>
      <c r="G49" s="279"/>
      <c r="H49" s="279"/>
      <c r="I49" s="1302"/>
      <c r="J49" s="279"/>
      <c r="K49" s="279"/>
      <c r="L49" s="279"/>
      <c r="M49" s="279"/>
      <c r="N49" s="279"/>
      <c r="O49" s="1563" t="s">
        <v>622</v>
      </c>
      <c r="P49" s="279"/>
      <c r="Q49" s="279"/>
      <c r="R49" s="279"/>
    </row>
    <row r="50" spans="1:18">
      <c r="A50" s="279"/>
      <c r="B50" s="279"/>
      <c r="C50" s="279"/>
      <c r="D50" s="279"/>
      <c r="E50" s="279"/>
      <c r="F50" s="279"/>
      <c r="G50" s="279"/>
      <c r="H50" s="279"/>
      <c r="I50" s="1302"/>
      <c r="J50" s="279"/>
      <c r="K50" s="279"/>
      <c r="L50" s="279"/>
      <c r="M50" s="279"/>
      <c r="N50" s="279"/>
      <c r="O50" s="143" t="str">
        <f>_WIT3</f>
        <v>L. M. BELLUCCI</v>
      </c>
      <c r="P50" s="279"/>
      <c r="Q50" s="279"/>
      <c r="R50" s="279"/>
    </row>
    <row r="51" spans="1:18">
      <c r="A51" s="286"/>
      <c r="B51" s="286"/>
      <c r="C51" s="286"/>
      <c r="D51" s="286"/>
      <c r="E51" s="286"/>
      <c r="F51" s="286"/>
      <c r="G51" s="286"/>
      <c r="H51" s="286"/>
      <c r="I51" s="308"/>
      <c r="J51" s="286"/>
      <c r="K51" s="286"/>
      <c r="L51" s="286"/>
      <c r="M51" s="279"/>
      <c r="N51" s="279"/>
      <c r="O51" s="1302"/>
      <c r="P51" s="279"/>
      <c r="Q51" s="279"/>
      <c r="R51" s="279"/>
    </row>
    <row r="52" spans="1:18">
      <c r="A52" s="279"/>
      <c r="B52" s="279"/>
      <c r="C52" s="279"/>
      <c r="D52" s="279"/>
      <c r="E52" s="279"/>
      <c r="F52" s="279"/>
      <c r="G52" s="1302" t="s">
        <v>231</v>
      </c>
      <c r="H52" s="279"/>
      <c r="I52" s="1302"/>
      <c r="J52" s="279"/>
      <c r="K52" s="279"/>
      <c r="L52" s="279"/>
      <c r="M52" s="309"/>
      <c r="N52" s="309"/>
      <c r="O52" s="310"/>
      <c r="P52" s="309"/>
      <c r="Q52" s="279"/>
      <c r="R52" s="279"/>
    </row>
    <row r="53" spans="1:18">
      <c r="A53" s="279"/>
      <c r="B53" s="279"/>
      <c r="C53" s="279"/>
      <c r="D53" s="278"/>
      <c r="E53" s="279"/>
      <c r="F53" s="279"/>
      <c r="G53" s="288" t="s">
        <v>232</v>
      </c>
      <c r="H53" s="279"/>
      <c r="I53" s="1302"/>
      <c r="J53" s="279"/>
      <c r="K53" s="279"/>
      <c r="L53" s="279"/>
      <c r="M53" s="284"/>
      <c r="N53" s="284"/>
      <c r="O53" s="285"/>
      <c r="P53" s="285" t="s">
        <v>541</v>
      </c>
      <c r="Q53" s="279"/>
      <c r="R53" s="279"/>
    </row>
    <row r="54" spans="1:18">
      <c r="A54" s="288" t="s">
        <v>1961</v>
      </c>
      <c r="B54" s="279"/>
      <c r="C54" s="288" t="s">
        <v>1080</v>
      </c>
      <c r="D54" s="278"/>
      <c r="E54" s="279"/>
      <c r="F54" s="279"/>
      <c r="G54" s="288" t="s">
        <v>565</v>
      </c>
      <c r="H54" s="279"/>
      <c r="I54" s="278" t="s">
        <v>1461</v>
      </c>
      <c r="J54" s="278"/>
      <c r="K54" s="279"/>
      <c r="L54" s="288" t="s">
        <v>1056</v>
      </c>
      <c r="M54" s="279"/>
      <c r="N54" s="279"/>
      <c r="O54" s="1302"/>
      <c r="P54" s="1302" t="s">
        <v>1056</v>
      </c>
      <c r="Q54" s="279"/>
      <c r="R54" s="279"/>
    </row>
    <row r="55" spans="1:18">
      <c r="A55" s="288" t="s">
        <v>1854</v>
      </c>
      <c r="B55" s="279"/>
      <c r="C55" s="288" t="s">
        <v>1703</v>
      </c>
      <c r="D55" s="278"/>
      <c r="E55" s="283" t="s">
        <v>566</v>
      </c>
      <c r="F55" s="278"/>
      <c r="G55" s="1302" t="s">
        <v>568</v>
      </c>
      <c r="H55" s="279"/>
      <c r="I55" s="1302" t="s">
        <v>1061</v>
      </c>
      <c r="J55" s="1302" t="s">
        <v>363</v>
      </c>
      <c r="K55" s="279"/>
      <c r="L55" s="1302" t="s">
        <v>364</v>
      </c>
      <c r="M55" s="279"/>
      <c r="N55" s="1302" t="s">
        <v>542</v>
      </c>
      <c r="O55" s="1302"/>
      <c r="P55" s="1302" t="s">
        <v>364</v>
      </c>
      <c r="Q55" s="279"/>
      <c r="R55" s="279"/>
    </row>
    <row r="56" spans="1:18">
      <c r="A56" s="286"/>
      <c r="B56" s="286"/>
      <c r="C56" s="286"/>
      <c r="D56" s="286"/>
      <c r="E56" s="286"/>
      <c r="F56" s="286"/>
      <c r="G56" s="2461"/>
      <c r="H56" s="286"/>
      <c r="I56" s="308"/>
      <c r="J56" s="286"/>
      <c r="K56" s="286"/>
      <c r="L56" s="286"/>
      <c r="M56" s="279"/>
      <c r="N56" s="279"/>
      <c r="O56" s="1302"/>
      <c r="P56" s="279"/>
      <c r="Q56" s="279"/>
      <c r="R56" s="279"/>
    </row>
    <row r="57" spans="1:18">
      <c r="A57" s="279"/>
      <c r="B57" s="279"/>
      <c r="C57" s="279"/>
      <c r="D57" s="279"/>
      <c r="E57" s="279"/>
      <c r="F57" s="279"/>
      <c r="G57" s="291" t="s">
        <v>365</v>
      </c>
      <c r="H57" s="284"/>
      <c r="I57" s="292" t="s">
        <v>318</v>
      </c>
      <c r="J57" s="281"/>
      <c r="K57" s="284"/>
      <c r="L57" s="291" t="s">
        <v>319</v>
      </c>
      <c r="M57" s="309"/>
      <c r="N57" s="310" t="s">
        <v>320</v>
      </c>
      <c r="O57" s="310"/>
      <c r="P57" s="310" t="s">
        <v>321</v>
      </c>
      <c r="Q57" s="279"/>
      <c r="R57" s="279"/>
    </row>
    <row r="58" spans="1:18">
      <c r="A58" s="279"/>
      <c r="B58" s="279"/>
      <c r="C58" s="279"/>
      <c r="D58" s="284"/>
      <c r="E58" s="279"/>
      <c r="F58" s="279"/>
      <c r="G58" s="295"/>
      <c r="H58" s="295"/>
      <c r="I58" s="296"/>
      <c r="J58" s="295"/>
      <c r="K58" s="295"/>
      <c r="L58" s="295"/>
      <c r="M58" s="279"/>
      <c r="N58" s="279"/>
      <c r="O58" s="1302"/>
      <c r="P58" s="279"/>
      <c r="Q58" s="279"/>
      <c r="R58" s="279"/>
    </row>
    <row r="59" spans="1:18">
      <c r="A59" s="279">
        <v>1</v>
      </c>
      <c r="B59" s="279"/>
      <c r="C59" s="1302">
        <v>255</v>
      </c>
      <c r="D59" s="284"/>
      <c r="E59" s="279" t="s">
        <v>1582</v>
      </c>
      <c r="F59" s="279"/>
      <c r="G59" s="276"/>
      <c r="H59" s="295"/>
      <c r="I59" s="296"/>
      <c r="J59" s="295"/>
      <c r="K59" s="295"/>
      <c r="L59" s="295"/>
      <c r="M59" s="279"/>
      <c r="N59" s="279"/>
      <c r="O59" s="1302"/>
      <c r="P59" s="279"/>
      <c r="Q59" s="279"/>
      <c r="R59" s="279"/>
    </row>
    <row r="60" spans="1:18">
      <c r="A60" s="279">
        <f>A59+1</f>
        <v>2</v>
      </c>
      <c r="B60" s="279"/>
      <c r="C60" s="1302"/>
      <c r="D60" s="284"/>
      <c r="E60" s="279"/>
      <c r="F60" s="279" t="s">
        <v>297</v>
      </c>
      <c r="G60" s="2464">
        <f>'WPB-6''s'!T105</f>
        <v>0</v>
      </c>
      <c r="H60" s="295"/>
      <c r="I60" s="296" t="s">
        <v>593</v>
      </c>
      <c r="J60" s="2463">
        <f>VLOOKUP(I60,ALLOCTABLE,2)</f>
        <v>100</v>
      </c>
      <c r="K60" s="295"/>
      <c r="L60" s="295">
        <f>ROUND(G60*(J60/100),0)</f>
        <v>0</v>
      </c>
      <c r="M60" s="279"/>
      <c r="N60" s="295">
        <f>-'WPB-6''s'!AD176</f>
        <v>0</v>
      </c>
      <c r="O60" s="1302"/>
      <c r="P60" s="295">
        <f>L60+N60</f>
        <v>0</v>
      </c>
      <c r="Q60" s="279"/>
      <c r="R60" s="279"/>
    </row>
    <row r="61" spans="1:18">
      <c r="A61" s="279">
        <f t="shared" ref="A61:A67" si="1">A60+1</f>
        <v>3</v>
      </c>
      <c r="B61" s="279"/>
      <c r="C61" s="1302"/>
      <c r="D61" s="284"/>
      <c r="E61" s="279"/>
      <c r="F61" s="279" t="s">
        <v>299</v>
      </c>
      <c r="G61" s="2464">
        <f>'WPB-6''s'!T106</f>
        <v>0</v>
      </c>
      <c r="H61" s="295"/>
      <c r="I61" s="296" t="s">
        <v>593</v>
      </c>
      <c r="J61" s="2463">
        <f>VLOOKUP(I61,ALLOCTABLE,2)</f>
        <v>100</v>
      </c>
      <c r="K61" s="295"/>
      <c r="L61" s="295">
        <f>ROUND(G61*(J61/100),0)</f>
        <v>0</v>
      </c>
      <c r="M61" s="279"/>
      <c r="N61" s="295">
        <f>-L61</f>
        <v>0</v>
      </c>
      <c r="O61" s="1302" t="s">
        <v>944</v>
      </c>
      <c r="P61" s="295">
        <f>L61+N61</f>
        <v>0</v>
      </c>
      <c r="Q61" s="279"/>
      <c r="R61" s="279"/>
    </row>
    <row r="62" spans="1:18">
      <c r="A62" s="279">
        <f t="shared" si="1"/>
        <v>4</v>
      </c>
      <c r="B62" s="279"/>
      <c r="C62" s="1302"/>
      <c r="D62" s="284"/>
      <c r="E62" s="279"/>
      <c r="F62" s="279" t="s">
        <v>301</v>
      </c>
      <c r="G62" s="2464">
        <f>'WPB-6''s'!T107</f>
        <v>-4475</v>
      </c>
      <c r="H62" s="295"/>
      <c r="I62" s="296" t="s">
        <v>593</v>
      </c>
      <c r="J62" s="2463">
        <f>VLOOKUP(I62,ALLOCTABLE,2)</f>
        <v>100</v>
      </c>
      <c r="K62" s="295"/>
      <c r="L62" s="294">
        <f>ROUND(G62*(J62/100),0)</f>
        <v>-4475</v>
      </c>
      <c r="M62" s="279"/>
      <c r="N62" s="294">
        <f>-L62</f>
        <v>4475</v>
      </c>
      <c r="O62" s="1302" t="s">
        <v>944</v>
      </c>
      <c r="P62" s="294">
        <f>L62+N62</f>
        <v>0</v>
      </c>
      <c r="Q62" s="279"/>
      <c r="R62" s="279"/>
    </row>
    <row r="63" spans="1:18">
      <c r="A63" s="279">
        <f t="shared" si="1"/>
        <v>5</v>
      </c>
      <c r="B63" s="279"/>
      <c r="C63" s="1302"/>
      <c r="D63" s="284"/>
      <c r="E63" s="279"/>
      <c r="F63" s="279" t="s">
        <v>2758</v>
      </c>
      <c r="G63" s="2465">
        <f>'WPB-6''s'!T108</f>
        <v>-4350000</v>
      </c>
      <c r="H63" s="295"/>
      <c r="I63" s="296" t="s">
        <v>593</v>
      </c>
      <c r="J63" s="2463">
        <f>VLOOKUP(I63,ALLOCTABLE,2)</f>
        <v>100</v>
      </c>
      <c r="K63" s="295"/>
      <c r="L63" s="312">
        <f>ROUND(G63*(J63/100),0)</f>
        <v>-4350000</v>
      </c>
      <c r="M63" s="279"/>
      <c r="N63" s="312">
        <f>-L63</f>
        <v>4350000</v>
      </c>
      <c r="O63" s="1302" t="s">
        <v>944</v>
      </c>
      <c r="P63" s="312">
        <f>L63+N63</f>
        <v>0</v>
      </c>
      <c r="Q63" s="279"/>
      <c r="R63" s="279"/>
    </row>
    <row r="64" spans="1:18" ht="13.5" thickBot="1">
      <c r="A64" s="279">
        <f t="shared" si="1"/>
        <v>6</v>
      </c>
      <c r="B64" s="279"/>
      <c r="C64" s="1302"/>
      <c r="D64" s="284"/>
      <c r="E64" s="279" t="s">
        <v>302</v>
      </c>
      <c r="F64" s="279"/>
      <c r="G64" s="275">
        <f>SUM(G59:G63)</f>
        <v>-4354475</v>
      </c>
      <c r="H64" s="295"/>
      <c r="I64" s="296"/>
      <c r="J64" s="295"/>
      <c r="K64" s="295"/>
      <c r="L64" s="275">
        <f>SUM(L59:L63)</f>
        <v>-4354475</v>
      </c>
      <c r="M64" s="279"/>
      <c r="N64" s="275">
        <f>SUM(N59:N63)</f>
        <v>4354475</v>
      </c>
      <c r="O64" s="1302"/>
      <c r="P64" s="275">
        <f>SUM(P59:P63)</f>
        <v>0</v>
      </c>
      <c r="Q64" s="2466" t="s">
        <v>210</v>
      </c>
      <c r="R64" s="279"/>
    </row>
    <row r="65" spans="1:18" ht="13.5" thickTop="1">
      <c r="A65" s="279">
        <f t="shared" si="1"/>
        <v>7</v>
      </c>
      <c r="B65" s="279"/>
      <c r="C65" s="1302"/>
      <c r="D65" s="284"/>
      <c r="E65" s="279"/>
      <c r="F65" s="279"/>
      <c r="G65" s="2468"/>
      <c r="H65" s="295"/>
      <c r="I65" s="296"/>
      <c r="J65" s="295"/>
      <c r="K65" s="295"/>
      <c r="L65" s="2468"/>
      <c r="M65" s="279"/>
      <c r="N65" s="2468"/>
      <c r="O65" s="1302"/>
      <c r="P65" s="2468"/>
      <c r="Q65" s="2466"/>
      <c r="R65" s="279"/>
    </row>
    <row r="66" spans="1:18">
      <c r="A66" s="279">
        <f t="shared" si="1"/>
        <v>8</v>
      </c>
      <c r="B66" s="279"/>
      <c r="C66" s="2467"/>
      <c r="D66" s="284"/>
      <c r="E66" s="279" t="s">
        <v>304</v>
      </c>
      <c r="F66" s="279"/>
      <c r="G66" s="276"/>
      <c r="H66" s="295"/>
      <c r="I66" s="296"/>
      <c r="J66" s="295"/>
      <c r="K66" s="295"/>
      <c r="L66" s="295"/>
      <c r="M66" s="279"/>
      <c r="N66" s="279"/>
      <c r="O66" s="1302"/>
      <c r="P66" s="279"/>
      <c r="Q66" s="279"/>
      <c r="R66" s="279"/>
    </row>
    <row r="67" spans="1:18" ht="13.5" thickBot="1">
      <c r="A67" s="279">
        <f t="shared" si="1"/>
        <v>9</v>
      </c>
      <c r="B67" s="279"/>
      <c r="C67" s="2467" t="s">
        <v>2933</v>
      </c>
      <c r="D67" s="279"/>
      <c r="E67" s="279" t="s">
        <v>1897</v>
      </c>
      <c r="F67" s="279"/>
      <c r="G67" s="275">
        <f>'WPB-6''s'!T117</f>
        <v>-241411552</v>
      </c>
      <c r="H67" s="295"/>
      <c r="I67" s="296" t="s">
        <v>593</v>
      </c>
      <c r="J67" s="2463">
        <f>VLOOKUP(I67,ALLOCTABLE,2)</f>
        <v>100</v>
      </c>
      <c r="K67" s="295"/>
      <c r="L67" s="275">
        <f>ROUND(G67*(J67/100),0)</f>
        <v>-241411552</v>
      </c>
      <c r="M67" s="279"/>
      <c r="N67" s="275">
        <v>0</v>
      </c>
      <c r="O67" s="1302"/>
      <c r="P67" s="275">
        <f>L67+N67</f>
        <v>-241411552</v>
      </c>
      <c r="Q67" s="2466" t="s">
        <v>303</v>
      </c>
      <c r="R67" s="279"/>
    </row>
    <row r="68" spans="1:18" ht="13.5" thickTop="1">
      <c r="A68" s="279"/>
      <c r="B68" s="279"/>
      <c r="C68" s="1302"/>
      <c r="D68" s="279"/>
      <c r="E68" s="1581"/>
      <c r="F68" s="1581"/>
      <c r="G68" s="2468"/>
      <c r="H68" s="1571"/>
      <c r="I68" s="1302"/>
      <c r="J68" s="279"/>
      <c r="K68" s="279"/>
      <c r="L68" s="2468"/>
      <c r="M68" s="279"/>
      <c r="N68" s="2468"/>
      <c r="O68" s="1302"/>
      <c r="P68" s="2468"/>
      <c r="Q68" s="279"/>
      <c r="R68" s="279"/>
    </row>
    <row r="69" spans="1:18">
      <c r="A69" s="279"/>
      <c r="B69" s="279"/>
      <c r="C69" s="279"/>
      <c r="D69" s="279"/>
      <c r="E69" s="279"/>
      <c r="F69" s="1581"/>
      <c r="G69" s="279"/>
      <c r="H69" s="1571"/>
      <c r="I69" s="1302"/>
      <c r="J69" s="279"/>
      <c r="K69" s="279"/>
      <c r="L69" s="279"/>
      <c r="M69" s="279"/>
      <c r="N69" s="279"/>
      <c r="O69" s="1302"/>
      <c r="P69" s="279"/>
      <c r="Q69" s="279"/>
      <c r="R69" s="279"/>
    </row>
    <row r="70" spans="1:18">
      <c r="A70" s="279"/>
      <c r="B70" s="2469" t="s">
        <v>1936</v>
      </c>
      <c r="C70" s="279"/>
      <c r="D70" s="279"/>
      <c r="E70" s="279"/>
      <c r="F70" s="1571"/>
      <c r="G70" s="1571"/>
      <c r="H70" s="1571"/>
      <c r="I70" s="1302"/>
      <c r="J70" s="279"/>
      <c r="K70" s="279"/>
      <c r="L70" s="279"/>
      <c r="M70" s="279"/>
      <c r="N70" s="279"/>
      <c r="O70" s="1302"/>
      <c r="P70" s="279"/>
      <c r="Q70" s="279"/>
      <c r="R70" s="279"/>
    </row>
    <row r="71" spans="1:18">
      <c r="A71" s="279"/>
      <c r="B71" s="279"/>
      <c r="C71" s="1563" t="s">
        <v>3349</v>
      </c>
      <c r="D71" s="279"/>
      <c r="E71" s="284"/>
      <c r="F71" s="284"/>
      <c r="G71" s="279"/>
      <c r="H71" s="279"/>
      <c r="I71" s="1302"/>
      <c r="J71" s="279"/>
      <c r="K71" s="279"/>
      <c r="L71" s="279"/>
      <c r="M71" s="279"/>
      <c r="N71" s="279"/>
      <c r="O71" s="1302"/>
      <c r="P71" s="279"/>
      <c r="Q71" s="279"/>
      <c r="R71" s="279"/>
    </row>
    <row r="72" spans="1:18">
      <c r="A72" s="279"/>
      <c r="B72" s="279"/>
      <c r="C72" s="1563" t="s">
        <v>1270</v>
      </c>
      <c r="D72" s="279"/>
      <c r="E72" s="284"/>
      <c r="F72" s="284"/>
      <c r="G72" s="284"/>
      <c r="H72" s="284"/>
      <c r="I72" s="285"/>
      <c r="J72" s="284"/>
      <c r="K72" s="284"/>
      <c r="L72" s="284"/>
      <c r="M72" s="279"/>
      <c r="N72" s="279"/>
      <c r="O72" s="1302"/>
      <c r="P72" s="279"/>
      <c r="Q72" s="279"/>
      <c r="R72" s="279"/>
    </row>
    <row r="73" spans="1:18">
      <c r="A73" s="279"/>
      <c r="B73" s="279"/>
      <c r="C73" s="1563" t="s">
        <v>1581</v>
      </c>
      <c r="D73" s="279"/>
      <c r="E73" s="284"/>
      <c r="F73" s="284"/>
      <c r="G73" s="284"/>
      <c r="H73" s="284"/>
      <c r="I73" s="285"/>
      <c r="J73" s="284"/>
      <c r="K73" s="284"/>
      <c r="L73" s="284"/>
      <c r="M73" s="279"/>
      <c r="N73" s="279"/>
      <c r="O73" s="1302"/>
      <c r="P73" s="279"/>
      <c r="Q73" s="279"/>
      <c r="R73" s="279"/>
    </row>
    <row r="74" spans="1:18">
      <c r="A74" s="279"/>
      <c r="B74" s="279"/>
      <c r="C74" s="1563" t="s">
        <v>3031</v>
      </c>
      <c r="D74" s="279"/>
      <c r="E74" s="284"/>
      <c r="F74" s="284"/>
      <c r="G74" s="284"/>
      <c r="H74" s="284"/>
      <c r="I74" s="285"/>
      <c r="J74" s="284"/>
      <c r="K74" s="284"/>
      <c r="L74" s="284"/>
      <c r="M74" s="279"/>
      <c r="N74" s="279"/>
      <c r="O74" s="1302"/>
      <c r="P74" s="279"/>
      <c r="Q74" s="279"/>
      <c r="R74" s="279"/>
    </row>
    <row r="75" spans="1:18">
      <c r="A75" s="279"/>
      <c r="B75" s="284"/>
      <c r="C75" s="2466"/>
      <c r="D75" s="284"/>
      <c r="E75" s="284"/>
      <c r="F75" s="284"/>
      <c r="G75" s="284"/>
      <c r="H75" s="284"/>
      <c r="I75" s="285"/>
      <c r="J75" s="284"/>
      <c r="K75" s="284"/>
      <c r="L75" s="284"/>
      <c r="M75" s="279"/>
      <c r="N75" s="279"/>
      <c r="O75" s="1302"/>
      <c r="P75" s="279"/>
      <c r="Q75" s="279"/>
      <c r="R75" s="279"/>
    </row>
  </sheetData>
  <phoneticPr fontId="19" type="noConversion"/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4" tint="0.39997558519241921"/>
  </sheetPr>
  <dimension ref="A1:AP216"/>
  <sheetViews>
    <sheetView tabSelected="1" view="pageLayout" topLeftCell="A55" zoomScaleNormal="88" workbookViewId="0">
      <selection activeCell="G1" sqref="G1"/>
    </sheetView>
  </sheetViews>
  <sheetFormatPr defaultColWidth="8" defaultRowHeight="12.75"/>
  <cols>
    <col min="1" max="1" width="7.5703125" style="18" customWidth="1"/>
    <col min="2" max="2" width="1.5703125" style="18" customWidth="1"/>
    <col min="3" max="3" width="9" style="18" customWidth="1"/>
    <col min="4" max="4" width="1.28515625" style="18" customWidth="1"/>
    <col min="5" max="5" width="34.140625" style="18" customWidth="1"/>
    <col min="6" max="17" width="15.42578125" style="18" customWidth="1"/>
    <col min="18" max="18" width="15.7109375" style="18" customWidth="1"/>
    <col min="19" max="19" width="15.85546875" style="18" customWidth="1"/>
    <col min="20" max="20" width="16.28515625" style="18" customWidth="1"/>
    <col min="21" max="21" width="1.42578125" style="18" customWidth="1"/>
    <col min="22" max="22" width="19.140625" style="18" customWidth="1"/>
    <col min="23" max="23" width="8" style="18" customWidth="1"/>
    <col min="24" max="24" width="6.28515625" style="18" customWidth="1"/>
    <col min="25" max="25" width="1.7109375" style="18" customWidth="1"/>
    <col min="26" max="26" width="30" style="18" customWidth="1"/>
    <col min="27" max="27" width="8" style="18" customWidth="1"/>
    <col min="28" max="28" width="15.28515625" style="18" customWidth="1"/>
    <col min="29" max="29" width="16.28515625" style="18" customWidth="1"/>
    <col min="30" max="30" width="16.140625" style="18" customWidth="1"/>
    <col min="31" max="31" width="17.28515625" style="18" customWidth="1"/>
    <col min="32" max="32" width="8" style="18" customWidth="1"/>
    <col min="33" max="33" width="6.7109375" style="18" customWidth="1"/>
    <col min="34" max="34" width="2.85546875" style="18" customWidth="1"/>
    <col min="35" max="35" width="40.28515625" style="18" customWidth="1"/>
    <col min="36" max="36" width="15.42578125" style="18" customWidth="1"/>
    <col min="37" max="37" width="18.85546875" style="18" customWidth="1"/>
    <col min="38" max="38" width="20.7109375" style="18" customWidth="1"/>
    <col min="39" max="16384" width="8" style="18"/>
  </cols>
  <sheetData>
    <row r="1" spans="1:42">
      <c r="A1" s="277" t="str">
        <f>COMPANY</f>
        <v>DUKE ENERGY KENTUCKY, INC.</v>
      </c>
      <c r="B1" s="278"/>
      <c r="C1" s="279"/>
      <c r="D1" s="278"/>
      <c r="E1" s="278"/>
      <c r="F1" s="278"/>
      <c r="G1" s="278"/>
      <c r="H1" s="278"/>
      <c r="I1" s="278"/>
      <c r="J1" s="278"/>
      <c r="K1" s="280" t="s">
        <v>1869</v>
      </c>
      <c r="L1" s="280"/>
      <c r="M1" s="278"/>
      <c r="N1" s="1596"/>
      <c r="O1" s="1596"/>
      <c r="P1" s="1596"/>
      <c r="Q1" s="1596"/>
      <c r="R1" s="1571"/>
      <c r="S1" s="278"/>
      <c r="T1" s="1571"/>
      <c r="U1" s="278"/>
      <c r="V1" s="281"/>
      <c r="W1" s="1571"/>
      <c r="X1" s="1571"/>
      <c r="Y1" s="1571"/>
      <c r="Z1" s="1571"/>
      <c r="AA1" s="1571"/>
      <c r="AB1" s="1571"/>
      <c r="AC1" s="1571"/>
      <c r="AD1" s="1571"/>
      <c r="AE1" s="1571"/>
      <c r="AF1" s="1571"/>
      <c r="AG1" s="1571"/>
      <c r="AH1" s="1571"/>
      <c r="AI1" s="1571"/>
      <c r="AJ1" s="1571"/>
      <c r="AK1" s="1571"/>
      <c r="AL1" s="1571"/>
      <c r="AM1" s="1571"/>
      <c r="AN1" s="1571"/>
      <c r="AO1" s="1571"/>
      <c r="AP1" s="1571"/>
    </row>
    <row r="2" spans="1:42">
      <c r="A2" s="277" t="str">
        <f>CASE</f>
        <v>CASE NO. 2017-00321</v>
      </c>
      <c r="B2" s="278"/>
      <c r="C2" s="279"/>
      <c r="D2" s="278"/>
      <c r="E2" s="278"/>
      <c r="F2" s="278"/>
      <c r="G2" s="278"/>
      <c r="H2" s="278"/>
      <c r="I2" s="278"/>
      <c r="J2" s="278"/>
      <c r="K2" s="280" t="s">
        <v>622</v>
      </c>
      <c r="L2" s="280"/>
      <c r="M2" s="278"/>
      <c r="N2" s="1597"/>
      <c r="O2" s="1597"/>
      <c r="P2" s="1597"/>
      <c r="Q2" s="1597"/>
      <c r="R2" s="1571"/>
      <c r="S2" s="278"/>
      <c r="T2" s="1571"/>
      <c r="U2" s="278"/>
      <c r="V2" s="281"/>
      <c r="W2" s="1571"/>
      <c r="X2" s="1571"/>
      <c r="Y2" s="1571"/>
      <c r="Z2" s="1571"/>
      <c r="AA2" s="1571"/>
      <c r="AB2" s="1571"/>
      <c r="AC2" s="1571"/>
      <c r="AD2" s="1571"/>
      <c r="AE2" s="1571"/>
      <c r="AF2" s="1571"/>
      <c r="AG2" s="1571"/>
      <c r="AH2" s="1571"/>
      <c r="AI2" s="1571"/>
      <c r="AJ2" s="1571"/>
      <c r="AK2" s="1571"/>
      <c r="AL2" s="1571"/>
      <c r="AM2" s="1571"/>
      <c r="AN2" s="1571"/>
      <c r="AO2" s="1571"/>
      <c r="AP2" s="1571"/>
    </row>
    <row r="3" spans="1:42">
      <c r="A3" s="277" t="s">
        <v>539</v>
      </c>
      <c r="B3" s="278"/>
      <c r="C3" s="279"/>
      <c r="D3" s="278"/>
      <c r="E3" s="278"/>
      <c r="F3" s="278"/>
      <c r="G3" s="278"/>
      <c r="H3" s="278"/>
      <c r="I3" s="278"/>
      <c r="J3" s="278"/>
      <c r="K3" s="280" t="str">
        <f>_WIT3</f>
        <v>L. M. BELLUCCI</v>
      </c>
      <c r="L3" s="280"/>
      <c r="M3" s="278"/>
      <c r="N3" s="1597"/>
      <c r="O3" s="1597"/>
      <c r="P3" s="1597"/>
      <c r="Q3" s="1597"/>
      <c r="R3" s="1571"/>
      <c r="S3" s="278"/>
      <c r="T3" s="1571"/>
      <c r="U3" s="278"/>
      <c r="V3" s="281"/>
      <c r="W3" s="1571"/>
      <c r="X3" s="1571"/>
      <c r="Y3" s="1571"/>
      <c r="Z3" s="1571"/>
      <c r="AA3" s="1571"/>
      <c r="AB3" s="1571"/>
      <c r="AC3" s="1571"/>
      <c r="AD3" s="1571"/>
      <c r="AE3" s="1571"/>
      <c r="AF3" s="1571"/>
      <c r="AG3" s="1571"/>
      <c r="AH3" s="1571"/>
      <c r="AI3" s="1571"/>
      <c r="AJ3" s="1571"/>
      <c r="AK3" s="1571"/>
      <c r="AL3" s="1571"/>
      <c r="AM3" s="1571"/>
      <c r="AN3" s="1571"/>
      <c r="AO3" s="1571"/>
      <c r="AP3" s="1571"/>
    </row>
    <row r="4" spans="1:42">
      <c r="A4" s="277" t="str">
        <f>Data</f>
        <v>DATA: "X" BASE PERIOD   FORECASTED PERIOD</v>
      </c>
      <c r="B4" s="278"/>
      <c r="C4" s="279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1597"/>
      <c r="O4" s="1597"/>
      <c r="P4" s="1597"/>
      <c r="Q4" s="1597"/>
      <c r="R4" s="278"/>
      <c r="S4" s="278"/>
      <c r="T4" s="278"/>
      <c r="U4" s="278"/>
      <c r="V4" s="281"/>
      <c r="W4" s="1571"/>
      <c r="X4" s="1571"/>
      <c r="Y4" s="1571"/>
      <c r="Z4" s="1571"/>
      <c r="AA4" s="1571"/>
      <c r="AB4" s="1571"/>
      <c r="AC4" s="1571"/>
      <c r="AD4" s="1571"/>
      <c r="AE4" s="1571"/>
      <c r="AF4" s="1571"/>
      <c r="AG4" s="1571"/>
      <c r="AH4" s="1571"/>
      <c r="AI4" s="1571"/>
      <c r="AJ4" s="1571"/>
      <c r="AK4" s="1571"/>
      <c r="AL4" s="1571"/>
      <c r="AM4" s="1571"/>
      <c r="AN4" s="1571"/>
      <c r="AO4" s="1571"/>
      <c r="AP4" s="1571"/>
    </row>
    <row r="5" spans="1:42">
      <c r="A5" s="174" t="s">
        <v>1464</v>
      </c>
      <c r="B5" s="278"/>
      <c r="C5" s="278"/>
      <c r="D5" s="278"/>
      <c r="E5" s="1590"/>
      <c r="F5" s="278"/>
      <c r="G5" s="282"/>
      <c r="H5" s="282"/>
      <c r="I5" s="282"/>
      <c r="J5" s="282"/>
      <c r="K5" s="282"/>
      <c r="L5" s="282"/>
      <c r="M5" s="282"/>
      <c r="N5" s="1597"/>
      <c r="O5" s="1597"/>
      <c r="P5" s="1597"/>
      <c r="Q5" s="1597"/>
      <c r="R5" s="278"/>
      <c r="S5" s="278"/>
      <c r="T5" s="278"/>
      <c r="U5" s="278"/>
      <c r="V5" s="281"/>
      <c r="W5" s="1571"/>
      <c r="X5" s="1571"/>
      <c r="Y5" s="1571"/>
      <c r="Z5" s="1571"/>
      <c r="AA5" s="1571"/>
      <c r="AB5" s="1571"/>
      <c r="AC5" s="1571"/>
      <c r="AD5" s="1571"/>
      <c r="AE5" s="1571"/>
      <c r="AF5" s="1571"/>
      <c r="AG5" s="1571"/>
      <c r="AH5" s="1571"/>
      <c r="AI5" s="1571"/>
      <c r="AJ5" s="1571"/>
      <c r="AK5" s="1571"/>
      <c r="AL5" s="1571"/>
      <c r="AM5" s="1571"/>
      <c r="AN5" s="1571"/>
      <c r="AO5" s="1571"/>
      <c r="AP5" s="1571"/>
    </row>
    <row r="6" spans="1:42">
      <c r="A6" s="174"/>
      <c r="B6" s="278"/>
      <c r="C6" s="278"/>
      <c r="D6" s="278"/>
      <c r="E6" s="278"/>
      <c r="F6" s="1595"/>
      <c r="G6" s="1595"/>
      <c r="H6" s="1595"/>
      <c r="I6" s="1595"/>
      <c r="J6" s="1595"/>
      <c r="K6" s="1595"/>
      <c r="L6" s="1595"/>
      <c r="M6" s="282"/>
      <c r="N6" s="1595"/>
      <c r="O6" s="1595"/>
      <c r="P6" s="1595"/>
      <c r="Q6" s="296"/>
      <c r="R6" s="278"/>
      <c r="S6" s="278"/>
      <c r="T6" s="278"/>
      <c r="U6" s="278"/>
      <c r="V6" s="281"/>
      <c r="W6" s="1571"/>
      <c r="X6" s="1571"/>
      <c r="Y6" s="1571"/>
      <c r="Z6" s="1571"/>
      <c r="AA6" s="1571"/>
      <c r="AB6" s="1571"/>
      <c r="AC6" s="1571"/>
      <c r="AD6" s="1571"/>
      <c r="AE6" s="1571"/>
      <c r="AF6" s="1571"/>
      <c r="AG6" s="1571"/>
      <c r="AH6" s="1571"/>
      <c r="AI6" s="1571"/>
      <c r="AJ6" s="1571"/>
      <c r="AK6" s="1571"/>
      <c r="AL6" s="1571"/>
      <c r="AM6" s="1571"/>
      <c r="AN6" s="1571"/>
      <c r="AO6" s="1571"/>
      <c r="AP6" s="1571"/>
    </row>
    <row r="7" spans="1:42">
      <c r="A7" s="174"/>
      <c r="B7" s="278"/>
      <c r="C7" s="278"/>
      <c r="D7" s="278"/>
      <c r="E7" s="278"/>
      <c r="F7" s="1595"/>
      <c r="G7" s="1595"/>
      <c r="H7" s="1595"/>
      <c r="I7" s="1595"/>
      <c r="J7" s="1595"/>
      <c r="K7" s="1595"/>
      <c r="L7" s="1595"/>
      <c r="M7" s="282"/>
      <c r="N7" s="1595"/>
      <c r="O7" s="1595"/>
      <c r="P7" s="1595"/>
      <c r="Q7" s="296"/>
      <c r="R7" s="278"/>
      <c r="S7" s="278"/>
      <c r="T7" s="278"/>
      <c r="U7" s="278"/>
      <c r="V7" s="281"/>
      <c r="W7" s="1571"/>
      <c r="X7" s="1571"/>
      <c r="Y7" s="1571"/>
      <c r="Z7" s="1571"/>
      <c r="AA7" s="1571"/>
      <c r="AB7" s="1571"/>
      <c r="AC7" s="1571"/>
      <c r="AD7" s="1571"/>
      <c r="AE7" s="1571"/>
      <c r="AF7" s="1571"/>
      <c r="AG7" s="1571"/>
      <c r="AH7" s="1571"/>
      <c r="AI7" s="1571"/>
      <c r="AJ7" s="1571"/>
      <c r="AK7" s="1571"/>
      <c r="AL7" s="1571"/>
      <c r="AM7" s="1571"/>
      <c r="AN7" s="1571"/>
      <c r="AO7" s="1571"/>
      <c r="AP7" s="1571"/>
    </row>
    <row r="8" spans="1:42">
      <c r="A8" s="283"/>
      <c r="B8" s="278"/>
      <c r="C8" s="278"/>
      <c r="D8" s="278"/>
      <c r="E8" s="278"/>
      <c r="F8" s="1595"/>
      <c r="G8" s="1595"/>
      <c r="H8" s="1595"/>
      <c r="I8" s="1595"/>
      <c r="J8" s="1595"/>
      <c r="K8" s="1595"/>
      <c r="L8" s="1595"/>
      <c r="M8" s="282"/>
      <c r="N8" s="1595"/>
      <c r="O8" s="1595"/>
      <c r="P8" s="1595"/>
      <c r="Q8" s="296"/>
      <c r="R8" s="278"/>
      <c r="S8" s="278"/>
      <c r="T8" s="278"/>
      <c r="U8" s="278"/>
      <c r="V8" s="281"/>
      <c r="W8" s="1571"/>
      <c r="X8" s="1571"/>
      <c r="Y8" s="1571"/>
      <c r="Z8" s="1571"/>
      <c r="AA8" s="1571"/>
      <c r="AB8" s="1571"/>
      <c r="AC8" s="1571"/>
      <c r="AD8" s="1571"/>
      <c r="AE8" s="1571"/>
      <c r="AF8" s="1571"/>
      <c r="AG8" s="1571"/>
      <c r="AH8" s="1571"/>
      <c r="AI8" s="1571"/>
      <c r="AJ8" s="1571"/>
      <c r="AK8" s="1571"/>
      <c r="AL8" s="1571"/>
      <c r="AM8" s="1571"/>
      <c r="AN8" s="1571"/>
      <c r="AO8" s="1571"/>
      <c r="AP8" s="1571"/>
    </row>
    <row r="9" spans="1:42">
      <c r="A9" s="279"/>
      <c r="B9" s="279"/>
      <c r="C9" s="279"/>
      <c r="D9" s="279"/>
      <c r="E9" s="279"/>
      <c r="F9" s="1595"/>
      <c r="G9" s="1595"/>
      <c r="H9" s="1595"/>
      <c r="I9" s="1595"/>
      <c r="J9" s="1595"/>
      <c r="K9" s="1595"/>
      <c r="L9" s="1595"/>
      <c r="M9" s="282"/>
      <c r="N9" s="1595"/>
      <c r="O9" s="1595"/>
      <c r="P9" s="1595"/>
      <c r="Q9" s="1595"/>
      <c r="R9" s="279"/>
      <c r="S9" s="279"/>
      <c r="T9" s="284"/>
      <c r="U9" s="279"/>
      <c r="V9" s="285"/>
      <c r="W9" s="1571"/>
      <c r="X9" s="1571"/>
      <c r="Y9" s="1571"/>
      <c r="Z9" s="1571"/>
      <c r="AA9" s="1571"/>
      <c r="AB9" s="1571"/>
      <c r="AC9" s="1571"/>
      <c r="AD9" s="1571"/>
      <c r="AE9" s="1571"/>
      <c r="AF9" s="1571"/>
      <c r="AG9" s="1571"/>
      <c r="AH9" s="1571"/>
      <c r="AI9" s="1571"/>
      <c r="AJ9" s="1571"/>
      <c r="AK9" s="1571"/>
      <c r="AL9" s="1571"/>
      <c r="AM9" s="1571"/>
      <c r="AN9" s="1571"/>
      <c r="AO9" s="1571"/>
      <c r="AP9" s="1571"/>
    </row>
    <row r="10" spans="1:42">
      <c r="A10" s="286"/>
      <c r="B10" s="286"/>
      <c r="C10" s="286"/>
      <c r="D10" s="286"/>
      <c r="E10" s="286"/>
      <c r="F10" s="1598"/>
      <c r="G10" s="1598"/>
      <c r="H10" s="1598"/>
      <c r="I10" s="1598"/>
      <c r="J10" s="1598"/>
      <c r="K10" s="1598"/>
      <c r="L10" s="1598"/>
      <c r="M10" s="287"/>
      <c r="N10" s="1598"/>
      <c r="O10" s="1598"/>
      <c r="P10" s="1598"/>
      <c r="Q10" s="1598"/>
      <c r="R10" s="279"/>
      <c r="S10" s="279"/>
      <c r="T10" s="284"/>
      <c r="U10" s="284"/>
      <c r="V10" s="285"/>
      <c r="W10" s="1571"/>
      <c r="X10" s="1571"/>
      <c r="Y10" s="1571"/>
      <c r="Z10" s="1571"/>
      <c r="AA10" s="1571"/>
      <c r="AB10" s="1571"/>
      <c r="AC10" s="1571"/>
      <c r="AD10" s="1571"/>
      <c r="AE10" s="1571"/>
      <c r="AF10" s="1571"/>
      <c r="AG10" s="1571"/>
      <c r="AH10" s="1571"/>
      <c r="AI10" s="1571"/>
      <c r="AJ10" s="1571"/>
      <c r="AK10" s="1571"/>
      <c r="AL10" s="1571"/>
      <c r="AM10" s="1571"/>
      <c r="AN10" s="1571"/>
      <c r="AO10" s="1571"/>
      <c r="AP10" s="1571"/>
    </row>
    <row r="11" spans="1:42">
      <c r="A11" s="279"/>
      <c r="B11" s="279"/>
      <c r="C11" s="279"/>
      <c r="D11" s="279"/>
      <c r="E11" s="279"/>
      <c r="F11" s="1302"/>
      <c r="G11" s="1302"/>
      <c r="H11" s="1302"/>
      <c r="I11" s="1302"/>
      <c r="J11" s="1302"/>
      <c r="K11" s="1302"/>
      <c r="L11" s="1302"/>
      <c r="M11" s="279"/>
      <c r="N11" s="1302"/>
      <c r="O11" s="1302"/>
      <c r="P11" s="1302"/>
      <c r="Q11" s="1302"/>
      <c r="R11" s="279"/>
      <c r="S11" s="279"/>
      <c r="T11" s="284"/>
      <c r="U11" s="285"/>
      <c r="V11" s="285"/>
      <c r="W11" s="1571"/>
      <c r="X11" s="1571"/>
      <c r="Y11" s="1571"/>
      <c r="Z11" s="1571"/>
      <c r="AA11" s="1571"/>
      <c r="AB11" s="1571"/>
      <c r="AC11" s="1571"/>
      <c r="AD11" s="1571"/>
      <c r="AE11" s="1571"/>
      <c r="AF11" s="1571"/>
      <c r="AG11" s="1571"/>
      <c r="AH11" s="1571"/>
      <c r="AI11" s="1571"/>
      <c r="AJ11" s="1571"/>
      <c r="AK11" s="1571"/>
      <c r="AL11" s="1571"/>
      <c r="AM11" s="1571"/>
      <c r="AN11" s="1571"/>
      <c r="AO11" s="1571"/>
      <c r="AP11" s="1571"/>
    </row>
    <row r="12" spans="1:42">
      <c r="A12" s="288" t="s">
        <v>1961</v>
      </c>
      <c r="B12" s="279"/>
      <c r="C12" s="288" t="s">
        <v>1080</v>
      </c>
      <c r="D12" s="278"/>
      <c r="E12" s="279"/>
      <c r="F12" s="1557" t="s">
        <v>444</v>
      </c>
      <c r="G12" s="1557" t="s">
        <v>445</v>
      </c>
      <c r="H12" s="1558" t="s">
        <v>446</v>
      </c>
      <c r="I12" s="1303" t="s">
        <v>447</v>
      </c>
      <c r="J12" s="1559" t="s">
        <v>448</v>
      </c>
      <c r="K12" s="1303" t="s">
        <v>226</v>
      </c>
      <c r="L12" s="1303" t="s">
        <v>227</v>
      </c>
      <c r="N12" s="1303" t="s">
        <v>228</v>
      </c>
      <c r="O12" s="1303" t="s">
        <v>1632</v>
      </c>
      <c r="P12" s="1303" t="s">
        <v>229</v>
      </c>
      <c r="Q12" s="1303" t="s">
        <v>230</v>
      </c>
      <c r="R12" s="1571"/>
      <c r="S12" s="1571"/>
      <c r="T12" s="285"/>
      <c r="U12" s="285"/>
      <c r="V12" s="285"/>
      <c r="W12" s="1571"/>
      <c r="X12" s="1571"/>
      <c r="Y12" s="1571"/>
      <c r="Z12" s="1571"/>
      <c r="AA12" s="1571"/>
      <c r="AB12" s="1571"/>
      <c r="AC12" s="1571"/>
      <c r="AD12" s="1571"/>
      <c r="AE12" s="1571"/>
      <c r="AF12" s="1571"/>
      <c r="AG12" s="1571"/>
      <c r="AH12" s="1571"/>
      <c r="AI12" s="1571"/>
      <c r="AJ12" s="1571"/>
      <c r="AK12" s="1571"/>
      <c r="AL12" s="1571"/>
      <c r="AM12" s="1571"/>
      <c r="AN12" s="1571"/>
      <c r="AO12" s="1571"/>
      <c r="AP12" s="1571"/>
    </row>
    <row r="13" spans="1:42">
      <c r="A13" s="288" t="s">
        <v>1854</v>
      </c>
      <c r="B13" s="279"/>
      <c r="C13" s="288" t="s">
        <v>1703</v>
      </c>
      <c r="D13" s="278"/>
      <c r="E13" s="278" t="s">
        <v>566</v>
      </c>
      <c r="F13" s="1560">
        <v>2017</v>
      </c>
      <c r="G13" s="1304">
        <f>$F$13</f>
        <v>2017</v>
      </c>
      <c r="H13" s="1304">
        <f t="shared" ref="H13:L13" si="0">$F$13</f>
        <v>2017</v>
      </c>
      <c r="I13" s="1304">
        <f t="shared" si="0"/>
        <v>2017</v>
      </c>
      <c r="J13" s="1304">
        <f t="shared" si="0"/>
        <v>2017</v>
      </c>
      <c r="K13" s="1304">
        <f t="shared" si="0"/>
        <v>2017</v>
      </c>
      <c r="L13" s="1304">
        <f t="shared" si="0"/>
        <v>2017</v>
      </c>
      <c r="N13" s="1304">
        <f>$F$13</f>
        <v>2017</v>
      </c>
      <c r="O13" s="1304">
        <v>2018</v>
      </c>
      <c r="P13" s="1304">
        <f>O13</f>
        <v>2018</v>
      </c>
      <c r="Q13" s="1304">
        <f>O13</f>
        <v>2018</v>
      </c>
      <c r="R13" s="1571"/>
      <c r="S13" s="1571"/>
      <c r="T13" s="289"/>
      <c r="U13" s="285"/>
      <c r="V13" s="285"/>
      <c r="W13" s="1571"/>
      <c r="X13" s="1571"/>
      <c r="Y13" s="1571"/>
      <c r="Z13" s="1571"/>
      <c r="AA13" s="1571"/>
      <c r="AB13" s="1571"/>
      <c r="AC13" s="1571"/>
      <c r="AD13" s="1571"/>
      <c r="AE13" s="1571"/>
      <c r="AF13" s="1571"/>
      <c r="AG13" s="1571"/>
      <c r="AH13" s="1571"/>
      <c r="AI13" s="1571"/>
      <c r="AJ13" s="1571"/>
      <c r="AK13" s="1571"/>
      <c r="AL13" s="1571"/>
      <c r="AM13" s="1571"/>
      <c r="AN13" s="1571"/>
      <c r="AO13" s="1571"/>
      <c r="AP13" s="1571"/>
    </row>
    <row r="14" spans="1:42">
      <c r="A14" s="286"/>
      <c r="B14" s="286"/>
      <c r="C14" s="286"/>
      <c r="D14" s="286"/>
      <c r="E14" s="286"/>
      <c r="F14" s="290"/>
      <c r="G14" s="290"/>
      <c r="H14" s="290"/>
      <c r="I14" s="290"/>
      <c r="J14" s="286"/>
      <c r="K14" s="286"/>
      <c r="L14" s="1305"/>
      <c r="N14" s="1305"/>
      <c r="O14" s="1305"/>
      <c r="P14" s="1305"/>
      <c r="Q14" s="1305"/>
      <c r="R14" s="1571"/>
      <c r="S14" s="1571"/>
      <c r="T14" s="284"/>
      <c r="U14" s="284"/>
      <c r="V14" s="285"/>
      <c r="W14" s="1571"/>
      <c r="X14" s="1571"/>
      <c r="Y14" s="1571"/>
      <c r="Z14" s="1571"/>
      <c r="AA14" s="1571"/>
      <c r="AB14" s="1571"/>
      <c r="AC14" s="1571"/>
      <c r="AD14" s="1571"/>
      <c r="AE14" s="1571"/>
      <c r="AF14" s="1571"/>
      <c r="AG14" s="1571"/>
      <c r="AH14" s="1571"/>
      <c r="AI14" s="1571"/>
      <c r="AJ14" s="1571"/>
      <c r="AK14" s="1571"/>
      <c r="AL14" s="1571"/>
      <c r="AM14" s="1571"/>
      <c r="AN14" s="1571"/>
      <c r="AO14" s="1571"/>
      <c r="AP14" s="1571"/>
    </row>
    <row r="15" spans="1:42">
      <c r="A15" s="279"/>
      <c r="B15" s="279"/>
      <c r="C15" s="279"/>
      <c r="D15" s="279"/>
      <c r="E15" s="279"/>
      <c r="F15" s="291"/>
      <c r="G15" s="291"/>
      <c r="H15" s="292"/>
      <c r="I15" s="292"/>
      <c r="J15" s="284"/>
      <c r="K15" s="284"/>
      <c r="L15" s="1571"/>
      <c r="N15" s="1571"/>
      <c r="O15" s="1571"/>
      <c r="P15" s="1571"/>
      <c r="Q15" s="1571"/>
      <c r="R15" s="1571"/>
      <c r="S15" s="1571"/>
      <c r="T15" s="284"/>
      <c r="U15" s="285"/>
      <c r="V15" s="285"/>
      <c r="W15" s="1571"/>
      <c r="X15" s="1571"/>
      <c r="Y15" s="1571"/>
      <c r="Z15" s="1571"/>
      <c r="AA15" s="1571"/>
      <c r="AB15" s="1571"/>
      <c r="AC15" s="1571"/>
      <c r="AD15" s="1571"/>
      <c r="AE15" s="1571"/>
      <c r="AF15" s="1571"/>
      <c r="AG15" s="1571"/>
      <c r="AH15" s="1571"/>
      <c r="AI15" s="1571"/>
      <c r="AJ15" s="1571"/>
      <c r="AK15" s="1571"/>
      <c r="AL15" s="1571"/>
      <c r="AM15" s="1571"/>
      <c r="AN15" s="1571"/>
      <c r="AO15" s="1571"/>
      <c r="AP15" s="1571"/>
    </row>
    <row r="16" spans="1:42">
      <c r="A16" s="1302">
        <v>1</v>
      </c>
      <c r="B16" s="279"/>
      <c r="C16" s="293" t="s">
        <v>1870</v>
      </c>
      <c r="D16" s="284"/>
      <c r="E16" s="279"/>
      <c r="F16" s="294"/>
      <c r="G16" s="295"/>
      <c r="H16" s="296"/>
      <c r="I16" s="296"/>
      <c r="J16" s="295"/>
      <c r="K16" s="295"/>
      <c r="L16" s="1571"/>
      <c r="N16" s="1571"/>
      <c r="O16" s="1571"/>
      <c r="P16" s="1571"/>
      <c r="Q16" s="1571"/>
      <c r="R16" s="1571"/>
      <c r="S16" s="1571"/>
      <c r="T16" s="284"/>
      <c r="U16" s="284"/>
      <c r="V16" s="285"/>
      <c r="W16" s="1571"/>
      <c r="X16" s="1571"/>
      <c r="Y16" s="1571"/>
      <c r="Z16" s="1571"/>
      <c r="AA16" s="1571"/>
      <c r="AB16" s="1571"/>
      <c r="AC16" s="1571"/>
      <c r="AD16" s="1571"/>
      <c r="AE16" s="1571"/>
      <c r="AF16" s="1571"/>
      <c r="AG16" s="1571"/>
      <c r="AH16" s="1571"/>
      <c r="AI16" s="1571"/>
      <c r="AJ16" s="1571"/>
      <c r="AK16" s="1571"/>
      <c r="AL16" s="1571"/>
      <c r="AM16" s="1571"/>
      <c r="AN16" s="1571"/>
      <c r="AO16" s="1571"/>
      <c r="AP16" s="1571"/>
    </row>
    <row r="17" spans="1:42" ht="13.5" thickBot="1">
      <c r="A17" s="1302">
        <f>1+A16</f>
        <v>2</v>
      </c>
      <c r="B17" s="279"/>
      <c r="C17" s="1302">
        <v>252050</v>
      </c>
      <c r="D17" s="284"/>
      <c r="E17" s="279" t="s">
        <v>543</v>
      </c>
      <c r="F17" s="297">
        <v>-1492412</v>
      </c>
      <c r="G17" s="275">
        <f t="shared" ref="G17:L17" si="1">F17</f>
        <v>-1492412</v>
      </c>
      <c r="H17" s="275">
        <f t="shared" si="1"/>
        <v>-1492412</v>
      </c>
      <c r="I17" s="275">
        <f t="shared" si="1"/>
        <v>-1492412</v>
      </c>
      <c r="J17" s="275">
        <f t="shared" si="1"/>
        <v>-1492412</v>
      </c>
      <c r="K17" s="275">
        <f t="shared" si="1"/>
        <v>-1492412</v>
      </c>
      <c r="L17" s="275">
        <f t="shared" si="1"/>
        <v>-1492412</v>
      </c>
      <c r="N17" s="275">
        <f>L17</f>
        <v>-1492412</v>
      </c>
      <c r="O17" s="275">
        <f>N17</f>
        <v>-1492412</v>
      </c>
      <c r="P17" s="275">
        <f>O17</f>
        <v>-1492412</v>
      </c>
      <c r="Q17" s="275">
        <f>P17</f>
        <v>-1492412</v>
      </c>
      <c r="R17" s="1571"/>
      <c r="S17" s="1571"/>
      <c r="T17" s="294"/>
      <c r="U17" s="298"/>
      <c r="V17" s="294"/>
      <c r="W17" s="1571"/>
      <c r="X17" s="1571"/>
      <c r="Y17" s="1571"/>
      <c r="Z17" s="1571"/>
      <c r="AA17" s="1571"/>
      <c r="AB17" s="1571"/>
      <c r="AC17" s="1571"/>
      <c r="AD17" s="1571"/>
      <c r="AE17" s="1571"/>
      <c r="AF17" s="1571"/>
      <c r="AG17" s="1571"/>
      <c r="AH17" s="1571"/>
      <c r="AI17" s="1571"/>
      <c r="AJ17" s="1571"/>
      <c r="AK17" s="1571"/>
      <c r="AL17" s="1571"/>
      <c r="AM17" s="1571"/>
      <c r="AN17" s="1571"/>
      <c r="AO17" s="1571"/>
      <c r="AP17" s="1571"/>
    </row>
    <row r="18" spans="1:42" ht="13.5" thickTop="1">
      <c r="A18" s="1302">
        <f t="shared" ref="A18:A66" si="2">1+A17</f>
        <v>3</v>
      </c>
      <c r="B18" s="279"/>
      <c r="C18" s="1302"/>
      <c r="D18" s="284"/>
      <c r="E18" s="279"/>
      <c r="F18" s="294"/>
      <c r="G18" s="295"/>
      <c r="H18" s="296"/>
      <c r="I18" s="296"/>
      <c r="J18" s="295"/>
      <c r="K18" s="295"/>
      <c r="L18" s="1571"/>
      <c r="N18" s="1571"/>
      <c r="O18" s="1571"/>
      <c r="P18" s="1571"/>
      <c r="Q18" s="1571"/>
      <c r="R18" s="1571"/>
      <c r="S18" s="1571"/>
      <c r="T18" s="294"/>
      <c r="U18" s="279"/>
      <c r="V18" s="294"/>
      <c r="W18" s="1571"/>
      <c r="X18" s="1571"/>
      <c r="Y18" s="1571"/>
      <c r="Z18" s="1571"/>
      <c r="AA18" s="1571"/>
      <c r="AB18" s="1571"/>
      <c r="AC18" s="1571"/>
      <c r="AD18" s="1571"/>
      <c r="AE18" s="1571"/>
      <c r="AF18" s="1571"/>
      <c r="AG18" s="1571"/>
      <c r="AH18" s="1571"/>
      <c r="AI18" s="1571"/>
      <c r="AJ18" s="1571"/>
      <c r="AK18" s="1571"/>
      <c r="AL18" s="1571"/>
      <c r="AM18" s="1571"/>
      <c r="AN18" s="1571"/>
      <c r="AO18" s="1571"/>
      <c r="AP18" s="1571"/>
    </row>
    <row r="19" spans="1:42">
      <c r="A19" s="1302">
        <f t="shared" si="2"/>
        <v>4</v>
      </c>
      <c r="B19" s="279"/>
      <c r="C19" s="1302">
        <v>255</v>
      </c>
      <c r="D19" s="284"/>
      <c r="E19" s="279" t="s">
        <v>1398</v>
      </c>
      <c r="F19" s="234"/>
      <c r="G19" s="1571"/>
      <c r="H19" s="1571"/>
      <c r="I19" s="1571"/>
      <c r="J19" s="1571"/>
      <c r="K19" s="1571"/>
      <c r="L19" s="1571"/>
      <c r="N19" s="1571"/>
      <c r="O19" s="1571"/>
      <c r="P19" s="1571"/>
      <c r="Q19" s="1571"/>
      <c r="R19" s="1571"/>
      <c r="S19" s="1571"/>
      <c r="T19" s="234"/>
      <c r="U19" s="279"/>
      <c r="V19" s="294"/>
      <c r="W19" s="1571"/>
      <c r="X19" s="1571"/>
      <c r="Y19" s="1571"/>
      <c r="Z19" s="1571"/>
      <c r="AA19" s="1571"/>
      <c r="AB19" s="1571"/>
      <c r="AC19" s="1571"/>
      <c r="AD19" s="1571"/>
      <c r="AE19" s="1571"/>
      <c r="AF19" s="1571"/>
      <c r="AG19" s="1571"/>
      <c r="AH19" s="1571"/>
      <c r="AI19" s="1571"/>
      <c r="AJ19" s="1571"/>
      <c r="AK19" s="1571"/>
      <c r="AL19" s="1571"/>
      <c r="AM19" s="1571"/>
      <c r="AN19" s="1571"/>
      <c r="AO19" s="1571"/>
      <c r="AP19" s="1571"/>
    </row>
    <row r="20" spans="1:42">
      <c r="A20" s="1302">
        <f t="shared" si="2"/>
        <v>5</v>
      </c>
      <c r="B20" s="279"/>
      <c r="C20" s="1302"/>
      <c r="D20" s="279"/>
      <c r="E20" s="299" t="s">
        <v>297</v>
      </c>
      <c r="F20" s="300">
        <v>0</v>
      </c>
      <c r="G20" s="300">
        <v>0</v>
      </c>
      <c r="H20" s="300">
        <v>0</v>
      </c>
      <c r="I20" s="300">
        <v>0</v>
      </c>
      <c r="J20" s="300">
        <v>0</v>
      </c>
      <c r="K20" s="300">
        <v>0</v>
      </c>
      <c r="L20" s="300">
        <v>0</v>
      </c>
      <c r="N20" s="300">
        <v>0</v>
      </c>
      <c r="O20" s="300">
        <v>0</v>
      </c>
      <c r="P20" s="300">
        <v>0</v>
      </c>
      <c r="Q20" s="300">
        <v>0</v>
      </c>
      <c r="R20" s="1571"/>
      <c r="S20" s="1571"/>
      <c r="T20" s="294"/>
      <c r="U20" s="279"/>
      <c r="V20" s="294"/>
      <c r="W20" s="1571"/>
      <c r="X20" s="1571"/>
      <c r="Y20" s="1571"/>
      <c r="Z20" s="1571"/>
      <c r="AA20" s="1571"/>
      <c r="AB20" s="1571"/>
      <c r="AC20" s="1571"/>
      <c r="AD20" s="1571"/>
      <c r="AE20" s="1571"/>
      <c r="AF20" s="1571"/>
      <c r="AG20" s="1571"/>
      <c r="AH20" s="1571"/>
      <c r="AI20" s="1571"/>
      <c r="AJ20" s="1571"/>
      <c r="AK20" s="1571"/>
      <c r="AL20" s="1571"/>
      <c r="AM20" s="1571"/>
      <c r="AN20" s="1571"/>
      <c r="AO20" s="1571"/>
      <c r="AP20" s="1571"/>
    </row>
    <row r="21" spans="1:42">
      <c r="A21" s="1302">
        <f t="shared" si="2"/>
        <v>6</v>
      </c>
      <c r="B21" s="279"/>
      <c r="C21" s="1302"/>
      <c r="D21" s="279"/>
      <c r="E21" s="299" t="s">
        <v>299</v>
      </c>
      <c r="F21" s="300">
        <v>-11866</v>
      </c>
      <c r="G21" s="300">
        <v>-11583</v>
      </c>
      <c r="H21" s="300">
        <v>-11299</v>
      </c>
      <c r="I21" s="300">
        <v>-11016</v>
      </c>
      <c r="J21" s="300">
        <v>-10732</v>
      </c>
      <c r="K21" s="300">
        <v>-10448</v>
      </c>
      <c r="L21" s="300">
        <v>-10165</v>
      </c>
      <c r="N21" s="300">
        <v>-9881</v>
      </c>
      <c r="O21" s="300">
        <v>-9605</v>
      </c>
      <c r="P21" s="300">
        <v>-9329</v>
      </c>
      <c r="Q21" s="300">
        <v>-9053</v>
      </c>
      <c r="R21" s="1571"/>
      <c r="S21" s="1571"/>
      <c r="T21" s="294"/>
      <c r="U21" s="279"/>
      <c r="V21" s="294"/>
      <c r="W21" s="1571"/>
      <c r="X21" s="1571"/>
      <c r="Y21" s="1571"/>
      <c r="Z21" s="1571"/>
      <c r="AA21" s="1571"/>
      <c r="AB21" s="1571"/>
      <c r="AC21" s="1571"/>
      <c r="AD21" s="1571"/>
      <c r="AE21" s="1571"/>
      <c r="AF21" s="1571"/>
      <c r="AG21" s="1571"/>
      <c r="AH21" s="1571"/>
      <c r="AI21" s="1571"/>
      <c r="AJ21" s="1571"/>
      <c r="AK21" s="1571"/>
      <c r="AL21" s="1571"/>
      <c r="AM21" s="1571"/>
      <c r="AN21" s="1571"/>
      <c r="AO21" s="1571"/>
      <c r="AP21" s="1571"/>
    </row>
    <row r="22" spans="1:42">
      <c r="A22" s="1302">
        <f t="shared" si="2"/>
        <v>7</v>
      </c>
      <c r="B22" s="279"/>
      <c r="C22" s="1302"/>
      <c r="D22" s="279"/>
      <c r="E22" s="299" t="s">
        <v>301</v>
      </c>
      <c r="F22" s="300">
        <v>-598251</v>
      </c>
      <c r="G22" s="300">
        <v>-592922</v>
      </c>
      <c r="H22" s="300">
        <v>-587593</v>
      </c>
      <c r="I22" s="300">
        <v>-582264</v>
      </c>
      <c r="J22" s="300">
        <v>-576935</v>
      </c>
      <c r="K22" s="300">
        <v>-571605</v>
      </c>
      <c r="L22" s="300">
        <v>-566276</v>
      </c>
      <c r="N22" s="300">
        <v>-560947</v>
      </c>
      <c r="O22" s="300">
        <v>-555547</v>
      </c>
      <c r="P22" s="300">
        <v>-550147</v>
      </c>
      <c r="Q22" s="300">
        <v>-544747</v>
      </c>
      <c r="R22" s="1571"/>
      <c r="S22" s="1571"/>
      <c r="T22" s="294"/>
      <c r="U22" s="279"/>
      <c r="V22" s="294"/>
      <c r="W22" s="1571"/>
      <c r="X22" s="1571"/>
      <c r="Y22" s="1571"/>
      <c r="Z22" s="1571"/>
      <c r="AA22" s="1571"/>
      <c r="AB22" s="1571"/>
      <c r="AC22" s="1571"/>
      <c r="AD22" s="1571"/>
      <c r="AE22" s="1571"/>
      <c r="AF22" s="1571"/>
      <c r="AG22" s="1571"/>
      <c r="AH22" s="1571"/>
      <c r="AI22" s="1571"/>
      <c r="AJ22" s="1571"/>
      <c r="AK22" s="1571"/>
      <c r="AL22" s="1571"/>
      <c r="AM22" s="1571"/>
      <c r="AN22" s="1571"/>
      <c r="AO22" s="1571"/>
      <c r="AP22" s="1571"/>
    </row>
    <row r="23" spans="1:42">
      <c r="A23" s="1302">
        <f t="shared" si="2"/>
        <v>8</v>
      </c>
      <c r="B23" s="279"/>
      <c r="C23" s="1302"/>
      <c r="D23" s="279"/>
      <c r="E23" s="1507" t="s">
        <v>2758</v>
      </c>
      <c r="F23" s="2457">
        <v>0</v>
      </c>
      <c r="G23" s="2457">
        <v>0</v>
      </c>
      <c r="H23" s="2457">
        <v>0</v>
      </c>
      <c r="I23" s="2457">
        <v>0</v>
      </c>
      <c r="J23" s="2457">
        <v>0</v>
      </c>
      <c r="K23" s="2457">
        <v>0</v>
      </c>
      <c r="L23" s="2457">
        <v>0</v>
      </c>
      <c r="N23" s="2457">
        <v>0</v>
      </c>
      <c r="O23" s="2457">
        <v>0</v>
      </c>
      <c r="P23" s="2457">
        <v>0</v>
      </c>
      <c r="Q23" s="2457">
        <v>0</v>
      </c>
      <c r="R23" s="1571"/>
      <c r="S23" s="1571"/>
      <c r="T23" s="294"/>
      <c r="U23" s="279"/>
      <c r="V23" s="294"/>
      <c r="W23" s="1571"/>
      <c r="X23" s="1571"/>
      <c r="Y23" s="1571"/>
      <c r="Z23" s="1571"/>
      <c r="AA23" s="1571"/>
      <c r="AB23" s="1571"/>
      <c r="AC23" s="1571"/>
      <c r="AD23" s="1571"/>
      <c r="AE23" s="1571"/>
      <c r="AF23" s="1571"/>
      <c r="AG23" s="1571"/>
      <c r="AH23" s="1571"/>
      <c r="AI23" s="1571"/>
      <c r="AJ23" s="1571"/>
      <c r="AK23" s="1571"/>
      <c r="AL23" s="1571"/>
      <c r="AM23" s="1571"/>
      <c r="AN23" s="1571"/>
      <c r="AO23" s="1571"/>
      <c r="AP23" s="1571"/>
    </row>
    <row r="24" spans="1:42" ht="13.5" thickBot="1">
      <c r="A24" s="1302">
        <f t="shared" si="2"/>
        <v>9</v>
      </c>
      <c r="B24" s="279"/>
      <c r="C24" s="1302"/>
      <c r="D24" s="1571"/>
      <c r="E24" s="279" t="s">
        <v>302</v>
      </c>
      <c r="F24" s="275">
        <f>SUM(F20:F23)</f>
        <v>-610117</v>
      </c>
      <c r="G24" s="275">
        <f t="shared" ref="G24:N24" si="3">SUM(G20:G23)</f>
        <v>-604505</v>
      </c>
      <c r="H24" s="275">
        <f t="shared" si="3"/>
        <v>-598892</v>
      </c>
      <c r="I24" s="275">
        <f t="shared" si="3"/>
        <v>-593280</v>
      </c>
      <c r="J24" s="275">
        <f t="shared" si="3"/>
        <v>-587667</v>
      </c>
      <c r="K24" s="275">
        <f t="shared" si="3"/>
        <v>-582053</v>
      </c>
      <c r="L24" s="275">
        <f t="shared" si="3"/>
        <v>-576441</v>
      </c>
      <c r="N24" s="275">
        <f t="shared" si="3"/>
        <v>-570828</v>
      </c>
      <c r="O24" s="275">
        <f t="shared" ref="O24" si="4">SUM(O20:O23)</f>
        <v>-565152</v>
      </c>
      <c r="P24" s="275">
        <f t="shared" ref="P24" si="5">SUM(P20:P23)</f>
        <v>-559476</v>
      </c>
      <c r="Q24" s="275">
        <f t="shared" ref="Q24" si="6">SUM(Q20:Q23)</f>
        <v>-553800</v>
      </c>
      <c r="R24" s="1571"/>
      <c r="S24" s="1571"/>
      <c r="T24" s="294"/>
      <c r="U24" s="279"/>
      <c r="V24" s="294"/>
      <c r="W24" s="1571"/>
      <c r="X24" s="1571"/>
      <c r="Y24" s="1571"/>
      <c r="Z24" s="1571"/>
      <c r="AA24" s="1571"/>
      <c r="AB24" s="1571"/>
      <c r="AC24" s="1571"/>
      <c r="AD24" s="1571"/>
      <c r="AE24" s="1571"/>
      <c r="AF24" s="1571"/>
      <c r="AG24" s="1571"/>
      <c r="AH24" s="1571"/>
      <c r="AI24" s="1571"/>
      <c r="AJ24" s="1571"/>
      <c r="AK24" s="1571"/>
      <c r="AL24" s="1571"/>
      <c r="AM24" s="1571"/>
      <c r="AN24" s="1571"/>
      <c r="AO24" s="1571"/>
      <c r="AP24" s="1571"/>
    </row>
    <row r="25" spans="1:42" ht="13.5" thickTop="1">
      <c r="A25" s="1302">
        <f t="shared" si="2"/>
        <v>10</v>
      </c>
      <c r="B25" s="279"/>
      <c r="C25" s="1302"/>
      <c r="D25" s="1571"/>
      <c r="E25" s="279"/>
      <c r="F25" s="294"/>
      <c r="G25" s="295"/>
      <c r="H25" s="296"/>
      <c r="I25" s="296"/>
      <c r="J25" s="295"/>
      <c r="K25" s="295"/>
      <c r="L25" s="1571"/>
      <c r="N25" s="1571"/>
      <c r="O25" s="1571"/>
      <c r="P25" s="1571"/>
      <c r="Q25" s="1571"/>
      <c r="R25" s="1571"/>
      <c r="S25" s="1571"/>
      <c r="T25" s="294"/>
      <c r="U25" s="279"/>
      <c r="V25" s="294"/>
      <c r="W25" s="1571"/>
      <c r="X25" s="1571"/>
      <c r="Y25" s="1571"/>
      <c r="Z25" s="1571"/>
      <c r="AA25" s="1571"/>
      <c r="AB25" s="1571"/>
      <c r="AC25" s="1571"/>
      <c r="AD25" s="1571"/>
      <c r="AE25" s="1571"/>
      <c r="AF25" s="1571"/>
      <c r="AG25" s="1571"/>
      <c r="AH25" s="1571"/>
      <c r="AI25" s="1571"/>
      <c r="AJ25" s="1571"/>
      <c r="AK25" s="1571"/>
      <c r="AL25" s="1571"/>
      <c r="AM25" s="1571"/>
      <c r="AN25" s="1571"/>
      <c r="AO25" s="1571"/>
      <c r="AP25" s="1571"/>
    </row>
    <row r="26" spans="1:42">
      <c r="A26" s="1302">
        <f t="shared" si="2"/>
        <v>11</v>
      </c>
      <c r="B26" s="279"/>
      <c r="C26" s="1302"/>
      <c r="D26" s="284"/>
      <c r="E26" s="279" t="s">
        <v>443</v>
      </c>
      <c r="F26" s="301"/>
      <c r="G26" s="276"/>
      <c r="H26" s="296"/>
      <c r="I26" s="296"/>
      <c r="J26" s="295"/>
      <c r="K26" s="295"/>
      <c r="L26" s="1571"/>
      <c r="N26" s="1571"/>
      <c r="O26" s="1571"/>
      <c r="P26" s="1571"/>
      <c r="Q26" s="1571"/>
      <c r="R26" s="1571"/>
      <c r="S26" s="1571"/>
      <c r="T26" s="294"/>
      <c r="U26" s="279"/>
      <c r="V26" s="294"/>
      <c r="W26" s="1571"/>
      <c r="X26" s="1571"/>
      <c r="Y26" s="1571"/>
      <c r="Z26" s="1571"/>
      <c r="AA26" s="1571"/>
      <c r="AB26" s="1571"/>
      <c r="AC26" s="1571"/>
      <c r="AD26" s="1571"/>
      <c r="AE26" s="1571"/>
      <c r="AF26" s="1571"/>
      <c r="AG26" s="1571"/>
      <c r="AH26" s="1571"/>
      <c r="AI26" s="1571"/>
      <c r="AJ26" s="1571"/>
      <c r="AK26" s="1571"/>
      <c r="AL26" s="1571"/>
      <c r="AM26" s="1571"/>
      <c r="AN26" s="1571"/>
      <c r="AO26" s="1571"/>
      <c r="AP26" s="1571"/>
    </row>
    <row r="27" spans="1:42">
      <c r="A27" s="1302">
        <f t="shared" si="2"/>
        <v>12</v>
      </c>
      <c r="B27" s="279"/>
      <c r="C27" s="1302">
        <v>190</v>
      </c>
      <c r="D27" s="279"/>
      <c r="E27" s="302" t="s">
        <v>1892</v>
      </c>
      <c r="F27" s="303">
        <v>2413669</v>
      </c>
      <c r="G27" s="303">
        <v>2413669</v>
      </c>
      <c r="H27" s="303">
        <v>2413669</v>
      </c>
      <c r="I27" s="303">
        <v>2413669</v>
      </c>
      <c r="J27" s="303">
        <v>2413669</v>
      </c>
      <c r="K27" s="303">
        <v>2413669</v>
      </c>
      <c r="L27" s="303">
        <v>2413669</v>
      </c>
      <c r="N27" s="304">
        <v>2369964</v>
      </c>
      <c r="O27" s="304">
        <v>2326258</v>
      </c>
      <c r="P27" s="304">
        <v>2282553</v>
      </c>
      <c r="Q27" s="304">
        <v>2238847</v>
      </c>
      <c r="R27" s="1571"/>
      <c r="S27" s="1571"/>
      <c r="T27" s="294"/>
      <c r="U27" s="295"/>
      <c r="V27" s="294"/>
      <c r="W27" s="1571"/>
      <c r="X27" s="1571"/>
      <c r="Y27" s="1571"/>
      <c r="Z27" s="1571"/>
      <c r="AA27" s="1571"/>
      <c r="AB27" s="1571"/>
      <c r="AC27" s="1571"/>
      <c r="AD27" s="1571"/>
      <c r="AE27" s="1571"/>
      <c r="AF27" s="1571"/>
      <c r="AG27" s="1571"/>
      <c r="AH27" s="1571"/>
      <c r="AI27" s="1571"/>
      <c r="AJ27" s="1571"/>
      <c r="AK27" s="1571"/>
      <c r="AL27" s="1571"/>
      <c r="AM27" s="1571"/>
      <c r="AN27" s="1571"/>
      <c r="AO27" s="1571"/>
      <c r="AP27" s="1571"/>
    </row>
    <row r="28" spans="1:42">
      <c r="A28" s="1302"/>
      <c r="B28" s="279"/>
      <c r="C28" s="1302"/>
      <c r="D28" s="279"/>
      <c r="E28" s="302"/>
      <c r="F28" s="303"/>
      <c r="G28" s="304"/>
      <c r="H28" s="304"/>
      <c r="I28" s="304"/>
      <c r="J28" s="304"/>
      <c r="K28" s="304"/>
      <c r="L28" s="304"/>
      <c r="N28" s="304"/>
      <c r="O28" s="304"/>
      <c r="P28" s="304"/>
      <c r="Q28" s="304"/>
      <c r="R28" s="1571"/>
      <c r="S28" s="1571"/>
      <c r="T28" s="294"/>
      <c r="U28" s="295"/>
      <c r="V28" s="294"/>
      <c r="W28" s="1571"/>
      <c r="X28" s="1571"/>
      <c r="Y28" s="1571"/>
      <c r="Z28" s="1571"/>
      <c r="AA28" s="1571"/>
      <c r="AB28" s="1571"/>
      <c r="AC28" s="1571"/>
      <c r="AD28" s="1571"/>
      <c r="AE28" s="1571"/>
      <c r="AF28" s="1571"/>
      <c r="AG28" s="1571"/>
      <c r="AH28" s="1571"/>
      <c r="AI28" s="1571"/>
      <c r="AJ28" s="1571"/>
      <c r="AK28" s="1571"/>
      <c r="AL28" s="1571"/>
      <c r="AM28" s="1571"/>
      <c r="AN28" s="1571"/>
      <c r="AO28" s="1571"/>
      <c r="AP28" s="1571"/>
    </row>
    <row r="29" spans="1:42">
      <c r="A29" s="1302">
        <f>1+A27</f>
        <v>13</v>
      </c>
      <c r="B29" s="279"/>
      <c r="C29" s="1302">
        <v>282</v>
      </c>
      <c r="D29" s="279"/>
      <c r="E29" s="302" t="s">
        <v>1633</v>
      </c>
      <c r="F29" s="303">
        <v>-12962034</v>
      </c>
      <c r="G29" s="304">
        <v>-12953914</v>
      </c>
      <c r="H29" s="304">
        <v>-12945793</v>
      </c>
      <c r="I29" s="304">
        <v>-12937673</v>
      </c>
      <c r="J29" s="304">
        <v>-12929552</v>
      </c>
      <c r="K29" s="304">
        <v>-12921432</v>
      </c>
      <c r="L29" s="304">
        <v>-12913312</v>
      </c>
      <c r="N29" s="304">
        <v>-12905292</v>
      </c>
      <c r="O29" s="304">
        <v>-12897273</v>
      </c>
      <c r="P29" s="304">
        <v>-12889254</v>
      </c>
      <c r="Q29" s="304">
        <v>-12881235</v>
      </c>
      <c r="R29" s="1571"/>
      <c r="S29" s="1571"/>
      <c r="T29" s="294"/>
      <c r="U29" s="295"/>
      <c r="V29" s="294"/>
      <c r="W29" s="1571"/>
      <c r="X29" s="1571"/>
      <c r="Y29" s="1571"/>
      <c r="Z29" s="1571"/>
      <c r="AA29" s="1571"/>
      <c r="AB29" s="1571"/>
      <c r="AC29" s="1571"/>
      <c r="AD29" s="1571"/>
      <c r="AE29" s="1571"/>
      <c r="AF29" s="1571"/>
      <c r="AG29" s="1571"/>
      <c r="AH29" s="1571"/>
      <c r="AI29" s="1571"/>
      <c r="AJ29" s="1571"/>
      <c r="AK29" s="1571"/>
      <c r="AL29" s="1571"/>
      <c r="AM29" s="1571"/>
      <c r="AN29" s="1571"/>
      <c r="AO29" s="1571"/>
      <c r="AP29" s="1571"/>
    </row>
    <row r="30" spans="1:42">
      <c r="A30" s="1302">
        <f t="shared" si="2"/>
        <v>14</v>
      </c>
      <c r="B30" s="279"/>
      <c r="C30" s="1302">
        <v>282</v>
      </c>
      <c r="D30" s="279"/>
      <c r="E30" s="302" t="s">
        <v>1893</v>
      </c>
      <c r="F30" s="303">
        <v>-64438525</v>
      </c>
      <c r="G30" s="304">
        <v>-65081563</v>
      </c>
      <c r="H30" s="304">
        <v>-65724600</v>
      </c>
      <c r="I30" s="304">
        <v>-66367638</v>
      </c>
      <c r="J30" s="304">
        <v>-67010676</v>
      </c>
      <c r="K30" s="304">
        <v>-67653714</v>
      </c>
      <c r="L30" s="304">
        <v>-68296751</v>
      </c>
      <c r="N30" s="304">
        <v>-68832383</v>
      </c>
      <c r="O30" s="304">
        <v>-69368015</v>
      </c>
      <c r="P30" s="304">
        <v>-69903646</v>
      </c>
      <c r="Q30" s="304">
        <v>-70439278</v>
      </c>
      <c r="R30" s="1571"/>
      <c r="S30" s="1571"/>
      <c r="T30" s="294"/>
      <c r="U30" s="295"/>
      <c r="V30" s="294"/>
      <c r="W30" s="1571"/>
      <c r="X30" s="1571"/>
      <c r="Y30" s="1571"/>
      <c r="Z30" s="1571"/>
      <c r="AA30" s="1571"/>
      <c r="AB30" s="1571"/>
      <c r="AC30" s="1571"/>
      <c r="AD30" s="1571"/>
      <c r="AE30" s="1571"/>
      <c r="AF30" s="1571"/>
      <c r="AG30" s="1571"/>
      <c r="AH30" s="1571"/>
      <c r="AI30" s="1571"/>
      <c r="AJ30" s="1571"/>
      <c r="AK30" s="1571"/>
      <c r="AL30" s="1571"/>
      <c r="AM30" s="1571"/>
      <c r="AN30" s="1571"/>
      <c r="AO30" s="1571"/>
      <c r="AP30" s="1571"/>
    </row>
    <row r="31" spans="1:42">
      <c r="A31" s="1302">
        <f t="shared" si="2"/>
        <v>15</v>
      </c>
      <c r="B31" s="279"/>
      <c r="C31" s="1302">
        <v>283</v>
      </c>
      <c r="D31" s="279"/>
      <c r="E31" s="302" t="s">
        <v>1634</v>
      </c>
      <c r="F31" s="303">
        <v>-3404100</v>
      </c>
      <c r="G31" s="304">
        <v>-3401537</v>
      </c>
      <c r="H31" s="304">
        <v>-3398974</v>
      </c>
      <c r="I31" s="304">
        <v>-3396412</v>
      </c>
      <c r="J31" s="304">
        <v>-3393849</v>
      </c>
      <c r="K31" s="304">
        <v>-3391286</v>
      </c>
      <c r="L31" s="304">
        <v>-3388723</v>
      </c>
      <c r="N31" s="304">
        <v>-3468337</v>
      </c>
      <c r="O31" s="304">
        <v>-3547951</v>
      </c>
      <c r="P31" s="304">
        <v>-3627564</v>
      </c>
      <c r="Q31" s="304">
        <v>-3707178</v>
      </c>
      <c r="R31" s="1571"/>
      <c r="S31" s="1571"/>
      <c r="T31" s="294"/>
      <c r="U31" s="295"/>
      <c r="V31" s="294"/>
      <c r="W31" s="1571"/>
      <c r="X31" s="1571"/>
      <c r="Y31" s="1571"/>
      <c r="Z31" s="1571"/>
      <c r="AA31" s="1571"/>
      <c r="AB31" s="1571"/>
      <c r="AC31" s="1571"/>
      <c r="AD31" s="1571"/>
      <c r="AE31" s="1571"/>
      <c r="AF31" s="1571"/>
      <c r="AG31" s="1571"/>
      <c r="AH31" s="1571"/>
      <c r="AI31" s="1571"/>
      <c r="AJ31" s="1571"/>
      <c r="AK31" s="1571"/>
      <c r="AL31" s="1571"/>
      <c r="AM31" s="1571"/>
      <c r="AN31" s="1571"/>
      <c r="AO31" s="1571"/>
      <c r="AP31" s="1571"/>
    </row>
    <row r="32" spans="1:42">
      <c r="A32" s="1302">
        <f t="shared" si="2"/>
        <v>16</v>
      </c>
      <c r="B32" s="279"/>
      <c r="C32" s="1302">
        <v>283</v>
      </c>
      <c r="D32" s="279"/>
      <c r="E32" s="302" t="s">
        <v>1895</v>
      </c>
      <c r="F32" s="2458">
        <v>0</v>
      </c>
      <c r="G32" s="2458">
        <v>0</v>
      </c>
      <c r="H32" s="2458">
        <v>0</v>
      </c>
      <c r="I32" s="2458">
        <v>0</v>
      </c>
      <c r="J32" s="2458">
        <v>0</v>
      </c>
      <c r="K32" s="2458">
        <v>0</v>
      </c>
      <c r="L32" s="2458">
        <v>0</v>
      </c>
      <c r="N32" s="2458">
        <v>0</v>
      </c>
      <c r="O32" s="2458">
        <v>0</v>
      </c>
      <c r="P32" s="2458">
        <v>0</v>
      </c>
      <c r="Q32" s="2458">
        <v>0</v>
      </c>
      <c r="R32" s="1571"/>
      <c r="S32" s="1571"/>
      <c r="T32" s="294"/>
      <c r="U32" s="295"/>
      <c r="V32" s="294"/>
      <c r="W32" s="1571"/>
      <c r="X32" s="1571"/>
      <c r="Y32" s="1571"/>
      <c r="Z32" s="1571"/>
      <c r="AA32" s="1571"/>
      <c r="AB32" s="1571"/>
      <c r="AC32" s="1571"/>
      <c r="AD32" s="1571"/>
      <c r="AE32" s="1571"/>
      <c r="AF32" s="1571"/>
      <c r="AG32" s="1571"/>
      <c r="AH32" s="1571"/>
      <c r="AI32" s="1571"/>
      <c r="AJ32" s="1571"/>
      <c r="AK32" s="1571"/>
      <c r="AL32" s="1571"/>
      <c r="AM32" s="1571"/>
      <c r="AN32" s="1571"/>
      <c r="AO32" s="1571"/>
      <c r="AP32" s="1571"/>
    </row>
    <row r="33" spans="1:42" ht="13.5" thickBot="1">
      <c r="A33" s="1302">
        <f t="shared" si="2"/>
        <v>17</v>
      </c>
      <c r="B33" s="279"/>
      <c r="C33" s="1302"/>
      <c r="D33" s="279"/>
      <c r="E33" s="279" t="s">
        <v>1897</v>
      </c>
      <c r="F33" s="1306">
        <f t="shared" ref="F33:L33" si="7">SUM(F27:F32)</f>
        <v>-78390990</v>
      </c>
      <c r="G33" s="1306">
        <f t="shared" si="7"/>
        <v>-79023345</v>
      </c>
      <c r="H33" s="1306">
        <f t="shared" si="7"/>
        <v>-79655698</v>
      </c>
      <c r="I33" s="1306">
        <f t="shared" si="7"/>
        <v>-80288054</v>
      </c>
      <c r="J33" s="1306">
        <f t="shared" si="7"/>
        <v>-80920408</v>
      </c>
      <c r="K33" s="1306">
        <f t="shared" si="7"/>
        <v>-81552763</v>
      </c>
      <c r="L33" s="1306">
        <f t="shared" si="7"/>
        <v>-82185117</v>
      </c>
      <c r="N33" s="1306">
        <f>SUM(N27:N32)</f>
        <v>-82836048</v>
      </c>
      <c r="O33" s="1306">
        <f>SUM(O27:O32)</f>
        <v>-83486981</v>
      </c>
      <c r="P33" s="1306">
        <f>SUM(P27:P32)</f>
        <v>-84137911</v>
      </c>
      <c r="Q33" s="1306">
        <f>SUM(Q27:Q32)</f>
        <v>-84788844</v>
      </c>
      <c r="R33" s="1571"/>
      <c r="S33" s="1571"/>
      <c r="T33" s="301"/>
      <c r="U33" s="295"/>
      <c r="V33" s="294"/>
      <c r="W33" s="1571"/>
      <c r="X33" s="1571"/>
      <c r="Y33" s="1571"/>
      <c r="Z33" s="1571"/>
      <c r="AA33" s="1571"/>
      <c r="AB33" s="1571"/>
      <c r="AC33" s="1571"/>
      <c r="AD33" s="1571"/>
      <c r="AE33" s="1571"/>
      <c r="AF33" s="1571"/>
      <c r="AG33" s="1571"/>
      <c r="AH33" s="1571"/>
      <c r="AI33" s="1571"/>
      <c r="AJ33" s="1571"/>
      <c r="AK33" s="1571"/>
      <c r="AL33" s="1571"/>
      <c r="AM33" s="1571"/>
      <c r="AN33" s="1571"/>
      <c r="AO33" s="1571"/>
      <c r="AP33" s="1571"/>
    </row>
    <row r="34" spans="1:42" ht="13.5" thickTop="1">
      <c r="A34" s="1302">
        <f>1+A33</f>
        <v>18</v>
      </c>
      <c r="B34" s="279"/>
      <c r="C34" s="1302"/>
      <c r="D34" s="279"/>
      <c r="E34" s="279"/>
      <c r="F34" s="303"/>
      <c r="G34" s="303"/>
      <c r="H34" s="303"/>
      <c r="I34" s="303"/>
      <c r="J34" s="303"/>
      <c r="K34" s="303"/>
      <c r="L34" s="1571"/>
      <c r="N34" s="1571"/>
      <c r="O34" s="1571"/>
      <c r="P34" s="1571"/>
      <c r="Q34" s="1571"/>
      <c r="R34" s="1571"/>
      <c r="S34" s="1571"/>
      <c r="T34" s="303"/>
      <c r="U34" s="295"/>
      <c r="V34" s="294"/>
      <c r="W34" s="1571"/>
      <c r="X34" s="1571"/>
      <c r="Y34" s="1571"/>
      <c r="Z34" s="1571"/>
      <c r="AA34" s="1571"/>
      <c r="AB34" s="1571"/>
      <c r="AC34" s="1571"/>
      <c r="AD34" s="1571"/>
      <c r="AE34" s="1571"/>
      <c r="AF34" s="1571"/>
      <c r="AG34" s="1571"/>
      <c r="AH34" s="1571"/>
      <c r="AI34" s="1571"/>
      <c r="AJ34" s="1571"/>
      <c r="AK34" s="1571"/>
      <c r="AL34" s="1571"/>
      <c r="AM34" s="1571"/>
      <c r="AN34" s="1571"/>
      <c r="AO34" s="1571"/>
      <c r="AP34" s="1571"/>
    </row>
    <row r="35" spans="1:42">
      <c r="A35" s="1302">
        <f t="shared" si="2"/>
        <v>19</v>
      </c>
      <c r="B35" s="1571"/>
      <c r="C35" s="293" t="s">
        <v>1872</v>
      </c>
      <c r="D35" s="284"/>
      <c r="E35" s="279"/>
      <c r="F35" s="294"/>
      <c r="G35" s="294"/>
      <c r="H35" s="294"/>
      <c r="I35" s="294"/>
      <c r="J35" s="294"/>
      <c r="K35" s="294"/>
      <c r="L35" s="294"/>
      <c r="N35" s="294"/>
      <c r="O35" s="294"/>
      <c r="P35" s="294"/>
      <c r="Q35" s="294"/>
      <c r="R35" s="1571"/>
      <c r="S35" s="1571"/>
      <c r="T35" s="284"/>
      <c r="U35" s="1571"/>
      <c r="V35" s="234"/>
      <c r="W35" s="1571"/>
      <c r="X35" s="1581"/>
      <c r="Y35" s="1571"/>
      <c r="Z35" s="1571"/>
      <c r="AA35" s="1571"/>
      <c r="AB35" s="1571"/>
      <c r="AC35" s="1571"/>
      <c r="AD35" s="1571"/>
      <c r="AE35" s="1571"/>
      <c r="AF35" s="1571"/>
      <c r="AG35" s="1571"/>
      <c r="AH35" s="1571"/>
      <c r="AI35" s="234"/>
      <c r="AJ35" s="234"/>
      <c r="AK35" s="234"/>
      <c r="AL35" s="234"/>
      <c r="AM35" s="1571"/>
      <c r="AN35" s="1571"/>
      <c r="AO35" s="1571"/>
      <c r="AP35" s="1571"/>
    </row>
    <row r="36" spans="1:42" ht="13.5" thickBot="1">
      <c r="A36" s="1302">
        <f t="shared" si="2"/>
        <v>20</v>
      </c>
      <c r="B36" s="1571"/>
      <c r="C36" s="1302">
        <v>252</v>
      </c>
      <c r="D36" s="284"/>
      <c r="E36" s="279" t="s">
        <v>543</v>
      </c>
      <c r="F36" s="297">
        <v>0</v>
      </c>
      <c r="G36" s="297">
        <v>0</v>
      </c>
      <c r="H36" s="297">
        <v>0</v>
      </c>
      <c r="I36" s="297">
        <v>0</v>
      </c>
      <c r="J36" s="297">
        <v>0</v>
      </c>
      <c r="K36" s="297">
        <v>0</v>
      </c>
      <c r="L36" s="297">
        <v>0</v>
      </c>
      <c r="N36" s="297">
        <v>0</v>
      </c>
      <c r="O36" s="297">
        <v>0</v>
      </c>
      <c r="P36" s="297">
        <v>0</v>
      </c>
      <c r="Q36" s="297">
        <v>0</v>
      </c>
      <c r="R36" s="1571"/>
      <c r="S36" s="1571"/>
      <c r="T36" s="294"/>
      <c r="U36" s="1571"/>
      <c r="V36" s="234"/>
      <c r="W36" s="1571"/>
      <c r="X36" s="1581"/>
      <c r="Y36" s="1571"/>
      <c r="Z36" s="1571"/>
      <c r="AA36" s="1571"/>
      <c r="AB36" s="1571"/>
      <c r="AC36" s="1571"/>
      <c r="AD36" s="1571"/>
      <c r="AE36" s="1571"/>
      <c r="AF36" s="1571"/>
      <c r="AG36" s="1571"/>
      <c r="AH36" s="1571"/>
      <c r="AI36" s="234"/>
      <c r="AJ36" s="234"/>
      <c r="AK36" s="234"/>
      <c r="AL36" s="234"/>
      <c r="AM36" s="1571"/>
      <c r="AN36" s="1571"/>
      <c r="AO36" s="1571"/>
      <c r="AP36" s="1571"/>
    </row>
    <row r="37" spans="1:42" ht="13.5" thickTop="1">
      <c r="A37" s="1302">
        <f t="shared" si="2"/>
        <v>21</v>
      </c>
      <c r="B37" s="1571"/>
      <c r="C37" s="1302"/>
      <c r="D37" s="284"/>
      <c r="E37" s="279"/>
      <c r="F37" s="294"/>
      <c r="G37" s="295"/>
      <c r="H37" s="296"/>
      <c r="I37" s="296"/>
      <c r="J37" s="295"/>
      <c r="K37" s="295"/>
      <c r="L37" s="1571"/>
      <c r="N37" s="1571"/>
      <c r="O37" s="1571"/>
      <c r="P37" s="1571"/>
      <c r="Q37" s="1571"/>
      <c r="R37" s="1571"/>
      <c r="S37" s="1571"/>
      <c r="T37" s="294"/>
      <c r="U37" s="1571"/>
      <c r="V37" s="234"/>
      <c r="W37" s="1571"/>
      <c r="X37" s="1581"/>
      <c r="Y37" s="1571"/>
      <c r="Z37" s="1571"/>
      <c r="AA37" s="1571"/>
      <c r="AB37" s="1571"/>
      <c r="AC37" s="1571"/>
      <c r="AD37" s="1571"/>
      <c r="AE37" s="1571"/>
      <c r="AF37" s="1571"/>
      <c r="AG37" s="1571"/>
      <c r="AH37" s="1571"/>
      <c r="AI37" s="234"/>
      <c r="AJ37" s="234"/>
      <c r="AK37" s="234"/>
      <c r="AL37" s="234"/>
      <c r="AM37" s="1571"/>
      <c r="AN37" s="1571"/>
      <c r="AO37" s="1571"/>
      <c r="AP37" s="1571"/>
    </row>
    <row r="38" spans="1:42">
      <c r="A38" s="1302">
        <f t="shared" si="2"/>
        <v>22</v>
      </c>
      <c r="B38" s="1571"/>
      <c r="C38" s="1302">
        <v>255</v>
      </c>
      <c r="D38" s="284"/>
      <c r="E38" s="279" t="s">
        <v>1398</v>
      </c>
      <c r="F38" s="1571"/>
      <c r="G38" s="1571"/>
      <c r="H38" s="1571"/>
      <c r="I38" s="1571"/>
      <c r="J38" s="1571"/>
      <c r="K38" s="1571"/>
      <c r="L38" s="1571"/>
      <c r="N38" s="1571"/>
      <c r="O38" s="1571"/>
      <c r="P38" s="1571"/>
      <c r="Q38" s="1571"/>
      <c r="R38" s="1571"/>
      <c r="S38" s="1571"/>
      <c r="T38" s="294"/>
      <c r="U38" s="1571"/>
      <c r="V38" s="234"/>
      <c r="W38" s="1571"/>
      <c r="X38" s="1581"/>
      <c r="Y38" s="1571"/>
      <c r="Z38" s="1571"/>
      <c r="AA38" s="1571"/>
      <c r="AB38" s="1571"/>
      <c r="AC38" s="1571"/>
      <c r="AD38" s="1571"/>
      <c r="AE38" s="1571"/>
      <c r="AF38" s="1571"/>
      <c r="AG38" s="1571"/>
      <c r="AH38" s="1571"/>
      <c r="AI38" s="234"/>
      <c r="AJ38" s="234"/>
      <c r="AK38" s="234"/>
      <c r="AL38" s="234"/>
      <c r="AM38" s="1571"/>
      <c r="AN38" s="1571"/>
      <c r="AO38" s="1571"/>
      <c r="AP38" s="1571"/>
    </row>
    <row r="39" spans="1:42">
      <c r="A39" s="1302">
        <f t="shared" si="2"/>
        <v>23</v>
      </c>
      <c r="B39" s="1571"/>
      <c r="C39" s="1302"/>
      <c r="D39" s="284"/>
      <c r="E39" s="299" t="s">
        <v>297</v>
      </c>
      <c r="F39" s="300">
        <v>0</v>
      </c>
      <c r="G39" s="300">
        <v>0</v>
      </c>
      <c r="H39" s="300">
        <v>0</v>
      </c>
      <c r="I39" s="300">
        <v>0</v>
      </c>
      <c r="J39" s="300">
        <v>0</v>
      </c>
      <c r="K39" s="300">
        <v>0</v>
      </c>
      <c r="L39" s="300">
        <v>0</v>
      </c>
      <c r="N39" s="300">
        <v>0</v>
      </c>
      <c r="O39" s="300">
        <v>0</v>
      </c>
      <c r="P39" s="300">
        <v>0</v>
      </c>
      <c r="Q39" s="300">
        <v>0</v>
      </c>
      <c r="R39" s="1571"/>
      <c r="S39" s="1571"/>
      <c r="T39" s="294"/>
      <c r="U39" s="1571"/>
      <c r="V39" s="234"/>
      <c r="W39" s="1571"/>
      <c r="X39" s="1581"/>
      <c r="Y39" s="1571"/>
      <c r="Z39" s="1571"/>
      <c r="AA39" s="1571"/>
      <c r="AB39" s="1571"/>
      <c r="AC39" s="1571"/>
      <c r="AD39" s="1571"/>
      <c r="AE39" s="1571"/>
      <c r="AF39" s="1571"/>
      <c r="AG39" s="1571"/>
      <c r="AH39" s="1571"/>
      <c r="AI39" s="234"/>
      <c r="AJ39" s="234"/>
      <c r="AK39" s="234"/>
      <c r="AL39" s="234"/>
      <c r="AM39" s="1571"/>
      <c r="AN39" s="1571"/>
      <c r="AO39" s="1571"/>
      <c r="AP39" s="1571"/>
    </row>
    <row r="40" spans="1:42">
      <c r="A40" s="1302">
        <f t="shared" si="2"/>
        <v>24</v>
      </c>
      <c r="B40" s="1571"/>
      <c r="C40" s="1302"/>
      <c r="D40" s="284"/>
      <c r="E40" s="299" t="s">
        <v>299</v>
      </c>
      <c r="F40" s="300">
        <v>0</v>
      </c>
      <c r="G40" s="300">
        <v>0</v>
      </c>
      <c r="H40" s="300">
        <v>0</v>
      </c>
      <c r="I40" s="300">
        <v>0</v>
      </c>
      <c r="J40" s="300">
        <v>0</v>
      </c>
      <c r="K40" s="300">
        <v>0</v>
      </c>
      <c r="L40" s="300">
        <v>0</v>
      </c>
      <c r="N40" s="300">
        <v>0</v>
      </c>
      <c r="O40" s="300">
        <v>0</v>
      </c>
      <c r="P40" s="300">
        <v>0</v>
      </c>
      <c r="Q40" s="300">
        <v>0</v>
      </c>
      <c r="R40" s="1571"/>
      <c r="S40" s="1571"/>
      <c r="T40" s="294"/>
      <c r="U40" s="1571"/>
      <c r="V40" s="234"/>
      <c r="W40" s="1571"/>
      <c r="X40" s="1581"/>
      <c r="Y40" s="1571"/>
      <c r="Z40" s="1571"/>
      <c r="AA40" s="1571"/>
      <c r="AB40" s="1571"/>
      <c r="AC40" s="1571"/>
      <c r="AD40" s="1571"/>
      <c r="AE40" s="1571"/>
      <c r="AF40" s="1571"/>
      <c r="AG40" s="1571"/>
      <c r="AH40" s="1571"/>
      <c r="AI40" s="234"/>
      <c r="AJ40" s="234"/>
      <c r="AK40" s="234"/>
      <c r="AL40" s="234"/>
      <c r="AM40" s="1571"/>
      <c r="AN40" s="1571"/>
      <c r="AO40" s="1571"/>
      <c r="AP40" s="1571"/>
    </row>
    <row r="41" spans="1:42">
      <c r="A41" s="1302">
        <f t="shared" si="2"/>
        <v>25</v>
      </c>
      <c r="B41" s="1571"/>
      <c r="C41" s="1302"/>
      <c r="D41" s="284"/>
      <c r="E41" s="299" t="s">
        <v>301</v>
      </c>
      <c r="F41" s="300">
        <v>-19011</v>
      </c>
      <c r="G41" s="300">
        <v>-18087</v>
      </c>
      <c r="H41" s="300">
        <v>-17162</v>
      </c>
      <c r="I41" s="300">
        <v>-16238</v>
      </c>
      <c r="J41" s="300">
        <v>-15314</v>
      </c>
      <c r="K41" s="300">
        <v>-14390</v>
      </c>
      <c r="L41" s="300">
        <v>-13466</v>
      </c>
      <c r="M41" s="1376"/>
      <c r="N41" s="300">
        <v>-12542</v>
      </c>
      <c r="O41" s="300">
        <v>-11599</v>
      </c>
      <c r="P41" s="300">
        <v>-10656</v>
      </c>
      <c r="Q41" s="300">
        <v>-9713</v>
      </c>
      <c r="R41" s="1571"/>
      <c r="S41" s="1571"/>
      <c r="T41" s="294"/>
      <c r="U41" s="1571"/>
      <c r="V41" s="234"/>
      <c r="W41" s="1571"/>
      <c r="X41" s="1581"/>
      <c r="Y41" s="1571"/>
      <c r="Z41" s="1571"/>
      <c r="AA41" s="1571"/>
      <c r="AB41" s="1571"/>
      <c r="AC41" s="1571"/>
      <c r="AD41" s="1571"/>
      <c r="AE41" s="1571"/>
      <c r="AF41" s="1571"/>
      <c r="AG41" s="1571"/>
      <c r="AH41" s="1571"/>
      <c r="AI41" s="234"/>
      <c r="AJ41" s="234"/>
      <c r="AK41" s="234"/>
      <c r="AL41" s="234"/>
      <c r="AM41" s="1571"/>
      <c r="AN41" s="1571"/>
      <c r="AO41" s="1571"/>
      <c r="AP41" s="1571"/>
    </row>
    <row r="42" spans="1:42">
      <c r="A42" s="1302">
        <f t="shared" si="2"/>
        <v>26</v>
      </c>
      <c r="B42" s="1571"/>
      <c r="C42" s="1302"/>
      <c r="D42" s="284"/>
      <c r="E42" s="1507" t="s">
        <v>2758</v>
      </c>
      <c r="F42" s="2457">
        <v>0</v>
      </c>
      <c r="G42" s="2457">
        <v>0</v>
      </c>
      <c r="H42" s="2457">
        <v>0</v>
      </c>
      <c r="I42" s="2457">
        <v>0</v>
      </c>
      <c r="J42" s="2457">
        <v>0</v>
      </c>
      <c r="K42" s="2457">
        <v>0</v>
      </c>
      <c r="L42" s="2457">
        <v>0</v>
      </c>
      <c r="N42" s="2457">
        <v>-4350000</v>
      </c>
      <c r="O42" s="2457">
        <v>-4350000</v>
      </c>
      <c r="P42" s="2457">
        <v>-4350000</v>
      </c>
      <c r="Q42" s="2457">
        <v>-4350000</v>
      </c>
      <c r="R42" s="1571"/>
      <c r="S42" s="1571"/>
      <c r="T42" s="294"/>
      <c r="U42" s="1571"/>
      <c r="V42" s="234"/>
      <c r="W42" s="1571"/>
      <c r="X42" s="1581"/>
      <c r="Y42" s="1571"/>
      <c r="Z42" s="1571"/>
      <c r="AA42" s="1571"/>
      <c r="AB42" s="1571"/>
      <c r="AC42" s="1571"/>
      <c r="AD42" s="1571"/>
      <c r="AE42" s="1571"/>
      <c r="AF42" s="1571"/>
      <c r="AG42" s="1571"/>
      <c r="AH42" s="1571"/>
      <c r="AI42" s="234"/>
      <c r="AJ42" s="234"/>
      <c r="AK42" s="234"/>
      <c r="AL42" s="234"/>
      <c r="AM42" s="1571"/>
      <c r="AN42" s="1571"/>
      <c r="AO42" s="1571"/>
      <c r="AP42" s="1571"/>
    </row>
    <row r="43" spans="1:42" ht="13.5" thickBot="1">
      <c r="A43" s="1302">
        <f t="shared" si="2"/>
        <v>27</v>
      </c>
      <c r="B43" s="1571"/>
      <c r="C43" s="1302"/>
      <c r="D43" s="284"/>
      <c r="E43" s="279" t="s">
        <v>302</v>
      </c>
      <c r="F43" s="275">
        <f>SUM(F39:F42)</f>
        <v>-19011</v>
      </c>
      <c r="G43" s="275">
        <f t="shared" ref="G43:Q43" si="8">SUM(G39:G42)</f>
        <v>-18087</v>
      </c>
      <c r="H43" s="275">
        <f t="shared" si="8"/>
        <v>-17162</v>
      </c>
      <c r="I43" s="275">
        <f t="shared" si="8"/>
        <v>-16238</v>
      </c>
      <c r="J43" s="275">
        <f t="shared" si="8"/>
        <v>-15314</v>
      </c>
      <c r="K43" s="275">
        <f t="shared" si="8"/>
        <v>-14390</v>
      </c>
      <c r="L43" s="275">
        <f t="shared" si="8"/>
        <v>-13466</v>
      </c>
      <c r="N43" s="275">
        <f t="shared" si="8"/>
        <v>-4362542</v>
      </c>
      <c r="O43" s="275">
        <f t="shared" si="8"/>
        <v>-4361599</v>
      </c>
      <c r="P43" s="275">
        <f t="shared" si="8"/>
        <v>-4360656</v>
      </c>
      <c r="Q43" s="275">
        <f t="shared" si="8"/>
        <v>-4359713</v>
      </c>
      <c r="R43" s="1571"/>
      <c r="S43" s="1571"/>
      <c r="T43" s="294"/>
      <c r="U43" s="1571"/>
      <c r="V43" s="234"/>
      <c r="W43" s="1571"/>
      <c r="X43" s="1581"/>
      <c r="Y43" s="1571"/>
      <c r="Z43" s="1571"/>
      <c r="AA43" s="1571"/>
      <c r="AB43" s="1571"/>
      <c r="AC43" s="1571"/>
      <c r="AD43" s="1571"/>
      <c r="AE43" s="1571"/>
      <c r="AF43" s="1571"/>
      <c r="AG43" s="1571"/>
      <c r="AH43" s="1571"/>
      <c r="AI43" s="234"/>
      <c r="AJ43" s="234"/>
      <c r="AK43" s="234"/>
      <c r="AL43" s="234"/>
      <c r="AM43" s="1571"/>
      <c r="AN43" s="1571"/>
      <c r="AO43" s="1571"/>
      <c r="AP43" s="1571"/>
    </row>
    <row r="44" spans="1:42" ht="13.5" thickTop="1">
      <c r="A44" s="1302">
        <f t="shared" si="2"/>
        <v>28</v>
      </c>
      <c r="B44" s="1571"/>
      <c r="C44" s="1302"/>
      <c r="D44" s="284"/>
      <c r="E44" s="279"/>
      <c r="F44" s="294"/>
      <c r="G44" s="295"/>
      <c r="H44" s="296"/>
      <c r="I44" s="296"/>
      <c r="J44" s="295"/>
      <c r="K44" s="295"/>
      <c r="L44" s="1571"/>
      <c r="N44" s="1571"/>
      <c r="O44" s="1571"/>
      <c r="P44" s="1571"/>
      <c r="Q44" s="1571"/>
      <c r="R44" s="1571"/>
      <c r="S44" s="1571"/>
      <c r="T44" s="294"/>
      <c r="U44" s="1571"/>
      <c r="V44" s="234"/>
      <c r="W44" s="1571"/>
      <c r="X44" s="1581"/>
      <c r="Y44" s="1571"/>
      <c r="Z44" s="1571"/>
      <c r="AA44" s="1571"/>
      <c r="AB44" s="1571"/>
      <c r="AC44" s="1571"/>
      <c r="AD44" s="1571"/>
      <c r="AE44" s="1571"/>
      <c r="AF44" s="1571"/>
      <c r="AG44" s="1571"/>
      <c r="AH44" s="1571"/>
      <c r="AI44" s="234"/>
      <c r="AJ44" s="234"/>
      <c r="AK44" s="234"/>
      <c r="AL44" s="234"/>
      <c r="AM44" s="1571"/>
      <c r="AN44" s="1571"/>
      <c r="AO44" s="1571"/>
      <c r="AP44" s="1571"/>
    </row>
    <row r="45" spans="1:42">
      <c r="A45" s="1302">
        <f t="shared" si="2"/>
        <v>29</v>
      </c>
      <c r="B45" s="1571"/>
      <c r="C45" s="1302"/>
      <c r="D45" s="284"/>
      <c r="E45" s="279" t="s">
        <v>443</v>
      </c>
      <c r="F45" s="301"/>
      <c r="G45" s="276"/>
      <c r="H45" s="296"/>
      <c r="I45" s="296"/>
      <c r="J45" s="295"/>
      <c r="K45" s="295"/>
      <c r="L45" s="1571"/>
      <c r="N45" s="1571"/>
      <c r="O45" s="1571"/>
      <c r="P45" s="1571"/>
      <c r="Q45" s="1571"/>
      <c r="R45" s="1571"/>
      <c r="S45" s="1571"/>
      <c r="T45" s="294"/>
      <c r="U45" s="1571"/>
      <c r="V45" s="234"/>
      <c r="W45" s="1571"/>
      <c r="X45" s="1581"/>
      <c r="Y45" s="1571"/>
      <c r="Z45" s="1571"/>
      <c r="AA45" s="1571"/>
      <c r="AB45" s="1571"/>
      <c r="AC45" s="1571"/>
      <c r="AD45" s="1571"/>
      <c r="AE45" s="1571"/>
      <c r="AF45" s="1571"/>
      <c r="AG45" s="1571"/>
      <c r="AH45" s="1571"/>
      <c r="AI45" s="234"/>
      <c r="AJ45" s="234"/>
      <c r="AK45" s="234"/>
      <c r="AL45" s="234"/>
      <c r="AM45" s="1571"/>
      <c r="AN45" s="1571"/>
      <c r="AO45" s="1571"/>
      <c r="AP45" s="1571"/>
    </row>
    <row r="46" spans="1:42">
      <c r="A46" s="1302">
        <f t="shared" si="2"/>
        <v>30</v>
      </c>
      <c r="B46" s="1571"/>
      <c r="C46" s="1302">
        <v>190</v>
      </c>
      <c r="D46" s="279"/>
      <c r="E46" s="302" t="s">
        <v>1892</v>
      </c>
      <c r="F46" s="303">
        <v>8740593</v>
      </c>
      <c r="G46" s="304">
        <v>8798573</v>
      </c>
      <c r="H46" s="304">
        <v>8856552</v>
      </c>
      <c r="I46" s="304">
        <v>8914532</v>
      </c>
      <c r="J46" s="304">
        <v>8972512</v>
      </c>
      <c r="K46" s="304">
        <v>9030492</v>
      </c>
      <c r="L46" s="304">
        <v>9088471</v>
      </c>
      <c r="N46" s="304">
        <v>9019180</v>
      </c>
      <c r="O46" s="304">
        <v>8949888</v>
      </c>
      <c r="P46" s="304">
        <v>8880596</v>
      </c>
      <c r="Q46" s="304">
        <v>8811304</v>
      </c>
      <c r="R46" s="1571"/>
      <c r="S46" s="1571"/>
      <c r="T46" s="294"/>
      <c r="U46" s="1571"/>
      <c r="V46" s="234"/>
      <c r="W46" s="1571"/>
      <c r="X46" s="1581"/>
      <c r="Y46" s="1571"/>
      <c r="Z46" s="1571"/>
      <c r="AA46" s="1571"/>
      <c r="AB46" s="1571"/>
      <c r="AC46" s="1571"/>
      <c r="AD46" s="1571"/>
      <c r="AE46" s="1571"/>
      <c r="AF46" s="1571"/>
      <c r="AG46" s="1571"/>
      <c r="AH46" s="1571"/>
      <c r="AI46" s="234"/>
      <c r="AJ46" s="234"/>
      <c r="AK46" s="234"/>
      <c r="AL46" s="234"/>
      <c r="AM46" s="1571"/>
      <c r="AN46" s="1571"/>
      <c r="AO46" s="1571"/>
      <c r="AP46" s="1571"/>
    </row>
    <row r="47" spans="1:42">
      <c r="A47" s="1302">
        <f t="shared" si="2"/>
        <v>31</v>
      </c>
      <c r="B47" s="1571"/>
      <c r="C47" s="1302">
        <v>281</v>
      </c>
      <c r="D47" s="279"/>
      <c r="E47" s="302" t="s">
        <v>2910</v>
      </c>
      <c r="F47" s="303">
        <v>-190426</v>
      </c>
      <c r="G47" s="304">
        <v>-190426</v>
      </c>
      <c r="H47" s="304">
        <v>-190426</v>
      </c>
      <c r="I47" s="304">
        <v>-190426</v>
      </c>
      <c r="J47" s="304">
        <v>-190426</v>
      </c>
      <c r="K47" s="304">
        <v>-190426</v>
      </c>
      <c r="L47" s="304">
        <v>-190426</v>
      </c>
      <c r="N47" s="304">
        <v>-190426</v>
      </c>
      <c r="O47" s="304">
        <v>-190426</v>
      </c>
      <c r="P47" s="304">
        <v>-190426</v>
      </c>
      <c r="Q47" s="304">
        <v>-190426</v>
      </c>
      <c r="R47" s="1571"/>
      <c r="S47" s="1571"/>
      <c r="T47" s="294"/>
      <c r="U47" s="1571"/>
      <c r="V47" s="234"/>
      <c r="W47" s="1571"/>
      <c r="X47" s="1581"/>
      <c r="Y47" s="1571"/>
      <c r="Z47" s="1571"/>
      <c r="AA47" s="1571"/>
      <c r="AB47" s="1571"/>
      <c r="AC47" s="1571"/>
      <c r="AD47" s="1571"/>
      <c r="AE47" s="1571"/>
      <c r="AF47" s="1571"/>
      <c r="AG47" s="1571"/>
      <c r="AH47" s="1571"/>
      <c r="AI47" s="234"/>
      <c r="AJ47" s="234"/>
      <c r="AK47" s="234"/>
      <c r="AL47" s="234"/>
      <c r="AM47" s="1571"/>
      <c r="AN47" s="1571"/>
      <c r="AO47" s="1571"/>
      <c r="AP47" s="1571"/>
    </row>
    <row r="48" spans="1:42">
      <c r="A48" s="1302">
        <f t="shared" si="2"/>
        <v>32</v>
      </c>
      <c r="B48" s="1571"/>
      <c r="C48" s="1302">
        <v>282</v>
      </c>
      <c r="D48" s="279"/>
      <c r="E48" s="302" t="s">
        <v>1633</v>
      </c>
      <c r="F48" s="303">
        <v>-80475056</v>
      </c>
      <c r="G48" s="304">
        <v>-81386343</v>
      </c>
      <c r="H48" s="304">
        <v>-82297630</v>
      </c>
      <c r="I48" s="304">
        <v>-83208917</v>
      </c>
      <c r="J48" s="304">
        <v>-84120204</v>
      </c>
      <c r="K48" s="304">
        <v>-85031491</v>
      </c>
      <c r="L48" s="304">
        <v>-85942778</v>
      </c>
      <c r="N48" s="304">
        <v>-87127048</v>
      </c>
      <c r="O48" s="304">
        <v>-88311318</v>
      </c>
      <c r="P48" s="304">
        <v>-89495588</v>
      </c>
      <c r="Q48" s="304">
        <v>-90679858</v>
      </c>
      <c r="R48" s="1571"/>
      <c r="S48" s="1571"/>
      <c r="T48" s="294"/>
      <c r="U48" s="1571"/>
      <c r="V48" s="234"/>
      <c r="W48" s="1571"/>
      <c r="X48" s="1581"/>
      <c r="Y48" s="1571"/>
      <c r="Z48" s="1571"/>
      <c r="AA48" s="1571"/>
      <c r="AB48" s="1571"/>
      <c r="AC48" s="1571"/>
      <c r="AD48" s="1571"/>
      <c r="AE48" s="1571"/>
      <c r="AF48" s="1571"/>
      <c r="AG48" s="1571"/>
      <c r="AH48" s="1571"/>
      <c r="AI48" s="234"/>
      <c r="AJ48" s="234"/>
      <c r="AK48" s="234"/>
      <c r="AL48" s="234"/>
      <c r="AM48" s="1571"/>
      <c r="AN48" s="1571"/>
      <c r="AO48" s="1571"/>
      <c r="AP48" s="1571"/>
    </row>
    <row r="49" spans="1:42">
      <c r="A49" s="1302">
        <f t="shared" si="2"/>
        <v>33</v>
      </c>
      <c r="B49" s="1571"/>
      <c r="C49" s="1302">
        <v>282</v>
      </c>
      <c r="D49" s="279"/>
      <c r="E49" s="302" t="s">
        <v>1893</v>
      </c>
      <c r="F49" s="303">
        <v>-103252076</v>
      </c>
      <c r="G49" s="304">
        <v>-105228573</v>
      </c>
      <c r="H49" s="304">
        <v>-107205071</v>
      </c>
      <c r="I49" s="304">
        <v>-109181568</v>
      </c>
      <c r="J49" s="304">
        <v>-111158065</v>
      </c>
      <c r="K49" s="304">
        <v>-113134562</v>
      </c>
      <c r="L49" s="304">
        <v>-115111060</v>
      </c>
      <c r="N49" s="304">
        <v>-117160068</v>
      </c>
      <c r="O49" s="304">
        <v>-119209076</v>
      </c>
      <c r="P49" s="304">
        <v>-121258084</v>
      </c>
      <c r="Q49" s="304">
        <v>-123307092</v>
      </c>
      <c r="R49" s="1571"/>
      <c r="S49" s="1571"/>
      <c r="T49" s="294"/>
      <c r="U49" s="1571"/>
      <c r="V49" s="234"/>
      <c r="W49" s="1571"/>
      <c r="X49" s="1581"/>
      <c r="Y49" s="1571"/>
      <c r="Z49" s="1571"/>
      <c r="AA49" s="1571"/>
      <c r="AB49" s="1571"/>
      <c r="AC49" s="1571"/>
      <c r="AD49" s="1571"/>
      <c r="AE49" s="1571"/>
      <c r="AF49" s="1571"/>
      <c r="AG49" s="1571"/>
      <c r="AH49" s="1571"/>
      <c r="AI49" s="234"/>
      <c r="AJ49" s="234"/>
      <c r="AK49" s="234"/>
      <c r="AL49" s="234"/>
      <c r="AM49" s="1571"/>
      <c r="AN49" s="1571"/>
      <c r="AO49" s="1571"/>
      <c r="AP49" s="1571"/>
    </row>
    <row r="50" spans="1:42">
      <c r="A50" s="1302">
        <f t="shared" si="2"/>
        <v>34</v>
      </c>
      <c r="B50" s="1571"/>
      <c r="C50" s="1302">
        <v>283</v>
      </c>
      <c r="D50" s="279"/>
      <c r="E50" s="302" t="s">
        <v>1896</v>
      </c>
      <c r="F50" s="2458">
        <v>-18298766</v>
      </c>
      <c r="G50" s="2458">
        <v>-18714631</v>
      </c>
      <c r="H50" s="2458">
        <v>-19130496</v>
      </c>
      <c r="I50" s="2458">
        <v>-19546360</v>
      </c>
      <c r="J50" s="2458">
        <v>-19962225</v>
      </c>
      <c r="K50" s="2458">
        <v>-20378090</v>
      </c>
      <c r="L50" s="2458">
        <v>-20793955</v>
      </c>
      <c r="N50" s="2458">
        <v>-20821852</v>
      </c>
      <c r="O50" s="2458">
        <v>-20849750</v>
      </c>
      <c r="P50" s="2458">
        <v>-20877648</v>
      </c>
      <c r="Q50" s="2458">
        <v>-20905546</v>
      </c>
      <c r="R50" s="1571"/>
      <c r="S50" s="1571"/>
      <c r="T50" s="294"/>
      <c r="U50" s="1571"/>
      <c r="V50" s="234"/>
      <c r="W50" s="1571"/>
      <c r="X50" s="1581"/>
      <c r="Y50" s="1571"/>
      <c r="Z50" s="1571"/>
      <c r="AA50" s="1571"/>
      <c r="AB50" s="1571"/>
      <c r="AC50" s="1571"/>
      <c r="AD50" s="1571"/>
      <c r="AE50" s="1571"/>
      <c r="AF50" s="1571"/>
      <c r="AG50" s="1571"/>
      <c r="AH50" s="1571"/>
      <c r="AI50" s="234"/>
      <c r="AJ50" s="234"/>
      <c r="AK50" s="234"/>
      <c r="AL50" s="234"/>
      <c r="AM50" s="1571"/>
      <c r="AN50" s="1571"/>
      <c r="AO50" s="1571"/>
      <c r="AP50" s="1571"/>
    </row>
    <row r="51" spans="1:42" ht="13.5" thickBot="1">
      <c r="A51" s="1302">
        <f t="shared" si="2"/>
        <v>35</v>
      </c>
      <c r="B51" s="1571"/>
      <c r="C51" s="1302"/>
      <c r="D51" s="279"/>
      <c r="E51" s="279" t="s">
        <v>1897</v>
      </c>
      <c r="F51" s="1306">
        <f t="shared" ref="F51:Q51" si="9">SUM(F46:F50)</f>
        <v>-193475731</v>
      </c>
      <c r="G51" s="1306">
        <f t="shared" si="9"/>
        <v>-196721400</v>
      </c>
      <c r="H51" s="1306">
        <f t="shared" si="9"/>
        <v>-199967071</v>
      </c>
      <c r="I51" s="1306">
        <f t="shared" si="9"/>
        <v>-203212739</v>
      </c>
      <c r="J51" s="1306">
        <f t="shared" si="9"/>
        <v>-206458408</v>
      </c>
      <c r="K51" s="1306">
        <f t="shared" si="9"/>
        <v>-209704077</v>
      </c>
      <c r="L51" s="1306">
        <f t="shared" si="9"/>
        <v>-212949748</v>
      </c>
      <c r="N51" s="1306">
        <f t="shared" si="9"/>
        <v>-216280214</v>
      </c>
      <c r="O51" s="1306">
        <f t="shared" si="9"/>
        <v>-219610682</v>
      </c>
      <c r="P51" s="1306">
        <f t="shared" si="9"/>
        <v>-222941150</v>
      </c>
      <c r="Q51" s="1306">
        <f t="shared" si="9"/>
        <v>-226271618</v>
      </c>
      <c r="R51" s="1571"/>
      <c r="S51" s="1571"/>
      <c r="T51" s="303"/>
      <c r="U51" s="1571"/>
      <c r="V51" s="234"/>
      <c r="W51" s="1571"/>
      <c r="X51" s="1581"/>
      <c r="Y51" s="1571"/>
      <c r="Z51" s="1571"/>
      <c r="AA51" s="1571"/>
      <c r="AB51" s="1571"/>
      <c r="AC51" s="1571"/>
      <c r="AD51" s="1571"/>
      <c r="AE51" s="1571"/>
      <c r="AF51" s="1571"/>
      <c r="AG51" s="1571"/>
      <c r="AH51" s="1571"/>
      <c r="AI51" s="234"/>
      <c r="AJ51" s="234"/>
      <c r="AK51" s="234"/>
      <c r="AL51" s="234"/>
      <c r="AM51" s="1571"/>
      <c r="AN51" s="1571"/>
      <c r="AO51" s="1571"/>
      <c r="AP51" s="1571"/>
    </row>
    <row r="52" spans="1:42" ht="13.5" thickTop="1">
      <c r="A52" s="1302">
        <f t="shared" si="2"/>
        <v>36</v>
      </c>
      <c r="B52" s="1571"/>
      <c r="C52" s="1302"/>
      <c r="D52" s="279"/>
      <c r="E52" s="279"/>
      <c r="F52" s="303"/>
      <c r="G52" s="303"/>
      <c r="H52" s="303"/>
      <c r="I52" s="303"/>
      <c r="J52" s="303"/>
      <c r="K52" s="303"/>
      <c r="L52" s="1571"/>
      <c r="N52" s="1571"/>
      <c r="O52" s="1571"/>
      <c r="P52" s="1571"/>
      <c r="Q52" s="1571"/>
      <c r="R52" s="1571"/>
      <c r="S52" s="1571"/>
      <c r="T52" s="303"/>
      <c r="U52" s="1571"/>
      <c r="V52" s="234"/>
      <c r="W52" s="1571"/>
      <c r="X52" s="1581"/>
      <c r="Y52" s="1571"/>
      <c r="Z52" s="1571"/>
      <c r="AA52" s="1571"/>
      <c r="AB52" s="1571"/>
      <c r="AC52" s="1571"/>
      <c r="AD52" s="1571"/>
      <c r="AE52" s="1571"/>
      <c r="AF52" s="1571"/>
      <c r="AG52" s="1571"/>
      <c r="AH52" s="1571"/>
      <c r="AI52" s="234"/>
      <c r="AJ52" s="234"/>
      <c r="AK52" s="234"/>
      <c r="AL52" s="234"/>
      <c r="AM52" s="1571"/>
      <c r="AN52" s="1571"/>
      <c r="AO52" s="1571"/>
      <c r="AP52" s="1571"/>
    </row>
    <row r="53" spans="1:42">
      <c r="A53" s="1302">
        <f t="shared" si="2"/>
        <v>37</v>
      </c>
      <c r="B53" s="1571"/>
      <c r="C53" s="305" t="s">
        <v>449</v>
      </c>
      <c r="D53" s="284"/>
      <c r="E53" s="284"/>
      <c r="F53" s="294"/>
      <c r="G53" s="294"/>
      <c r="H53" s="294"/>
      <c r="I53" s="294"/>
      <c r="J53" s="294"/>
      <c r="K53" s="294"/>
      <c r="L53" s="294"/>
      <c r="N53" s="294"/>
      <c r="O53" s="294"/>
      <c r="P53" s="294"/>
      <c r="Q53" s="294"/>
      <c r="R53" s="1571"/>
      <c r="S53" s="1571"/>
      <c r="T53" s="294"/>
      <c r="U53" s="1571"/>
      <c r="V53" s="234"/>
      <c r="W53" s="1571"/>
      <c r="X53" s="1581"/>
      <c r="Y53" s="1571"/>
      <c r="Z53" s="1571"/>
      <c r="AA53" s="1571"/>
      <c r="AB53" s="1571"/>
      <c r="AC53" s="1571"/>
      <c r="AD53" s="1571"/>
      <c r="AE53" s="1571"/>
      <c r="AF53" s="1571"/>
      <c r="AG53" s="1571"/>
      <c r="AH53" s="1571"/>
      <c r="AI53" s="234"/>
      <c r="AJ53" s="234"/>
      <c r="AK53" s="234"/>
      <c r="AL53" s="234"/>
      <c r="AM53" s="1571"/>
      <c r="AN53" s="1571"/>
      <c r="AO53" s="1571"/>
      <c r="AP53" s="1571"/>
    </row>
    <row r="54" spans="1:42">
      <c r="A54" s="1302">
        <f t="shared" si="2"/>
        <v>38</v>
      </c>
      <c r="B54" s="1571"/>
      <c r="C54" s="284"/>
      <c r="D54" s="284"/>
      <c r="E54" s="284"/>
      <c r="F54" s="294"/>
      <c r="G54" s="294"/>
      <c r="H54" s="294"/>
      <c r="I54" s="294"/>
      <c r="J54" s="294"/>
      <c r="K54" s="294"/>
      <c r="L54" s="294"/>
      <c r="N54" s="294"/>
      <c r="O54" s="294"/>
      <c r="P54" s="294"/>
      <c r="Q54" s="294"/>
      <c r="R54" s="1571"/>
      <c r="S54" s="1571"/>
      <c r="T54" s="294"/>
      <c r="U54" s="1571"/>
      <c r="V54" s="234"/>
      <c r="W54" s="1571"/>
      <c r="X54" s="1581"/>
      <c r="Y54" s="1571"/>
      <c r="Z54" s="1571"/>
      <c r="AA54" s="1571"/>
      <c r="AB54" s="1571"/>
      <c r="AC54" s="1571"/>
      <c r="AD54" s="1571"/>
      <c r="AE54" s="1571"/>
      <c r="AF54" s="1571"/>
      <c r="AG54" s="1571"/>
      <c r="AH54" s="1571"/>
      <c r="AI54" s="234"/>
      <c r="AJ54" s="234"/>
      <c r="AK54" s="234"/>
      <c r="AL54" s="234"/>
      <c r="AM54" s="1571"/>
      <c r="AN54" s="1571"/>
      <c r="AO54" s="1571"/>
      <c r="AP54" s="1571"/>
    </row>
    <row r="55" spans="1:42">
      <c r="A55" s="1302">
        <f t="shared" si="2"/>
        <v>39</v>
      </c>
      <c r="B55" s="1571"/>
      <c r="C55" s="1302">
        <v>255</v>
      </c>
      <c r="D55" s="284"/>
      <c r="E55" s="279" t="s">
        <v>1398</v>
      </c>
      <c r="F55" s="300"/>
      <c r="G55" s="300"/>
      <c r="H55" s="300"/>
      <c r="I55" s="300"/>
      <c r="J55" s="300"/>
      <c r="K55" s="300"/>
      <c r="L55" s="300"/>
      <c r="N55" s="300"/>
      <c r="O55" s="300"/>
      <c r="P55" s="300"/>
      <c r="Q55" s="300"/>
      <c r="R55" s="1571"/>
      <c r="S55" s="1571"/>
      <c r="T55" s="294"/>
      <c r="U55" s="1571"/>
      <c r="V55" s="234"/>
      <c r="W55" s="1571"/>
      <c r="X55" s="1581"/>
      <c r="Y55" s="1571"/>
      <c r="Z55" s="1571"/>
      <c r="AA55" s="1571"/>
      <c r="AB55" s="1571"/>
      <c r="AC55" s="1571"/>
      <c r="AD55" s="1571"/>
      <c r="AE55" s="1571"/>
      <c r="AF55" s="1571"/>
      <c r="AG55" s="1571"/>
      <c r="AH55" s="1571"/>
      <c r="AI55" s="234"/>
      <c r="AJ55" s="234"/>
      <c r="AK55" s="234"/>
      <c r="AL55" s="234"/>
      <c r="AM55" s="1571"/>
      <c r="AN55" s="1571"/>
      <c r="AO55" s="1571"/>
      <c r="AP55" s="1571"/>
    </row>
    <row r="56" spans="1:42">
      <c r="A56" s="1302">
        <f t="shared" si="2"/>
        <v>40</v>
      </c>
      <c r="B56" s="1571"/>
      <c r="C56" s="1302"/>
      <c r="D56" s="284"/>
      <c r="E56" s="299" t="s">
        <v>297</v>
      </c>
      <c r="F56" s="300">
        <v>0</v>
      </c>
      <c r="G56" s="300">
        <v>0</v>
      </c>
      <c r="H56" s="300">
        <v>0</v>
      </c>
      <c r="I56" s="300">
        <v>0</v>
      </c>
      <c r="J56" s="300">
        <v>0</v>
      </c>
      <c r="K56" s="300">
        <v>0</v>
      </c>
      <c r="L56" s="300">
        <v>0</v>
      </c>
      <c r="N56" s="300">
        <v>0</v>
      </c>
      <c r="O56" s="300">
        <v>0</v>
      </c>
      <c r="P56" s="300">
        <v>0</v>
      </c>
      <c r="Q56" s="300">
        <v>0</v>
      </c>
      <c r="R56" s="1571"/>
      <c r="S56" s="1571"/>
      <c r="T56" s="294"/>
      <c r="U56" s="1571"/>
      <c r="V56" s="234"/>
      <c r="W56" s="1571"/>
      <c r="X56" s="1581"/>
      <c r="Y56" s="1571"/>
      <c r="Z56" s="1571"/>
      <c r="AA56" s="1571"/>
      <c r="AB56" s="1571"/>
      <c r="AC56" s="1571"/>
      <c r="AD56" s="1571"/>
      <c r="AE56" s="1571"/>
      <c r="AF56" s="1571"/>
      <c r="AG56" s="1571"/>
      <c r="AH56" s="1571"/>
      <c r="AI56" s="234"/>
      <c r="AJ56" s="234"/>
      <c r="AK56" s="234"/>
      <c r="AL56" s="234"/>
      <c r="AM56" s="1571"/>
      <c r="AN56" s="1571"/>
      <c r="AO56" s="1571"/>
      <c r="AP56" s="1571"/>
    </row>
    <row r="57" spans="1:42">
      <c r="A57" s="1302">
        <f t="shared" si="2"/>
        <v>41</v>
      </c>
      <c r="B57" s="1571"/>
      <c r="C57" s="1302"/>
      <c r="D57" s="284"/>
      <c r="E57" s="299" t="s">
        <v>299</v>
      </c>
      <c r="F57" s="300">
        <v>0</v>
      </c>
      <c r="G57" s="300">
        <v>0</v>
      </c>
      <c r="H57" s="300">
        <v>0</v>
      </c>
      <c r="I57" s="300">
        <v>0</v>
      </c>
      <c r="J57" s="300">
        <v>0</v>
      </c>
      <c r="K57" s="300">
        <v>0</v>
      </c>
      <c r="L57" s="300">
        <v>0</v>
      </c>
      <c r="N57" s="300">
        <v>0</v>
      </c>
      <c r="O57" s="300">
        <v>0</v>
      </c>
      <c r="P57" s="300">
        <v>0</v>
      </c>
      <c r="Q57" s="300">
        <v>0</v>
      </c>
      <c r="R57" s="1571"/>
      <c r="S57" s="1571"/>
      <c r="T57" s="294"/>
      <c r="U57" s="1571"/>
      <c r="V57" s="234"/>
      <c r="W57" s="1571"/>
      <c r="X57" s="1581"/>
      <c r="Y57" s="1571"/>
      <c r="Z57" s="1571"/>
      <c r="AA57" s="1571"/>
      <c r="AB57" s="1571"/>
      <c r="AC57" s="1571"/>
      <c r="AD57" s="1571"/>
      <c r="AE57" s="1571"/>
      <c r="AF57" s="1571"/>
      <c r="AG57" s="1571"/>
      <c r="AH57" s="1571"/>
      <c r="AI57" s="234"/>
      <c r="AJ57" s="234"/>
      <c r="AK57" s="234"/>
      <c r="AL57" s="234"/>
      <c r="AM57" s="1571"/>
      <c r="AN57" s="1571"/>
      <c r="AO57" s="1571"/>
      <c r="AP57" s="1571"/>
    </row>
    <row r="58" spans="1:42">
      <c r="A58" s="1302">
        <f t="shared" si="2"/>
        <v>42</v>
      </c>
      <c r="B58" s="1571"/>
      <c r="C58" s="1302"/>
      <c r="D58" s="284"/>
      <c r="E58" s="299" t="s">
        <v>301</v>
      </c>
      <c r="F58" s="2457">
        <v>-13728</v>
      </c>
      <c r="G58" s="2457">
        <v>-11767</v>
      </c>
      <c r="H58" s="2457">
        <v>-9806</v>
      </c>
      <c r="I58" s="2457">
        <v>-7844</v>
      </c>
      <c r="J58" s="2457">
        <v>-5883</v>
      </c>
      <c r="K58" s="2457">
        <v>-3922</v>
      </c>
      <c r="L58" s="2457">
        <v>-1961</v>
      </c>
      <c r="N58" s="2457">
        <v>0</v>
      </c>
      <c r="O58" s="2457">
        <v>0</v>
      </c>
      <c r="P58" s="2457">
        <v>0</v>
      </c>
      <c r="Q58" s="2457">
        <v>0</v>
      </c>
      <c r="R58" s="1571"/>
      <c r="S58" s="1571"/>
      <c r="T58" s="294"/>
      <c r="U58" s="1571"/>
      <c r="V58" s="234"/>
      <c r="W58" s="1571"/>
      <c r="X58" s="1581"/>
      <c r="Y58" s="1571"/>
      <c r="Z58" s="1571"/>
      <c r="AA58" s="1571"/>
      <c r="AB58" s="1571"/>
      <c r="AC58" s="1571"/>
      <c r="AD58" s="1571"/>
      <c r="AE58" s="1571"/>
      <c r="AF58" s="1571"/>
      <c r="AG58" s="1571"/>
      <c r="AH58" s="1571"/>
      <c r="AI58" s="234"/>
      <c r="AJ58" s="234"/>
      <c r="AK58" s="234"/>
      <c r="AL58" s="234"/>
      <c r="AM58" s="1571"/>
      <c r="AN58" s="1571"/>
      <c r="AO58" s="1571"/>
      <c r="AP58" s="1571"/>
    </row>
    <row r="59" spans="1:42" ht="13.5" thickBot="1">
      <c r="A59" s="1302">
        <f t="shared" si="2"/>
        <v>43</v>
      </c>
      <c r="B59" s="1571"/>
      <c r="C59" s="1302"/>
      <c r="D59" s="284"/>
      <c r="E59" s="279" t="s">
        <v>302</v>
      </c>
      <c r="F59" s="313">
        <f t="shared" ref="F59:L59" si="10">SUM(F57:F58)</f>
        <v>-13728</v>
      </c>
      <c r="G59" s="275">
        <f t="shared" si="10"/>
        <v>-11767</v>
      </c>
      <c r="H59" s="275">
        <f t="shared" si="10"/>
        <v>-9806</v>
      </c>
      <c r="I59" s="275">
        <f t="shared" si="10"/>
        <v>-7844</v>
      </c>
      <c r="J59" s="275">
        <f t="shared" si="10"/>
        <v>-5883</v>
      </c>
      <c r="K59" s="275">
        <f t="shared" si="10"/>
        <v>-3922</v>
      </c>
      <c r="L59" s="275">
        <f t="shared" si="10"/>
        <v>-1961</v>
      </c>
      <c r="N59" s="275">
        <f>SUM(N57:N58)</f>
        <v>0</v>
      </c>
      <c r="O59" s="275">
        <f>SUM(O57:O58)</f>
        <v>0</v>
      </c>
      <c r="P59" s="275">
        <f>SUM(P57:P58)</f>
        <v>0</v>
      </c>
      <c r="Q59" s="275">
        <f>SUM(Q57:Q58)</f>
        <v>0</v>
      </c>
      <c r="R59" s="1571"/>
      <c r="S59" s="1571"/>
      <c r="T59" s="294"/>
      <c r="U59" s="1571"/>
      <c r="V59" s="234"/>
      <c r="W59" s="1571"/>
      <c r="X59" s="1581"/>
      <c r="Y59" s="1571"/>
      <c r="Z59" s="1571"/>
      <c r="AA59" s="1571"/>
      <c r="AB59" s="1571"/>
      <c r="AC59" s="1571"/>
      <c r="AD59" s="1571"/>
      <c r="AE59" s="1571"/>
      <c r="AF59" s="1571"/>
      <c r="AG59" s="1571"/>
      <c r="AH59" s="1571"/>
      <c r="AI59" s="234"/>
      <c r="AJ59" s="234"/>
      <c r="AK59" s="234"/>
      <c r="AL59" s="234"/>
      <c r="AM59" s="1571"/>
      <c r="AN59" s="1571"/>
      <c r="AO59" s="1571"/>
      <c r="AP59" s="1571"/>
    </row>
    <row r="60" spans="1:42" ht="13.5" thickTop="1">
      <c r="A60" s="1302">
        <f t="shared" si="2"/>
        <v>44</v>
      </c>
      <c r="B60" s="1571"/>
      <c r="C60" s="1302"/>
      <c r="D60" s="284"/>
      <c r="E60" s="279"/>
      <c r="F60" s="294"/>
      <c r="G60" s="295"/>
      <c r="H60" s="296"/>
      <c r="I60" s="296"/>
      <c r="J60" s="295"/>
      <c r="K60" s="295"/>
      <c r="L60" s="1571"/>
      <c r="N60" s="1571"/>
      <c r="O60" s="1571"/>
      <c r="P60" s="1571"/>
      <c r="Q60" s="1571"/>
      <c r="R60" s="1571"/>
      <c r="S60" s="1571"/>
      <c r="T60" s="294"/>
      <c r="U60" s="1571"/>
      <c r="V60" s="234"/>
      <c r="W60" s="1571"/>
      <c r="X60" s="1581"/>
      <c r="Y60" s="1571"/>
      <c r="Z60" s="1571"/>
      <c r="AA60" s="1571"/>
      <c r="AB60" s="1571"/>
      <c r="AC60" s="1571"/>
      <c r="AD60" s="1571"/>
      <c r="AE60" s="1571"/>
      <c r="AF60" s="1571"/>
      <c r="AG60" s="1571"/>
      <c r="AH60" s="1571"/>
      <c r="AI60" s="234"/>
      <c r="AJ60" s="234"/>
      <c r="AK60" s="234"/>
      <c r="AL60" s="234"/>
      <c r="AM60" s="1571"/>
      <c r="AN60" s="1571"/>
      <c r="AO60" s="1571"/>
      <c r="AP60" s="1571"/>
    </row>
    <row r="61" spans="1:42">
      <c r="A61" s="1302">
        <f t="shared" si="2"/>
        <v>45</v>
      </c>
      <c r="B61" s="1571"/>
      <c r="C61" s="1302"/>
      <c r="D61" s="284"/>
      <c r="E61" s="279" t="s">
        <v>443</v>
      </c>
      <c r="F61" s="301"/>
      <c r="G61" s="276"/>
      <c r="H61" s="296"/>
      <c r="I61" s="296"/>
      <c r="J61" s="295"/>
      <c r="K61" s="295"/>
      <c r="L61" s="1571"/>
      <c r="N61" s="1571"/>
      <c r="O61" s="1571"/>
      <c r="P61" s="1571"/>
      <c r="Q61" s="1571"/>
      <c r="R61" s="1571"/>
      <c r="S61" s="1571"/>
      <c r="T61" s="294"/>
      <c r="U61" s="1571"/>
      <c r="V61" s="234"/>
      <c r="W61" s="1571"/>
      <c r="X61" s="1581"/>
      <c r="Y61" s="1571"/>
      <c r="Z61" s="1571"/>
      <c r="AA61" s="1571"/>
      <c r="AB61" s="1571"/>
      <c r="AC61" s="1571"/>
      <c r="AD61" s="1571"/>
      <c r="AE61" s="1571"/>
      <c r="AF61" s="1571"/>
      <c r="AG61" s="1571"/>
      <c r="AH61" s="1571"/>
      <c r="AI61" s="234"/>
      <c r="AJ61" s="234"/>
      <c r="AK61" s="234"/>
      <c r="AL61" s="234"/>
      <c r="AM61" s="1571"/>
      <c r="AN61" s="1571"/>
      <c r="AO61" s="1571"/>
      <c r="AP61" s="1571"/>
    </row>
    <row r="62" spans="1:42">
      <c r="A62" s="1302">
        <f t="shared" si="2"/>
        <v>46</v>
      </c>
      <c r="B62" s="1571"/>
      <c r="C62" s="1302">
        <v>190</v>
      </c>
      <c r="D62" s="279"/>
      <c r="E62" s="302" t="s">
        <v>1892</v>
      </c>
      <c r="F62" s="303">
        <v>-99061</v>
      </c>
      <c r="G62" s="304">
        <v>-100280</v>
      </c>
      <c r="H62" s="304">
        <v>-101498</v>
      </c>
      <c r="I62" s="304">
        <v>-102717</v>
      </c>
      <c r="J62" s="304">
        <v>-103935</v>
      </c>
      <c r="K62" s="304">
        <v>-105154</v>
      </c>
      <c r="L62" s="304">
        <v>-106373</v>
      </c>
      <c r="N62" s="304">
        <v>-106677</v>
      </c>
      <c r="O62" s="304">
        <v>-106982</v>
      </c>
      <c r="P62" s="304">
        <v>-107286</v>
      </c>
      <c r="Q62" s="304">
        <v>-107591</v>
      </c>
      <c r="R62" s="1571"/>
      <c r="S62" s="1571"/>
      <c r="T62" s="294"/>
      <c r="U62" s="1571"/>
      <c r="V62" s="234"/>
      <c r="W62" s="1571"/>
      <c r="X62" s="1581"/>
      <c r="Y62" s="1571"/>
      <c r="Z62" s="1571"/>
      <c r="AA62" s="1571"/>
      <c r="AB62" s="1571"/>
      <c r="AC62" s="1571"/>
      <c r="AD62" s="1571"/>
      <c r="AE62" s="1571"/>
      <c r="AF62" s="1571"/>
      <c r="AG62" s="1571"/>
      <c r="AH62" s="1571"/>
      <c r="AI62" s="234"/>
      <c r="AJ62" s="234"/>
      <c r="AK62" s="234"/>
      <c r="AL62" s="234"/>
      <c r="AM62" s="1571"/>
      <c r="AN62" s="1571"/>
      <c r="AO62" s="1571"/>
      <c r="AP62" s="1571"/>
    </row>
    <row r="63" spans="1:42">
      <c r="A63" s="1302">
        <f t="shared" si="2"/>
        <v>47</v>
      </c>
      <c r="B63" s="1571"/>
      <c r="C63" s="1302">
        <v>282</v>
      </c>
      <c r="D63" s="279"/>
      <c r="E63" s="302" t="s">
        <v>1633</v>
      </c>
      <c r="F63" s="303">
        <v>-2060559</v>
      </c>
      <c r="G63" s="304">
        <v>-2107149</v>
      </c>
      <c r="H63" s="304">
        <v>-2153739</v>
      </c>
      <c r="I63" s="304">
        <v>-2200329</v>
      </c>
      <c r="J63" s="304">
        <v>-2246919</v>
      </c>
      <c r="K63" s="304">
        <v>-2293509</v>
      </c>
      <c r="L63" s="304">
        <v>-2340099</v>
      </c>
      <c r="N63" s="304">
        <v>-2371571</v>
      </c>
      <c r="O63" s="304">
        <v>-2403042</v>
      </c>
      <c r="P63" s="304">
        <v>-2434514</v>
      </c>
      <c r="Q63" s="304">
        <v>-2465986</v>
      </c>
      <c r="R63" s="1571"/>
      <c r="S63" s="1571"/>
      <c r="T63" s="294"/>
      <c r="U63" s="1571"/>
      <c r="V63" s="234"/>
      <c r="W63" s="1571"/>
      <c r="X63" s="1581"/>
      <c r="Y63" s="1571"/>
      <c r="Z63" s="1571"/>
      <c r="AA63" s="1571"/>
      <c r="AB63" s="1571"/>
      <c r="AC63" s="1571"/>
      <c r="AD63" s="1571"/>
      <c r="AE63" s="1571"/>
      <c r="AF63" s="1571"/>
      <c r="AG63" s="1571"/>
      <c r="AH63" s="1571"/>
      <c r="AI63" s="234"/>
      <c r="AJ63" s="234"/>
      <c r="AK63" s="234"/>
      <c r="AL63" s="234"/>
      <c r="AM63" s="1571"/>
      <c r="AN63" s="1571"/>
      <c r="AO63" s="1571"/>
      <c r="AP63" s="1571"/>
    </row>
    <row r="64" spans="1:42">
      <c r="A64" s="1302">
        <f t="shared" si="2"/>
        <v>48</v>
      </c>
      <c r="B64" s="1571"/>
      <c r="C64" s="1302">
        <v>282</v>
      </c>
      <c r="D64" s="279"/>
      <c r="E64" s="302" t="s">
        <v>1893</v>
      </c>
      <c r="F64" s="303">
        <v>-52228465</v>
      </c>
      <c r="G64" s="304">
        <v>-51921943</v>
      </c>
      <c r="H64" s="304">
        <v>-51615421</v>
      </c>
      <c r="I64" s="304">
        <v>-51308899</v>
      </c>
      <c r="J64" s="304">
        <v>-51002377</v>
      </c>
      <c r="K64" s="304">
        <v>-50695855</v>
      </c>
      <c r="L64" s="304">
        <v>-50389333</v>
      </c>
      <c r="N64" s="304">
        <v>-50122992</v>
      </c>
      <c r="O64" s="304">
        <v>-49856651</v>
      </c>
      <c r="P64" s="304">
        <v>-49590310</v>
      </c>
      <c r="Q64" s="304">
        <v>-49323969</v>
      </c>
      <c r="R64" s="1571"/>
      <c r="S64" s="1571"/>
      <c r="T64" s="294"/>
      <c r="U64" s="1571"/>
      <c r="V64" s="234"/>
      <c r="W64" s="1571"/>
      <c r="X64" s="1581"/>
      <c r="Y64" s="1571"/>
      <c r="Z64" s="1571"/>
      <c r="AA64" s="1571"/>
      <c r="AB64" s="1571"/>
      <c r="AC64" s="1571"/>
      <c r="AD64" s="1571"/>
      <c r="AE64" s="1571"/>
      <c r="AF64" s="1571"/>
      <c r="AG64" s="1571"/>
      <c r="AH64" s="1571"/>
      <c r="AI64" s="234"/>
      <c r="AJ64" s="234"/>
      <c r="AK64" s="234"/>
      <c r="AL64" s="234"/>
      <c r="AM64" s="1571"/>
      <c r="AN64" s="1571"/>
      <c r="AO64" s="1571"/>
      <c r="AP64" s="1571"/>
    </row>
    <row r="65" spans="1:42">
      <c r="A65" s="1302">
        <f t="shared" si="2"/>
        <v>49</v>
      </c>
      <c r="B65" s="1571"/>
      <c r="C65" s="1302">
        <v>283</v>
      </c>
      <c r="D65" s="279"/>
      <c r="E65" s="302" t="s">
        <v>1896</v>
      </c>
      <c r="F65" s="2458">
        <v>0</v>
      </c>
      <c r="G65" s="2458">
        <v>0</v>
      </c>
      <c r="H65" s="2458">
        <v>0</v>
      </c>
      <c r="I65" s="2458">
        <v>0</v>
      </c>
      <c r="J65" s="2458">
        <v>0</v>
      </c>
      <c r="K65" s="2458">
        <v>0</v>
      </c>
      <c r="L65" s="2458">
        <v>0</v>
      </c>
      <c r="N65" s="2458">
        <v>0</v>
      </c>
      <c r="O65" s="2458">
        <v>0</v>
      </c>
      <c r="P65" s="2458">
        <v>0</v>
      </c>
      <c r="Q65" s="2458">
        <v>0</v>
      </c>
      <c r="R65" s="1571"/>
      <c r="S65" s="1571"/>
      <c r="T65" s="294"/>
      <c r="U65" s="1571"/>
      <c r="V65" s="234"/>
      <c r="W65" s="1571"/>
      <c r="X65" s="1581"/>
      <c r="Y65" s="1571"/>
      <c r="Z65" s="1571"/>
      <c r="AA65" s="1571"/>
      <c r="AB65" s="1571"/>
      <c r="AC65" s="1571"/>
      <c r="AD65" s="1571"/>
      <c r="AE65" s="1571"/>
      <c r="AF65" s="1571"/>
      <c r="AG65" s="1571"/>
      <c r="AH65" s="1571"/>
      <c r="AI65" s="234"/>
      <c r="AJ65" s="234"/>
      <c r="AK65" s="234"/>
      <c r="AL65" s="234"/>
      <c r="AM65" s="1571"/>
      <c r="AN65" s="1571"/>
      <c r="AO65" s="1571"/>
      <c r="AP65" s="1571"/>
    </row>
    <row r="66" spans="1:42" ht="13.5" thickBot="1">
      <c r="A66" s="1302">
        <f t="shared" si="2"/>
        <v>50</v>
      </c>
      <c r="B66" s="1571"/>
      <c r="C66" s="1302"/>
      <c r="D66" s="279"/>
      <c r="E66" s="279" t="s">
        <v>1897</v>
      </c>
      <c r="F66" s="1306">
        <f t="shared" ref="F66:Q66" si="11">SUM(F62:F65)</f>
        <v>-54388085</v>
      </c>
      <c r="G66" s="1306">
        <f t="shared" si="11"/>
        <v>-54129372</v>
      </c>
      <c r="H66" s="1306">
        <f t="shared" si="11"/>
        <v>-53870658</v>
      </c>
      <c r="I66" s="1306">
        <f t="shared" si="11"/>
        <v>-53611945</v>
      </c>
      <c r="J66" s="1306">
        <f t="shared" si="11"/>
        <v>-53353231</v>
      </c>
      <c r="K66" s="1306">
        <f t="shared" si="11"/>
        <v>-53094518</v>
      </c>
      <c r="L66" s="1306">
        <f t="shared" si="11"/>
        <v>-52835805</v>
      </c>
      <c r="M66" s="1571"/>
      <c r="N66" s="1306">
        <f t="shared" si="11"/>
        <v>-52601240</v>
      </c>
      <c r="O66" s="1306">
        <f t="shared" si="11"/>
        <v>-52366675</v>
      </c>
      <c r="P66" s="1306">
        <f t="shared" si="11"/>
        <v>-52132110</v>
      </c>
      <c r="Q66" s="1306">
        <f t="shared" si="11"/>
        <v>-51897546</v>
      </c>
      <c r="R66" s="1571"/>
      <c r="S66" s="1571"/>
      <c r="T66" s="234"/>
      <c r="U66" s="1571"/>
      <c r="V66" s="234"/>
      <c r="W66" s="1571"/>
      <c r="X66" s="1581"/>
      <c r="Y66" s="1571"/>
      <c r="Z66" s="1571"/>
      <c r="AA66" s="1571"/>
      <c r="AB66" s="1571"/>
      <c r="AC66" s="1571"/>
      <c r="AD66" s="1571"/>
      <c r="AE66" s="1571"/>
      <c r="AF66" s="1571"/>
      <c r="AG66" s="1571"/>
      <c r="AH66" s="1571"/>
      <c r="AI66" s="234"/>
      <c r="AJ66" s="234"/>
      <c r="AK66" s="234"/>
      <c r="AL66" s="234"/>
      <c r="AM66" s="1571"/>
      <c r="AN66" s="1571"/>
      <c r="AO66" s="1571"/>
      <c r="AP66" s="1571"/>
    </row>
    <row r="67" spans="1:42" ht="13.5" thickTop="1">
      <c r="A67" s="1571"/>
      <c r="B67" s="1571"/>
      <c r="C67" s="1302"/>
      <c r="D67" s="279"/>
      <c r="E67" s="279"/>
      <c r="F67" s="301"/>
      <c r="G67" s="301"/>
      <c r="H67" s="301"/>
      <c r="I67" s="301"/>
      <c r="J67" s="301"/>
      <c r="K67" s="301"/>
      <c r="L67" s="1571"/>
      <c r="M67" s="1571"/>
      <c r="N67" s="1571"/>
      <c r="O67" s="1571"/>
      <c r="P67" s="1571"/>
      <c r="Q67" s="1571"/>
      <c r="R67" s="1571"/>
      <c r="S67" s="1571"/>
      <c r="T67" s="234"/>
      <c r="U67" s="1571"/>
      <c r="V67" s="234"/>
      <c r="W67" s="1571"/>
      <c r="X67" s="1581"/>
      <c r="Y67" s="1571"/>
      <c r="Z67" s="1571"/>
      <c r="AA67" s="1571"/>
      <c r="AB67" s="1571"/>
      <c r="AC67" s="1571"/>
      <c r="AD67" s="1571"/>
      <c r="AE67" s="1571"/>
      <c r="AF67" s="1571"/>
      <c r="AG67" s="1571"/>
      <c r="AH67" s="1571"/>
      <c r="AI67" s="234"/>
      <c r="AJ67" s="234"/>
      <c r="AK67" s="234"/>
      <c r="AL67" s="234"/>
      <c r="AM67" s="1571"/>
      <c r="AN67" s="1571"/>
      <c r="AO67" s="1571"/>
      <c r="AP67" s="1571"/>
    </row>
    <row r="68" spans="1:42">
      <c r="A68" s="284"/>
      <c r="B68" s="284"/>
      <c r="C68" s="284"/>
      <c r="D68" s="284"/>
      <c r="E68" s="284"/>
      <c r="F68" s="284"/>
      <c r="G68" s="284"/>
      <c r="H68" s="284"/>
      <c r="I68" s="284"/>
      <c r="J68" s="284"/>
      <c r="K68" s="284"/>
      <c r="L68" s="284"/>
      <c r="M68" s="284"/>
      <c r="N68" s="284"/>
      <c r="O68" s="284"/>
      <c r="P68" s="284"/>
      <c r="Q68" s="284"/>
      <c r="R68" s="284"/>
      <c r="S68" s="284"/>
      <c r="T68" s="284"/>
      <c r="U68" s="1571"/>
      <c r="V68" s="234"/>
      <c r="W68" s="1571"/>
      <c r="X68" s="1581"/>
      <c r="Y68" s="1571"/>
      <c r="Z68" s="1571"/>
      <c r="AA68" s="1571"/>
      <c r="AB68" s="1571"/>
      <c r="AC68" s="1571"/>
      <c r="AD68" s="1571"/>
      <c r="AE68" s="1571"/>
      <c r="AF68" s="1571"/>
      <c r="AG68" s="1571"/>
      <c r="AH68" s="1571"/>
      <c r="AI68" s="234"/>
      <c r="AJ68" s="234"/>
      <c r="AK68" s="234"/>
      <c r="AL68" s="234"/>
      <c r="AM68" s="1571"/>
      <c r="AN68" s="1571"/>
      <c r="AO68" s="1571"/>
      <c r="AP68" s="1571"/>
    </row>
    <row r="69" spans="1:42">
      <c r="A69" s="277" t="str">
        <f>COMPANY</f>
        <v>DUKE ENERGY KENTUCKY, INC.</v>
      </c>
      <c r="B69" s="278"/>
      <c r="C69" s="279"/>
      <c r="D69" s="278"/>
      <c r="E69" s="278"/>
      <c r="F69" s="278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278"/>
      <c r="R69" s="278"/>
      <c r="S69" s="280" t="s">
        <v>1875</v>
      </c>
      <c r="T69" s="1571"/>
      <c r="U69" s="1571"/>
      <c r="V69" s="234"/>
      <c r="W69" s="1571"/>
      <c r="X69" s="1581"/>
      <c r="Y69" s="1571"/>
      <c r="Z69" s="1571"/>
      <c r="AA69" s="1571"/>
      <c r="AB69" s="1571"/>
      <c r="AC69" s="1571"/>
      <c r="AD69" s="1571"/>
      <c r="AE69" s="1571"/>
      <c r="AF69" s="1571"/>
      <c r="AG69" s="1571"/>
      <c r="AH69" s="1571"/>
      <c r="AI69" s="234"/>
      <c r="AJ69" s="234"/>
      <c r="AK69" s="234"/>
      <c r="AL69" s="234"/>
      <c r="AM69" s="1571"/>
      <c r="AN69" s="1571"/>
      <c r="AO69" s="1571"/>
      <c r="AP69" s="1571"/>
    </row>
    <row r="70" spans="1:42">
      <c r="A70" s="277" t="str">
        <f>CASE</f>
        <v>CASE NO. 2017-00321</v>
      </c>
      <c r="B70" s="278"/>
      <c r="C70" s="279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278"/>
      <c r="P70" s="278"/>
      <c r="Q70" s="278"/>
      <c r="R70" s="278"/>
      <c r="S70" s="280" t="s">
        <v>622</v>
      </c>
      <c r="T70" s="1571"/>
      <c r="U70" s="1571"/>
      <c r="V70" s="234"/>
      <c r="W70" s="1571"/>
      <c r="X70" s="1581"/>
      <c r="Y70" s="1571"/>
      <c r="Z70" s="1571"/>
      <c r="AA70" s="1571"/>
      <c r="AB70" s="1571"/>
      <c r="AC70" s="1571"/>
      <c r="AD70" s="1571"/>
      <c r="AE70" s="1571"/>
      <c r="AF70" s="1571"/>
      <c r="AG70" s="1571"/>
      <c r="AH70" s="1571"/>
      <c r="AI70" s="234"/>
      <c r="AJ70" s="234"/>
      <c r="AK70" s="234"/>
      <c r="AL70" s="234"/>
      <c r="AM70" s="1571"/>
      <c r="AN70" s="1571"/>
      <c r="AO70" s="1571"/>
      <c r="AP70" s="1571"/>
    </row>
    <row r="71" spans="1:42">
      <c r="A71" s="277" t="str">
        <f>A3</f>
        <v>CERTAIN DEFERRED CREDITS AND ACCUMULATED DEFERRED INCOME TAXES</v>
      </c>
      <c r="B71" s="278"/>
      <c r="C71" s="279"/>
      <c r="D71" s="278"/>
      <c r="E71" s="278"/>
      <c r="F71" s="278"/>
      <c r="G71" s="278"/>
      <c r="H71" s="278"/>
      <c r="I71" s="278"/>
      <c r="J71" s="278"/>
      <c r="K71" s="278"/>
      <c r="L71" s="278"/>
      <c r="M71" s="278"/>
      <c r="N71" s="278"/>
      <c r="O71" s="278"/>
      <c r="P71" s="278"/>
      <c r="Q71" s="278"/>
      <c r="R71" s="278"/>
      <c r="S71" s="280" t="str">
        <f>_WIT3</f>
        <v>L. M. BELLUCCI</v>
      </c>
      <c r="T71" s="1571"/>
      <c r="U71" s="1571"/>
      <c r="V71" s="234"/>
      <c r="W71" s="1571"/>
      <c r="X71" s="1581"/>
      <c r="Y71" s="1571"/>
      <c r="Z71" s="1571"/>
      <c r="AA71" s="1571"/>
      <c r="AB71" s="1571"/>
      <c r="AC71" s="1571"/>
      <c r="AD71" s="1571"/>
      <c r="AE71" s="1571"/>
      <c r="AF71" s="1571"/>
      <c r="AG71" s="1571"/>
      <c r="AH71" s="1571"/>
      <c r="AI71" s="234"/>
      <c r="AJ71" s="234"/>
      <c r="AK71" s="234"/>
      <c r="AL71" s="234"/>
      <c r="AM71" s="1571"/>
      <c r="AN71" s="1571"/>
      <c r="AO71" s="1571"/>
      <c r="AP71" s="1571"/>
    </row>
    <row r="72" spans="1:42">
      <c r="A72" s="277" t="str">
        <f>DataF</f>
        <v>DATA:  BASE PERIOD  "X" FORECASTED PERIOD</v>
      </c>
      <c r="B72" s="278"/>
      <c r="C72" s="279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8"/>
      <c r="P72" s="278"/>
      <c r="Q72" s="278"/>
      <c r="R72" s="278"/>
      <c r="S72" s="278"/>
      <c r="T72" s="279"/>
      <c r="U72" s="1571"/>
      <c r="V72" s="234"/>
      <c r="W72" s="1571"/>
      <c r="X72" s="1581"/>
      <c r="Y72" s="1571"/>
      <c r="Z72" s="1571"/>
      <c r="AA72" s="1571"/>
      <c r="AB72" s="1571"/>
      <c r="AC72" s="1571"/>
      <c r="AD72" s="1571"/>
      <c r="AE72" s="1571"/>
      <c r="AF72" s="1571"/>
      <c r="AG72" s="1571"/>
      <c r="AH72" s="1571"/>
      <c r="AI72" s="234"/>
      <c r="AJ72" s="234"/>
      <c r="AK72" s="234"/>
      <c r="AL72" s="234"/>
      <c r="AM72" s="1571"/>
      <c r="AN72" s="1571"/>
      <c r="AO72" s="1571"/>
      <c r="AP72" s="1571"/>
    </row>
    <row r="73" spans="1:42">
      <c r="A73" s="174" t="s">
        <v>1610</v>
      </c>
      <c r="B73" s="278"/>
      <c r="C73" s="278"/>
      <c r="D73" s="278"/>
      <c r="E73" s="278"/>
      <c r="F73" s="278"/>
      <c r="G73" s="307"/>
      <c r="H73" s="307"/>
      <c r="I73" s="307"/>
      <c r="J73" s="307"/>
      <c r="K73" s="307"/>
      <c r="L73" s="307"/>
      <c r="M73" s="307"/>
      <c r="N73" s="307"/>
      <c r="O73" s="307"/>
      <c r="P73" s="307"/>
      <c r="Q73" s="307"/>
      <c r="R73" s="307"/>
      <c r="S73" s="278"/>
      <c r="T73" s="278"/>
      <c r="U73" s="1571"/>
      <c r="V73" s="234"/>
      <c r="W73" s="1571"/>
      <c r="X73" s="1581"/>
      <c r="Y73" s="1571"/>
      <c r="Z73" s="1571"/>
      <c r="AA73" s="1571"/>
      <c r="AB73" s="1571"/>
      <c r="AC73" s="1571"/>
      <c r="AD73" s="1571"/>
      <c r="AE73" s="1571"/>
      <c r="AF73" s="1571"/>
      <c r="AG73" s="1571"/>
      <c r="AH73" s="1571"/>
      <c r="AI73" s="234"/>
      <c r="AJ73" s="234"/>
      <c r="AK73" s="234"/>
      <c r="AL73" s="234"/>
      <c r="AM73" s="1571"/>
      <c r="AN73" s="1571"/>
      <c r="AO73" s="1571"/>
      <c r="AP73" s="1571"/>
    </row>
    <row r="74" spans="1:42">
      <c r="A74" s="283"/>
      <c r="B74" s="278"/>
      <c r="C74" s="278"/>
      <c r="D74" s="278"/>
      <c r="E74" s="278"/>
      <c r="F74" s="278"/>
      <c r="G74" s="307"/>
      <c r="H74" s="307"/>
      <c r="I74" s="307"/>
      <c r="J74" s="307"/>
      <c r="K74" s="307"/>
      <c r="L74" s="307"/>
      <c r="M74" s="307"/>
      <c r="N74" s="307"/>
      <c r="O74" s="307"/>
      <c r="P74" s="307"/>
      <c r="Q74" s="307"/>
      <c r="R74" s="307"/>
      <c r="S74" s="278"/>
      <c r="T74" s="278"/>
      <c r="U74" s="1571"/>
      <c r="V74" s="234"/>
      <c r="W74" s="1571"/>
      <c r="X74" s="1581"/>
      <c r="Y74" s="1571"/>
      <c r="Z74" s="1571"/>
      <c r="AA74" s="1571"/>
      <c r="AB74" s="1571"/>
      <c r="AC74" s="1571"/>
      <c r="AD74" s="1571"/>
      <c r="AE74" s="1571"/>
      <c r="AF74" s="1571"/>
      <c r="AG74" s="1571"/>
      <c r="AH74" s="1571"/>
      <c r="AI74" s="234"/>
      <c r="AJ74" s="234"/>
      <c r="AK74" s="234"/>
      <c r="AL74" s="234"/>
      <c r="AM74" s="1571"/>
      <c r="AN74" s="1571"/>
      <c r="AO74" s="1571"/>
      <c r="AP74" s="1571"/>
    </row>
    <row r="75" spans="1:42">
      <c r="A75" s="279"/>
      <c r="B75" s="279"/>
      <c r="C75" s="279"/>
      <c r="D75" s="279"/>
      <c r="E75" s="279"/>
      <c r="F75" s="279"/>
      <c r="G75" s="307"/>
      <c r="H75" s="307"/>
      <c r="I75" s="307"/>
      <c r="J75" s="307"/>
      <c r="K75" s="307"/>
      <c r="L75" s="307"/>
      <c r="M75" s="307"/>
      <c r="N75" s="307"/>
      <c r="O75" s="307"/>
      <c r="P75" s="307"/>
      <c r="Q75" s="307"/>
      <c r="R75" s="307"/>
      <c r="S75" s="279"/>
      <c r="T75" s="1302"/>
      <c r="U75" s="1571"/>
      <c r="V75" s="234"/>
      <c r="W75" s="1571"/>
      <c r="X75" s="1581"/>
      <c r="Y75" s="1571"/>
      <c r="Z75" s="1571"/>
      <c r="AA75" s="1571"/>
      <c r="AB75" s="1571"/>
      <c r="AC75" s="1571"/>
      <c r="AD75" s="1571"/>
      <c r="AE75" s="1571"/>
      <c r="AF75" s="1571"/>
      <c r="AG75" s="1571"/>
      <c r="AH75" s="1571"/>
      <c r="AI75" s="234"/>
      <c r="AJ75" s="234"/>
      <c r="AK75" s="234"/>
      <c r="AL75" s="234"/>
      <c r="AM75" s="1571"/>
      <c r="AN75" s="1571"/>
      <c r="AO75" s="1571"/>
      <c r="AP75" s="1571"/>
    </row>
    <row r="76" spans="1:42">
      <c r="A76" s="286"/>
      <c r="B76" s="286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308"/>
      <c r="Q76" s="308"/>
      <c r="R76" s="286"/>
      <c r="S76" s="279"/>
      <c r="T76" s="1302"/>
      <c r="U76" s="1571"/>
      <c r="V76" s="234"/>
      <c r="W76" s="1571"/>
      <c r="X76" s="1581"/>
      <c r="Y76" s="1571"/>
      <c r="Z76" s="1571"/>
      <c r="AA76" s="1571"/>
      <c r="AB76" s="1571"/>
      <c r="AC76" s="1571"/>
      <c r="AD76" s="1571"/>
      <c r="AE76" s="1571"/>
      <c r="AF76" s="1571"/>
      <c r="AG76" s="1571"/>
      <c r="AH76" s="1571"/>
      <c r="AI76" s="234"/>
      <c r="AJ76" s="234"/>
      <c r="AK76" s="234"/>
      <c r="AL76" s="234"/>
      <c r="AM76" s="1571"/>
      <c r="AN76" s="1571"/>
      <c r="AO76" s="1571"/>
      <c r="AP76" s="1571"/>
    </row>
    <row r="77" spans="1:42">
      <c r="A77" s="279"/>
      <c r="B77" s="279"/>
      <c r="C77" s="279"/>
      <c r="D77" s="279"/>
      <c r="E77" s="279"/>
      <c r="F77" s="1302"/>
      <c r="G77" s="1302"/>
      <c r="H77" s="1302"/>
      <c r="I77" s="1302"/>
      <c r="J77" s="1302"/>
      <c r="K77" s="1302"/>
      <c r="L77" s="1302"/>
      <c r="M77" s="1302"/>
      <c r="N77" s="1302"/>
      <c r="O77" s="1302"/>
      <c r="P77" s="1302"/>
      <c r="Q77" s="1302"/>
      <c r="R77" s="279"/>
      <c r="S77" s="309"/>
      <c r="T77" s="310"/>
      <c r="U77" s="1571"/>
      <c r="V77" s="234"/>
      <c r="W77" s="1571"/>
      <c r="X77" s="1581"/>
      <c r="Y77" s="1571"/>
      <c r="Z77" s="1571"/>
      <c r="AA77" s="1571"/>
      <c r="AB77" s="1571"/>
      <c r="AC77" s="1571"/>
      <c r="AD77" s="1571"/>
      <c r="AE77" s="1571"/>
      <c r="AF77" s="1571"/>
      <c r="AG77" s="1571"/>
      <c r="AH77" s="1571"/>
      <c r="AI77" s="234"/>
      <c r="AJ77" s="234"/>
      <c r="AK77" s="234"/>
      <c r="AL77" s="234"/>
      <c r="AM77" s="1571"/>
      <c r="AN77" s="1571"/>
      <c r="AO77" s="1571"/>
      <c r="AP77" s="1571"/>
    </row>
    <row r="78" spans="1:42">
      <c r="A78" s="288" t="s">
        <v>1961</v>
      </c>
      <c r="B78" s="279"/>
      <c r="C78" s="288" t="s">
        <v>1080</v>
      </c>
      <c r="D78" s="278"/>
      <c r="E78" s="279"/>
      <c r="F78" s="1303" t="s">
        <v>230</v>
      </c>
      <c r="G78" s="1561" t="s">
        <v>233</v>
      </c>
      <c r="H78" s="1303" t="s">
        <v>444</v>
      </c>
      <c r="I78" s="1561" t="s">
        <v>445</v>
      </c>
      <c r="J78" s="1303" t="s">
        <v>446</v>
      </c>
      <c r="K78" s="1561" t="s">
        <v>447</v>
      </c>
      <c r="L78" s="1303" t="s">
        <v>448</v>
      </c>
      <c r="M78" s="1561" t="s">
        <v>226</v>
      </c>
      <c r="N78" s="1303" t="s">
        <v>227</v>
      </c>
      <c r="O78" s="1561" t="s">
        <v>228</v>
      </c>
      <c r="P78" s="1303" t="s">
        <v>1632</v>
      </c>
      <c r="Q78" s="1561" t="s">
        <v>229</v>
      </c>
      <c r="R78" s="1303" t="s">
        <v>230</v>
      </c>
      <c r="S78" s="1302"/>
      <c r="T78" s="1302" t="s">
        <v>231</v>
      </c>
      <c r="U78" s="1571"/>
      <c r="V78" s="234"/>
      <c r="W78" s="1571"/>
      <c r="X78" s="1581"/>
      <c r="Y78" s="1571"/>
      <c r="Z78" s="1571"/>
      <c r="AA78" s="1571"/>
      <c r="AB78" s="1571"/>
      <c r="AC78" s="1571"/>
      <c r="AD78" s="1571"/>
      <c r="AE78" s="1571"/>
      <c r="AF78" s="1571"/>
      <c r="AG78" s="1571"/>
      <c r="AH78" s="1571"/>
      <c r="AI78" s="234"/>
      <c r="AJ78" s="234"/>
      <c r="AK78" s="234"/>
      <c r="AL78" s="234"/>
      <c r="AM78" s="1571"/>
      <c r="AN78" s="1571"/>
      <c r="AO78" s="1571"/>
      <c r="AP78" s="1571"/>
    </row>
    <row r="79" spans="1:42">
      <c r="A79" s="288" t="s">
        <v>1854</v>
      </c>
      <c r="B79" s="279"/>
      <c r="C79" s="288" t="s">
        <v>1703</v>
      </c>
      <c r="D79" s="278"/>
      <c r="E79" s="278" t="s">
        <v>566</v>
      </c>
      <c r="F79" s="1562">
        <v>2018</v>
      </c>
      <c r="G79" s="1562">
        <f>$F$13+1</f>
        <v>2018</v>
      </c>
      <c r="H79" s="1562">
        <f t="shared" ref="H79:P79" si="12">$F$13+1</f>
        <v>2018</v>
      </c>
      <c r="I79" s="1562">
        <f t="shared" si="12"/>
        <v>2018</v>
      </c>
      <c r="J79" s="1562">
        <f t="shared" si="12"/>
        <v>2018</v>
      </c>
      <c r="K79" s="1562">
        <f t="shared" si="12"/>
        <v>2018</v>
      </c>
      <c r="L79" s="1562">
        <f t="shared" si="12"/>
        <v>2018</v>
      </c>
      <c r="M79" s="1562">
        <f t="shared" si="12"/>
        <v>2018</v>
      </c>
      <c r="N79" s="1562">
        <f t="shared" si="12"/>
        <v>2018</v>
      </c>
      <c r="O79" s="1562">
        <f>$F$13+2</f>
        <v>2019</v>
      </c>
      <c r="P79" s="1562">
        <f t="shared" si="12"/>
        <v>2018</v>
      </c>
      <c r="Q79" s="1562">
        <f>$F$13+2</f>
        <v>2019</v>
      </c>
      <c r="R79" s="1562">
        <f>$F$13+2</f>
        <v>2019</v>
      </c>
      <c r="S79" s="311" t="s">
        <v>1035</v>
      </c>
      <c r="T79" s="1302" t="s">
        <v>232</v>
      </c>
      <c r="U79" s="1571"/>
      <c r="V79" s="234"/>
      <c r="W79" s="1571"/>
      <c r="X79" s="1581"/>
      <c r="Y79" s="1571"/>
      <c r="Z79" s="1571"/>
      <c r="AA79" s="1571"/>
      <c r="AB79" s="1571"/>
      <c r="AC79" s="1571"/>
      <c r="AD79" s="1571"/>
      <c r="AE79" s="1571"/>
      <c r="AF79" s="1571"/>
      <c r="AG79" s="1571"/>
      <c r="AH79" s="1571"/>
      <c r="AI79" s="234"/>
      <c r="AJ79" s="234"/>
      <c r="AK79" s="234"/>
      <c r="AL79" s="234"/>
      <c r="AM79" s="1571"/>
      <c r="AN79" s="1571"/>
      <c r="AO79" s="1571"/>
      <c r="AP79" s="1571"/>
    </row>
    <row r="80" spans="1:42">
      <c r="A80" s="286"/>
      <c r="B80" s="286"/>
      <c r="C80" s="286"/>
      <c r="D80" s="286"/>
      <c r="E80" s="286"/>
      <c r="F80" s="290"/>
      <c r="G80" s="290"/>
      <c r="H80" s="290"/>
      <c r="I80" s="290"/>
      <c r="J80" s="290"/>
      <c r="K80" s="290"/>
      <c r="L80" s="290"/>
      <c r="M80" s="290"/>
      <c r="N80" s="290"/>
      <c r="O80" s="290"/>
      <c r="P80" s="290"/>
      <c r="Q80" s="290"/>
      <c r="R80" s="286"/>
      <c r="S80" s="279"/>
      <c r="T80" s="1302"/>
      <c r="U80" s="1571"/>
      <c r="V80" s="234"/>
      <c r="W80" s="1571"/>
      <c r="X80" s="1581"/>
      <c r="Y80" s="1571"/>
      <c r="Z80" s="1571"/>
      <c r="AA80" s="1571"/>
      <c r="AB80" s="1571"/>
      <c r="AC80" s="1571"/>
      <c r="AD80" s="1571"/>
      <c r="AE80" s="1571"/>
      <c r="AF80" s="1571"/>
      <c r="AG80" s="1571"/>
      <c r="AH80" s="1571"/>
      <c r="AI80" s="234"/>
      <c r="AJ80" s="234"/>
      <c r="AK80" s="234"/>
      <c r="AL80" s="234"/>
      <c r="AM80" s="1571"/>
      <c r="AN80" s="1571"/>
      <c r="AO80" s="1571"/>
      <c r="AP80" s="1571"/>
    </row>
    <row r="81" spans="1:42">
      <c r="A81" s="279"/>
      <c r="B81" s="279"/>
      <c r="C81" s="279"/>
      <c r="D81" s="279"/>
      <c r="E81" s="279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2"/>
      <c r="Q81" s="292"/>
      <c r="R81" s="284"/>
      <c r="S81" s="309"/>
      <c r="T81" s="310"/>
      <c r="U81" s="1571"/>
      <c r="V81" s="234"/>
      <c r="W81" s="1571"/>
      <c r="X81" s="1581"/>
      <c r="Y81" s="1571"/>
      <c r="Z81" s="1571"/>
      <c r="AA81" s="1571"/>
      <c r="AB81" s="1571"/>
      <c r="AC81" s="1571"/>
      <c r="AD81" s="1571"/>
      <c r="AE81" s="1571"/>
      <c r="AF81" s="1571"/>
      <c r="AG81" s="1571"/>
      <c r="AH81" s="1571"/>
      <c r="AI81" s="234"/>
      <c r="AJ81" s="234"/>
      <c r="AK81" s="234"/>
      <c r="AL81" s="234"/>
      <c r="AM81" s="1571"/>
      <c r="AN81" s="1571"/>
      <c r="AO81" s="1571"/>
      <c r="AP81" s="1571"/>
    </row>
    <row r="82" spans="1:42">
      <c r="A82" s="1302">
        <v>1</v>
      </c>
      <c r="B82" s="279"/>
      <c r="C82" s="293" t="s">
        <v>1870</v>
      </c>
      <c r="D82" s="284"/>
      <c r="E82" s="279"/>
      <c r="F82" s="295"/>
      <c r="G82" s="295"/>
      <c r="H82" s="295"/>
      <c r="I82" s="295"/>
      <c r="J82" s="295"/>
      <c r="K82" s="295"/>
      <c r="L82" s="295"/>
      <c r="M82" s="295"/>
      <c r="N82" s="295"/>
      <c r="O82" s="295"/>
      <c r="P82" s="296"/>
      <c r="Q82" s="296"/>
      <c r="R82" s="295"/>
      <c r="S82" s="279"/>
      <c r="T82" s="1302"/>
      <c r="U82" s="1571"/>
      <c r="V82" s="234"/>
      <c r="W82" s="1571"/>
      <c r="X82" s="1581"/>
      <c r="Y82" s="1571"/>
      <c r="Z82" s="1571"/>
      <c r="AA82" s="1571"/>
      <c r="AB82" s="1571"/>
      <c r="AC82" s="1571"/>
      <c r="AD82" s="1571"/>
      <c r="AE82" s="1571"/>
      <c r="AF82" s="1571"/>
      <c r="AG82" s="1571"/>
      <c r="AH82" s="1571"/>
      <c r="AI82" s="234"/>
      <c r="AJ82" s="234"/>
      <c r="AK82" s="234"/>
      <c r="AL82" s="234"/>
      <c r="AM82" s="1571"/>
      <c r="AN82" s="1571"/>
      <c r="AO82" s="1571"/>
      <c r="AP82" s="1571"/>
    </row>
    <row r="83" spans="1:42" ht="13.5" thickBot="1">
      <c r="A83" s="1302">
        <f>1+A82</f>
        <v>2</v>
      </c>
      <c r="B83" s="279"/>
      <c r="C83" s="1302">
        <v>252050</v>
      </c>
      <c r="D83" s="284"/>
      <c r="E83" s="279" t="s">
        <v>543</v>
      </c>
      <c r="F83" s="275">
        <f>Q17</f>
        <v>-1492412</v>
      </c>
      <c r="G83" s="275">
        <f>F83</f>
        <v>-1492412</v>
      </c>
      <c r="H83" s="275">
        <f t="shared" ref="H83:R83" si="13">G83</f>
        <v>-1492412</v>
      </c>
      <c r="I83" s="275">
        <f t="shared" si="13"/>
        <v>-1492412</v>
      </c>
      <c r="J83" s="275">
        <f t="shared" si="13"/>
        <v>-1492412</v>
      </c>
      <c r="K83" s="275">
        <f t="shared" si="13"/>
        <v>-1492412</v>
      </c>
      <c r="L83" s="275">
        <f t="shared" si="13"/>
        <v>-1492412</v>
      </c>
      <c r="M83" s="275">
        <f t="shared" si="13"/>
        <v>-1492412</v>
      </c>
      <c r="N83" s="275">
        <f t="shared" si="13"/>
        <v>-1492412</v>
      </c>
      <c r="O83" s="275">
        <f t="shared" si="13"/>
        <v>-1492412</v>
      </c>
      <c r="P83" s="275">
        <f t="shared" si="13"/>
        <v>-1492412</v>
      </c>
      <c r="Q83" s="275">
        <f t="shared" si="13"/>
        <v>-1492412</v>
      </c>
      <c r="R83" s="275">
        <f t="shared" si="13"/>
        <v>-1492412</v>
      </c>
      <c r="S83" s="275">
        <f>SUM(F83:R83)</f>
        <v>-19401356</v>
      </c>
      <c r="T83" s="275">
        <f>ROUND(S83/13,0)</f>
        <v>-1492412</v>
      </c>
      <c r="U83" s="1571"/>
      <c r="V83" s="234"/>
      <c r="W83" s="1571"/>
      <c r="X83" s="1581"/>
      <c r="Y83" s="1571"/>
      <c r="Z83" s="1571"/>
      <c r="AA83" s="1571"/>
      <c r="AB83" s="1571"/>
      <c r="AC83" s="1571"/>
      <c r="AD83" s="1571"/>
      <c r="AE83" s="1571"/>
      <c r="AF83" s="1571"/>
      <c r="AG83" s="1571"/>
      <c r="AH83" s="1571"/>
      <c r="AI83" s="234"/>
      <c r="AJ83" s="234"/>
      <c r="AK83" s="234"/>
      <c r="AL83" s="234"/>
      <c r="AM83" s="1571"/>
      <c r="AN83" s="1571"/>
      <c r="AO83" s="1571"/>
      <c r="AP83" s="1571"/>
    </row>
    <row r="84" spans="1:42" ht="13.5" thickTop="1">
      <c r="A84" s="1302">
        <f t="shared" ref="A84:A93" si="14">1+A83</f>
        <v>3</v>
      </c>
      <c r="B84" s="279"/>
      <c r="C84" s="1302"/>
      <c r="D84" s="284"/>
      <c r="E84" s="279"/>
      <c r="F84" s="295"/>
      <c r="G84" s="295"/>
      <c r="H84" s="295"/>
      <c r="I84" s="295"/>
      <c r="J84" s="295"/>
      <c r="K84" s="295"/>
      <c r="L84" s="295"/>
      <c r="M84" s="295"/>
      <c r="N84" s="295"/>
      <c r="O84" s="295"/>
      <c r="P84" s="296"/>
      <c r="Q84" s="296"/>
      <c r="R84" s="295"/>
      <c r="S84" s="295"/>
      <c r="T84" s="295"/>
      <c r="U84" s="1571"/>
      <c r="V84" s="234"/>
      <c r="W84" s="1571"/>
      <c r="X84" s="1581"/>
      <c r="Y84" s="1571"/>
      <c r="Z84" s="1571"/>
      <c r="AA84" s="1571"/>
      <c r="AB84" s="1571"/>
      <c r="AC84" s="1571"/>
      <c r="AD84" s="1571"/>
      <c r="AE84" s="1571"/>
      <c r="AF84" s="1571"/>
      <c r="AG84" s="1571"/>
      <c r="AH84" s="1571"/>
      <c r="AI84" s="234"/>
      <c r="AJ84" s="234"/>
      <c r="AK84" s="234"/>
      <c r="AL84" s="234"/>
      <c r="AM84" s="1571"/>
      <c r="AN84" s="1571"/>
      <c r="AO84" s="1571"/>
      <c r="AP84" s="1571"/>
    </row>
    <row r="85" spans="1:42">
      <c r="A85" s="1302">
        <f t="shared" si="14"/>
        <v>4</v>
      </c>
      <c r="B85" s="279"/>
      <c r="C85" s="1302">
        <v>255</v>
      </c>
      <c r="D85" s="284"/>
      <c r="E85" s="279" t="s">
        <v>1398</v>
      </c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6"/>
      <c r="Q85" s="296"/>
      <c r="R85" s="295"/>
      <c r="S85" s="295"/>
      <c r="T85" s="295"/>
      <c r="U85" s="1571"/>
      <c r="V85" s="234"/>
      <c r="W85" s="1571"/>
      <c r="X85" s="1581"/>
      <c r="Y85" s="1571"/>
      <c r="Z85" s="1571"/>
      <c r="AA85" s="1571"/>
      <c r="AB85" s="1571"/>
      <c r="AC85" s="1571"/>
      <c r="AD85" s="1571"/>
      <c r="AE85" s="1571"/>
      <c r="AF85" s="1571"/>
      <c r="AG85" s="1571"/>
      <c r="AH85" s="1571"/>
      <c r="AI85" s="234"/>
      <c r="AJ85" s="234"/>
      <c r="AK85" s="234"/>
      <c r="AL85" s="234"/>
      <c r="AM85" s="1571"/>
      <c r="AN85" s="1571"/>
      <c r="AO85" s="1571"/>
      <c r="AP85" s="1571"/>
    </row>
    <row r="86" spans="1:42">
      <c r="A86" s="1302">
        <f t="shared" si="14"/>
        <v>5</v>
      </c>
      <c r="B86" s="279"/>
      <c r="C86" s="1571"/>
      <c r="D86" s="284"/>
      <c r="E86" s="299" t="s">
        <v>297</v>
      </c>
      <c r="F86" s="294">
        <f>Q20</f>
        <v>0</v>
      </c>
      <c r="G86" s="300">
        <v>0</v>
      </c>
      <c r="H86" s="300">
        <v>0</v>
      </c>
      <c r="I86" s="300">
        <v>0</v>
      </c>
      <c r="J86" s="300">
        <v>0</v>
      </c>
      <c r="K86" s="300">
        <v>0</v>
      </c>
      <c r="L86" s="300">
        <v>0</v>
      </c>
      <c r="M86" s="300">
        <v>0</v>
      </c>
      <c r="N86" s="300">
        <v>0</v>
      </c>
      <c r="O86" s="300">
        <v>0</v>
      </c>
      <c r="P86" s="300">
        <v>0</v>
      </c>
      <c r="Q86" s="300">
        <v>0</v>
      </c>
      <c r="R86" s="300">
        <v>0</v>
      </c>
      <c r="S86" s="295">
        <f>SUM(F86:R86)</f>
        <v>0</v>
      </c>
      <c r="T86" s="295">
        <f>ROUND(S86/13,0)</f>
        <v>0</v>
      </c>
      <c r="U86" s="1571"/>
      <c r="V86" s="234"/>
      <c r="W86" s="1571"/>
      <c r="X86" s="1581"/>
      <c r="Y86" s="1571"/>
      <c r="Z86" s="1571"/>
      <c r="AA86" s="1571"/>
      <c r="AB86" s="1571"/>
      <c r="AC86" s="1571"/>
      <c r="AD86" s="1571"/>
      <c r="AE86" s="1571"/>
      <c r="AF86" s="1571"/>
      <c r="AG86" s="1571"/>
      <c r="AH86" s="1571"/>
      <c r="AI86" s="234"/>
      <c r="AJ86" s="234"/>
      <c r="AK86" s="234"/>
      <c r="AL86" s="234"/>
      <c r="AM86" s="1571"/>
      <c r="AN86" s="1571"/>
      <c r="AO86" s="1571"/>
      <c r="AP86" s="1571"/>
    </row>
    <row r="87" spans="1:42">
      <c r="A87" s="1302">
        <f t="shared" si="14"/>
        <v>6</v>
      </c>
      <c r="B87" s="279"/>
      <c r="C87" s="1302"/>
      <c r="D87" s="284"/>
      <c r="E87" s="299" t="s">
        <v>299</v>
      </c>
      <c r="F87" s="294">
        <f>Q21</f>
        <v>-9053</v>
      </c>
      <c r="G87" s="300">
        <v>-8777</v>
      </c>
      <c r="H87" s="300">
        <v>-8501</v>
      </c>
      <c r="I87" s="300">
        <v>-8225</v>
      </c>
      <c r="J87" s="300">
        <v>-7949</v>
      </c>
      <c r="K87" s="300">
        <v>-7673</v>
      </c>
      <c r="L87" s="300">
        <v>-7397</v>
      </c>
      <c r="M87" s="300">
        <v>-7121</v>
      </c>
      <c r="N87" s="300">
        <v>-6845</v>
      </c>
      <c r="O87" s="300">
        <v>-6569</v>
      </c>
      <c r="P87" s="300">
        <v>-6391</v>
      </c>
      <c r="Q87" s="300">
        <v>-6213</v>
      </c>
      <c r="R87" s="300">
        <v>-6035</v>
      </c>
      <c r="S87" s="295">
        <f>SUM(F87:R87)</f>
        <v>-96749</v>
      </c>
      <c r="T87" s="295">
        <f>ROUND(S87/13,0)</f>
        <v>-7442</v>
      </c>
      <c r="U87" s="1571"/>
      <c r="V87" s="234"/>
      <c r="W87" s="1571"/>
      <c r="X87" s="1581"/>
      <c r="Y87" s="1571"/>
      <c r="Z87" s="1571"/>
      <c r="AA87" s="1571"/>
      <c r="AB87" s="1571"/>
      <c r="AC87" s="1571"/>
      <c r="AD87" s="1571"/>
      <c r="AE87" s="1571"/>
      <c r="AF87" s="1571"/>
      <c r="AG87" s="1571"/>
      <c r="AH87" s="1571"/>
      <c r="AI87" s="234"/>
      <c r="AJ87" s="234"/>
      <c r="AK87" s="234"/>
      <c r="AL87" s="234"/>
      <c r="AM87" s="1571"/>
      <c r="AN87" s="1571"/>
      <c r="AO87" s="1571"/>
      <c r="AP87" s="1571"/>
    </row>
    <row r="88" spans="1:42">
      <c r="A88" s="1302">
        <f t="shared" si="14"/>
        <v>7</v>
      </c>
      <c r="B88" s="279"/>
      <c r="C88" s="1302"/>
      <c r="D88" s="284"/>
      <c r="E88" s="299" t="s">
        <v>301</v>
      </c>
      <c r="F88" s="294">
        <f>Q22</f>
        <v>-544747</v>
      </c>
      <c r="G88" s="300">
        <v>-539347</v>
      </c>
      <c r="H88" s="300">
        <v>-533947</v>
      </c>
      <c r="I88" s="300">
        <v>-528547</v>
      </c>
      <c r="J88" s="300">
        <v>-523147</v>
      </c>
      <c r="K88" s="300">
        <v>-517747</v>
      </c>
      <c r="L88" s="300">
        <v>-512347</v>
      </c>
      <c r="M88" s="300">
        <v>-506947</v>
      </c>
      <c r="N88" s="300">
        <v>-501547</v>
      </c>
      <c r="O88" s="300">
        <v>-496147</v>
      </c>
      <c r="P88" s="300">
        <v>-490747</v>
      </c>
      <c r="Q88" s="300">
        <v>-485347</v>
      </c>
      <c r="R88" s="300">
        <v>-479947</v>
      </c>
      <c r="S88" s="294">
        <f>SUM(F88:R88)</f>
        <v>-6660511</v>
      </c>
      <c r="T88" s="294">
        <f>ROUND(S88/13,0)</f>
        <v>-512347</v>
      </c>
      <c r="U88" s="1571"/>
      <c r="V88" s="234"/>
      <c r="W88" s="1571"/>
      <c r="X88" s="1581"/>
      <c r="Y88" s="1571"/>
      <c r="Z88" s="1571"/>
      <c r="AA88" s="1571"/>
      <c r="AB88" s="1571"/>
      <c r="AC88" s="1571"/>
      <c r="AD88" s="1571"/>
      <c r="AE88" s="1571"/>
      <c r="AF88" s="1571"/>
      <c r="AG88" s="1571"/>
      <c r="AH88" s="1571"/>
      <c r="AI88" s="234"/>
      <c r="AJ88" s="234"/>
      <c r="AK88" s="234"/>
      <c r="AL88" s="234"/>
      <c r="AM88" s="1571"/>
      <c r="AN88" s="1571"/>
      <c r="AO88" s="1571"/>
      <c r="AP88" s="1571"/>
    </row>
    <row r="89" spans="1:42">
      <c r="A89" s="1302">
        <f t="shared" si="14"/>
        <v>8</v>
      </c>
      <c r="B89" s="279"/>
      <c r="C89" s="1302"/>
      <c r="D89" s="284"/>
      <c r="E89" s="1507" t="s">
        <v>2758</v>
      </c>
      <c r="F89" s="312">
        <f>Q23</f>
        <v>0</v>
      </c>
      <c r="G89" s="2457">
        <v>0</v>
      </c>
      <c r="H89" s="2457">
        <v>0</v>
      </c>
      <c r="I89" s="2457">
        <v>0</v>
      </c>
      <c r="J89" s="2457">
        <v>0</v>
      </c>
      <c r="K89" s="2457">
        <v>0</v>
      </c>
      <c r="L89" s="2457">
        <v>0</v>
      </c>
      <c r="M89" s="2457">
        <v>0</v>
      </c>
      <c r="N89" s="2457">
        <v>0</v>
      </c>
      <c r="O89" s="2457">
        <v>0</v>
      </c>
      <c r="P89" s="2457">
        <v>0</v>
      </c>
      <c r="Q89" s="2457">
        <v>0</v>
      </c>
      <c r="R89" s="2457">
        <v>0</v>
      </c>
      <c r="S89" s="312">
        <f>SUM(F89:R89)</f>
        <v>0</v>
      </c>
      <c r="T89" s="312">
        <f>ROUND(S89/13,0)</f>
        <v>0</v>
      </c>
      <c r="U89" s="1571"/>
      <c r="V89" s="234"/>
      <c r="W89" s="1571"/>
      <c r="X89" s="1581"/>
      <c r="Y89" s="1571"/>
      <c r="Z89" s="1571"/>
      <c r="AA89" s="1571"/>
      <c r="AB89" s="1571"/>
      <c r="AC89" s="1571"/>
      <c r="AD89" s="1571"/>
      <c r="AE89" s="1571"/>
      <c r="AF89" s="1571"/>
      <c r="AG89" s="1571"/>
      <c r="AH89" s="1571"/>
      <c r="AI89" s="234"/>
      <c r="AJ89" s="234"/>
      <c r="AK89" s="234"/>
      <c r="AL89" s="234"/>
      <c r="AM89" s="1571"/>
      <c r="AN89" s="1571"/>
      <c r="AO89" s="1571"/>
      <c r="AP89" s="1571"/>
    </row>
    <row r="90" spans="1:42" ht="13.5" thickBot="1">
      <c r="A90" s="1302">
        <f t="shared" si="14"/>
        <v>9</v>
      </c>
      <c r="B90" s="279"/>
      <c r="C90" s="1302"/>
      <c r="D90" s="284"/>
      <c r="E90" s="279" t="s">
        <v>302</v>
      </c>
      <c r="F90" s="275">
        <f>SUM(F86:F89)</f>
        <v>-553800</v>
      </c>
      <c r="G90" s="275">
        <f t="shared" ref="G90:T90" si="15">SUM(G86:G89)</f>
        <v>-548124</v>
      </c>
      <c r="H90" s="275">
        <f t="shared" si="15"/>
        <v>-542448</v>
      </c>
      <c r="I90" s="275">
        <f t="shared" si="15"/>
        <v>-536772</v>
      </c>
      <c r="J90" s="275">
        <f t="shared" si="15"/>
        <v>-531096</v>
      </c>
      <c r="K90" s="275">
        <f t="shared" si="15"/>
        <v>-525420</v>
      </c>
      <c r="L90" s="275">
        <f t="shared" si="15"/>
        <v>-519744</v>
      </c>
      <c r="M90" s="275">
        <f t="shared" si="15"/>
        <v>-514068</v>
      </c>
      <c r="N90" s="275">
        <f t="shared" si="15"/>
        <v>-508392</v>
      </c>
      <c r="O90" s="275">
        <f t="shared" si="15"/>
        <v>-502716</v>
      </c>
      <c r="P90" s="275">
        <f t="shared" si="15"/>
        <v>-497138</v>
      </c>
      <c r="Q90" s="275">
        <f t="shared" si="15"/>
        <v>-491560</v>
      </c>
      <c r="R90" s="275">
        <f t="shared" si="15"/>
        <v>-485982</v>
      </c>
      <c r="S90" s="275">
        <f t="shared" si="15"/>
        <v>-6757260</v>
      </c>
      <c r="T90" s="275">
        <f t="shared" si="15"/>
        <v>-519789</v>
      </c>
      <c r="U90" s="1571"/>
      <c r="V90" s="234"/>
      <c r="W90" s="1571"/>
      <c r="X90" s="1581"/>
      <c r="Y90" s="1571"/>
      <c r="Z90" s="1571"/>
      <c r="AA90" s="1571"/>
      <c r="AB90" s="1571"/>
      <c r="AC90" s="1571"/>
      <c r="AD90" s="1571"/>
      <c r="AE90" s="1571"/>
      <c r="AF90" s="1571"/>
      <c r="AG90" s="1571"/>
      <c r="AH90" s="1571"/>
      <c r="AI90" s="234"/>
      <c r="AJ90" s="234"/>
      <c r="AK90" s="234"/>
      <c r="AL90" s="234"/>
      <c r="AM90" s="1571"/>
      <c r="AN90" s="1571"/>
      <c r="AO90" s="1571"/>
      <c r="AP90" s="1571"/>
    </row>
    <row r="91" spans="1:42" ht="13.5" thickTop="1">
      <c r="A91" s="1302">
        <f t="shared" si="14"/>
        <v>10</v>
      </c>
      <c r="B91" s="279"/>
      <c r="C91" s="1302"/>
      <c r="D91" s="284"/>
      <c r="E91" s="279"/>
      <c r="F91" s="295"/>
      <c r="G91" s="295"/>
      <c r="H91" s="295"/>
      <c r="I91" s="295"/>
      <c r="J91" s="295"/>
      <c r="K91" s="295"/>
      <c r="L91" s="295"/>
      <c r="M91" s="295"/>
      <c r="N91" s="295"/>
      <c r="O91" s="295"/>
      <c r="P91" s="296"/>
      <c r="Q91" s="296"/>
      <c r="R91" s="295"/>
      <c r="S91" s="295"/>
      <c r="T91" s="295"/>
      <c r="U91" s="1571"/>
      <c r="V91" s="234"/>
      <c r="W91" s="1571"/>
      <c r="X91" s="1581"/>
      <c r="Y91" s="1571"/>
      <c r="Z91" s="1571"/>
      <c r="AA91" s="1571"/>
      <c r="AB91" s="1571"/>
      <c r="AC91" s="1571"/>
      <c r="AD91" s="1571"/>
      <c r="AE91" s="1571"/>
      <c r="AF91" s="1571"/>
      <c r="AG91" s="1571"/>
      <c r="AH91" s="1571"/>
      <c r="AI91" s="234"/>
      <c r="AJ91" s="234"/>
      <c r="AK91" s="234"/>
      <c r="AL91" s="234"/>
      <c r="AM91" s="1571"/>
      <c r="AN91" s="1571"/>
      <c r="AO91" s="1571"/>
      <c r="AP91" s="1571"/>
    </row>
    <row r="92" spans="1:42">
      <c r="A92" s="1302">
        <f t="shared" si="14"/>
        <v>11</v>
      </c>
      <c r="B92" s="279"/>
      <c r="C92" s="1302"/>
      <c r="D92" s="284"/>
      <c r="E92" s="279" t="s">
        <v>443</v>
      </c>
      <c r="F92" s="276"/>
      <c r="G92" s="276"/>
      <c r="H92" s="276"/>
      <c r="I92" s="276"/>
      <c r="J92" s="276"/>
      <c r="K92" s="276"/>
      <c r="L92" s="276"/>
      <c r="M92" s="276"/>
      <c r="N92" s="276"/>
      <c r="O92" s="276"/>
      <c r="P92" s="296"/>
      <c r="Q92" s="296"/>
      <c r="R92" s="295"/>
      <c r="S92" s="295"/>
      <c r="T92" s="295"/>
      <c r="U92" s="1571"/>
      <c r="V92" s="234"/>
      <c r="W92" s="1571"/>
      <c r="X92" s="1581"/>
      <c r="Y92" s="1571"/>
      <c r="Z92" s="1571"/>
      <c r="AA92" s="1571"/>
      <c r="AB92" s="1571"/>
      <c r="AC92" s="1571"/>
      <c r="AD92" s="1571"/>
      <c r="AE92" s="1571"/>
      <c r="AF92" s="1571"/>
      <c r="AG92" s="1571"/>
      <c r="AH92" s="1571"/>
      <c r="AI92" s="234"/>
      <c r="AJ92" s="234"/>
      <c r="AK92" s="234"/>
      <c r="AL92" s="234"/>
      <c r="AM92" s="1571"/>
      <c r="AN92" s="1571"/>
      <c r="AO92" s="1571"/>
      <c r="AP92" s="1571"/>
    </row>
    <row r="93" spans="1:42">
      <c r="A93" s="1302">
        <f t="shared" si="14"/>
        <v>12</v>
      </c>
      <c r="B93" s="279"/>
      <c r="C93" s="1302">
        <v>190</v>
      </c>
      <c r="D93" s="279"/>
      <c r="E93" s="302" t="s">
        <v>1892</v>
      </c>
      <c r="F93" s="276">
        <f>Q27</f>
        <v>2238847</v>
      </c>
      <c r="G93" s="304">
        <v>2225168</v>
      </c>
      <c r="H93" s="304">
        <v>2211488</v>
      </c>
      <c r="I93" s="304">
        <v>2197808</v>
      </c>
      <c r="J93" s="304">
        <v>2184128</v>
      </c>
      <c r="K93" s="304">
        <v>2170449</v>
      </c>
      <c r="L93" s="304">
        <v>2156769</v>
      </c>
      <c r="M93" s="304">
        <v>2143089</v>
      </c>
      <c r="N93" s="304">
        <v>2129409</v>
      </c>
      <c r="O93" s="304">
        <v>2115729</v>
      </c>
      <c r="P93" s="304">
        <v>2102050</v>
      </c>
      <c r="Q93" s="304">
        <v>2088370</v>
      </c>
      <c r="R93" s="304">
        <v>2074690</v>
      </c>
      <c r="S93" s="295">
        <f>SUM(F93:R93)</f>
        <v>28037994</v>
      </c>
      <c r="T93" s="295">
        <f>ROUND(S93/13,0)</f>
        <v>2156769</v>
      </c>
      <c r="U93" s="1571"/>
      <c r="V93" s="234"/>
      <c r="W93" s="1571"/>
      <c r="X93" s="1581"/>
      <c r="Y93" s="1571"/>
      <c r="Z93" s="1571"/>
      <c r="AA93" s="1571"/>
      <c r="AB93" s="1571"/>
      <c r="AC93" s="1571"/>
      <c r="AD93" s="1571"/>
      <c r="AE93" s="1571"/>
      <c r="AF93" s="1571"/>
      <c r="AG93" s="1571"/>
      <c r="AH93" s="1571"/>
      <c r="AI93" s="234"/>
      <c r="AJ93" s="234"/>
      <c r="AK93" s="234"/>
      <c r="AL93" s="234"/>
      <c r="AM93" s="1571"/>
      <c r="AN93" s="1571"/>
      <c r="AO93" s="1571"/>
      <c r="AP93" s="1571"/>
    </row>
    <row r="94" spans="1:42">
      <c r="A94" s="1302">
        <f t="shared" ref="A94:A132" si="16">1+A93</f>
        <v>13</v>
      </c>
      <c r="B94" s="279"/>
      <c r="C94" s="1302"/>
      <c r="D94" s="279"/>
      <c r="E94" s="302"/>
      <c r="F94" s="276"/>
      <c r="G94" s="304"/>
      <c r="H94" s="304"/>
      <c r="I94" s="304"/>
      <c r="J94" s="304"/>
      <c r="K94" s="304"/>
      <c r="L94" s="304"/>
      <c r="M94" s="304"/>
      <c r="N94" s="304"/>
      <c r="O94" s="304"/>
      <c r="P94" s="304"/>
      <c r="Q94" s="304"/>
      <c r="R94" s="304"/>
      <c r="S94" s="295"/>
      <c r="T94" s="295"/>
      <c r="U94" s="1571"/>
      <c r="V94" s="234"/>
      <c r="W94" s="1571"/>
      <c r="X94" s="1581"/>
      <c r="Y94" s="1571"/>
      <c r="Z94" s="1571"/>
      <c r="AA94" s="1571"/>
      <c r="AB94" s="1571"/>
      <c r="AC94" s="1571"/>
      <c r="AD94" s="1571"/>
      <c r="AE94" s="1571"/>
      <c r="AF94" s="1571"/>
      <c r="AG94" s="1571"/>
      <c r="AH94" s="1571"/>
      <c r="AI94" s="234"/>
      <c r="AJ94" s="234"/>
      <c r="AK94" s="234"/>
      <c r="AL94" s="234"/>
      <c r="AM94" s="1571"/>
      <c r="AN94" s="1571"/>
      <c r="AO94" s="1571"/>
      <c r="AP94" s="1571"/>
    </row>
    <row r="95" spans="1:42">
      <c r="A95" s="1302">
        <f t="shared" si="16"/>
        <v>14</v>
      </c>
      <c r="B95" s="279"/>
      <c r="C95" s="1302">
        <v>282</v>
      </c>
      <c r="D95" s="279"/>
      <c r="E95" s="302" t="s">
        <v>1633</v>
      </c>
      <c r="F95" s="276">
        <f>Q29</f>
        <v>-12881235</v>
      </c>
      <c r="G95" s="304">
        <v>-12874705</v>
      </c>
      <c r="H95" s="304">
        <v>-12868175</v>
      </c>
      <c r="I95" s="304">
        <v>-12861644</v>
      </c>
      <c r="J95" s="304">
        <v>-12855114</v>
      </c>
      <c r="K95" s="304">
        <v>-12848584</v>
      </c>
      <c r="L95" s="304">
        <v>-12842054</v>
      </c>
      <c r="M95" s="304">
        <v>-12835524</v>
      </c>
      <c r="N95" s="304">
        <v>-12828994</v>
      </c>
      <c r="O95" s="304">
        <v>-12822464</v>
      </c>
      <c r="P95" s="304">
        <v>-12815934</v>
      </c>
      <c r="Q95" s="304">
        <v>-12809404</v>
      </c>
      <c r="R95" s="304">
        <v>-12802874</v>
      </c>
      <c r="S95" s="295">
        <f>SUM(F95:R95)</f>
        <v>-166946705</v>
      </c>
      <c r="T95" s="295">
        <f>ROUND(S95/13,0)</f>
        <v>-12842054</v>
      </c>
      <c r="U95" s="1571"/>
      <c r="V95" s="234"/>
      <c r="W95" s="1571"/>
      <c r="X95" s="1581"/>
      <c r="Y95" s="1571"/>
      <c r="Z95" s="1571"/>
      <c r="AA95" s="1571"/>
      <c r="AB95" s="1571"/>
      <c r="AC95" s="1571"/>
      <c r="AD95" s="1571"/>
      <c r="AE95" s="1571"/>
      <c r="AF95" s="1571"/>
      <c r="AG95" s="1571"/>
      <c r="AH95" s="1571"/>
      <c r="AI95" s="234"/>
      <c r="AJ95" s="234"/>
      <c r="AK95" s="234"/>
      <c r="AL95" s="234"/>
      <c r="AM95" s="1571"/>
      <c r="AN95" s="1571"/>
      <c r="AO95" s="1571"/>
      <c r="AP95" s="1571"/>
    </row>
    <row r="96" spans="1:42">
      <c r="A96" s="1302">
        <f t="shared" si="16"/>
        <v>15</v>
      </c>
      <c r="B96" s="279"/>
      <c r="C96" s="1302">
        <v>282</v>
      </c>
      <c r="D96" s="279"/>
      <c r="E96" s="302" t="s">
        <v>1893</v>
      </c>
      <c r="F96" s="276">
        <f>Q30</f>
        <v>-70439278</v>
      </c>
      <c r="G96" s="304">
        <v>-70884710</v>
      </c>
      <c r="H96" s="304">
        <v>-71330143</v>
      </c>
      <c r="I96" s="304">
        <v>-71775575</v>
      </c>
      <c r="J96" s="304">
        <v>-72221008</v>
      </c>
      <c r="K96" s="304">
        <v>-72666440</v>
      </c>
      <c r="L96" s="304">
        <v>-73111873</v>
      </c>
      <c r="M96" s="304">
        <v>-73557306</v>
      </c>
      <c r="N96" s="304">
        <v>-74002738</v>
      </c>
      <c r="O96" s="304">
        <v>-74448171</v>
      </c>
      <c r="P96" s="304">
        <v>-74893603</v>
      </c>
      <c r="Q96" s="304">
        <v>-75339036</v>
      </c>
      <c r="R96" s="304">
        <v>-75784468</v>
      </c>
      <c r="S96" s="295">
        <f>SUM(F96:R96)</f>
        <v>-950454349</v>
      </c>
      <c r="T96" s="295">
        <f>ROUND(S96/13,0)</f>
        <v>-73111873</v>
      </c>
      <c r="U96" s="1571"/>
      <c r="V96" s="234"/>
      <c r="W96" s="1571"/>
      <c r="X96" s="1581"/>
      <c r="Y96" s="1571"/>
      <c r="Z96" s="1571"/>
      <c r="AA96" s="1571"/>
      <c r="AB96" s="1571"/>
      <c r="AC96" s="1571"/>
      <c r="AD96" s="1571"/>
      <c r="AE96" s="1571"/>
      <c r="AF96" s="1571"/>
      <c r="AG96" s="1571"/>
      <c r="AH96" s="1571"/>
      <c r="AI96" s="234"/>
      <c r="AJ96" s="234"/>
      <c r="AK96" s="234"/>
      <c r="AL96" s="234"/>
      <c r="AM96" s="1571"/>
      <c r="AN96" s="1571"/>
      <c r="AO96" s="1571"/>
      <c r="AP96" s="1571"/>
    </row>
    <row r="97" spans="1:42">
      <c r="A97" s="1302">
        <f t="shared" si="16"/>
        <v>16</v>
      </c>
      <c r="B97" s="279"/>
      <c r="C97" s="1302">
        <v>283</v>
      </c>
      <c r="D97" s="279"/>
      <c r="E97" s="302" t="s">
        <v>1634</v>
      </c>
      <c r="F97" s="276">
        <f>Q31</f>
        <v>-3707178</v>
      </c>
      <c r="G97" s="304">
        <v>-3786792</v>
      </c>
      <c r="H97" s="304">
        <v>-3866406</v>
      </c>
      <c r="I97" s="304">
        <v>-3946020</v>
      </c>
      <c r="J97" s="304">
        <v>-4025633</v>
      </c>
      <c r="K97" s="304">
        <v>-4105247</v>
      </c>
      <c r="L97" s="304">
        <v>-4184861</v>
      </c>
      <c r="M97" s="304">
        <v>-4264475</v>
      </c>
      <c r="N97" s="304">
        <v>-4344088</v>
      </c>
      <c r="O97" s="304">
        <v>-4423702</v>
      </c>
      <c r="P97" s="304">
        <v>-4503316</v>
      </c>
      <c r="Q97" s="304">
        <v>-4582930</v>
      </c>
      <c r="R97" s="304">
        <v>-4662543</v>
      </c>
      <c r="S97" s="295">
        <f>SUM(F97:R97)</f>
        <v>-54403191</v>
      </c>
      <c r="T97" s="295">
        <f>ROUND(S97/13,0)</f>
        <v>-4184861</v>
      </c>
      <c r="U97" s="1571"/>
      <c r="V97" s="234"/>
      <c r="W97" s="1571"/>
      <c r="X97" s="1581"/>
      <c r="Y97" s="1571"/>
      <c r="Z97" s="1571"/>
      <c r="AA97" s="1571"/>
      <c r="AB97" s="1571"/>
      <c r="AC97" s="1571"/>
      <c r="AD97" s="1571"/>
      <c r="AE97" s="1571"/>
      <c r="AF97" s="1571"/>
      <c r="AG97" s="1571"/>
      <c r="AH97" s="1571"/>
      <c r="AI97" s="234"/>
      <c r="AJ97" s="234"/>
      <c r="AK97" s="234"/>
      <c r="AL97" s="234"/>
      <c r="AM97" s="1571"/>
      <c r="AN97" s="1571"/>
      <c r="AO97" s="1571"/>
      <c r="AP97" s="1571"/>
    </row>
    <row r="98" spans="1:42">
      <c r="A98" s="1302">
        <f t="shared" si="16"/>
        <v>17</v>
      </c>
      <c r="B98" s="279"/>
      <c r="C98" s="1302">
        <v>283</v>
      </c>
      <c r="D98" s="279"/>
      <c r="E98" s="302" t="s">
        <v>1895</v>
      </c>
      <c r="F98" s="1372">
        <f>Q32</f>
        <v>0</v>
      </c>
      <c r="G98" s="2458">
        <v>0</v>
      </c>
      <c r="H98" s="2458">
        <v>0</v>
      </c>
      <c r="I98" s="2458">
        <v>0</v>
      </c>
      <c r="J98" s="2458">
        <v>0</v>
      </c>
      <c r="K98" s="2458">
        <v>0</v>
      </c>
      <c r="L98" s="2458">
        <v>0</v>
      </c>
      <c r="M98" s="2458">
        <v>0</v>
      </c>
      <c r="N98" s="2458">
        <v>0</v>
      </c>
      <c r="O98" s="2458">
        <v>0</v>
      </c>
      <c r="P98" s="2458">
        <v>0</v>
      </c>
      <c r="Q98" s="2458">
        <v>0</v>
      </c>
      <c r="R98" s="2458">
        <v>0</v>
      </c>
      <c r="S98" s="312">
        <f>SUM(F98:R98)</f>
        <v>0</v>
      </c>
      <c r="T98" s="312">
        <f>ROUND(S98/13,0)</f>
        <v>0</v>
      </c>
      <c r="U98" s="1571"/>
      <c r="V98" s="234"/>
      <c r="W98" s="1571"/>
      <c r="X98" s="1581"/>
      <c r="Y98" s="1571"/>
      <c r="Z98" s="1571"/>
      <c r="AA98" s="1571"/>
      <c r="AB98" s="1571"/>
      <c r="AC98" s="1571"/>
      <c r="AD98" s="1571"/>
      <c r="AE98" s="1571"/>
      <c r="AF98" s="1571"/>
      <c r="AG98" s="1571"/>
      <c r="AH98" s="1571"/>
      <c r="AI98" s="234"/>
      <c r="AJ98" s="234"/>
      <c r="AK98" s="234"/>
      <c r="AL98" s="234"/>
      <c r="AM98" s="1571"/>
      <c r="AN98" s="1571"/>
      <c r="AO98" s="1571"/>
      <c r="AP98" s="1571"/>
    </row>
    <row r="99" spans="1:42" ht="13.5" thickBot="1">
      <c r="A99" s="1302">
        <f t="shared" si="16"/>
        <v>18</v>
      </c>
      <c r="B99" s="279"/>
      <c r="C99" s="1302"/>
      <c r="D99" s="279"/>
      <c r="E99" s="279" t="s">
        <v>1897</v>
      </c>
      <c r="F99" s="1306">
        <f t="shared" ref="F99:T99" si="17">SUM(F93:F98)</f>
        <v>-84788844</v>
      </c>
      <c r="G99" s="1306">
        <f t="shared" si="17"/>
        <v>-85321039</v>
      </c>
      <c r="H99" s="1306">
        <f t="shared" si="17"/>
        <v>-85853236</v>
      </c>
      <c r="I99" s="1306">
        <f t="shared" si="17"/>
        <v>-86385431</v>
      </c>
      <c r="J99" s="1306">
        <f t="shared" si="17"/>
        <v>-86917627</v>
      </c>
      <c r="K99" s="1306">
        <f t="shared" si="17"/>
        <v>-87449822</v>
      </c>
      <c r="L99" s="1306">
        <f t="shared" si="17"/>
        <v>-87982019</v>
      </c>
      <c r="M99" s="1306">
        <f t="shared" si="17"/>
        <v>-88514216</v>
      </c>
      <c r="N99" s="1306">
        <f t="shared" si="17"/>
        <v>-89046411</v>
      </c>
      <c r="O99" s="1306">
        <f t="shared" si="17"/>
        <v>-89578608</v>
      </c>
      <c r="P99" s="1306">
        <f t="shared" si="17"/>
        <v>-90110803</v>
      </c>
      <c r="Q99" s="1306">
        <f t="shared" si="17"/>
        <v>-90643000</v>
      </c>
      <c r="R99" s="1306">
        <f t="shared" si="17"/>
        <v>-91175195</v>
      </c>
      <c r="S99" s="1306">
        <f t="shared" si="17"/>
        <v>-1143766251</v>
      </c>
      <c r="T99" s="275">
        <f t="shared" si="17"/>
        <v>-87982019</v>
      </c>
      <c r="U99" s="1571"/>
      <c r="V99" s="234"/>
      <c r="W99" s="1571"/>
      <c r="X99" s="1581"/>
      <c r="Y99" s="1571"/>
      <c r="Z99" s="1571"/>
      <c r="AA99" s="1571"/>
      <c r="AB99" s="1571"/>
      <c r="AC99" s="1571"/>
      <c r="AD99" s="1571"/>
      <c r="AE99" s="1571"/>
      <c r="AF99" s="1571"/>
      <c r="AG99" s="1571"/>
      <c r="AH99" s="1571"/>
      <c r="AI99" s="234"/>
      <c r="AJ99" s="234"/>
      <c r="AK99" s="234"/>
      <c r="AL99" s="234"/>
      <c r="AM99" s="1571"/>
      <c r="AN99" s="1571"/>
      <c r="AO99" s="1571"/>
      <c r="AP99" s="1571"/>
    </row>
    <row r="100" spans="1:42" ht="13.5" thickTop="1">
      <c r="A100" s="1302">
        <f t="shared" si="16"/>
        <v>19</v>
      </c>
      <c r="B100" s="279"/>
      <c r="C100" s="1302"/>
      <c r="D100" s="279"/>
      <c r="E100" s="279"/>
      <c r="F100" s="301"/>
      <c r="G100" s="303"/>
      <c r="H100" s="303"/>
      <c r="I100" s="303"/>
      <c r="J100" s="303"/>
      <c r="K100" s="303"/>
      <c r="L100" s="303"/>
      <c r="M100" s="303"/>
      <c r="N100" s="303"/>
      <c r="O100" s="303"/>
      <c r="P100" s="303"/>
      <c r="Q100" s="303"/>
      <c r="R100" s="303"/>
      <c r="S100" s="303"/>
      <c r="T100" s="303"/>
      <c r="U100" s="1571"/>
      <c r="V100" s="234"/>
      <c r="W100" s="1571"/>
      <c r="X100" s="1581"/>
      <c r="Y100" s="1571"/>
      <c r="Z100" s="1571"/>
      <c r="AA100" s="1571"/>
      <c r="AB100" s="1571"/>
      <c r="AC100" s="1571"/>
      <c r="AD100" s="1571"/>
      <c r="AE100" s="1571"/>
      <c r="AF100" s="1571"/>
      <c r="AG100" s="1571"/>
      <c r="AH100" s="1571"/>
      <c r="AI100" s="234"/>
      <c r="AJ100" s="234"/>
      <c r="AK100" s="234"/>
      <c r="AL100" s="234"/>
      <c r="AM100" s="1571"/>
      <c r="AN100" s="1571"/>
      <c r="AO100" s="1571"/>
      <c r="AP100" s="1571"/>
    </row>
    <row r="101" spans="1:42">
      <c r="A101" s="1302">
        <f t="shared" si="16"/>
        <v>20</v>
      </c>
      <c r="B101" s="1571"/>
      <c r="C101" s="293" t="s">
        <v>1872</v>
      </c>
      <c r="D101" s="284"/>
      <c r="E101" s="279"/>
      <c r="F101" s="295"/>
      <c r="G101" s="295"/>
      <c r="H101" s="295"/>
      <c r="I101" s="295"/>
      <c r="J101" s="295"/>
      <c r="K101" s="295"/>
      <c r="L101" s="295"/>
      <c r="M101" s="295"/>
      <c r="N101" s="295"/>
      <c r="O101" s="295"/>
      <c r="P101" s="295"/>
      <c r="Q101" s="295"/>
      <c r="R101" s="295"/>
      <c r="S101" s="279"/>
      <c r="T101" s="1302"/>
      <c r="U101" s="1571"/>
      <c r="V101" s="234"/>
      <c r="W101" s="1571"/>
      <c r="X101" s="1581"/>
      <c r="Y101" s="1571"/>
      <c r="Z101" s="1571"/>
      <c r="AA101" s="1571"/>
      <c r="AB101" s="1571"/>
      <c r="AC101" s="1571"/>
      <c r="AD101" s="1571"/>
      <c r="AE101" s="1571"/>
      <c r="AF101" s="1571"/>
      <c r="AG101" s="1571"/>
      <c r="AH101" s="1571"/>
      <c r="AI101" s="234"/>
      <c r="AJ101" s="234"/>
      <c r="AK101" s="234"/>
      <c r="AL101" s="234"/>
      <c r="AM101" s="1571"/>
      <c r="AN101" s="1571"/>
      <c r="AO101" s="1571"/>
      <c r="AP101" s="1571"/>
    </row>
    <row r="102" spans="1:42" ht="13.5" thickBot="1">
      <c r="A102" s="1302">
        <f t="shared" si="16"/>
        <v>21</v>
      </c>
      <c r="B102" s="1571"/>
      <c r="C102" s="1302">
        <v>252</v>
      </c>
      <c r="D102" s="284"/>
      <c r="E102" s="279" t="s">
        <v>543</v>
      </c>
      <c r="F102" s="275">
        <v>0</v>
      </c>
      <c r="G102" s="297">
        <v>0</v>
      </c>
      <c r="H102" s="297">
        <v>0</v>
      </c>
      <c r="I102" s="297">
        <v>0</v>
      </c>
      <c r="J102" s="297">
        <v>0</v>
      </c>
      <c r="K102" s="297">
        <v>0</v>
      </c>
      <c r="L102" s="297">
        <v>0</v>
      </c>
      <c r="M102" s="297">
        <v>0</v>
      </c>
      <c r="N102" s="297">
        <v>0</v>
      </c>
      <c r="O102" s="297">
        <v>0</v>
      </c>
      <c r="P102" s="297">
        <v>0</v>
      </c>
      <c r="Q102" s="297">
        <v>0</v>
      </c>
      <c r="R102" s="297">
        <v>0</v>
      </c>
      <c r="S102" s="275">
        <f>SUM(F102:R102)</f>
        <v>0</v>
      </c>
      <c r="T102" s="275">
        <f>ROUND(S102/13,0)</f>
        <v>0</v>
      </c>
      <c r="U102" s="1571"/>
      <c r="V102" s="234"/>
      <c r="W102" s="1571"/>
      <c r="X102" s="1581"/>
      <c r="Y102" s="1571"/>
      <c r="Z102" s="1571"/>
      <c r="AA102" s="1571"/>
      <c r="AB102" s="1571"/>
      <c r="AC102" s="1571"/>
      <c r="AD102" s="1571"/>
      <c r="AE102" s="1571"/>
      <c r="AF102" s="1571"/>
      <c r="AG102" s="1571"/>
      <c r="AH102" s="1571"/>
      <c r="AI102" s="234"/>
      <c r="AJ102" s="234"/>
      <c r="AK102" s="234"/>
      <c r="AL102" s="234"/>
      <c r="AM102" s="1571"/>
      <c r="AN102" s="1571"/>
      <c r="AO102" s="1571"/>
      <c r="AP102" s="1571"/>
    </row>
    <row r="103" spans="1:42" ht="13.5" thickTop="1">
      <c r="A103" s="1302">
        <f t="shared" si="16"/>
        <v>22</v>
      </c>
      <c r="B103" s="1571"/>
      <c r="C103" s="1302"/>
      <c r="D103" s="284"/>
      <c r="E103" s="279"/>
      <c r="F103" s="295"/>
      <c r="G103" s="295"/>
      <c r="H103" s="295"/>
      <c r="I103" s="295"/>
      <c r="J103" s="295"/>
      <c r="K103" s="295"/>
      <c r="L103" s="295"/>
      <c r="M103" s="295"/>
      <c r="N103" s="295"/>
      <c r="O103" s="295"/>
      <c r="P103" s="296"/>
      <c r="Q103" s="296"/>
      <c r="R103" s="295"/>
      <c r="S103" s="295"/>
      <c r="T103" s="295"/>
      <c r="U103" s="1571"/>
      <c r="V103" s="234"/>
      <c r="W103" s="1571"/>
      <c r="X103" s="1581"/>
      <c r="Y103" s="1571"/>
      <c r="Z103" s="1571"/>
      <c r="AA103" s="1571"/>
      <c r="AB103" s="1571"/>
      <c r="AC103" s="1571"/>
      <c r="AD103" s="1571"/>
      <c r="AE103" s="1571"/>
      <c r="AF103" s="1571"/>
      <c r="AG103" s="1571"/>
      <c r="AH103" s="1571"/>
      <c r="AI103" s="234"/>
      <c r="AJ103" s="234"/>
      <c r="AK103" s="234"/>
      <c r="AL103" s="234"/>
      <c r="AM103" s="1571"/>
      <c r="AN103" s="1571"/>
      <c r="AO103" s="1571"/>
      <c r="AP103" s="1571"/>
    </row>
    <row r="104" spans="1:42">
      <c r="A104" s="1302">
        <f t="shared" si="16"/>
        <v>23</v>
      </c>
      <c r="B104" s="1571"/>
      <c r="C104" s="1302">
        <v>255</v>
      </c>
      <c r="D104" s="284"/>
      <c r="E104" s="279" t="s">
        <v>1398</v>
      </c>
      <c r="F104" s="295"/>
      <c r="G104" s="295"/>
      <c r="H104" s="295"/>
      <c r="I104" s="295"/>
      <c r="J104" s="295"/>
      <c r="K104" s="295"/>
      <c r="L104" s="295"/>
      <c r="M104" s="295"/>
      <c r="N104" s="295"/>
      <c r="O104" s="295"/>
      <c r="P104" s="296"/>
      <c r="Q104" s="296"/>
      <c r="R104" s="295"/>
      <c r="S104" s="295"/>
      <c r="T104" s="295"/>
      <c r="U104" s="1571"/>
      <c r="V104" s="234"/>
      <c r="W104" s="1571"/>
      <c r="X104" s="1581"/>
      <c r="Y104" s="1571"/>
      <c r="Z104" s="1571"/>
      <c r="AA104" s="1571"/>
      <c r="AB104" s="1571"/>
      <c r="AC104" s="1571"/>
      <c r="AD104" s="1571"/>
      <c r="AE104" s="1571"/>
      <c r="AF104" s="1571"/>
      <c r="AG104" s="1571"/>
      <c r="AH104" s="1571"/>
      <c r="AI104" s="234"/>
      <c r="AJ104" s="234"/>
      <c r="AK104" s="234"/>
      <c r="AL104" s="234"/>
      <c r="AM104" s="1571"/>
      <c r="AN104" s="1571"/>
      <c r="AO104" s="1571"/>
      <c r="AP104" s="1571"/>
    </row>
    <row r="105" spans="1:42">
      <c r="A105" s="1302">
        <f t="shared" si="16"/>
        <v>24</v>
      </c>
      <c r="B105" s="1571"/>
      <c r="C105" s="1302"/>
      <c r="D105" s="284"/>
      <c r="E105" s="299" t="s">
        <v>297</v>
      </c>
      <c r="F105" s="294">
        <f>Q39</f>
        <v>0</v>
      </c>
      <c r="G105" s="300">
        <v>0</v>
      </c>
      <c r="H105" s="300">
        <v>0</v>
      </c>
      <c r="I105" s="300">
        <v>0</v>
      </c>
      <c r="J105" s="300">
        <v>0</v>
      </c>
      <c r="K105" s="300">
        <v>0</v>
      </c>
      <c r="L105" s="300">
        <v>0</v>
      </c>
      <c r="M105" s="300">
        <v>0</v>
      </c>
      <c r="N105" s="300">
        <v>0</v>
      </c>
      <c r="O105" s="300">
        <v>0</v>
      </c>
      <c r="P105" s="300">
        <v>0</v>
      </c>
      <c r="Q105" s="300">
        <v>0</v>
      </c>
      <c r="R105" s="300">
        <v>0</v>
      </c>
      <c r="S105" s="295">
        <f>SUM(F105:R105)</f>
        <v>0</v>
      </c>
      <c r="T105" s="295">
        <f>ROUND(S105/13,0)</f>
        <v>0</v>
      </c>
      <c r="U105" s="234"/>
      <c r="V105" s="234"/>
      <c r="W105" s="1571"/>
      <c r="X105" s="1581"/>
      <c r="Y105" s="1571"/>
      <c r="Z105" s="1571"/>
      <c r="AA105" s="1571"/>
      <c r="AB105" s="1571"/>
      <c r="AC105" s="1571"/>
      <c r="AD105" s="1571"/>
      <c r="AE105" s="1571"/>
      <c r="AF105" s="1571"/>
      <c r="AG105" s="1571"/>
      <c r="AH105" s="1571"/>
      <c r="AI105" s="234"/>
      <c r="AJ105" s="234"/>
      <c r="AK105" s="234"/>
      <c r="AL105" s="234"/>
      <c r="AM105" s="1571"/>
      <c r="AN105" s="1571"/>
      <c r="AO105" s="1571"/>
      <c r="AP105" s="1571"/>
    </row>
    <row r="106" spans="1:42">
      <c r="A106" s="1302">
        <f t="shared" si="16"/>
        <v>25</v>
      </c>
      <c r="B106" s="1571"/>
      <c r="C106" s="1302"/>
      <c r="D106" s="284"/>
      <c r="E106" s="299" t="s">
        <v>299</v>
      </c>
      <c r="F106" s="294">
        <f>Q40</f>
        <v>0</v>
      </c>
      <c r="G106" s="300">
        <v>0</v>
      </c>
      <c r="H106" s="300">
        <v>0</v>
      </c>
      <c r="I106" s="300">
        <v>0</v>
      </c>
      <c r="J106" s="300">
        <v>0</v>
      </c>
      <c r="K106" s="300">
        <v>0</v>
      </c>
      <c r="L106" s="300">
        <v>0</v>
      </c>
      <c r="M106" s="300">
        <v>0</v>
      </c>
      <c r="N106" s="300">
        <v>0</v>
      </c>
      <c r="O106" s="300">
        <v>0</v>
      </c>
      <c r="P106" s="300">
        <v>0</v>
      </c>
      <c r="Q106" s="300">
        <v>0</v>
      </c>
      <c r="R106" s="300">
        <v>0</v>
      </c>
      <c r="S106" s="295">
        <f>SUM(F106:R106)</f>
        <v>0</v>
      </c>
      <c r="T106" s="295">
        <f>ROUND(S106/13,0)</f>
        <v>0</v>
      </c>
      <c r="U106" s="1571"/>
      <c r="V106" s="234"/>
      <c r="W106" s="1571"/>
      <c r="X106" s="1581"/>
      <c r="Y106" s="1571"/>
      <c r="Z106" s="1571"/>
      <c r="AA106" s="1571"/>
      <c r="AB106" s="1571"/>
      <c r="AC106" s="1571"/>
      <c r="AD106" s="1571"/>
      <c r="AE106" s="1571"/>
      <c r="AF106" s="1571"/>
      <c r="AG106" s="1571"/>
      <c r="AH106" s="1571"/>
      <c r="AI106" s="234"/>
      <c r="AJ106" s="234"/>
      <c r="AK106" s="234"/>
      <c r="AL106" s="234"/>
      <c r="AM106" s="1571"/>
      <c r="AN106" s="1571"/>
      <c r="AO106" s="1571"/>
      <c r="AP106" s="1571"/>
    </row>
    <row r="107" spans="1:42">
      <c r="A107" s="1302">
        <f t="shared" si="16"/>
        <v>26</v>
      </c>
      <c r="B107" s="1571"/>
      <c r="C107" s="1302"/>
      <c r="D107" s="284"/>
      <c r="E107" s="299" t="s">
        <v>301</v>
      </c>
      <c r="F107" s="294">
        <f>Q41</f>
        <v>-9713</v>
      </c>
      <c r="G107" s="300">
        <v>-8770</v>
      </c>
      <c r="H107" s="300">
        <v>-7827</v>
      </c>
      <c r="I107" s="300">
        <v>-6884</v>
      </c>
      <c r="J107" s="300">
        <v>-5941</v>
      </c>
      <c r="K107" s="300">
        <v>-4998</v>
      </c>
      <c r="L107" s="300">
        <v>-4055</v>
      </c>
      <c r="M107" s="300">
        <v>-3112</v>
      </c>
      <c r="N107" s="300">
        <v>-2169</v>
      </c>
      <c r="O107" s="300">
        <v>-1226</v>
      </c>
      <c r="P107" s="300">
        <v>-1192</v>
      </c>
      <c r="Q107" s="300">
        <v>-1158</v>
      </c>
      <c r="R107" s="300">
        <v>-1124</v>
      </c>
      <c r="S107" s="294">
        <f>SUM(F107:R107)</f>
        <v>-58169</v>
      </c>
      <c r="T107" s="294">
        <f>ROUND(S107/13,0)</f>
        <v>-4475</v>
      </c>
      <c r="U107" s="234"/>
      <c r="V107" s="234"/>
      <c r="W107" s="234"/>
      <c r="X107" s="320"/>
      <c r="Y107" s="234"/>
      <c r="Z107" s="1571"/>
      <c r="AA107" s="1571"/>
      <c r="AB107" s="1571"/>
      <c r="AC107" s="1571"/>
      <c r="AD107" s="1571"/>
      <c r="AE107" s="1571"/>
      <c r="AF107" s="1571"/>
      <c r="AG107" s="1571"/>
      <c r="AH107" s="1571"/>
      <c r="AI107" s="234"/>
      <c r="AJ107" s="234"/>
      <c r="AK107" s="234"/>
      <c r="AL107" s="234"/>
      <c r="AM107" s="1571"/>
      <c r="AN107" s="1571"/>
      <c r="AO107" s="1571"/>
      <c r="AP107" s="1571"/>
    </row>
    <row r="108" spans="1:42">
      <c r="A108" s="1302">
        <f t="shared" si="16"/>
        <v>27</v>
      </c>
      <c r="B108" s="1571"/>
      <c r="C108" s="1302"/>
      <c r="D108" s="284"/>
      <c r="E108" s="1507" t="s">
        <v>2758</v>
      </c>
      <c r="F108" s="294">
        <f>Q42</f>
        <v>-4350000</v>
      </c>
      <c r="G108" s="300">
        <v>-4350000</v>
      </c>
      <c r="H108" s="300">
        <v>-4350000</v>
      </c>
      <c r="I108" s="300">
        <v>-4350000</v>
      </c>
      <c r="J108" s="300">
        <v>-4350000</v>
      </c>
      <c r="K108" s="300">
        <v>-4350000</v>
      </c>
      <c r="L108" s="300">
        <v>-4350000</v>
      </c>
      <c r="M108" s="300">
        <v>-4350000</v>
      </c>
      <c r="N108" s="300">
        <v>-4350000</v>
      </c>
      <c r="O108" s="300">
        <v>-4350000</v>
      </c>
      <c r="P108" s="300">
        <v>-4350000</v>
      </c>
      <c r="Q108" s="300">
        <v>-4350000</v>
      </c>
      <c r="R108" s="300">
        <v>-4350000</v>
      </c>
      <c r="S108" s="294">
        <f>SUM(F108:R108)</f>
        <v>-56550000</v>
      </c>
      <c r="T108" s="294">
        <f>ROUND(S108/13,0)</f>
        <v>-4350000</v>
      </c>
      <c r="U108" s="1571"/>
      <c r="V108" s="234"/>
      <c r="W108" s="1571"/>
      <c r="X108" s="1581"/>
      <c r="Y108" s="1571"/>
      <c r="Z108" s="1571"/>
      <c r="AA108" s="1571"/>
      <c r="AB108" s="1571"/>
      <c r="AC108" s="1571"/>
      <c r="AD108" s="1571"/>
      <c r="AE108" s="1571"/>
      <c r="AF108" s="1571"/>
      <c r="AG108" s="1571"/>
      <c r="AH108" s="1571"/>
      <c r="AI108" s="234"/>
      <c r="AJ108" s="234"/>
      <c r="AK108" s="234"/>
      <c r="AL108" s="234"/>
      <c r="AM108" s="1571"/>
      <c r="AN108" s="1571"/>
      <c r="AO108" s="1571"/>
      <c r="AP108" s="1571"/>
    </row>
    <row r="109" spans="1:42" ht="13.5" thickBot="1">
      <c r="A109" s="1302">
        <f t="shared" si="16"/>
        <v>28</v>
      </c>
      <c r="B109" s="1571"/>
      <c r="C109" s="1302"/>
      <c r="D109" s="284"/>
      <c r="E109" s="279" t="s">
        <v>302</v>
      </c>
      <c r="F109" s="313">
        <f>SUM(F105:F108)</f>
        <v>-4359713</v>
      </c>
      <c r="G109" s="313">
        <f t="shared" ref="G109:T109" si="18">SUM(G105:G108)</f>
        <v>-4358770</v>
      </c>
      <c r="H109" s="313">
        <f t="shared" si="18"/>
        <v>-4357827</v>
      </c>
      <c r="I109" s="313">
        <f t="shared" si="18"/>
        <v>-4356884</v>
      </c>
      <c r="J109" s="313">
        <f t="shared" si="18"/>
        <v>-4355941</v>
      </c>
      <c r="K109" s="313">
        <f t="shared" si="18"/>
        <v>-4354998</v>
      </c>
      <c r="L109" s="313">
        <f t="shared" si="18"/>
        <v>-4354055</v>
      </c>
      <c r="M109" s="313">
        <f t="shared" si="18"/>
        <v>-4353112</v>
      </c>
      <c r="N109" s="313">
        <f t="shared" si="18"/>
        <v>-4352169</v>
      </c>
      <c r="O109" s="313">
        <f t="shared" si="18"/>
        <v>-4351226</v>
      </c>
      <c r="P109" s="313">
        <f t="shared" si="18"/>
        <v>-4351192</v>
      </c>
      <c r="Q109" s="313">
        <f t="shared" si="18"/>
        <v>-4351158</v>
      </c>
      <c r="R109" s="313">
        <f t="shared" si="18"/>
        <v>-4351124</v>
      </c>
      <c r="S109" s="313">
        <f t="shared" si="18"/>
        <v>-56608169</v>
      </c>
      <c r="T109" s="313">
        <f t="shared" si="18"/>
        <v>-4354475</v>
      </c>
      <c r="U109" s="1571"/>
      <c r="V109" s="234"/>
      <c r="W109" s="1571"/>
      <c r="X109" s="1581"/>
      <c r="Y109" s="1571"/>
      <c r="Z109" s="1571"/>
      <c r="AA109" s="1571"/>
      <c r="AB109" s="1571"/>
      <c r="AC109" s="1571"/>
      <c r="AD109" s="1571"/>
      <c r="AE109" s="1571"/>
      <c r="AF109" s="1571"/>
      <c r="AG109" s="1571"/>
      <c r="AH109" s="1571"/>
      <c r="AI109" s="234"/>
      <c r="AJ109" s="234"/>
      <c r="AK109" s="234"/>
      <c r="AL109" s="234"/>
      <c r="AM109" s="1571"/>
      <c r="AN109" s="1571"/>
      <c r="AO109" s="1571"/>
      <c r="AP109" s="1571"/>
    </row>
    <row r="110" spans="1:42" ht="13.5" thickTop="1">
      <c r="A110" s="1302">
        <f t="shared" si="16"/>
        <v>29</v>
      </c>
      <c r="B110" s="1571"/>
      <c r="C110" s="1302"/>
      <c r="D110" s="284"/>
      <c r="E110" s="279"/>
      <c r="F110" s="295"/>
      <c r="G110" s="295"/>
      <c r="H110" s="295"/>
      <c r="I110" s="295"/>
      <c r="J110" s="295"/>
      <c r="K110" s="295"/>
      <c r="L110" s="295"/>
      <c r="M110" s="295"/>
      <c r="N110" s="295"/>
      <c r="O110" s="295"/>
      <c r="P110" s="295"/>
      <c r="Q110" s="295"/>
      <c r="R110" s="295"/>
      <c r="S110" s="295"/>
      <c r="T110" s="295"/>
      <c r="U110" s="1571"/>
      <c r="V110" s="234"/>
      <c r="W110" s="1571"/>
      <c r="X110" s="1581"/>
      <c r="Y110" s="1571"/>
      <c r="Z110" s="1571"/>
      <c r="AA110" s="1571"/>
      <c r="AB110" s="1571"/>
      <c r="AC110" s="1571"/>
      <c r="AD110" s="1571"/>
      <c r="AE110" s="1571"/>
      <c r="AF110" s="1571"/>
      <c r="AG110" s="1571"/>
      <c r="AH110" s="1571"/>
      <c r="AI110" s="234"/>
      <c r="AJ110" s="234"/>
      <c r="AK110" s="234"/>
      <c r="AL110" s="234"/>
      <c r="AM110" s="1571"/>
      <c r="AN110" s="1571"/>
      <c r="AO110" s="1571"/>
      <c r="AP110" s="1571"/>
    </row>
    <row r="111" spans="1:42">
      <c r="A111" s="1302">
        <f t="shared" si="16"/>
        <v>30</v>
      </c>
      <c r="B111" s="1571"/>
      <c r="C111" s="1302"/>
      <c r="D111" s="284"/>
      <c r="E111" s="279" t="s">
        <v>443</v>
      </c>
      <c r="F111" s="276"/>
      <c r="G111" s="276"/>
      <c r="H111" s="276"/>
      <c r="I111" s="276"/>
      <c r="J111" s="276"/>
      <c r="K111" s="276"/>
      <c r="L111" s="276"/>
      <c r="M111" s="276"/>
      <c r="N111" s="276"/>
      <c r="O111" s="276"/>
      <c r="P111" s="296"/>
      <c r="Q111" s="296"/>
      <c r="R111" s="295"/>
      <c r="S111" s="295"/>
      <c r="T111" s="295"/>
      <c r="U111" s="1571"/>
      <c r="V111" s="234"/>
      <c r="W111" s="1571"/>
      <c r="X111" s="1581"/>
      <c r="Y111" s="1571"/>
      <c r="Z111" s="1571"/>
      <c r="AA111" s="1571"/>
      <c r="AB111" s="1571"/>
      <c r="AC111" s="1571"/>
      <c r="AD111" s="1571"/>
      <c r="AE111" s="1571"/>
      <c r="AF111" s="1571"/>
      <c r="AG111" s="1571"/>
      <c r="AH111" s="1571"/>
      <c r="AI111" s="234"/>
      <c r="AJ111" s="234"/>
      <c r="AK111" s="234"/>
      <c r="AL111" s="234"/>
      <c r="AM111" s="1571"/>
      <c r="AN111" s="1571"/>
      <c r="AO111" s="1571"/>
      <c r="AP111" s="1571"/>
    </row>
    <row r="112" spans="1:42">
      <c r="A112" s="1302">
        <f t="shared" si="16"/>
        <v>31</v>
      </c>
      <c r="B112" s="1571"/>
      <c r="C112" s="1302">
        <v>190</v>
      </c>
      <c r="D112" s="279"/>
      <c r="E112" s="302" t="s">
        <v>1892</v>
      </c>
      <c r="F112" s="276">
        <f>Q46</f>
        <v>8811304</v>
      </c>
      <c r="G112" s="304">
        <v>8805086</v>
      </c>
      <c r="H112" s="304">
        <v>8798868</v>
      </c>
      <c r="I112" s="304">
        <v>8792650</v>
      </c>
      <c r="J112" s="304">
        <v>8786431</v>
      </c>
      <c r="K112" s="304">
        <v>8780213</v>
      </c>
      <c r="L112" s="304">
        <v>8773995</v>
      </c>
      <c r="M112" s="304">
        <v>8767776</v>
      </c>
      <c r="N112" s="304">
        <v>8761558</v>
      </c>
      <c r="O112" s="304">
        <v>8755340</v>
      </c>
      <c r="P112" s="304">
        <v>8749122</v>
      </c>
      <c r="Q112" s="304">
        <v>8742903</v>
      </c>
      <c r="R112" s="304">
        <v>8736685</v>
      </c>
      <c r="S112" s="295">
        <f>SUM(F112:R112)</f>
        <v>114061931</v>
      </c>
      <c r="T112" s="295">
        <f>ROUND(S112/13,0)</f>
        <v>8773995</v>
      </c>
      <c r="U112" s="1571"/>
      <c r="V112" s="234"/>
      <c r="W112" s="1571"/>
      <c r="X112" s="1581"/>
      <c r="Y112" s="1571"/>
      <c r="Z112" s="1571"/>
      <c r="AA112" s="1571"/>
      <c r="AB112" s="1571"/>
      <c r="AC112" s="1571"/>
      <c r="AD112" s="1571"/>
      <c r="AE112" s="1571"/>
      <c r="AF112" s="1571"/>
      <c r="AG112" s="1571"/>
      <c r="AH112" s="1571"/>
      <c r="AI112" s="234"/>
      <c r="AJ112" s="234"/>
      <c r="AK112" s="234"/>
      <c r="AL112" s="234"/>
      <c r="AM112" s="1571"/>
      <c r="AN112" s="1571"/>
      <c r="AO112" s="1571"/>
      <c r="AP112" s="1571"/>
    </row>
    <row r="113" spans="1:42">
      <c r="A113" s="1302">
        <f t="shared" si="16"/>
        <v>32</v>
      </c>
      <c r="B113" s="1571"/>
      <c r="C113" s="1302">
        <v>281</v>
      </c>
      <c r="D113" s="279"/>
      <c r="E113" s="302" t="s">
        <v>2910</v>
      </c>
      <c r="F113" s="276">
        <f>Q47</f>
        <v>-190426</v>
      </c>
      <c r="G113" s="304">
        <v>-190426</v>
      </c>
      <c r="H113" s="304">
        <v>-190426</v>
      </c>
      <c r="I113" s="304">
        <v>-190426</v>
      </c>
      <c r="J113" s="304">
        <v>-190426</v>
      </c>
      <c r="K113" s="304">
        <v>-190426</v>
      </c>
      <c r="L113" s="304">
        <v>-190426</v>
      </c>
      <c r="M113" s="304">
        <v>-190426</v>
      </c>
      <c r="N113" s="304">
        <v>-190426</v>
      </c>
      <c r="O113" s="304">
        <v>-190426</v>
      </c>
      <c r="P113" s="304">
        <v>-190426</v>
      </c>
      <c r="Q113" s="304">
        <v>-190426</v>
      </c>
      <c r="R113" s="304">
        <v>-190426</v>
      </c>
      <c r="S113" s="295">
        <f>SUM(F113:R113)</f>
        <v>-2475538</v>
      </c>
      <c r="T113" s="295">
        <f>ROUND(S113/13,0)</f>
        <v>-190426</v>
      </c>
      <c r="U113" s="1571"/>
      <c r="V113" s="234"/>
      <c r="W113" s="1571"/>
      <c r="X113" s="1581"/>
      <c r="Y113" s="1571"/>
      <c r="Z113" s="1571"/>
      <c r="AA113" s="1571"/>
      <c r="AB113" s="1571"/>
      <c r="AC113" s="1571"/>
      <c r="AD113" s="1571"/>
      <c r="AE113" s="1571"/>
      <c r="AF113" s="1571"/>
      <c r="AG113" s="1571"/>
      <c r="AH113" s="1571"/>
      <c r="AI113" s="234"/>
      <c r="AJ113" s="234"/>
      <c r="AK113" s="234"/>
      <c r="AL113" s="234"/>
      <c r="AM113" s="1571"/>
      <c r="AN113" s="1571"/>
      <c r="AO113" s="1571"/>
      <c r="AP113" s="1571"/>
    </row>
    <row r="114" spans="1:42">
      <c r="A114" s="1302">
        <f t="shared" si="16"/>
        <v>33</v>
      </c>
      <c r="B114" s="1571"/>
      <c r="C114" s="1302">
        <v>282</v>
      </c>
      <c r="D114" s="279"/>
      <c r="E114" s="302" t="s">
        <v>1894</v>
      </c>
      <c r="F114" s="276">
        <f>Q48</f>
        <v>-90679858</v>
      </c>
      <c r="G114" s="304">
        <v>-91597013</v>
      </c>
      <c r="H114" s="304">
        <v>-92514169</v>
      </c>
      <c r="I114" s="304">
        <v>-93431325</v>
      </c>
      <c r="J114" s="304">
        <v>-94348480</v>
      </c>
      <c r="K114" s="304">
        <v>-95265636</v>
      </c>
      <c r="L114" s="304">
        <v>-96182792</v>
      </c>
      <c r="M114" s="304">
        <v>-97099947</v>
      </c>
      <c r="N114" s="304">
        <v>-98017103</v>
      </c>
      <c r="O114" s="304">
        <v>-98934259</v>
      </c>
      <c r="P114" s="304">
        <v>-99851414</v>
      </c>
      <c r="Q114" s="304">
        <v>-100768570</v>
      </c>
      <c r="R114" s="304">
        <v>-101685726</v>
      </c>
      <c r="S114" s="295">
        <f>SUM(F114:R114)</f>
        <v>-1250376292</v>
      </c>
      <c r="T114" s="295">
        <f>ROUND(S114/13,0)</f>
        <v>-96182792</v>
      </c>
      <c r="U114" s="1571"/>
      <c r="V114" s="234"/>
      <c r="W114" s="1571"/>
      <c r="X114" s="1581"/>
      <c r="Y114" s="1571"/>
      <c r="Z114" s="1571"/>
      <c r="AA114" s="1571"/>
      <c r="AB114" s="1571"/>
      <c r="AC114" s="1571"/>
      <c r="AD114" s="1571"/>
      <c r="AE114" s="1571"/>
      <c r="AF114" s="1571"/>
      <c r="AG114" s="1571"/>
      <c r="AH114" s="1571"/>
      <c r="AI114" s="234"/>
      <c r="AJ114" s="234"/>
      <c r="AK114" s="234"/>
      <c r="AL114" s="234"/>
      <c r="AM114" s="1571"/>
      <c r="AN114" s="1571"/>
      <c r="AO114" s="1571"/>
      <c r="AP114" s="1571"/>
    </row>
    <row r="115" spans="1:42">
      <c r="A115" s="1302">
        <f t="shared" si="16"/>
        <v>34</v>
      </c>
      <c r="B115" s="1571"/>
      <c r="C115" s="1302">
        <v>282</v>
      </c>
      <c r="D115" s="279"/>
      <c r="E115" s="302" t="s">
        <v>1893</v>
      </c>
      <c r="F115" s="276">
        <f>Q49</f>
        <v>-123307092</v>
      </c>
      <c r="G115" s="304">
        <v>-125010484</v>
      </c>
      <c r="H115" s="304">
        <v>-126713877</v>
      </c>
      <c r="I115" s="304">
        <v>-128417270</v>
      </c>
      <c r="J115" s="304">
        <v>-130120663</v>
      </c>
      <c r="K115" s="304">
        <v>-131824056</v>
      </c>
      <c r="L115" s="304">
        <v>-133527449</v>
      </c>
      <c r="M115" s="304">
        <v>-135230841</v>
      </c>
      <c r="N115" s="304">
        <v>-136934234</v>
      </c>
      <c r="O115" s="304">
        <v>-138637627</v>
      </c>
      <c r="P115" s="304">
        <v>-140341020</v>
      </c>
      <c r="Q115" s="304">
        <v>-142044413</v>
      </c>
      <c r="R115" s="304">
        <v>-143747806</v>
      </c>
      <c r="S115" s="295">
        <f>SUM(F115:R115)</f>
        <v>-1735856832</v>
      </c>
      <c r="T115" s="295">
        <f>ROUND(S115/13,0)</f>
        <v>-133527449</v>
      </c>
      <c r="U115" s="1571"/>
      <c r="V115" s="234"/>
      <c r="W115" s="1571"/>
      <c r="X115" s="1581"/>
      <c r="Y115" s="1571"/>
      <c r="Z115" s="1571"/>
      <c r="AA115" s="1571"/>
      <c r="AB115" s="1571"/>
      <c r="AC115" s="1571"/>
      <c r="AD115" s="1571"/>
      <c r="AE115" s="1571"/>
      <c r="AF115" s="1571"/>
      <c r="AG115" s="1571"/>
      <c r="AH115" s="1571"/>
      <c r="AI115" s="234"/>
      <c r="AJ115" s="234"/>
      <c r="AK115" s="234"/>
      <c r="AL115" s="234"/>
      <c r="AM115" s="1571"/>
      <c r="AN115" s="1571"/>
      <c r="AO115" s="1571"/>
      <c r="AP115" s="1571"/>
    </row>
    <row r="116" spans="1:42">
      <c r="A116" s="1302">
        <f t="shared" si="16"/>
        <v>35</v>
      </c>
      <c r="B116" s="1571"/>
      <c r="C116" s="1302">
        <v>283</v>
      </c>
      <c r="D116" s="279"/>
      <c r="E116" s="302" t="s">
        <v>1896</v>
      </c>
      <c r="F116" s="1372">
        <f>Q50</f>
        <v>-20905546</v>
      </c>
      <c r="G116" s="2458">
        <v>-20802102</v>
      </c>
      <c r="H116" s="2458">
        <v>-20698657</v>
      </c>
      <c r="I116" s="2458">
        <v>-20595213</v>
      </c>
      <c r="J116" s="2458">
        <v>-20491769</v>
      </c>
      <c r="K116" s="2458">
        <v>-20388324</v>
      </c>
      <c r="L116" s="2458">
        <v>-20284880</v>
      </c>
      <c r="M116" s="2458">
        <v>-20181435</v>
      </c>
      <c r="N116" s="2458">
        <v>-20077991</v>
      </c>
      <c r="O116" s="2458">
        <v>-19974547</v>
      </c>
      <c r="P116" s="2458">
        <v>-19871102</v>
      </c>
      <c r="Q116" s="2458">
        <v>-19767658</v>
      </c>
      <c r="R116" s="2458">
        <v>-19664214</v>
      </c>
      <c r="S116" s="312">
        <f>SUM(F116:R116)</f>
        <v>-263703438</v>
      </c>
      <c r="T116" s="312">
        <f>ROUND(S116/13,0)</f>
        <v>-20284880</v>
      </c>
      <c r="U116" s="1571"/>
      <c r="V116" s="234"/>
      <c r="W116" s="1571"/>
      <c r="X116" s="1581"/>
      <c r="Y116" s="1571"/>
      <c r="Z116" s="1571"/>
      <c r="AA116" s="1571"/>
      <c r="AB116" s="1571"/>
      <c r="AC116" s="1571"/>
      <c r="AD116" s="1571"/>
      <c r="AE116" s="1571"/>
      <c r="AF116" s="1571"/>
      <c r="AG116" s="1571"/>
      <c r="AH116" s="1571"/>
      <c r="AI116" s="234"/>
      <c r="AJ116" s="234"/>
      <c r="AK116" s="234"/>
      <c r="AL116" s="234"/>
      <c r="AM116" s="1571"/>
      <c r="AN116" s="1571"/>
      <c r="AO116" s="1571"/>
      <c r="AP116" s="1571"/>
    </row>
    <row r="117" spans="1:42" ht="13.5" thickBot="1">
      <c r="A117" s="1302">
        <f t="shared" si="16"/>
        <v>36</v>
      </c>
      <c r="B117" s="1571"/>
      <c r="C117" s="1302"/>
      <c r="D117" s="279"/>
      <c r="E117" s="279" t="s">
        <v>1897</v>
      </c>
      <c r="F117" s="1306">
        <f>SUM(F112:F116)</f>
        <v>-226271618</v>
      </c>
      <c r="G117" s="1306">
        <f t="shared" ref="G117:R117" si="19">SUM(G112:G116)</f>
        <v>-228794939</v>
      </c>
      <c r="H117" s="1306">
        <f t="shared" si="19"/>
        <v>-231318261</v>
      </c>
      <c r="I117" s="1306">
        <f t="shared" si="19"/>
        <v>-233841584</v>
      </c>
      <c r="J117" s="1306">
        <f t="shared" si="19"/>
        <v>-236364907</v>
      </c>
      <c r="K117" s="1306">
        <f t="shared" si="19"/>
        <v>-238888229</v>
      </c>
      <c r="L117" s="1306">
        <f t="shared" si="19"/>
        <v>-241411552</v>
      </c>
      <c r="M117" s="1306">
        <f t="shared" si="19"/>
        <v>-243934873</v>
      </c>
      <c r="N117" s="1306">
        <f t="shared" si="19"/>
        <v>-246458196</v>
      </c>
      <c r="O117" s="1306">
        <f t="shared" si="19"/>
        <v>-248981519</v>
      </c>
      <c r="P117" s="1306">
        <f t="shared" si="19"/>
        <v>-251504840</v>
      </c>
      <c r="Q117" s="1306">
        <f t="shared" si="19"/>
        <v>-254028164</v>
      </c>
      <c r="R117" s="1306">
        <f t="shared" si="19"/>
        <v>-256551487</v>
      </c>
      <c r="S117" s="1306">
        <f>SUM(S112:S116)</f>
        <v>-3138350169</v>
      </c>
      <c r="T117" s="275">
        <f>SUM(T112:T116)</f>
        <v>-241411552</v>
      </c>
      <c r="U117" s="1571"/>
      <c r="V117" s="234"/>
      <c r="W117" s="1571"/>
      <c r="X117" s="1581"/>
      <c r="Y117" s="1571"/>
      <c r="Z117" s="1571"/>
      <c r="AA117" s="1571"/>
      <c r="AB117" s="1571"/>
      <c r="AC117" s="1571"/>
      <c r="AD117" s="1571"/>
      <c r="AE117" s="1571"/>
      <c r="AF117" s="1571"/>
      <c r="AG117" s="1571"/>
      <c r="AH117" s="1571"/>
      <c r="AI117" s="234"/>
      <c r="AJ117" s="234"/>
      <c r="AK117" s="234"/>
      <c r="AL117" s="234"/>
      <c r="AM117" s="1571"/>
      <c r="AN117" s="1571"/>
      <c r="AO117" s="1571"/>
      <c r="AP117" s="1571"/>
    </row>
    <row r="118" spans="1:42" ht="13.5" thickTop="1">
      <c r="A118" s="1302">
        <f t="shared" si="16"/>
        <v>37</v>
      </c>
      <c r="B118" s="1571"/>
      <c r="C118" s="1302"/>
      <c r="D118" s="279"/>
      <c r="E118" s="279"/>
      <c r="F118" s="301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1571"/>
      <c r="V118" s="234"/>
      <c r="W118" s="1571"/>
      <c r="X118" s="1581"/>
      <c r="Y118" s="1571"/>
      <c r="Z118" s="1571"/>
      <c r="AA118" s="1571"/>
      <c r="AB118" s="1571"/>
      <c r="AC118" s="1571"/>
      <c r="AD118" s="1571"/>
      <c r="AE118" s="1571"/>
      <c r="AF118" s="1571"/>
      <c r="AG118" s="1571"/>
      <c r="AH118" s="1571"/>
      <c r="AI118" s="234"/>
      <c r="AJ118" s="234"/>
      <c r="AK118" s="234"/>
      <c r="AL118" s="234"/>
      <c r="AM118" s="1571"/>
      <c r="AN118" s="1571"/>
      <c r="AO118" s="1571"/>
      <c r="AP118" s="1571"/>
    </row>
    <row r="119" spans="1:42">
      <c r="A119" s="1302">
        <f t="shared" si="16"/>
        <v>38</v>
      </c>
      <c r="B119" s="1571"/>
      <c r="C119" s="305" t="s">
        <v>449</v>
      </c>
      <c r="D119" s="284"/>
      <c r="E119" s="284"/>
      <c r="F119" s="1458"/>
      <c r="G119" s="1458"/>
      <c r="H119" s="1458"/>
      <c r="I119" s="1458"/>
      <c r="J119" s="1458"/>
      <c r="K119" s="1458"/>
      <c r="L119" s="1458"/>
      <c r="M119" s="1458"/>
      <c r="N119" s="1458"/>
      <c r="O119" s="1458"/>
      <c r="P119" s="1458"/>
      <c r="Q119" s="1458"/>
      <c r="R119" s="1458"/>
      <c r="S119" s="1571"/>
      <c r="T119" s="1571"/>
      <c r="U119" s="1571"/>
      <c r="V119" s="234"/>
      <c r="W119" s="1571"/>
      <c r="X119" s="1581"/>
      <c r="Y119" s="1571"/>
      <c r="Z119" s="1571"/>
      <c r="AA119" s="1571"/>
      <c r="AB119" s="1571"/>
      <c r="AC119" s="1571"/>
      <c r="AD119" s="1571"/>
      <c r="AE119" s="1571"/>
      <c r="AF119" s="1571"/>
      <c r="AG119" s="1571"/>
      <c r="AH119" s="1571"/>
      <c r="AI119" s="234"/>
      <c r="AJ119" s="234"/>
      <c r="AK119" s="234"/>
      <c r="AL119" s="234"/>
      <c r="AM119" s="1571"/>
      <c r="AN119" s="1571"/>
      <c r="AO119" s="1571"/>
      <c r="AP119" s="1571"/>
    </row>
    <row r="120" spans="1:42">
      <c r="A120" s="1302">
        <f t="shared" si="16"/>
        <v>39</v>
      </c>
      <c r="B120" s="1571"/>
      <c r="C120" s="284"/>
      <c r="D120" s="284"/>
      <c r="E120" s="284"/>
      <c r="F120" s="1458"/>
      <c r="G120" s="1458"/>
      <c r="H120" s="1458"/>
      <c r="I120" s="1458"/>
      <c r="J120" s="1458"/>
      <c r="K120" s="1458"/>
      <c r="L120" s="1458"/>
      <c r="M120" s="1458"/>
      <c r="N120" s="1458"/>
      <c r="O120" s="1458"/>
      <c r="P120" s="1458"/>
      <c r="Q120" s="1458"/>
      <c r="R120" s="1458"/>
      <c r="S120" s="1571"/>
      <c r="T120" s="1571"/>
      <c r="U120" s="1571"/>
      <c r="V120" s="234"/>
      <c r="W120" s="1571"/>
      <c r="X120" s="1581"/>
      <c r="Y120" s="1571"/>
      <c r="Z120" s="1571"/>
      <c r="AA120" s="1571"/>
      <c r="AB120" s="1571"/>
      <c r="AC120" s="1571"/>
      <c r="AD120" s="1571"/>
      <c r="AE120" s="1571"/>
      <c r="AF120" s="1571"/>
      <c r="AG120" s="1571"/>
      <c r="AH120" s="1571"/>
      <c r="AI120" s="234"/>
      <c r="AJ120" s="234"/>
      <c r="AK120" s="234"/>
      <c r="AL120" s="234"/>
      <c r="AM120" s="1571"/>
      <c r="AN120" s="1571"/>
      <c r="AO120" s="1571"/>
      <c r="AP120" s="1571"/>
    </row>
    <row r="121" spans="1:42">
      <c r="A121" s="1302">
        <f t="shared" si="16"/>
        <v>40</v>
      </c>
      <c r="B121" s="1571"/>
      <c r="C121" s="1302">
        <v>255</v>
      </c>
      <c r="D121" s="284"/>
      <c r="E121" s="279" t="s">
        <v>1398</v>
      </c>
      <c r="F121" s="294"/>
      <c r="G121" s="300"/>
      <c r="H121" s="300"/>
      <c r="I121" s="300"/>
      <c r="J121" s="300"/>
      <c r="K121" s="300"/>
      <c r="L121" s="300"/>
      <c r="M121" s="300"/>
      <c r="N121" s="300"/>
      <c r="O121" s="300"/>
      <c r="P121" s="300"/>
      <c r="Q121" s="300"/>
      <c r="R121" s="300"/>
      <c r="S121" s="294"/>
      <c r="T121" s="294"/>
      <c r="U121" s="1571"/>
      <c r="V121" s="234"/>
      <c r="W121" s="314"/>
      <c r="X121" s="1571"/>
      <c r="Y121" s="1571"/>
      <c r="Z121" s="1571"/>
      <c r="AA121" s="1571"/>
      <c r="AB121" s="1571"/>
      <c r="AC121" s="1571"/>
      <c r="AD121" s="1571"/>
      <c r="AE121" s="45"/>
      <c r="AF121" s="1571"/>
      <c r="AG121" s="1571"/>
      <c r="AH121" s="1571"/>
      <c r="AI121" s="234"/>
      <c r="AJ121" s="234"/>
      <c r="AK121" s="234"/>
      <c r="AL121" s="234"/>
      <c r="AM121" s="1571"/>
      <c r="AN121" s="1571"/>
      <c r="AO121" s="1571"/>
      <c r="AP121" s="1571"/>
    </row>
    <row r="122" spans="1:42">
      <c r="A122" s="1302">
        <f t="shared" si="16"/>
        <v>41</v>
      </c>
      <c r="B122" s="1571"/>
      <c r="C122" s="1302"/>
      <c r="D122" s="284"/>
      <c r="E122" s="299" t="s">
        <v>297</v>
      </c>
      <c r="F122" s="276">
        <f>Q56</f>
        <v>0</v>
      </c>
      <c r="G122" s="300">
        <v>0</v>
      </c>
      <c r="H122" s="300">
        <v>0</v>
      </c>
      <c r="I122" s="300">
        <v>0</v>
      </c>
      <c r="J122" s="300">
        <v>0</v>
      </c>
      <c r="K122" s="300">
        <v>0</v>
      </c>
      <c r="L122" s="300">
        <v>0</v>
      </c>
      <c r="M122" s="300">
        <v>0</v>
      </c>
      <c r="N122" s="300">
        <v>0</v>
      </c>
      <c r="O122" s="300">
        <v>0</v>
      </c>
      <c r="P122" s="300">
        <v>0</v>
      </c>
      <c r="Q122" s="300">
        <v>0</v>
      </c>
      <c r="R122" s="300">
        <v>0</v>
      </c>
      <c r="S122" s="295">
        <f>SUM(F122:R122)</f>
        <v>0</v>
      </c>
      <c r="T122" s="295">
        <f>ROUND(S122/13,0)</f>
        <v>0</v>
      </c>
      <c r="U122" s="1571"/>
      <c r="V122" s="234"/>
      <c r="W122" s="314"/>
      <c r="X122" s="315"/>
      <c r="Y122" s="45"/>
      <c r="Z122" s="45"/>
      <c r="AA122" s="45"/>
      <c r="AB122" s="45"/>
      <c r="AC122" s="45"/>
      <c r="AD122" s="316"/>
      <c r="AE122" s="45"/>
      <c r="AF122" s="1571"/>
      <c r="AG122" s="1571"/>
      <c r="AH122" s="1571"/>
      <c r="AI122" s="234"/>
      <c r="AJ122" s="234"/>
      <c r="AK122" s="234"/>
      <c r="AL122" s="234"/>
      <c r="AM122" s="1571"/>
      <c r="AN122" s="1571"/>
      <c r="AO122" s="1571"/>
      <c r="AP122" s="1571"/>
    </row>
    <row r="123" spans="1:42">
      <c r="A123" s="1302">
        <f t="shared" si="16"/>
        <v>42</v>
      </c>
      <c r="B123" s="1571"/>
      <c r="C123" s="1302"/>
      <c r="D123" s="284"/>
      <c r="E123" s="299" t="s">
        <v>299</v>
      </c>
      <c r="F123" s="276">
        <f>Q57</f>
        <v>0</v>
      </c>
      <c r="G123" s="300">
        <v>0</v>
      </c>
      <c r="H123" s="300">
        <v>0</v>
      </c>
      <c r="I123" s="300">
        <v>0</v>
      </c>
      <c r="J123" s="300">
        <v>0</v>
      </c>
      <c r="K123" s="300">
        <v>0</v>
      </c>
      <c r="L123" s="300">
        <v>0</v>
      </c>
      <c r="M123" s="300">
        <v>0</v>
      </c>
      <c r="N123" s="300">
        <v>0</v>
      </c>
      <c r="O123" s="300">
        <v>0</v>
      </c>
      <c r="P123" s="300">
        <v>0</v>
      </c>
      <c r="Q123" s="300">
        <v>0</v>
      </c>
      <c r="R123" s="300">
        <v>0</v>
      </c>
      <c r="S123" s="295">
        <f>SUM(F123:R123)</f>
        <v>0</v>
      </c>
      <c r="T123" s="295">
        <f>ROUND(S123/13,0)</f>
        <v>0</v>
      </c>
      <c r="U123" s="1571"/>
      <c r="V123" s="234"/>
      <c r="W123" s="314"/>
      <c r="X123" s="315"/>
      <c r="Y123" s="45"/>
      <c r="Z123" s="45"/>
      <c r="AA123" s="45"/>
      <c r="AB123" s="45"/>
      <c r="AC123" s="45"/>
      <c r="AD123" s="316"/>
      <c r="AE123" s="45"/>
      <c r="AF123" s="1571"/>
      <c r="AG123" s="1571"/>
      <c r="AH123" s="1571"/>
      <c r="AI123" s="234"/>
      <c r="AJ123" s="234"/>
      <c r="AK123" s="234"/>
      <c r="AL123" s="234"/>
      <c r="AM123" s="1571"/>
      <c r="AN123" s="1571"/>
      <c r="AO123" s="1571"/>
      <c r="AP123" s="1571"/>
    </row>
    <row r="124" spans="1:42">
      <c r="A124" s="1302">
        <f t="shared" si="16"/>
        <v>43</v>
      </c>
      <c r="B124" s="1571"/>
      <c r="C124" s="1302"/>
      <c r="D124" s="284"/>
      <c r="E124" s="299" t="s">
        <v>301</v>
      </c>
      <c r="F124" s="1372">
        <f>Q58</f>
        <v>0</v>
      </c>
      <c r="G124" s="2457">
        <v>0</v>
      </c>
      <c r="H124" s="2457">
        <v>0</v>
      </c>
      <c r="I124" s="2457">
        <v>0</v>
      </c>
      <c r="J124" s="2457">
        <v>0</v>
      </c>
      <c r="K124" s="2457">
        <v>0</v>
      </c>
      <c r="L124" s="2457">
        <v>0</v>
      </c>
      <c r="M124" s="2457">
        <v>0</v>
      </c>
      <c r="N124" s="2457">
        <v>0</v>
      </c>
      <c r="O124" s="2457">
        <v>0</v>
      </c>
      <c r="P124" s="2457">
        <v>0</v>
      </c>
      <c r="Q124" s="2457">
        <v>0</v>
      </c>
      <c r="R124" s="2457">
        <v>0</v>
      </c>
      <c r="S124" s="312">
        <f>SUM(F124:R124)</f>
        <v>0</v>
      </c>
      <c r="T124" s="312">
        <f>ROUND(S124/13,0)</f>
        <v>0</v>
      </c>
      <c r="U124" s="1571"/>
      <c r="V124" s="234"/>
      <c r="W124" s="314"/>
      <c r="X124" s="315"/>
      <c r="Y124" s="45"/>
      <c r="Z124" s="45"/>
      <c r="AA124" s="45"/>
      <c r="AB124" s="45"/>
      <c r="AC124" s="45"/>
      <c r="AD124" s="316"/>
      <c r="AE124" s="45"/>
      <c r="AF124" s="1571"/>
      <c r="AG124" s="1571"/>
      <c r="AH124" s="1571"/>
      <c r="AI124" s="234"/>
      <c r="AJ124" s="234"/>
      <c r="AK124" s="234"/>
      <c r="AL124" s="234"/>
      <c r="AM124" s="1571"/>
      <c r="AN124" s="1571"/>
      <c r="AO124" s="1571"/>
      <c r="AP124" s="1571"/>
    </row>
    <row r="125" spans="1:42" ht="13.5" thickBot="1">
      <c r="A125" s="1302">
        <f t="shared" si="16"/>
        <v>44</v>
      </c>
      <c r="B125" s="1571"/>
      <c r="C125" s="1302"/>
      <c r="D125" s="284"/>
      <c r="E125" s="279" t="s">
        <v>302</v>
      </c>
      <c r="F125" s="313">
        <f>SUM(F123:F124)</f>
        <v>0</v>
      </c>
      <c r="G125" s="275">
        <f>SUM(G123:G124)</f>
        <v>0</v>
      </c>
      <c r="H125" s="275">
        <f t="shared" ref="H125:R125" si="20">SUM(H123:H124)</f>
        <v>0</v>
      </c>
      <c r="I125" s="275">
        <f t="shared" si="20"/>
        <v>0</v>
      </c>
      <c r="J125" s="275">
        <f t="shared" si="20"/>
        <v>0</v>
      </c>
      <c r="K125" s="275">
        <f t="shared" si="20"/>
        <v>0</v>
      </c>
      <c r="L125" s="275">
        <f t="shared" si="20"/>
        <v>0</v>
      </c>
      <c r="M125" s="275">
        <f t="shared" si="20"/>
        <v>0</v>
      </c>
      <c r="N125" s="275">
        <f t="shared" si="20"/>
        <v>0</v>
      </c>
      <c r="O125" s="275">
        <f t="shared" si="20"/>
        <v>0</v>
      </c>
      <c r="P125" s="275">
        <f t="shared" si="20"/>
        <v>0</v>
      </c>
      <c r="Q125" s="275">
        <f t="shared" si="20"/>
        <v>0</v>
      </c>
      <c r="R125" s="275">
        <f t="shared" si="20"/>
        <v>0</v>
      </c>
      <c r="S125" s="1306">
        <f>SUM(S121:S124)</f>
        <v>0</v>
      </c>
      <c r="T125" s="275">
        <f>SUM(T121:T124)</f>
        <v>0</v>
      </c>
      <c r="U125" s="1571"/>
      <c r="V125" s="234"/>
      <c r="W125" s="314"/>
      <c r="X125" s="1571"/>
      <c r="Y125" s="1571"/>
      <c r="Z125" s="1571"/>
      <c r="AA125" s="1571"/>
      <c r="AB125" s="1571"/>
      <c r="AC125" s="1571"/>
      <c r="AD125" s="1571"/>
      <c r="AE125" s="1571"/>
      <c r="AF125" s="1571"/>
      <c r="AG125" s="1571"/>
      <c r="AH125" s="1571"/>
      <c r="AI125" s="1571"/>
      <c r="AJ125" s="1571"/>
      <c r="AK125" s="1571"/>
      <c r="AL125" s="1571"/>
      <c r="AM125" s="1571"/>
      <c r="AN125" s="1571"/>
      <c r="AO125" s="1571"/>
      <c r="AP125" s="1571"/>
    </row>
    <row r="126" spans="1:42" ht="13.5" thickTop="1">
      <c r="A126" s="1302">
        <f t="shared" si="16"/>
        <v>45</v>
      </c>
      <c r="B126" s="1571"/>
      <c r="C126" s="1302"/>
      <c r="D126" s="284"/>
      <c r="E126" s="279"/>
      <c r="F126" s="1458"/>
      <c r="G126" s="1571"/>
      <c r="H126" s="1571"/>
      <c r="I126" s="1571"/>
      <c r="J126" s="1571"/>
      <c r="K126" s="1571"/>
      <c r="L126" s="1571"/>
      <c r="M126" s="1571"/>
      <c r="N126" s="1571"/>
      <c r="O126" s="1571"/>
      <c r="P126" s="1571"/>
      <c r="Q126" s="1571"/>
      <c r="R126" s="1571"/>
      <c r="S126" s="1571"/>
      <c r="T126" s="1571"/>
      <c r="U126" s="1571"/>
      <c r="V126" s="234"/>
      <c r="W126" s="314"/>
      <c r="X126" s="1571"/>
      <c r="Y126" s="1571"/>
      <c r="Z126" s="1571"/>
      <c r="AA126" s="1571"/>
      <c r="AB126" s="1571"/>
      <c r="AC126" s="1571"/>
      <c r="AD126" s="1571"/>
      <c r="AE126" s="1571"/>
      <c r="AF126" s="1571"/>
      <c r="AG126" s="1571"/>
      <c r="AH126" s="1571"/>
      <c r="AI126" s="1571"/>
      <c r="AJ126" s="1571"/>
      <c r="AK126" s="1571"/>
      <c r="AL126" s="1571"/>
      <c r="AM126" s="1571"/>
      <c r="AN126" s="1571"/>
      <c r="AO126" s="1571"/>
      <c r="AP126" s="1571"/>
    </row>
    <row r="127" spans="1:42">
      <c r="A127" s="1302">
        <f t="shared" si="16"/>
        <v>46</v>
      </c>
      <c r="B127" s="1571"/>
      <c r="C127" s="1302"/>
      <c r="D127" s="284"/>
      <c r="E127" s="279" t="s">
        <v>443</v>
      </c>
      <c r="F127" s="1458"/>
      <c r="G127" s="1571"/>
      <c r="H127" s="1571"/>
      <c r="I127" s="1571"/>
      <c r="J127" s="1571"/>
      <c r="K127" s="1571"/>
      <c r="L127" s="1571"/>
      <c r="M127" s="1571"/>
      <c r="N127" s="1571"/>
      <c r="O127" s="1571"/>
      <c r="P127" s="1571"/>
      <c r="Q127" s="1571"/>
      <c r="R127" s="1571"/>
      <c r="S127" s="1571"/>
      <c r="T127" s="1571"/>
      <c r="U127" s="1571"/>
      <c r="V127" s="234"/>
      <c r="W127" s="314"/>
      <c r="X127" s="1571"/>
      <c r="Y127" s="1571"/>
      <c r="Z127" s="1571"/>
      <c r="AA127" s="1571"/>
      <c r="AB127" s="1571"/>
      <c r="AC127" s="1571"/>
      <c r="AD127" s="1571"/>
      <c r="AE127" s="1571"/>
      <c r="AF127" s="1571"/>
      <c r="AG127" s="1571"/>
      <c r="AH127" s="1571"/>
      <c r="AI127" s="1571"/>
      <c r="AJ127" s="1571"/>
      <c r="AK127" s="1571"/>
      <c r="AL127" s="1571"/>
      <c r="AM127" s="1571"/>
      <c r="AN127" s="1571"/>
      <c r="AO127" s="1571"/>
      <c r="AP127" s="1571"/>
    </row>
    <row r="128" spans="1:42">
      <c r="A128" s="1302">
        <f t="shared" si="16"/>
        <v>47</v>
      </c>
      <c r="B128" s="1571"/>
      <c r="C128" s="1302">
        <v>190</v>
      </c>
      <c r="D128" s="279"/>
      <c r="E128" s="302" t="s">
        <v>1892</v>
      </c>
      <c r="F128" s="1458">
        <f>Q62</f>
        <v>-107591</v>
      </c>
      <c r="G128" s="65">
        <v>-107591</v>
      </c>
      <c r="H128" s="65">
        <v>-107591</v>
      </c>
      <c r="I128" s="65">
        <v>-107591</v>
      </c>
      <c r="J128" s="65">
        <v>-107591</v>
      </c>
      <c r="K128" s="65">
        <v>-107591</v>
      </c>
      <c r="L128" s="65">
        <v>-107591</v>
      </c>
      <c r="M128" s="65">
        <v>-107591</v>
      </c>
      <c r="N128" s="65">
        <v>-107591</v>
      </c>
      <c r="O128" s="65">
        <v>-107591</v>
      </c>
      <c r="P128" s="65">
        <v>-107591</v>
      </c>
      <c r="Q128" s="65">
        <v>-107591</v>
      </c>
      <c r="R128" s="65">
        <v>-107591</v>
      </c>
      <c r="S128" s="295">
        <f>SUM(F128:R128)</f>
        <v>-1398683</v>
      </c>
      <c r="T128" s="295">
        <f>ROUND(S128/13,0)</f>
        <v>-107591</v>
      </c>
      <c r="U128" s="1571"/>
      <c r="V128" s="234"/>
      <c r="W128" s="314"/>
      <c r="X128" s="1571"/>
      <c r="Y128" s="1571"/>
      <c r="Z128" s="1571"/>
      <c r="AA128" s="1571"/>
      <c r="AB128" s="1571"/>
      <c r="AC128" s="1571"/>
      <c r="AD128" s="1571"/>
      <c r="AE128" s="1571"/>
      <c r="AF128" s="1571"/>
      <c r="AG128" s="1571"/>
      <c r="AH128" s="1571"/>
      <c r="AI128" s="1571"/>
      <c r="AJ128" s="1571"/>
      <c r="AK128" s="1571"/>
      <c r="AL128" s="1571"/>
      <c r="AM128" s="1571"/>
      <c r="AN128" s="1571"/>
      <c r="AO128" s="1571"/>
      <c r="AP128" s="1571"/>
    </row>
    <row r="129" spans="1:42">
      <c r="A129" s="1302">
        <f t="shared" si="16"/>
        <v>48</v>
      </c>
      <c r="B129" s="1571"/>
      <c r="C129" s="1302">
        <v>282</v>
      </c>
      <c r="D129" s="279"/>
      <c r="E129" s="302" t="s">
        <v>1894</v>
      </c>
      <c r="F129" s="1458">
        <f>Q63</f>
        <v>-2465986</v>
      </c>
      <c r="G129" s="65">
        <v>-2511223</v>
      </c>
      <c r="H129" s="65">
        <v>-2556461</v>
      </c>
      <c r="I129" s="65">
        <v>-2601698</v>
      </c>
      <c r="J129" s="65">
        <v>-2646935</v>
      </c>
      <c r="K129" s="65">
        <v>-2692173</v>
      </c>
      <c r="L129" s="65">
        <v>-2737410</v>
      </c>
      <c r="M129" s="65">
        <v>-2782648</v>
      </c>
      <c r="N129" s="65">
        <v>-2827885</v>
      </c>
      <c r="O129" s="65">
        <v>-2873123</v>
      </c>
      <c r="P129" s="65">
        <v>-2918360</v>
      </c>
      <c r="Q129" s="65">
        <v>-2963598</v>
      </c>
      <c r="R129" s="65">
        <v>-3008835</v>
      </c>
      <c r="S129" s="295">
        <f>SUM(F129:R129)</f>
        <v>-35586335</v>
      </c>
      <c r="T129" s="295">
        <f>ROUND(S129/13,0)</f>
        <v>-2737410</v>
      </c>
      <c r="U129" s="1571"/>
      <c r="V129" s="234"/>
      <c r="W129" s="314"/>
      <c r="X129" s="1571"/>
      <c r="Y129" s="1571"/>
      <c r="Z129" s="1571"/>
      <c r="AA129" s="1571"/>
      <c r="AB129" s="1571"/>
      <c r="AC129" s="1571"/>
      <c r="AD129" s="1571"/>
      <c r="AE129" s="1571"/>
      <c r="AF129" s="1571"/>
      <c r="AG129" s="1571"/>
      <c r="AH129" s="1571"/>
      <c r="AI129" s="1571"/>
      <c r="AJ129" s="1571"/>
      <c r="AK129" s="1571"/>
      <c r="AL129" s="1571"/>
      <c r="AM129" s="1571"/>
      <c r="AN129" s="1571"/>
      <c r="AO129" s="1571"/>
      <c r="AP129" s="1571"/>
    </row>
    <row r="130" spans="1:42">
      <c r="A130" s="1302">
        <f t="shared" si="16"/>
        <v>49</v>
      </c>
      <c r="B130" s="1571"/>
      <c r="C130" s="1302">
        <v>282</v>
      </c>
      <c r="D130" s="279"/>
      <c r="E130" s="302" t="s">
        <v>1893</v>
      </c>
      <c r="F130" s="1458">
        <f>Q64</f>
        <v>-49323969</v>
      </c>
      <c r="G130" s="65">
        <v>-49071022</v>
      </c>
      <c r="H130" s="65">
        <v>-48818074</v>
      </c>
      <c r="I130" s="65">
        <v>-48565127</v>
      </c>
      <c r="J130" s="65">
        <v>-48312180</v>
      </c>
      <c r="K130" s="65">
        <v>-48059232</v>
      </c>
      <c r="L130" s="65">
        <v>-47806285</v>
      </c>
      <c r="M130" s="65">
        <v>-47553337</v>
      </c>
      <c r="N130" s="65">
        <v>-47300390</v>
      </c>
      <c r="O130" s="65">
        <v>-47047443</v>
      </c>
      <c r="P130" s="65">
        <v>-46794495</v>
      </c>
      <c r="Q130" s="65">
        <v>-46541548</v>
      </c>
      <c r="R130" s="65">
        <v>-46288600</v>
      </c>
      <c r="S130" s="295">
        <f>SUM(F130:R130)</f>
        <v>-621481702</v>
      </c>
      <c r="T130" s="295">
        <f>ROUND(S130/13,0)</f>
        <v>-47806285</v>
      </c>
      <c r="U130" s="1571"/>
      <c r="V130" s="234"/>
      <c r="W130" s="314"/>
      <c r="X130" s="1571"/>
      <c r="Y130" s="1571"/>
      <c r="Z130" s="1571"/>
      <c r="AA130" s="1571"/>
      <c r="AB130" s="1571"/>
      <c r="AC130" s="1571"/>
      <c r="AD130" s="1571"/>
      <c r="AE130" s="1571"/>
      <c r="AF130" s="1571"/>
      <c r="AG130" s="1571"/>
      <c r="AH130" s="1571"/>
      <c r="AI130" s="1571"/>
      <c r="AJ130" s="1571"/>
      <c r="AK130" s="1571"/>
      <c r="AL130" s="1571"/>
      <c r="AM130" s="1571"/>
      <c r="AN130" s="1571"/>
      <c r="AO130" s="1571"/>
      <c r="AP130" s="1571"/>
    </row>
    <row r="131" spans="1:42">
      <c r="A131" s="1302">
        <f t="shared" si="16"/>
        <v>50</v>
      </c>
      <c r="B131" s="1571"/>
      <c r="C131" s="1302">
        <v>283</v>
      </c>
      <c r="D131" s="279"/>
      <c r="E131" s="302" t="s">
        <v>1896</v>
      </c>
      <c r="F131" s="317">
        <f>Q65</f>
        <v>0</v>
      </c>
      <c r="G131" s="2459">
        <v>0</v>
      </c>
      <c r="H131" s="2459">
        <v>0</v>
      </c>
      <c r="I131" s="2459">
        <v>0</v>
      </c>
      <c r="J131" s="2459">
        <v>0</v>
      </c>
      <c r="K131" s="2459">
        <v>0</v>
      </c>
      <c r="L131" s="2459">
        <v>0</v>
      </c>
      <c r="M131" s="2459">
        <v>0</v>
      </c>
      <c r="N131" s="2459">
        <v>0</v>
      </c>
      <c r="O131" s="2459">
        <v>0</v>
      </c>
      <c r="P131" s="2459">
        <v>0</v>
      </c>
      <c r="Q131" s="2459">
        <v>0</v>
      </c>
      <c r="R131" s="2459">
        <v>0</v>
      </c>
      <c r="S131" s="312">
        <f>SUM(F131:R131)</f>
        <v>0</v>
      </c>
      <c r="T131" s="312">
        <f>ROUND(S131/13,0)</f>
        <v>0</v>
      </c>
      <c r="U131" s="1571"/>
      <c r="V131" s="234"/>
      <c r="W131" s="314"/>
      <c r="X131" s="1571"/>
      <c r="Y131" s="1571"/>
      <c r="Z131" s="1571"/>
      <c r="AA131" s="1571"/>
      <c r="AB131" s="1571"/>
      <c r="AC131" s="1571"/>
      <c r="AD131" s="1571"/>
      <c r="AE131" s="1571"/>
      <c r="AF131" s="1571"/>
      <c r="AG131" s="1571"/>
      <c r="AH131" s="1571"/>
      <c r="AI131" s="1571"/>
      <c r="AJ131" s="1571"/>
      <c r="AK131" s="1571"/>
      <c r="AL131" s="1571"/>
      <c r="AM131" s="1571"/>
      <c r="AN131" s="1571"/>
      <c r="AO131" s="1571"/>
      <c r="AP131" s="1571"/>
    </row>
    <row r="132" spans="1:42" ht="13.5" thickBot="1">
      <c r="A132" s="1302">
        <f t="shared" si="16"/>
        <v>51</v>
      </c>
      <c r="B132" s="1571"/>
      <c r="C132" s="1302"/>
      <c r="D132" s="279"/>
      <c r="E132" s="279" t="s">
        <v>1897</v>
      </c>
      <c r="F132" s="1306">
        <f>SUM(F128:F131)</f>
        <v>-51897546</v>
      </c>
      <c r="G132" s="1306">
        <f>SUM(G128:G131)</f>
        <v>-51689836</v>
      </c>
      <c r="H132" s="1306">
        <f t="shared" ref="H132:R132" si="21">SUM(H128:H131)</f>
        <v>-51482126</v>
      </c>
      <c r="I132" s="1306">
        <f t="shared" si="21"/>
        <v>-51274416</v>
      </c>
      <c r="J132" s="1306">
        <f t="shared" si="21"/>
        <v>-51066706</v>
      </c>
      <c r="K132" s="1306">
        <f t="shared" si="21"/>
        <v>-50858996</v>
      </c>
      <c r="L132" s="1306">
        <f t="shared" si="21"/>
        <v>-50651286</v>
      </c>
      <c r="M132" s="1306">
        <f t="shared" si="21"/>
        <v>-50443576</v>
      </c>
      <c r="N132" s="1306">
        <f t="shared" si="21"/>
        <v>-50235866</v>
      </c>
      <c r="O132" s="1306">
        <f t="shared" si="21"/>
        <v>-50028157</v>
      </c>
      <c r="P132" s="1306">
        <f t="shared" si="21"/>
        <v>-49820446</v>
      </c>
      <c r="Q132" s="1306">
        <f t="shared" si="21"/>
        <v>-49612737</v>
      </c>
      <c r="R132" s="1306">
        <f t="shared" si="21"/>
        <v>-49405026</v>
      </c>
      <c r="S132" s="1306">
        <f>SUM(S128:S131)</f>
        <v>-658466720</v>
      </c>
      <c r="T132" s="275">
        <f>SUM(T128:T131)</f>
        <v>-50651286</v>
      </c>
      <c r="U132" s="1571"/>
      <c r="V132" s="234"/>
      <c r="W132" s="314"/>
      <c r="X132" s="1571"/>
      <c r="Y132" s="1571"/>
      <c r="Z132" s="1571"/>
      <c r="AA132" s="1571"/>
      <c r="AB132" s="1571"/>
      <c r="AC132" s="1571"/>
      <c r="AD132" s="1571"/>
      <c r="AE132" s="1571"/>
      <c r="AF132" s="1571"/>
      <c r="AG132" s="1571"/>
      <c r="AH132" s="1571"/>
      <c r="AI132" s="1571"/>
      <c r="AJ132" s="1571"/>
      <c r="AK132" s="1571"/>
      <c r="AL132" s="1571"/>
      <c r="AM132" s="1571"/>
      <c r="AN132" s="1571"/>
      <c r="AO132" s="1571"/>
      <c r="AP132" s="1571"/>
    </row>
    <row r="133" spans="1:42" ht="13.5" thickTop="1">
      <c r="A133" s="1571"/>
      <c r="B133" s="1571"/>
      <c r="C133" s="1571"/>
      <c r="D133" s="1571"/>
      <c r="E133" s="1571"/>
      <c r="F133" s="1458"/>
      <c r="G133" s="1571"/>
      <c r="H133" s="1571"/>
      <c r="I133" s="1571"/>
      <c r="J133" s="1571"/>
      <c r="K133" s="1571"/>
      <c r="L133" s="1571"/>
      <c r="M133" s="1571"/>
      <c r="N133" s="1571"/>
      <c r="O133" s="1571"/>
      <c r="P133" s="1571"/>
      <c r="Q133" s="1571"/>
      <c r="R133" s="1571"/>
      <c r="S133" s="1571"/>
      <c r="T133" s="1571"/>
      <c r="U133" s="1571"/>
      <c r="V133" s="234"/>
      <c r="W133" s="1571"/>
      <c r="X133" s="1571"/>
      <c r="Y133" s="1571"/>
      <c r="Z133" s="1571"/>
      <c r="AA133" s="1571"/>
      <c r="AB133" s="1571"/>
      <c r="AC133" s="1571"/>
      <c r="AD133" s="1571"/>
      <c r="AE133" s="1571"/>
      <c r="AF133" s="1571"/>
      <c r="AG133" s="1571"/>
      <c r="AH133" s="1571"/>
      <c r="AI133" s="1571"/>
      <c r="AJ133" s="1571"/>
      <c r="AK133" s="1571"/>
      <c r="AL133" s="1571"/>
      <c r="AM133" s="1571"/>
      <c r="AN133" s="1571"/>
      <c r="AO133" s="1571"/>
      <c r="AP133" s="1571"/>
    </row>
    <row r="134" spans="1:42">
      <c r="A134" s="1571"/>
      <c r="B134" s="1571"/>
      <c r="C134" s="1571"/>
      <c r="D134" s="1571"/>
      <c r="E134" s="1571"/>
      <c r="F134" s="1458"/>
      <c r="G134" s="1458"/>
      <c r="H134" s="1458"/>
      <c r="I134" s="1458"/>
      <c r="J134" s="1458"/>
      <c r="K134" s="1458"/>
      <c r="L134" s="1458"/>
      <c r="M134" s="1458"/>
      <c r="N134" s="1458"/>
      <c r="O134" s="1458"/>
      <c r="P134" s="1458"/>
      <c r="Q134" s="1458"/>
      <c r="R134" s="1458"/>
      <c r="S134" s="1458"/>
      <c r="T134" s="1571"/>
      <c r="U134" s="1571"/>
      <c r="V134" s="234"/>
      <c r="W134" s="1571"/>
      <c r="X134" s="1571"/>
      <c r="Y134" s="1571"/>
      <c r="Z134" s="1571"/>
      <c r="AA134" s="1571"/>
      <c r="AB134" s="1571"/>
      <c r="AC134" s="1571"/>
      <c r="AD134" s="1571"/>
      <c r="AE134" s="1571"/>
      <c r="AF134" s="1571"/>
      <c r="AG134" s="1571"/>
      <c r="AH134" s="1571"/>
      <c r="AI134" s="1571"/>
      <c r="AJ134" s="1571"/>
      <c r="AK134" s="1571"/>
      <c r="AL134" s="1571"/>
      <c r="AM134" s="1571"/>
      <c r="AN134" s="1571"/>
      <c r="AO134" s="1571"/>
      <c r="AP134" s="1571"/>
    </row>
    <row r="135" spans="1:42">
      <c r="A135" s="1571"/>
      <c r="B135" s="1571"/>
      <c r="C135" s="1571"/>
      <c r="D135" s="1571"/>
      <c r="E135" s="1571"/>
      <c r="F135" s="1458">
        <f t="shared" ref="F135:R135" si="22">F132+F117+F99</f>
        <v>-362958008</v>
      </c>
      <c r="G135" s="1458">
        <f t="shared" si="22"/>
        <v>-365805814</v>
      </c>
      <c r="H135" s="1458">
        <f t="shared" si="22"/>
        <v>-368653623</v>
      </c>
      <c r="I135" s="1458">
        <f t="shared" si="22"/>
        <v>-371501431</v>
      </c>
      <c r="J135" s="1458">
        <f t="shared" si="22"/>
        <v>-374349240</v>
      </c>
      <c r="K135" s="1458">
        <f t="shared" si="22"/>
        <v>-377197047</v>
      </c>
      <c r="L135" s="1458">
        <f t="shared" si="22"/>
        <v>-380044857</v>
      </c>
      <c r="M135" s="1458">
        <f t="shared" si="22"/>
        <v>-382892665</v>
      </c>
      <c r="N135" s="1458">
        <f t="shared" si="22"/>
        <v>-385740473</v>
      </c>
      <c r="O135" s="1458">
        <f t="shared" si="22"/>
        <v>-388588284</v>
      </c>
      <c r="P135" s="1458">
        <f t="shared" si="22"/>
        <v>-391436089</v>
      </c>
      <c r="Q135" s="1458">
        <f t="shared" si="22"/>
        <v>-394283901</v>
      </c>
      <c r="R135" s="1458">
        <f t="shared" si="22"/>
        <v>-397131708</v>
      </c>
      <c r="S135" s="1458"/>
      <c r="T135" s="1458">
        <f>T132+T117+T99</f>
        <v>-380044857</v>
      </c>
      <c r="U135" s="1571"/>
      <c r="V135" s="234"/>
      <c r="W135" s="1571"/>
      <c r="X135" s="1571"/>
      <c r="Y135" s="1571"/>
      <c r="Z135" s="1571"/>
      <c r="AA135" s="1571"/>
      <c r="AB135" s="1571"/>
      <c r="AC135" s="1571"/>
      <c r="AD135" s="1571"/>
      <c r="AE135" s="1571"/>
      <c r="AF135" s="1571"/>
      <c r="AG135" s="1571"/>
      <c r="AH135" s="1571"/>
      <c r="AI135" s="1571"/>
      <c r="AJ135" s="1571"/>
      <c r="AK135" s="1571"/>
      <c r="AL135" s="1571"/>
      <c r="AM135" s="1571"/>
      <c r="AN135" s="1571"/>
      <c r="AO135" s="1571"/>
      <c r="AP135" s="1571"/>
    </row>
    <row r="136" spans="1:42">
      <c r="A136" s="1571"/>
      <c r="B136" s="1571"/>
      <c r="C136" s="1571"/>
      <c r="D136" s="1571"/>
      <c r="E136" s="1571"/>
      <c r="F136" s="1347"/>
      <c r="S136" s="1458"/>
      <c r="T136" s="1571"/>
      <c r="U136" s="1571"/>
      <c r="V136" s="234"/>
      <c r="W136" s="1571"/>
      <c r="X136" s="1571"/>
      <c r="Y136" s="1571"/>
      <c r="Z136" s="1571"/>
      <c r="AA136" s="1571"/>
      <c r="AB136" s="1571"/>
      <c r="AC136" s="1571"/>
      <c r="AD136" s="1571"/>
      <c r="AE136" s="1571"/>
      <c r="AF136" s="1571"/>
      <c r="AG136" s="1571"/>
      <c r="AH136" s="1571"/>
      <c r="AI136" s="1571"/>
      <c r="AJ136" s="1571"/>
      <c r="AK136" s="1571"/>
      <c r="AL136" s="1571"/>
      <c r="AM136" s="1571"/>
      <c r="AN136" s="1571"/>
      <c r="AO136" s="1571"/>
      <c r="AP136" s="1571"/>
    </row>
    <row r="137" spans="1:42">
      <c r="A137" s="1571"/>
      <c r="B137" s="1571"/>
      <c r="C137" s="1571"/>
      <c r="D137" s="1571"/>
      <c r="E137" s="1571"/>
      <c r="F137" s="1458"/>
      <c r="G137" s="1458"/>
      <c r="H137" s="1458"/>
      <c r="I137" s="1458"/>
      <c r="J137" s="1458"/>
      <c r="K137" s="1458"/>
      <c r="L137" s="1458"/>
      <c r="M137" s="1458"/>
      <c r="N137" s="1458"/>
      <c r="O137" s="1458"/>
      <c r="P137" s="1458"/>
      <c r="Q137" s="1458"/>
      <c r="R137" s="1458"/>
      <c r="S137" s="1458"/>
      <c r="T137" s="1458"/>
      <c r="U137" s="1571"/>
      <c r="V137" s="234"/>
      <c r="W137" s="1571"/>
      <c r="X137" s="1571"/>
      <c r="Y137" s="1571"/>
      <c r="Z137" s="1571"/>
      <c r="AA137" s="1571"/>
      <c r="AB137" s="1571"/>
      <c r="AC137" s="1571"/>
      <c r="AD137" s="1571"/>
      <c r="AE137" s="1571"/>
      <c r="AF137" s="1571"/>
      <c r="AG137" s="1571"/>
      <c r="AH137" s="1571"/>
      <c r="AI137" s="1571"/>
      <c r="AJ137" s="1571"/>
      <c r="AK137" s="1571"/>
      <c r="AL137" s="1571"/>
      <c r="AM137" s="1571"/>
      <c r="AN137" s="1571"/>
      <c r="AO137" s="1571"/>
      <c r="AP137" s="1571"/>
    </row>
    <row r="138" spans="1:42">
      <c r="A138" s="1571"/>
      <c r="B138" s="1571"/>
      <c r="C138" s="1571"/>
      <c r="D138" s="1571"/>
      <c r="E138" s="1571"/>
      <c r="F138" s="1458"/>
      <c r="G138" s="1458"/>
      <c r="H138" s="1458"/>
      <c r="I138" s="1458"/>
      <c r="J138" s="1458"/>
      <c r="K138" s="1458"/>
      <c r="L138" s="1458"/>
      <c r="M138" s="1458"/>
      <c r="N138" s="1458"/>
      <c r="O138" s="1458"/>
      <c r="P138" s="1458"/>
      <c r="Q138" s="1458"/>
      <c r="R138" s="1458"/>
      <c r="S138" s="1571"/>
      <c r="T138" s="1458"/>
      <c r="U138" s="1571"/>
      <c r="V138" s="1571"/>
      <c r="W138" s="1571"/>
      <c r="X138" s="315" t="str">
        <f>COMPANY</f>
        <v>DUKE ENERGY KENTUCKY, INC.</v>
      </c>
      <c r="Y138" s="45"/>
      <c r="Z138" s="45"/>
      <c r="AA138" s="45"/>
      <c r="AB138" s="45"/>
      <c r="AC138" s="45"/>
      <c r="AD138" s="316" t="s">
        <v>2971</v>
      </c>
      <c r="AE138" s="45"/>
      <c r="AF138" s="1571"/>
      <c r="AG138" s="1571"/>
      <c r="AH138" s="1571"/>
      <c r="AI138" s="234"/>
      <c r="AJ138" s="234"/>
      <c r="AK138" s="234"/>
      <c r="AL138" s="234"/>
      <c r="AM138" s="1571"/>
      <c r="AN138" s="1571"/>
      <c r="AO138" s="1571"/>
      <c r="AP138" s="1571"/>
    </row>
    <row r="139" spans="1:42">
      <c r="A139" s="1571"/>
      <c r="B139" s="1571"/>
      <c r="C139" s="1571"/>
      <c r="D139" s="1571"/>
      <c r="E139" s="1571"/>
      <c r="F139" s="1458"/>
      <c r="G139" s="1458"/>
      <c r="H139" s="1458"/>
      <c r="I139" s="1458"/>
      <c r="J139" s="1458"/>
      <c r="K139" s="1458"/>
      <c r="L139" s="1458"/>
      <c r="M139" s="1458"/>
      <c r="N139" s="1458"/>
      <c r="O139" s="1458"/>
      <c r="P139" s="1458"/>
      <c r="Q139" s="1458"/>
      <c r="R139" s="1458"/>
      <c r="S139" s="1571"/>
      <c r="T139" s="1571"/>
      <c r="U139" s="1571"/>
      <c r="V139" s="1571"/>
      <c r="W139" s="1571"/>
      <c r="X139" s="315" t="str">
        <f>DEPT</f>
        <v>ELECTRIC DEPARTMENT</v>
      </c>
      <c r="Y139" s="45"/>
      <c r="Z139" s="45"/>
      <c r="AA139" s="45"/>
      <c r="AB139" s="45"/>
      <c r="AC139" s="45"/>
      <c r="AD139" s="315" t="s">
        <v>622</v>
      </c>
      <c r="AE139" s="45"/>
      <c r="AF139" s="1571"/>
      <c r="AG139" s="234"/>
      <c r="AH139" s="1571"/>
      <c r="AI139" s="234"/>
      <c r="AJ139" s="234"/>
      <c r="AK139" s="234"/>
      <c r="AL139" s="234"/>
      <c r="AM139" s="1571"/>
      <c r="AN139" s="1571"/>
      <c r="AO139" s="1571"/>
      <c r="AP139" s="1571"/>
    </row>
    <row r="140" spans="1:42">
      <c r="A140" s="1571"/>
      <c r="B140" s="1571"/>
      <c r="C140" s="1571"/>
      <c r="D140" s="1571"/>
      <c r="E140" s="1571"/>
      <c r="F140" s="1458"/>
      <c r="G140" s="1458"/>
      <c r="H140" s="1458"/>
      <c r="I140" s="1458"/>
      <c r="J140" s="1458"/>
      <c r="K140" s="1458"/>
      <c r="L140" s="1458"/>
      <c r="M140" s="1458"/>
      <c r="N140" s="1458"/>
      <c r="O140" s="1458"/>
      <c r="P140" s="1458"/>
      <c r="Q140" s="1458"/>
      <c r="R140" s="1458"/>
      <c r="S140" s="1571"/>
      <c r="T140" s="1571"/>
      <c r="U140" s="1571"/>
      <c r="V140" s="1571"/>
      <c r="W140" s="1571"/>
      <c r="X140" s="315" t="str">
        <f>CASE</f>
        <v>CASE NO. 2017-00321</v>
      </c>
      <c r="Y140" s="45"/>
      <c r="Z140" s="45"/>
      <c r="AA140" s="45"/>
      <c r="AB140" s="45"/>
      <c r="AC140" s="45"/>
      <c r="AD140" s="45" t="str">
        <f>_WIT3</f>
        <v>L. M. BELLUCCI</v>
      </c>
      <c r="AE140" s="45"/>
      <c r="AF140" s="1571"/>
      <c r="AG140" s="234"/>
      <c r="AH140" s="1571"/>
      <c r="AI140" s="234"/>
      <c r="AJ140" s="234"/>
      <c r="AK140" s="234"/>
      <c r="AL140" s="234"/>
      <c r="AM140" s="1571"/>
      <c r="AN140" s="1571"/>
      <c r="AO140" s="1571"/>
      <c r="AP140" s="1571"/>
    </row>
    <row r="141" spans="1:42">
      <c r="A141" s="1571"/>
      <c r="B141" s="1571"/>
      <c r="C141" s="1571"/>
      <c r="D141" s="1571"/>
      <c r="E141" s="1571"/>
      <c r="F141" s="1458"/>
      <c r="G141" s="1458"/>
      <c r="H141" s="1458"/>
      <c r="I141" s="1458"/>
      <c r="J141" s="1458"/>
      <c r="K141" s="1458"/>
      <c r="L141" s="1458"/>
      <c r="M141" s="1458"/>
      <c r="N141" s="1458"/>
      <c r="O141" s="1458"/>
      <c r="P141" s="1458"/>
      <c r="Q141" s="1458"/>
      <c r="R141" s="1458"/>
      <c r="S141" s="1571"/>
      <c r="T141" s="1571"/>
      <c r="U141" s="1571"/>
      <c r="V141" s="1571"/>
      <c r="W141" s="1571"/>
      <c r="X141" s="318" t="s">
        <v>406</v>
      </c>
      <c r="Y141" s="45"/>
      <c r="Z141" s="45"/>
      <c r="AA141" s="45"/>
      <c r="AB141" s="45"/>
      <c r="AC141" s="45"/>
      <c r="AD141" s="45"/>
      <c r="AE141" s="45"/>
      <c r="AF141" s="1571"/>
      <c r="AG141" s="234"/>
      <c r="AH141" s="1571"/>
      <c r="AI141" s="1571"/>
      <c r="AJ141" s="1571"/>
      <c r="AK141" s="1571"/>
      <c r="AL141" s="1571"/>
      <c r="AM141" s="1571"/>
      <c r="AN141" s="1571"/>
      <c r="AO141" s="1571"/>
      <c r="AP141" s="1571"/>
    </row>
    <row r="142" spans="1:42">
      <c r="A142" s="1571"/>
      <c r="B142" s="1571"/>
      <c r="C142" s="1571"/>
      <c r="D142" s="1571"/>
      <c r="E142" s="1571"/>
      <c r="F142" s="1458"/>
      <c r="G142" s="1458"/>
      <c r="H142" s="1458"/>
      <c r="I142" s="1458"/>
      <c r="J142" s="1458"/>
      <c r="K142" s="1458"/>
      <c r="L142" s="1458"/>
      <c r="M142" s="1458"/>
      <c r="N142" s="1458"/>
      <c r="O142" s="1458"/>
      <c r="P142" s="1458"/>
      <c r="Q142" s="1458"/>
      <c r="R142" s="1458"/>
      <c r="S142" s="1571"/>
      <c r="T142" s="1571"/>
      <c r="U142" s="1571"/>
      <c r="V142" s="1571"/>
      <c r="W142" s="1571"/>
      <c r="X142" s="318" t="s">
        <v>2970</v>
      </c>
      <c r="Y142" s="45"/>
      <c r="Z142" s="45"/>
      <c r="AA142" s="45"/>
      <c r="AB142" s="45"/>
      <c r="AC142" s="45"/>
      <c r="AD142" s="315" t="s">
        <v>407</v>
      </c>
      <c r="AE142" s="45"/>
      <c r="AF142" s="1571"/>
      <c r="AG142" s="234"/>
      <c r="AH142" s="234"/>
      <c r="AI142" s="234"/>
      <c r="AJ142" s="319"/>
      <c r="AK142" s="234"/>
      <c r="AL142" s="234"/>
      <c r="AM142" s="1571"/>
      <c r="AN142" s="1571"/>
      <c r="AO142" s="1571"/>
      <c r="AP142" s="1571"/>
    </row>
    <row r="143" spans="1:42">
      <c r="A143" s="1571"/>
      <c r="B143" s="1571"/>
      <c r="C143" s="1571"/>
      <c r="D143" s="1571"/>
      <c r="E143" s="1571"/>
      <c r="F143" s="1458"/>
      <c r="G143" s="1571"/>
      <c r="H143" s="1571"/>
      <c r="I143" s="1571"/>
      <c r="J143" s="1571"/>
      <c r="K143" s="1571"/>
      <c r="L143" s="1571"/>
      <c r="M143" s="1571"/>
      <c r="N143" s="1571"/>
      <c r="O143" s="1571"/>
      <c r="P143" s="1571"/>
      <c r="Q143" s="1571"/>
      <c r="R143" s="1571"/>
      <c r="S143" s="1571"/>
      <c r="T143" s="1571"/>
      <c r="U143" s="1571"/>
      <c r="V143" s="1571"/>
      <c r="W143" s="1571"/>
      <c r="X143" s="315" t="str">
        <f>Data</f>
        <v>DATA: "X" BASE PERIOD   FORECASTED PERIOD</v>
      </c>
      <c r="Y143" s="45"/>
      <c r="Z143" s="45"/>
      <c r="AA143" s="45"/>
      <c r="AB143" s="45"/>
      <c r="AC143" s="45"/>
      <c r="AD143" s="315"/>
      <c r="AE143" s="45"/>
      <c r="AF143" s="1571"/>
      <c r="AG143" s="234"/>
      <c r="AH143" s="234"/>
      <c r="AI143" s="234"/>
      <c r="AJ143" s="320"/>
      <c r="AK143" s="234"/>
      <c r="AL143" s="234"/>
      <c r="AM143" s="1571"/>
      <c r="AN143" s="1571"/>
      <c r="AO143" s="1571"/>
      <c r="AP143" s="1571"/>
    </row>
    <row r="144" spans="1:42">
      <c r="A144" s="1571"/>
      <c r="B144" s="1571"/>
      <c r="C144" s="1571"/>
      <c r="D144" s="1571"/>
      <c r="E144" s="1571"/>
      <c r="F144" s="1571"/>
      <c r="G144" s="1571"/>
      <c r="H144" s="1571"/>
      <c r="I144" s="1571"/>
      <c r="J144" s="1571"/>
      <c r="K144" s="1571"/>
      <c r="L144" s="1571"/>
      <c r="M144" s="1571"/>
      <c r="N144" s="1571"/>
      <c r="O144" s="1571"/>
      <c r="P144" s="1571"/>
      <c r="Q144" s="1571"/>
      <c r="R144" s="1571"/>
      <c r="S144" s="1571"/>
      <c r="T144" s="1571"/>
      <c r="U144" s="1571"/>
      <c r="V144" s="1571"/>
      <c r="W144" s="1571"/>
      <c r="X144" s="99" t="str">
        <f>"AS OF " &amp;RIGHT(TESTYR,(LEN(TESTYR)-16))</f>
        <v>AS OF NOVEMBER 30, 2017</v>
      </c>
      <c r="Y144" s="45"/>
      <c r="Z144" s="45"/>
      <c r="AA144" s="45"/>
      <c r="AB144" s="45"/>
      <c r="AC144" s="45"/>
      <c r="AD144" s="45"/>
      <c r="AE144" s="45"/>
      <c r="AF144" s="1571"/>
      <c r="AG144" s="234"/>
      <c r="AH144" s="234"/>
      <c r="AI144" s="234"/>
      <c r="AJ144" s="320"/>
      <c r="AK144" s="234"/>
      <c r="AL144" s="234"/>
      <c r="AM144" s="1571"/>
      <c r="AN144" s="1571"/>
      <c r="AO144" s="1571"/>
      <c r="AP144" s="1571"/>
    </row>
    <row r="145" spans="1:42">
      <c r="A145" s="1571"/>
      <c r="B145" s="1571"/>
      <c r="C145" s="1571"/>
      <c r="D145" s="1571"/>
      <c r="E145" s="1571"/>
      <c r="F145" s="1571"/>
      <c r="G145" s="1571"/>
      <c r="H145" s="1571"/>
      <c r="I145" s="1571"/>
      <c r="J145" s="1571"/>
      <c r="K145" s="1571"/>
      <c r="L145" s="1571"/>
      <c r="M145" s="1571"/>
      <c r="N145" s="1571"/>
      <c r="O145" s="1571"/>
      <c r="P145" s="1571"/>
      <c r="Q145" s="1571"/>
      <c r="R145" s="1571"/>
      <c r="S145" s="1571"/>
      <c r="T145" s="1571"/>
      <c r="U145" s="1571"/>
      <c r="V145" s="1571"/>
      <c r="W145" s="1571"/>
      <c r="X145" s="45"/>
      <c r="Y145" s="45"/>
      <c r="Z145" s="45"/>
      <c r="AA145" s="45"/>
      <c r="AB145" s="45"/>
      <c r="AC145" s="45"/>
      <c r="AD145" s="45"/>
      <c r="AE145" s="45"/>
      <c r="AF145" s="1571"/>
      <c r="AG145" s="234"/>
      <c r="AH145" s="234"/>
      <c r="AI145" s="234"/>
      <c r="AJ145" s="234"/>
      <c r="AK145" s="234"/>
      <c r="AL145" s="234"/>
      <c r="AM145" s="1571"/>
      <c r="AN145" s="1571"/>
      <c r="AO145" s="1571"/>
      <c r="AP145" s="1571"/>
    </row>
    <row r="146" spans="1:42">
      <c r="A146" s="1571"/>
      <c r="B146" s="1571"/>
      <c r="C146" s="1571"/>
      <c r="D146" s="1571"/>
      <c r="E146" s="1571"/>
      <c r="F146" s="1571"/>
      <c r="G146" s="1571"/>
      <c r="H146" s="1571"/>
      <c r="I146" s="1571"/>
      <c r="J146" s="1571"/>
      <c r="K146" s="1571"/>
      <c r="L146" s="1571"/>
      <c r="M146" s="1571"/>
      <c r="N146" s="1571"/>
      <c r="O146" s="1571"/>
      <c r="P146" s="1571"/>
      <c r="Q146" s="1571"/>
      <c r="R146" s="1571"/>
      <c r="S146" s="1571"/>
      <c r="T146" s="1571"/>
      <c r="U146" s="1571"/>
      <c r="V146" s="1571"/>
      <c r="W146" s="1571"/>
      <c r="X146" s="45"/>
      <c r="Y146" s="45"/>
      <c r="Z146" s="45"/>
      <c r="AA146" s="45"/>
      <c r="AB146" s="45"/>
      <c r="AC146" s="45"/>
      <c r="AD146" s="45"/>
      <c r="AE146" s="45"/>
      <c r="AF146" s="1571"/>
      <c r="AG146" s="234"/>
      <c r="AH146" s="234"/>
      <c r="AI146" s="234"/>
      <c r="AJ146" s="234"/>
      <c r="AK146" s="234"/>
      <c r="AL146" s="234"/>
      <c r="AM146" s="1571"/>
      <c r="AN146" s="1571"/>
      <c r="AO146" s="1571"/>
      <c r="AP146" s="1571"/>
    </row>
    <row r="147" spans="1:42">
      <c r="A147" s="1571"/>
      <c r="B147" s="1571"/>
      <c r="C147" s="1571"/>
      <c r="D147" s="1571"/>
      <c r="E147" s="1571"/>
      <c r="F147" s="1571"/>
      <c r="G147" s="1571"/>
      <c r="H147" s="1571"/>
      <c r="I147" s="1571"/>
      <c r="J147" s="1571"/>
      <c r="K147" s="1571"/>
      <c r="L147" s="1571"/>
      <c r="M147" s="1571"/>
      <c r="N147" s="1571"/>
      <c r="O147" s="1571"/>
      <c r="P147" s="1571"/>
      <c r="Q147" s="1571"/>
      <c r="R147" s="1571"/>
      <c r="S147" s="1571"/>
      <c r="T147" s="1571"/>
      <c r="U147" s="1571"/>
      <c r="V147" s="1571"/>
      <c r="W147" s="1571"/>
      <c r="X147" s="45"/>
      <c r="Y147" s="45"/>
      <c r="Z147" s="45"/>
      <c r="AA147" s="45"/>
      <c r="AB147" s="45"/>
      <c r="AC147" s="45"/>
      <c r="AD147" s="321" t="s">
        <v>408</v>
      </c>
      <c r="AE147" s="45"/>
      <c r="AF147" s="1571"/>
      <c r="AG147" s="234"/>
      <c r="AH147" s="234"/>
      <c r="AI147" s="234"/>
      <c r="AJ147" s="234"/>
      <c r="AK147" s="320"/>
      <c r="AL147" s="234"/>
      <c r="AM147" s="1571"/>
      <c r="AN147" s="1571"/>
      <c r="AO147" s="1571"/>
      <c r="AP147" s="1571"/>
    </row>
    <row r="148" spans="1:42">
      <c r="A148" s="1571"/>
      <c r="B148" s="1571"/>
      <c r="C148" s="1571"/>
      <c r="D148" s="1571"/>
      <c r="E148" s="1571"/>
      <c r="F148" s="1571"/>
      <c r="G148" s="1571"/>
      <c r="H148" s="1571"/>
      <c r="I148" s="1571"/>
      <c r="J148" s="1571"/>
      <c r="K148" s="1571"/>
      <c r="L148" s="1571"/>
      <c r="M148" s="1571"/>
      <c r="N148" s="1571"/>
      <c r="O148" s="1571"/>
      <c r="P148" s="1571"/>
      <c r="Q148" s="1571"/>
      <c r="R148" s="1571"/>
      <c r="S148" s="1571"/>
      <c r="T148" s="1571"/>
      <c r="U148" s="1571"/>
      <c r="V148" s="1571"/>
      <c r="W148" s="1571"/>
      <c r="X148" s="321" t="s">
        <v>1961</v>
      </c>
      <c r="Y148" s="45"/>
      <c r="Z148" s="45"/>
      <c r="AA148" s="45"/>
      <c r="AB148" s="45"/>
      <c r="AC148" s="322" t="s">
        <v>409</v>
      </c>
      <c r="AD148" s="321" t="s">
        <v>410</v>
      </c>
      <c r="AE148" s="323"/>
      <c r="AF148" s="1571"/>
      <c r="AG148" s="234"/>
      <c r="AH148" s="234"/>
      <c r="AI148" s="234"/>
      <c r="AJ148" s="234"/>
      <c r="AK148" s="234"/>
      <c r="AL148" s="234"/>
      <c r="AM148" s="1571"/>
      <c r="AN148" s="1571"/>
      <c r="AO148" s="1571"/>
      <c r="AP148" s="1571"/>
    </row>
    <row r="149" spans="1:42">
      <c r="A149" s="1571"/>
      <c r="B149" s="1571"/>
      <c r="C149" s="1571"/>
      <c r="D149" s="1571"/>
      <c r="E149" s="1571"/>
      <c r="F149" s="1571"/>
      <c r="G149" s="1571"/>
      <c r="H149" s="1571"/>
      <c r="I149" s="1571"/>
      <c r="J149" s="1571"/>
      <c r="K149" s="1571"/>
      <c r="L149" s="1571"/>
      <c r="M149" s="1571"/>
      <c r="N149" s="1571"/>
      <c r="O149" s="1571"/>
      <c r="P149" s="1571"/>
      <c r="Q149" s="1571"/>
      <c r="R149" s="1571"/>
      <c r="S149" s="1571"/>
      <c r="T149" s="1571"/>
      <c r="U149" s="1571"/>
      <c r="V149" s="1571"/>
      <c r="W149" s="1571"/>
      <c r="X149" s="324" t="s">
        <v>90</v>
      </c>
      <c r="Y149" s="119"/>
      <c r="Z149" s="325" t="s">
        <v>1119</v>
      </c>
      <c r="AA149" s="119"/>
      <c r="AB149" s="324" t="s">
        <v>1869</v>
      </c>
      <c r="AC149" s="324" t="s">
        <v>296</v>
      </c>
      <c r="AD149" s="324" t="s">
        <v>411</v>
      </c>
      <c r="AE149" s="45"/>
      <c r="AF149" s="1571"/>
      <c r="AG149" s="234"/>
      <c r="AH149" s="234"/>
      <c r="AI149" s="234"/>
      <c r="AJ149" s="234"/>
      <c r="AK149" s="234"/>
      <c r="AL149" s="234"/>
      <c r="AM149" s="1571"/>
      <c r="AN149" s="1571"/>
      <c r="AO149" s="1571"/>
      <c r="AP149" s="1571"/>
    </row>
    <row r="150" spans="1:42">
      <c r="A150" s="1571"/>
      <c r="B150" s="1571"/>
      <c r="C150" s="1571"/>
      <c r="D150" s="1571"/>
      <c r="E150" s="1571"/>
      <c r="F150" s="1571"/>
      <c r="G150" s="1571"/>
      <c r="H150" s="1571"/>
      <c r="I150" s="1571"/>
      <c r="J150" s="1571"/>
      <c r="K150" s="1571"/>
      <c r="L150" s="1571"/>
      <c r="M150" s="1571"/>
      <c r="N150" s="1571"/>
      <c r="O150" s="1571"/>
      <c r="P150" s="1571"/>
      <c r="Q150" s="1571"/>
      <c r="R150" s="1571"/>
      <c r="S150" s="1571"/>
      <c r="T150" s="1571"/>
      <c r="U150" s="1571"/>
      <c r="V150" s="1571"/>
      <c r="W150" s="1571"/>
      <c r="X150" s="45"/>
      <c r="Y150" s="45"/>
      <c r="Z150" s="45"/>
      <c r="AA150" s="45"/>
      <c r="AB150" s="321" t="s">
        <v>365</v>
      </c>
      <c r="AC150" s="326" t="s">
        <v>412</v>
      </c>
      <c r="AD150" s="326" t="s">
        <v>413</v>
      </c>
      <c r="AE150" s="45"/>
      <c r="AF150" s="1571"/>
      <c r="AG150" s="234"/>
      <c r="AH150" s="234"/>
      <c r="AI150" s="234"/>
      <c r="AJ150" s="234"/>
      <c r="AK150" s="234"/>
      <c r="AL150" s="234"/>
      <c r="AM150" s="1571"/>
      <c r="AN150" s="1571"/>
      <c r="AO150" s="1571"/>
      <c r="AP150" s="1571"/>
    </row>
    <row r="151" spans="1:42">
      <c r="A151" s="1571"/>
      <c r="B151" s="1571"/>
      <c r="C151" s="1571"/>
      <c r="D151" s="1571"/>
      <c r="E151" s="1571"/>
      <c r="F151" s="1571"/>
      <c r="G151" s="1571"/>
      <c r="H151" s="1571"/>
      <c r="I151" s="1571"/>
      <c r="J151" s="1571"/>
      <c r="K151" s="1571"/>
      <c r="L151" s="1571"/>
      <c r="M151" s="1571"/>
      <c r="N151" s="1571"/>
      <c r="O151" s="1571"/>
      <c r="P151" s="1571"/>
      <c r="Q151" s="1571"/>
      <c r="R151" s="1571"/>
      <c r="S151" s="1571"/>
      <c r="T151" s="1571"/>
      <c r="U151" s="1571"/>
      <c r="V151" s="1571"/>
      <c r="W151" s="1571"/>
      <c r="X151" s="45"/>
      <c r="Y151" s="45"/>
      <c r="Z151" s="327"/>
      <c r="AA151" s="45"/>
      <c r="AB151" s="45"/>
      <c r="AC151" s="45"/>
      <c r="AD151" s="45"/>
      <c r="AE151" s="45"/>
      <c r="AF151" s="1571"/>
      <c r="AG151" s="234"/>
      <c r="AH151" s="234"/>
      <c r="AI151" s="234"/>
      <c r="AJ151" s="1307"/>
      <c r="AK151" s="234"/>
      <c r="AL151" s="234"/>
      <c r="AM151" s="1571"/>
      <c r="AN151" s="1571"/>
      <c r="AO151" s="1571"/>
      <c r="AP151" s="1571"/>
    </row>
    <row r="152" spans="1:42">
      <c r="A152" s="1571"/>
      <c r="B152" s="1571"/>
      <c r="C152" s="1571"/>
      <c r="D152" s="1571"/>
      <c r="E152" s="1571"/>
      <c r="F152" s="1571"/>
      <c r="G152" s="1571"/>
      <c r="H152" s="1571"/>
      <c r="I152" s="1571"/>
      <c r="J152" s="1571"/>
      <c r="K152" s="1571"/>
      <c r="L152" s="1571"/>
      <c r="M152" s="1571"/>
      <c r="N152" s="1571"/>
      <c r="O152" s="1571"/>
      <c r="P152" s="1571"/>
      <c r="Q152" s="1571"/>
      <c r="R152" s="1571"/>
      <c r="S152" s="1571"/>
      <c r="T152" s="1571"/>
      <c r="U152" s="1571"/>
      <c r="V152" s="1571"/>
      <c r="W152" s="1571"/>
      <c r="X152" s="321">
        <v>1</v>
      </c>
      <c r="Y152" s="45"/>
      <c r="Z152" s="315" t="s">
        <v>2718</v>
      </c>
      <c r="AA152" s="45"/>
      <c r="AB152" s="96">
        <f>L20</f>
        <v>0</v>
      </c>
      <c r="AC152" s="328">
        <f>AL209</f>
        <v>1.3100000000000001E-2</v>
      </c>
      <c r="AD152" s="96">
        <f>ROUND(AC152*AB152,0)</f>
        <v>0</v>
      </c>
      <c r="AE152" s="329" t="s">
        <v>1399</v>
      </c>
      <c r="AF152" s="1571"/>
      <c r="AG152" s="232"/>
      <c r="AH152" s="234"/>
      <c r="AI152" s="234"/>
      <c r="AJ152" s="232"/>
      <c r="AK152" s="232"/>
      <c r="AL152" s="234"/>
      <c r="AM152" s="1571"/>
      <c r="AN152" s="1571"/>
      <c r="AO152" s="1571"/>
      <c r="AP152" s="1571"/>
    </row>
    <row r="153" spans="1:42">
      <c r="A153" s="1571"/>
      <c r="B153" s="1571"/>
      <c r="C153" s="1571"/>
      <c r="D153" s="1571"/>
      <c r="E153" s="1571"/>
      <c r="F153" s="1571"/>
      <c r="G153" s="1571"/>
      <c r="H153" s="1571"/>
      <c r="I153" s="1571"/>
      <c r="J153" s="1571"/>
      <c r="K153" s="1571"/>
      <c r="L153" s="1571"/>
      <c r="M153" s="1571"/>
      <c r="N153" s="1571"/>
      <c r="O153" s="1571"/>
      <c r="P153" s="1571"/>
      <c r="Q153" s="1571"/>
      <c r="R153" s="1571"/>
      <c r="S153" s="1571"/>
      <c r="T153" s="1571"/>
      <c r="U153" s="1571"/>
      <c r="V153" s="1571"/>
      <c r="W153" s="1571"/>
      <c r="X153" s="321"/>
      <c r="Y153" s="45"/>
      <c r="Z153" s="51"/>
      <c r="AA153" s="45"/>
      <c r="AB153" s="45"/>
      <c r="AC153" s="45"/>
      <c r="AD153" s="45"/>
      <c r="AE153" s="45"/>
      <c r="AF153" s="1571"/>
      <c r="AG153" s="234"/>
      <c r="AH153" s="234"/>
      <c r="AI153" s="234"/>
      <c r="AJ153" s="232"/>
      <c r="AK153" s="232"/>
      <c r="AL153" s="234"/>
      <c r="AM153" s="1571"/>
      <c r="AN153" s="1571"/>
      <c r="AO153" s="1571"/>
      <c r="AP153" s="1571"/>
    </row>
    <row r="154" spans="1:42">
      <c r="A154" s="1571"/>
      <c r="B154" s="1571"/>
      <c r="C154" s="1571"/>
      <c r="D154" s="1571"/>
      <c r="E154" s="1571"/>
      <c r="F154" s="1571"/>
      <c r="G154" s="1571"/>
      <c r="H154" s="1571"/>
      <c r="I154" s="1571"/>
      <c r="J154" s="1571"/>
      <c r="K154" s="1571"/>
      <c r="L154" s="1571"/>
      <c r="M154" s="1571"/>
      <c r="N154" s="1571"/>
      <c r="O154" s="1571"/>
      <c r="P154" s="1571"/>
      <c r="Q154" s="1571"/>
      <c r="R154" s="1571"/>
      <c r="S154" s="1571"/>
      <c r="T154" s="1571"/>
      <c r="U154" s="1571"/>
      <c r="V154" s="1571"/>
      <c r="W154" s="1571"/>
      <c r="X154" s="321">
        <v>2</v>
      </c>
      <c r="Y154" s="45"/>
      <c r="Z154" s="315" t="s">
        <v>1893</v>
      </c>
      <c r="AA154" s="45"/>
      <c r="AB154" s="96">
        <f>L30</f>
        <v>-68296751</v>
      </c>
      <c r="AC154" s="328">
        <f>AC152</f>
        <v>1.3100000000000001E-2</v>
      </c>
      <c r="AD154" s="96">
        <f>ROUND(AC154*AB154,0)</f>
        <v>-894687</v>
      </c>
      <c r="AE154" s="329" t="s">
        <v>1399</v>
      </c>
      <c r="AF154" s="1571"/>
      <c r="AG154" s="320"/>
      <c r="AH154" s="234"/>
      <c r="AI154" s="234"/>
      <c r="AJ154" s="330"/>
      <c r="AK154" s="330"/>
      <c r="AL154" s="234"/>
      <c r="AM154" s="1571"/>
      <c r="AN154" s="1571"/>
      <c r="AO154" s="1571"/>
      <c r="AP154" s="1571"/>
    </row>
    <row r="155" spans="1:42">
      <c r="A155" s="1571"/>
      <c r="B155" s="1571"/>
      <c r="C155" s="1571"/>
      <c r="D155" s="1571"/>
      <c r="E155" s="1571"/>
      <c r="F155" s="1571"/>
      <c r="G155" s="1571"/>
      <c r="H155" s="1571"/>
      <c r="I155" s="1571"/>
      <c r="J155" s="1571"/>
      <c r="K155" s="1571"/>
      <c r="L155" s="1571"/>
      <c r="M155" s="1571"/>
      <c r="N155" s="1571"/>
      <c r="O155" s="1571"/>
      <c r="P155" s="1571"/>
      <c r="Q155" s="1571"/>
      <c r="R155" s="1571"/>
      <c r="S155" s="1571"/>
      <c r="T155" s="1571"/>
      <c r="U155" s="1571"/>
      <c r="V155" s="1571"/>
      <c r="W155" s="1571"/>
      <c r="X155" s="321"/>
      <c r="Y155" s="45"/>
      <c r="Z155" s="51"/>
      <c r="AA155" s="45"/>
      <c r="AB155" s="45"/>
      <c r="AC155" s="45"/>
      <c r="AD155" s="45"/>
      <c r="AE155" s="45"/>
      <c r="AF155" s="1571"/>
      <c r="AG155" s="331"/>
      <c r="AH155" s="234"/>
      <c r="AI155" s="234"/>
      <c r="AJ155" s="234"/>
      <c r="AK155" s="234"/>
      <c r="AL155" s="234"/>
      <c r="AM155" s="1571"/>
      <c r="AN155" s="1571"/>
      <c r="AO155" s="1571"/>
      <c r="AP155" s="1571"/>
    </row>
    <row r="156" spans="1:42">
      <c r="A156" s="1571"/>
      <c r="B156" s="1571"/>
      <c r="C156" s="1571"/>
      <c r="D156" s="1571"/>
      <c r="E156" s="1571"/>
      <c r="F156" s="1571"/>
      <c r="G156" s="1571"/>
      <c r="H156" s="1571"/>
      <c r="I156" s="1571"/>
      <c r="J156" s="1571"/>
      <c r="K156" s="1571"/>
      <c r="L156" s="1571"/>
      <c r="M156" s="1571"/>
      <c r="N156" s="1571"/>
      <c r="O156" s="1571"/>
      <c r="P156" s="1571"/>
      <c r="Q156" s="1571"/>
      <c r="R156" s="1571"/>
      <c r="S156" s="1571"/>
      <c r="T156" s="1571"/>
      <c r="U156" s="1571"/>
      <c r="V156" s="1571"/>
      <c r="W156" s="1571"/>
      <c r="X156" s="321"/>
      <c r="Y156" s="45"/>
      <c r="Z156" s="51"/>
      <c r="AA156" s="45"/>
      <c r="AB156" s="45"/>
      <c r="AC156" s="45"/>
      <c r="AD156" s="45"/>
      <c r="AE156" s="45"/>
      <c r="AF156" s="1571"/>
      <c r="AG156" s="320"/>
      <c r="AH156" s="234"/>
      <c r="AI156" s="234"/>
      <c r="AJ156" s="234"/>
      <c r="AK156" s="1460"/>
      <c r="AL156" s="234"/>
      <c r="AM156" s="1571"/>
      <c r="AN156" s="1571"/>
      <c r="AO156" s="1571"/>
      <c r="AP156" s="1571"/>
    </row>
    <row r="157" spans="1:42">
      <c r="A157" s="1571"/>
      <c r="B157" s="1571"/>
      <c r="C157" s="1571"/>
      <c r="D157" s="1571"/>
      <c r="E157" s="1571"/>
      <c r="F157" s="1571"/>
      <c r="G157" s="1571"/>
      <c r="H157" s="1571"/>
      <c r="I157" s="1571"/>
      <c r="J157" s="1571"/>
      <c r="K157" s="1571"/>
      <c r="L157" s="1571"/>
      <c r="M157" s="1571"/>
      <c r="N157" s="1571"/>
      <c r="O157" s="1571"/>
      <c r="P157" s="1571"/>
      <c r="Q157" s="1571"/>
      <c r="R157" s="1571"/>
      <c r="S157" s="1571"/>
      <c r="T157" s="1571"/>
      <c r="U157" s="1571"/>
      <c r="V157" s="1571"/>
      <c r="W157" s="1571"/>
      <c r="X157" s="321"/>
      <c r="Y157" s="45"/>
      <c r="Z157" s="315" t="s">
        <v>2719</v>
      </c>
      <c r="AA157" s="45"/>
      <c r="AB157" s="45"/>
      <c r="AC157" s="45"/>
      <c r="AD157" s="45"/>
      <c r="AE157" s="45"/>
      <c r="AF157" s="1571"/>
      <c r="AG157" s="332"/>
      <c r="AH157" s="234"/>
      <c r="AI157" s="234"/>
      <c r="AJ157" s="234"/>
      <c r="AK157" s="1460"/>
      <c r="AL157" s="234"/>
      <c r="AM157" s="1571"/>
      <c r="AN157" s="1571"/>
      <c r="AO157" s="1571"/>
      <c r="AP157" s="1571"/>
    </row>
    <row r="158" spans="1:42">
      <c r="A158" s="1571"/>
      <c r="B158" s="1571"/>
      <c r="C158" s="1571"/>
      <c r="D158" s="1571"/>
      <c r="E158" s="1571"/>
      <c r="F158" s="1571"/>
      <c r="G158" s="1571"/>
      <c r="H158" s="1571"/>
      <c r="I158" s="1571"/>
      <c r="J158" s="1571"/>
      <c r="K158" s="1571"/>
      <c r="L158" s="1571"/>
      <c r="M158" s="1571"/>
      <c r="N158" s="1571"/>
      <c r="O158" s="1571"/>
      <c r="P158" s="1571"/>
      <c r="Q158" s="1571"/>
      <c r="R158" s="1571"/>
      <c r="S158" s="1571"/>
      <c r="T158" s="1571"/>
      <c r="U158" s="1571"/>
      <c r="V158" s="1571"/>
      <c r="W158" s="1571"/>
      <c r="X158" s="321"/>
      <c r="Y158" s="45"/>
      <c r="Z158" s="315"/>
      <c r="AA158" s="45"/>
      <c r="AB158" s="45"/>
      <c r="AC158" s="45"/>
      <c r="AD158" s="45"/>
      <c r="AE158" s="45"/>
      <c r="AF158" s="1571"/>
      <c r="AG158" s="332"/>
      <c r="AH158" s="234"/>
      <c r="AI158" s="234"/>
      <c r="AJ158" s="234"/>
      <c r="AK158" s="1460"/>
      <c r="AL158" s="234"/>
      <c r="AM158" s="1571"/>
      <c r="AN158" s="1571"/>
      <c r="AO158" s="1571"/>
      <c r="AP158" s="1571"/>
    </row>
    <row r="159" spans="1:42">
      <c r="A159" s="1571"/>
      <c r="B159" s="1571"/>
      <c r="C159" s="1571"/>
      <c r="D159" s="1571"/>
      <c r="E159" s="1571"/>
      <c r="F159" s="1571"/>
      <c r="G159" s="1571"/>
      <c r="H159" s="1571"/>
      <c r="I159" s="1571"/>
      <c r="J159" s="1571"/>
      <c r="K159" s="1571"/>
      <c r="L159" s="1571"/>
      <c r="M159" s="1571"/>
      <c r="N159" s="1571"/>
      <c r="O159" s="1571"/>
      <c r="P159" s="1571"/>
      <c r="Q159" s="1571"/>
      <c r="R159" s="1571"/>
      <c r="S159" s="1571"/>
      <c r="T159" s="1571"/>
      <c r="U159" s="1571"/>
      <c r="V159" s="1571"/>
      <c r="W159" s="1571"/>
      <c r="X159" s="1571"/>
      <c r="Y159" s="1571"/>
      <c r="Z159" s="1571"/>
      <c r="AA159" s="1571"/>
      <c r="AB159" s="1571"/>
      <c r="AC159" s="1571"/>
      <c r="AD159" s="1571"/>
      <c r="AE159" s="1571"/>
      <c r="AF159" s="1571"/>
      <c r="AG159" s="332"/>
      <c r="AH159" s="319"/>
      <c r="AI159" s="234"/>
      <c r="AJ159" s="1460"/>
      <c r="AK159" s="1460"/>
      <c r="AL159" s="1460"/>
      <c r="AM159" s="1571"/>
      <c r="AN159" s="1571"/>
      <c r="AO159" s="1571"/>
      <c r="AP159" s="1571"/>
    </row>
    <row r="160" spans="1:42">
      <c r="A160" s="1571"/>
      <c r="B160" s="1571"/>
      <c r="C160" s="1571"/>
      <c r="D160" s="1571"/>
      <c r="E160" s="1571"/>
      <c r="F160" s="1571"/>
      <c r="G160" s="1571"/>
      <c r="H160" s="1571"/>
      <c r="I160" s="1571"/>
      <c r="J160" s="1571"/>
      <c r="K160" s="1571"/>
      <c r="L160" s="1571"/>
      <c r="M160" s="1571"/>
      <c r="N160" s="1571"/>
      <c r="O160" s="1571"/>
      <c r="P160" s="1571"/>
      <c r="Q160" s="1571"/>
      <c r="R160" s="1571"/>
      <c r="S160" s="1571"/>
      <c r="T160" s="1571"/>
      <c r="U160" s="1571"/>
      <c r="V160" s="1571"/>
      <c r="W160" s="1571"/>
      <c r="X160" s="1571"/>
      <c r="Y160" s="1571"/>
      <c r="Z160" s="1571"/>
      <c r="AA160" s="1571"/>
      <c r="AB160" s="1571"/>
      <c r="AC160" s="1571"/>
      <c r="AD160" s="1571"/>
      <c r="AE160" s="1571"/>
      <c r="AF160" s="1571"/>
      <c r="AG160" s="332"/>
      <c r="AH160" s="319"/>
      <c r="AI160" s="234"/>
      <c r="AJ160" s="1460"/>
      <c r="AK160" s="1460"/>
      <c r="AL160" s="1460"/>
      <c r="AM160" s="1571"/>
      <c r="AN160" s="1571"/>
      <c r="AO160" s="1571"/>
      <c r="AP160" s="1571"/>
    </row>
    <row r="161" spans="1:42">
      <c r="A161" s="1571"/>
      <c r="B161" s="1571"/>
      <c r="C161" s="1571"/>
      <c r="D161" s="1571"/>
      <c r="E161" s="1571"/>
      <c r="F161" s="1571"/>
      <c r="G161" s="1571"/>
      <c r="H161" s="1571"/>
      <c r="I161" s="1571"/>
      <c r="J161" s="1571"/>
      <c r="K161" s="1571"/>
      <c r="L161" s="1571"/>
      <c r="M161" s="1571"/>
      <c r="N161" s="1571"/>
      <c r="O161" s="1571"/>
      <c r="P161" s="1571"/>
      <c r="Q161" s="1571"/>
      <c r="R161" s="1571"/>
      <c r="S161" s="1571"/>
      <c r="T161" s="1571"/>
      <c r="U161" s="1571"/>
      <c r="V161" s="1571"/>
      <c r="W161" s="1571"/>
      <c r="X161" s="315" t="str">
        <f>COMPANY</f>
        <v>DUKE ENERGY KENTUCKY, INC.</v>
      </c>
      <c r="Y161" s="45"/>
      <c r="Z161" s="45"/>
      <c r="AA161" s="45"/>
      <c r="AB161" s="45"/>
      <c r="AC161" s="45"/>
      <c r="AD161" s="316" t="s">
        <v>414</v>
      </c>
      <c r="AE161" s="45"/>
      <c r="AF161" s="1571"/>
      <c r="AG161" s="332"/>
      <c r="AH161" s="319"/>
      <c r="AI161" s="234"/>
      <c r="AJ161" s="1460"/>
      <c r="AK161" s="1460"/>
      <c r="AL161" s="1460"/>
      <c r="AM161" s="1571"/>
      <c r="AN161" s="1571"/>
      <c r="AO161" s="1571"/>
      <c r="AP161" s="1571"/>
    </row>
    <row r="162" spans="1:42">
      <c r="A162" s="1571"/>
      <c r="B162" s="1571"/>
      <c r="C162" s="1571"/>
      <c r="D162" s="1571"/>
      <c r="E162" s="1571"/>
      <c r="F162" s="1571"/>
      <c r="G162" s="1571"/>
      <c r="H162" s="1571"/>
      <c r="I162" s="1571"/>
      <c r="J162" s="1571"/>
      <c r="K162" s="1571"/>
      <c r="L162" s="1571"/>
      <c r="M162" s="1571"/>
      <c r="N162" s="1571"/>
      <c r="O162" s="1571"/>
      <c r="P162" s="1571"/>
      <c r="Q162" s="1571"/>
      <c r="R162" s="1571"/>
      <c r="S162" s="1571"/>
      <c r="T162" s="1571"/>
      <c r="U162" s="1571"/>
      <c r="V162" s="1571"/>
      <c r="W162" s="1571"/>
      <c r="X162" s="315" t="str">
        <f>DEPT</f>
        <v>ELECTRIC DEPARTMENT</v>
      </c>
      <c r="Y162" s="45"/>
      <c r="Z162" s="45"/>
      <c r="AA162" s="45"/>
      <c r="AB162" s="45"/>
      <c r="AC162" s="45"/>
      <c r="AD162" s="315" t="s">
        <v>622</v>
      </c>
      <c r="AE162" s="45"/>
      <c r="AF162" s="1571"/>
      <c r="AG162" s="332"/>
      <c r="AH162" s="319"/>
      <c r="AI162" s="234"/>
      <c r="AJ162" s="1460"/>
      <c r="AK162" s="1460"/>
      <c r="AL162" s="1460"/>
      <c r="AM162" s="1571"/>
      <c r="AN162" s="1571"/>
      <c r="AO162" s="1571"/>
      <c r="AP162" s="1571"/>
    </row>
    <row r="163" spans="1:42">
      <c r="A163" s="1571"/>
      <c r="B163" s="1571"/>
      <c r="C163" s="1571"/>
      <c r="D163" s="1571"/>
      <c r="E163" s="1571"/>
      <c r="F163" s="1571"/>
      <c r="G163" s="1571"/>
      <c r="H163" s="1571"/>
      <c r="I163" s="1571"/>
      <c r="J163" s="1571"/>
      <c r="K163" s="1571"/>
      <c r="L163" s="1571"/>
      <c r="M163" s="1571"/>
      <c r="N163" s="1571"/>
      <c r="O163" s="1571"/>
      <c r="P163" s="1571"/>
      <c r="Q163" s="1571"/>
      <c r="R163" s="1571"/>
      <c r="S163" s="1571"/>
      <c r="T163" s="1571"/>
      <c r="U163" s="1571"/>
      <c r="V163" s="1571"/>
      <c r="W163" s="1571"/>
      <c r="X163" s="315" t="str">
        <f>CASE</f>
        <v>CASE NO. 2017-00321</v>
      </c>
      <c r="Y163" s="45"/>
      <c r="Z163" s="45"/>
      <c r="AA163" s="45"/>
      <c r="AB163" s="45"/>
      <c r="AC163" s="45"/>
      <c r="AD163" s="45" t="str">
        <f>_WIT3</f>
        <v>L. M. BELLUCCI</v>
      </c>
      <c r="AE163" s="45"/>
      <c r="AF163" s="1571"/>
      <c r="AG163" s="332"/>
      <c r="AH163" s="319"/>
      <c r="AI163" s="234"/>
      <c r="AJ163" s="1460"/>
      <c r="AK163" s="1460"/>
      <c r="AL163" s="1460"/>
      <c r="AM163" s="1571"/>
      <c r="AN163" s="1571"/>
      <c r="AO163" s="1571"/>
      <c r="AP163" s="1571"/>
    </row>
    <row r="164" spans="1:42">
      <c r="A164" s="1571"/>
      <c r="B164" s="1571"/>
      <c r="C164" s="1571"/>
      <c r="D164" s="1571"/>
      <c r="E164" s="1571"/>
      <c r="F164" s="1571"/>
      <c r="G164" s="1571"/>
      <c r="H164" s="1571"/>
      <c r="I164" s="1571"/>
      <c r="J164" s="1571"/>
      <c r="K164" s="1571"/>
      <c r="L164" s="1571"/>
      <c r="M164" s="1571"/>
      <c r="N164" s="1571"/>
      <c r="O164" s="1571"/>
      <c r="P164" s="1571"/>
      <c r="Q164" s="1571"/>
      <c r="R164" s="1571"/>
      <c r="S164" s="1571"/>
      <c r="T164" s="1571"/>
      <c r="U164" s="1571"/>
      <c r="V164" s="1571"/>
      <c r="W164" s="1571"/>
      <c r="X164" s="318" t="s">
        <v>406</v>
      </c>
      <c r="Y164" s="45"/>
      <c r="Z164" s="45"/>
      <c r="AA164" s="45"/>
      <c r="AB164" s="45"/>
      <c r="AC164" s="45"/>
      <c r="AD164" s="45"/>
      <c r="AE164" s="45"/>
      <c r="AF164" s="1571"/>
      <c r="AG164" s="332"/>
      <c r="AH164" s="319"/>
      <c r="AI164" s="234"/>
      <c r="AJ164" s="1460"/>
      <c r="AK164" s="1460"/>
      <c r="AL164" s="1460"/>
      <c r="AM164" s="1571"/>
      <c r="AN164" s="1571"/>
      <c r="AO164" s="1571"/>
      <c r="AP164" s="1571"/>
    </row>
    <row r="165" spans="1:42">
      <c r="A165" s="1571"/>
      <c r="B165" s="1571"/>
      <c r="C165" s="1571"/>
      <c r="D165" s="1571"/>
      <c r="E165" s="1571"/>
      <c r="F165" s="1571"/>
      <c r="G165" s="1571"/>
      <c r="H165" s="1571"/>
      <c r="I165" s="1571"/>
      <c r="J165" s="1571"/>
      <c r="K165" s="1571"/>
      <c r="L165" s="1571"/>
      <c r="M165" s="1571"/>
      <c r="N165" s="1571"/>
      <c r="O165" s="1571"/>
      <c r="P165" s="1571"/>
      <c r="Q165" s="1571"/>
      <c r="R165" s="1571"/>
      <c r="S165" s="1571"/>
      <c r="T165" s="1571"/>
      <c r="U165" s="1571"/>
      <c r="V165" s="1571"/>
      <c r="W165" s="1571"/>
      <c r="X165" s="318" t="s">
        <v>2970</v>
      </c>
      <c r="Y165" s="45"/>
      <c r="Z165" s="45"/>
      <c r="AA165" s="45"/>
      <c r="AB165" s="45"/>
      <c r="AC165" s="45"/>
      <c r="AD165" s="315" t="s">
        <v>407</v>
      </c>
      <c r="AE165" s="45"/>
      <c r="AF165" s="1571"/>
      <c r="AG165" s="332"/>
      <c r="AH165" s="319"/>
      <c r="AI165" s="234"/>
      <c r="AJ165" s="1460"/>
      <c r="AK165" s="1460"/>
      <c r="AL165" s="1460"/>
      <c r="AM165" s="1571"/>
      <c r="AN165" s="1571"/>
      <c r="AO165" s="1571"/>
      <c r="AP165" s="1571"/>
    </row>
    <row r="166" spans="1:42">
      <c r="A166" s="1571"/>
      <c r="B166" s="1571"/>
      <c r="C166" s="1571"/>
      <c r="D166" s="1571"/>
      <c r="E166" s="1571"/>
      <c r="F166" s="1571"/>
      <c r="G166" s="1571"/>
      <c r="H166" s="1571"/>
      <c r="I166" s="1571"/>
      <c r="J166" s="1571"/>
      <c r="K166" s="1571"/>
      <c r="L166" s="1571"/>
      <c r="M166" s="1571"/>
      <c r="N166" s="1571"/>
      <c r="O166" s="1571"/>
      <c r="P166" s="1571"/>
      <c r="Q166" s="1571"/>
      <c r="R166" s="1571"/>
      <c r="S166" s="1571"/>
      <c r="T166" s="1571"/>
      <c r="U166" s="1571"/>
      <c r="V166" s="1571"/>
      <c r="W166" s="1571"/>
      <c r="X166" s="315" t="str">
        <f>DataF</f>
        <v>DATA:  BASE PERIOD  "X" FORECASTED PERIOD</v>
      </c>
      <c r="Y166" s="45"/>
      <c r="Z166" s="45"/>
      <c r="AA166" s="45"/>
      <c r="AB166" s="45"/>
      <c r="AC166" s="45"/>
      <c r="AD166" s="315"/>
      <c r="AE166" s="45"/>
      <c r="AF166" s="1571"/>
      <c r="AG166" s="332"/>
      <c r="AH166" s="319"/>
      <c r="AI166" s="234"/>
      <c r="AJ166" s="1460"/>
      <c r="AK166" s="1460"/>
      <c r="AL166" s="1460"/>
      <c r="AM166" s="1571"/>
      <c r="AN166" s="1571"/>
      <c r="AO166" s="1571"/>
      <c r="AP166" s="1571"/>
    </row>
    <row r="167" spans="1:42">
      <c r="A167" s="1571"/>
      <c r="B167" s="1571"/>
      <c r="C167" s="1571"/>
      <c r="D167" s="1571"/>
      <c r="E167" s="1571"/>
      <c r="F167" s="1571"/>
      <c r="G167" s="1571"/>
      <c r="H167" s="1571"/>
      <c r="I167" s="1571"/>
      <c r="J167" s="1571"/>
      <c r="K167" s="1571"/>
      <c r="L167" s="1571"/>
      <c r="M167" s="1571"/>
      <c r="N167" s="1571"/>
      <c r="O167" s="1571"/>
      <c r="P167" s="1571"/>
      <c r="Q167" s="1571"/>
      <c r="R167" s="1571"/>
      <c r="S167" s="1571"/>
      <c r="T167" s="1571"/>
      <c r="U167" s="1571"/>
      <c r="V167" s="1571"/>
      <c r="W167" s="1571"/>
      <c r="X167" s="99" t="str">
        <f>"THIRTEEN MONTH AVERAGE BALANCE ENDING " &amp;RIGHT(Forecast,(LEN(Forecast)-16))</f>
        <v>THIRTEEN MONTH AVERAGE BALANCE ENDING MARCH 31, 2019</v>
      </c>
      <c r="Y167" s="45"/>
      <c r="Z167" s="45"/>
      <c r="AA167" s="45"/>
      <c r="AB167" s="45"/>
      <c r="AC167" s="45"/>
      <c r="AD167" s="45"/>
      <c r="AE167" s="45"/>
      <c r="AF167" s="1571"/>
      <c r="AG167" s="332"/>
      <c r="AH167" s="319"/>
      <c r="AI167" s="234"/>
      <c r="AJ167" s="1460"/>
      <c r="AK167" s="1460"/>
      <c r="AL167" s="1460"/>
      <c r="AM167" s="1571"/>
      <c r="AN167" s="1571"/>
      <c r="AO167" s="1571"/>
      <c r="AP167" s="1571"/>
    </row>
    <row r="168" spans="1:42">
      <c r="A168" s="1571"/>
      <c r="B168" s="1571"/>
      <c r="C168" s="1571"/>
      <c r="D168" s="1571"/>
      <c r="E168" s="1571"/>
      <c r="F168" s="1571"/>
      <c r="G168" s="1571"/>
      <c r="H168" s="1571"/>
      <c r="I168" s="1571"/>
      <c r="J168" s="1571"/>
      <c r="K168" s="1571"/>
      <c r="L168" s="1571"/>
      <c r="M168" s="1571"/>
      <c r="N168" s="1571"/>
      <c r="O168" s="1571"/>
      <c r="P168" s="1571"/>
      <c r="Q168" s="1571"/>
      <c r="R168" s="1571"/>
      <c r="S168" s="1571"/>
      <c r="T168" s="1571"/>
      <c r="U168" s="1571"/>
      <c r="V168" s="1571"/>
      <c r="W168" s="1571"/>
      <c r="X168" s="45"/>
      <c r="Y168" s="45"/>
      <c r="Z168" s="45"/>
      <c r="AA168" s="45"/>
      <c r="AB168" s="45"/>
      <c r="AC168" s="45"/>
      <c r="AD168" s="45"/>
      <c r="AE168" s="45"/>
      <c r="AF168" s="1571"/>
      <c r="AG168" s="332"/>
      <c r="AH168" s="319"/>
      <c r="AI168" s="234"/>
      <c r="AJ168" s="1460"/>
      <c r="AK168" s="1460"/>
      <c r="AL168" s="1460"/>
      <c r="AM168" s="1571"/>
      <c r="AN168" s="1571"/>
      <c r="AO168" s="1571"/>
      <c r="AP168" s="1571"/>
    </row>
    <row r="169" spans="1:42">
      <c r="A169" s="1571"/>
      <c r="B169" s="1571"/>
      <c r="C169" s="1571"/>
      <c r="D169" s="1571"/>
      <c r="E169" s="1571"/>
      <c r="F169" s="1571"/>
      <c r="G169" s="1571"/>
      <c r="H169" s="1571"/>
      <c r="I169" s="1571"/>
      <c r="J169" s="1571"/>
      <c r="K169" s="1571"/>
      <c r="L169" s="1571"/>
      <c r="M169" s="1571"/>
      <c r="N169" s="1571"/>
      <c r="O169" s="1571"/>
      <c r="P169" s="1571"/>
      <c r="Q169" s="1571"/>
      <c r="R169" s="1571"/>
      <c r="S169" s="1571"/>
      <c r="T169" s="1571"/>
      <c r="U169" s="1571"/>
      <c r="V169" s="1571"/>
      <c r="W169" s="1571"/>
      <c r="X169" s="45"/>
      <c r="Y169" s="45"/>
      <c r="Z169" s="45"/>
      <c r="AA169" s="45"/>
      <c r="AB169" s="45"/>
      <c r="AC169" s="45"/>
      <c r="AD169" s="45"/>
      <c r="AE169" s="45"/>
      <c r="AF169" s="1571"/>
      <c r="AG169" s="332"/>
      <c r="AH169" s="319"/>
      <c r="AI169" s="234"/>
      <c r="AJ169" s="1460"/>
      <c r="AK169" s="1460"/>
      <c r="AL169" s="1460"/>
      <c r="AM169" s="1571"/>
      <c r="AN169" s="1571"/>
      <c r="AO169" s="1571"/>
      <c r="AP169" s="1571"/>
    </row>
    <row r="170" spans="1:42">
      <c r="A170" s="1571"/>
      <c r="B170" s="1571"/>
      <c r="C170" s="1571"/>
      <c r="D170" s="1571"/>
      <c r="E170" s="1571"/>
      <c r="F170" s="1571"/>
      <c r="G170" s="1571"/>
      <c r="H170" s="1571"/>
      <c r="I170" s="1571"/>
      <c r="J170" s="1571"/>
      <c r="K170" s="1571"/>
      <c r="L170" s="1571"/>
      <c r="M170" s="1571"/>
      <c r="N170" s="1571"/>
      <c r="O170" s="1571"/>
      <c r="P170" s="1571"/>
      <c r="Q170" s="1571"/>
      <c r="R170" s="1571"/>
      <c r="S170" s="1571"/>
      <c r="T170" s="1571"/>
      <c r="U170" s="1571"/>
      <c r="V170" s="1571"/>
      <c r="W170" s="1571"/>
      <c r="X170" s="45"/>
      <c r="Y170" s="45"/>
      <c r="Z170" s="45"/>
      <c r="AA170" s="45"/>
      <c r="AB170" s="45"/>
      <c r="AC170" s="45"/>
      <c r="AD170" s="321" t="s">
        <v>408</v>
      </c>
      <c r="AE170" s="45"/>
      <c r="AF170" s="1571"/>
      <c r="AG170" s="332"/>
      <c r="AH170" s="319"/>
      <c r="AI170" s="234"/>
      <c r="AJ170" s="1460"/>
      <c r="AK170" s="1460"/>
      <c r="AL170" s="1460"/>
      <c r="AM170" s="1571"/>
      <c r="AN170" s="1571"/>
      <c r="AO170" s="1571"/>
      <c r="AP170" s="1571"/>
    </row>
    <row r="171" spans="1:42">
      <c r="A171" s="1571"/>
      <c r="B171" s="1571"/>
      <c r="C171" s="1571"/>
      <c r="D171" s="1571"/>
      <c r="E171" s="1571"/>
      <c r="F171" s="1571"/>
      <c r="G171" s="1571"/>
      <c r="H171" s="1571"/>
      <c r="I171" s="1571"/>
      <c r="J171" s="1571"/>
      <c r="K171" s="1571"/>
      <c r="L171" s="1571"/>
      <c r="M171" s="1571"/>
      <c r="N171" s="1571"/>
      <c r="O171" s="1571"/>
      <c r="P171" s="1571"/>
      <c r="Q171" s="1571"/>
      <c r="R171" s="1571"/>
      <c r="S171" s="1571"/>
      <c r="T171" s="1571"/>
      <c r="U171" s="1571"/>
      <c r="V171" s="1571"/>
      <c r="W171" s="1571"/>
      <c r="X171" s="321" t="s">
        <v>1961</v>
      </c>
      <c r="Y171" s="45"/>
      <c r="Z171" s="45"/>
      <c r="AA171" s="45"/>
      <c r="AB171" s="45"/>
      <c r="AC171" s="322" t="s">
        <v>409</v>
      </c>
      <c r="AD171" s="321" t="s">
        <v>410</v>
      </c>
      <c r="AE171" s="323"/>
      <c r="AF171" s="1571"/>
      <c r="AG171" s="332"/>
      <c r="AH171" s="319"/>
      <c r="AI171" s="234"/>
      <c r="AJ171" s="1460"/>
      <c r="AK171" s="1460"/>
      <c r="AL171" s="1460"/>
      <c r="AM171" s="1571"/>
      <c r="AN171" s="1571"/>
      <c r="AO171" s="1571"/>
      <c r="AP171" s="1571"/>
    </row>
    <row r="172" spans="1:42">
      <c r="A172" s="1571"/>
      <c r="B172" s="1571"/>
      <c r="C172" s="1571"/>
      <c r="D172" s="1571"/>
      <c r="E172" s="1571"/>
      <c r="F172" s="1571"/>
      <c r="G172" s="1571"/>
      <c r="H172" s="1571"/>
      <c r="I172" s="1571"/>
      <c r="J172" s="1571"/>
      <c r="K172" s="1571"/>
      <c r="L172" s="1571"/>
      <c r="M172" s="1571"/>
      <c r="N172" s="1571"/>
      <c r="O172" s="1571"/>
      <c r="P172" s="1571"/>
      <c r="Q172" s="1571"/>
      <c r="R172" s="1571"/>
      <c r="S172" s="1571"/>
      <c r="T172" s="1571"/>
      <c r="U172" s="1571"/>
      <c r="V172" s="1571"/>
      <c r="W172" s="1571"/>
      <c r="X172" s="324" t="s">
        <v>90</v>
      </c>
      <c r="Y172" s="119"/>
      <c r="Z172" s="325" t="s">
        <v>1119</v>
      </c>
      <c r="AA172" s="119"/>
      <c r="AB172" s="324" t="s">
        <v>1875</v>
      </c>
      <c r="AC172" s="324" t="s">
        <v>296</v>
      </c>
      <c r="AD172" s="324" t="s">
        <v>411</v>
      </c>
      <c r="AE172" s="45"/>
      <c r="AF172" s="1571"/>
      <c r="AG172" s="332"/>
      <c r="AH172" s="319"/>
      <c r="AI172" s="234"/>
      <c r="AJ172" s="1460"/>
      <c r="AK172" s="1460"/>
      <c r="AL172" s="1460"/>
      <c r="AM172" s="1571"/>
      <c r="AN172" s="1571"/>
      <c r="AO172" s="1571"/>
      <c r="AP172" s="1571"/>
    </row>
    <row r="173" spans="1:42">
      <c r="A173" s="1571"/>
      <c r="B173" s="1571"/>
      <c r="C173" s="1571"/>
      <c r="D173" s="1571"/>
      <c r="E173" s="1571"/>
      <c r="F173" s="1571"/>
      <c r="G173" s="1571"/>
      <c r="H173" s="1571"/>
      <c r="I173" s="1571"/>
      <c r="J173" s="1571"/>
      <c r="K173" s="1571"/>
      <c r="L173" s="1571"/>
      <c r="M173" s="1571"/>
      <c r="N173" s="1571"/>
      <c r="O173" s="1571"/>
      <c r="P173" s="1571"/>
      <c r="Q173" s="1571"/>
      <c r="R173" s="1571"/>
      <c r="S173" s="1571"/>
      <c r="T173" s="1571"/>
      <c r="U173" s="1571"/>
      <c r="V173" s="1571"/>
      <c r="W173" s="1571"/>
      <c r="X173" s="45"/>
      <c r="Y173" s="45"/>
      <c r="Z173" s="45"/>
      <c r="AA173" s="45"/>
      <c r="AB173" s="321" t="s">
        <v>365</v>
      </c>
      <c r="AC173" s="326" t="s">
        <v>412</v>
      </c>
      <c r="AD173" s="326" t="s">
        <v>413</v>
      </c>
      <c r="AE173" s="45"/>
      <c r="AF173" s="1571"/>
      <c r="AG173" s="332"/>
      <c r="AH173" s="319"/>
      <c r="AI173" s="234"/>
      <c r="AJ173" s="1460"/>
      <c r="AK173" s="1460"/>
      <c r="AL173" s="1460"/>
      <c r="AM173" s="1571"/>
      <c r="AN173" s="1571"/>
      <c r="AO173" s="1571"/>
      <c r="AP173" s="1571"/>
    </row>
    <row r="174" spans="1:42">
      <c r="A174" s="1571"/>
      <c r="B174" s="1571"/>
      <c r="C174" s="1571"/>
      <c r="D174" s="1571"/>
      <c r="E174" s="1571"/>
      <c r="F174" s="1571"/>
      <c r="G174" s="1571"/>
      <c r="H174" s="1571"/>
      <c r="I174" s="1571"/>
      <c r="J174" s="1571"/>
      <c r="K174" s="1571"/>
      <c r="L174" s="1571"/>
      <c r="M174" s="1571"/>
      <c r="N174" s="1571"/>
      <c r="O174" s="1571"/>
      <c r="P174" s="1571"/>
      <c r="Q174" s="1571"/>
      <c r="R174" s="1571"/>
      <c r="S174" s="1571"/>
      <c r="T174" s="1571"/>
      <c r="U174" s="1571"/>
      <c r="V174" s="1571"/>
      <c r="W174" s="1571"/>
      <c r="X174" s="45"/>
      <c r="Y174" s="45"/>
      <c r="Z174" s="327"/>
      <c r="AA174" s="45"/>
      <c r="AB174" s="45"/>
      <c r="AC174" s="45"/>
      <c r="AD174" s="45"/>
      <c r="AE174" s="45"/>
      <c r="AF174" s="1571"/>
      <c r="AG174" s="332"/>
      <c r="AH174" s="319"/>
      <c r="AI174" s="234"/>
      <c r="AJ174" s="1460"/>
      <c r="AK174" s="1460"/>
      <c r="AL174" s="1460"/>
      <c r="AM174" s="1571"/>
      <c r="AN174" s="1571"/>
      <c r="AO174" s="1571"/>
      <c r="AP174" s="1571"/>
    </row>
    <row r="175" spans="1:42">
      <c r="A175" s="1571"/>
      <c r="B175" s="1571"/>
      <c r="C175" s="1571"/>
      <c r="D175" s="1571"/>
      <c r="E175" s="1571"/>
      <c r="F175" s="1571"/>
      <c r="G175" s="1571"/>
      <c r="H175" s="1571"/>
      <c r="I175" s="1571"/>
      <c r="J175" s="1571"/>
      <c r="K175" s="1571"/>
      <c r="L175" s="1571"/>
      <c r="M175" s="1571"/>
      <c r="N175" s="1571"/>
      <c r="O175" s="1571"/>
      <c r="P175" s="1571"/>
      <c r="Q175" s="1571"/>
      <c r="R175" s="1571"/>
      <c r="S175" s="1571"/>
      <c r="T175" s="1571"/>
      <c r="U175" s="1571"/>
      <c r="V175" s="1571"/>
      <c r="W175" s="1571"/>
      <c r="X175" s="321">
        <v>1</v>
      </c>
      <c r="Y175" s="45"/>
      <c r="Z175" s="315" t="s">
        <v>2718</v>
      </c>
      <c r="AA175" s="45"/>
      <c r="AB175" s="96">
        <f>T86</f>
        <v>0</v>
      </c>
      <c r="AC175" s="328">
        <f>AL209</f>
        <v>1.3100000000000001E-2</v>
      </c>
      <c r="AD175" s="96">
        <f>ROUND(AC175*AB175,0)</f>
        <v>0</v>
      </c>
      <c r="AE175" s="329" t="s">
        <v>1400</v>
      </c>
      <c r="AF175" s="1571"/>
      <c r="AG175" s="332"/>
      <c r="AH175" s="319"/>
      <c r="AI175" s="234"/>
      <c r="AJ175" s="1460"/>
      <c r="AK175" s="1460"/>
      <c r="AL175" s="1460"/>
      <c r="AM175" s="1571"/>
      <c r="AN175" s="1571"/>
      <c r="AO175" s="1571"/>
      <c r="AP175" s="1571"/>
    </row>
    <row r="176" spans="1:42">
      <c r="A176" s="1571"/>
      <c r="B176" s="1571"/>
      <c r="C176" s="1571"/>
      <c r="D176" s="1571"/>
      <c r="E176" s="1571"/>
      <c r="F176" s="1571"/>
      <c r="G176" s="1571"/>
      <c r="H176" s="1571"/>
      <c r="I176" s="1571"/>
      <c r="J176" s="1571"/>
      <c r="K176" s="1571"/>
      <c r="L176" s="1571"/>
      <c r="M176" s="1571"/>
      <c r="N176" s="1571"/>
      <c r="O176" s="1571"/>
      <c r="P176" s="1571"/>
      <c r="Q176" s="1571"/>
      <c r="R176" s="1571"/>
      <c r="S176" s="1571"/>
      <c r="T176" s="1571"/>
      <c r="U176" s="1571"/>
      <c r="V176" s="1571"/>
      <c r="W176" s="1571"/>
      <c r="X176" s="321"/>
      <c r="Y176" s="45"/>
      <c r="Z176" s="51"/>
      <c r="AA176" s="45"/>
      <c r="AB176" s="45"/>
      <c r="AC176" s="45"/>
      <c r="AD176" s="45"/>
      <c r="AE176" s="45"/>
      <c r="AF176" s="1571"/>
      <c r="AG176" s="332"/>
      <c r="AH176" s="319"/>
      <c r="AI176" s="234"/>
      <c r="AJ176" s="1460"/>
      <c r="AK176" s="1460"/>
      <c r="AL176" s="1460"/>
      <c r="AM176" s="1571"/>
      <c r="AN176" s="1571"/>
      <c r="AO176" s="1571"/>
      <c r="AP176" s="1571"/>
    </row>
    <row r="177" spans="1:42">
      <c r="A177" s="1571"/>
      <c r="B177" s="1571"/>
      <c r="C177" s="1571"/>
      <c r="D177" s="1571"/>
      <c r="E177" s="1571"/>
      <c r="F177" s="1571"/>
      <c r="G177" s="1571"/>
      <c r="H177" s="1571"/>
      <c r="I177" s="1571"/>
      <c r="J177" s="1571"/>
      <c r="K177" s="1571"/>
      <c r="L177" s="1571"/>
      <c r="M177" s="1571"/>
      <c r="N177" s="1571"/>
      <c r="O177" s="1571"/>
      <c r="P177" s="1571"/>
      <c r="Q177" s="1571"/>
      <c r="R177" s="1571"/>
      <c r="S177" s="1571"/>
      <c r="T177" s="1571"/>
      <c r="U177" s="1571"/>
      <c r="V177" s="1571"/>
      <c r="W177" s="1571"/>
      <c r="X177" s="321">
        <v>2</v>
      </c>
      <c r="Y177" s="45"/>
      <c r="Z177" s="315" t="s">
        <v>1893</v>
      </c>
      <c r="AA177" s="45"/>
      <c r="AB177" s="96">
        <f>T96</f>
        <v>-73111873</v>
      </c>
      <c r="AC177" s="328">
        <f>AC175</f>
        <v>1.3100000000000001E-2</v>
      </c>
      <c r="AD177" s="96">
        <f>ROUND(AC177*AB177,0)</f>
        <v>-957766</v>
      </c>
      <c r="AE177" s="329" t="s">
        <v>1400</v>
      </c>
      <c r="AF177" s="1571"/>
      <c r="AG177" s="332"/>
      <c r="AH177" s="319"/>
      <c r="AI177" s="234"/>
      <c r="AJ177" s="1460"/>
      <c r="AK177" s="1460"/>
      <c r="AL177" s="1460"/>
      <c r="AM177" s="1571"/>
      <c r="AN177" s="1571"/>
      <c r="AO177" s="1571"/>
      <c r="AP177" s="1571"/>
    </row>
    <row r="178" spans="1:42">
      <c r="A178" s="1571"/>
      <c r="B178" s="1571"/>
      <c r="C178" s="1571"/>
      <c r="D178" s="1571"/>
      <c r="E178" s="1571"/>
      <c r="F178" s="1571"/>
      <c r="G178" s="1571"/>
      <c r="H178" s="1571"/>
      <c r="I178" s="1571"/>
      <c r="J178" s="1571"/>
      <c r="K178" s="1571"/>
      <c r="L178" s="1571"/>
      <c r="M178" s="1571"/>
      <c r="N178" s="1571"/>
      <c r="O178" s="1571"/>
      <c r="P178" s="1571"/>
      <c r="Q178" s="1571"/>
      <c r="R178" s="1571"/>
      <c r="S178" s="1571"/>
      <c r="T178" s="1571"/>
      <c r="U178" s="1571"/>
      <c r="V178" s="1571"/>
      <c r="W178" s="1571"/>
      <c r="X178" s="321"/>
      <c r="Y178" s="45"/>
      <c r="Z178" s="51"/>
      <c r="AA178" s="45"/>
      <c r="AB178" s="45"/>
      <c r="AC178" s="45"/>
      <c r="AD178" s="45"/>
      <c r="AE178" s="45"/>
      <c r="AF178" s="1571"/>
      <c r="AG178" s="332"/>
      <c r="AH178" s="319"/>
      <c r="AI178" s="234"/>
      <c r="AJ178" s="1460"/>
      <c r="AK178" s="1460"/>
      <c r="AL178" s="1460"/>
      <c r="AM178" s="1571"/>
      <c r="AN178" s="1571"/>
      <c r="AO178" s="1571"/>
      <c r="AP178" s="1571"/>
    </row>
    <row r="179" spans="1:42">
      <c r="A179" s="1571"/>
      <c r="B179" s="1571"/>
      <c r="C179" s="1571"/>
      <c r="D179" s="1571"/>
      <c r="E179" s="1571"/>
      <c r="F179" s="1571"/>
      <c r="G179" s="1571"/>
      <c r="H179" s="1571"/>
      <c r="I179" s="1571"/>
      <c r="J179" s="1571"/>
      <c r="K179" s="1571"/>
      <c r="L179" s="1571"/>
      <c r="M179" s="1571"/>
      <c r="N179" s="1571"/>
      <c r="O179" s="1571"/>
      <c r="P179" s="1571"/>
      <c r="Q179" s="1571"/>
      <c r="R179" s="1571"/>
      <c r="S179" s="1571"/>
      <c r="T179" s="1571"/>
      <c r="U179" s="1571"/>
      <c r="V179" s="1571"/>
      <c r="W179" s="1571"/>
      <c r="X179" s="321"/>
      <c r="Y179" s="45"/>
      <c r="Z179" s="51"/>
      <c r="AA179" s="45"/>
      <c r="AB179" s="45"/>
      <c r="AC179" s="45"/>
      <c r="AD179" s="45"/>
      <c r="AE179" s="45"/>
      <c r="AF179" s="1571"/>
      <c r="AG179" s="331"/>
      <c r="AH179" s="234"/>
      <c r="AI179" s="234"/>
      <c r="AJ179" s="234"/>
      <c r="AK179" s="1460"/>
      <c r="AL179" s="234"/>
      <c r="AM179" s="1571"/>
      <c r="AN179" s="1571"/>
      <c r="AO179" s="1571"/>
      <c r="AP179" s="1571"/>
    </row>
    <row r="180" spans="1:42">
      <c r="A180" s="1571"/>
      <c r="B180" s="1571"/>
      <c r="C180" s="1571"/>
      <c r="D180" s="1571"/>
      <c r="E180" s="1571"/>
      <c r="F180" s="1571"/>
      <c r="G180" s="1571"/>
      <c r="H180" s="1571"/>
      <c r="I180" s="1571"/>
      <c r="J180" s="1571"/>
      <c r="K180" s="1571"/>
      <c r="L180" s="1571"/>
      <c r="M180" s="1571"/>
      <c r="N180" s="1571"/>
      <c r="O180" s="1571"/>
      <c r="P180" s="1571"/>
      <c r="Q180" s="1571"/>
      <c r="R180" s="1571"/>
      <c r="S180" s="1571"/>
      <c r="T180" s="1571"/>
      <c r="U180" s="1571"/>
      <c r="V180" s="1571"/>
      <c r="W180" s="1571"/>
      <c r="X180" s="321"/>
      <c r="Y180" s="45"/>
      <c r="Z180" s="315" t="s">
        <v>2719</v>
      </c>
      <c r="AA180" s="45"/>
      <c r="AB180" s="45"/>
      <c r="AC180" s="45"/>
      <c r="AD180" s="45"/>
      <c r="AE180" s="45"/>
      <c r="AF180" s="1571"/>
      <c r="AG180" s="332"/>
      <c r="AH180" s="234"/>
      <c r="AI180" s="234"/>
      <c r="AJ180" s="234"/>
      <c r="AK180" s="234"/>
      <c r="AL180" s="234"/>
      <c r="AM180" s="1571"/>
      <c r="AN180" s="1571"/>
      <c r="AO180" s="1571"/>
      <c r="AP180" s="1571"/>
    </row>
    <row r="181" spans="1:42">
      <c r="A181" s="1571"/>
      <c r="B181" s="1571"/>
      <c r="C181" s="1571"/>
      <c r="D181" s="1571"/>
      <c r="E181" s="1571"/>
      <c r="F181" s="1571"/>
      <c r="G181" s="1571"/>
      <c r="H181" s="1571"/>
      <c r="I181" s="1571"/>
      <c r="J181" s="1571"/>
      <c r="K181" s="1571"/>
      <c r="L181" s="1571"/>
      <c r="M181" s="1571"/>
      <c r="N181" s="1571"/>
      <c r="O181" s="1571"/>
      <c r="P181" s="1571"/>
      <c r="Q181" s="1571"/>
      <c r="R181" s="1571"/>
      <c r="S181" s="1571"/>
      <c r="T181" s="1571"/>
      <c r="U181" s="1571"/>
      <c r="V181" s="1571"/>
      <c r="W181" s="1571"/>
      <c r="X181" s="321"/>
      <c r="Y181" s="45"/>
      <c r="Z181" s="315"/>
      <c r="AA181" s="45"/>
      <c r="AB181" s="45"/>
      <c r="AC181" s="45"/>
      <c r="AD181" s="45"/>
      <c r="AE181" s="45"/>
      <c r="AF181" s="1571"/>
      <c r="AG181" s="332"/>
      <c r="AH181" s="232"/>
      <c r="AI181" s="234"/>
      <c r="AJ181" s="234"/>
      <c r="AK181" s="333"/>
      <c r="AL181" s="334"/>
      <c r="AM181" s="1571"/>
      <c r="AN181" s="1571"/>
      <c r="AO181" s="1571"/>
      <c r="AP181" s="1571"/>
    </row>
    <row r="182" spans="1:42">
      <c r="A182" s="1571"/>
      <c r="B182" s="1571"/>
      <c r="C182" s="1571"/>
      <c r="D182" s="1571"/>
      <c r="E182" s="1571"/>
      <c r="F182" s="1571"/>
      <c r="G182" s="1571"/>
      <c r="H182" s="1571"/>
      <c r="I182" s="1571"/>
      <c r="J182" s="1571"/>
      <c r="K182" s="1571"/>
      <c r="L182" s="1571"/>
      <c r="M182" s="1571"/>
      <c r="N182" s="1571"/>
      <c r="O182" s="1571"/>
      <c r="P182" s="1571"/>
      <c r="Q182" s="1571"/>
      <c r="R182" s="1571"/>
      <c r="S182" s="1571"/>
      <c r="T182" s="1571"/>
      <c r="U182" s="1571"/>
      <c r="V182" s="1571"/>
      <c r="W182" s="1571"/>
      <c r="X182" s="1571"/>
      <c r="Y182" s="1571"/>
      <c r="Z182" s="1571"/>
      <c r="AA182" s="1571"/>
      <c r="AB182" s="1571"/>
      <c r="AC182" s="1571"/>
      <c r="AD182" s="1571"/>
      <c r="AE182" s="1571"/>
      <c r="AF182" s="1571"/>
      <c r="AG182" s="332"/>
      <c r="AH182" s="234"/>
      <c r="AI182" s="234"/>
      <c r="AJ182" s="234"/>
      <c r="AK182" s="335"/>
      <c r="AL182" s="234"/>
      <c r="AM182" s="1571"/>
      <c r="AN182" s="1571"/>
      <c r="AO182" s="1571"/>
      <c r="AP182" s="1571"/>
    </row>
    <row r="183" spans="1:42">
      <c r="A183" s="1571"/>
      <c r="B183" s="1571"/>
      <c r="C183" s="1571"/>
      <c r="D183" s="1571"/>
      <c r="E183" s="1571"/>
      <c r="F183" s="1571"/>
      <c r="G183" s="1571"/>
      <c r="H183" s="1571"/>
      <c r="I183" s="1571"/>
      <c r="J183" s="1571"/>
      <c r="K183" s="1571"/>
      <c r="L183" s="1571"/>
      <c r="M183" s="1571"/>
      <c r="N183" s="1571"/>
      <c r="O183" s="1571"/>
      <c r="P183" s="1571"/>
      <c r="Q183" s="1571"/>
      <c r="R183" s="1571"/>
      <c r="S183" s="1571"/>
      <c r="T183" s="1571"/>
      <c r="U183" s="1571"/>
      <c r="V183" s="1571"/>
      <c r="W183" s="1571"/>
      <c r="X183" s="1571"/>
      <c r="Y183" s="1571"/>
      <c r="Z183" s="1571"/>
      <c r="AA183" s="1571"/>
      <c r="AB183" s="1571"/>
      <c r="AC183" s="1571"/>
      <c r="AD183" s="1571"/>
      <c r="AE183" s="1571"/>
      <c r="AF183" s="1571"/>
      <c r="AG183" s="332"/>
      <c r="AH183" s="234"/>
      <c r="AI183" s="234"/>
      <c r="AJ183" s="234"/>
      <c r="AK183" s="234"/>
      <c r="AL183" s="234"/>
      <c r="AM183" s="1571"/>
      <c r="AN183" s="1571"/>
      <c r="AO183" s="1571"/>
      <c r="AP183" s="1571"/>
    </row>
    <row r="184" spans="1:42">
      <c r="A184" s="1571"/>
      <c r="B184" s="1571"/>
      <c r="C184" s="1571"/>
      <c r="D184" s="1571"/>
      <c r="E184" s="1571"/>
      <c r="F184" s="1571"/>
      <c r="G184" s="1571"/>
      <c r="H184" s="1571"/>
      <c r="I184" s="1571"/>
      <c r="J184" s="1571"/>
      <c r="K184" s="1571"/>
      <c r="L184" s="1571"/>
      <c r="M184" s="1571"/>
      <c r="N184" s="1571"/>
      <c r="O184" s="1571"/>
      <c r="P184" s="1571"/>
      <c r="Q184" s="1571"/>
      <c r="R184" s="1571"/>
      <c r="S184" s="1571"/>
      <c r="T184" s="1571"/>
      <c r="U184" s="1571"/>
      <c r="V184" s="1571"/>
      <c r="W184" s="1571"/>
      <c r="X184" s="1571"/>
      <c r="Y184" s="1571"/>
      <c r="Z184" s="1571"/>
      <c r="AA184" s="1571"/>
      <c r="AB184" s="1571"/>
      <c r="AC184" s="1571"/>
      <c r="AD184" s="1571"/>
      <c r="AE184" s="1571"/>
      <c r="AF184" s="1571"/>
      <c r="AG184" s="332"/>
      <c r="AH184" s="234"/>
      <c r="AI184" s="234"/>
      <c r="AJ184" s="234"/>
      <c r="AK184" s="234"/>
      <c r="AL184" s="234"/>
      <c r="AM184" s="1571"/>
      <c r="AN184" s="1571"/>
      <c r="AO184" s="1571"/>
      <c r="AP184" s="1571"/>
    </row>
    <row r="185" spans="1:42">
      <c r="A185" s="1571"/>
      <c r="B185" s="1571"/>
      <c r="C185" s="1571"/>
      <c r="D185" s="1571"/>
      <c r="E185" s="1571"/>
      <c r="F185" s="1571"/>
      <c r="G185" s="1571"/>
      <c r="H185" s="1571"/>
      <c r="I185" s="1571"/>
      <c r="J185" s="1571"/>
      <c r="K185" s="1571"/>
      <c r="L185" s="1571"/>
      <c r="M185" s="1571"/>
      <c r="N185" s="1571"/>
      <c r="O185" s="1571"/>
      <c r="P185" s="1571"/>
      <c r="Q185" s="1571"/>
      <c r="R185" s="1571"/>
      <c r="S185" s="1571"/>
      <c r="T185" s="1571"/>
      <c r="U185" s="1571"/>
      <c r="V185" s="1571"/>
      <c r="W185" s="1571"/>
      <c r="X185" s="1571"/>
      <c r="Y185" s="1571"/>
      <c r="Z185" s="1571"/>
      <c r="AA185" s="1571"/>
      <c r="AB185" s="1571"/>
      <c r="AC185" s="1571"/>
      <c r="AD185" s="1571"/>
      <c r="AE185" s="1571"/>
      <c r="AF185" s="1571"/>
      <c r="AG185" s="332"/>
      <c r="AH185" s="234"/>
      <c r="AI185" s="234"/>
      <c r="AJ185" s="234"/>
      <c r="AK185" s="234"/>
      <c r="AL185" s="234"/>
      <c r="AM185" s="1571"/>
      <c r="AN185" s="1571"/>
      <c r="AO185" s="1571"/>
      <c r="AP185" s="1571"/>
    </row>
    <row r="186" spans="1:42">
      <c r="A186" s="1571"/>
      <c r="B186" s="1571"/>
      <c r="C186" s="1571"/>
      <c r="D186" s="1571"/>
      <c r="E186" s="1571"/>
      <c r="F186" s="1571"/>
      <c r="G186" s="1571"/>
      <c r="H186" s="1571"/>
      <c r="I186" s="1571"/>
      <c r="J186" s="1571"/>
      <c r="K186" s="1571"/>
      <c r="L186" s="1571"/>
      <c r="M186" s="1571"/>
      <c r="N186" s="1571"/>
      <c r="O186" s="1571"/>
      <c r="P186" s="1571"/>
      <c r="Q186" s="1571"/>
      <c r="R186" s="1571"/>
      <c r="S186" s="1571"/>
      <c r="T186" s="1571"/>
      <c r="U186" s="1571"/>
      <c r="V186" s="1571"/>
      <c r="W186" s="1571"/>
      <c r="X186" s="234"/>
      <c r="Y186" s="234"/>
      <c r="Z186" s="234"/>
      <c r="AA186" s="234"/>
      <c r="AB186" s="234"/>
      <c r="AC186" s="234"/>
      <c r="AD186" s="234"/>
      <c r="AE186" s="234"/>
      <c r="AF186" s="234"/>
      <c r="AG186" s="320"/>
      <c r="AH186" s="234"/>
      <c r="AI186" s="234"/>
      <c r="AJ186" s="234"/>
      <c r="AK186" s="234"/>
      <c r="AL186" s="234"/>
      <c r="AM186" s="1571"/>
      <c r="AN186" s="1571"/>
      <c r="AO186" s="1571"/>
      <c r="AP186" s="1571"/>
    </row>
    <row r="187" spans="1:42">
      <c r="A187" s="1571"/>
      <c r="B187" s="1571"/>
      <c r="C187" s="1571"/>
      <c r="D187" s="1571"/>
      <c r="E187" s="1571"/>
      <c r="F187" s="1571"/>
      <c r="G187" s="1571"/>
      <c r="H187" s="1571"/>
      <c r="I187" s="1571"/>
      <c r="J187" s="1571"/>
      <c r="K187" s="1571"/>
      <c r="L187" s="1571"/>
      <c r="M187" s="1571"/>
      <c r="N187" s="1571"/>
      <c r="O187" s="1571"/>
      <c r="P187" s="1571"/>
      <c r="Q187" s="1571"/>
      <c r="R187" s="1571"/>
      <c r="S187" s="1571"/>
      <c r="T187" s="1571"/>
      <c r="U187" s="1571"/>
      <c r="V187" s="1571"/>
      <c r="W187" s="1571"/>
      <c r="X187" s="1571"/>
      <c r="Y187" s="1571"/>
      <c r="Z187" s="1571"/>
      <c r="AA187" s="1571"/>
      <c r="AB187" s="1571"/>
      <c r="AC187" s="1571"/>
      <c r="AD187" s="1571"/>
      <c r="AE187" s="1571"/>
      <c r="AF187" s="234"/>
      <c r="AG187" s="173" t="str">
        <f>COMPANY</f>
        <v>DUKE ENERGY KENTUCKY, INC.</v>
      </c>
      <c r="AH187" s="1571"/>
      <c r="AI187" s="1571"/>
      <c r="AJ187" s="1571"/>
      <c r="AK187" s="1571"/>
      <c r="AL187" s="336" t="s">
        <v>730</v>
      </c>
      <c r="AM187" s="1571"/>
      <c r="AN187" s="1571"/>
      <c r="AO187" s="1571"/>
      <c r="AP187" s="1571"/>
    </row>
    <row r="188" spans="1:42">
      <c r="A188" s="1571"/>
      <c r="B188" s="1571"/>
      <c r="C188" s="1571"/>
      <c r="D188" s="1571"/>
      <c r="E188" s="1571"/>
      <c r="F188" s="1571"/>
      <c r="G188" s="1571"/>
      <c r="H188" s="1571"/>
      <c r="I188" s="1571"/>
      <c r="J188" s="1571"/>
      <c r="K188" s="1571"/>
      <c r="L188" s="1571"/>
      <c r="M188" s="1571"/>
      <c r="N188" s="1571"/>
      <c r="O188" s="1571"/>
      <c r="P188" s="1571"/>
      <c r="Q188" s="1571"/>
      <c r="R188" s="1571"/>
      <c r="S188" s="1571"/>
      <c r="T188" s="1571"/>
      <c r="U188" s="1571"/>
      <c r="V188" s="1571"/>
      <c r="W188" s="1571"/>
      <c r="X188" s="1571"/>
      <c r="Y188" s="1571"/>
      <c r="Z188" s="1571"/>
      <c r="AA188" s="1571"/>
      <c r="AB188" s="1571"/>
      <c r="AC188" s="1571"/>
      <c r="AD188" s="1571"/>
      <c r="AE188" s="1571"/>
      <c r="AF188" s="234"/>
      <c r="AG188" s="173" t="str">
        <f>DEPT</f>
        <v>ELECTRIC DEPARTMENT</v>
      </c>
      <c r="AH188" s="1571"/>
      <c r="AI188" s="1571"/>
      <c r="AJ188" s="1571"/>
      <c r="AK188" s="1571"/>
      <c r="AL188" s="1581" t="s">
        <v>1239</v>
      </c>
      <c r="AM188" s="1571"/>
      <c r="AN188" s="1571"/>
      <c r="AO188" s="1571"/>
      <c r="AP188" s="1571"/>
    </row>
    <row r="189" spans="1:42">
      <c r="A189" s="1571"/>
      <c r="B189" s="1571"/>
      <c r="C189" s="1571"/>
      <c r="D189" s="1571"/>
      <c r="E189" s="1571"/>
      <c r="F189" s="1571"/>
      <c r="G189" s="1571"/>
      <c r="H189" s="1571"/>
      <c r="I189" s="1571"/>
      <c r="J189" s="1571"/>
      <c r="K189" s="1571"/>
      <c r="L189" s="1571"/>
      <c r="M189" s="1571"/>
      <c r="N189" s="1571"/>
      <c r="O189" s="1571"/>
      <c r="P189" s="1571"/>
      <c r="Q189" s="1571"/>
      <c r="R189" s="1571"/>
      <c r="S189" s="1571"/>
      <c r="T189" s="1571"/>
      <c r="U189" s="1571"/>
      <c r="V189" s="1571"/>
      <c r="W189" s="1571"/>
      <c r="X189" s="1571"/>
      <c r="Y189" s="1571"/>
      <c r="Z189" s="1571"/>
      <c r="AA189" s="1571"/>
      <c r="AB189" s="1571"/>
      <c r="AC189" s="1571"/>
      <c r="AD189" s="1571"/>
      <c r="AE189" s="1571"/>
      <c r="AF189" s="234"/>
      <c r="AG189" s="173" t="str">
        <f>CASE</f>
        <v>CASE NO. 2017-00321</v>
      </c>
      <c r="AH189" s="1571"/>
      <c r="AI189" s="1571"/>
      <c r="AJ189" s="1571"/>
      <c r="AK189" s="1571"/>
      <c r="AL189" s="337" t="str">
        <f>_WIT3</f>
        <v>L. M. BELLUCCI</v>
      </c>
      <c r="AM189" s="1571"/>
      <c r="AN189" s="1571"/>
      <c r="AO189" s="1571"/>
      <c r="AP189" s="1571"/>
    </row>
    <row r="190" spans="1:42">
      <c r="A190" s="1571"/>
      <c r="B190" s="1571"/>
      <c r="C190" s="1571"/>
      <c r="D190" s="1571"/>
      <c r="E190" s="1571"/>
      <c r="F190" s="1571"/>
      <c r="G190" s="1571"/>
      <c r="H190" s="1571"/>
      <c r="I190" s="1571"/>
      <c r="J190" s="1571"/>
      <c r="K190" s="1571"/>
      <c r="L190" s="1571"/>
      <c r="M190" s="1571"/>
      <c r="N190" s="1571"/>
      <c r="O190" s="1571"/>
      <c r="P190" s="1571"/>
      <c r="Q190" s="1571"/>
      <c r="R190" s="1571"/>
      <c r="S190" s="1571"/>
      <c r="T190" s="1571"/>
      <c r="U190" s="1571"/>
      <c r="V190" s="1571"/>
      <c r="W190" s="1571"/>
      <c r="X190" s="1571"/>
      <c r="Y190" s="1571"/>
      <c r="Z190" s="1571"/>
      <c r="AA190" s="1571"/>
      <c r="AB190" s="1571"/>
      <c r="AC190" s="1571"/>
      <c r="AD190" s="1571"/>
      <c r="AE190" s="1571"/>
      <c r="AF190" s="234"/>
      <c r="AG190" s="174" t="s">
        <v>415</v>
      </c>
      <c r="AH190" s="1571"/>
      <c r="AI190" s="1571"/>
      <c r="AJ190" s="1571"/>
      <c r="AK190" s="1571"/>
      <c r="AL190" s="1571"/>
      <c r="AM190" s="1571"/>
      <c r="AN190" s="1571"/>
      <c r="AO190" s="1571"/>
      <c r="AP190" s="1571"/>
    </row>
    <row r="191" spans="1:42">
      <c r="A191" s="1571"/>
      <c r="B191" s="1571"/>
      <c r="C191" s="1571"/>
      <c r="D191" s="1571"/>
      <c r="E191" s="1571"/>
      <c r="F191" s="1571"/>
      <c r="G191" s="1571"/>
      <c r="H191" s="1571"/>
      <c r="I191" s="1571"/>
      <c r="J191" s="1571"/>
      <c r="K191" s="1571"/>
      <c r="L191" s="1571"/>
      <c r="M191" s="1571"/>
      <c r="N191" s="1571"/>
      <c r="O191" s="1571"/>
      <c r="P191" s="1571"/>
      <c r="Q191" s="1571"/>
      <c r="R191" s="1571"/>
      <c r="S191" s="1571"/>
      <c r="T191" s="1571"/>
      <c r="U191" s="1571"/>
      <c r="V191" s="1571"/>
      <c r="W191" s="1571"/>
      <c r="X191" s="1571"/>
      <c r="Y191" s="1571"/>
      <c r="Z191" s="1571"/>
      <c r="AA191" s="1571"/>
      <c r="AB191" s="1571"/>
      <c r="AC191" s="1571"/>
      <c r="AD191" s="1571"/>
      <c r="AE191" s="1571"/>
      <c r="AF191" s="234"/>
      <c r="AG191" s="174" t="s">
        <v>2717</v>
      </c>
      <c r="AH191" s="1571"/>
      <c r="AI191" s="1571"/>
      <c r="AJ191" s="1571"/>
      <c r="AK191" s="1571"/>
      <c r="AL191" s="1571"/>
      <c r="AM191" s="1571"/>
      <c r="AN191" s="1571"/>
      <c r="AO191" s="1571"/>
      <c r="AP191" s="1571"/>
    </row>
    <row r="192" spans="1:42">
      <c r="A192" s="1571"/>
      <c r="B192" s="1571"/>
      <c r="C192" s="1571"/>
      <c r="D192" s="1571"/>
      <c r="E192" s="1571"/>
      <c r="F192" s="1571"/>
      <c r="G192" s="1571"/>
      <c r="H192" s="1571"/>
      <c r="I192" s="1571"/>
      <c r="J192" s="1571"/>
      <c r="K192" s="1571"/>
      <c r="L192" s="1571"/>
      <c r="M192" s="1571"/>
      <c r="N192" s="1571"/>
      <c r="O192" s="1571"/>
      <c r="P192" s="1571"/>
      <c r="Q192" s="1571"/>
      <c r="R192" s="1571"/>
      <c r="S192" s="1571"/>
      <c r="T192" s="1571"/>
      <c r="U192" s="1571"/>
      <c r="V192" s="1571"/>
      <c r="W192" s="1571"/>
      <c r="X192" s="1571"/>
      <c r="Y192" s="1571"/>
      <c r="Z192" s="1571"/>
      <c r="AA192" s="1571"/>
      <c r="AB192" s="1571"/>
      <c r="AC192" s="1571"/>
      <c r="AD192" s="1571"/>
      <c r="AE192" s="1571"/>
      <c r="AF192" s="234"/>
      <c r="AG192" s="99" t="str">
        <f>"AS OF " &amp;RIGHT(Forecast,(LEN(Forecast)-16))</f>
        <v>AS OF MARCH 31, 2019</v>
      </c>
      <c r="AH192" s="1571"/>
      <c r="AI192" s="1571"/>
      <c r="AJ192" s="1571"/>
      <c r="AK192" s="1571"/>
      <c r="AL192" s="1571"/>
      <c r="AM192" s="1571"/>
      <c r="AN192" s="1571"/>
      <c r="AO192" s="1571"/>
      <c r="AP192" s="1571"/>
    </row>
    <row r="193" spans="1:42">
      <c r="A193" s="1571"/>
      <c r="B193" s="1571"/>
      <c r="C193" s="1571"/>
      <c r="D193" s="1571"/>
      <c r="E193" s="1571"/>
      <c r="F193" s="1571"/>
      <c r="G193" s="1571"/>
      <c r="H193" s="1571"/>
      <c r="I193" s="1571"/>
      <c r="J193" s="1571"/>
      <c r="K193" s="1571"/>
      <c r="L193" s="1571"/>
      <c r="M193" s="1571"/>
      <c r="N193" s="1571"/>
      <c r="O193" s="1571"/>
      <c r="P193" s="1571"/>
      <c r="Q193" s="1571"/>
      <c r="R193" s="1571"/>
      <c r="S193" s="1571"/>
      <c r="T193" s="1571"/>
      <c r="U193" s="1571"/>
      <c r="V193" s="1571"/>
      <c r="W193" s="1571"/>
      <c r="X193" s="1571"/>
      <c r="Y193" s="1571"/>
      <c r="Z193" s="1571"/>
      <c r="AA193" s="1571"/>
      <c r="AB193" s="1571"/>
      <c r="AC193" s="1571"/>
      <c r="AD193" s="1571"/>
      <c r="AE193" s="1571"/>
      <c r="AF193" s="234"/>
      <c r="AG193" s="1571"/>
      <c r="AH193" s="1571"/>
      <c r="AI193" s="1571"/>
      <c r="AJ193" s="1571"/>
      <c r="AK193" s="1571"/>
      <c r="AL193" s="1571"/>
      <c r="AM193" s="1571"/>
      <c r="AN193" s="1571"/>
      <c r="AO193" s="1571"/>
      <c r="AP193" s="1571"/>
    </row>
    <row r="194" spans="1:42">
      <c r="A194" s="1571"/>
      <c r="B194" s="1571"/>
      <c r="C194" s="1571"/>
      <c r="D194" s="1571"/>
      <c r="E194" s="1571"/>
      <c r="F194" s="1571"/>
      <c r="G194" s="1571"/>
      <c r="H194" s="1571"/>
      <c r="I194" s="1571"/>
      <c r="J194" s="1571"/>
      <c r="K194" s="1571"/>
      <c r="L194" s="1571"/>
      <c r="M194" s="1571"/>
      <c r="N194" s="1571"/>
      <c r="O194" s="1571"/>
      <c r="P194" s="1571"/>
      <c r="Q194" s="1571"/>
      <c r="R194" s="1571"/>
      <c r="S194" s="1571"/>
      <c r="T194" s="1571"/>
      <c r="U194" s="1571"/>
      <c r="V194" s="1571"/>
      <c r="W194" s="1571"/>
      <c r="X194" s="1571"/>
      <c r="Y194" s="1571"/>
      <c r="Z194" s="1571"/>
      <c r="AA194" s="1571"/>
      <c r="AB194" s="1571"/>
      <c r="AC194" s="1571"/>
      <c r="AD194" s="1571"/>
      <c r="AE194" s="1571"/>
      <c r="AF194" s="234"/>
      <c r="AG194" s="1571"/>
      <c r="AH194" s="1571"/>
      <c r="AI194" s="1571"/>
      <c r="AJ194" s="1571"/>
      <c r="AK194" s="1571"/>
      <c r="AL194" s="1571"/>
      <c r="AM194" s="1571"/>
      <c r="AN194" s="1571"/>
      <c r="AO194" s="1571"/>
      <c r="AP194" s="1571"/>
    </row>
    <row r="195" spans="1:42">
      <c r="A195" s="1571"/>
      <c r="B195" s="1571"/>
      <c r="C195" s="1571"/>
      <c r="D195" s="1571"/>
      <c r="E195" s="1571"/>
      <c r="F195" s="1571"/>
      <c r="G195" s="1571"/>
      <c r="H195" s="1571"/>
      <c r="I195" s="1571"/>
      <c r="J195" s="1571"/>
      <c r="K195" s="1571"/>
      <c r="L195" s="1571"/>
      <c r="M195" s="1571"/>
      <c r="N195" s="1571"/>
      <c r="O195" s="1571"/>
      <c r="P195" s="1571"/>
      <c r="Q195" s="1571"/>
      <c r="R195" s="1571"/>
      <c r="S195" s="1571"/>
      <c r="T195" s="1571"/>
      <c r="U195" s="1571"/>
      <c r="V195" s="1571"/>
      <c r="W195" s="1571"/>
      <c r="X195" s="1571"/>
      <c r="Y195" s="1571"/>
      <c r="Z195" s="1571"/>
      <c r="AA195" s="1571"/>
      <c r="AB195" s="1571"/>
      <c r="AC195" s="1571"/>
      <c r="AD195" s="1571"/>
      <c r="AE195" s="1571"/>
      <c r="AF195" s="234"/>
      <c r="AG195" s="2741" t="s">
        <v>1961</v>
      </c>
      <c r="AH195" s="1571"/>
      <c r="AI195" s="1571"/>
      <c r="AJ195" s="1571"/>
      <c r="AK195" s="338"/>
      <c r="AL195" s="1571"/>
      <c r="AM195" s="1571"/>
      <c r="AN195" s="1571"/>
      <c r="AO195" s="1571"/>
      <c r="AP195" s="1571"/>
    </row>
    <row r="196" spans="1:42">
      <c r="A196" s="1571"/>
      <c r="B196" s="1571"/>
      <c r="C196" s="1571"/>
      <c r="D196" s="1571"/>
      <c r="E196" s="1571"/>
      <c r="F196" s="1571"/>
      <c r="G196" s="1571"/>
      <c r="H196" s="1571"/>
      <c r="I196" s="1571"/>
      <c r="J196" s="1571"/>
      <c r="K196" s="1571"/>
      <c r="L196" s="1571"/>
      <c r="M196" s="1571"/>
      <c r="N196" s="1571"/>
      <c r="O196" s="1571"/>
      <c r="P196" s="1571"/>
      <c r="Q196" s="1571"/>
      <c r="R196" s="1571"/>
      <c r="S196" s="1571"/>
      <c r="T196" s="1571"/>
      <c r="U196" s="1571"/>
      <c r="V196" s="1571"/>
      <c r="W196" s="1571"/>
      <c r="X196" s="1571"/>
      <c r="Y196" s="1571"/>
      <c r="Z196" s="1571"/>
      <c r="AA196" s="1571"/>
      <c r="AB196" s="1571"/>
      <c r="AC196" s="1571"/>
      <c r="AD196" s="1571"/>
      <c r="AE196" s="1571"/>
      <c r="AF196" s="234"/>
      <c r="AG196" s="1308" t="s">
        <v>90</v>
      </c>
      <c r="AH196" s="1305"/>
      <c r="AI196" s="339" t="s">
        <v>1119</v>
      </c>
      <c r="AJ196" s="1305"/>
      <c r="AK196" s="1305"/>
      <c r="AL196" s="340" t="s">
        <v>728</v>
      </c>
      <c r="AM196" s="1571"/>
      <c r="AN196" s="1571"/>
      <c r="AO196" s="1571"/>
      <c r="AP196" s="1571"/>
    </row>
    <row r="197" spans="1:42">
      <c r="A197" s="1571"/>
      <c r="B197" s="1571"/>
      <c r="C197" s="1571"/>
      <c r="D197" s="1571"/>
      <c r="E197" s="1571"/>
      <c r="F197" s="1571"/>
      <c r="G197" s="1571"/>
      <c r="H197" s="1571"/>
      <c r="I197" s="1571"/>
      <c r="J197" s="1571"/>
      <c r="K197" s="1571"/>
      <c r="L197" s="1571"/>
      <c r="M197" s="1571"/>
      <c r="N197" s="1571"/>
      <c r="O197" s="1571"/>
      <c r="P197" s="1571"/>
      <c r="Q197" s="1571"/>
      <c r="R197" s="1571"/>
      <c r="S197" s="1571"/>
      <c r="T197" s="1571"/>
      <c r="U197" s="1571"/>
      <c r="V197" s="1571"/>
      <c r="W197" s="1571"/>
      <c r="X197" s="1571"/>
      <c r="Y197" s="1571"/>
      <c r="Z197" s="1571"/>
      <c r="AA197" s="1571"/>
      <c r="AB197" s="1571"/>
      <c r="AC197" s="1571"/>
      <c r="AD197" s="1571"/>
      <c r="AE197" s="1571"/>
      <c r="AF197" s="234"/>
      <c r="AG197" s="1571"/>
      <c r="AH197" s="1571"/>
      <c r="AI197" s="1459"/>
      <c r="AJ197" s="1459"/>
      <c r="AK197" s="1459"/>
      <c r="AL197" s="1459"/>
      <c r="AM197" s="1571"/>
      <c r="AN197" s="1571"/>
      <c r="AO197" s="1571"/>
      <c r="AP197" s="1571"/>
    </row>
    <row r="198" spans="1:42">
      <c r="A198" s="1571"/>
      <c r="B198" s="1571"/>
      <c r="C198" s="1571"/>
      <c r="D198" s="1571"/>
      <c r="E198" s="1571"/>
      <c r="F198" s="1571"/>
      <c r="G198" s="1571"/>
      <c r="H198" s="1571"/>
      <c r="I198" s="1571"/>
      <c r="J198" s="1571"/>
      <c r="K198" s="1571"/>
      <c r="L198" s="1571"/>
      <c r="M198" s="1571"/>
      <c r="N198" s="1571"/>
      <c r="O198" s="1571"/>
      <c r="P198" s="1571"/>
      <c r="Q198" s="1571"/>
      <c r="R198" s="1571"/>
      <c r="S198" s="1571"/>
      <c r="T198" s="1571"/>
      <c r="U198" s="1571"/>
      <c r="V198" s="1571"/>
      <c r="W198" s="1571"/>
      <c r="X198" s="1571"/>
      <c r="Y198" s="1571"/>
      <c r="Z198" s="1571"/>
      <c r="AA198" s="1571"/>
      <c r="AB198" s="1571"/>
      <c r="AC198" s="1571"/>
      <c r="AD198" s="1571"/>
      <c r="AE198" s="1571"/>
      <c r="AF198" s="234"/>
      <c r="AG198" s="2741">
        <v>1</v>
      </c>
      <c r="AH198" s="1571"/>
      <c r="AI198" s="1581" t="s">
        <v>722</v>
      </c>
      <c r="AJ198" s="1571"/>
      <c r="AK198" s="1571"/>
      <c r="AL198" s="1571"/>
      <c r="AM198" s="1571"/>
      <c r="AN198" s="1571"/>
      <c r="AO198" s="1571"/>
      <c r="AP198" s="1571"/>
    </row>
    <row r="199" spans="1:42">
      <c r="A199" s="1571"/>
      <c r="B199" s="1571"/>
      <c r="C199" s="1571"/>
      <c r="D199" s="1571"/>
      <c r="E199" s="1571"/>
      <c r="F199" s="1571"/>
      <c r="G199" s="1571"/>
      <c r="H199" s="1571"/>
      <c r="I199" s="1571"/>
      <c r="J199" s="1571"/>
      <c r="K199" s="1571"/>
      <c r="L199" s="1571"/>
      <c r="M199" s="1571"/>
      <c r="N199" s="1571"/>
      <c r="O199" s="1571"/>
      <c r="P199" s="1571"/>
      <c r="Q199" s="1571"/>
      <c r="R199" s="1571"/>
      <c r="S199" s="1571"/>
      <c r="T199" s="1571"/>
      <c r="U199" s="1571"/>
      <c r="V199" s="1571"/>
      <c r="W199" s="1571"/>
      <c r="X199" s="1571"/>
      <c r="Y199" s="1571"/>
      <c r="Z199" s="1571"/>
      <c r="AA199" s="1571"/>
      <c r="AB199" s="1571"/>
      <c r="AC199" s="1571"/>
      <c r="AD199" s="1571"/>
      <c r="AE199" s="1571"/>
      <c r="AF199" s="234"/>
      <c r="AG199" s="2741">
        <f t="shared" ref="AG199:AG209" si="23">AG198+1</f>
        <v>2</v>
      </c>
      <c r="AH199" s="1571"/>
      <c r="AI199" s="1581" t="s">
        <v>723</v>
      </c>
      <c r="AJ199" s="1571"/>
      <c r="AK199" s="1571" t="s">
        <v>405</v>
      </c>
      <c r="AL199" s="1599">
        <f>'Rate Base Ratios'!F12</f>
        <v>502133386</v>
      </c>
      <c r="AM199" s="1571"/>
      <c r="AN199" s="1571" t="s">
        <v>3072</v>
      </c>
      <c r="AO199" s="1571"/>
      <c r="AP199" s="1571"/>
    </row>
    <row r="200" spans="1:42">
      <c r="A200" s="1571"/>
      <c r="B200" s="1571"/>
      <c r="C200" s="1571"/>
      <c r="D200" s="1571"/>
      <c r="E200" s="1571"/>
      <c r="F200" s="1571"/>
      <c r="G200" s="1571"/>
      <c r="H200" s="1571"/>
      <c r="I200" s="1571"/>
      <c r="J200" s="1571"/>
      <c r="K200" s="1571"/>
      <c r="L200" s="1571"/>
      <c r="M200" s="1571"/>
      <c r="N200" s="1571"/>
      <c r="O200" s="1571"/>
      <c r="P200" s="1571"/>
      <c r="Q200" s="1571"/>
      <c r="R200" s="1571"/>
      <c r="S200" s="1571"/>
      <c r="T200" s="1571"/>
      <c r="U200" s="1571"/>
      <c r="V200" s="1571"/>
      <c r="W200" s="1571"/>
      <c r="X200" s="1571"/>
      <c r="Y200" s="1571"/>
      <c r="Z200" s="1571"/>
      <c r="AA200" s="1571"/>
      <c r="AB200" s="1571"/>
      <c r="AC200" s="1571"/>
      <c r="AD200" s="1571"/>
      <c r="AE200" s="1571"/>
      <c r="AF200" s="234"/>
      <c r="AG200" s="2741">
        <f t="shared" si="23"/>
        <v>3</v>
      </c>
      <c r="AH200" s="1571"/>
      <c r="AI200" s="1581" t="s">
        <v>2328</v>
      </c>
      <c r="AJ200" s="1571"/>
      <c r="AK200" s="1571" t="s">
        <v>724</v>
      </c>
      <c r="AL200" s="1600">
        <f>'Rate Base Ratios'!F36</f>
        <v>169168029</v>
      </c>
      <c r="AM200" s="1571"/>
      <c r="AN200" s="1571" t="s">
        <v>3072</v>
      </c>
      <c r="AO200" s="1571"/>
      <c r="AP200" s="1571"/>
    </row>
    <row r="201" spans="1:42">
      <c r="A201" s="1571"/>
      <c r="B201" s="1571"/>
      <c r="C201" s="1571"/>
      <c r="D201" s="1571"/>
      <c r="E201" s="1571"/>
      <c r="F201" s="1571"/>
      <c r="G201" s="1571"/>
      <c r="H201" s="1571"/>
      <c r="I201" s="1571"/>
      <c r="J201" s="1571"/>
      <c r="K201" s="1571"/>
      <c r="L201" s="1571"/>
      <c r="M201" s="1571"/>
      <c r="N201" s="1571"/>
      <c r="O201" s="1571"/>
      <c r="P201" s="1571"/>
      <c r="Q201" s="1571"/>
      <c r="R201" s="1571"/>
      <c r="S201" s="1571"/>
      <c r="T201" s="1571"/>
      <c r="U201" s="1571"/>
      <c r="V201" s="1571"/>
      <c r="W201" s="1571"/>
      <c r="X201" s="1571"/>
      <c r="Y201" s="1571"/>
      <c r="Z201" s="1571"/>
      <c r="AA201" s="1571"/>
      <c r="AB201" s="1571"/>
      <c r="AC201" s="1571"/>
      <c r="AD201" s="1571"/>
      <c r="AE201" s="1571"/>
      <c r="AF201" s="234"/>
      <c r="AG201" s="2741">
        <f t="shared" si="23"/>
        <v>4</v>
      </c>
      <c r="AH201" s="1571"/>
      <c r="AI201" s="341"/>
      <c r="AJ201" s="1571"/>
      <c r="AK201" s="1571" t="s">
        <v>725</v>
      </c>
      <c r="AL201" s="342">
        <f>AL199-AL200</f>
        <v>332965357</v>
      </c>
      <c r="AM201" s="1571"/>
      <c r="AN201" s="1571"/>
      <c r="AO201" s="1571"/>
      <c r="AP201" s="1571"/>
    </row>
    <row r="202" spans="1:42">
      <c r="A202" s="1571"/>
      <c r="B202" s="1571"/>
      <c r="C202" s="1571"/>
      <c r="D202" s="1571"/>
      <c r="E202" s="1571"/>
      <c r="F202" s="1571"/>
      <c r="G202" s="1571"/>
      <c r="H202" s="1571"/>
      <c r="I202" s="1571"/>
      <c r="J202" s="1571"/>
      <c r="K202" s="1571"/>
      <c r="L202" s="1571"/>
      <c r="M202" s="1571"/>
      <c r="N202" s="1571"/>
      <c r="O202" s="1571"/>
      <c r="P202" s="1571"/>
      <c r="Q202" s="1571"/>
      <c r="R202" s="1571"/>
      <c r="S202" s="1571"/>
      <c r="T202" s="1571"/>
      <c r="U202" s="1571"/>
      <c r="V202" s="1571"/>
      <c r="W202" s="1571"/>
      <c r="X202" s="1571"/>
      <c r="Y202" s="1571"/>
      <c r="Z202" s="1571"/>
      <c r="AA202" s="1571"/>
      <c r="AB202" s="1571"/>
      <c r="AC202" s="1571"/>
      <c r="AD202" s="1571"/>
      <c r="AE202" s="1571"/>
      <c r="AF202" s="234"/>
      <c r="AG202" s="2741">
        <f t="shared" si="23"/>
        <v>5</v>
      </c>
      <c r="AH202" s="1571"/>
      <c r="AI202" s="341"/>
      <c r="AJ202" s="1571"/>
      <c r="AK202" s="1571"/>
      <c r="AL202" s="1571"/>
      <c r="AM202" s="1571"/>
      <c r="AN202" s="1571"/>
      <c r="AO202" s="1571"/>
      <c r="AP202" s="1571"/>
    </row>
    <row r="203" spans="1:42">
      <c r="A203" s="1571"/>
      <c r="B203" s="1571"/>
      <c r="C203" s="1571"/>
      <c r="D203" s="1571"/>
      <c r="E203" s="1571"/>
      <c r="F203" s="1571"/>
      <c r="G203" s="1571"/>
      <c r="H203" s="1571"/>
      <c r="I203" s="1571"/>
      <c r="J203" s="1571"/>
      <c r="K203" s="1571"/>
      <c r="L203" s="1571"/>
      <c r="M203" s="1571"/>
      <c r="N203" s="1571"/>
      <c r="O203" s="1571"/>
      <c r="P203" s="1571"/>
      <c r="Q203" s="1571"/>
      <c r="R203" s="1571"/>
      <c r="S203" s="1571"/>
      <c r="T203" s="1571"/>
      <c r="U203" s="1571"/>
      <c r="V203" s="1571"/>
      <c r="W203" s="1571"/>
      <c r="X203" s="1571"/>
      <c r="Y203" s="1571"/>
      <c r="Z203" s="1571"/>
      <c r="AA203" s="1571"/>
      <c r="AB203" s="1571"/>
      <c r="AC203" s="1571"/>
      <c r="AD203" s="1571"/>
      <c r="AE203" s="1571"/>
      <c r="AF203" s="234"/>
      <c r="AG203" s="2741">
        <f t="shared" si="23"/>
        <v>6</v>
      </c>
      <c r="AH203" s="1571"/>
      <c r="AI203" s="1581" t="s">
        <v>726</v>
      </c>
      <c r="AJ203" s="1571"/>
      <c r="AK203" s="1571" t="s">
        <v>405</v>
      </c>
      <c r="AL203" s="1599">
        <f>'Rate Base Ratios'!H12</f>
        <v>11786059</v>
      </c>
      <c r="AM203" s="1571"/>
      <c r="AN203" s="1571" t="s">
        <v>3072</v>
      </c>
      <c r="AO203" s="1571"/>
      <c r="AP203" s="1571"/>
    </row>
    <row r="204" spans="1:42">
      <c r="A204" s="1571"/>
      <c r="B204" s="1571"/>
      <c r="C204" s="1571"/>
      <c r="D204" s="1571"/>
      <c r="E204" s="1571"/>
      <c r="F204" s="1571"/>
      <c r="G204" s="1571"/>
      <c r="H204" s="1571"/>
      <c r="I204" s="1571"/>
      <c r="J204" s="1571"/>
      <c r="K204" s="1571"/>
      <c r="L204" s="1571"/>
      <c r="M204" s="1571"/>
      <c r="N204" s="1571"/>
      <c r="O204" s="1571"/>
      <c r="P204" s="1571"/>
      <c r="Q204" s="1571"/>
      <c r="R204" s="1571"/>
      <c r="S204" s="1571"/>
      <c r="T204" s="1571"/>
      <c r="U204" s="1571"/>
      <c r="V204" s="1571"/>
      <c r="W204" s="1571"/>
      <c r="X204" s="1571"/>
      <c r="Y204" s="1571"/>
      <c r="Z204" s="1571"/>
      <c r="AA204" s="1571"/>
      <c r="AB204" s="1571"/>
      <c r="AC204" s="1571"/>
      <c r="AD204" s="1571"/>
      <c r="AE204" s="1571"/>
      <c r="AF204" s="234"/>
      <c r="AG204" s="2741">
        <f t="shared" si="23"/>
        <v>7</v>
      </c>
      <c r="AH204" s="1571"/>
      <c r="AI204" s="1581" t="s">
        <v>2329</v>
      </c>
      <c r="AJ204" s="1571"/>
      <c r="AK204" s="1571" t="s">
        <v>724</v>
      </c>
      <c r="AL204" s="1600">
        <f>'Rate Base Ratios'!H36</f>
        <v>7409483</v>
      </c>
      <c r="AM204" s="1571"/>
      <c r="AN204" s="1571" t="s">
        <v>3072</v>
      </c>
      <c r="AO204" s="1571"/>
      <c r="AP204" s="1571"/>
    </row>
    <row r="205" spans="1:42">
      <c r="A205" s="1571"/>
      <c r="B205" s="1571"/>
      <c r="C205" s="1571"/>
      <c r="D205" s="1571"/>
      <c r="E205" s="1571"/>
      <c r="F205" s="1571"/>
      <c r="G205" s="1571"/>
      <c r="H205" s="1571"/>
      <c r="I205" s="1571"/>
      <c r="J205" s="1571"/>
      <c r="K205" s="1571"/>
      <c r="L205" s="1571"/>
      <c r="M205" s="1571"/>
      <c r="N205" s="1571"/>
      <c r="O205" s="1571"/>
      <c r="P205" s="1571"/>
      <c r="Q205" s="1571"/>
      <c r="R205" s="1571"/>
      <c r="S205" s="1571"/>
      <c r="T205" s="1571"/>
      <c r="U205" s="1571"/>
      <c r="V205" s="1571"/>
      <c r="W205" s="1571"/>
      <c r="X205" s="1571"/>
      <c r="Y205" s="1571"/>
      <c r="Z205" s="1571"/>
      <c r="AA205" s="1571"/>
      <c r="AB205" s="1571"/>
      <c r="AC205" s="1571"/>
      <c r="AD205" s="1571"/>
      <c r="AE205" s="1571"/>
      <c r="AF205" s="234"/>
      <c r="AG205" s="2741">
        <f t="shared" si="23"/>
        <v>8</v>
      </c>
      <c r="AH205" s="1571"/>
      <c r="AI205" s="341"/>
      <c r="AJ205" s="1571"/>
      <c r="AK205" s="1571" t="s">
        <v>725</v>
      </c>
      <c r="AL205" s="342">
        <f>AL203-AL204</f>
        <v>4376576</v>
      </c>
      <c r="AM205" s="1571"/>
      <c r="AN205" s="1571"/>
      <c r="AO205" s="1571"/>
      <c r="AP205" s="1571"/>
    </row>
    <row r="206" spans="1:42">
      <c r="A206" s="1571"/>
      <c r="B206" s="1571"/>
      <c r="C206" s="1571"/>
      <c r="D206" s="1571"/>
      <c r="E206" s="1571"/>
      <c r="F206" s="1571"/>
      <c r="G206" s="1571"/>
      <c r="H206" s="1571"/>
      <c r="I206" s="1571"/>
      <c r="J206" s="1571"/>
      <c r="K206" s="1571"/>
      <c r="L206" s="1571"/>
      <c r="M206" s="1571"/>
      <c r="N206" s="1571"/>
      <c r="O206" s="1571"/>
      <c r="P206" s="1571"/>
      <c r="Q206" s="1571"/>
      <c r="R206" s="1571"/>
      <c r="S206" s="1571"/>
      <c r="T206" s="1571"/>
      <c r="U206" s="1571"/>
      <c r="V206" s="1571"/>
      <c r="W206" s="1571"/>
      <c r="X206" s="1571"/>
      <c r="Y206" s="1571"/>
      <c r="Z206" s="1571"/>
      <c r="AA206" s="1571"/>
      <c r="AB206" s="1571"/>
      <c r="AC206" s="1571"/>
      <c r="AD206" s="1571"/>
      <c r="AE206" s="1571"/>
      <c r="AF206" s="234"/>
      <c r="AG206" s="2741">
        <f t="shared" si="23"/>
        <v>9</v>
      </c>
      <c r="AH206" s="1571"/>
      <c r="AI206" s="341"/>
      <c r="AJ206" s="1571"/>
      <c r="AK206" s="1571"/>
      <c r="AL206" s="1571"/>
      <c r="AM206" s="1571"/>
      <c r="AN206" s="1571"/>
      <c r="AO206" s="1571"/>
      <c r="AP206" s="1571"/>
    </row>
    <row r="207" spans="1:42">
      <c r="A207" s="1571"/>
      <c r="B207" s="1571"/>
      <c r="C207" s="1571"/>
      <c r="D207" s="1571"/>
      <c r="E207" s="1571"/>
      <c r="F207" s="1571"/>
      <c r="G207" s="1571"/>
      <c r="H207" s="1571"/>
      <c r="I207" s="1571"/>
      <c r="J207" s="1571"/>
      <c r="K207" s="1571"/>
      <c r="L207" s="1571"/>
      <c r="M207" s="1571"/>
      <c r="N207" s="1571"/>
      <c r="O207" s="1571"/>
      <c r="P207" s="1571"/>
      <c r="Q207" s="1571"/>
      <c r="R207" s="1571"/>
      <c r="S207" s="1571"/>
      <c r="T207" s="1571"/>
      <c r="U207" s="1571"/>
      <c r="V207" s="1571"/>
      <c r="W207" s="1571"/>
      <c r="X207" s="1571"/>
      <c r="Y207" s="1571"/>
      <c r="Z207" s="1571"/>
      <c r="AA207" s="1571"/>
      <c r="AB207" s="1571"/>
      <c r="AC207" s="1571"/>
      <c r="AD207" s="1571"/>
      <c r="AE207" s="1571"/>
      <c r="AF207" s="234"/>
      <c r="AG207" s="2741">
        <f t="shared" si="23"/>
        <v>10</v>
      </c>
      <c r="AH207" s="1571"/>
      <c r="AI207" s="341"/>
      <c r="AJ207" s="1571"/>
      <c r="AK207" s="1571"/>
      <c r="AL207" s="1571"/>
      <c r="AM207" s="1571"/>
      <c r="AN207" s="1571"/>
      <c r="AO207" s="1571"/>
      <c r="AP207" s="1571"/>
    </row>
    <row r="208" spans="1:42">
      <c r="A208" s="1571"/>
      <c r="B208" s="1571"/>
      <c r="C208" s="1571"/>
      <c r="D208" s="1571"/>
      <c r="E208" s="1571"/>
      <c r="F208" s="1571"/>
      <c r="G208" s="1571"/>
      <c r="H208" s="1571"/>
      <c r="I208" s="1571"/>
      <c r="J208" s="1571"/>
      <c r="K208" s="1571"/>
      <c r="L208" s="1571"/>
      <c r="M208" s="1571"/>
      <c r="N208" s="1571"/>
      <c r="O208" s="1571"/>
      <c r="P208" s="1571"/>
      <c r="Q208" s="1571"/>
      <c r="R208" s="1571"/>
      <c r="S208" s="1571"/>
      <c r="T208" s="1571"/>
      <c r="U208" s="1571"/>
      <c r="V208" s="1571"/>
      <c r="W208" s="1571"/>
      <c r="X208" s="1571"/>
      <c r="Y208" s="1571"/>
      <c r="Z208" s="1571"/>
      <c r="AA208" s="1571"/>
      <c r="AB208" s="1571"/>
      <c r="AC208" s="1571"/>
      <c r="AD208" s="1571"/>
      <c r="AE208" s="1571"/>
      <c r="AF208" s="234"/>
      <c r="AG208" s="2741">
        <f t="shared" si="23"/>
        <v>11</v>
      </c>
      <c r="AH208" s="1571"/>
      <c r="AI208" s="1581" t="s">
        <v>727</v>
      </c>
      <c r="AJ208" s="1571"/>
      <c r="AK208" s="1571"/>
      <c r="AL208" s="1571"/>
      <c r="AM208" s="1571"/>
      <c r="AN208" s="1571"/>
      <c r="AO208" s="1571"/>
      <c r="AP208" s="1571"/>
    </row>
    <row r="209" spans="1:42">
      <c r="A209" s="1571"/>
      <c r="B209" s="1571"/>
      <c r="C209" s="1571"/>
      <c r="D209" s="1571"/>
      <c r="E209" s="1571"/>
      <c r="F209" s="1571"/>
      <c r="G209" s="1571"/>
      <c r="H209" s="1571"/>
      <c r="I209" s="1571"/>
      <c r="J209" s="1571"/>
      <c r="K209" s="1571"/>
      <c r="L209" s="1571"/>
      <c r="M209" s="1571"/>
      <c r="N209" s="1571"/>
      <c r="O209" s="1571"/>
      <c r="P209" s="1571"/>
      <c r="Q209" s="1571"/>
      <c r="R209" s="1571"/>
      <c r="S209" s="1571"/>
      <c r="T209" s="1571"/>
      <c r="U209" s="1571"/>
      <c r="V209" s="1571"/>
      <c r="W209" s="1571"/>
      <c r="X209" s="1571"/>
      <c r="Y209" s="1571"/>
      <c r="Z209" s="1571"/>
      <c r="AA209" s="1571"/>
      <c r="AB209" s="1571"/>
      <c r="AC209" s="1571"/>
      <c r="AD209" s="1571"/>
      <c r="AE209" s="1571"/>
      <c r="AF209" s="234"/>
      <c r="AG209" s="2741">
        <f t="shared" si="23"/>
        <v>12</v>
      </c>
      <c r="AH209" s="1571"/>
      <c r="AI209" s="1581" t="s">
        <v>2330</v>
      </c>
      <c r="AJ209" s="1571"/>
      <c r="AK209" s="1571"/>
      <c r="AL209" s="343">
        <f>ROUND(AL205/AL201,4)</f>
        <v>1.3100000000000001E-2</v>
      </c>
      <c r="AM209" s="1571"/>
      <c r="AN209" s="1571"/>
      <c r="AO209" s="1571"/>
      <c r="AP209" s="1571"/>
    </row>
    <row r="210" spans="1:42">
      <c r="A210" s="1571"/>
      <c r="B210" s="1571"/>
      <c r="C210" s="1571"/>
      <c r="D210" s="1571"/>
      <c r="E210" s="1571"/>
      <c r="F210" s="1571"/>
      <c r="G210" s="1571"/>
      <c r="H210" s="1571"/>
      <c r="I210" s="1571"/>
      <c r="J210" s="1571"/>
      <c r="K210" s="1571"/>
      <c r="L210" s="1571"/>
      <c r="M210" s="1571"/>
      <c r="N210" s="1571"/>
      <c r="O210" s="1571"/>
      <c r="P210" s="1571"/>
      <c r="Q210" s="1571"/>
      <c r="R210" s="1571"/>
      <c r="S210" s="1571"/>
      <c r="T210" s="1571"/>
      <c r="U210" s="1571"/>
      <c r="V210" s="1571"/>
      <c r="W210" s="1571"/>
      <c r="X210" s="1571"/>
      <c r="Y210" s="1571"/>
      <c r="Z210" s="1571"/>
      <c r="AA210" s="1571"/>
      <c r="AB210" s="1571"/>
      <c r="AC210" s="1571"/>
      <c r="AD210" s="1571"/>
      <c r="AE210" s="1571"/>
      <c r="AF210" s="234"/>
      <c r="AG210" s="173"/>
      <c r="AH210" s="1571"/>
      <c r="AI210" s="341"/>
      <c r="AJ210" s="1571"/>
      <c r="AK210" s="1571"/>
      <c r="AL210" s="180"/>
      <c r="AM210" s="1571"/>
      <c r="AN210" s="1571"/>
      <c r="AO210" s="1571"/>
      <c r="AP210" s="1571"/>
    </row>
    <row r="211" spans="1:42">
      <c r="A211" s="1571"/>
      <c r="B211" s="1571"/>
      <c r="C211" s="1571"/>
      <c r="D211" s="1571"/>
      <c r="E211" s="1571"/>
      <c r="F211" s="1571"/>
      <c r="G211" s="1571"/>
      <c r="H211" s="1571"/>
      <c r="I211" s="1571"/>
      <c r="J211" s="1571"/>
      <c r="K211" s="1571"/>
      <c r="L211" s="1571"/>
      <c r="M211" s="1571"/>
      <c r="N211" s="1571"/>
      <c r="O211" s="1571"/>
      <c r="P211" s="1571"/>
      <c r="Q211" s="1571"/>
      <c r="R211" s="1571"/>
      <c r="S211" s="1571"/>
      <c r="T211" s="1571"/>
      <c r="U211" s="1571"/>
      <c r="V211" s="1571"/>
      <c r="W211" s="1571"/>
      <c r="X211" s="234"/>
      <c r="Y211" s="234"/>
      <c r="Z211" s="234"/>
      <c r="AA211" s="234"/>
      <c r="AB211" s="234"/>
      <c r="AC211" s="234"/>
      <c r="AD211" s="234"/>
      <c r="AE211" s="234"/>
      <c r="AF211" s="234"/>
      <c r="AG211" s="234"/>
      <c r="AH211" s="234"/>
      <c r="AI211" s="234"/>
      <c r="AJ211" s="234"/>
      <c r="AK211" s="234"/>
      <c r="AL211" s="234"/>
      <c r="AM211" s="1571"/>
      <c r="AN211" s="1571"/>
      <c r="AO211" s="1571"/>
      <c r="AP211" s="1571"/>
    </row>
    <row r="212" spans="1:42">
      <c r="A212" s="1571"/>
      <c r="B212" s="1571"/>
      <c r="C212" s="1571"/>
      <c r="D212" s="1571"/>
      <c r="E212" s="1571"/>
      <c r="F212" s="1571"/>
      <c r="G212" s="1571"/>
      <c r="H212" s="1571"/>
      <c r="I212" s="1571"/>
      <c r="J212" s="1571"/>
      <c r="K212" s="1571"/>
      <c r="L212" s="1571"/>
      <c r="M212" s="1571"/>
      <c r="N212" s="1571"/>
      <c r="O212" s="1571"/>
      <c r="P212" s="1571"/>
      <c r="Q212" s="1571"/>
      <c r="R212" s="1571"/>
      <c r="S212" s="1571"/>
      <c r="T212" s="1571"/>
      <c r="U212" s="1571"/>
      <c r="V212" s="1571"/>
      <c r="W212" s="1571"/>
      <c r="X212" s="234"/>
      <c r="Y212" s="234"/>
      <c r="Z212" s="234"/>
      <c r="AA212" s="234"/>
      <c r="AB212" s="234"/>
      <c r="AC212" s="234"/>
      <c r="AD212" s="234"/>
      <c r="AE212" s="234"/>
      <c r="AF212" s="234"/>
      <c r="AG212" s="234"/>
      <c r="AH212" s="234"/>
      <c r="AI212" s="344" t="s">
        <v>729</v>
      </c>
      <c r="AJ212" s="234"/>
      <c r="AK212" s="234"/>
      <c r="AL212" s="234"/>
      <c r="AM212" s="1571"/>
      <c r="AN212" s="1571"/>
      <c r="AO212" s="1571"/>
      <c r="AP212" s="1571"/>
    </row>
    <row r="213" spans="1:42">
      <c r="A213" s="1571"/>
      <c r="B213" s="1571"/>
      <c r="C213" s="1571"/>
      <c r="D213" s="1571"/>
      <c r="E213" s="1571"/>
      <c r="F213" s="1571"/>
      <c r="G213" s="1571"/>
      <c r="H213" s="1571"/>
      <c r="I213" s="1571"/>
      <c r="J213" s="1571"/>
      <c r="K213" s="1571"/>
      <c r="L213" s="1571"/>
      <c r="M213" s="1571"/>
      <c r="N213" s="1571"/>
      <c r="O213" s="1571"/>
      <c r="P213" s="1571"/>
      <c r="Q213" s="1571"/>
      <c r="R213" s="1571"/>
      <c r="S213" s="1571"/>
      <c r="T213" s="1571"/>
      <c r="U213" s="1571"/>
      <c r="V213" s="1571"/>
      <c r="W213" s="1571"/>
      <c r="X213" s="234"/>
      <c r="Y213" s="234"/>
      <c r="Z213" s="234"/>
      <c r="AA213" s="234"/>
      <c r="AB213" s="234"/>
      <c r="AC213" s="234"/>
      <c r="AD213" s="234"/>
      <c r="AE213" s="234"/>
      <c r="AF213" s="234"/>
      <c r="AG213" s="234"/>
      <c r="AH213" s="234"/>
      <c r="AI213" s="234"/>
      <c r="AJ213" s="234"/>
      <c r="AK213" s="234"/>
      <c r="AL213" s="234"/>
      <c r="AM213" s="1571"/>
      <c r="AN213" s="1571"/>
      <c r="AO213" s="1571"/>
      <c r="AP213" s="1571"/>
    </row>
    <row r="214" spans="1:42">
      <c r="A214" s="1571"/>
      <c r="B214" s="1571"/>
      <c r="C214" s="1571"/>
      <c r="D214" s="1571"/>
      <c r="E214" s="1571"/>
      <c r="F214" s="1571"/>
      <c r="G214" s="1571"/>
      <c r="H214" s="1571"/>
      <c r="I214" s="1571"/>
      <c r="J214" s="1571"/>
      <c r="K214" s="1571"/>
      <c r="L214" s="1571"/>
      <c r="M214" s="1571"/>
      <c r="N214" s="1571"/>
      <c r="O214" s="1571"/>
      <c r="P214" s="1571"/>
      <c r="Q214" s="1571"/>
      <c r="R214" s="1571"/>
      <c r="S214" s="1571"/>
      <c r="T214" s="1571"/>
      <c r="U214" s="1571"/>
      <c r="V214" s="1571"/>
      <c r="W214" s="1571"/>
      <c r="X214" s="234"/>
      <c r="Y214" s="234"/>
      <c r="Z214" s="234"/>
      <c r="AA214" s="234"/>
      <c r="AB214" s="234"/>
      <c r="AC214" s="234"/>
      <c r="AD214" s="234"/>
      <c r="AE214" s="234"/>
      <c r="AF214" s="234"/>
      <c r="AG214" s="234"/>
      <c r="AH214" s="234"/>
      <c r="AI214" s="234"/>
      <c r="AJ214" s="234"/>
      <c r="AK214" s="234"/>
      <c r="AL214" s="234"/>
      <c r="AM214" s="1571"/>
      <c r="AN214" s="1571"/>
      <c r="AO214" s="1571"/>
      <c r="AP214" s="1571"/>
    </row>
    <row r="215" spans="1:42">
      <c r="A215" s="1571"/>
      <c r="B215" s="1571"/>
      <c r="C215" s="1571"/>
      <c r="D215" s="1571"/>
      <c r="E215" s="1571"/>
      <c r="F215" s="1571"/>
      <c r="G215" s="1571"/>
      <c r="H215" s="1571"/>
      <c r="I215" s="1571"/>
      <c r="J215" s="1571"/>
      <c r="K215" s="1571"/>
      <c r="L215" s="1571"/>
      <c r="M215" s="1571"/>
      <c r="N215" s="1571"/>
      <c r="O215" s="1571"/>
      <c r="P215" s="1571"/>
      <c r="Q215" s="1571"/>
      <c r="R215" s="1571"/>
      <c r="S215" s="1571"/>
      <c r="T215" s="1571"/>
      <c r="U215" s="1571"/>
      <c r="V215" s="1571"/>
      <c r="W215" s="1571"/>
      <c r="X215" s="234"/>
      <c r="Y215" s="234"/>
      <c r="Z215" s="234"/>
      <c r="AA215" s="234"/>
      <c r="AB215" s="234"/>
      <c r="AC215" s="234"/>
      <c r="AD215" s="234"/>
      <c r="AE215" s="234"/>
      <c r="AF215" s="234"/>
      <c r="AG215" s="234"/>
      <c r="AH215" s="234"/>
      <c r="AI215" s="234"/>
      <c r="AJ215" s="234"/>
      <c r="AK215" s="234"/>
      <c r="AL215" s="234"/>
      <c r="AM215" s="1571"/>
      <c r="AN215" s="1571"/>
      <c r="AO215" s="1571"/>
      <c r="AP215" s="1571"/>
    </row>
    <row r="216" spans="1:42">
      <c r="A216" s="1571"/>
      <c r="B216" s="1571"/>
      <c r="C216" s="1571"/>
      <c r="D216" s="1571"/>
      <c r="E216" s="1571"/>
      <c r="F216" s="1571"/>
      <c r="G216" s="1571"/>
      <c r="H216" s="1571"/>
      <c r="I216" s="1571"/>
      <c r="J216" s="1571"/>
      <c r="K216" s="1571"/>
      <c r="L216" s="1571"/>
      <c r="M216" s="1571"/>
      <c r="N216" s="1571"/>
      <c r="O216" s="1571"/>
      <c r="P216" s="1571"/>
      <c r="Q216" s="1571"/>
      <c r="R216" s="1571"/>
      <c r="S216" s="1571"/>
      <c r="T216" s="1571"/>
      <c r="U216" s="1571"/>
      <c r="V216" s="1571"/>
      <c r="W216" s="1571"/>
      <c r="X216" s="234"/>
      <c r="Y216" s="234"/>
      <c r="Z216" s="234"/>
      <c r="AA216" s="234"/>
      <c r="AB216" s="234"/>
      <c r="AC216" s="234"/>
      <c r="AD216" s="234"/>
      <c r="AE216" s="234"/>
      <c r="AF216" s="234"/>
      <c r="AG216" s="234"/>
      <c r="AH216" s="234"/>
      <c r="AI216" s="234"/>
      <c r="AJ216" s="234"/>
      <c r="AK216" s="234"/>
      <c r="AL216" s="234"/>
      <c r="AM216" s="1571"/>
      <c r="AN216" s="1571"/>
      <c r="AO216" s="1571"/>
      <c r="AP216" s="1571"/>
    </row>
  </sheetData>
  <phoneticPr fontId="19" type="noConversion"/>
  <pageMargins left="0.75" right="0.75" top="1" bottom="1" header="0.5" footer="0.5"/>
  <pageSetup scale="59" orientation="landscape" horizontalDpi="300" verticalDpi="300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009999"/>
  </sheetPr>
  <dimension ref="A1:AO40"/>
  <sheetViews>
    <sheetView tabSelected="1" view="pageBreakPreview" zoomScale="60" zoomScaleNormal="75" workbookViewId="0">
      <selection activeCell="G1" sqref="G1"/>
    </sheetView>
  </sheetViews>
  <sheetFormatPr defaultColWidth="8" defaultRowHeight="12.75"/>
  <cols>
    <col min="1" max="1" width="4.28515625" customWidth="1"/>
    <col min="2" max="2" width="7.85546875" customWidth="1"/>
    <col min="3" max="3" width="1.5703125" customWidth="1"/>
    <col min="4" max="4" width="8" customWidth="1"/>
    <col min="5" max="5" width="1.42578125" customWidth="1"/>
    <col min="6" max="6" width="8" customWidth="1"/>
    <col min="7" max="7" width="1.42578125" customWidth="1"/>
    <col min="8" max="8" width="8" customWidth="1"/>
    <col min="9" max="9" width="1.140625" customWidth="1"/>
    <col min="10" max="10" width="8" customWidth="1"/>
    <col min="11" max="11" width="1.28515625" customWidth="1"/>
    <col min="12" max="12" width="8" customWidth="1"/>
    <col min="13" max="13" width="1.28515625" customWidth="1"/>
    <col min="14" max="14" width="7.7109375" customWidth="1"/>
    <col min="15" max="15" width="1.28515625" customWidth="1"/>
    <col min="16" max="16" width="8" customWidth="1"/>
    <col min="17" max="17" width="1.140625" customWidth="1"/>
    <col min="18" max="18" width="8" customWidth="1"/>
    <col min="19" max="19" width="1.140625" customWidth="1"/>
    <col min="20" max="20" width="8" customWidth="1"/>
    <col min="21" max="21" width="1" customWidth="1"/>
    <col min="22" max="22" width="9" customWidth="1"/>
    <col min="23" max="23" width="2.140625" customWidth="1"/>
    <col min="24" max="24" width="15.28515625" customWidth="1"/>
    <col min="25" max="25" width="2.28515625" customWidth="1"/>
  </cols>
  <sheetData>
    <row r="1" spans="1:41" ht="12" customHeight="1">
      <c r="A1" s="22"/>
      <c r="B1" s="1239"/>
      <c r="C1" s="1239"/>
      <c r="D1" s="1239"/>
      <c r="E1" s="1239"/>
      <c r="F1" s="1239"/>
      <c r="G1" s="1239"/>
      <c r="H1" s="1239"/>
      <c r="I1" s="1239"/>
      <c r="J1" s="1239"/>
      <c r="K1" s="1239"/>
      <c r="L1" s="1239"/>
      <c r="M1" s="1239"/>
      <c r="N1" s="1239"/>
      <c r="O1" s="1239"/>
      <c r="P1" s="1239"/>
      <c r="Q1" s="1239"/>
      <c r="R1" s="1239"/>
      <c r="S1" s="1239"/>
      <c r="T1" s="1239"/>
      <c r="U1" s="1239"/>
      <c r="V1" s="1239"/>
      <c r="W1" s="23"/>
      <c r="X1" s="1240"/>
      <c r="Y1" s="23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</row>
    <row r="2" spans="1:41" ht="15" customHeight="1">
      <c r="A2" s="22"/>
      <c r="B2" s="22"/>
      <c r="C2" s="22"/>
      <c r="D2" s="22"/>
      <c r="E2" s="22"/>
      <c r="F2" s="23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</row>
    <row r="3" spans="1:41" ht="15" customHeight="1">
      <c r="A3" s="22"/>
      <c r="B3" s="22"/>
      <c r="C3" s="22"/>
      <c r="D3" s="23"/>
      <c r="E3" s="22"/>
      <c r="F3" s="23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</row>
    <row r="4" spans="1:41" ht="15" customHeight="1">
      <c r="A4" s="22"/>
      <c r="B4" s="22"/>
      <c r="C4" s="22"/>
      <c r="D4" s="23"/>
      <c r="E4" s="22"/>
      <c r="F4" s="23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</row>
    <row r="5" spans="1:41" ht="15" customHeight="1">
      <c r="A5" s="22"/>
      <c r="B5" s="22"/>
      <c r="C5" s="22"/>
      <c r="D5" s="23"/>
      <c r="E5" s="22"/>
      <c r="F5" s="23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</row>
    <row r="6" spans="1:41" ht="15" customHeight="1">
      <c r="A6" s="22"/>
      <c r="B6" s="22"/>
      <c r="C6" s="22"/>
      <c r="D6" s="23"/>
      <c r="E6" s="22"/>
      <c r="F6" s="23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</row>
    <row r="7" spans="1:41" ht="15" customHeight="1">
      <c r="A7" s="22"/>
      <c r="B7" s="22"/>
      <c r="C7" s="22"/>
      <c r="D7" s="23"/>
      <c r="E7" s="22"/>
      <c r="F7" s="23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</row>
    <row r="8" spans="1:41" ht="15" customHeight="1">
      <c r="A8" s="22"/>
      <c r="B8" s="22"/>
      <c r="C8" s="22"/>
      <c r="D8" s="22"/>
      <c r="E8" s="22"/>
      <c r="F8" s="23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</row>
    <row r="9" spans="1:41" ht="15" customHeight="1">
      <c r="A9" s="22"/>
      <c r="B9" s="22"/>
      <c r="C9" s="22"/>
      <c r="D9" s="22"/>
      <c r="E9" s="22"/>
      <c r="F9" s="23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</row>
    <row r="10" spans="1:41" ht="15" customHeight="1">
      <c r="A10" s="22"/>
      <c r="B10" s="22"/>
      <c r="C10" s="22"/>
      <c r="D10" s="22"/>
      <c r="E10" s="22"/>
      <c r="F10" s="23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</row>
    <row r="11" spans="1:41" ht="15" customHeight="1">
      <c r="A11" s="22"/>
      <c r="B11" s="22"/>
      <c r="C11" s="22"/>
      <c r="D11" s="22"/>
      <c r="E11" s="22"/>
      <c r="F11" s="23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</row>
    <row r="12" spans="1:41" ht="15" customHeight="1">
      <c r="A12" s="22"/>
      <c r="B12" s="22"/>
      <c r="C12" s="22"/>
      <c r="D12" s="22"/>
      <c r="E12" s="22"/>
      <c r="F12" s="23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</row>
    <row r="13" spans="1:41" ht="15" customHeight="1">
      <c r="A13" s="22"/>
      <c r="B13" s="22"/>
      <c r="C13" s="22"/>
      <c r="D13" s="22"/>
      <c r="E13" s="22"/>
      <c r="F13" s="23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</row>
    <row r="14" spans="1:41" ht="15" customHeight="1">
      <c r="A14" s="22"/>
      <c r="B14" s="22"/>
      <c r="C14" s="22"/>
      <c r="D14" s="22"/>
      <c r="E14" s="22"/>
      <c r="F14" s="23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</row>
    <row r="15" spans="1:41" ht="15" customHeight="1">
      <c r="A15" s="22"/>
      <c r="B15" s="22"/>
      <c r="C15" s="22"/>
      <c r="D15" s="22"/>
      <c r="E15" s="22"/>
      <c r="F15" s="23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</row>
    <row r="16" spans="1:41" ht="15" customHeight="1">
      <c r="A16" s="22"/>
      <c r="B16" s="22"/>
      <c r="C16" s="22"/>
      <c r="D16" s="22"/>
      <c r="E16" s="22"/>
      <c r="F16" s="23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</row>
    <row r="17" spans="1:41" ht="15" customHeight="1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</row>
    <row r="18" spans="1:41" ht="15" customHeight="1">
      <c r="A18" s="22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</row>
    <row r="19" spans="1:41" ht="15" customHeight="1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</row>
    <row r="20" spans="1:41" ht="15" customHeight="1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</row>
    <row r="21" spans="1:41" ht="15" customHeight="1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</row>
    <row r="22" spans="1:41" ht="15" customHeight="1" thickBot="1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</row>
    <row r="23" spans="1:41" ht="15" customHeight="1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1" t="s">
        <v>1109</v>
      </c>
      <c r="S23" s="21"/>
      <c r="T23" s="21"/>
      <c r="U23" s="1229"/>
      <c r="V23" s="1229"/>
      <c r="W23" s="1229"/>
      <c r="X23" s="1229"/>
      <c r="Y23" s="1230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</row>
    <row r="24" spans="1:41" ht="15" customHeight="1">
      <c r="A24" s="22"/>
      <c r="B24" s="22"/>
      <c r="C24" s="22"/>
      <c r="D24" s="23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1231" t="s">
        <v>1930</v>
      </c>
      <c r="S24" s="1232"/>
      <c r="T24" s="1232"/>
      <c r="U24" s="1233"/>
      <c r="V24" s="1233"/>
      <c r="W24" s="1233"/>
      <c r="X24" s="1233"/>
      <c r="Y24" s="1234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</row>
    <row r="25" spans="1:41" ht="15" customHeight="1">
      <c r="A25" s="22"/>
      <c r="B25" s="22"/>
      <c r="C25" s="22"/>
      <c r="D25" s="23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1231" t="s">
        <v>1422</v>
      </c>
      <c r="S25" s="1232"/>
      <c r="T25" s="1232"/>
      <c r="U25" s="1233"/>
      <c r="V25" s="1233"/>
      <c r="W25" s="1233"/>
      <c r="X25" s="1233"/>
      <c r="Y25" s="1234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</row>
    <row r="26" spans="1:41" ht="15" customHeight="1">
      <c r="A26" s="22"/>
      <c r="B26" s="22"/>
      <c r="C26" s="22"/>
      <c r="D26" s="23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1231" t="s">
        <v>1110</v>
      </c>
      <c r="S26" s="1232"/>
      <c r="T26" s="1232"/>
      <c r="U26" s="1233"/>
      <c r="V26" s="1233"/>
      <c r="W26" s="1233"/>
      <c r="X26" s="1233"/>
      <c r="Y26" s="1234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</row>
    <row r="27" spans="1:41" ht="15" customHeight="1">
      <c r="A27" s="22"/>
      <c r="B27" s="22"/>
      <c r="C27" s="22"/>
      <c r="D27" s="23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1235"/>
      <c r="S27" s="1233"/>
      <c r="T27" s="1233"/>
      <c r="U27" s="1233"/>
      <c r="V27" s="1233"/>
      <c r="W27" s="1233"/>
      <c r="X27" s="1233"/>
      <c r="Y27" s="1234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</row>
    <row r="28" spans="1:41" ht="15.75" thickBot="1">
      <c r="A28" s="22"/>
      <c r="B28" s="22"/>
      <c r="C28" s="22"/>
      <c r="D28" s="23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1236"/>
      <c r="S28" s="1237"/>
      <c r="T28" s="1237"/>
      <c r="U28" s="1237"/>
      <c r="V28" s="1237"/>
      <c r="W28" s="1237"/>
      <c r="X28" s="1237"/>
      <c r="Y28" s="1238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</row>
    <row r="29" spans="1:41" ht="15">
      <c r="A29" s="22"/>
      <c r="B29" s="22"/>
      <c r="C29" s="22"/>
      <c r="D29" s="23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</row>
    <row r="30" spans="1:41" ht="15">
      <c r="A30" s="22"/>
      <c r="B30" s="22"/>
      <c r="C30" s="22"/>
      <c r="D30" s="23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</row>
    <row r="31" spans="1:41" ht="15">
      <c r="A31" s="22"/>
      <c r="B31" s="22"/>
      <c r="C31" s="22"/>
      <c r="D31" s="23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</row>
    <row r="32" spans="1:41" ht="15">
      <c r="A32" s="22"/>
      <c r="B32" s="22"/>
      <c r="C32" s="22"/>
      <c r="D32" s="23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</row>
    <row r="33" spans="1:41" ht="15">
      <c r="A33" s="22"/>
      <c r="B33" s="22"/>
      <c r="C33" s="22"/>
      <c r="D33" s="23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</row>
    <row r="34" spans="1:41" ht="15">
      <c r="A34" s="22"/>
      <c r="B34" s="22"/>
      <c r="C34" s="22"/>
      <c r="D34" s="23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</row>
    <row r="35" spans="1:41" ht="15">
      <c r="A35" s="22"/>
      <c r="B35" s="22"/>
      <c r="C35" s="22"/>
      <c r="D35" s="23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</row>
    <row r="36" spans="1:41" ht="15">
      <c r="A36" s="22"/>
      <c r="B36" s="22"/>
      <c r="C36" s="22"/>
      <c r="D36" s="23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</row>
    <row r="37" spans="1:41" ht="15">
      <c r="A37" s="22"/>
      <c r="B37" s="22"/>
      <c r="C37" s="22"/>
      <c r="D37" s="23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</row>
    <row r="38" spans="1:41" ht="15">
      <c r="A38" s="22"/>
      <c r="B38" s="22"/>
      <c r="C38" s="22"/>
      <c r="D38" s="23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</row>
    <row r="39" spans="1:41" ht="15">
      <c r="A39" s="22"/>
      <c r="B39" s="22"/>
      <c r="C39" s="22"/>
      <c r="D39" s="23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</row>
    <row r="40" spans="1:41" ht="15">
      <c r="A40" s="22"/>
      <c r="B40" s="22"/>
      <c r="C40" s="22"/>
      <c r="D40" s="23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Line="0" autoPict="0" macro="[0]!PRINT_SCH_A">
                <anchor moveWithCells="1" sizeWithCells="1">
                  <from>
                    <xdr:col>1</xdr:col>
                    <xdr:colOff>28575</xdr:colOff>
                    <xdr:row>1</xdr:row>
                    <xdr:rowOff>0</xdr:rowOff>
                  </from>
                  <to>
                    <xdr:col>2</xdr:col>
                    <xdr:colOff>0</xdr:colOff>
                    <xdr:row>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utton 2">
              <controlPr defaultSize="0" print="0" autoFill="0" autoLine="0" autoPict="0" macro="[0]!PRINT_SCH_B1">
                <anchor moveWithCells="1" sizeWithCells="1">
                  <from>
                    <xdr:col>1</xdr:col>
                    <xdr:colOff>9525</xdr:colOff>
                    <xdr:row>3</xdr:row>
                    <xdr:rowOff>95250</xdr:rowOff>
                  </from>
                  <to>
                    <xdr:col>2</xdr:col>
                    <xdr:colOff>0</xdr:colOff>
                    <xdr:row>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Button 3">
              <controlPr defaultSize="0" print="0" autoFill="0" autoLine="0" autoPict="0" macro="[0]!PRINT_SCH_B5">
                <anchor moveWithCells="1" sizeWithCells="1">
                  <from>
                    <xdr:col>3</xdr:col>
                    <xdr:colOff>0</xdr:colOff>
                    <xdr:row>13</xdr:row>
                    <xdr:rowOff>28575</xdr:rowOff>
                  </from>
                  <to>
                    <xdr:col>3</xdr:col>
                    <xdr:colOff>533400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Button 4">
              <controlPr defaultSize="0" print="0" autoFill="0" autoLine="0" autoPict="0" macro="[0]!PRINT_SCH_B6">
                <anchor moveWithCells="1" sizeWithCells="1">
                  <from>
                    <xdr:col>3</xdr:col>
                    <xdr:colOff>9525</xdr:colOff>
                    <xdr:row>15</xdr:row>
                    <xdr:rowOff>123825</xdr:rowOff>
                  </from>
                  <to>
                    <xdr:col>3</xdr:col>
                    <xdr:colOff>533400</xdr:colOff>
                    <xdr:row>17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Button 5">
              <controlPr defaultSize="0" print="0" autoFill="0" autoLine="0" autoPict="0" macro="[0]!PRINT_SCH_B7">
                <anchor moveWithCells="1" sizeWithCells="1">
                  <from>
                    <xdr:col>3</xdr:col>
                    <xdr:colOff>0</xdr:colOff>
                    <xdr:row>17</xdr:row>
                    <xdr:rowOff>161925</xdr:rowOff>
                  </from>
                  <to>
                    <xdr:col>4</xdr:col>
                    <xdr:colOff>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9" name="Button 6">
              <controlPr defaultSize="0" print="0" autoFill="0" autoLine="0" autoPict="0" macro="[0]!PRINT_SCH_B8">
                <anchor moveWithCells="1" sizeWithCells="1">
                  <from>
                    <xdr:col>3</xdr:col>
                    <xdr:colOff>9525</xdr:colOff>
                    <xdr:row>20</xdr:row>
                    <xdr:rowOff>76200</xdr:rowOff>
                  </from>
                  <to>
                    <xdr:col>4</xdr:col>
                    <xdr:colOff>0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0" name="Button 7">
              <controlPr defaultSize="0" print="0" autoFill="0" autoLine="0" autoPict="0" macro="[0]!PRINT_SCH_C1">
                <anchor moveWithCells="1" sizeWithCells="1">
                  <from>
                    <xdr:col>5</xdr:col>
                    <xdr:colOff>9525</xdr:colOff>
                    <xdr:row>1</xdr:row>
                    <xdr:rowOff>9525</xdr:rowOff>
                  </from>
                  <to>
                    <xdr:col>5</xdr:col>
                    <xdr:colOff>533400</xdr:colOff>
                    <xdr:row>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1" name="Button 8">
              <controlPr defaultSize="0" print="0" autoFill="0" autoLine="0" autoPict="0" macro="[0]!PRINT_SCH_C2">
                <anchor moveWithCells="1" sizeWithCells="1">
                  <from>
                    <xdr:col>5</xdr:col>
                    <xdr:colOff>9525</xdr:colOff>
                    <xdr:row>3</xdr:row>
                    <xdr:rowOff>95250</xdr:rowOff>
                  </from>
                  <to>
                    <xdr:col>5</xdr:col>
                    <xdr:colOff>533400</xdr:colOff>
                    <xdr:row>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2" name="Button 9">
              <controlPr defaultSize="0" print="0" autoFill="0" autoLine="0" autoPict="0" macro="[0]!PRINT_SCH_C2_1_Base">
                <anchor moveWithCells="1" sizeWithCells="1">
                  <from>
                    <xdr:col>5</xdr:col>
                    <xdr:colOff>0</xdr:colOff>
                    <xdr:row>6</xdr:row>
                    <xdr:rowOff>0</xdr:rowOff>
                  </from>
                  <to>
                    <xdr:col>6</xdr:col>
                    <xdr:colOff>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3" name="Button 14">
              <controlPr defaultSize="0" print="0" autoFill="0" autoLine="0" autoPict="0" macro="[0]!PRINT_SCH_D2_4">
                <anchor moveWithCells="1" sizeWithCells="1">
                  <from>
                    <xdr:col>7</xdr:col>
                    <xdr:colOff>9525</xdr:colOff>
                    <xdr:row>10</xdr:row>
                    <xdr:rowOff>104775</xdr:rowOff>
                  </from>
                  <to>
                    <xdr:col>8</xdr:col>
                    <xdr:colOff>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4" name="Button 15">
              <controlPr defaultSize="0" print="0" autoFill="0" autoLine="0" autoPict="0" macro="[0]!PRINT_SCH_D2_5">
                <anchor moveWithCells="1" sizeWithCells="1">
                  <from>
                    <xdr:col>7</xdr:col>
                    <xdr:colOff>19050</xdr:colOff>
                    <xdr:row>13</xdr:row>
                    <xdr:rowOff>0</xdr:rowOff>
                  </from>
                  <to>
                    <xdr:col>8</xdr:col>
                    <xdr:colOff>9525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5" name="Button 16">
              <controlPr defaultSize="0" print="0" autoFill="0" autoLine="0" autoPict="0" macro="[0]!PRINT_SCH_D2_6">
                <anchor moveWithCells="1" sizeWithCells="1">
                  <from>
                    <xdr:col>7</xdr:col>
                    <xdr:colOff>19050</xdr:colOff>
                    <xdr:row>15</xdr:row>
                    <xdr:rowOff>76200</xdr:rowOff>
                  </from>
                  <to>
                    <xdr:col>8</xdr:col>
                    <xdr:colOff>9525</xdr:colOff>
                    <xdr:row>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6" name="Button 17">
              <controlPr defaultSize="0" print="0" autoFill="0" autoLine="0" autoPict="0" macro="[0]!PRINT_SCH_D2_7">
                <anchor moveWithCells="1" sizeWithCells="1">
                  <from>
                    <xdr:col>7</xdr:col>
                    <xdr:colOff>19050</xdr:colOff>
                    <xdr:row>17</xdr:row>
                    <xdr:rowOff>161925</xdr:rowOff>
                  </from>
                  <to>
                    <xdr:col>8</xdr:col>
                    <xdr:colOff>0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7" name="Button 18">
              <controlPr defaultSize="0" print="0" autoFill="0" autoLine="0" autoPict="0" macro="[0]!PRINT_SCH_D2_8">
                <anchor moveWithCells="1" sizeWithCells="1">
                  <from>
                    <xdr:col>7</xdr:col>
                    <xdr:colOff>19050</xdr:colOff>
                    <xdr:row>20</xdr:row>
                    <xdr:rowOff>85725</xdr:rowOff>
                  </from>
                  <to>
                    <xdr:col>8</xdr:col>
                    <xdr:colOff>0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8" name="Button 19">
              <controlPr defaultSize="0" print="0" autoFill="0" autoLine="0" autoPict="0" macro="[0]!PRINT_SCH_D2_9">
                <anchor moveWithCells="1" sizeWithCells="1">
                  <from>
                    <xdr:col>7</xdr:col>
                    <xdr:colOff>9525</xdr:colOff>
                    <xdr:row>22</xdr:row>
                    <xdr:rowOff>161925</xdr:rowOff>
                  </from>
                  <to>
                    <xdr:col>8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9" name="Button 20">
              <controlPr defaultSize="0" print="0" autoFill="0" autoLine="0" autoPict="0" macro="[0]!PRINT_SCH_D2_10">
                <anchor moveWithCells="1" sizeWithCells="1">
                  <from>
                    <xdr:col>7</xdr:col>
                    <xdr:colOff>19050</xdr:colOff>
                    <xdr:row>25</xdr:row>
                    <xdr:rowOff>57150</xdr:rowOff>
                  </from>
                  <to>
                    <xdr:col>8</xdr:col>
                    <xdr:colOff>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0" name="Button 21">
              <controlPr defaultSize="0" print="0" autoFill="0" autoLine="0" autoPict="0" macro="[0]!PRINT_SCH_D2_11">
                <anchor moveWithCells="1" sizeWithCells="1">
                  <from>
                    <xdr:col>9</xdr:col>
                    <xdr:colOff>19050</xdr:colOff>
                    <xdr:row>1</xdr:row>
                    <xdr:rowOff>19050</xdr:rowOff>
                  </from>
                  <to>
                    <xdr:col>10</xdr:col>
                    <xdr:colOff>0</xdr:colOff>
                    <xdr:row>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1" name="Button 22">
              <controlPr defaultSize="0" print="0" autoFill="0" autoLine="0" autoPict="0" macro="[0]!PRINT_SCH_D2_12">
                <anchor moveWithCells="1" sizeWithCells="1">
                  <from>
                    <xdr:col>9</xdr:col>
                    <xdr:colOff>9525</xdr:colOff>
                    <xdr:row>3</xdr:row>
                    <xdr:rowOff>95250</xdr:rowOff>
                  </from>
                  <to>
                    <xdr:col>10</xdr:col>
                    <xdr:colOff>0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2" name="Button 23">
              <controlPr defaultSize="0" print="0" autoFill="0" autoLine="0" autoPict="0" macro="[0]!PRINT_SCH_D2_13">
                <anchor moveWithCells="1" sizeWithCells="1">
                  <from>
                    <xdr:col>9</xdr:col>
                    <xdr:colOff>19050</xdr:colOff>
                    <xdr:row>5</xdr:row>
                    <xdr:rowOff>161925</xdr:rowOff>
                  </from>
                  <to>
                    <xdr:col>10</xdr:col>
                    <xdr:colOff>9525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3" name="Button 24">
              <controlPr defaultSize="0" print="0" autoFill="0" autoLine="0" autoPict="0" macro="[0]!PRINT_SCH_D2_14">
                <anchor moveWithCells="1" sizeWithCells="1">
                  <from>
                    <xdr:col>9</xdr:col>
                    <xdr:colOff>9525</xdr:colOff>
                    <xdr:row>8</xdr:row>
                    <xdr:rowOff>47625</xdr:rowOff>
                  </from>
                  <to>
                    <xdr:col>10</xdr:col>
                    <xdr:colOff>9525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4" name="Button 25">
              <controlPr defaultSize="0" print="0" autoFill="0" autoLine="0" autoPict="0" macro="[0]!PRINT_SCH_D2_15">
                <anchor moveWithCells="1" sizeWithCells="1">
                  <from>
                    <xdr:col>9</xdr:col>
                    <xdr:colOff>19050</xdr:colOff>
                    <xdr:row>10</xdr:row>
                    <xdr:rowOff>104775</xdr:rowOff>
                  </from>
                  <to>
                    <xdr:col>10</xdr:col>
                    <xdr:colOff>0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5" name="Button 26">
              <controlPr defaultSize="0" print="0" autoFill="0" autoLine="0" autoPict="0" macro="[0]!PRINT_SCH_D2_16">
                <anchor moveWithCells="1" sizeWithCells="1">
                  <from>
                    <xdr:col>9</xdr:col>
                    <xdr:colOff>9525</xdr:colOff>
                    <xdr:row>12</xdr:row>
                    <xdr:rowOff>171450</xdr:rowOff>
                  </from>
                  <to>
                    <xdr:col>10</xdr:col>
                    <xdr:colOff>0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6" name="Button 27">
              <controlPr defaultSize="0" print="0" autoFill="0" autoLine="0" autoPict="0" macro="[0]!PRINT_SCH_D2_17">
                <anchor moveWithCells="1" sizeWithCells="1">
                  <from>
                    <xdr:col>9</xdr:col>
                    <xdr:colOff>9525</xdr:colOff>
                    <xdr:row>15</xdr:row>
                    <xdr:rowOff>85725</xdr:rowOff>
                  </from>
                  <to>
                    <xdr:col>10</xdr:col>
                    <xdr:colOff>0</xdr:colOff>
                    <xdr:row>17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27" name="Button 44">
              <controlPr defaultSize="0" print="0" autoFill="0" autoLine="0" autoPict="0" macro="[0]!PRINT_FILING">
                <anchor moveWithCells="1" sizeWithCells="1">
                  <from>
                    <xdr:col>25</xdr:col>
                    <xdr:colOff>38100</xdr:colOff>
                    <xdr:row>1</xdr:row>
                    <xdr:rowOff>28575</xdr:rowOff>
                  </from>
                  <to>
                    <xdr:col>27</xdr:col>
                    <xdr:colOff>0</xdr:colOff>
                    <xdr:row>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28" name="Button 45">
              <controlPr defaultSize="0" print="0" autoFill="0" autoLine="0" autoPict="0" macro="[0]!PRINT_B_Schedules">
                <anchor moveWithCells="1" sizeWithCells="1">
                  <from>
                    <xdr:col>25</xdr:col>
                    <xdr:colOff>38100</xdr:colOff>
                    <xdr:row>3</xdr:row>
                    <xdr:rowOff>95250</xdr:rowOff>
                  </from>
                  <to>
                    <xdr:col>27</xdr:col>
                    <xdr:colOff>0</xdr:colOff>
                    <xdr:row>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29" name="Button 46">
              <controlPr defaultSize="0" print="0" autoFill="0" autoLine="0" autoPict="0" macro="[0]!PRINT_C_Schedules">
                <anchor moveWithCells="1" sizeWithCells="1">
                  <from>
                    <xdr:col>25</xdr:col>
                    <xdr:colOff>38100</xdr:colOff>
                    <xdr:row>5</xdr:row>
                    <xdr:rowOff>171450</xdr:rowOff>
                  </from>
                  <to>
                    <xdr:col>27</xdr:col>
                    <xdr:colOff>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30" name="Button 50">
              <controlPr defaultSize="0" print="0" autoFill="0" autoLine="0" autoPict="0" macro="[0]!PRINT_D_Schedules">
                <anchor moveWithCells="1" sizeWithCells="1">
                  <from>
                    <xdr:col>25</xdr:col>
                    <xdr:colOff>38100</xdr:colOff>
                    <xdr:row>8</xdr:row>
                    <xdr:rowOff>95250</xdr:rowOff>
                  </from>
                  <to>
                    <xdr:col>27</xdr:col>
                    <xdr:colOff>0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31" name="Button 51">
              <controlPr defaultSize="0" print="0" autoFill="0" autoLine="0" autoPict="0" macro="[0]!PRINT_E_Schedules">
                <anchor moveWithCells="1" sizeWithCells="1">
                  <from>
                    <xdr:col>25</xdr:col>
                    <xdr:colOff>38100</xdr:colOff>
                    <xdr:row>10</xdr:row>
                    <xdr:rowOff>171450</xdr:rowOff>
                  </from>
                  <to>
                    <xdr:col>27</xdr:col>
                    <xdr:colOff>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32" name="Button 52">
              <controlPr defaultSize="0" print="0" autoFill="0" autoLine="0" autoPict="0" macro="[0]!PRINT_F_Schedules">
                <anchor moveWithCells="1" sizeWithCells="1">
                  <from>
                    <xdr:col>25</xdr:col>
                    <xdr:colOff>38100</xdr:colOff>
                    <xdr:row>13</xdr:row>
                    <xdr:rowOff>76200</xdr:rowOff>
                  </from>
                  <to>
                    <xdr:col>27</xdr:col>
                    <xdr:colOff>0</xdr:colOff>
                    <xdr:row>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33" name="Button 53">
              <controlPr defaultSize="0" print="0" autoFill="0" autoLine="0" autoPict="0" macro="[0]!PRINT_G_Schedules">
                <anchor moveWithCells="1" sizeWithCells="1">
                  <from>
                    <xdr:col>25</xdr:col>
                    <xdr:colOff>38100</xdr:colOff>
                    <xdr:row>15</xdr:row>
                    <xdr:rowOff>161925</xdr:rowOff>
                  </from>
                  <to>
                    <xdr:col>27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34" name="Button 54">
              <controlPr defaultSize="0" print="0" autoFill="0" autoLine="0" autoPict="0" macro="[0]!PRINT_I_Schedules">
                <anchor moveWithCells="1" sizeWithCells="1">
                  <from>
                    <xdr:col>25</xdr:col>
                    <xdr:colOff>38100</xdr:colOff>
                    <xdr:row>18</xdr:row>
                    <xdr:rowOff>57150</xdr:rowOff>
                  </from>
                  <to>
                    <xdr:col>27</xdr:col>
                    <xdr:colOff>0</xdr:colOff>
                    <xdr:row>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35" name="Button 55">
              <controlPr defaultSize="0" print="0" autoFill="0" autoLine="0" autoPict="0" macro="[0]!PRINT_WPB_6">
                <anchor moveWithCells="1" sizeWithCells="1">
                  <from>
                    <xdr:col>23</xdr:col>
                    <xdr:colOff>28575</xdr:colOff>
                    <xdr:row>11</xdr:row>
                    <xdr:rowOff>28575</xdr:rowOff>
                  </from>
                  <to>
                    <xdr:col>24</xdr:col>
                    <xdr:colOff>28575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36" name="Button 56">
              <controlPr defaultSize="0" print="0" autoFill="0" autoLine="0" autoPict="0" macro="[0]!PRINT_WPE_2">
                <anchor moveWithCells="1" sizeWithCells="1">
                  <from>
                    <xdr:col>23</xdr:col>
                    <xdr:colOff>19050</xdr:colOff>
                    <xdr:row>16</xdr:row>
                    <xdr:rowOff>28575</xdr:rowOff>
                  </from>
                  <to>
                    <xdr:col>24</xdr:col>
                    <xdr:colOff>57150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37" name="Button 57">
              <controlPr defaultSize="0" print="0" autoFill="0" autoLine="0" autoPict="0" macro="[0]!PRINT_WPD_2s">
                <anchor moveWithCells="1" sizeWithCells="1">
                  <from>
                    <xdr:col>23</xdr:col>
                    <xdr:colOff>28575</xdr:colOff>
                    <xdr:row>13</xdr:row>
                    <xdr:rowOff>133350</xdr:rowOff>
                  </from>
                  <to>
                    <xdr:col>24</xdr:col>
                    <xdr:colOff>38100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38" name="Button 71">
              <controlPr defaultSize="0" print="0" autoFill="0" autoLine="0" autoPict="0" macro="[0]!PRINT_WPB_5s">
                <anchor moveWithCells="1" sizeWithCells="1">
                  <from>
                    <xdr:col>23</xdr:col>
                    <xdr:colOff>28575</xdr:colOff>
                    <xdr:row>6</xdr:row>
                    <xdr:rowOff>19050</xdr:rowOff>
                  </from>
                  <to>
                    <xdr:col>24</xdr:col>
                    <xdr:colOff>28575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39" name="Button 74">
              <controlPr defaultSize="0" print="0" autoFill="0" autoLine="0" autoPict="0" macro="[0]!PRINT_SCH_G1">
                <anchor moveWithCells="1" sizeWithCells="1">
                  <from>
                    <xdr:col>15</xdr:col>
                    <xdr:colOff>19050</xdr:colOff>
                    <xdr:row>1</xdr:row>
                    <xdr:rowOff>9525</xdr:rowOff>
                  </from>
                  <to>
                    <xdr:col>16</xdr:col>
                    <xdr:colOff>19050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40" name="Button 75">
              <controlPr defaultSize="0" print="0" autoFill="0" autoLine="0" autoPict="0" macro="[0]!PRINT_SCH_G2">
                <anchor moveWithCells="1" sizeWithCells="1">
                  <from>
                    <xdr:col>15</xdr:col>
                    <xdr:colOff>19050</xdr:colOff>
                    <xdr:row>3</xdr:row>
                    <xdr:rowOff>114300</xdr:rowOff>
                  </from>
                  <to>
                    <xdr:col>15</xdr:col>
                    <xdr:colOff>533400</xdr:colOff>
                    <xdr:row>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41" name="Button 76">
              <controlPr defaultSize="0" print="0" autoFill="0" autoLine="0" autoPict="0" macro="[0]!PRINT_SCH_G3">
                <anchor moveWithCells="1" sizeWithCells="1">
                  <from>
                    <xdr:col>15</xdr:col>
                    <xdr:colOff>19050</xdr:colOff>
                    <xdr:row>6</xdr:row>
                    <xdr:rowOff>0</xdr:rowOff>
                  </from>
                  <to>
                    <xdr:col>15</xdr:col>
                    <xdr:colOff>533400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42" name="Button 80">
              <controlPr defaultSize="0" print="0" autoFill="0" autoLine="0" autoPict="0" macro="[0]!PRINT_SCH_I3">
                <anchor moveWithCells="1" sizeWithCells="1">
                  <from>
                    <xdr:col>17</xdr:col>
                    <xdr:colOff>19050</xdr:colOff>
                    <xdr:row>5</xdr:row>
                    <xdr:rowOff>161925</xdr:rowOff>
                  </from>
                  <to>
                    <xdr:col>18</xdr:col>
                    <xdr:colOff>19050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43" name="Button 81">
              <controlPr defaultSize="0" print="0" autoFill="0" autoLine="0" autoPict="0" macro="[0]!PRINT_SCH_I4">
                <anchor moveWithCells="1" sizeWithCells="1">
                  <from>
                    <xdr:col>17</xdr:col>
                    <xdr:colOff>19050</xdr:colOff>
                    <xdr:row>8</xdr:row>
                    <xdr:rowOff>57150</xdr:rowOff>
                  </from>
                  <to>
                    <xdr:col>18</xdr:col>
                    <xdr:colOff>19050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44" name="Button 93">
              <controlPr defaultSize="0" print="0" autoFill="0" autoLine="0" autoPict="0" macro="[0]!PRINT_SCH_C2_1_Forecast">
                <anchor moveWithCells="1" sizeWithCells="1">
                  <from>
                    <xdr:col>5</xdr:col>
                    <xdr:colOff>0</xdr:colOff>
                    <xdr:row>8</xdr:row>
                    <xdr:rowOff>95250</xdr:rowOff>
                  </from>
                  <to>
                    <xdr:col>6</xdr:col>
                    <xdr:colOff>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45" name="Button 94">
              <controlPr defaultSize="0" print="0" autoFill="0" autoLine="0" autoPict="0" macro="[0]!PRINT_SCH_D1">
                <anchor moveWithCells="1" sizeWithCells="1">
                  <from>
                    <xdr:col>7</xdr:col>
                    <xdr:colOff>19050</xdr:colOff>
                    <xdr:row>1</xdr:row>
                    <xdr:rowOff>19050</xdr:rowOff>
                  </from>
                  <to>
                    <xdr:col>8</xdr:col>
                    <xdr:colOff>0</xdr:colOff>
                    <xdr:row>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46" name="Button 95">
              <controlPr defaultSize="0" print="0" autoFill="0" autoLine="0" autoPict="0" macro="[0]!PRINT_SCH_D2_1">
                <anchor moveWithCells="1" sizeWithCells="1">
                  <from>
                    <xdr:col>7</xdr:col>
                    <xdr:colOff>19050</xdr:colOff>
                    <xdr:row>3</xdr:row>
                    <xdr:rowOff>76200</xdr:rowOff>
                  </from>
                  <to>
                    <xdr:col>8</xdr:col>
                    <xdr:colOff>0</xdr:colOff>
                    <xdr:row>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47" name="Button 96">
              <controlPr defaultSize="0" print="0" autoFill="0" autoLine="0" autoPict="0" macro="[0]!PRINT_SCH_D2_2">
                <anchor moveWithCells="1" sizeWithCells="1">
                  <from>
                    <xdr:col>7</xdr:col>
                    <xdr:colOff>9525</xdr:colOff>
                    <xdr:row>5</xdr:row>
                    <xdr:rowOff>152400</xdr:rowOff>
                  </from>
                  <to>
                    <xdr:col>8</xdr:col>
                    <xdr:colOff>9525</xdr:colOff>
                    <xdr:row>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48" name="Button 97">
              <controlPr defaultSize="0" print="0" autoFill="0" autoLine="0" autoPict="0" macro="[0]!PRINT_SCH_D2_3">
                <anchor moveWithCells="1" sizeWithCells="1">
                  <from>
                    <xdr:col>7</xdr:col>
                    <xdr:colOff>19050</xdr:colOff>
                    <xdr:row>8</xdr:row>
                    <xdr:rowOff>47625</xdr:rowOff>
                  </from>
                  <to>
                    <xdr:col>8</xdr:col>
                    <xdr:colOff>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49" name="Button 98">
              <controlPr defaultSize="0" print="0" autoFill="0" autoLine="0" autoPict="0" macro="[0]!PRINT_SCH_C2_2">
                <anchor moveWithCells="1" sizeWithCells="1">
                  <from>
                    <xdr:col>5</xdr:col>
                    <xdr:colOff>0</xdr:colOff>
                    <xdr:row>10</xdr:row>
                    <xdr:rowOff>180975</xdr:rowOff>
                  </from>
                  <to>
                    <xdr:col>6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50" name="Button 99">
              <controlPr defaultSize="0" print="0" autoFill="0" autoLine="0" autoPict="0" macro="[0]!PRINT_SCH_D2_18">
                <anchor moveWithCells="1" sizeWithCells="1">
                  <from>
                    <xdr:col>9</xdr:col>
                    <xdr:colOff>19050</xdr:colOff>
                    <xdr:row>17</xdr:row>
                    <xdr:rowOff>152400</xdr:rowOff>
                  </from>
                  <to>
                    <xdr:col>10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51" name="Button 100">
              <controlPr defaultSize="0" print="0" autoFill="0" autoLine="0" autoPict="0" macro="[0]!PRINT_SCH_D2_19">
                <anchor moveWithCells="1" sizeWithCells="1">
                  <from>
                    <xdr:col>9</xdr:col>
                    <xdr:colOff>19050</xdr:colOff>
                    <xdr:row>20</xdr:row>
                    <xdr:rowOff>47625</xdr:rowOff>
                  </from>
                  <to>
                    <xdr:col>10</xdr:col>
                    <xdr:colOff>0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52" name="Button 101">
              <controlPr defaultSize="0" print="0" autoFill="0" autoLine="0" autoPict="0" macro="[0]!PRINT_SCH_D2_20">
                <anchor moveWithCells="1" sizeWithCells="1">
                  <from>
                    <xdr:col>9</xdr:col>
                    <xdr:colOff>9525</xdr:colOff>
                    <xdr:row>22</xdr:row>
                    <xdr:rowOff>133350</xdr:rowOff>
                  </from>
                  <to>
                    <xdr:col>10</xdr:col>
                    <xdr:colOff>19050</xdr:colOff>
                    <xdr:row>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53" name="Button 102">
              <controlPr defaultSize="0" print="0" autoFill="0" autoLine="0" autoPict="0" macro="[0]!PRINT_SCH_D2_21">
                <anchor moveWithCells="1" sizeWithCells="1">
                  <from>
                    <xdr:col>9</xdr:col>
                    <xdr:colOff>9525</xdr:colOff>
                    <xdr:row>25</xdr:row>
                    <xdr:rowOff>57150</xdr:rowOff>
                  </from>
                  <to>
                    <xdr:col>10</xdr:col>
                    <xdr:colOff>19050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54" name="Button 109">
              <controlPr defaultSize="0" print="0" autoFill="0" autoLine="0" autoPict="0" macro="[0]!PRINT_SCH_F1">
                <anchor moveWithCells="1" sizeWithCells="1">
                  <from>
                    <xdr:col>13</xdr:col>
                    <xdr:colOff>19050</xdr:colOff>
                    <xdr:row>1</xdr:row>
                    <xdr:rowOff>19050</xdr:rowOff>
                  </from>
                  <to>
                    <xdr:col>14</xdr:col>
                    <xdr:colOff>19050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55" name="Button 110">
              <controlPr defaultSize="0" print="0" autoFill="0" autoLine="0" autoPict="0" macro="[0]!PRINT_SCH_F2_1">
                <anchor moveWithCells="1" sizeWithCells="1">
                  <from>
                    <xdr:col>13</xdr:col>
                    <xdr:colOff>19050</xdr:colOff>
                    <xdr:row>3</xdr:row>
                    <xdr:rowOff>95250</xdr:rowOff>
                  </from>
                  <to>
                    <xdr:col>14</xdr:col>
                    <xdr:colOff>47625</xdr:colOff>
                    <xdr:row>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56" name="Button 111">
              <controlPr defaultSize="0" print="0" autoFill="0" autoLine="0" autoPict="0" macro="[0]!PRINT_SCH_F2_2">
                <anchor moveWithCells="1" sizeWithCells="1">
                  <from>
                    <xdr:col>13</xdr:col>
                    <xdr:colOff>19050</xdr:colOff>
                    <xdr:row>5</xdr:row>
                    <xdr:rowOff>161925</xdr:rowOff>
                  </from>
                  <to>
                    <xdr:col>14</xdr:col>
                    <xdr:colOff>47625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57" name="Button 112">
              <controlPr defaultSize="0" print="0" autoFill="0" autoLine="0" autoPict="0" macro="[0]!PRINT_SCH_F2_3">
                <anchor moveWithCells="1" sizeWithCells="1">
                  <from>
                    <xdr:col>13</xdr:col>
                    <xdr:colOff>19050</xdr:colOff>
                    <xdr:row>8</xdr:row>
                    <xdr:rowOff>47625</xdr:rowOff>
                  </from>
                  <to>
                    <xdr:col>14</xdr:col>
                    <xdr:colOff>47625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58" name="Button 113">
              <controlPr defaultSize="0" print="0" autoFill="0" autoLine="0" autoPict="0" macro="[0]!PRINT_SCH_F3">
                <anchor moveWithCells="1" sizeWithCells="1">
                  <from>
                    <xdr:col>13</xdr:col>
                    <xdr:colOff>19050</xdr:colOff>
                    <xdr:row>10</xdr:row>
                    <xdr:rowOff>133350</xdr:rowOff>
                  </from>
                  <to>
                    <xdr:col>14</xdr:col>
                    <xdr:colOff>47625</xdr:colOff>
                    <xdr:row>12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59" name="Button 114">
              <controlPr defaultSize="0" print="0" autoFill="0" autoLine="0" autoPict="0" macro="[0]!PRINT_SCH_F4">
                <anchor moveWithCells="1" sizeWithCells="1">
                  <from>
                    <xdr:col>13</xdr:col>
                    <xdr:colOff>19050</xdr:colOff>
                    <xdr:row>13</xdr:row>
                    <xdr:rowOff>19050</xdr:rowOff>
                  </from>
                  <to>
                    <xdr:col>14</xdr:col>
                    <xdr:colOff>47625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60" name="Button 115">
              <controlPr defaultSize="0" print="0" autoFill="0" autoLine="0" autoPict="0" macro="[0]!PRINT_SCH_F5">
                <anchor moveWithCells="1" sizeWithCells="1">
                  <from>
                    <xdr:col>13</xdr:col>
                    <xdr:colOff>19050</xdr:colOff>
                    <xdr:row>15</xdr:row>
                    <xdr:rowOff>104775</xdr:rowOff>
                  </from>
                  <to>
                    <xdr:col>14</xdr:col>
                    <xdr:colOff>47625</xdr:colOff>
                    <xdr:row>17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61" name="Button 116">
              <controlPr defaultSize="0" print="0" autoFill="0" autoLine="0" autoPict="0" macro="[0]!PRINT_SCH_F6">
                <anchor moveWithCells="1" sizeWithCells="1">
                  <from>
                    <xdr:col>13</xdr:col>
                    <xdr:colOff>19050</xdr:colOff>
                    <xdr:row>17</xdr:row>
                    <xdr:rowOff>180975</xdr:rowOff>
                  </from>
                  <to>
                    <xdr:col>14</xdr:col>
                    <xdr:colOff>47625</xdr:colOff>
                    <xdr:row>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62" name="Button 117">
              <controlPr defaultSize="0" print="0" autoFill="0" autoLine="0" autoPict="0" macro="[0]!PRINT_SCH_F7">
                <anchor moveWithCells="1" sizeWithCells="1">
                  <from>
                    <xdr:col>13</xdr:col>
                    <xdr:colOff>19050</xdr:colOff>
                    <xdr:row>20</xdr:row>
                    <xdr:rowOff>76200</xdr:rowOff>
                  </from>
                  <to>
                    <xdr:col>14</xdr:col>
                    <xdr:colOff>47625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63" name="Button 118">
              <controlPr defaultSize="0" print="0" autoFill="0" autoLine="0" autoPict="0" macro="[0]!PRINT_SCH_H">
                <anchor moveWithCells="1" sizeWithCells="1">
                  <from>
                    <xdr:col>15</xdr:col>
                    <xdr:colOff>19050</xdr:colOff>
                    <xdr:row>8</xdr:row>
                    <xdr:rowOff>57150</xdr:rowOff>
                  </from>
                  <to>
                    <xdr:col>16</xdr:col>
                    <xdr:colOff>9525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64" name="Button 119">
              <controlPr defaultSize="0" print="0" autoFill="0" autoLine="0" autoPict="0" macro="[0]!PRINT_SCH_I1">
                <anchor moveWithCells="1" sizeWithCells="1">
                  <from>
                    <xdr:col>17</xdr:col>
                    <xdr:colOff>19050</xdr:colOff>
                    <xdr:row>1</xdr:row>
                    <xdr:rowOff>19050</xdr:rowOff>
                  </from>
                  <to>
                    <xdr:col>18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65" name="Button 120">
              <controlPr defaultSize="0" print="0" autoFill="0" autoLine="0" autoPict="0" macro="[0]!PRINT_SCH_I2_1">
                <anchor moveWithCells="1" sizeWithCells="1">
                  <from>
                    <xdr:col>17</xdr:col>
                    <xdr:colOff>19050</xdr:colOff>
                    <xdr:row>3</xdr:row>
                    <xdr:rowOff>85725</xdr:rowOff>
                  </from>
                  <to>
                    <xdr:col>18</xdr:col>
                    <xdr:colOff>9525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66" name="Button 121">
              <controlPr defaultSize="0" print="0" autoFill="0" autoLine="0" autoPict="0" macro="[0]!PRINT_SCH_I5">
                <anchor moveWithCells="1" sizeWithCells="1">
                  <from>
                    <xdr:col>17</xdr:col>
                    <xdr:colOff>19050</xdr:colOff>
                    <xdr:row>10</xdr:row>
                    <xdr:rowOff>142875</xdr:rowOff>
                  </from>
                  <to>
                    <xdr:col>18</xdr:col>
                    <xdr:colOff>19050</xdr:colOff>
                    <xdr:row>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67" name="Button 122">
              <controlPr defaultSize="0" print="0" autoFill="0" autoLine="0" autoPict="0" macro="[0]!PRINT_SCH_J1_Base">
                <anchor moveWithCells="1" sizeWithCells="1">
                  <from>
                    <xdr:col>19</xdr:col>
                    <xdr:colOff>19050</xdr:colOff>
                    <xdr:row>1</xdr:row>
                    <xdr:rowOff>9525</xdr:rowOff>
                  </from>
                  <to>
                    <xdr:col>20</xdr:col>
                    <xdr:colOff>28575</xdr:colOff>
                    <xdr:row>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68" name="Button 123">
              <controlPr defaultSize="0" print="0" autoFill="0" autoLine="0" autoPict="0" macro="[0]!PRINT_SCH_J1_Forecast">
                <anchor moveWithCells="1" sizeWithCells="1">
                  <from>
                    <xdr:col>21</xdr:col>
                    <xdr:colOff>66675</xdr:colOff>
                    <xdr:row>1</xdr:row>
                    <xdr:rowOff>9525</xdr:rowOff>
                  </from>
                  <to>
                    <xdr:col>22</xdr:col>
                    <xdr:colOff>19050</xdr:colOff>
                    <xdr:row>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69" name="Button 124">
              <controlPr defaultSize="0" print="0" autoFill="0" autoLine="0" autoPict="0" macro="[0]!PRINT_SCH_J1_1">
                <anchor moveWithCells="1" sizeWithCells="1">
                  <from>
                    <xdr:col>19</xdr:col>
                    <xdr:colOff>19050</xdr:colOff>
                    <xdr:row>3</xdr:row>
                    <xdr:rowOff>76200</xdr:rowOff>
                  </from>
                  <to>
                    <xdr:col>20</xdr:col>
                    <xdr:colOff>57150</xdr:colOff>
                    <xdr:row>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70" name="Button 125">
              <controlPr defaultSize="0" print="0" autoFill="0" autoLine="0" autoPict="0" macro="[0]!PRINT_SCH_J1_2">
                <anchor moveWithCells="1" sizeWithCells="1">
                  <from>
                    <xdr:col>19</xdr:col>
                    <xdr:colOff>19050</xdr:colOff>
                    <xdr:row>5</xdr:row>
                    <xdr:rowOff>152400</xdr:rowOff>
                  </from>
                  <to>
                    <xdr:col>20</xdr:col>
                    <xdr:colOff>57150</xdr:colOff>
                    <xdr:row>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71" name="Button 126">
              <controlPr defaultSize="0" print="0" autoFill="0" autoLine="0" autoPict="0" macro="[0]!PRINT_SCH_J2_Base">
                <anchor moveWithCells="1" sizeWithCells="1">
                  <from>
                    <xdr:col>19</xdr:col>
                    <xdr:colOff>19050</xdr:colOff>
                    <xdr:row>8</xdr:row>
                    <xdr:rowOff>85725</xdr:rowOff>
                  </from>
                  <to>
                    <xdr:col>20</xdr:col>
                    <xdr:colOff>28575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72" name="Button 127">
              <controlPr defaultSize="0" print="0" autoFill="0" autoLine="0" autoPict="0" macro="[0]!PRINT_SCH_J2_Forecast">
                <anchor moveWithCells="1" sizeWithCells="1">
                  <from>
                    <xdr:col>21</xdr:col>
                    <xdr:colOff>66675</xdr:colOff>
                    <xdr:row>8</xdr:row>
                    <xdr:rowOff>95250</xdr:rowOff>
                  </from>
                  <to>
                    <xdr:col>22</xdr:col>
                    <xdr:colOff>19050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73" name="Button 128">
              <controlPr defaultSize="0" print="0" autoFill="0" autoLine="0" autoPict="0" macro="[0]!PRINT_SCH_J3_Base">
                <anchor moveWithCells="1" sizeWithCells="1">
                  <from>
                    <xdr:col>19</xdr:col>
                    <xdr:colOff>19050</xdr:colOff>
                    <xdr:row>10</xdr:row>
                    <xdr:rowOff>171450</xdr:rowOff>
                  </from>
                  <to>
                    <xdr:col>20</xdr:col>
                    <xdr:colOff>28575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74" name="Button 129">
              <controlPr defaultSize="0" print="0" autoFill="0" autoLine="0" autoPict="0" macro="[0]!PRINT_SCH_J3_Forecast">
                <anchor moveWithCells="1" sizeWithCells="1">
                  <from>
                    <xdr:col>21</xdr:col>
                    <xdr:colOff>66675</xdr:colOff>
                    <xdr:row>10</xdr:row>
                    <xdr:rowOff>171450</xdr:rowOff>
                  </from>
                  <to>
                    <xdr:col>22</xdr:col>
                    <xdr:colOff>19050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75" name="Button 130">
              <controlPr defaultSize="0" print="0" autoFill="0" autoLine="0" autoPict="0" macro="[0]!PRINT_SCH_J4">
                <anchor moveWithCells="1" sizeWithCells="1">
                  <from>
                    <xdr:col>19</xdr:col>
                    <xdr:colOff>19050</xdr:colOff>
                    <xdr:row>13</xdr:row>
                    <xdr:rowOff>66675</xdr:rowOff>
                  </from>
                  <to>
                    <xdr:col>20</xdr:col>
                    <xdr:colOff>28575</xdr:colOff>
                    <xdr:row>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76" name="Button 131">
              <controlPr defaultSize="0" print="0" autoFill="0" autoLine="0" autoPict="0" macro="[0]!PRINT_K_Schedules">
                <anchor moveWithCells="1" sizeWithCells="1">
                  <from>
                    <xdr:col>19</xdr:col>
                    <xdr:colOff>19050</xdr:colOff>
                    <xdr:row>16</xdr:row>
                    <xdr:rowOff>47625</xdr:rowOff>
                  </from>
                  <to>
                    <xdr:col>20</xdr:col>
                    <xdr:colOff>28575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77" name="Button 132">
              <controlPr defaultSize="0" print="0" autoFill="0" autoLine="0" autoPict="0" macro="[0]!PRINT_OTHER">
                <anchor moveWithCells="1" sizeWithCells="1">
                  <from>
                    <xdr:col>23</xdr:col>
                    <xdr:colOff>28575</xdr:colOff>
                    <xdr:row>8</xdr:row>
                    <xdr:rowOff>95250</xdr:rowOff>
                  </from>
                  <to>
                    <xdr:col>24</xdr:col>
                    <xdr:colOff>28575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78" name="Button 133">
              <controlPr defaultSize="0" print="0" autoFill="0" autoLine="0" autoPict="0" macro="[0]!PRINT_SCH_B2">
                <anchor moveWithCells="1" sizeWithCells="1">
                  <from>
                    <xdr:col>1</xdr:col>
                    <xdr:colOff>0</xdr:colOff>
                    <xdr:row>5</xdr:row>
                    <xdr:rowOff>161925</xdr:rowOff>
                  </from>
                  <to>
                    <xdr:col>2</xdr:col>
                    <xdr:colOff>0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79" name="Button 134">
              <controlPr defaultSize="0" print="0" autoFill="0" autoLine="0" autoPict="0" macro="[0]!PRINT_SCH_B2_1">
                <anchor moveWithCells="1" sizeWithCells="1">
                  <from>
                    <xdr:col>1</xdr:col>
                    <xdr:colOff>9525</xdr:colOff>
                    <xdr:row>8</xdr:row>
                    <xdr:rowOff>57150</xdr:rowOff>
                  </from>
                  <to>
                    <xdr:col>2</xdr:col>
                    <xdr:colOff>0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80" name="Button 135">
              <controlPr defaultSize="0" print="0" autoFill="0" autoLine="0" autoPict="0" macro="[0]!PRINT_SCH_B2_2">
                <anchor moveWithCells="1" sizeWithCells="1">
                  <from>
                    <xdr:col>1</xdr:col>
                    <xdr:colOff>9525</xdr:colOff>
                    <xdr:row>10</xdr:row>
                    <xdr:rowOff>142875</xdr:rowOff>
                  </from>
                  <to>
                    <xdr:col>2</xdr:col>
                    <xdr:colOff>0</xdr:colOff>
                    <xdr:row>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81" name="Button 136">
              <controlPr defaultSize="0" print="0" autoFill="0" autoLine="0" autoPict="0" macro="[0]!PRINT_SCH_B2_3">
                <anchor moveWithCells="1" sizeWithCells="1">
                  <from>
                    <xdr:col>1</xdr:col>
                    <xdr:colOff>9525</xdr:colOff>
                    <xdr:row>13</xdr:row>
                    <xdr:rowOff>28575</xdr:rowOff>
                  </from>
                  <to>
                    <xdr:col>2</xdr:col>
                    <xdr:colOff>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82" name="Button 137">
              <controlPr defaultSize="0" print="0" autoFill="0" autoLine="0" autoPict="0" macro="[0]!PRINT_SCH_B2_4">
                <anchor moveWithCells="1" sizeWithCells="1">
                  <from>
                    <xdr:col>1</xdr:col>
                    <xdr:colOff>9525</xdr:colOff>
                    <xdr:row>15</xdr:row>
                    <xdr:rowOff>114300</xdr:rowOff>
                  </from>
                  <to>
                    <xdr:col>2</xdr:col>
                    <xdr:colOff>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83" name="Button 138">
              <controlPr defaultSize="0" print="0" autoFill="0" autoLine="0" autoPict="0" macro="[0]!PRINT_SCH_B2_5">
                <anchor moveWithCells="1" sizeWithCells="1">
                  <from>
                    <xdr:col>1</xdr:col>
                    <xdr:colOff>9525</xdr:colOff>
                    <xdr:row>18</xdr:row>
                    <xdr:rowOff>0</xdr:rowOff>
                  </from>
                  <to>
                    <xdr:col>2</xdr:col>
                    <xdr:colOff>0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84" name="Button 139">
              <controlPr defaultSize="0" print="0" autoFill="0" autoLine="0" autoPict="0" macro="[0]!PRINT_SCH_B2_6">
                <anchor moveWithCells="1" sizeWithCells="1">
                  <from>
                    <xdr:col>1</xdr:col>
                    <xdr:colOff>9525</xdr:colOff>
                    <xdr:row>20</xdr:row>
                    <xdr:rowOff>85725</xdr:rowOff>
                  </from>
                  <to>
                    <xdr:col>2</xdr:col>
                    <xdr:colOff>0</xdr:colOff>
                    <xdr:row>22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85" name="Button 140">
              <controlPr defaultSize="0" print="0" autoFill="0" autoLine="0" autoPict="0" macro="[0]!PRINT_SCH_B2_7">
                <anchor moveWithCells="1" sizeWithCells="1">
                  <from>
                    <xdr:col>1</xdr:col>
                    <xdr:colOff>9525</xdr:colOff>
                    <xdr:row>22</xdr:row>
                    <xdr:rowOff>171450</xdr:rowOff>
                  </from>
                  <to>
                    <xdr:col>2</xdr:col>
                    <xdr:colOff>0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86" name="Button 163">
              <controlPr defaultSize="0" print="0" autoFill="0" autoLine="0" autoPict="0" macro="[0]!PRINT_SCH_B3">
                <anchor moveWithCells="1" sizeWithCells="1">
                  <from>
                    <xdr:col>3</xdr:col>
                    <xdr:colOff>9525</xdr:colOff>
                    <xdr:row>1</xdr:row>
                    <xdr:rowOff>28575</xdr:rowOff>
                  </from>
                  <to>
                    <xdr:col>3</xdr:col>
                    <xdr:colOff>533400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87" name="Button 164">
              <controlPr defaultSize="0" print="0" autoFill="0" autoLine="0" autoPict="0" macro="[0]!PRINT_SCH_B3_1">
                <anchor moveWithCells="1" sizeWithCells="1">
                  <from>
                    <xdr:col>3</xdr:col>
                    <xdr:colOff>9525</xdr:colOff>
                    <xdr:row>3</xdr:row>
                    <xdr:rowOff>133350</xdr:rowOff>
                  </from>
                  <to>
                    <xdr:col>3</xdr:col>
                    <xdr:colOff>533400</xdr:colOff>
                    <xdr:row>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88" name="Button 165">
              <controlPr defaultSize="0" print="0" autoFill="0" autoLine="0" autoPict="0" macro="[0]!PRINT_SCH_B3_2">
                <anchor moveWithCells="1" sizeWithCells="1">
                  <from>
                    <xdr:col>3</xdr:col>
                    <xdr:colOff>9525</xdr:colOff>
                    <xdr:row>6</xdr:row>
                    <xdr:rowOff>19050</xdr:rowOff>
                  </from>
                  <to>
                    <xdr:col>3</xdr:col>
                    <xdr:colOff>533400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89" name="Button 166">
              <controlPr defaultSize="0" print="0" autoFill="0" autoLine="0" autoPict="0" macro="[0]!PRINT_SCH_B4">
                <anchor moveWithCells="1" sizeWithCells="1">
                  <from>
                    <xdr:col>3</xdr:col>
                    <xdr:colOff>9525</xdr:colOff>
                    <xdr:row>8</xdr:row>
                    <xdr:rowOff>95250</xdr:rowOff>
                  </from>
                  <to>
                    <xdr:col>3</xdr:col>
                    <xdr:colOff>533400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90" name="Button 167">
              <controlPr defaultSize="0" print="0" autoFill="0" autoLine="0" autoPict="0" macro="[0]!PRINT_SCH_B4_1">
                <anchor moveWithCells="1" sizeWithCells="1">
                  <from>
                    <xdr:col>3</xdr:col>
                    <xdr:colOff>9525</xdr:colOff>
                    <xdr:row>10</xdr:row>
                    <xdr:rowOff>171450</xdr:rowOff>
                  </from>
                  <to>
                    <xdr:col>3</xdr:col>
                    <xdr:colOff>533400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91" name="Button 170">
              <controlPr defaultSize="0" print="0" autoFill="0" autoLine="0" autoPict="0" macro="[0]!PRINT_J_Schedules">
                <anchor moveWithCells="1" sizeWithCells="1">
                  <from>
                    <xdr:col>25</xdr:col>
                    <xdr:colOff>57150</xdr:colOff>
                    <xdr:row>20</xdr:row>
                    <xdr:rowOff>161925</xdr:rowOff>
                  </from>
                  <to>
                    <xdr:col>27</xdr:col>
                    <xdr:colOff>9525</xdr:colOff>
                    <xdr:row>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92" name="Button 174">
              <controlPr defaultSize="0" print="0" autoFill="0" autoLine="0" autoPict="0" macro="[0]!PRINT_SCH_D2_27">
                <anchor moveWithCells="1" sizeWithCells="1">
                  <from>
                    <xdr:col>10</xdr:col>
                    <xdr:colOff>66675</xdr:colOff>
                    <xdr:row>1</xdr:row>
                    <xdr:rowOff>19050</xdr:rowOff>
                  </from>
                  <to>
                    <xdr:col>12</xdr:col>
                    <xdr:colOff>9525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93" name="Button 178">
              <controlPr defaultSize="0" print="0" autoFill="0" autoLine="0" autoPict="0" macro="[0]!PRINT_SCH_E1">
                <anchor moveWithCells="1" sizeWithCells="1">
                  <from>
                    <xdr:col>13</xdr:col>
                    <xdr:colOff>57150</xdr:colOff>
                    <xdr:row>22</xdr:row>
                    <xdr:rowOff>171450</xdr:rowOff>
                  </from>
                  <to>
                    <xdr:col>14</xdr:col>
                    <xdr:colOff>76200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94" name="Button 179">
              <controlPr defaultSize="0" print="0" autoFill="0" autoLine="0" autoPict="0" macro="[0]!PRINT_SCH_E2">
                <anchor moveWithCells="1" sizeWithCells="1">
                  <from>
                    <xdr:col>13</xdr:col>
                    <xdr:colOff>57150</xdr:colOff>
                    <xdr:row>25</xdr:row>
                    <xdr:rowOff>57150</xdr:rowOff>
                  </from>
                  <to>
                    <xdr:col>15</xdr:col>
                    <xdr:colOff>9525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95" name="Button 185">
              <controlPr defaultSize="0" print="0" autoFill="0" autoLine="0" autoPict="0" macro="[0]!PRINT_SCH_D2_23">
                <anchor moveWithCells="1" sizeWithCells="1">
                  <from>
                    <xdr:col>9</xdr:col>
                    <xdr:colOff>9525</xdr:colOff>
                    <xdr:row>29</xdr:row>
                    <xdr:rowOff>123825</xdr:rowOff>
                  </from>
                  <to>
                    <xdr:col>10</xdr:col>
                    <xdr:colOff>19050</xdr:colOff>
                    <xdr:row>31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96" name="Button 186">
              <controlPr defaultSize="0" print="0" autoFill="0" autoLine="0" autoPict="0" macro="[0]!PRINT_SCH_D2_22">
                <anchor moveWithCells="1" sizeWithCells="1">
                  <from>
                    <xdr:col>9</xdr:col>
                    <xdr:colOff>9525</xdr:colOff>
                    <xdr:row>27</xdr:row>
                    <xdr:rowOff>95250</xdr:rowOff>
                  </from>
                  <to>
                    <xdr:col>10</xdr:col>
                    <xdr:colOff>19050</xdr:colOff>
                    <xdr:row>29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97" name="Button 187">
              <controlPr defaultSize="0" print="0" autoFill="0" autoLine="0" autoPict="0" macro="[0]!PRINT_SCH_D2_24">
                <anchor moveWithCells="1" sizeWithCells="1">
                  <from>
                    <xdr:col>9</xdr:col>
                    <xdr:colOff>9525</xdr:colOff>
                    <xdr:row>32</xdr:row>
                    <xdr:rowOff>0</xdr:rowOff>
                  </from>
                  <to>
                    <xdr:col>10</xdr:col>
                    <xdr:colOff>19050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98" name="Button 188">
              <controlPr defaultSize="0" print="0" autoFill="0" autoLine="0" autoPict="0" macro="[0]!PRINT_SCH_D2_25">
                <anchor moveWithCells="1" sizeWithCells="1">
                  <from>
                    <xdr:col>9</xdr:col>
                    <xdr:colOff>9525</xdr:colOff>
                    <xdr:row>34</xdr:row>
                    <xdr:rowOff>57150</xdr:rowOff>
                  </from>
                  <to>
                    <xdr:col>10</xdr:col>
                    <xdr:colOff>19050</xdr:colOff>
                    <xdr:row>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99" name="Button 189">
              <controlPr defaultSize="0" print="0" autoFill="0" autoLine="0" autoPict="0" macro="[0]!PRINT_SCH_D2_26">
                <anchor moveWithCells="1" sizeWithCells="1">
                  <from>
                    <xdr:col>9</xdr:col>
                    <xdr:colOff>0</xdr:colOff>
                    <xdr:row>36</xdr:row>
                    <xdr:rowOff>133350</xdr:rowOff>
                  </from>
                  <to>
                    <xdr:col>10</xdr:col>
                    <xdr:colOff>9525</xdr:colOff>
                    <xdr:row>38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100" name="Button 190">
              <controlPr defaultSize="0" print="0" autoFill="0" autoLine="0" autoPict="0" macro="[0]!PRINT_SCH_D2_28">
                <anchor moveWithCells="1" sizeWithCells="1">
                  <from>
                    <xdr:col>10</xdr:col>
                    <xdr:colOff>66675</xdr:colOff>
                    <xdr:row>3</xdr:row>
                    <xdr:rowOff>95250</xdr:rowOff>
                  </from>
                  <to>
                    <xdr:col>12</xdr:col>
                    <xdr:colOff>9525</xdr:colOff>
                    <xdr:row>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101" name="Button 191">
              <controlPr defaultSize="0" print="0" autoFill="0" autoLine="0" autoPict="0" macro="[0]!PRINT_SCH_D2_29">
                <anchor moveWithCells="1" sizeWithCells="1">
                  <from>
                    <xdr:col>11</xdr:col>
                    <xdr:colOff>9525</xdr:colOff>
                    <xdr:row>5</xdr:row>
                    <xdr:rowOff>161925</xdr:rowOff>
                  </from>
                  <to>
                    <xdr:col>12</xdr:col>
                    <xdr:colOff>9525</xdr:colOff>
                    <xdr:row>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102" name="Button 192">
              <controlPr defaultSize="0" print="0" autoFill="0" autoLine="0" autoPict="0" macro="[0]!PRINT_SCH_D2_30">
                <anchor moveWithCells="1" sizeWithCells="1">
                  <from>
                    <xdr:col>11</xdr:col>
                    <xdr:colOff>9525</xdr:colOff>
                    <xdr:row>8</xdr:row>
                    <xdr:rowOff>47625</xdr:rowOff>
                  </from>
                  <to>
                    <xdr:col>12</xdr:col>
                    <xdr:colOff>9525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103" name="Button 193">
              <controlPr defaultSize="0" print="0" autoFill="0" autoLine="0" autoPict="0" macro="[0]!PRINT_SCH_D2_31">
                <anchor moveWithCells="1" sizeWithCells="1">
                  <from>
                    <xdr:col>11</xdr:col>
                    <xdr:colOff>9525</xdr:colOff>
                    <xdr:row>10</xdr:row>
                    <xdr:rowOff>133350</xdr:rowOff>
                  </from>
                  <to>
                    <xdr:col>11</xdr:col>
                    <xdr:colOff>533400</xdr:colOff>
                    <xdr:row>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2" r:id="rId104" name="Button 194">
              <controlPr defaultSize="0" print="0" autoFill="0" autoLine="0" autoPict="0" macro="[0]!PRINT_SCH_D2_32">
                <anchor moveWithCells="1" sizeWithCells="1">
                  <from>
                    <xdr:col>10</xdr:col>
                    <xdr:colOff>76200</xdr:colOff>
                    <xdr:row>12</xdr:row>
                    <xdr:rowOff>171450</xdr:rowOff>
                  </from>
                  <to>
                    <xdr:col>11</xdr:col>
                    <xdr:colOff>533400</xdr:colOff>
                    <xdr:row>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105" name="Button 195">
              <controlPr defaultSize="0" print="0" autoFill="0" autoLine="0" autoPict="0" macro="[0]!PRINT_SCH_D2_33">
                <anchor moveWithCells="1" sizeWithCells="1">
                  <from>
                    <xdr:col>10</xdr:col>
                    <xdr:colOff>76200</xdr:colOff>
                    <xdr:row>15</xdr:row>
                    <xdr:rowOff>66675</xdr:rowOff>
                  </from>
                  <to>
                    <xdr:col>11</xdr:col>
                    <xdr:colOff>533400</xdr:colOff>
                    <xdr:row>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106" name="Button 196">
              <controlPr defaultSize="0" print="0" autoFill="0" autoLine="0" autoPict="0" macro="[0]!GOTO_SCH_D2_34">
                <anchor moveWithCells="1" sizeWithCells="1">
                  <from>
                    <xdr:col>10</xdr:col>
                    <xdr:colOff>76200</xdr:colOff>
                    <xdr:row>17</xdr:row>
                    <xdr:rowOff>161925</xdr:rowOff>
                  </from>
                  <to>
                    <xdr:col>11</xdr:col>
                    <xdr:colOff>533400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107" name="Button 197">
              <controlPr defaultSize="0" print="0" autoFill="0" autoLine="0" autoPict="0" macro="[0]!PRINT_SCH_D2_35">
                <anchor moveWithCells="1" sizeWithCells="1">
                  <from>
                    <xdr:col>10</xdr:col>
                    <xdr:colOff>76200</xdr:colOff>
                    <xdr:row>20</xdr:row>
                    <xdr:rowOff>38100</xdr:rowOff>
                  </from>
                  <to>
                    <xdr:col>11</xdr:col>
                    <xdr:colOff>533400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108" name="Button 198">
              <controlPr defaultSize="0" print="0" autoFill="0" autoLine="0" autoPict="0" macro="[0]!PRINT_SCH_D2_35">
                <anchor moveWithCells="1" sizeWithCells="1">
                  <from>
                    <xdr:col>11</xdr:col>
                    <xdr:colOff>9525</xdr:colOff>
                    <xdr:row>22</xdr:row>
                    <xdr:rowOff>152400</xdr:rowOff>
                  </from>
                  <to>
                    <xdr:col>12</xdr:col>
                    <xdr:colOff>19050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109" name="Button 199">
              <controlPr defaultSize="0" print="0" autoFill="0" autoLine="0" autoPict="0" macro="[0]!PRINT_SCH_D2_35">
                <anchor moveWithCells="1" sizeWithCells="1">
                  <from>
                    <xdr:col>11</xdr:col>
                    <xdr:colOff>9525</xdr:colOff>
                    <xdr:row>25</xdr:row>
                    <xdr:rowOff>47625</xdr:rowOff>
                  </from>
                  <to>
                    <xdr:col>12</xdr:col>
                    <xdr:colOff>19050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8" r:id="rId110" name="Button 200">
              <controlPr defaultSize="0" print="0" autoFill="0" autoLine="0" autoPict="0" macro="[0]!PRINT_SCH_D2_35">
                <anchor moveWithCells="1" sizeWithCells="1">
                  <from>
                    <xdr:col>11</xdr:col>
                    <xdr:colOff>9525</xdr:colOff>
                    <xdr:row>27</xdr:row>
                    <xdr:rowOff>95250</xdr:rowOff>
                  </from>
                  <to>
                    <xdr:col>12</xdr:col>
                    <xdr:colOff>19050</xdr:colOff>
                    <xdr:row>29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9" r:id="rId111" name="Button 201">
              <controlPr defaultSize="0" print="0" autoFill="0" autoLine="0" autoPict="0" macro="[0]!PRINT_SCH_D2_35">
                <anchor moveWithCells="1" sizeWithCells="1">
                  <from>
                    <xdr:col>11</xdr:col>
                    <xdr:colOff>9525</xdr:colOff>
                    <xdr:row>29</xdr:row>
                    <xdr:rowOff>133350</xdr:rowOff>
                  </from>
                  <to>
                    <xdr:col>12</xdr:col>
                    <xdr:colOff>19050</xdr:colOff>
                    <xdr:row>31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4" tint="0.39997558519241921"/>
  </sheetPr>
  <dimension ref="A1:AE104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7.140625" style="18" customWidth="1"/>
    <col min="2" max="2" width="1" style="18" customWidth="1"/>
    <col min="3" max="3" width="11.85546875" style="18" customWidth="1"/>
    <col min="4" max="4" width="1" style="18" customWidth="1"/>
    <col min="5" max="5" width="49" style="18" customWidth="1"/>
    <col min="6" max="6" width="2.85546875" style="18" customWidth="1"/>
    <col min="7" max="7" width="16.28515625" style="18" customWidth="1"/>
    <col min="8" max="8" width="0.85546875" style="18" customWidth="1"/>
    <col min="9" max="9" width="16" style="18" customWidth="1"/>
    <col min="10" max="10" width="0.5703125" style="18" customWidth="1"/>
    <col min="11" max="11" width="57.85546875" style="18" customWidth="1"/>
    <col min="12" max="12" width="7.85546875" style="18" customWidth="1"/>
    <col min="13" max="13" width="1.140625" style="18" customWidth="1"/>
    <col min="14" max="14" width="39" style="18" customWidth="1"/>
    <col min="15" max="15" width="20.28515625" style="18" customWidth="1"/>
    <col min="16" max="16" width="17.28515625" style="18" customWidth="1"/>
    <col min="17" max="17" width="17.42578125" style="18" customWidth="1"/>
    <col min="18" max="18" width="21.42578125" style="18" customWidth="1"/>
    <col min="19" max="19" width="5.140625" style="18" customWidth="1"/>
    <col min="20" max="20" width="19.42578125" style="18" customWidth="1"/>
    <col min="21" max="21" width="16.7109375" style="18" customWidth="1"/>
    <col min="22" max="22" width="8.28515625" style="18" customWidth="1"/>
    <col min="23" max="23" width="1.140625" style="18" customWidth="1"/>
    <col min="24" max="24" width="11.42578125" style="18" customWidth="1"/>
    <col min="25" max="25" width="0.5703125" style="18" customWidth="1"/>
    <col min="26" max="26" width="40.42578125" style="18" customWidth="1"/>
    <col min="27" max="27" width="52.140625" style="18" customWidth="1"/>
    <col min="28" max="28" width="1.42578125" style="18" customWidth="1"/>
    <col min="29" max="29" width="44.42578125" style="18" customWidth="1"/>
    <col min="30" max="16384" width="8" style="18"/>
  </cols>
  <sheetData>
    <row r="1" spans="1:31">
      <c r="A1" s="2433" t="str">
        <f>COMPANY</f>
        <v>DUKE ENERGY KENTUCKY, INC.</v>
      </c>
      <c r="B1" s="2434"/>
      <c r="C1" s="2434"/>
      <c r="D1" s="2434"/>
      <c r="E1" s="2434"/>
      <c r="F1" s="2434"/>
      <c r="G1" s="2434"/>
      <c r="H1" s="2434"/>
      <c r="I1" s="2434"/>
      <c r="J1" s="2434"/>
      <c r="K1" s="2434"/>
      <c r="L1" s="2435"/>
      <c r="M1" s="2435"/>
      <c r="N1" s="2435"/>
      <c r="O1" s="2435"/>
      <c r="P1" s="2435"/>
      <c r="Q1" s="2435"/>
      <c r="R1" s="2435"/>
      <c r="S1" s="2435"/>
      <c r="T1" s="2435"/>
      <c r="U1" s="2435"/>
      <c r="V1" s="2435"/>
      <c r="W1" s="2435"/>
      <c r="X1" s="2435"/>
      <c r="Y1" s="2435"/>
      <c r="Z1" s="2435"/>
      <c r="AA1" s="2435"/>
      <c r="AB1" s="2435"/>
      <c r="AC1" s="2435"/>
      <c r="AD1" s="2435"/>
      <c r="AE1" s="2435"/>
    </row>
    <row r="2" spans="1:31">
      <c r="A2" s="2433" t="str">
        <f>CASE</f>
        <v>CASE NO. 2017-00321</v>
      </c>
      <c r="B2" s="2434"/>
      <c r="C2" s="2434"/>
      <c r="D2" s="2434"/>
      <c r="E2" s="2434"/>
      <c r="F2" s="2434"/>
      <c r="G2" s="2434"/>
      <c r="H2" s="2434"/>
      <c r="I2" s="2434"/>
      <c r="J2" s="2434"/>
      <c r="K2" s="2434"/>
      <c r="L2" s="2435"/>
      <c r="M2" s="2435"/>
      <c r="N2" s="2435"/>
      <c r="O2" s="2435"/>
      <c r="P2" s="2435"/>
      <c r="Q2" s="2435"/>
      <c r="R2" s="2435"/>
      <c r="S2" s="2435"/>
      <c r="T2" s="2435"/>
      <c r="U2" s="2435"/>
      <c r="V2" s="2435"/>
      <c r="W2" s="2435"/>
      <c r="X2" s="2435"/>
      <c r="Y2" s="2435"/>
      <c r="Z2" s="2435"/>
      <c r="AA2" s="2435"/>
      <c r="AB2" s="2435"/>
      <c r="AC2" s="2435"/>
      <c r="AD2" s="2435"/>
      <c r="AE2" s="2435"/>
    </row>
    <row r="3" spans="1:31">
      <c r="A3" s="2433" t="s">
        <v>1876</v>
      </c>
      <c r="B3" s="2434"/>
      <c r="C3" s="2434"/>
      <c r="D3" s="2434"/>
      <c r="E3" s="2434"/>
      <c r="F3" s="2434"/>
      <c r="G3" s="2434"/>
      <c r="H3" s="2434"/>
      <c r="I3" s="2434"/>
      <c r="J3" s="2434"/>
      <c r="K3" s="2434"/>
      <c r="L3" s="2435"/>
      <c r="M3" s="2435"/>
      <c r="N3" s="2435"/>
      <c r="O3" s="2435"/>
      <c r="P3" s="2435"/>
      <c r="Q3" s="2435"/>
      <c r="R3" s="2435"/>
      <c r="S3" s="2435"/>
      <c r="T3" s="2435"/>
      <c r="U3" s="2435"/>
      <c r="V3" s="2435"/>
      <c r="W3" s="2435"/>
      <c r="X3" s="2435"/>
      <c r="Y3" s="2435"/>
      <c r="Z3" s="2435"/>
      <c r="AA3" s="2435"/>
      <c r="AB3" s="2435"/>
      <c r="AC3" s="2435"/>
      <c r="AD3" s="2435"/>
      <c r="AE3" s="2435"/>
    </row>
    <row r="4" spans="1:31">
      <c r="A4" s="2434" t="str">
        <f>PeriodF</f>
        <v>FOR THE TWELVE MONTHS ENDED MARCH 31, 2019</v>
      </c>
      <c r="B4" s="2434"/>
      <c r="C4" s="2434"/>
      <c r="D4" s="2434"/>
      <c r="E4" s="2434"/>
      <c r="F4" s="2434"/>
      <c r="G4" s="2434"/>
      <c r="H4" s="2434"/>
      <c r="I4" s="2434"/>
      <c r="J4" s="2434"/>
      <c r="K4" s="2434"/>
      <c r="L4" s="2435"/>
      <c r="M4" s="2435"/>
      <c r="N4" s="2435"/>
      <c r="O4" s="2435"/>
      <c r="P4" s="2435"/>
      <c r="Q4" s="2435"/>
      <c r="R4" s="2435"/>
      <c r="S4" s="2435"/>
      <c r="T4" s="2435"/>
      <c r="U4" s="2435"/>
      <c r="V4" s="2435"/>
      <c r="W4" s="2435"/>
      <c r="X4" s="2435"/>
      <c r="Y4" s="2435"/>
      <c r="Z4" s="2435"/>
      <c r="AA4" s="2435"/>
      <c r="AB4" s="2435"/>
      <c r="AC4" s="2435"/>
      <c r="AD4" s="2435"/>
      <c r="AE4" s="2435"/>
    </row>
    <row r="5" spans="1:31">
      <c r="A5" s="2435"/>
      <c r="B5" s="2435"/>
      <c r="C5" s="2435"/>
      <c r="D5" s="2435"/>
      <c r="E5" s="2435"/>
      <c r="F5" s="2435"/>
      <c r="G5" s="2435"/>
      <c r="H5" s="2435"/>
      <c r="I5" s="2435"/>
      <c r="J5" s="2435"/>
      <c r="K5" s="2435"/>
      <c r="L5" s="2435"/>
      <c r="M5" s="2435"/>
      <c r="N5" s="2435"/>
      <c r="O5" s="2435"/>
      <c r="P5" s="2435"/>
      <c r="Q5" s="2435"/>
      <c r="R5" s="2435"/>
      <c r="S5" s="2435"/>
      <c r="T5" s="2435"/>
      <c r="U5" s="2435"/>
      <c r="V5" s="2435"/>
      <c r="W5" s="2435"/>
      <c r="X5" s="2435"/>
      <c r="Y5" s="2435"/>
      <c r="Z5" s="2435"/>
      <c r="AA5" s="2435"/>
      <c r="AB5" s="2435"/>
      <c r="AC5" s="2435"/>
      <c r="AD5" s="2435"/>
      <c r="AE5" s="2435"/>
    </row>
    <row r="6" spans="1:31">
      <c r="A6" s="2436" t="str">
        <f>DataF</f>
        <v>DATA:  BASE PERIOD  "X" FORECASTED PERIOD</v>
      </c>
      <c r="B6" s="2435"/>
      <c r="C6" s="2435"/>
      <c r="D6" s="2435"/>
      <c r="E6" s="2435"/>
      <c r="F6" s="2435"/>
      <c r="G6" s="2435"/>
      <c r="H6" s="2435"/>
      <c r="I6" s="2435"/>
      <c r="J6" s="2435"/>
      <c r="K6" s="2437" t="s">
        <v>1877</v>
      </c>
      <c r="L6" s="2435"/>
      <c r="M6" s="2435"/>
      <c r="N6" s="2435"/>
      <c r="O6" s="2435"/>
      <c r="P6" s="2435"/>
      <c r="Q6" s="2435"/>
      <c r="R6" s="2435"/>
      <c r="S6" s="2435"/>
      <c r="T6" s="2435"/>
      <c r="U6" s="2435"/>
      <c r="V6" s="2435"/>
      <c r="W6" s="2435"/>
      <c r="X6" s="2435"/>
      <c r="Y6" s="2435"/>
      <c r="Z6" s="2435"/>
      <c r="AA6" s="2435"/>
      <c r="AB6" s="2435"/>
      <c r="AC6" s="2435"/>
      <c r="AD6" s="2435"/>
      <c r="AE6" s="2435"/>
    </row>
    <row r="7" spans="1:31">
      <c r="A7" s="2436" t="str">
        <f>Type</f>
        <v xml:space="preserve">TYPE OF FILING:  "X" ORIGINAL   UPDATED    REVISED  </v>
      </c>
      <c r="B7" s="2435"/>
      <c r="C7" s="2435"/>
      <c r="D7" s="2435"/>
      <c r="E7" s="2435"/>
      <c r="F7" s="2435"/>
      <c r="G7" s="2435"/>
      <c r="H7" s="2435"/>
      <c r="I7" s="2435"/>
      <c r="J7" s="2435"/>
      <c r="K7" s="2437" t="s">
        <v>1878</v>
      </c>
      <c r="L7" s="2435"/>
      <c r="M7" s="2435"/>
      <c r="N7" s="2435"/>
      <c r="O7" s="2435"/>
      <c r="P7" s="2435"/>
      <c r="Q7" s="2435"/>
      <c r="R7" s="2435"/>
      <c r="S7" s="2435"/>
      <c r="T7" s="2435"/>
      <c r="U7" s="2435"/>
      <c r="V7" s="2435"/>
      <c r="W7" s="2435"/>
      <c r="X7" s="2435"/>
      <c r="Y7" s="2435"/>
      <c r="Z7" s="2435"/>
      <c r="AA7" s="2435"/>
      <c r="AB7" s="2435"/>
      <c r="AC7" s="2435"/>
      <c r="AD7" s="2435"/>
      <c r="AE7" s="2435"/>
    </row>
    <row r="8" spans="1:31">
      <c r="A8" s="2437" t="s">
        <v>1879</v>
      </c>
      <c r="B8" s="2435"/>
      <c r="C8" s="2435"/>
      <c r="D8" s="2435"/>
      <c r="E8" s="2435"/>
      <c r="F8" s="2435"/>
      <c r="G8" s="2435"/>
      <c r="H8" s="2435"/>
      <c r="I8" s="2435"/>
      <c r="J8" s="2435"/>
      <c r="K8" s="2437" t="s">
        <v>1880</v>
      </c>
      <c r="L8" s="2435"/>
      <c r="M8" s="2435"/>
      <c r="N8" s="2435"/>
      <c r="O8" s="2435"/>
      <c r="P8" s="2435"/>
      <c r="Q8" s="2435"/>
      <c r="R8" s="2435"/>
      <c r="S8" s="2435"/>
      <c r="T8" s="2435"/>
      <c r="U8" s="2435"/>
      <c r="V8" s="2435"/>
      <c r="W8" s="2435"/>
      <c r="X8" s="2435"/>
      <c r="Y8" s="2435"/>
      <c r="Z8" s="2435"/>
      <c r="AA8" s="2435"/>
      <c r="AB8" s="2435"/>
      <c r="AC8" s="2435"/>
      <c r="AD8" s="2435"/>
      <c r="AE8" s="2435"/>
    </row>
    <row r="9" spans="1:31">
      <c r="A9" s="2435"/>
      <c r="B9" s="2435"/>
      <c r="C9" s="2435"/>
      <c r="D9" s="2435"/>
      <c r="E9" s="2435"/>
      <c r="F9" s="2435"/>
      <c r="G9" s="2435"/>
      <c r="H9" s="2435"/>
      <c r="I9" s="2435"/>
      <c r="J9" s="2435"/>
      <c r="K9" s="2437" t="str">
        <f>"                "&amp;_WIT2</f>
        <v xml:space="preserve">                J. E. ZIOLKOWSKI</v>
      </c>
      <c r="L9" s="2435"/>
      <c r="M9" s="2435"/>
      <c r="N9" s="2435"/>
      <c r="O9" s="2435"/>
      <c r="P9" s="2435"/>
      <c r="Q9" s="2435"/>
      <c r="R9" s="2435"/>
      <c r="S9" s="2435"/>
      <c r="T9" s="2435"/>
      <c r="U9" s="2435"/>
      <c r="V9" s="2435"/>
      <c r="W9" s="2435"/>
      <c r="X9" s="2435"/>
      <c r="Y9" s="2435"/>
      <c r="Z9" s="2435"/>
      <c r="AA9" s="2435"/>
      <c r="AB9" s="2435"/>
      <c r="AC9" s="2435"/>
      <c r="AD9" s="2435"/>
      <c r="AE9" s="2435"/>
    </row>
    <row r="10" spans="1:31">
      <c r="A10" s="2438"/>
      <c r="B10" s="2438"/>
      <c r="C10" s="2438"/>
      <c r="D10" s="2438"/>
      <c r="E10" s="2438"/>
      <c r="F10" s="2438"/>
      <c r="G10" s="2438"/>
      <c r="H10" s="2438"/>
      <c r="I10" s="2438"/>
      <c r="J10" s="2438"/>
      <c r="K10" s="2438"/>
      <c r="L10" s="2439"/>
      <c r="M10" s="2435"/>
      <c r="N10" s="2435"/>
      <c r="O10" s="2435"/>
      <c r="P10" s="2435"/>
      <c r="Q10" s="2435"/>
      <c r="R10" s="2435"/>
      <c r="S10" s="2435"/>
      <c r="T10" s="2435"/>
      <c r="U10" s="2435"/>
      <c r="V10" s="2435"/>
      <c r="W10" s="2435"/>
      <c r="X10" s="2435"/>
      <c r="Y10" s="2435"/>
      <c r="Z10" s="2435"/>
      <c r="AA10" s="2435"/>
      <c r="AB10" s="2435"/>
      <c r="AC10" s="2435"/>
      <c r="AD10" s="2435"/>
      <c r="AE10" s="2435"/>
    </row>
    <row r="11" spans="1:31">
      <c r="A11" s="2435"/>
      <c r="B11" s="2435"/>
      <c r="C11" s="2435"/>
      <c r="D11" s="2435"/>
      <c r="E11" s="2435"/>
      <c r="F11" s="2435"/>
      <c r="G11" s="2435"/>
      <c r="H11" s="2435"/>
      <c r="I11" s="2435"/>
      <c r="J11" s="2739"/>
      <c r="K11" s="2739" t="s">
        <v>1881</v>
      </c>
      <c r="L11" s="2440"/>
      <c r="M11" s="2435"/>
      <c r="N11" s="2435"/>
      <c r="O11" s="2435"/>
      <c r="P11" s="2435"/>
      <c r="Q11" s="2435"/>
      <c r="R11" s="2435"/>
      <c r="S11" s="2435"/>
      <c r="T11" s="2435"/>
      <c r="U11" s="2435"/>
      <c r="V11" s="2435"/>
      <c r="W11" s="2435"/>
      <c r="X11" s="2435"/>
      <c r="Y11" s="2435"/>
      <c r="Z11" s="2435"/>
      <c r="AA11" s="2435"/>
      <c r="AB11" s="2435"/>
      <c r="AC11" s="2435"/>
      <c r="AD11" s="2435"/>
      <c r="AE11" s="2435"/>
    </row>
    <row r="12" spans="1:31">
      <c r="A12" s="2739" t="s">
        <v>1961</v>
      </c>
      <c r="B12" s="2435"/>
      <c r="C12" s="2739" t="s">
        <v>1080</v>
      </c>
      <c r="D12" s="2435"/>
      <c r="E12" s="2739" t="s">
        <v>1080</v>
      </c>
      <c r="F12" s="2435"/>
      <c r="G12" s="2433" t="s">
        <v>1461</v>
      </c>
      <c r="H12" s="2434"/>
      <c r="I12" s="2433"/>
      <c r="J12" s="2739"/>
      <c r="K12" s="2739" t="s">
        <v>1882</v>
      </c>
      <c r="L12" s="2440"/>
      <c r="M12" s="2435"/>
      <c r="N12" s="2435"/>
      <c r="O12" s="2435"/>
      <c r="P12" s="2435"/>
      <c r="Q12" s="2435"/>
      <c r="R12" s="2435"/>
      <c r="S12" s="2435"/>
      <c r="T12" s="2435"/>
      <c r="U12" s="2435"/>
      <c r="V12" s="2435"/>
      <c r="W12" s="2435"/>
      <c r="X12" s="2435"/>
      <c r="Y12" s="2435"/>
      <c r="Z12" s="2435"/>
      <c r="AA12" s="2435"/>
      <c r="AB12" s="2435"/>
      <c r="AC12" s="2435"/>
      <c r="AD12" s="2435"/>
      <c r="AE12" s="2435"/>
    </row>
    <row r="13" spans="1:31">
      <c r="A13" s="2739" t="s">
        <v>1854</v>
      </c>
      <c r="B13" s="2435"/>
      <c r="C13" s="2739" t="s">
        <v>1703</v>
      </c>
      <c r="D13" s="2435"/>
      <c r="E13" s="2739" t="s">
        <v>1883</v>
      </c>
      <c r="F13" s="2435"/>
      <c r="G13" s="2739" t="s">
        <v>1061</v>
      </c>
      <c r="H13" s="2435"/>
      <c r="I13" s="2739" t="s">
        <v>363</v>
      </c>
      <c r="J13" s="2739"/>
      <c r="K13" s="2739" t="s">
        <v>1057</v>
      </c>
      <c r="L13" s="2440"/>
      <c r="M13" s="2435"/>
      <c r="N13" s="2435"/>
      <c r="O13" s="2435"/>
      <c r="P13" s="2435"/>
      <c r="Q13" s="2435"/>
      <c r="R13" s="2435"/>
      <c r="S13" s="2435"/>
      <c r="T13" s="2435"/>
      <c r="U13" s="2435"/>
      <c r="V13" s="2435"/>
      <c r="W13" s="2435"/>
      <c r="X13" s="2435"/>
      <c r="Y13" s="2435"/>
      <c r="Z13" s="2435"/>
      <c r="AA13" s="2435"/>
      <c r="AB13" s="2435"/>
      <c r="AC13" s="2435"/>
      <c r="AD13" s="2435"/>
      <c r="AE13" s="2435"/>
    </row>
    <row r="14" spans="1:31">
      <c r="A14" s="2438"/>
      <c r="B14" s="2438"/>
      <c r="C14" s="2438"/>
      <c r="D14" s="2438"/>
      <c r="E14" s="2438"/>
      <c r="F14" s="2438"/>
      <c r="G14" s="2438"/>
      <c r="H14" s="2438"/>
      <c r="I14" s="2438"/>
      <c r="J14" s="2438"/>
      <c r="K14" s="2438"/>
      <c r="L14" s="2439"/>
      <c r="M14" s="2435"/>
      <c r="N14" s="2435"/>
      <c r="O14" s="2435"/>
      <c r="P14" s="2435"/>
      <c r="Q14" s="2435"/>
      <c r="R14" s="2435"/>
      <c r="S14" s="2435"/>
      <c r="T14" s="2435"/>
      <c r="U14" s="2435"/>
      <c r="V14" s="2435"/>
      <c r="W14" s="2435"/>
      <c r="X14" s="2435"/>
      <c r="Y14" s="2435"/>
      <c r="Z14" s="2435"/>
      <c r="AA14" s="2435"/>
      <c r="AB14" s="2435"/>
      <c r="AC14" s="2435"/>
      <c r="AD14" s="2435"/>
      <c r="AE14" s="2435"/>
    </row>
    <row r="15" spans="1:31">
      <c r="A15" s="345"/>
      <c r="B15" s="2435"/>
      <c r="C15" s="2739"/>
      <c r="D15" s="2435"/>
      <c r="E15" s="2739"/>
      <c r="F15" s="2435"/>
      <c r="G15" s="2739"/>
      <c r="H15" s="2435"/>
      <c r="I15" s="2739"/>
      <c r="J15" s="2435"/>
      <c r="K15" s="2739"/>
      <c r="L15" s="2440"/>
      <c r="M15" s="2435"/>
      <c r="N15" s="2435"/>
      <c r="O15" s="2435"/>
      <c r="P15" s="2435"/>
      <c r="Q15" s="2435"/>
      <c r="R15" s="2435"/>
      <c r="S15" s="2435"/>
      <c r="T15" s="2435"/>
      <c r="U15" s="2435"/>
      <c r="V15" s="2435"/>
      <c r="W15" s="2435"/>
      <c r="X15" s="2435"/>
      <c r="Y15" s="2435"/>
      <c r="Z15" s="2435"/>
      <c r="AA15" s="2435"/>
      <c r="AB15" s="2435"/>
      <c r="AC15" s="2435"/>
      <c r="AD15" s="2435"/>
      <c r="AE15" s="2435"/>
    </row>
    <row r="16" spans="1:31">
      <c r="A16" s="2435"/>
      <c r="B16" s="2435"/>
      <c r="C16" s="2435"/>
      <c r="D16" s="2435"/>
      <c r="E16" s="2435"/>
      <c r="F16" s="2435"/>
      <c r="G16" s="2435"/>
      <c r="H16" s="2435"/>
      <c r="I16" s="2435"/>
      <c r="J16" s="2435"/>
      <c r="K16" s="2435"/>
      <c r="L16" s="2440"/>
      <c r="M16" s="2435"/>
      <c r="N16" s="2435"/>
      <c r="O16" s="2435"/>
      <c r="P16" s="2435"/>
      <c r="Q16" s="2435"/>
      <c r="R16" s="2435"/>
      <c r="S16" s="2435"/>
      <c r="T16" s="2435"/>
      <c r="U16" s="2435"/>
      <c r="V16" s="2435"/>
      <c r="W16" s="2435"/>
      <c r="X16" s="2435"/>
      <c r="Y16" s="2435"/>
      <c r="Z16" s="2435"/>
      <c r="AA16" s="2435"/>
      <c r="AB16" s="2435"/>
      <c r="AC16" s="2435"/>
      <c r="AD16" s="2435"/>
      <c r="AE16" s="2435"/>
    </row>
    <row r="17" spans="1:31">
      <c r="A17" s="346"/>
      <c r="B17" s="2435"/>
      <c r="C17" s="345"/>
      <c r="D17" s="2435"/>
      <c r="E17" s="2435"/>
      <c r="F17" s="2435"/>
      <c r="G17" s="2441"/>
      <c r="H17" s="2435"/>
      <c r="I17" s="347"/>
      <c r="J17" s="348"/>
      <c r="K17" s="349"/>
      <c r="L17" s="2435"/>
      <c r="M17" s="2435"/>
      <c r="N17" s="2435"/>
      <c r="O17" s="2435"/>
      <c r="P17" s="2435"/>
      <c r="Q17" s="2435"/>
      <c r="R17" s="2435"/>
      <c r="S17" s="2435"/>
      <c r="T17" s="2435"/>
      <c r="U17" s="2435"/>
      <c r="V17" s="2435"/>
      <c r="W17" s="2435"/>
      <c r="X17" s="2435"/>
      <c r="Y17" s="2435"/>
      <c r="Z17" s="2435"/>
      <c r="AA17" s="2435"/>
      <c r="AB17" s="2435"/>
      <c r="AC17" s="2435"/>
      <c r="AD17" s="2435"/>
      <c r="AE17" s="2435"/>
    </row>
    <row r="18" spans="1:31">
      <c r="A18" s="2433" t="s">
        <v>1884</v>
      </c>
      <c r="B18" s="2433"/>
      <c r="C18" s="2433"/>
      <c r="D18" s="2433"/>
      <c r="E18" s="2433"/>
      <c r="F18" s="2433"/>
      <c r="G18" s="2433"/>
      <c r="H18" s="2433"/>
      <c r="I18" s="2433"/>
      <c r="J18" s="2433"/>
      <c r="K18" s="2433"/>
      <c r="L18" s="2435"/>
      <c r="M18" s="2435"/>
      <c r="N18" s="2435"/>
      <c r="O18" s="2435"/>
      <c r="P18" s="2435"/>
      <c r="Q18" s="2435"/>
      <c r="R18" s="2435"/>
      <c r="S18" s="2435"/>
      <c r="T18" s="2435"/>
      <c r="U18" s="2435"/>
      <c r="V18" s="2435"/>
      <c r="W18" s="2435"/>
      <c r="X18" s="2435"/>
      <c r="Y18" s="2435"/>
      <c r="Z18" s="2435"/>
      <c r="AA18" s="2435"/>
      <c r="AB18" s="2435"/>
      <c r="AC18" s="2435"/>
      <c r="AD18" s="2435"/>
      <c r="AE18" s="2435"/>
    </row>
    <row r="19" spans="1:31">
      <c r="A19" s="346"/>
      <c r="B19" s="2435"/>
      <c r="C19" s="345"/>
      <c r="D19" s="2435"/>
      <c r="E19" s="2437"/>
      <c r="F19" s="2435"/>
      <c r="G19" s="2441"/>
      <c r="H19" s="2435"/>
      <c r="I19" s="348"/>
      <c r="J19" s="2435"/>
      <c r="K19" s="2435"/>
      <c r="L19" s="2435"/>
      <c r="M19" s="2435"/>
      <c r="N19" s="2435"/>
      <c r="O19" s="2435"/>
      <c r="P19" s="2435"/>
      <c r="Q19" s="2435"/>
      <c r="R19" s="2435"/>
      <c r="S19" s="2435"/>
      <c r="T19" s="2435"/>
      <c r="U19" s="2435"/>
      <c r="V19" s="2435"/>
      <c r="W19" s="2435"/>
      <c r="X19" s="2435"/>
      <c r="Y19" s="2435"/>
      <c r="Z19" s="2435"/>
      <c r="AA19" s="2435"/>
      <c r="AB19" s="2435"/>
      <c r="AC19" s="2435"/>
      <c r="AD19" s="2435"/>
      <c r="AE19" s="2435"/>
    </row>
    <row r="20" spans="1:31">
      <c r="A20" s="346"/>
      <c r="B20" s="2435"/>
      <c r="C20" s="345"/>
      <c r="D20" s="2435"/>
      <c r="E20" s="2437"/>
      <c r="F20" s="2435"/>
      <c r="G20" s="2441"/>
      <c r="H20" s="2435"/>
      <c r="I20" s="347"/>
      <c r="J20" s="348"/>
      <c r="K20" s="349"/>
      <c r="L20" s="2435"/>
      <c r="M20" s="2435"/>
      <c r="N20" s="2435"/>
      <c r="O20" s="2435"/>
      <c r="P20" s="2435"/>
      <c r="Q20" s="2435"/>
      <c r="R20" s="2435"/>
      <c r="S20" s="2435"/>
      <c r="T20" s="2435"/>
      <c r="U20" s="2435"/>
      <c r="V20" s="2435"/>
      <c r="W20" s="2435"/>
      <c r="X20" s="2435"/>
      <c r="Y20" s="2435"/>
      <c r="Z20" s="2435"/>
      <c r="AA20" s="2435"/>
      <c r="AB20" s="2435"/>
      <c r="AC20" s="2435"/>
      <c r="AD20" s="2435"/>
      <c r="AE20" s="2435"/>
    </row>
    <row r="21" spans="1:31">
      <c r="A21" s="346"/>
      <c r="B21" s="2435"/>
      <c r="C21" s="350"/>
      <c r="D21" s="2435"/>
      <c r="E21" s="2435"/>
      <c r="F21" s="2435"/>
      <c r="G21" s="2442"/>
      <c r="H21" s="2435"/>
      <c r="I21" s="348"/>
      <c r="J21" s="2435"/>
      <c r="K21" s="2435"/>
      <c r="L21" s="2435"/>
      <c r="M21" s="2435"/>
      <c r="N21" s="2435"/>
      <c r="O21" s="2435"/>
      <c r="P21" s="2435"/>
      <c r="Q21" s="2435"/>
      <c r="R21" s="2435"/>
      <c r="S21" s="2435"/>
      <c r="T21" s="2435"/>
      <c r="U21" s="2435"/>
      <c r="V21" s="2435"/>
      <c r="W21" s="2435"/>
      <c r="X21" s="2435"/>
      <c r="Y21" s="2435"/>
      <c r="Z21" s="2435"/>
      <c r="AA21" s="2435"/>
      <c r="AB21" s="2435"/>
      <c r="AC21" s="2435"/>
      <c r="AD21" s="2435"/>
      <c r="AE21" s="2435"/>
    </row>
    <row r="22" spans="1:31">
      <c r="A22" s="346"/>
      <c r="B22" s="2435"/>
      <c r="C22" s="2739"/>
      <c r="D22" s="2435"/>
      <c r="E22" s="2437"/>
      <c r="F22" s="2435"/>
      <c r="G22" s="2441"/>
      <c r="H22" s="2435"/>
      <c r="I22" s="347"/>
      <c r="J22" s="348"/>
      <c r="K22" s="349"/>
      <c r="L22" s="2435"/>
      <c r="M22" s="2435"/>
      <c r="N22" s="2435"/>
      <c r="O22" s="2435"/>
      <c r="P22" s="2435"/>
      <c r="Q22" s="2435"/>
      <c r="R22" s="2435"/>
      <c r="S22" s="2435"/>
      <c r="T22" s="2435"/>
      <c r="U22" s="2435"/>
      <c r="V22" s="2435"/>
      <c r="W22" s="2435"/>
      <c r="X22" s="2435"/>
      <c r="Y22" s="2435"/>
      <c r="Z22" s="2435"/>
      <c r="AA22" s="2435"/>
      <c r="AB22" s="2435"/>
      <c r="AC22" s="2435"/>
      <c r="AD22" s="2435"/>
      <c r="AE22" s="2435"/>
    </row>
    <row r="23" spans="1:31">
      <c r="A23" s="346"/>
      <c r="B23" s="2435"/>
      <c r="C23" s="2435"/>
      <c r="D23" s="2435"/>
      <c r="E23" s="2437"/>
      <c r="F23" s="2435"/>
      <c r="G23" s="2441"/>
      <c r="H23" s="2435"/>
      <c r="I23" s="347"/>
      <c r="J23" s="348"/>
      <c r="K23" s="349"/>
      <c r="L23" s="2435"/>
      <c r="M23" s="2435"/>
      <c r="N23" s="2435"/>
      <c r="O23" s="2435"/>
      <c r="P23" s="2435"/>
      <c r="Q23" s="2435"/>
      <c r="R23" s="2435"/>
      <c r="S23" s="2435"/>
      <c r="T23" s="2435"/>
      <c r="U23" s="2435"/>
      <c r="V23" s="2435"/>
      <c r="W23" s="2435"/>
      <c r="X23" s="2435"/>
      <c r="Y23" s="2435"/>
      <c r="Z23" s="2435"/>
      <c r="AA23" s="2435"/>
      <c r="AB23" s="2435"/>
      <c r="AC23" s="2435"/>
      <c r="AD23" s="2435"/>
      <c r="AE23" s="2435"/>
    </row>
    <row r="24" spans="1:31">
      <c r="A24" s="346"/>
      <c r="B24" s="2435"/>
      <c r="C24" s="2435"/>
      <c r="D24" s="2435"/>
      <c r="E24" s="2435"/>
      <c r="F24" s="2435"/>
      <c r="G24" s="2442"/>
      <c r="H24" s="2435"/>
      <c r="I24" s="348"/>
      <c r="J24" s="2435"/>
      <c r="K24" s="2435"/>
      <c r="L24" s="2435"/>
      <c r="M24" s="2435"/>
      <c r="N24" s="2435"/>
      <c r="O24" s="2435"/>
      <c r="P24" s="2435"/>
      <c r="Q24" s="2435"/>
      <c r="R24" s="2435"/>
      <c r="S24" s="2435"/>
      <c r="T24" s="2435"/>
      <c r="U24" s="2435"/>
      <c r="V24" s="2435"/>
      <c r="W24" s="2435"/>
      <c r="X24" s="2435"/>
      <c r="Y24" s="2435"/>
      <c r="Z24" s="2435"/>
      <c r="AA24" s="2435"/>
      <c r="AB24" s="2435"/>
      <c r="AC24" s="2435"/>
      <c r="AD24" s="2435"/>
      <c r="AE24" s="2435"/>
    </row>
    <row r="25" spans="1:31">
      <c r="A25" s="346"/>
      <c r="B25" s="2435"/>
      <c r="C25" s="2739"/>
      <c r="D25" s="2435"/>
      <c r="E25" s="2437"/>
      <c r="F25" s="2435"/>
      <c r="G25" s="2442"/>
      <c r="H25" s="2435"/>
      <c r="I25" s="348"/>
      <c r="J25" s="2435"/>
      <c r="K25" s="2435"/>
      <c r="L25" s="2435"/>
      <c r="M25" s="2435"/>
      <c r="N25" s="2435"/>
      <c r="O25" s="2435"/>
      <c r="P25" s="2435"/>
      <c r="Q25" s="2435"/>
      <c r="R25" s="2435"/>
      <c r="S25" s="2435"/>
      <c r="T25" s="2435"/>
      <c r="U25" s="2435"/>
      <c r="V25" s="2435"/>
      <c r="W25" s="2435"/>
      <c r="X25" s="2435"/>
      <c r="Y25" s="2435"/>
      <c r="Z25" s="2435"/>
      <c r="AA25" s="2435"/>
      <c r="AB25" s="2435"/>
      <c r="AC25" s="2435"/>
      <c r="AD25" s="2435"/>
      <c r="AE25" s="2435"/>
    </row>
    <row r="26" spans="1:31">
      <c r="A26" s="346"/>
      <c r="B26" s="2435"/>
      <c r="C26" s="2435"/>
      <c r="D26" s="2435"/>
      <c r="E26" s="2437"/>
      <c r="F26" s="2435"/>
      <c r="G26" s="2441"/>
      <c r="H26" s="2435"/>
      <c r="I26" s="347"/>
      <c r="J26" s="348"/>
      <c r="K26" s="349"/>
      <c r="L26" s="2435"/>
      <c r="M26" s="2435"/>
      <c r="N26" s="2435"/>
      <c r="O26" s="2435"/>
      <c r="P26" s="2435"/>
      <c r="Q26" s="2435"/>
      <c r="R26" s="2435"/>
      <c r="S26" s="2435"/>
      <c r="T26" s="2435"/>
      <c r="U26" s="2435"/>
      <c r="V26" s="2435"/>
      <c r="W26" s="2435"/>
      <c r="X26" s="2435"/>
      <c r="Y26" s="2435"/>
      <c r="Z26" s="2435"/>
      <c r="AA26" s="2435"/>
      <c r="AB26" s="2435"/>
      <c r="AC26" s="2435"/>
      <c r="AD26" s="2435"/>
      <c r="AE26" s="2435"/>
    </row>
    <row r="27" spans="1:31">
      <c r="A27" s="346"/>
      <c r="B27" s="2435"/>
      <c r="C27" s="2435"/>
      <c r="D27" s="2435"/>
      <c r="E27" s="2437"/>
      <c r="F27" s="2435"/>
      <c r="G27" s="2441"/>
      <c r="H27" s="2435"/>
      <c r="I27" s="347"/>
      <c r="J27" s="348"/>
      <c r="K27" s="349"/>
      <c r="L27" s="2435"/>
      <c r="M27" s="2435"/>
      <c r="N27" s="2435"/>
      <c r="O27" s="2435"/>
      <c r="P27" s="2435"/>
      <c r="Q27" s="2435"/>
      <c r="R27" s="2435"/>
      <c r="S27" s="2435"/>
      <c r="T27" s="2435"/>
      <c r="U27" s="2435"/>
      <c r="V27" s="2435"/>
      <c r="W27" s="2435"/>
      <c r="X27" s="2435"/>
      <c r="Y27" s="2435"/>
      <c r="Z27" s="2435"/>
      <c r="AA27" s="2435"/>
      <c r="AB27" s="2435"/>
      <c r="AC27" s="2435"/>
      <c r="AD27" s="2435"/>
      <c r="AE27" s="2435"/>
    </row>
    <row r="28" spans="1:31">
      <c r="A28" s="346"/>
      <c r="B28" s="2435"/>
      <c r="C28" s="2435"/>
      <c r="D28" s="2435"/>
      <c r="E28" s="2437"/>
      <c r="F28" s="2435"/>
      <c r="G28" s="2441"/>
      <c r="H28" s="2435"/>
      <c r="I28" s="347"/>
      <c r="J28" s="348"/>
      <c r="K28" s="349"/>
      <c r="L28" s="2435"/>
      <c r="M28" s="2435"/>
      <c r="N28" s="2435"/>
      <c r="O28" s="2435"/>
      <c r="P28" s="2435"/>
      <c r="Q28" s="2435"/>
      <c r="R28" s="2435"/>
      <c r="S28" s="2435"/>
      <c r="T28" s="2435"/>
      <c r="U28" s="2435"/>
      <c r="V28" s="2435"/>
      <c r="W28" s="2435"/>
      <c r="X28" s="2435"/>
      <c r="Y28" s="2435"/>
      <c r="Z28" s="2435"/>
      <c r="AA28" s="2435"/>
      <c r="AB28" s="2435"/>
      <c r="AC28" s="2435"/>
      <c r="AD28" s="2435"/>
      <c r="AE28" s="2435"/>
    </row>
    <row r="29" spans="1:31">
      <c r="A29" s="346"/>
      <c r="B29" s="2435"/>
      <c r="C29" s="2435"/>
      <c r="D29" s="2435"/>
      <c r="E29" s="2435"/>
      <c r="F29" s="2435"/>
      <c r="G29" s="2442"/>
      <c r="H29" s="2435"/>
      <c r="I29" s="348"/>
      <c r="J29" s="2435"/>
      <c r="K29" s="2435"/>
      <c r="L29" s="2435"/>
      <c r="M29" s="2435"/>
      <c r="N29" s="2435"/>
      <c r="O29" s="2435"/>
      <c r="P29" s="2435"/>
      <c r="Q29" s="2435"/>
      <c r="R29" s="2435"/>
      <c r="S29" s="2435"/>
      <c r="T29" s="2435"/>
      <c r="U29" s="2435"/>
      <c r="V29" s="2435"/>
      <c r="W29" s="2435"/>
      <c r="X29" s="2435"/>
      <c r="Y29" s="2435"/>
      <c r="Z29" s="2435"/>
      <c r="AA29" s="2435"/>
      <c r="AB29" s="2435"/>
      <c r="AC29" s="2435"/>
      <c r="AD29" s="2435"/>
      <c r="AE29" s="2435"/>
    </row>
    <row r="30" spans="1:31">
      <c r="A30" s="346"/>
      <c r="B30" s="2435"/>
      <c r="C30" s="2739"/>
      <c r="D30" s="2435"/>
      <c r="E30" s="2437"/>
      <c r="F30" s="2435"/>
      <c r="G30" s="2442"/>
      <c r="H30" s="2435"/>
      <c r="I30" s="348"/>
      <c r="J30" s="2435"/>
      <c r="K30" s="2435"/>
      <c r="L30" s="2435"/>
      <c r="M30" s="2435"/>
      <c r="N30" s="2435"/>
      <c r="O30" s="2435"/>
      <c r="P30" s="2435"/>
      <c r="Q30" s="2435"/>
      <c r="R30" s="2435"/>
      <c r="S30" s="2435"/>
      <c r="T30" s="2435"/>
      <c r="U30" s="2435"/>
      <c r="V30" s="2435"/>
      <c r="W30" s="2435"/>
      <c r="X30" s="2435"/>
      <c r="Y30" s="2435"/>
      <c r="Z30" s="2435"/>
      <c r="AA30" s="2435"/>
      <c r="AB30" s="2435"/>
      <c r="AC30" s="2435"/>
      <c r="AD30" s="2435"/>
      <c r="AE30" s="2435"/>
    </row>
    <row r="31" spans="1:31">
      <c r="A31" s="346"/>
      <c r="B31" s="2435"/>
      <c r="C31" s="2435"/>
      <c r="D31" s="2435"/>
      <c r="E31" s="2437"/>
      <c r="F31" s="2435"/>
      <c r="G31" s="351"/>
      <c r="H31" s="2435"/>
      <c r="I31" s="347"/>
      <c r="J31" s="348"/>
      <c r="K31" s="349"/>
      <c r="L31" s="2435"/>
      <c r="M31" s="2435"/>
      <c r="N31" s="2435"/>
      <c r="O31" s="2435"/>
      <c r="P31" s="2435"/>
      <c r="Q31" s="2435"/>
      <c r="R31" s="2435"/>
      <c r="S31" s="2435"/>
      <c r="T31" s="2435"/>
      <c r="U31" s="2435"/>
      <c r="V31" s="2435"/>
      <c r="W31" s="2435"/>
      <c r="X31" s="2435"/>
      <c r="Y31" s="2435"/>
      <c r="Z31" s="2435"/>
      <c r="AA31" s="2435"/>
      <c r="AB31" s="2435"/>
      <c r="AC31" s="2435"/>
      <c r="AD31" s="2435"/>
      <c r="AE31" s="2435"/>
    </row>
    <row r="32" spans="1:31">
      <c r="A32" s="346"/>
      <c r="B32" s="2435"/>
      <c r="C32" s="2435"/>
      <c r="D32" s="2435"/>
      <c r="E32" s="2437"/>
      <c r="F32" s="2435"/>
      <c r="G32" s="351"/>
      <c r="H32" s="2435"/>
      <c r="I32" s="347"/>
      <c r="J32" s="348"/>
      <c r="K32" s="349"/>
      <c r="L32" s="2435"/>
      <c r="M32" s="2435"/>
      <c r="N32" s="2435"/>
      <c r="O32" s="2435"/>
      <c r="P32" s="2435"/>
      <c r="Q32" s="2435"/>
      <c r="R32" s="2435"/>
      <c r="S32" s="2435"/>
      <c r="T32" s="2435"/>
      <c r="U32" s="2435"/>
      <c r="V32" s="2435"/>
      <c r="W32" s="2435"/>
      <c r="X32" s="2435"/>
      <c r="Y32" s="2435"/>
      <c r="Z32" s="2435"/>
      <c r="AA32" s="2435"/>
      <c r="AB32" s="2435"/>
      <c r="AC32" s="2435"/>
      <c r="AD32" s="2435"/>
      <c r="AE32" s="2435"/>
    </row>
    <row r="33" spans="1:31">
      <c r="A33" s="346"/>
      <c r="B33" s="2435"/>
      <c r="C33" s="2435"/>
      <c r="D33" s="2435"/>
      <c r="E33" s="2437"/>
      <c r="F33" s="2435"/>
      <c r="G33" s="351"/>
      <c r="H33" s="2435"/>
      <c r="I33" s="347"/>
      <c r="J33" s="348"/>
      <c r="K33" s="349"/>
      <c r="L33" s="2435"/>
      <c r="M33" s="2435"/>
      <c r="N33" s="2435"/>
      <c r="O33" s="2435"/>
      <c r="P33" s="2435"/>
      <c r="Q33" s="2435"/>
      <c r="R33" s="2435"/>
      <c r="S33" s="2435"/>
      <c r="T33" s="2435"/>
      <c r="U33" s="2435"/>
      <c r="V33" s="2435"/>
      <c r="W33" s="2435"/>
      <c r="X33" s="2435"/>
      <c r="Y33" s="2435"/>
      <c r="Z33" s="2435"/>
      <c r="AA33" s="2435"/>
      <c r="AB33" s="2435"/>
      <c r="AC33" s="2435"/>
      <c r="AD33" s="2435"/>
      <c r="AE33" s="2435"/>
    </row>
    <row r="34" spans="1:31">
      <c r="A34" s="346"/>
      <c r="B34" s="2435"/>
      <c r="C34" s="2435"/>
      <c r="D34" s="2435"/>
      <c r="E34" s="2437"/>
      <c r="F34" s="2435"/>
      <c r="G34" s="351"/>
      <c r="H34" s="2435"/>
      <c r="I34" s="352"/>
      <c r="J34" s="348"/>
      <c r="K34" s="349"/>
      <c r="L34" s="2435"/>
      <c r="M34" s="2435"/>
      <c r="N34" s="2435"/>
      <c r="O34" s="2435"/>
      <c r="P34" s="2435"/>
      <c r="Q34" s="2435"/>
      <c r="R34" s="2435"/>
      <c r="S34" s="2435"/>
      <c r="T34" s="2435"/>
      <c r="U34" s="2435"/>
      <c r="V34" s="2435"/>
      <c r="W34" s="2435"/>
      <c r="X34" s="2435"/>
      <c r="Y34" s="2435"/>
      <c r="Z34" s="2435"/>
      <c r="AA34" s="2435"/>
      <c r="AB34" s="2435"/>
      <c r="AC34" s="2435"/>
      <c r="AD34" s="2435"/>
      <c r="AE34" s="2435"/>
    </row>
    <row r="35" spans="1:31">
      <c r="A35" s="2437"/>
      <c r="B35" s="2435"/>
      <c r="C35" s="2435"/>
      <c r="D35" s="2435"/>
      <c r="E35" s="2442"/>
      <c r="F35" s="2435"/>
      <c r="G35" s="2435"/>
      <c r="H35" s="2435"/>
      <c r="I35" s="2435"/>
      <c r="J35" s="2435"/>
      <c r="K35" s="2435"/>
      <c r="L35" s="2435"/>
      <c r="M35" s="2435"/>
      <c r="N35" s="2435"/>
      <c r="O35" s="2435"/>
      <c r="P35" s="2435"/>
      <c r="Q35" s="2435"/>
      <c r="R35" s="2435"/>
      <c r="S35" s="2435"/>
      <c r="T35" s="2435"/>
      <c r="U35" s="2435"/>
      <c r="V35" s="2435"/>
      <c r="W35" s="2435"/>
      <c r="X35" s="2435"/>
      <c r="Y35" s="2435"/>
      <c r="Z35" s="2435"/>
      <c r="AA35" s="2435"/>
      <c r="AB35" s="2435"/>
      <c r="AC35" s="2435"/>
      <c r="AD35" s="2435"/>
      <c r="AE35" s="2435"/>
    </row>
    <row r="36" spans="1:31">
      <c r="A36" s="2435"/>
      <c r="B36" s="2435"/>
      <c r="C36" s="2435"/>
      <c r="D36" s="2435"/>
      <c r="E36" s="2442"/>
      <c r="F36" s="2435"/>
      <c r="G36" s="2435"/>
      <c r="H36" s="2435"/>
      <c r="I36" s="2435"/>
      <c r="J36" s="2435"/>
      <c r="K36" s="2435"/>
      <c r="L36" s="2435"/>
      <c r="M36" s="2435"/>
      <c r="N36" s="2435"/>
      <c r="O36" s="2435"/>
      <c r="P36" s="2435"/>
      <c r="Q36" s="2435"/>
      <c r="R36" s="2435"/>
      <c r="S36" s="2435"/>
      <c r="T36" s="2435"/>
      <c r="U36" s="2435"/>
      <c r="V36" s="2435"/>
      <c r="W36" s="2435"/>
      <c r="X36" s="2435"/>
      <c r="Y36" s="2435"/>
      <c r="Z36" s="2435"/>
      <c r="AA36" s="2435"/>
      <c r="AB36" s="2435"/>
      <c r="AC36" s="2435"/>
      <c r="AD36" s="2435"/>
      <c r="AE36" s="2435"/>
    </row>
    <row r="37" spans="1:31">
      <c r="A37" s="2435"/>
      <c r="B37" s="2435"/>
      <c r="C37" s="2435"/>
      <c r="D37" s="2435"/>
      <c r="E37" s="2442"/>
      <c r="F37" s="2435"/>
      <c r="G37" s="2435"/>
      <c r="H37" s="2435"/>
      <c r="I37" s="2435"/>
      <c r="J37" s="2435"/>
      <c r="K37" s="2435"/>
      <c r="L37" s="2435"/>
      <c r="M37" s="2435"/>
      <c r="N37" s="2435"/>
      <c r="O37" s="2435"/>
      <c r="P37" s="2435"/>
      <c r="Q37" s="2435"/>
      <c r="R37" s="2435"/>
      <c r="S37" s="2435"/>
      <c r="T37" s="2435"/>
      <c r="U37" s="2435"/>
      <c r="V37" s="2435"/>
      <c r="W37" s="2435"/>
      <c r="X37" s="2435"/>
      <c r="Y37" s="2435"/>
      <c r="Z37" s="2435"/>
      <c r="AA37" s="2435"/>
      <c r="AB37" s="2435"/>
      <c r="AC37" s="2435"/>
      <c r="AD37" s="2435"/>
      <c r="AE37" s="2435"/>
    </row>
    <row r="38" spans="1:31">
      <c r="A38" s="2435"/>
      <c r="B38" s="2435"/>
      <c r="C38" s="2435"/>
      <c r="D38" s="2435"/>
      <c r="E38" s="2442"/>
      <c r="F38" s="2435"/>
      <c r="G38" s="2435"/>
      <c r="H38" s="2435"/>
      <c r="I38" s="2435"/>
      <c r="J38" s="2435"/>
      <c r="K38" s="2435"/>
      <c r="L38" s="2435"/>
      <c r="M38" s="2435"/>
      <c r="N38" s="2435"/>
      <c r="O38" s="2435"/>
      <c r="P38" s="2435"/>
      <c r="Q38" s="2435"/>
      <c r="R38" s="2435"/>
      <c r="S38" s="2435"/>
      <c r="T38" s="2435"/>
      <c r="U38" s="2435"/>
      <c r="V38" s="2435"/>
      <c r="W38" s="2435"/>
      <c r="X38" s="2435"/>
      <c r="Y38" s="2435"/>
      <c r="Z38" s="2435"/>
      <c r="AA38" s="2435"/>
      <c r="AB38" s="2435"/>
      <c r="AC38" s="2435"/>
      <c r="AD38" s="2435"/>
      <c r="AE38" s="2435"/>
    </row>
    <row r="39" spans="1:31">
      <c r="A39" s="2435"/>
      <c r="B39" s="2435"/>
      <c r="C39" s="2435"/>
      <c r="D39" s="2435"/>
      <c r="E39" s="2442"/>
      <c r="F39" s="2435"/>
      <c r="G39" s="2435"/>
      <c r="H39" s="2435"/>
      <c r="I39" s="2435"/>
      <c r="J39" s="2435"/>
      <c r="K39" s="2435"/>
      <c r="L39" s="2435"/>
      <c r="M39" s="2435"/>
      <c r="N39" s="2435"/>
      <c r="O39" s="2435"/>
      <c r="P39" s="2435"/>
      <c r="Q39" s="2435"/>
      <c r="R39" s="2435"/>
      <c r="S39" s="2435"/>
      <c r="T39" s="2435"/>
      <c r="U39" s="2435"/>
      <c r="V39" s="2435"/>
      <c r="W39" s="2435"/>
      <c r="X39" s="2435"/>
      <c r="Y39" s="2435"/>
      <c r="Z39" s="2435"/>
      <c r="AA39" s="2435"/>
      <c r="AB39" s="2435"/>
      <c r="AC39" s="2435"/>
      <c r="AD39" s="2435"/>
      <c r="AE39" s="2435"/>
    </row>
    <row r="40" spans="1:31">
      <c r="A40" s="2435"/>
      <c r="B40" s="2435"/>
      <c r="C40" s="2435"/>
      <c r="D40" s="2435"/>
      <c r="E40" s="2442"/>
      <c r="F40" s="2435"/>
      <c r="G40" s="2435"/>
      <c r="H40" s="2435"/>
      <c r="I40" s="2435"/>
      <c r="J40" s="2435"/>
      <c r="K40" s="2435"/>
      <c r="L40" s="2433" t="str">
        <f>LOGO!B5</f>
        <v>DUKE ENERGY KENTUCKY, INC.</v>
      </c>
      <c r="M40" s="2434"/>
      <c r="N40" s="2434"/>
      <c r="O40" s="2434"/>
      <c r="P40" s="2434"/>
      <c r="Q40" s="2434"/>
      <c r="R40" s="2434"/>
      <c r="S40" s="2434"/>
      <c r="T40" s="2434"/>
      <c r="U40" s="2434"/>
      <c r="V40" s="2435"/>
      <c r="W40" s="2435"/>
      <c r="X40" s="2435"/>
      <c r="Y40" s="2435"/>
      <c r="Z40" s="2435"/>
      <c r="AA40" s="2435"/>
      <c r="AB40" s="2435"/>
      <c r="AC40" s="2435"/>
      <c r="AD40" s="2435"/>
      <c r="AE40" s="2435"/>
    </row>
    <row r="41" spans="1:31">
      <c r="A41" s="2435"/>
      <c r="B41" s="2435"/>
      <c r="C41" s="2435"/>
      <c r="D41" s="2435"/>
      <c r="E41" s="2442"/>
      <c r="F41" s="2435"/>
      <c r="G41" s="2435"/>
      <c r="H41" s="2435"/>
      <c r="I41" s="2435"/>
      <c r="J41" s="2435"/>
      <c r="K41" s="2435"/>
      <c r="L41" s="2433" t="str">
        <f>LOGO!B6</f>
        <v>CASE NO. 2017-00321</v>
      </c>
      <c r="M41" s="2434"/>
      <c r="N41" s="2434"/>
      <c r="O41" s="2434"/>
      <c r="P41" s="2434"/>
      <c r="Q41" s="2434"/>
      <c r="R41" s="2434"/>
      <c r="S41" s="2434"/>
      <c r="T41" s="2434"/>
      <c r="U41" s="2434"/>
      <c r="V41" s="2435"/>
      <c r="W41" s="2435"/>
      <c r="X41" s="2435"/>
      <c r="Y41" s="2435"/>
      <c r="Z41" s="2435"/>
      <c r="AA41" s="2435"/>
      <c r="AB41" s="2435"/>
      <c r="AC41" s="2435"/>
      <c r="AD41" s="2435"/>
      <c r="AE41" s="2435"/>
    </row>
    <row r="42" spans="1:31">
      <c r="A42" s="2435"/>
      <c r="B42" s="2435"/>
      <c r="C42" s="2435"/>
      <c r="D42" s="2435"/>
      <c r="E42" s="2442"/>
      <c r="F42" s="2435"/>
      <c r="G42" s="2435"/>
      <c r="H42" s="2435"/>
      <c r="I42" s="2435"/>
      <c r="J42" s="2435"/>
      <c r="K42" s="2435"/>
      <c r="L42" s="2433" t="s">
        <v>1885</v>
      </c>
      <c r="M42" s="2434"/>
      <c r="N42" s="2434"/>
      <c r="O42" s="2434"/>
      <c r="P42" s="2434"/>
      <c r="Q42" s="2434"/>
      <c r="R42" s="2434"/>
      <c r="S42" s="2434"/>
      <c r="T42" s="2434"/>
      <c r="U42" s="2434"/>
      <c r="V42" s="2435"/>
      <c r="W42" s="2435"/>
      <c r="X42" s="2435"/>
      <c r="Y42" s="2435"/>
      <c r="Z42" s="2435"/>
      <c r="AA42" s="2435"/>
      <c r="AB42" s="2435"/>
      <c r="AC42" s="2435"/>
      <c r="AD42" s="2435"/>
      <c r="AE42" s="2435"/>
    </row>
    <row r="43" spans="1:31">
      <c r="A43" s="2435"/>
      <c r="B43" s="2435"/>
      <c r="C43" s="2435"/>
      <c r="D43" s="2435"/>
      <c r="E43" s="2442"/>
      <c r="F43" s="2435"/>
      <c r="G43" s="2435"/>
      <c r="H43" s="2435"/>
      <c r="I43" s="2435"/>
      <c r="J43" s="2435"/>
      <c r="K43" s="2435"/>
      <c r="L43" s="2434" t="str">
        <f>LOGO!B8</f>
        <v>FOR THE TWELVE MONTHS ENDED MARCH 31, 2019</v>
      </c>
      <c r="M43" s="2434"/>
      <c r="N43" s="2434"/>
      <c r="O43" s="2434"/>
      <c r="P43" s="2434"/>
      <c r="Q43" s="2434"/>
      <c r="R43" s="2434"/>
      <c r="S43" s="2434"/>
      <c r="T43" s="2434"/>
      <c r="U43" s="2434"/>
      <c r="V43" s="2435"/>
      <c r="W43" s="2435"/>
      <c r="X43" s="2435"/>
      <c r="Y43" s="2435"/>
      <c r="Z43" s="2435"/>
      <c r="AA43" s="2435"/>
      <c r="AB43" s="2435"/>
      <c r="AC43" s="2435"/>
      <c r="AD43" s="2435"/>
      <c r="AE43" s="2435"/>
    </row>
    <row r="44" spans="1:31">
      <c r="A44" s="2435"/>
      <c r="B44" s="2435"/>
      <c r="C44" s="2435"/>
      <c r="D44" s="2435"/>
      <c r="E44" s="2442"/>
      <c r="F44" s="2435"/>
      <c r="G44" s="2435"/>
      <c r="H44" s="2435"/>
      <c r="I44" s="2435"/>
      <c r="J44" s="2435"/>
      <c r="K44" s="2435"/>
      <c r="L44" s="2435"/>
      <c r="M44" s="2435"/>
      <c r="N44" s="2435"/>
      <c r="O44" s="2435"/>
      <c r="P44" s="2435"/>
      <c r="Q44" s="2435"/>
      <c r="R44" s="2435"/>
      <c r="S44" s="2435"/>
      <c r="T44" s="2435"/>
      <c r="U44" s="2435"/>
      <c r="V44" s="2435"/>
      <c r="W44" s="2435"/>
      <c r="X44" s="2435"/>
      <c r="Y44" s="2435"/>
      <c r="Z44" s="2435"/>
      <c r="AA44" s="2435"/>
      <c r="AB44" s="2435"/>
      <c r="AC44" s="2435"/>
      <c r="AD44" s="2435"/>
      <c r="AE44" s="2435"/>
    </row>
    <row r="45" spans="1:31">
      <c r="A45" s="2435"/>
      <c r="B45" s="2435"/>
      <c r="C45" s="2435"/>
      <c r="D45" s="2435"/>
      <c r="E45" s="2442"/>
      <c r="F45" s="2435"/>
      <c r="G45" s="2435"/>
      <c r="H45" s="2435"/>
      <c r="I45" s="2435"/>
      <c r="J45" s="2435"/>
      <c r="K45" s="2435"/>
      <c r="L45" s="2436" t="str">
        <f>LOGO!B12</f>
        <v>DATA: "X" BASE PERIOD   FORECASTED PERIOD</v>
      </c>
      <c r="M45" s="2435"/>
      <c r="N45" s="2435"/>
      <c r="O45" s="2435"/>
      <c r="P45" s="2435"/>
      <c r="Q45" s="2435"/>
      <c r="R45" s="2435"/>
      <c r="S45" s="2435"/>
      <c r="T45" s="2437" t="s">
        <v>1886</v>
      </c>
      <c r="U45" s="2435"/>
      <c r="V45" s="2435"/>
      <c r="W45" s="2435"/>
      <c r="X45" s="2435"/>
      <c r="Y45" s="2435"/>
      <c r="Z45" s="2435"/>
      <c r="AA45" s="2435"/>
      <c r="AB45" s="2435"/>
      <c r="AC45" s="2435"/>
      <c r="AD45" s="2435"/>
      <c r="AE45" s="2435"/>
    </row>
    <row r="46" spans="1:31">
      <c r="A46" s="2435"/>
      <c r="B46" s="2435"/>
      <c r="C46" s="2435"/>
      <c r="D46" s="2435"/>
      <c r="E46" s="2442"/>
      <c r="F46" s="2435"/>
      <c r="G46" s="2435"/>
      <c r="H46" s="2435"/>
      <c r="I46" s="2435"/>
      <c r="J46" s="2435"/>
      <c r="K46" s="2435"/>
      <c r="L46" s="2436" t="str">
        <f>LOGO!B15</f>
        <v xml:space="preserve">TYPE OF FILING:  "X" ORIGINAL   UPDATED    REVISED  </v>
      </c>
      <c r="M46" s="2435"/>
      <c r="N46" s="2435"/>
      <c r="O46" s="2435"/>
      <c r="P46" s="2435"/>
      <c r="Q46" s="2435"/>
      <c r="R46" s="2435"/>
      <c r="S46" s="2435"/>
      <c r="T46" s="2437" t="s">
        <v>620</v>
      </c>
      <c r="U46" s="2435"/>
      <c r="V46" s="2435"/>
      <c r="W46" s="2435"/>
      <c r="X46" s="2435"/>
      <c r="Y46" s="2435"/>
      <c r="Z46" s="2435"/>
      <c r="AA46" s="2435"/>
      <c r="AB46" s="2435"/>
      <c r="AC46" s="2435"/>
      <c r="AD46" s="2435"/>
      <c r="AE46" s="2435"/>
    </row>
    <row r="47" spans="1:31">
      <c r="A47" s="2435"/>
      <c r="B47" s="2435"/>
      <c r="C47" s="2435"/>
      <c r="D47" s="2435"/>
      <c r="E47" s="2435"/>
      <c r="F47" s="2435"/>
      <c r="G47" s="2435"/>
      <c r="H47" s="2435"/>
      <c r="I47" s="2435"/>
      <c r="J47" s="2435"/>
      <c r="K47" s="2435"/>
      <c r="L47" s="2437" t="s">
        <v>1879</v>
      </c>
      <c r="M47" s="2435"/>
      <c r="N47" s="2435"/>
      <c r="O47" s="2435"/>
      <c r="P47" s="2435"/>
      <c r="Q47" s="2435"/>
      <c r="R47" s="2435"/>
      <c r="S47" s="2435"/>
      <c r="T47" s="2437" t="s">
        <v>622</v>
      </c>
      <c r="U47" s="2435"/>
      <c r="V47" s="2435"/>
      <c r="W47" s="2435"/>
      <c r="X47" s="2435"/>
      <c r="Y47" s="2435"/>
      <c r="Z47" s="2435"/>
      <c r="AA47" s="2435"/>
      <c r="AB47" s="2435"/>
      <c r="AC47" s="2435"/>
      <c r="AD47" s="2435"/>
      <c r="AE47" s="2435"/>
    </row>
    <row r="48" spans="1:31">
      <c r="A48" s="2435"/>
      <c r="B48" s="2435"/>
      <c r="C48" s="2435"/>
      <c r="D48" s="2435"/>
      <c r="E48" s="2435"/>
      <c r="F48" s="2435"/>
      <c r="G48" s="2435"/>
      <c r="H48" s="2435"/>
      <c r="I48" s="2435"/>
      <c r="J48" s="2435"/>
      <c r="K48" s="2435"/>
      <c r="L48" s="2435"/>
      <c r="M48" s="2435"/>
      <c r="N48" s="2435"/>
      <c r="O48" s="2435"/>
      <c r="P48" s="2435"/>
      <c r="Q48" s="2435"/>
      <c r="R48" s="2435"/>
      <c r="S48" s="2435"/>
      <c r="T48" s="2437" t="str">
        <f>_WIT2</f>
        <v>J. E. ZIOLKOWSKI</v>
      </c>
      <c r="U48" s="1571"/>
      <c r="V48" s="2435"/>
      <c r="W48" s="2435"/>
      <c r="X48" s="2435"/>
      <c r="Y48" s="2435"/>
      <c r="Z48" s="2435"/>
      <c r="AA48" s="2435"/>
      <c r="AB48" s="2435"/>
      <c r="AC48" s="2435"/>
      <c r="AD48" s="2435"/>
      <c r="AE48" s="2435"/>
    </row>
    <row r="49" spans="1:31">
      <c r="A49" s="2435"/>
      <c r="B49" s="2435"/>
      <c r="C49" s="2435"/>
      <c r="D49" s="2435"/>
      <c r="E49" s="2435"/>
      <c r="F49" s="2435"/>
      <c r="G49" s="2435"/>
      <c r="H49" s="2435"/>
      <c r="I49" s="2435"/>
      <c r="J49" s="2435"/>
      <c r="K49" s="2435"/>
      <c r="L49" s="2438"/>
      <c r="M49" s="2438"/>
      <c r="N49" s="2438"/>
      <c r="O49" s="2438"/>
      <c r="P49" s="2438"/>
      <c r="Q49" s="2438"/>
      <c r="R49" s="2438"/>
      <c r="S49" s="2438"/>
      <c r="T49" s="2438"/>
      <c r="U49" s="2438"/>
      <c r="V49" s="2437"/>
      <c r="W49" s="2435"/>
      <c r="X49" s="2435"/>
      <c r="Y49" s="2435"/>
      <c r="Z49" s="2435"/>
      <c r="AA49" s="2435"/>
      <c r="AB49" s="2435"/>
      <c r="AC49" s="2435"/>
      <c r="AD49" s="2435"/>
      <c r="AE49" s="2435"/>
    </row>
    <row r="50" spans="1:31">
      <c r="A50" s="2435"/>
      <c r="B50" s="2435"/>
      <c r="C50" s="2435"/>
      <c r="D50" s="2435"/>
      <c r="E50" s="2435"/>
      <c r="F50" s="2435"/>
      <c r="G50" s="2435"/>
      <c r="H50" s="2435"/>
      <c r="I50" s="2435"/>
      <c r="J50" s="2435"/>
      <c r="K50" s="2435"/>
      <c r="L50" s="2435"/>
      <c r="M50" s="2435"/>
      <c r="N50" s="2435"/>
      <c r="O50" s="2435"/>
      <c r="P50" s="2443" t="s">
        <v>542</v>
      </c>
      <c r="Q50" s="2739" t="s">
        <v>541</v>
      </c>
      <c r="R50" s="2435"/>
      <c r="S50" s="2435"/>
      <c r="T50" s="2435"/>
      <c r="U50" s="2435"/>
      <c r="V50" s="2435"/>
      <c r="W50" s="2435"/>
      <c r="X50" s="2435"/>
      <c r="Y50" s="2435"/>
      <c r="Z50" s="2435"/>
      <c r="AA50" s="2435"/>
      <c r="AB50" s="2435"/>
      <c r="AC50" s="2435"/>
      <c r="AD50" s="2435"/>
      <c r="AE50" s="2435"/>
    </row>
    <row r="51" spans="1:31">
      <c r="A51" s="2435"/>
      <c r="B51" s="2435"/>
      <c r="C51" s="2435"/>
      <c r="D51" s="2435"/>
      <c r="E51" s="2435"/>
      <c r="F51" s="2435"/>
      <c r="G51" s="2435"/>
      <c r="H51" s="2435"/>
      <c r="I51" s="2435"/>
      <c r="J51" s="2435"/>
      <c r="K51" s="2435"/>
      <c r="L51" s="2435"/>
      <c r="M51" s="2435"/>
      <c r="N51" s="2435"/>
      <c r="O51" s="2739" t="s">
        <v>1887</v>
      </c>
      <c r="P51" s="2443" t="s">
        <v>1888</v>
      </c>
      <c r="Q51" s="2739" t="s">
        <v>1887</v>
      </c>
      <c r="R51" s="2435"/>
      <c r="S51" s="2739"/>
      <c r="T51" s="2435"/>
      <c r="U51" s="2443"/>
      <c r="V51" s="2435"/>
      <c r="W51" s="2435"/>
      <c r="X51" s="2435"/>
      <c r="Y51" s="2435"/>
      <c r="Z51" s="2435"/>
      <c r="AA51" s="2435"/>
      <c r="AB51" s="2435"/>
      <c r="AC51" s="2435"/>
      <c r="AD51" s="2435"/>
      <c r="AE51" s="2435"/>
    </row>
    <row r="52" spans="1:31">
      <c r="A52" s="2435"/>
      <c r="B52" s="2435"/>
      <c r="C52" s="2435"/>
      <c r="D52" s="2435"/>
      <c r="E52" s="2435"/>
      <c r="F52" s="2435"/>
      <c r="G52" s="2435"/>
      <c r="H52" s="2435"/>
      <c r="I52" s="2435"/>
      <c r="J52" s="2435"/>
      <c r="K52" s="2435"/>
      <c r="L52" s="2739" t="s">
        <v>1961</v>
      </c>
      <c r="M52" s="2435"/>
      <c r="N52" s="2443" t="s">
        <v>1889</v>
      </c>
      <c r="O52" s="2739" t="s">
        <v>1035</v>
      </c>
      <c r="P52" s="2443" t="s">
        <v>1704</v>
      </c>
      <c r="Q52" s="2739" t="s">
        <v>1890</v>
      </c>
      <c r="R52" s="2739" t="s">
        <v>1535</v>
      </c>
      <c r="S52" s="2739"/>
      <c r="T52" s="2800" t="s">
        <v>1536</v>
      </c>
      <c r="U52" s="2800"/>
      <c r="V52" s="2435"/>
      <c r="W52" s="2435"/>
      <c r="X52" s="2435"/>
      <c r="Y52" s="2435"/>
      <c r="Z52" s="2435"/>
      <c r="AA52" s="2435"/>
      <c r="AB52" s="2435"/>
      <c r="AC52" s="2435"/>
      <c r="AD52" s="2435"/>
      <c r="AE52" s="2435"/>
    </row>
    <row r="53" spans="1:31">
      <c r="A53" s="2435"/>
      <c r="B53" s="2435"/>
      <c r="C53" s="2435"/>
      <c r="D53" s="2435"/>
      <c r="E53" s="2435"/>
      <c r="F53" s="2435"/>
      <c r="G53" s="2435"/>
      <c r="H53" s="2435"/>
      <c r="I53" s="2435"/>
      <c r="J53" s="2435"/>
      <c r="K53" s="2435"/>
      <c r="L53" s="2739" t="s">
        <v>1854</v>
      </c>
      <c r="M53" s="2435"/>
      <c r="N53" s="2443" t="s">
        <v>1537</v>
      </c>
      <c r="O53" s="2739" t="s">
        <v>1704</v>
      </c>
      <c r="P53" s="2443" t="s">
        <v>1887</v>
      </c>
      <c r="Q53" s="2739" t="s">
        <v>1704</v>
      </c>
      <c r="R53" s="2739" t="s">
        <v>209</v>
      </c>
      <c r="S53" s="2739"/>
      <c r="T53" s="2801" t="s">
        <v>363</v>
      </c>
      <c r="U53" s="2801"/>
      <c r="V53" s="2435"/>
      <c r="W53" s="2435"/>
      <c r="X53" s="2435"/>
      <c r="Y53" s="2435"/>
      <c r="Z53" s="2435"/>
      <c r="AA53" s="2435"/>
      <c r="AB53" s="2435"/>
      <c r="AC53" s="2435"/>
      <c r="AD53" s="2435"/>
      <c r="AE53" s="2435"/>
    </row>
    <row r="54" spans="1:31">
      <c r="A54" s="2435"/>
      <c r="B54" s="2435"/>
      <c r="C54" s="2435"/>
      <c r="D54" s="2435"/>
      <c r="E54" s="2435"/>
      <c r="F54" s="2435"/>
      <c r="G54" s="2435"/>
      <c r="H54" s="2435"/>
      <c r="I54" s="2435"/>
      <c r="J54" s="2435"/>
      <c r="K54" s="2435"/>
      <c r="L54" s="2444" t="s">
        <v>296</v>
      </c>
      <c r="M54" s="2438"/>
      <c r="N54" s="2444" t="s">
        <v>210</v>
      </c>
      <c r="O54" s="2444" t="s">
        <v>303</v>
      </c>
      <c r="P54" s="2444" t="s">
        <v>944</v>
      </c>
      <c r="Q54" s="2444" t="s">
        <v>211</v>
      </c>
      <c r="R54" s="2444" t="s">
        <v>298</v>
      </c>
      <c r="S54" s="2438"/>
      <c r="T54" s="2802" t="s">
        <v>64</v>
      </c>
      <c r="U54" s="2802"/>
      <c r="V54" s="2437"/>
      <c r="W54" s="2435"/>
      <c r="X54" s="2435"/>
      <c r="Y54" s="2435"/>
      <c r="Z54" s="2435"/>
      <c r="AA54" s="2435"/>
      <c r="AB54" s="2435"/>
      <c r="AC54" s="2435"/>
      <c r="AD54" s="2435"/>
      <c r="AE54" s="2435"/>
    </row>
    <row r="55" spans="1:31">
      <c r="A55" s="2435"/>
      <c r="B55" s="2435"/>
      <c r="C55" s="2435"/>
      <c r="D55" s="2435"/>
      <c r="E55" s="2435"/>
      <c r="F55" s="2435"/>
      <c r="G55" s="2435"/>
      <c r="H55" s="2435"/>
      <c r="I55" s="2435"/>
      <c r="J55" s="2435"/>
      <c r="K55" s="2435"/>
      <c r="L55" s="2435"/>
      <c r="M55" s="2435"/>
      <c r="N55" s="2435"/>
      <c r="O55" s="2445"/>
      <c r="P55" s="2435"/>
      <c r="Q55" s="2435"/>
      <c r="R55" s="2435"/>
      <c r="S55" s="2435"/>
      <c r="T55" s="2435"/>
      <c r="U55" s="350"/>
      <c r="V55" s="2435"/>
      <c r="W55" s="2435"/>
      <c r="X55" s="2435"/>
      <c r="Y55" s="2435"/>
      <c r="Z55" s="2435"/>
      <c r="AA55" s="2435"/>
      <c r="AB55" s="2435"/>
      <c r="AC55" s="2435"/>
      <c r="AD55" s="2435"/>
      <c r="AE55" s="2435"/>
    </row>
    <row r="56" spans="1:31">
      <c r="A56" s="2435"/>
      <c r="B56" s="2435"/>
      <c r="C56" s="2435"/>
      <c r="D56" s="2435"/>
      <c r="E56" s="2435"/>
      <c r="F56" s="2435"/>
      <c r="G56" s="2435"/>
      <c r="H56" s="2435"/>
      <c r="I56" s="2435"/>
      <c r="J56" s="2435"/>
      <c r="K56" s="2435"/>
      <c r="L56" s="2436"/>
      <c r="M56" s="2435"/>
      <c r="N56" s="2437"/>
      <c r="O56" s="2446"/>
      <c r="P56" s="2447"/>
      <c r="Q56" s="2447"/>
      <c r="R56" s="2446"/>
      <c r="S56" s="2447"/>
      <c r="T56" s="2448"/>
      <c r="U56" s="345"/>
      <c r="V56" s="2435"/>
      <c r="W56" s="2435"/>
      <c r="X56" s="2435"/>
      <c r="Y56" s="2435"/>
      <c r="Z56" s="2435"/>
      <c r="AA56" s="2435"/>
      <c r="AB56" s="2435"/>
      <c r="AC56" s="2435"/>
      <c r="AD56" s="2435"/>
      <c r="AE56" s="2435"/>
    </row>
    <row r="57" spans="1:31">
      <c r="A57" s="2435"/>
      <c r="B57" s="2435"/>
      <c r="C57" s="2435"/>
      <c r="D57" s="2435"/>
      <c r="E57" s="2435"/>
      <c r="F57" s="2435"/>
      <c r="G57" s="2435"/>
      <c r="H57" s="2435"/>
      <c r="I57" s="2435"/>
      <c r="J57" s="2435"/>
      <c r="K57" s="2435"/>
      <c r="L57" s="2436"/>
      <c r="M57" s="2435"/>
      <c r="N57" s="2437"/>
      <c r="O57" s="2435"/>
      <c r="P57" s="2449"/>
      <c r="Q57" s="2449"/>
      <c r="R57" s="2450"/>
      <c r="S57" s="2449"/>
      <c r="T57" s="2448"/>
      <c r="U57" s="345"/>
      <c r="V57" s="2435"/>
      <c r="W57" s="2435"/>
      <c r="X57" s="2435"/>
      <c r="Y57" s="2435"/>
      <c r="Z57" s="2435"/>
      <c r="AA57" s="2435"/>
      <c r="AB57" s="2435"/>
      <c r="AC57" s="2435"/>
      <c r="AD57" s="2435"/>
      <c r="AE57" s="2435"/>
    </row>
    <row r="58" spans="1:31">
      <c r="A58" s="2435"/>
      <c r="B58" s="2435"/>
      <c r="C58" s="2435"/>
      <c r="D58" s="2435"/>
      <c r="E58" s="2435"/>
      <c r="F58" s="2435"/>
      <c r="G58" s="2435"/>
      <c r="H58" s="2435"/>
      <c r="I58" s="2435"/>
      <c r="J58" s="2435"/>
      <c r="K58" s="2435"/>
      <c r="L58" s="2800" t="s">
        <v>1884</v>
      </c>
      <c r="M58" s="2800"/>
      <c r="N58" s="2800"/>
      <c r="O58" s="2800"/>
      <c r="P58" s="2800"/>
      <c r="Q58" s="2800"/>
      <c r="R58" s="2800"/>
      <c r="S58" s="2800"/>
      <c r="T58" s="2800"/>
      <c r="U58" s="2800"/>
      <c r="V58" s="2435"/>
      <c r="W58" s="2435"/>
      <c r="X58" s="2435"/>
      <c r="Y58" s="2435"/>
      <c r="Z58" s="2435"/>
      <c r="AA58" s="2435"/>
      <c r="AB58" s="2435"/>
      <c r="AC58" s="2435"/>
      <c r="AD58" s="2435"/>
      <c r="AE58" s="2435"/>
    </row>
    <row r="59" spans="1:31">
      <c r="A59" s="2435"/>
      <c r="B59" s="2435"/>
      <c r="C59" s="2435"/>
      <c r="D59" s="2435"/>
      <c r="E59" s="2435"/>
      <c r="F59" s="2435"/>
      <c r="G59" s="2435"/>
      <c r="H59" s="2435"/>
      <c r="I59" s="2435"/>
      <c r="J59" s="2435"/>
      <c r="K59" s="2435"/>
      <c r="L59" s="2436"/>
      <c r="M59" s="2435"/>
      <c r="N59" s="2437"/>
      <c r="O59" s="2450"/>
      <c r="P59" s="2435"/>
      <c r="Q59" s="2435"/>
      <c r="R59" s="2450"/>
      <c r="S59" s="2435"/>
      <c r="T59" s="2448"/>
      <c r="U59" s="345"/>
      <c r="V59" s="2435"/>
      <c r="W59" s="2435"/>
      <c r="X59" s="2435"/>
      <c r="Y59" s="2435"/>
      <c r="Z59" s="2435"/>
      <c r="AA59" s="2435"/>
      <c r="AB59" s="2435"/>
      <c r="AC59" s="2435"/>
      <c r="AD59" s="2435"/>
      <c r="AE59" s="2435"/>
    </row>
    <row r="60" spans="1:31">
      <c r="A60" s="2435"/>
      <c r="B60" s="2435"/>
      <c r="C60" s="2435"/>
      <c r="D60" s="2435"/>
      <c r="E60" s="2435"/>
      <c r="F60" s="2435"/>
      <c r="G60" s="2435"/>
      <c r="H60" s="2435"/>
      <c r="I60" s="2435"/>
      <c r="J60" s="2435"/>
      <c r="K60" s="2435"/>
      <c r="L60" s="2436"/>
      <c r="M60" s="2435"/>
      <c r="N60" s="2437"/>
      <c r="O60" s="2451"/>
      <c r="P60" s="2447"/>
      <c r="Q60" s="2447"/>
      <c r="R60" s="2451"/>
      <c r="S60" s="2447"/>
      <c r="T60" s="2448"/>
      <c r="U60" s="2443"/>
      <c r="V60" s="2435"/>
      <c r="W60" s="2435"/>
      <c r="X60" s="2435"/>
      <c r="Y60" s="2435"/>
      <c r="Z60" s="2435"/>
      <c r="AA60" s="2435"/>
      <c r="AB60" s="2435"/>
      <c r="AC60" s="2435"/>
      <c r="AD60" s="2435"/>
      <c r="AE60" s="2435"/>
    </row>
    <row r="61" spans="1:31">
      <c r="A61" s="2435"/>
      <c r="B61" s="2435"/>
      <c r="C61" s="2435"/>
      <c r="D61" s="2435"/>
      <c r="E61" s="2435"/>
      <c r="F61" s="2435"/>
      <c r="G61" s="2435"/>
      <c r="H61" s="2435"/>
      <c r="I61" s="2435"/>
      <c r="J61" s="2435"/>
      <c r="K61" s="2435"/>
      <c r="L61" s="2436"/>
      <c r="M61" s="2435"/>
      <c r="N61" s="2437"/>
      <c r="O61" s="2452"/>
      <c r="P61" s="2437"/>
      <c r="Q61" s="2437"/>
      <c r="R61" s="2453"/>
      <c r="S61" s="2437"/>
      <c r="T61" s="2448"/>
      <c r="U61" s="345"/>
      <c r="V61" s="2435"/>
      <c r="W61" s="2435"/>
      <c r="X61" s="2435"/>
      <c r="Y61" s="2435"/>
      <c r="Z61" s="2435"/>
      <c r="AA61" s="2435"/>
      <c r="AB61" s="2435"/>
      <c r="AC61" s="2435"/>
      <c r="AD61" s="2435"/>
      <c r="AE61" s="2435"/>
    </row>
    <row r="62" spans="1:31">
      <c r="A62" s="2435"/>
      <c r="B62" s="2435"/>
      <c r="C62" s="2435"/>
      <c r="D62" s="2435"/>
      <c r="E62" s="2435"/>
      <c r="F62" s="2435"/>
      <c r="G62" s="2435"/>
      <c r="H62" s="2435"/>
      <c r="I62" s="2435"/>
      <c r="J62" s="2435"/>
      <c r="K62" s="2435"/>
      <c r="L62" s="2436"/>
      <c r="M62" s="2435"/>
      <c r="N62" s="2437"/>
      <c r="O62" s="2452"/>
      <c r="P62" s="2447"/>
      <c r="Q62" s="2447"/>
      <c r="R62" s="2453"/>
      <c r="S62" s="2447"/>
      <c r="T62" s="2448"/>
      <c r="U62" s="345"/>
      <c r="V62" s="2435"/>
      <c r="W62" s="2435"/>
      <c r="X62" s="2435"/>
      <c r="Y62" s="2435"/>
      <c r="Z62" s="2435"/>
      <c r="AA62" s="2435"/>
      <c r="AB62" s="2435"/>
      <c r="AC62" s="2435"/>
      <c r="AD62" s="2435"/>
      <c r="AE62" s="2435"/>
    </row>
    <row r="63" spans="1:31">
      <c r="A63" s="2435"/>
      <c r="B63" s="2435"/>
      <c r="C63" s="2435"/>
      <c r="D63" s="2435"/>
      <c r="E63" s="2435"/>
      <c r="F63" s="2435"/>
      <c r="G63" s="2435"/>
      <c r="H63" s="2435"/>
      <c r="I63" s="2435"/>
      <c r="J63" s="2435"/>
      <c r="K63" s="2435"/>
      <c r="L63" s="2436"/>
      <c r="M63" s="2435"/>
      <c r="N63" s="2437"/>
      <c r="O63" s="2454"/>
      <c r="P63" s="2447"/>
      <c r="Q63" s="2447"/>
      <c r="R63" s="2454"/>
      <c r="S63" s="2447"/>
      <c r="T63" s="2448"/>
      <c r="U63" s="345"/>
      <c r="V63" s="2435"/>
      <c r="W63" s="2435"/>
      <c r="X63" s="2435"/>
      <c r="Y63" s="2435"/>
      <c r="Z63" s="2435"/>
      <c r="AA63" s="2435"/>
      <c r="AB63" s="2435"/>
      <c r="AC63" s="2435"/>
      <c r="AD63" s="2435"/>
      <c r="AE63" s="2435"/>
    </row>
    <row r="64" spans="1:31">
      <c r="A64" s="2435"/>
      <c r="B64" s="2435"/>
      <c r="C64" s="2435"/>
      <c r="D64" s="2435"/>
      <c r="E64" s="2435"/>
      <c r="F64" s="2435"/>
      <c r="G64" s="2435"/>
      <c r="H64" s="2435"/>
      <c r="I64" s="2435"/>
      <c r="J64" s="2435"/>
      <c r="K64" s="2435"/>
      <c r="L64" s="2436"/>
      <c r="M64" s="2435"/>
      <c r="N64" s="2437"/>
      <c r="O64" s="2450"/>
      <c r="P64" s="2449"/>
      <c r="Q64" s="2449"/>
      <c r="R64" s="2450"/>
      <c r="S64" s="2449"/>
      <c r="T64" s="2448"/>
      <c r="U64" s="345"/>
      <c r="V64" s="2435"/>
      <c r="W64" s="2435"/>
      <c r="X64" s="2435"/>
      <c r="Y64" s="2435"/>
      <c r="Z64" s="2435"/>
      <c r="AA64" s="2435"/>
      <c r="AB64" s="2435"/>
      <c r="AC64" s="2435"/>
      <c r="AD64" s="2435"/>
      <c r="AE64" s="2435"/>
    </row>
    <row r="65" spans="1:31">
      <c r="A65" s="2435"/>
      <c r="B65" s="2435"/>
      <c r="C65" s="2435"/>
      <c r="D65" s="2435"/>
      <c r="E65" s="2435"/>
      <c r="F65" s="2435"/>
      <c r="G65" s="2435"/>
      <c r="H65" s="2435"/>
      <c r="I65" s="2435"/>
      <c r="J65" s="2435"/>
      <c r="K65" s="2435"/>
      <c r="L65" s="2436"/>
      <c r="M65" s="2435"/>
      <c r="N65" s="2437"/>
      <c r="O65" s="2451"/>
      <c r="P65" s="2447"/>
      <c r="Q65" s="2449"/>
      <c r="R65" s="2451"/>
      <c r="S65" s="2447"/>
      <c r="T65" s="2448"/>
      <c r="U65" s="2739"/>
      <c r="V65" s="2435"/>
      <c r="W65" s="2435"/>
      <c r="X65" s="2435"/>
      <c r="Y65" s="2435"/>
      <c r="Z65" s="2435"/>
      <c r="AA65" s="2435"/>
      <c r="AB65" s="2435"/>
      <c r="AC65" s="2435"/>
      <c r="AD65" s="2435"/>
      <c r="AE65" s="2435"/>
    </row>
    <row r="66" spans="1:31">
      <c r="A66" s="2435"/>
      <c r="B66" s="2435"/>
      <c r="C66" s="2435"/>
      <c r="D66" s="2435"/>
      <c r="E66" s="2435"/>
      <c r="F66" s="2435"/>
      <c r="G66" s="2435"/>
      <c r="H66" s="2435"/>
      <c r="I66" s="2435"/>
      <c r="J66" s="2435"/>
      <c r="K66" s="2435"/>
      <c r="L66" s="2436"/>
      <c r="M66" s="2435"/>
      <c r="N66" s="2437"/>
      <c r="O66" s="2449"/>
      <c r="P66" s="2449"/>
      <c r="Q66" s="2449"/>
      <c r="R66" s="2449"/>
      <c r="S66" s="2449"/>
      <c r="T66" s="2451"/>
      <c r="U66" s="2437"/>
      <c r="V66" s="2435"/>
      <c r="W66" s="2435"/>
      <c r="X66" s="2435"/>
      <c r="Y66" s="2435"/>
      <c r="Z66" s="2435"/>
      <c r="AA66" s="2435"/>
      <c r="AB66" s="2435"/>
      <c r="AC66" s="2435"/>
      <c r="AD66" s="2435"/>
      <c r="AE66" s="2435"/>
    </row>
    <row r="67" spans="1:31">
      <c r="A67" s="2435"/>
      <c r="B67" s="2435"/>
      <c r="C67" s="2435"/>
      <c r="D67" s="2435"/>
      <c r="E67" s="2435"/>
      <c r="F67" s="2435"/>
      <c r="G67" s="2435"/>
      <c r="H67" s="2435"/>
      <c r="I67" s="2435"/>
      <c r="J67" s="2435"/>
      <c r="K67" s="2435"/>
      <c r="L67" s="2436"/>
      <c r="M67" s="2435"/>
      <c r="N67" s="2437"/>
      <c r="O67" s="2449"/>
      <c r="P67" s="2449"/>
      <c r="Q67" s="2449"/>
      <c r="R67" s="2449"/>
      <c r="S67" s="2449"/>
      <c r="T67" s="2451"/>
      <c r="U67" s="2437"/>
      <c r="V67" s="2435"/>
      <c r="W67" s="2435"/>
      <c r="X67" s="2435"/>
      <c r="Y67" s="2435"/>
      <c r="Z67" s="2435"/>
      <c r="AA67" s="2435"/>
      <c r="AB67" s="2435"/>
      <c r="AC67" s="2435"/>
      <c r="AD67" s="2435"/>
      <c r="AE67" s="2435"/>
    </row>
    <row r="68" spans="1:31">
      <c r="A68" s="2435"/>
      <c r="B68" s="2435"/>
      <c r="C68" s="2435"/>
      <c r="D68" s="2435"/>
      <c r="E68" s="2435"/>
      <c r="F68" s="2435"/>
      <c r="G68" s="2435"/>
      <c r="H68" s="2435"/>
      <c r="I68" s="2435"/>
      <c r="J68" s="2435"/>
      <c r="K68" s="2435"/>
      <c r="L68" s="2436"/>
      <c r="M68" s="2435"/>
      <c r="N68" s="2437"/>
      <c r="O68" s="2449"/>
      <c r="P68" s="2449"/>
      <c r="Q68" s="2449"/>
      <c r="R68" s="2449"/>
      <c r="S68" s="2449"/>
      <c r="T68" s="2451"/>
      <c r="U68" s="2437"/>
      <c r="V68" s="2435"/>
      <c r="W68" s="2435"/>
      <c r="X68" s="2435"/>
      <c r="Y68" s="2435"/>
      <c r="Z68" s="2435"/>
      <c r="AA68" s="2435"/>
      <c r="AB68" s="2435"/>
      <c r="AC68" s="2435"/>
      <c r="AD68" s="2435"/>
      <c r="AE68" s="2435"/>
    </row>
    <row r="69" spans="1:31">
      <c r="A69" s="2435"/>
      <c r="B69" s="2435"/>
      <c r="C69" s="2435"/>
      <c r="D69" s="2435"/>
      <c r="E69" s="2435"/>
      <c r="F69" s="2435"/>
      <c r="G69" s="2435"/>
      <c r="H69" s="2435"/>
      <c r="I69" s="2435"/>
      <c r="J69" s="2435"/>
      <c r="K69" s="2435"/>
      <c r="L69" s="2436"/>
      <c r="M69" s="2435"/>
      <c r="N69" s="2437"/>
      <c r="O69" s="2449"/>
      <c r="P69" s="2449"/>
      <c r="Q69" s="2449"/>
      <c r="R69" s="2449"/>
      <c r="S69" s="2449"/>
      <c r="T69" s="2451"/>
      <c r="U69" s="2437"/>
      <c r="V69" s="2435"/>
      <c r="W69" s="2435"/>
      <c r="X69" s="2435"/>
      <c r="Y69" s="2435"/>
      <c r="Z69" s="2435"/>
      <c r="AA69" s="2435"/>
      <c r="AB69" s="2435"/>
      <c r="AC69" s="2435"/>
      <c r="AD69" s="2435"/>
      <c r="AE69" s="2435"/>
    </row>
    <row r="70" spans="1:31">
      <c r="A70" s="2435"/>
      <c r="B70" s="2435"/>
      <c r="C70" s="2435"/>
      <c r="D70" s="2435"/>
      <c r="E70" s="2435"/>
      <c r="F70" s="2435"/>
      <c r="G70" s="2435"/>
      <c r="H70" s="2435"/>
      <c r="I70" s="2435"/>
      <c r="J70" s="2435"/>
      <c r="K70" s="2435"/>
      <c r="L70" s="2435"/>
      <c r="M70" s="2435"/>
      <c r="N70" s="2435"/>
      <c r="O70" s="2435"/>
      <c r="P70" s="2435"/>
      <c r="Q70" s="2435"/>
      <c r="R70" s="2435"/>
      <c r="S70" s="2435"/>
      <c r="T70" s="2435"/>
      <c r="U70" s="2435"/>
      <c r="V70" s="2435"/>
      <c r="W70" s="2435"/>
      <c r="X70" s="2435"/>
      <c r="Y70" s="2435"/>
      <c r="Z70" s="2435"/>
      <c r="AA70" s="2435"/>
      <c r="AB70" s="2435"/>
      <c r="AC70" s="2435"/>
      <c r="AD70" s="2435"/>
      <c r="AE70" s="2435"/>
    </row>
    <row r="71" spans="1:31">
      <c r="A71" s="2435"/>
      <c r="B71" s="2435"/>
      <c r="C71" s="2435"/>
      <c r="D71" s="2435"/>
      <c r="E71" s="2435"/>
      <c r="F71" s="2435"/>
      <c r="G71" s="2435"/>
      <c r="H71" s="2435"/>
      <c r="I71" s="2435"/>
      <c r="J71" s="2435"/>
      <c r="K71" s="2435"/>
      <c r="L71" s="2435"/>
      <c r="M71" s="2435"/>
      <c r="N71" s="2435"/>
      <c r="O71" s="2435"/>
      <c r="P71" s="2435"/>
      <c r="Q71" s="2435"/>
      <c r="R71" s="2435"/>
      <c r="S71" s="2435"/>
      <c r="T71" s="2435"/>
      <c r="U71" s="2435"/>
      <c r="V71" s="2435"/>
      <c r="W71" s="2435"/>
      <c r="X71" s="2435"/>
      <c r="Y71" s="2435"/>
      <c r="Z71" s="2435"/>
      <c r="AA71" s="2435"/>
      <c r="AB71" s="2435"/>
      <c r="AC71" s="2435"/>
      <c r="AD71" s="2435"/>
      <c r="AE71" s="2435"/>
    </row>
    <row r="72" spans="1:31">
      <c r="A72" s="2435"/>
      <c r="B72" s="2435"/>
      <c r="C72" s="2435"/>
      <c r="D72" s="2435"/>
      <c r="E72" s="2435"/>
      <c r="F72" s="2435"/>
      <c r="G72" s="2435"/>
      <c r="H72" s="2435"/>
      <c r="I72" s="2435"/>
      <c r="J72" s="2435"/>
      <c r="K72" s="2435"/>
      <c r="L72" s="2435"/>
      <c r="M72" s="2435"/>
      <c r="N72" s="2435"/>
      <c r="O72" s="2435"/>
      <c r="P72" s="2435"/>
      <c r="Q72" s="2435"/>
      <c r="R72" s="2435"/>
      <c r="S72" s="2435"/>
      <c r="T72" s="2435"/>
      <c r="U72" s="2435"/>
      <c r="V72" s="2434" t="str">
        <f>LOGO!B5</f>
        <v>DUKE ENERGY KENTUCKY, INC.</v>
      </c>
      <c r="W72" s="2434"/>
      <c r="X72" s="2434"/>
      <c r="Y72" s="2434"/>
      <c r="Z72" s="2433"/>
      <c r="AA72" s="2434"/>
      <c r="AB72" s="2434"/>
      <c r="AC72" s="2434"/>
      <c r="AD72" s="2435"/>
      <c r="AE72" s="2435"/>
    </row>
    <row r="73" spans="1:31">
      <c r="A73" s="2435"/>
      <c r="B73" s="2435"/>
      <c r="C73" s="2435"/>
      <c r="D73" s="2435"/>
      <c r="E73" s="2435"/>
      <c r="F73" s="2435"/>
      <c r="G73" s="2435"/>
      <c r="H73" s="2435"/>
      <c r="I73" s="2435"/>
      <c r="J73" s="2435"/>
      <c r="K73" s="2435"/>
      <c r="L73" s="2435"/>
      <c r="M73" s="2435"/>
      <c r="N73" s="2435"/>
      <c r="O73" s="2435"/>
      <c r="P73" s="2435"/>
      <c r="Q73" s="2435"/>
      <c r="R73" s="2435"/>
      <c r="S73" s="2435"/>
      <c r="T73" s="2435"/>
      <c r="U73" s="2435"/>
      <c r="V73" s="2434" t="str">
        <f>LOGO!B6</f>
        <v>CASE NO. 2017-00321</v>
      </c>
      <c r="W73" s="2434"/>
      <c r="X73" s="2434"/>
      <c r="Y73" s="2434"/>
      <c r="Z73" s="2433"/>
      <c r="AA73" s="2434"/>
      <c r="AB73" s="2434"/>
      <c r="AC73" s="2434"/>
      <c r="AD73" s="2435"/>
      <c r="AE73" s="2435"/>
    </row>
    <row r="74" spans="1:31">
      <c r="A74" s="2435"/>
      <c r="B74" s="2435"/>
      <c r="C74" s="2435"/>
      <c r="D74" s="2435"/>
      <c r="E74" s="2435"/>
      <c r="F74" s="2435"/>
      <c r="G74" s="2435"/>
      <c r="H74" s="2435"/>
      <c r="I74" s="2435"/>
      <c r="J74" s="2435"/>
      <c r="K74" s="2435"/>
      <c r="L74" s="2435"/>
      <c r="M74" s="2435"/>
      <c r="N74" s="2435"/>
      <c r="O74" s="2435"/>
      <c r="P74" s="2435"/>
      <c r="Q74" s="2435"/>
      <c r="R74" s="2435"/>
      <c r="S74" s="2435"/>
      <c r="T74" s="2435"/>
      <c r="U74" s="2435"/>
      <c r="V74" s="2433" t="s">
        <v>1974</v>
      </c>
      <c r="W74" s="2434"/>
      <c r="X74" s="2434"/>
      <c r="Y74" s="2434"/>
      <c r="Z74" s="2434"/>
      <c r="AA74" s="2434"/>
      <c r="AB74" s="2434"/>
      <c r="AC74" s="2434"/>
      <c r="AD74" s="2435"/>
      <c r="AE74" s="2435"/>
    </row>
    <row r="75" spans="1:31">
      <c r="A75" s="2435"/>
      <c r="B75" s="2435"/>
      <c r="C75" s="2435"/>
      <c r="D75" s="2435"/>
      <c r="E75" s="2435"/>
      <c r="F75" s="2435"/>
      <c r="G75" s="2435"/>
      <c r="H75" s="2435"/>
      <c r="I75" s="2435"/>
      <c r="J75" s="2435"/>
      <c r="K75" s="2435"/>
      <c r="L75" s="2435"/>
      <c r="M75" s="2435"/>
      <c r="N75" s="2435"/>
      <c r="O75" s="2435"/>
      <c r="P75" s="2435"/>
      <c r="Q75" s="2435"/>
      <c r="R75" s="2435"/>
      <c r="S75" s="2435"/>
      <c r="T75" s="2435"/>
      <c r="U75" s="2435"/>
      <c r="V75" s="2434" t="s">
        <v>1975</v>
      </c>
      <c r="W75" s="2434"/>
      <c r="X75" s="2434"/>
      <c r="Y75" s="2434"/>
      <c r="Z75" s="2434"/>
      <c r="AA75" s="2434"/>
      <c r="AB75" s="2434"/>
      <c r="AC75" s="2434"/>
      <c r="AD75" s="2435"/>
      <c r="AE75" s="2435"/>
    </row>
    <row r="76" spans="1:31">
      <c r="A76" s="2435"/>
      <c r="B76" s="2435"/>
      <c r="C76" s="2435"/>
      <c r="D76" s="2435"/>
      <c r="E76" s="2435"/>
      <c r="F76" s="2435"/>
      <c r="G76" s="2435"/>
      <c r="H76" s="2435"/>
      <c r="I76" s="2435"/>
      <c r="J76" s="2435"/>
      <c r="K76" s="2435"/>
      <c r="L76" s="2435"/>
      <c r="M76" s="2435"/>
      <c r="N76" s="2435"/>
      <c r="O76" s="2435"/>
      <c r="P76" s="2435"/>
      <c r="Q76" s="2435"/>
      <c r="R76" s="2435"/>
      <c r="S76" s="2435"/>
      <c r="T76" s="2435"/>
      <c r="U76" s="2435"/>
      <c r="V76" s="2433" t="str">
        <f>LOGO!B10</f>
        <v>12 MONTHS ENDED NOVEMBER 30, 2017</v>
      </c>
      <c r="W76" s="2434"/>
      <c r="X76" s="2434"/>
      <c r="Y76" s="2434"/>
      <c r="Z76" s="2434"/>
      <c r="AA76" s="2434"/>
      <c r="AB76" s="2434"/>
      <c r="AC76" s="2434"/>
      <c r="AD76" s="2435"/>
      <c r="AE76" s="2435"/>
    </row>
    <row r="77" spans="1:31">
      <c r="A77" s="2435"/>
      <c r="B77" s="2435"/>
      <c r="C77" s="2435"/>
      <c r="D77" s="2435"/>
      <c r="E77" s="2435"/>
      <c r="F77" s="2435"/>
      <c r="G77" s="2435"/>
      <c r="H77" s="2435"/>
      <c r="I77" s="2435"/>
      <c r="J77" s="2435"/>
      <c r="K77" s="2435"/>
      <c r="L77" s="2435"/>
      <c r="M77" s="2435"/>
      <c r="N77" s="2435"/>
      <c r="O77" s="2435"/>
      <c r="P77" s="2435"/>
      <c r="Q77" s="2435"/>
      <c r="R77" s="2435"/>
      <c r="S77" s="2435"/>
      <c r="T77" s="2435"/>
      <c r="U77" s="2435"/>
      <c r="V77" s="2435"/>
      <c r="W77" s="2435"/>
      <c r="X77" s="2435"/>
      <c r="Y77" s="2435"/>
      <c r="Z77" s="2435"/>
      <c r="AA77" s="2435"/>
      <c r="AB77" s="2435"/>
      <c r="AC77" s="2435"/>
      <c r="AD77" s="2435"/>
      <c r="AE77" s="2435"/>
    </row>
    <row r="78" spans="1:31">
      <c r="A78" s="2435"/>
      <c r="B78" s="2435"/>
      <c r="C78" s="2435"/>
      <c r="D78" s="2435"/>
      <c r="E78" s="2435"/>
      <c r="F78" s="2435"/>
      <c r="G78" s="2435"/>
      <c r="H78" s="2435"/>
      <c r="I78" s="2435"/>
      <c r="J78" s="2435"/>
      <c r="K78" s="2435"/>
      <c r="L78" s="2435"/>
      <c r="M78" s="2435"/>
      <c r="N78" s="2435"/>
      <c r="O78" s="2435"/>
      <c r="P78" s="2435"/>
      <c r="Q78" s="2435"/>
      <c r="R78" s="2435"/>
      <c r="S78" s="2435"/>
      <c r="T78" s="2435"/>
      <c r="U78" s="2435"/>
      <c r="V78" s="2435"/>
      <c r="W78" s="2435"/>
      <c r="X78" s="2435"/>
      <c r="Y78" s="2435"/>
      <c r="Z78" s="2435"/>
      <c r="AA78" s="2435"/>
      <c r="AB78" s="2435"/>
      <c r="AC78" s="2435"/>
      <c r="AD78" s="2435"/>
      <c r="AE78" s="2435"/>
    </row>
    <row r="79" spans="1:31">
      <c r="A79" s="2435"/>
      <c r="B79" s="2435"/>
      <c r="C79" s="2435"/>
      <c r="D79" s="2435"/>
      <c r="E79" s="2435"/>
      <c r="F79" s="2435"/>
      <c r="G79" s="2435"/>
      <c r="H79" s="2435"/>
      <c r="I79" s="2435"/>
      <c r="J79" s="2435"/>
      <c r="K79" s="2435"/>
      <c r="L79" s="2435"/>
      <c r="M79" s="2435"/>
      <c r="N79" s="2435"/>
      <c r="O79" s="2435"/>
      <c r="P79" s="2435"/>
      <c r="Q79" s="2435"/>
      <c r="R79" s="2435"/>
      <c r="S79" s="2435"/>
      <c r="T79" s="2435"/>
      <c r="U79" s="2435"/>
      <c r="V79" s="2436" t="str">
        <f>LOGO!B12</f>
        <v>DATA: "X" BASE PERIOD   FORECASTED PERIOD</v>
      </c>
      <c r="W79" s="2435"/>
      <c r="X79" s="2435"/>
      <c r="Y79" s="2435"/>
      <c r="Z79" s="2435"/>
      <c r="AA79" s="2435"/>
      <c r="AB79" s="2435"/>
      <c r="AC79" s="2455" t="s">
        <v>1976</v>
      </c>
      <c r="AD79" s="2435"/>
      <c r="AE79" s="2435"/>
    </row>
    <row r="80" spans="1:31">
      <c r="A80" s="2435"/>
      <c r="B80" s="2435"/>
      <c r="C80" s="2435"/>
      <c r="D80" s="2435"/>
      <c r="E80" s="2435"/>
      <c r="F80" s="2435"/>
      <c r="G80" s="2435"/>
      <c r="H80" s="2435"/>
      <c r="I80" s="2435"/>
      <c r="J80" s="2435"/>
      <c r="K80" s="2435"/>
      <c r="L80" s="2435"/>
      <c r="M80" s="2435"/>
      <c r="N80" s="2435"/>
      <c r="O80" s="2435"/>
      <c r="P80" s="2435"/>
      <c r="Q80" s="2435"/>
      <c r="R80" s="2435"/>
      <c r="S80" s="2435"/>
      <c r="T80" s="2435"/>
      <c r="U80" s="2435"/>
      <c r="V80" s="2436" t="str">
        <f>LOGO!B15</f>
        <v xml:space="preserve">TYPE OF FILING:  "X" ORIGINAL   UPDATED    REVISED  </v>
      </c>
      <c r="W80" s="2435"/>
      <c r="X80" s="2435"/>
      <c r="Y80" s="2435"/>
      <c r="Z80" s="2435"/>
      <c r="AA80" s="2435"/>
      <c r="AB80" s="2435"/>
      <c r="AC80" s="2455" t="s">
        <v>620</v>
      </c>
      <c r="AD80" s="2435"/>
      <c r="AE80" s="2435"/>
    </row>
    <row r="81" spans="1:31">
      <c r="A81" s="2435"/>
      <c r="B81" s="2435"/>
      <c r="C81" s="2435"/>
      <c r="D81" s="2435"/>
      <c r="E81" s="2435"/>
      <c r="F81" s="2435"/>
      <c r="G81" s="2435"/>
      <c r="H81" s="2435"/>
      <c r="I81" s="2435"/>
      <c r="J81" s="2435"/>
      <c r="K81" s="2435"/>
      <c r="L81" s="2435"/>
      <c r="M81" s="2435"/>
      <c r="N81" s="2435"/>
      <c r="O81" s="2435"/>
      <c r="P81" s="2435"/>
      <c r="Q81" s="2435"/>
      <c r="R81" s="2435"/>
      <c r="S81" s="2435"/>
      <c r="T81" s="2435"/>
      <c r="U81" s="2435"/>
      <c r="V81" s="2437" t="s">
        <v>1879</v>
      </c>
      <c r="W81" s="2435"/>
      <c r="X81" s="2435"/>
      <c r="Y81" s="2435"/>
      <c r="Z81" s="2435"/>
      <c r="AA81" s="2435"/>
      <c r="AB81" s="2435"/>
      <c r="AC81" s="2455" t="s">
        <v>622</v>
      </c>
      <c r="AD81" s="2435"/>
      <c r="AE81" s="2435"/>
    </row>
    <row r="82" spans="1:31">
      <c r="A82" s="2435"/>
      <c r="B82" s="2435"/>
      <c r="C82" s="2435"/>
      <c r="D82" s="2435"/>
      <c r="E82" s="2435"/>
      <c r="F82" s="2435"/>
      <c r="G82" s="2435"/>
      <c r="H82" s="2435"/>
      <c r="I82" s="2435"/>
      <c r="J82" s="2435"/>
      <c r="K82" s="2435"/>
      <c r="L82" s="2435"/>
      <c r="M82" s="2435"/>
      <c r="N82" s="2435"/>
      <c r="O82" s="2435"/>
      <c r="P82" s="2435"/>
      <c r="Q82" s="2435"/>
      <c r="R82" s="2435"/>
      <c r="S82" s="2435"/>
      <c r="T82" s="2435"/>
      <c r="U82" s="2435"/>
      <c r="V82" s="2435"/>
      <c r="W82" s="2435"/>
      <c r="X82" s="2435"/>
      <c r="Y82" s="2435"/>
      <c r="Z82" s="2435"/>
      <c r="AA82" s="2435"/>
      <c r="AB82" s="2435"/>
      <c r="AC82" s="2456" t="str">
        <f>_WIT2</f>
        <v>J. E. ZIOLKOWSKI</v>
      </c>
      <c r="AD82" s="2435"/>
      <c r="AE82" s="2435"/>
    </row>
    <row r="83" spans="1:31">
      <c r="A83" s="2435"/>
      <c r="B83" s="2435"/>
      <c r="C83" s="2435"/>
      <c r="D83" s="2435"/>
      <c r="E83" s="2435"/>
      <c r="F83" s="2435"/>
      <c r="G83" s="2435"/>
      <c r="H83" s="2435"/>
      <c r="I83" s="2435"/>
      <c r="J83" s="2435"/>
      <c r="K83" s="2435"/>
      <c r="L83" s="2435"/>
      <c r="M83" s="2435"/>
      <c r="N83" s="2435"/>
      <c r="O83" s="2435"/>
      <c r="P83" s="2435"/>
      <c r="Q83" s="2435"/>
      <c r="R83" s="2435"/>
      <c r="S83" s="2435"/>
      <c r="T83" s="2435"/>
      <c r="U83" s="2435"/>
      <c r="V83" s="2438"/>
      <c r="W83" s="2438"/>
      <c r="X83" s="2438"/>
      <c r="Y83" s="2438"/>
      <c r="Z83" s="2438"/>
      <c r="AA83" s="2438"/>
      <c r="AB83" s="2438"/>
      <c r="AC83" s="2438"/>
      <c r="AD83" s="2435"/>
      <c r="AE83" s="2435"/>
    </row>
    <row r="84" spans="1:31">
      <c r="A84" s="2435"/>
      <c r="B84" s="2435"/>
      <c r="C84" s="2435"/>
      <c r="D84" s="2435"/>
      <c r="E84" s="2435"/>
      <c r="F84" s="2435"/>
      <c r="G84" s="2435"/>
      <c r="H84" s="2435"/>
      <c r="I84" s="2435"/>
      <c r="J84" s="2435"/>
      <c r="K84" s="2435"/>
      <c r="L84" s="2435"/>
      <c r="M84" s="2435"/>
      <c r="N84" s="2435"/>
      <c r="O84" s="2435"/>
      <c r="P84" s="2435"/>
      <c r="Q84" s="2435"/>
      <c r="R84" s="2435"/>
      <c r="S84" s="2435"/>
      <c r="T84" s="2435"/>
      <c r="U84" s="2435"/>
      <c r="V84" s="2435"/>
      <c r="W84" s="2435"/>
      <c r="X84" s="2435"/>
      <c r="Y84" s="2435"/>
      <c r="Z84" s="2435"/>
      <c r="AA84" s="2435"/>
      <c r="AB84" s="2435"/>
      <c r="AC84" s="2435"/>
      <c r="AD84" s="2435"/>
      <c r="AE84" s="2435"/>
    </row>
    <row r="85" spans="1:31">
      <c r="A85" s="2435"/>
      <c r="B85" s="2435"/>
      <c r="C85" s="2435"/>
      <c r="D85" s="2435"/>
      <c r="E85" s="2435"/>
      <c r="F85" s="2435"/>
      <c r="G85" s="2435"/>
      <c r="H85" s="2435"/>
      <c r="I85" s="2435"/>
      <c r="J85" s="2435"/>
      <c r="K85" s="2435"/>
      <c r="L85" s="2435"/>
      <c r="M85" s="2435"/>
      <c r="N85" s="2435"/>
      <c r="O85" s="2435"/>
      <c r="P85" s="2435"/>
      <c r="Q85" s="2435"/>
      <c r="R85" s="2435"/>
      <c r="S85" s="2435"/>
      <c r="T85" s="2435"/>
      <c r="U85" s="2435"/>
      <c r="V85" s="2739" t="s">
        <v>1961</v>
      </c>
      <c r="W85" s="2435"/>
      <c r="X85" s="2739" t="s">
        <v>1080</v>
      </c>
      <c r="Y85" s="2435"/>
      <c r="Z85" s="2435"/>
      <c r="AA85" s="2435"/>
      <c r="AB85" s="2435"/>
      <c r="AC85" s="2435"/>
      <c r="AD85" s="2435"/>
      <c r="AE85" s="2435"/>
    </row>
    <row r="86" spans="1:31">
      <c r="A86" s="2435"/>
      <c r="B86" s="2435"/>
      <c r="C86" s="2435"/>
      <c r="D86" s="2435"/>
      <c r="E86" s="2435"/>
      <c r="F86" s="2435"/>
      <c r="G86" s="2435"/>
      <c r="H86" s="2435"/>
      <c r="I86" s="2435"/>
      <c r="J86" s="2435"/>
      <c r="K86" s="2435"/>
      <c r="L86" s="2435"/>
      <c r="M86" s="2435"/>
      <c r="N86" s="2435"/>
      <c r="O86" s="2435"/>
      <c r="P86" s="2435"/>
      <c r="Q86" s="2435"/>
      <c r="R86" s="2435"/>
      <c r="S86" s="2435"/>
      <c r="T86" s="2435"/>
      <c r="U86" s="2435"/>
      <c r="V86" s="2739" t="s">
        <v>1854</v>
      </c>
      <c r="W86" s="2435"/>
      <c r="X86" s="2739" t="s">
        <v>1703</v>
      </c>
      <c r="Y86" s="2435"/>
      <c r="Z86" s="2739" t="s">
        <v>566</v>
      </c>
      <c r="AA86" s="2739" t="s">
        <v>1977</v>
      </c>
      <c r="AB86" s="2435"/>
      <c r="AC86" s="2739" t="s">
        <v>1978</v>
      </c>
      <c r="AD86" s="2435"/>
      <c r="AE86" s="2435"/>
    </row>
    <row r="87" spans="1:31">
      <c r="A87" s="2435"/>
      <c r="B87" s="2435"/>
      <c r="C87" s="2435"/>
      <c r="D87" s="2435"/>
      <c r="E87" s="2435"/>
      <c r="F87" s="2435"/>
      <c r="G87" s="2435"/>
      <c r="H87" s="2435"/>
      <c r="I87" s="2435"/>
      <c r="J87" s="2435"/>
      <c r="K87" s="2435"/>
      <c r="L87" s="2435"/>
      <c r="M87" s="2435"/>
      <c r="N87" s="2435"/>
      <c r="O87" s="2435"/>
      <c r="P87" s="2435"/>
      <c r="Q87" s="2435"/>
      <c r="R87" s="2435"/>
      <c r="S87" s="2435"/>
      <c r="T87" s="2435"/>
      <c r="U87" s="2435"/>
      <c r="V87" s="2438"/>
      <c r="W87" s="2438"/>
      <c r="X87" s="2438"/>
      <c r="Y87" s="2438"/>
      <c r="Z87" s="2438"/>
      <c r="AA87" s="2438"/>
      <c r="AB87" s="2438"/>
      <c r="AC87" s="2438"/>
      <c r="AD87" s="2435"/>
      <c r="AE87" s="2435"/>
    </row>
    <row r="88" spans="1:31">
      <c r="A88" s="2435"/>
      <c r="B88" s="2435"/>
      <c r="C88" s="2435"/>
      <c r="D88" s="2435"/>
      <c r="E88" s="2435"/>
      <c r="F88" s="2435"/>
      <c r="G88" s="2435"/>
      <c r="H88" s="2435"/>
      <c r="I88" s="2435"/>
      <c r="J88" s="2435"/>
      <c r="K88" s="2435"/>
      <c r="L88" s="2435"/>
      <c r="M88" s="2435"/>
      <c r="N88" s="2435"/>
      <c r="O88" s="2435"/>
      <c r="P88" s="2435"/>
      <c r="Q88" s="2435"/>
      <c r="R88" s="2435"/>
      <c r="S88" s="2435"/>
      <c r="T88" s="2435"/>
      <c r="U88" s="2435"/>
      <c r="V88" s="2435"/>
      <c r="W88" s="2435"/>
      <c r="X88" s="2435"/>
      <c r="Y88" s="2435"/>
      <c r="Z88" s="2435"/>
      <c r="AA88" s="2435"/>
      <c r="AB88" s="2435"/>
      <c r="AC88" s="2435"/>
      <c r="AD88" s="2435"/>
      <c r="AE88" s="2435"/>
    </row>
    <row r="89" spans="1:31">
      <c r="A89" s="2435"/>
      <c r="B89" s="2435"/>
      <c r="C89" s="2435"/>
      <c r="D89" s="2435"/>
      <c r="E89" s="2435"/>
      <c r="F89" s="2435"/>
      <c r="G89" s="2435"/>
      <c r="H89" s="2435"/>
      <c r="I89" s="2435"/>
      <c r="J89" s="2435"/>
      <c r="K89" s="2435"/>
      <c r="L89" s="2435"/>
      <c r="M89" s="2435"/>
      <c r="N89" s="2435"/>
      <c r="O89" s="2435"/>
      <c r="P89" s="2435"/>
      <c r="Q89" s="2435"/>
      <c r="R89" s="2435"/>
      <c r="S89" s="2435"/>
      <c r="T89" s="2435"/>
      <c r="U89" s="2435"/>
      <c r="V89" s="2436"/>
      <c r="W89" s="2435"/>
      <c r="X89" s="2435"/>
      <c r="Y89" s="2437"/>
      <c r="Z89" s="349"/>
      <c r="AA89" s="2452"/>
      <c r="AB89" s="2452"/>
      <c r="AC89" s="2452"/>
      <c r="AD89" s="2435"/>
      <c r="AE89" s="2435"/>
    </row>
    <row r="90" spans="1:31">
      <c r="A90" s="2435"/>
      <c r="B90" s="2435"/>
      <c r="C90" s="2435"/>
      <c r="D90" s="2435"/>
      <c r="E90" s="2435"/>
      <c r="F90" s="2435"/>
      <c r="G90" s="2435"/>
      <c r="H90" s="2435"/>
      <c r="I90" s="2435"/>
      <c r="J90" s="2435"/>
      <c r="K90" s="2435"/>
      <c r="L90" s="2435"/>
      <c r="M90" s="2435"/>
      <c r="N90" s="2435"/>
      <c r="O90" s="2435"/>
      <c r="P90" s="2435"/>
      <c r="Q90" s="2435"/>
      <c r="R90" s="2435"/>
      <c r="S90" s="2435"/>
      <c r="T90" s="2435"/>
      <c r="U90" s="2435"/>
      <c r="V90" s="2436"/>
      <c r="W90" s="2435"/>
      <c r="X90" s="2435"/>
      <c r="Y90" s="2435"/>
      <c r="Z90" s="2435"/>
      <c r="AA90" s="2452"/>
      <c r="AB90" s="2452"/>
      <c r="AC90" s="2452"/>
      <c r="AD90" s="2435"/>
      <c r="AE90" s="2435"/>
    </row>
    <row r="91" spans="1:31">
      <c r="A91" s="2435"/>
      <c r="B91" s="2435"/>
      <c r="C91" s="2435"/>
      <c r="D91" s="2435"/>
      <c r="E91" s="2435"/>
      <c r="F91" s="2435"/>
      <c r="G91" s="2435"/>
      <c r="H91" s="2435"/>
      <c r="I91" s="2435"/>
      <c r="J91" s="2435"/>
      <c r="K91" s="2435"/>
      <c r="L91" s="2435"/>
      <c r="M91" s="2435"/>
      <c r="N91" s="2435"/>
      <c r="O91" s="2435"/>
      <c r="P91" s="2435"/>
      <c r="Q91" s="2435"/>
      <c r="R91" s="2435"/>
      <c r="S91" s="2435"/>
      <c r="T91" s="2435"/>
      <c r="U91" s="2435"/>
      <c r="V91" s="2800" t="s">
        <v>1884</v>
      </c>
      <c r="W91" s="2800"/>
      <c r="X91" s="2800"/>
      <c r="Y91" s="2800"/>
      <c r="Z91" s="2800"/>
      <c r="AA91" s="2800"/>
      <c r="AB91" s="2800"/>
      <c r="AC91" s="2800"/>
      <c r="AD91" s="2435"/>
      <c r="AE91" s="2435"/>
    </row>
    <row r="92" spans="1:31">
      <c r="A92" s="2435"/>
      <c r="B92" s="2435"/>
      <c r="C92" s="2435"/>
      <c r="D92" s="2435"/>
      <c r="E92" s="2435"/>
      <c r="F92" s="2435"/>
      <c r="G92" s="2435"/>
      <c r="H92" s="2435"/>
      <c r="I92" s="2435"/>
      <c r="J92" s="2435"/>
      <c r="K92" s="2435"/>
      <c r="L92" s="2435"/>
      <c r="M92" s="2435"/>
      <c r="N92" s="2435"/>
      <c r="O92" s="2435"/>
      <c r="P92" s="2435"/>
      <c r="Q92" s="2435"/>
      <c r="R92" s="2435"/>
      <c r="S92" s="2435"/>
      <c r="T92" s="2435"/>
      <c r="U92" s="2435"/>
      <c r="V92" s="2436"/>
      <c r="W92" s="345"/>
      <c r="X92" s="345"/>
      <c r="Y92" s="2437"/>
      <c r="Z92" s="2435"/>
      <c r="AA92" s="349"/>
      <c r="AB92" s="2452"/>
      <c r="AC92" s="2447"/>
      <c r="AD92" s="2435"/>
      <c r="AE92" s="2435"/>
    </row>
    <row r="93" spans="1:31">
      <c r="A93" s="2435"/>
      <c r="B93" s="2435"/>
      <c r="C93" s="2435"/>
      <c r="D93" s="2435"/>
      <c r="E93" s="2435"/>
      <c r="F93" s="2435"/>
      <c r="G93" s="2435"/>
      <c r="H93" s="2435"/>
      <c r="I93" s="2435"/>
      <c r="J93" s="2435"/>
      <c r="K93" s="2435"/>
      <c r="L93" s="2435"/>
      <c r="M93" s="2435"/>
      <c r="N93" s="2435"/>
      <c r="O93" s="2435"/>
      <c r="P93" s="2435"/>
      <c r="Q93" s="2435"/>
      <c r="R93" s="2435"/>
      <c r="S93" s="2435"/>
      <c r="T93" s="2435"/>
      <c r="U93" s="2435"/>
      <c r="V93" s="2436"/>
      <c r="W93" s="345"/>
      <c r="X93" s="345"/>
      <c r="Y93" s="2437"/>
      <c r="Z93" s="2435"/>
      <c r="AA93" s="349"/>
      <c r="AB93" s="2452"/>
      <c r="AC93" s="2447"/>
      <c r="AD93" s="2435"/>
      <c r="AE93" s="2435"/>
    </row>
    <row r="94" spans="1:31">
      <c r="A94" s="2435"/>
      <c r="B94" s="2435"/>
      <c r="C94" s="2435"/>
      <c r="D94" s="2435"/>
      <c r="E94" s="2435"/>
      <c r="F94" s="2435"/>
      <c r="G94" s="2435"/>
      <c r="H94" s="2435"/>
      <c r="I94" s="2435"/>
      <c r="J94" s="2435"/>
      <c r="K94" s="2435"/>
      <c r="L94" s="2435"/>
      <c r="M94" s="2435"/>
      <c r="N94" s="2435"/>
      <c r="O94" s="2435"/>
      <c r="P94" s="2435"/>
      <c r="Q94" s="2435"/>
      <c r="R94" s="2435"/>
      <c r="S94" s="2435"/>
      <c r="T94" s="2435"/>
      <c r="U94" s="2435"/>
      <c r="V94" s="2436"/>
      <c r="W94" s="350"/>
      <c r="X94" s="350"/>
      <c r="Y94" s="2435"/>
      <c r="Z94" s="2435"/>
      <c r="AA94" s="349"/>
      <c r="AB94" s="2452"/>
      <c r="AC94" s="2452"/>
      <c r="AD94" s="2435"/>
      <c r="AE94" s="2435"/>
    </row>
    <row r="95" spans="1:31">
      <c r="A95" s="2435"/>
      <c r="B95" s="2435"/>
      <c r="C95" s="2435"/>
      <c r="D95" s="2435"/>
      <c r="E95" s="2435"/>
      <c r="F95" s="2435"/>
      <c r="G95" s="2435"/>
      <c r="H95" s="2435"/>
      <c r="I95" s="2435"/>
      <c r="J95" s="2435"/>
      <c r="K95" s="2435"/>
      <c r="L95" s="2435"/>
      <c r="M95" s="2435"/>
      <c r="N95" s="2435"/>
      <c r="O95" s="2435"/>
      <c r="P95" s="2435"/>
      <c r="Q95" s="2435"/>
      <c r="R95" s="2435"/>
      <c r="S95" s="2435"/>
      <c r="T95" s="2435"/>
      <c r="U95" s="2435"/>
      <c r="V95" s="2436"/>
      <c r="W95" s="345"/>
      <c r="X95" s="345"/>
      <c r="Y95" s="2437"/>
      <c r="Z95" s="2435"/>
      <c r="AA95" s="349"/>
      <c r="AB95" s="2452"/>
      <c r="AC95" s="2452"/>
      <c r="AD95" s="2435"/>
      <c r="AE95" s="2435"/>
    </row>
    <row r="96" spans="1:31">
      <c r="A96" s="2435"/>
      <c r="B96" s="2435"/>
      <c r="C96" s="2435"/>
      <c r="D96" s="2435"/>
      <c r="E96" s="2435"/>
      <c r="F96" s="2435"/>
      <c r="G96" s="2435"/>
      <c r="H96" s="2435"/>
      <c r="I96" s="2435"/>
      <c r="J96" s="2435"/>
      <c r="K96" s="2435"/>
      <c r="L96" s="2435"/>
      <c r="M96" s="2435"/>
      <c r="N96" s="2435"/>
      <c r="O96" s="2435"/>
      <c r="P96" s="2435"/>
      <c r="Q96" s="2435"/>
      <c r="R96" s="2435"/>
      <c r="S96" s="2435"/>
      <c r="T96" s="2435"/>
      <c r="U96" s="2435"/>
      <c r="V96" s="2436"/>
      <c r="W96" s="2435"/>
      <c r="X96" s="2435"/>
      <c r="Y96" s="2437"/>
      <c r="Z96" s="2435"/>
      <c r="AA96" s="349"/>
      <c r="AB96" s="2452"/>
      <c r="AC96" s="2447"/>
      <c r="AD96" s="2435"/>
      <c r="AE96" s="2435"/>
    </row>
    <row r="97" spans="1:31">
      <c r="A97" s="2435"/>
      <c r="B97" s="2435"/>
      <c r="C97" s="2435"/>
      <c r="D97" s="2435"/>
      <c r="E97" s="2435"/>
      <c r="F97" s="2435"/>
      <c r="G97" s="2435"/>
      <c r="H97" s="2435"/>
      <c r="I97" s="2435"/>
      <c r="J97" s="2435"/>
      <c r="K97" s="2435"/>
      <c r="L97" s="2435"/>
      <c r="M97" s="2435"/>
      <c r="N97" s="2435"/>
      <c r="O97" s="2435"/>
      <c r="P97" s="2435"/>
      <c r="Q97" s="2435"/>
      <c r="R97" s="2435"/>
      <c r="S97" s="2435"/>
      <c r="T97" s="2435"/>
      <c r="U97" s="2435"/>
      <c r="V97" s="2436"/>
      <c r="W97" s="2435"/>
      <c r="X97" s="2435"/>
      <c r="Y97" s="2435"/>
      <c r="Z97" s="2435"/>
      <c r="AA97" s="349"/>
      <c r="AB97" s="2452"/>
      <c r="AC97" s="2452"/>
      <c r="AD97" s="2435"/>
      <c r="AE97" s="2435"/>
    </row>
    <row r="98" spans="1:31">
      <c r="A98" s="2435"/>
      <c r="B98" s="2435"/>
      <c r="C98" s="2435"/>
      <c r="D98" s="2435"/>
      <c r="E98" s="2435"/>
      <c r="F98" s="2435"/>
      <c r="G98" s="2435"/>
      <c r="H98" s="2435"/>
      <c r="I98" s="2435"/>
      <c r="J98" s="2435"/>
      <c r="K98" s="2435"/>
      <c r="L98" s="2435"/>
      <c r="M98" s="2435"/>
      <c r="N98" s="2435"/>
      <c r="O98" s="2435"/>
      <c r="P98" s="2435"/>
      <c r="Q98" s="2435"/>
      <c r="R98" s="2435"/>
      <c r="S98" s="2435"/>
      <c r="T98" s="2435"/>
      <c r="U98" s="2435"/>
      <c r="V98" s="2436"/>
      <c r="W98" s="2435"/>
      <c r="X98" s="2435"/>
      <c r="Y98" s="2435"/>
      <c r="Z98" s="2435"/>
      <c r="AA98" s="349"/>
      <c r="AB98" s="2452"/>
      <c r="AC98" s="2449"/>
      <c r="AD98" s="2435"/>
      <c r="AE98" s="2435"/>
    </row>
    <row r="99" spans="1:31">
      <c r="A99" s="2435"/>
      <c r="B99" s="2435"/>
      <c r="C99" s="2435"/>
      <c r="D99" s="2435"/>
      <c r="E99" s="2435"/>
      <c r="F99" s="2435"/>
      <c r="G99" s="2435"/>
      <c r="H99" s="2435"/>
      <c r="I99" s="2435"/>
      <c r="J99" s="2435"/>
      <c r="K99" s="2435"/>
      <c r="L99" s="2435"/>
      <c r="M99" s="2435"/>
      <c r="N99" s="2435"/>
      <c r="O99" s="2435"/>
      <c r="P99" s="2435"/>
      <c r="Q99" s="2435"/>
      <c r="R99" s="2435"/>
      <c r="S99" s="2435"/>
      <c r="T99" s="2435"/>
      <c r="U99" s="2435"/>
      <c r="V99" s="2436"/>
      <c r="W99" s="2435"/>
      <c r="X99" s="2435"/>
      <c r="Y99" s="2437"/>
      <c r="Z99" s="2435"/>
      <c r="AA99" s="349"/>
      <c r="AB99" s="2452"/>
      <c r="AC99" s="2449"/>
      <c r="AD99" s="2435"/>
      <c r="AE99" s="2435"/>
    </row>
    <row r="100" spans="1:31">
      <c r="A100" s="2435"/>
      <c r="B100" s="2435"/>
      <c r="C100" s="2435"/>
      <c r="D100" s="2435"/>
      <c r="E100" s="2435"/>
      <c r="F100" s="2435"/>
      <c r="G100" s="2435"/>
      <c r="H100" s="2435"/>
      <c r="I100" s="2435"/>
      <c r="J100" s="2435"/>
      <c r="K100" s="2435"/>
      <c r="L100" s="2435"/>
      <c r="M100" s="2435"/>
      <c r="N100" s="2435"/>
      <c r="O100" s="2435"/>
      <c r="P100" s="2435"/>
      <c r="Q100" s="2435"/>
      <c r="R100" s="2435"/>
      <c r="S100" s="2435"/>
      <c r="T100" s="2435"/>
      <c r="U100" s="2435"/>
      <c r="V100" s="2436"/>
      <c r="W100" s="2435"/>
      <c r="X100" s="2435"/>
      <c r="Y100" s="2435"/>
      <c r="Z100" s="2435"/>
      <c r="AA100" s="2449"/>
      <c r="AB100" s="2452"/>
      <c r="AC100" s="2449"/>
      <c r="AD100" s="2435"/>
      <c r="AE100" s="2435"/>
    </row>
    <row r="101" spans="1:31">
      <c r="A101" s="2435"/>
      <c r="B101" s="2435"/>
      <c r="C101" s="2435"/>
      <c r="D101" s="2435"/>
      <c r="E101" s="2435"/>
      <c r="F101" s="2435"/>
      <c r="G101" s="2435"/>
      <c r="H101" s="2435"/>
      <c r="I101" s="2435"/>
      <c r="J101" s="2435"/>
      <c r="K101" s="2435"/>
      <c r="L101" s="2435"/>
      <c r="M101" s="2435"/>
      <c r="N101" s="2435"/>
      <c r="O101" s="2435"/>
      <c r="P101" s="2435"/>
      <c r="Q101" s="2435"/>
      <c r="R101" s="2435"/>
      <c r="S101" s="2435"/>
      <c r="T101" s="2435"/>
      <c r="U101" s="2435"/>
      <c r="V101" s="2436"/>
      <c r="W101" s="345"/>
      <c r="X101" s="345"/>
      <c r="Y101" s="2437"/>
      <c r="Z101" s="2435"/>
      <c r="AA101" s="2449"/>
      <c r="AB101" s="2452"/>
      <c r="AC101" s="2449"/>
      <c r="AD101" s="2435"/>
      <c r="AE101" s="2435"/>
    </row>
    <row r="102" spans="1:31">
      <c r="A102" s="2435"/>
      <c r="B102" s="2435"/>
      <c r="C102" s="2435"/>
      <c r="D102" s="2435"/>
      <c r="E102" s="2435"/>
      <c r="F102" s="2435"/>
      <c r="G102" s="2435"/>
      <c r="H102" s="2435"/>
      <c r="I102" s="2435"/>
      <c r="J102" s="2435"/>
      <c r="K102" s="2435"/>
      <c r="L102" s="2435"/>
      <c r="M102" s="2435"/>
      <c r="N102" s="2435"/>
      <c r="O102" s="2435"/>
      <c r="P102" s="2435"/>
      <c r="Q102" s="2435"/>
      <c r="R102" s="2435"/>
      <c r="S102" s="2435"/>
      <c r="T102" s="2435"/>
      <c r="U102" s="2435"/>
      <c r="V102" s="2436"/>
      <c r="W102" s="350"/>
      <c r="X102" s="350"/>
      <c r="Y102" s="2437"/>
      <c r="Z102" s="2435"/>
      <c r="AA102" s="349"/>
      <c r="AB102" s="2452"/>
      <c r="AC102" s="2447"/>
      <c r="AD102" s="2435"/>
      <c r="AE102" s="2435"/>
    </row>
    <row r="103" spans="1:31">
      <c r="A103" s="2435"/>
      <c r="B103" s="2435"/>
      <c r="C103" s="2435"/>
      <c r="D103" s="2435"/>
      <c r="E103" s="2435"/>
      <c r="F103" s="2435"/>
      <c r="G103" s="2435"/>
      <c r="H103" s="2435"/>
      <c r="I103" s="2435"/>
      <c r="J103" s="2435"/>
      <c r="K103" s="2435"/>
      <c r="L103" s="2435"/>
      <c r="M103" s="2435"/>
      <c r="N103" s="2435"/>
      <c r="O103" s="2435"/>
      <c r="P103" s="2435"/>
      <c r="Q103" s="2435"/>
      <c r="R103" s="2435"/>
      <c r="S103" s="2435"/>
      <c r="T103" s="2435"/>
      <c r="U103" s="2435"/>
      <c r="V103" s="2436"/>
      <c r="W103" s="350"/>
      <c r="X103" s="350"/>
      <c r="Y103" s="2435"/>
      <c r="Z103" s="2435"/>
      <c r="AA103" s="2449"/>
      <c r="AB103" s="2452"/>
      <c r="AC103" s="2449"/>
      <c r="AD103" s="2435"/>
      <c r="AE103" s="2435"/>
    </row>
    <row r="104" spans="1:31">
      <c r="A104" s="2435"/>
      <c r="B104" s="2435"/>
      <c r="C104" s="2435"/>
      <c r="D104" s="2435"/>
      <c r="E104" s="2435"/>
      <c r="F104" s="2435"/>
      <c r="G104" s="2435"/>
      <c r="H104" s="2435"/>
      <c r="I104" s="2435"/>
      <c r="J104" s="2435"/>
      <c r="K104" s="2435"/>
      <c r="L104" s="2435"/>
      <c r="M104" s="2435"/>
      <c r="N104" s="2435"/>
      <c r="O104" s="2435"/>
      <c r="P104" s="2435"/>
      <c r="Q104" s="2435"/>
      <c r="R104" s="2435"/>
      <c r="S104" s="2435"/>
      <c r="T104" s="2435"/>
      <c r="U104" s="2435"/>
      <c r="V104" s="2436"/>
      <c r="W104" s="345"/>
      <c r="X104" s="345"/>
      <c r="Y104" s="2437"/>
      <c r="Z104" s="2435"/>
      <c r="AA104" s="349"/>
      <c r="AB104" s="2452"/>
      <c r="AC104" s="2447"/>
      <c r="AD104" s="2435"/>
      <c r="AE104" s="2435"/>
    </row>
  </sheetData>
  <mergeCells count="5">
    <mergeCell ref="V91:AC91"/>
    <mergeCell ref="L58:U58"/>
    <mergeCell ref="T53:U53"/>
    <mergeCell ref="T52:U52"/>
    <mergeCell ref="T54:U54"/>
  </mergeCells>
  <phoneticPr fontId="19" type="noConversion"/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6">
    <tabColor theme="4" tint="0.39997558519241921"/>
  </sheetPr>
  <dimension ref="A1:U204"/>
  <sheetViews>
    <sheetView tabSelected="1" view="pageLayout" zoomScaleNormal="75" workbookViewId="0">
      <selection activeCell="G1" sqref="G1"/>
    </sheetView>
  </sheetViews>
  <sheetFormatPr defaultColWidth="17.85546875" defaultRowHeight="12.75"/>
  <cols>
    <col min="1" max="1" width="6.42578125" style="1383" customWidth="1"/>
    <col min="2" max="2" width="1" style="1383" customWidth="1"/>
    <col min="3" max="3" width="86.28515625" style="1383" customWidth="1"/>
    <col min="4" max="4" width="18.140625" style="1383" customWidth="1"/>
    <col min="5" max="5" width="13.28515625" style="1383" bestFit="1" customWidth="1"/>
    <col min="6" max="6" width="17.42578125" style="1383" customWidth="1"/>
    <col min="7" max="7" width="14.42578125" style="1383" customWidth="1"/>
    <col min="8" max="8" width="19.140625" style="1383" customWidth="1"/>
    <col min="9" max="9" width="12.140625" style="1383" customWidth="1"/>
    <col min="10" max="10" width="18" style="1383" bestFit="1" customWidth="1"/>
    <col min="11" max="11" width="15.140625" style="1383" customWidth="1"/>
    <col min="12" max="12" width="18" style="1383" bestFit="1" customWidth="1"/>
    <col min="13" max="13" width="14.5703125" style="1383" customWidth="1"/>
    <col min="14" max="14" width="22.5703125" style="1383" customWidth="1"/>
    <col min="15" max="15" width="14.7109375" style="1383" customWidth="1"/>
    <col min="16" max="16" width="18" style="1383" bestFit="1" customWidth="1"/>
    <col min="17" max="17" width="12.28515625" style="1383" customWidth="1"/>
    <col min="18" max="18" width="12.85546875" style="1383" customWidth="1"/>
    <col min="19" max="19" width="18" style="1383" customWidth="1"/>
    <col min="20" max="16384" width="17.85546875" style="1383"/>
  </cols>
  <sheetData>
    <row r="1" spans="1:21" ht="15">
      <c r="A1" s="2422" t="str">
        <f>COMPANY</f>
        <v>DUKE ENERGY KENTUCKY, INC.</v>
      </c>
      <c r="B1" s="1412"/>
      <c r="C1" s="1412"/>
      <c r="D1" s="1412"/>
      <c r="E1" s="1412"/>
      <c r="F1" s="1412"/>
      <c r="G1" s="1412"/>
      <c r="H1" s="1412"/>
      <c r="I1" s="1412"/>
      <c r="J1" s="1412"/>
      <c r="K1" s="1412"/>
      <c r="L1" s="1412"/>
      <c r="M1" s="1412"/>
      <c r="N1" s="1412"/>
      <c r="O1" s="1412"/>
      <c r="P1" s="1412"/>
      <c r="Q1" s="1412"/>
      <c r="R1" s="1394"/>
      <c r="S1" s="75"/>
      <c r="T1" s="1394"/>
      <c r="U1" s="1394"/>
    </row>
    <row r="2" spans="1:21" ht="15">
      <c r="A2" s="2422" t="str">
        <f>CASE</f>
        <v>CASE NO. 2017-00321</v>
      </c>
      <c r="B2" s="1412"/>
      <c r="C2" s="1412"/>
      <c r="D2" s="1412"/>
      <c r="E2" s="1412"/>
      <c r="F2" s="1412"/>
      <c r="G2" s="1412"/>
      <c r="H2" s="1412"/>
      <c r="I2" s="1412"/>
      <c r="J2" s="1412"/>
      <c r="K2" s="1412"/>
      <c r="L2" s="1412"/>
      <c r="M2" s="1412"/>
      <c r="N2" s="1412"/>
      <c r="O2" s="1412"/>
      <c r="P2" s="1412"/>
      <c r="Q2" s="1412"/>
      <c r="R2" s="1394"/>
      <c r="S2" s="75"/>
      <c r="T2" s="1394"/>
      <c r="U2" s="1394"/>
    </row>
    <row r="3" spans="1:21" ht="15">
      <c r="A3" s="1412" t="s">
        <v>1979</v>
      </c>
      <c r="B3" s="1412"/>
      <c r="C3" s="1412"/>
      <c r="D3" s="1412"/>
      <c r="E3" s="1412"/>
      <c r="F3" s="1412"/>
      <c r="G3" s="1412"/>
      <c r="H3" s="1412"/>
      <c r="I3" s="1412"/>
      <c r="J3" s="1412"/>
      <c r="K3" s="1412"/>
      <c r="L3" s="1412"/>
      <c r="M3" s="1412"/>
      <c r="N3" s="1412"/>
      <c r="O3" s="1412"/>
      <c r="P3" s="1412"/>
      <c r="Q3" s="1412"/>
      <c r="R3" s="1394"/>
      <c r="S3" s="75"/>
      <c r="T3" s="1394"/>
      <c r="U3" s="1394"/>
    </row>
    <row r="4" spans="1:21" ht="15">
      <c r="A4" s="2423" t="s">
        <v>2381</v>
      </c>
      <c r="B4" s="1412"/>
      <c r="C4" s="1412"/>
      <c r="D4" s="1412"/>
      <c r="E4" s="1412"/>
      <c r="F4" s="1412"/>
      <c r="G4" s="1412"/>
      <c r="H4" s="1412"/>
      <c r="I4" s="1412"/>
      <c r="J4" s="1412"/>
      <c r="K4" s="1412"/>
      <c r="L4" s="1412"/>
      <c r="M4" s="1412"/>
      <c r="N4" s="1412"/>
      <c r="O4" s="1412"/>
      <c r="P4" s="1412"/>
      <c r="Q4" s="1412"/>
      <c r="R4" s="1394"/>
      <c r="S4" s="1394"/>
      <c r="T4" s="1394"/>
      <c r="U4" s="1394"/>
    </row>
    <row r="5" spans="1:21" ht="15">
      <c r="A5" s="75"/>
      <c r="B5" s="1394"/>
      <c r="C5" s="1394"/>
      <c r="D5" s="1394"/>
      <c r="E5" s="1394"/>
      <c r="F5" s="1394"/>
      <c r="G5" s="1394"/>
      <c r="H5" s="1394"/>
      <c r="I5" s="1394"/>
      <c r="J5" s="1394"/>
      <c r="K5" s="1394"/>
      <c r="L5" s="1394"/>
      <c r="M5" s="1394"/>
      <c r="N5" s="1394"/>
      <c r="O5" s="1394"/>
      <c r="P5" s="1394"/>
      <c r="Q5" s="1394"/>
      <c r="R5" s="1394"/>
      <c r="S5" s="1394"/>
      <c r="T5" s="1394"/>
      <c r="U5" s="1394"/>
    </row>
    <row r="6" spans="1:21" ht="15">
      <c r="A6" s="75" t="str">
        <f>DataB</f>
        <v>DATA: "X" BASE PERIOD  "X" FORECASTED PERIOD</v>
      </c>
      <c r="B6" s="1394"/>
      <c r="C6" s="1394"/>
      <c r="D6" s="1394"/>
      <c r="E6" s="1394"/>
      <c r="F6" s="1394"/>
      <c r="G6" s="1394"/>
      <c r="H6" s="1394"/>
      <c r="I6" s="1394"/>
      <c r="J6" s="1394"/>
      <c r="K6" s="1394"/>
      <c r="L6" s="1394"/>
      <c r="M6" s="1394"/>
      <c r="N6" s="75" t="s">
        <v>1980</v>
      </c>
      <c r="O6" s="75"/>
      <c r="P6" s="1394"/>
      <c r="Q6" s="1394"/>
      <c r="R6" s="1394"/>
      <c r="S6" s="1394"/>
      <c r="T6" s="1394"/>
      <c r="U6" s="1394"/>
    </row>
    <row r="7" spans="1:21" ht="15">
      <c r="A7" s="75" t="str">
        <f>Type</f>
        <v xml:space="preserve">TYPE OF FILING:  "X" ORIGINAL   UPDATED    REVISED  </v>
      </c>
      <c r="B7" s="1394"/>
      <c r="C7" s="1394"/>
      <c r="D7" s="1394"/>
      <c r="E7" s="1394"/>
      <c r="F7" s="1394"/>
      <c r="G7" s="1394"/>
      <c r="H7" s="1394"/>
      <c r="I7" s="1394"/>
      <c r="J7" s="1394"/>
      <c r="K7" s="1394"/>
      <c r="L7" s="1394"/>
      <c r="M7" s="1394"/>
      <c r="N7" s="75" t="s">
        <v>1458</v>
      </c>
      <c r="O7" s="75"/>
      <c r="P7" s="1394"/>
      <c r="Q7" s="1394"/>
      <c r="R7" s="1394"/>
      <c r="S7" s="1394"/>
      <c r="T7" s="1394"/>
      <c r="U7" s="1394"/>
    </row>
    <row r="8" spans="1:21" ht="15.75">
      <c r="A8" s="75" t="s">
        <v>1879</v>
      </c>
      <c r="B8" s="1394"/>
      <c r="C8" s="1394"/>
      <c r="D8" s="1394"/>
      <c r="E8" s="1394"/>
      <c r="F8" s="1394"/>
      <c r="G8" s="1394"/>
      <c r="H8" s="48"/>
      <c r="I8" s="1394"/>
      <c r="J8" s="1394"/>
      <c r="K8" s="1394"/>
      <c r="L8" s="1394"/>
      <c r="M8" s="1394"/>
      <c r="N8" s="1394" t="s">
        <v>622</v>
      </c>
      <c r="O8" s="1394"/>
      <c r="P8" s="1394"/>
      <c r="Q8" s="1394"/>
      <c r="R8" s="1394"/>
      <c r="S8" s="1394"/>
      <c r="T8" s="1394"/>
      <c r="U8" s="1394"/>
    </row>
    <row r="9" spans="1:21" ht="15.75">
      <c r="A9" s="75"/>
      <c r="B9" s="1394"/>
      <c r="C9" s="1394"/>
      <c r="D9" s="1394"/>
      <c r="E9" s="1394"/>
      <c r="F9" s="1394"/>
      <c r="G9" s="1394"/>
      <c r="H9" s="48"/>
      <c r="I9" s="1394"/>
      <c r="J9" s="1394"/>
      <c r="K9" s="1394"/>
      <c r="L9" s="1394"/>
      <c r="M9" s="1394"/>
      <c r="N9" s="1394" t="str">
        <f>_WIT6</f>
        <v>R. H. PRATT / D. L. DOSS</v>
      </c>
      <c r="O9" s="1394"/>
      <c r="P9" s="1394"/>
      <c r="Q9" s="1394"/>
      <c r="R9" s="1394"/>
      <c r="S9" s="1394"/>
      <c r="T9" s="1394"/>
      <c r="U9" s="1394"/>
    </row>
    <row r="10" spans="1:21" ht="15">
      <c r="A10" s="75"/>
      <c r="B10" s="1394"/>
      <c r="C10" s="1394"/>
      <c r="D10" s="1394"/>
      <c r="E10" s="1394"/>
      <c r="F10" s="1394"/>
      <c r="G10" s="1394"/>
      <c r="H10" s="1394"/>
      <c r="I10" s="1394"/>
      <c r="J10" s="1394"/>
      <c r="K10" s="1394"/>
      <c r="L10" s="1394"/>
      <c r="M10" s="1394"/>
      <c r="N10" s="1394"/>
      <c r="O10" s="1394"/>
      <c r="P10" s="1394"/>
      <c r="Q10" s="1394"/>
      <c r="R10" s="1394"/>
      <c r="S10" s="1394"/>
      <c r="T10" s="1394"/>
      <c r="U10" s="1394"/>
    </row>
    <row r="11" spans="1:21" ht="15">
      <c r="A11" s="1394"/>
      <c r="B11" s="1394"/>
      <c r="C11" s="1394"/>
      <c r="D11" s="1410" t="s">
        <v>455</v>
      </c>
      <c r="E11" s="1394"/>
      <c r="F11" s="1394"/>
      <c r="G11" s="1394"/>
      <c r="H11" s="1409" t="s">
        <v>1982</v>
      </c>
      <c r="I11" s="1409"/>
      <c r="J11" s="1408"/>
      <c r="K11" s="1408"/>
      <c r="L11" s="1408"/>
      <c r="M11" s="1408"/>
      <c r="N11" s="1408"/>
      <c r="O11" s="1408"/>
      <c r="P11" s="1408"/>
      <c r="Q11" s="1384"/>
      <c r="R11" s="1394"/>
      <c r="S11" s="1394"/>
      <c r="T11" s="1394"/>
      <c r="U11" s="1394"/>
    </row>
    <row r="12" spans="1:21" ht="15">
      <c r="A12" s="2424" t="s">
        <v>1961</v>
      </c>
      <c r="B12" s="1406"/>
      <c r="C12" s="1406"/>
      <c r="D12" s="1406" t="s">
        <v>1143</v>
      </c>
      <c r="E12" s="1406" t="s">
        <v>363</v>
      </c>
      <c r="F12" s="1407" t="s">
        <v>564</v>
      </c>
      <c r="G12" s="1406" t="s">
        <v>363</v>
      </c>
      <c r="H12" s="1394"/>
      <c r="I12" s="1406" t="s">
        <v>363</v>
      </c>
      <c r="J12" s="1394"/>
      <c r="K12" s="1406" t="s">
        <v>363</v>
      </c>
      <c r="L12" s="1394"/>
      <c r="M12" s="1406" t="s">
        <v>363</v>
      </c>
      <c r="N12" s="1394"/>
      <c r="O12" s="1406" t="s">
        <v>363</v>
      </c>
      <c r="P12" s="1394"/>
      <c r="Q12" s="1405" t="s">
        <v>363</v>
      </c>
      <c r="R12" s="1394"/>
      <c r="S12" s="1394"/>
      <c r="T12" s="1394"/>
      <c r="U12" s="1394"/>
    </row>
    <row r="13" spans="1:21" ht="15">
      <c r="A13" s="1403" t="s">
        <v>90</v>
      </c>
      <c r="B13" s="1406"/>
      <c r="C13" s="1403" t="s">
        <v>1874</v>
      </c>
      <c r="D13" s="1404" t="s">
        <v>568</v>
      </c>
      <c r="E13" s="1404" t="s">
        <v>1937</v>
      </c>
      <c r="F13" s="1404" t="s">
        <v>568</v>
      </c>
      <c r="G13" s="1404" t="s">
        <v>1937</v>
      </c>
      <c r="H13" s="44">
        <v>2016</v>
      </c>
      <c r="I13" s="1404" t="s">
        <v>1937</v>
      </c>
      <c r="J13" s="1403">
        <f>H13-1</f>
        <v>2015</v>
      </c>
      <c r="K13" s="1404" t="s">
        <v>1937</v>
      </c>
      <c r="L13" s="1403">
        <f>J13-1</f>
        <v>2014</v>
      </c>
      <c r="M13" s="1404" t="s">
        <v>1937</v>
      </c>
      <c r="N13" s="1403">
        <f>L13-1</f>
        <v>2013</v>
      </c>
      <c r="O13" s="1404" t="s">
        <v>1937</v>
      </c>
      <c r="P13" s="1403">
        <f>N13-1</f>
        <v>2012</v>
      </c>
      <c r="Q13" s="1404" t="s">
        <v>1937</v>
      </c>
      <c r="R13" s="1394"/>
      <c r="S13" s="1403">
        <f>P13-1</f>
        <v>2011</v>
      </c>
      <c r="T13" s="1394"/>
      <c r="U13" s="1394"/>
    </row>
    <row r="14" spans="1:21" ht="15.75">
      <c r="A14" s="1396">
        <v>1</v>
      </c>
      <c r="B14" s="1394"/>
      <c r="C14" s="50" t="s">
        <v>1983</v>
      </c>
      <c r="D14" s="50"/>
      <c r="E14" s="50"/>
      <c r="F14" s="1417"/>
      <c r="G14" s="1417"/>
      <c r="H14" s="1417"/>
      <c r="I14" s="1417"/>
      <c r="J14" s="1416" t="s">
        <v>529</v>
      </c>
      <c r="K14" s="1416"/>
      <c r="L14" s="1417"/>
      <c r="M14" s="1417"/>
      <c r="N14" s="1417"/>
      <c r="O14" s="1417"/>
      <c r="P14" s="1417"/>
      <c r="Q14" s="1417"/>
      <c r="R14" s="1397"/>
      <c r="S14" s="1416" t="s">
        <v>529</v>
      </c>
      <c r="T14" s="1397"/>
      <c r="U14" s="1397"/>
    </row>
    <row r="15" spans="1:21" ht="15.75">
      <c r="A15" s="1396">
        <v>2</v>
      </c>
      <c r="B15" s="1394"/>
      <c r="C15" s="50" t="s">
        <v>1984</v>
      </c>
      <c r="D15" s="50"/>
      <c r="E15" s="50"/>
      <c r="F15" s="1397"/>
      <c r="G15" s="1397"/>
      <c r="H15" s="1397"/>
      <c r="I15" s="1397"/>
      <c r="J15" s="1397"/>
      <c r="K15" s="1397"/>
      <c r="L15" s="1397"/>
      <c r="M15" s="1397"/>
      <c r="N15" s="1397"/>
      <c r="O15" s="1397"/>
      <c r="P15" s="1397"/>
      <c r="Q15" s="1397"/>
      <c r="R15" s="1397"/>
      <c r="S15" s="1397"/>
      <c r="T15" s="1397"/>
      <c r="U15" s="1397"/>
    </row>
    <row r="16" spans="1:21" ht="15">
      <c r="A16" s="1396">
        <v>3</v>
      </c>
      <c r="B16" s="1394"/>
      <c r="C16" s="75" t="s">
        <v>916</v>
      </c>
      <c r="D16" s="74">
        <f>2343019406-20271521</f>
        <v>2322747885</v>
      </c>
      <c r="E16" s="1401">
        <f>IF(F16=0,"-",ROUND((D16-F16)/ABS(F16),4))</f>
        <v>9.5600000000000004E-2</v>
      </c>
      <c r="F16" s="74">
        <f>2120020109-2206</f>
        <v>2120017903</v>
      </c>
      <c r="G16" s="1401">
        <f>IF(H16=0,"-",ROUND((F16-H16)/ABS(H16),4))</f>
        <v>3.3000000000000002E-2</v>
      </c>
      <c r="H16" s="74">
        <v>2052384114</v>
      </c>
      <c r="I16" s="1401">
        <f>IF(J16=0,"-",ROUND((H16-J16)/ABS(J16),4))</f>
        <v>7.9000000000000008E-3</v>
      </c>
      <c r="J16" s="74">
        <v>2036397765</v>
      </c>
      <c r="K16" s="1401">
        <f>IF(L16=0,"-",ROUND((J16-L16)/ABS(L16),4))</f>
        <v>0.14680000000000001</v>
      </c>
      <c r="L16" s="74">
        <v>1775690380</v>
      </c>
      <c r="M16" s="1401">
        <f>IF(N16=0,"-",ROUND((L16-N16)/ABS(N16),4))</f>
        <v>3.5799999999999998E-2</v>
      </c>
      <c r="N16" s="74">
        <v>1714335197</v>
      </c>
      <c r="O16" s="1401">
        <f>IF(P16=0,"-",ROUND((N16-P16)/ABS(P16),4))</f>
        <v>1.84E-2</v>
      </c>
      <c r="P16" s="74">
        <v>1683376033</v>
      </c>
      <c r="Q16" s="1401">
        <f>IF(S16=0,"-",ROUND((P16-S16)/ABS(S16),4))</f>
        <v>3.3000000000000002E-2</v>
      </c>
      <c r="R16" s="1397"/>
      <c r="S16" s="74">
        <v>1629663486</v>
      </c>
      <c r="T16" s="1397"/>
      <c r="U16" s="1397"/>
    </row>
    <row r="17" spans="1:21" ht="15">
      <c r="A17" s="1396">
        <v>4</v>
      </c>
      <c r="B17" s="1394"/>
      <c r="C17" s="75" t="s">
        <v>917</v>
      </c>
      <c r="D17" s="24">
        <v>95865155</v>
      </c>
      <c r="E17" s="1401">
        <f>IF(F17=0,"-",ROUND((D17-F17)/ABS(F17),4))</f>
        <v>-0.31809999999999999</v>
      </c>
      <c r="F17" s="24">
        <v>140588237</v>
      </c>
      <c r="G17" s="1401">
        <f>IF(H17=0,"-",ROUND((F17-H17)/ABS(H17),4))</f>
        <v>1.2023999999999999</v>
      </c>
      <c r="H17" s="24">
        <v>63832972</v>
      </c>
      <c r="I17" s="1401">
        <f>IF(J17=0,"-",ROUND((H17-J17)/ABS(J17),4))</f>
        <v>0.47210000000000002</v>
      </c>
      <c r="J17" s="24">
        <v>43361285</v>
      </c>
      <c r="K17" s="1401">
        <f>IF(L17=0,"-",ROUND((J17-L17)/ABS(L17),4))</f>
        <v>1.9106000000000001</v>
      </c>
      <c r="L17" s="24">
        <v>14897654</v>
      </c>
      <c r="M17" s="1401">
        <f>IF(N17=0,"-",ROUND((L17-N17)/ABS(N17),4))</f>
        <v>-0.4476</v>
      </c>
      <c r="N17" s="24">
        <v>26970335</v>
      </c>
      <c r="O17" s="1401">
        <f>IF(P17=0,"-",ROUND((N17-P17)/ABS(P17),4))</f>
        <v>0.2928</v>
      </c>
      <c r="P17" s="24">
        <v>20861207</v>
      </c>
      <c r="Q17" s="1401">
        <f>IF(S17=0,"-",ROUND((P17-S17)/ABS(S17),4))</f>
        <v>-0.2445</v>
      </c>
      <c r="R17" s="1397"/>
      <c r="S17" s="24">
        <v>27611713</v>
      </c>
      <c r="T17" s="1397"/>
      <c r="U17" s="1397"/>
    </row>
    <row r="18" spans="1:21" ht="15">
      <c r="A18" s="1396">
        <v>5</v>
      </c>
      <c r="B18" s="1394"/>
      <c r="C18" s="75" t="s">
        <v>918</v>
      </c>
      <c r="D18" s="1348">
        <f>D17+D16</f>
        <v>2418613040</v>
      </c>
      <c r="E18" s="1401">
        <f>IF(F18=0,"-",ROUND((D18-F18)/ABS(F18),4))</f>
        <v>6.9900000000000004E-2</v>
      </c>
      <c r="F18" s="1348">
        <f>F17+F16</f>
        <v>2260606140</v>
      </c>
      <c r="G18" s="1401">
        <f>IF(H18=0,"-",ROUND((F18-H18)/ABS(H18),4))</f>
        <v>6.8199999999999997E-2</v>
      </c>
      <c r="H18" s="1348">
        <f>H17+H16</f>
        <v>2116217086</v>
      </c>
      <c r="I18" s="1401">
        <f>IF(J18=0,"-",ROUND((H18-J18)/ABS(J18),4))</f>
        <v>1.7500000000000002E-2</v>
      </c>
      <c r="J18" s="1348">
        <f>J17+J16</f>
        <v>2079759050</v>
      </c>
      <c r="K18" s="1401">
        <f>IF(L18=0,"-",ROUND((J18-L18)/ABS(L18),4))</f>
        <v>0.1615</v>
      </c>
      <c r="L18" s="1348">
        <f>L17+L16</f>
        <v>1790588034</v>
      </c>
      <c r="M18" s="1401">
        <f>IF(N18=0,"-",ROUND((L18-N18)/ABS(N18),4))</f>
        <v>2.8299999999999999E-2</v>
      </c>
      <c r="N18" s="1348">
        <f>N17+N16</f>
        <v>1741305532</v>
      </c>
      <c r="O18" s="1401">
        <f>IF(P18=0,"-",ROUND((N18-P18)/ABS(P18),4))</f>
        <v>2.18E-2</v>
      </c>
      <c r="P18" s="1348">
        <f>P17+P16</f>
        <v>1704237240</v>
      </c>
      <c r="Q18" s="1401">
        <f>IF(S18=0,"-",ROUND((P18-S18)/ABS(S18),4))</f>
        <v>2.8299999999999999E-2</v>
      </c>
      <c r="R18" s="1397"/>
      <c r="S18" s="1348">
        <f>S17+S16</f>
        <v>1657275199</v>
      </c>
      <c r="T18" s="1397"/>
      <c r="U18" s="1397"/>
    </row>
    <row r="19" spans="1:21" ht="15">
      <c r="A19" s="1396">
        <v>6</v>
      </c>
      <c r="B19" s="1394"/>
      <c r="C19" s="75" t="s">
        <v>919</v>
      </c>
      <c r="D19" s="74">
        <v>1039717565</v>
      </c>
      <c r="E19" s="1401">
        <f>IF(F19=0,"-",ROUND((D19-F19)/ABS(F19),4))</f>
        <v>1.5599999999999999E-2</v>
      </c>
      <c r="F19" s="74">
        <v>1023697767</v>
      </c>
      <c r="G19" s="1401">
        <f>IF(H19=0,"-",ROUND((F19-H19)/ABS(H19),4))</f>
        <v>2.2700000000000001E-2</v>
      </c>
      <c r="H19" s="74">
        <v>1001008038</v>
      </c>
      <c r="I19" s="1401">
        <f>IF(J19=0,"-",ROUND((H19-J19)/ABS(J19),4))</f>
        <v>2.3300000000000001E-2</v>
      </c>
      <c r="J19" s="74">
        <v>978193739</v>
      </c>
      <c r="K19" s="1401">
        <f>IF(L19=0,"-",ROUND((J19-L19)/ABS(L19),4))</f>
        <v>0.1996</v>
      </c>
      <c r="L19" s="74">
        <v>815420481</v>
      </c>
      <c r="M19" s="1401">
        <f>IF(N19=0,"-",ROUND((L19-N19)/ABS(N19),4))</f>
        <v>2.06E-2</v>
      </c>
      <c r="N19" s="74">
        <v>798974880</v>
      </c>
      <c r="O19" s="1401">
        <f>IF(P19=0,"-",ROUND((N19-P19)/ABS(P19),4))</f>
        <v>4.9000000000000002E-2</v>
      </c>
      <c r="P19" s="74">
        <v>761652249</v>
      </c>
      <c r="Q19" s="1401">
        <f>IF(S19=0,"-",ROUND((P19-S19)/ABS(S19),4))</f>
        <v>2.3300000000000001E-2</v>
      </c>
      <c r="R19" s="1397"/>
      <c r="S19" s="74">
        <v>744281884</v>
      </c>
      <c r="T19" s="1397"/>
      <c r="U19" s="1397"/>
    </row>
    <row r="20" spans="1:21" ht="15">
      <c r="A20" s="1396">
        <v>7</v>
      </c>
      <c r="B20" s="1394"/>
      <c r="C20" s="75" t="s">
        <v>920</v>
      </c>
      <c r="D20" s="1402">
        <f>D18-D19</f>
        <v>1378895475</v>
      </c>
      <c r="E20" s="1401">
        <f>IF(F20=0,"-",ROUND((D20-F20)/ABS(F20),4))</f>
        <v>0.1148</v>
      </c>
      <c r="F20" s="1402">
        <f>F18-F19</f>
        <v>1236908373</v>
      </c>
      <c r="G20" s="1401">
        <f>IF(H20=0,"-",ROUND((F20-H20)/ABS(H20),4))</f>
        <v>0.1091</v>
      </c>
      <c r="H20" s="1402">
        <f>H18-H19</f>
        <v>1115209048</v>
      </c>
      <c r="I20" s="1401">
        <f>IF(J20=0,"-",ROUND((H20-J20)/ABS(J20),4))</f>
        <v>1.24E-2</v>
      </c>
      <c r="J20" s="1402">
        <f>J18-J19</f>
        <v>1101565311</v>
      </c>
      <c r="K20" s="1401">
        <f>IF(L20=0,"-",ROUND((J20-L20)/ABS(L20),4))</f>
        <v>0.12959999999999999</v>
      </c>
      <c r="L20" s="1402">
        <f>L18-L19</f>
        <v>975167553</v>
      </c>
      <c r="M20" s="1401">
        <f>IF(N20=0,"-",ROUND((L20-N20)/ABS(N20),4))</f>
        <v>3.4799999999999998E-2</v>
      </c>
      <c r="N20" s="1402">
        <f>N18-N19</f>
        <v>942330652</v>
      </c>
      <c r="O20" s="1401">
        <f>IF(P20=0,"-",ROUND((N20-P20)/ABS(P20),4))</f>
        <v>-2.9999999999999997E-4</v>
      </c>
      <c r="P20" s="1402">
        <f>P18-P19</f>
        <v>942584991</v>
      </c>
      <c r="Q20" s="1401">
        <f>IF(S20=0,"-",ROUND((P20-S20)/ABS(S20),4))</f>
        <v>3.2399999999999998E-2</v>
      </c>
      <c r="R20" s="1397"/>
      <c r="S20" s="1402">
        <f>S18-S19</f>
        <v>912993315</v>
      </c>
      <c r="T20" s="1397"/>
      <c r="U20" s="1397"/>
    </row>
    <row r="21" spans="1:21" ht="15.75">
      <c r="A21" s="1396">
        <v>8</v>
      </c>
      <c r="B21" s="1394"/>
      <c r="C21" s="50" t="s">
        <v>921</v>
      </c>
      <c r="D21" s="1348"/>
      <c r="E21" s="1348"/>
      <c r="F21" s="1348"/>
      <c r="G21" s="1348"/>
      <c r="H21" s="1348"/>
      <c r="I21" s="1348"/>
      <c r="J21" s="1348"/>
      <c r="K21" s="1348"/>
      <c r="L21" s="1348"/>
      <c r="M21" s="1348"/>
      <c r="N21" s="1348"/>
      <c r="O21" s="1348"/>
      <c r="P21" s="1348"/>
      <c r="Q21" s="1348"/>
      <c r="R21" s="1397"/>
      <c r="S21" s="1348"/>
      <c r="T21" s="1397"/>
      <c r="U21" s="1397"/>
    </row>
    <row r="22" spans="1:21" ht="15">
      <c r="A22" s="1396">
        <v>9</v>
      </c>
      <c r="B22" s="1394"/>
      <c r="C22" s="75" t="s">
        <v>922</v>
      </c>
      <c r="D22" s="74">
        <v>2206</v>
      </c>
      <c r="E22" s="1401">
        <f t="shared" ref="E22:E28" si="0">IF(F22=0,"-",ROUND((D22-F22)/ABS(F22),4))</f>
        <v>0</v>
      </c>
      <c r="F22" s="74">
        <v>2206</v>
      </c>
      <c r="G22" s="1401">
        <f t="shared" ref="G22:G28" si="1">IF(H22=0,"-",ROUND((F22-H22)/ABS(H22),4))</f>
        <v>0</v>
      </c>
      <c r="H22" s="74">
        <v>2206</v>
      </c>
      <c r="I22" s="1401">
        <f t="shared" ref="I22:I28" si="2">IF(J22=0,"-",ROUND((H22-J22)/ABS(J22),4))</f>
        <v>0</v>
      </c>
      <c r="J22" s="74">
        <v>2206</v>
      </c>
      <c r="K22" s="1401">
        <f t="shared" ref="K22:K28" si="3">IF(L22=0,"-",ROUND((J22-L22)/ABS(L22),4))</f>
        <v>0</v>
      </c>
      <c r="L22" s="74">
        <v>2206</v>
      </c>
      <c r="M22" s="1401">
        <f t="shared" ref="M22:M28" si="4">IF(N22=0,"-",ROUND((L22-N22)/ABS(N22),4))</f>
        <v>0</v>
      </c>
      <c r="N22" s="74">
        <v>2206</v>
      </c>
      <c r="O22" s="1401">
        <f t="shared" ref="O22:O28" si="5">IF(P22=0,"-",ROUND((N22-P22)/ABS(P22),4))</f>
        <v>-0.99990000000000001</v>
      </c>
      <c r="P22" s="74">
        <v>24088348</v>
      </c>
      <c r="Q22" s="1401">
        <f t="shared" ref="Q22:Q28" si="6">IF(S22=0,"-",ROUND((P22-S22)/ABS(S22),4))</f>
        <v>0</v>
      </c>
      <c r="R22" s="1397"/>
      <c r="S22" s="74">
        <v>24088348</v>
      </c>
      <c r="T22" s="1397"/>
      <c r="U22" s="1397"/>
    </row>
    <row r="23" spans="1:21" ht="15">
      <c r="A23" s="1396">
        <v>10</v>
      </c>
      <c r="B23" s="1394"/>
      <c r="C23" s="75" t="s">
        <v>1037</v>
      </c>
      <c r="D23" s="74"/>
      <c r="E23" s="1401" t="str">
        <f t="shared" si="0"/>
        <v>-</v>
      </c>
      <c r="F23" s="74">
        <v>0</v>
      </c>
      <c r="G23" s="1401" t="str">
        <f t="shared" si="1"/>
        <v>-</v>
      </c>
      <c r="H23" s="74">
        <v>0</v>
      </c>
      <c r="I23" s="1401" t="str">
        <f t="shared" si="2"/>
        <v>-</v>
      </c>
      <c r="J23" s="74">
        <v>0</v>
      </c>
      <c r="K23" s="1401" t="str">
        <f t="shared" si="3"/>
        <v>-</v>
      </c>
      <c r="L23" s="74">
        <v>0</v>
      </c>
      <c r="M23" s="1401" t="str">
        <f t="shared" si="4"/>
        <v>-</v>
      </c>
      <c r="N23" s="74">
        <v>0</v>
      </c>
      <c r="O23" s="1401">
        <f t="shared" si="5"/>
        <v>-1</v>
      </c>
      <c r="P23" s="74">
        <v>18613056</v>
      </c>
      <c r="Q23" s="1401">
        <f t="shared" si="6"/>
        <v>5.0200000000000002E-2</v>
      </c>
      <c r="R23" s="1397"/>
      <c r="S23" s="74">
        <v>17723306</v>
      </c>
      <c r="T23" s="1397"/>
      <c r="U23" s="1397"/>
    </row>
    <row r="24" spans="1:21" ht="15">
      <c r="A24" s="1396">
        <v>11</v>
      </c>
      <c r="B24" s="1394"/>
      <c r="C24" s="75" t="s">
        <v>2308</v>
      </c>
      <c r="D24" s="74"/>
      <c r="E24" s="1401" t="str">
        <f t="shared" si="0"/>
        <v>-</v>
      </c>
      <c r="F24" s="74">
        <v>0</v>
      </c>
      <c r="G24" s="1401" t="str">
        <f t="shared" si="1"/>
        <v>-</v>
      </c>
      <c r="H24" s="74">
        <v>0</v>
      </c>
      <c r="I24" s="1401" t="str">
        <f t="shared" si="2"/>
        <v>-</v>
      </c>
      <c r="J24" s="74">
        <v>0</v>
      </c>
      <c r="K24" s="1401" t="str">
        <f t="shared" si="3"/>
        <v>-</v>
      </c>
      <c r="L24" s="74">
        <v>0</v>
      </c>
      <c r="M24" s="1401" t="str">
        <f t="shared" si="4"/>
        <v>-</v>
      </c>
      <c r="N24" s="74">
        <v>0</v>
      </c>
      <c r="O24" s="1401" t="str">
        <f t="shared" si="5"/>
        <v>-</v>
      </c>
      <c r="P24" s="74">
        <v>0</v>
      </c>
      <c r="Q24" s="1401" t="str">
        <f t="shared" si="6"/>
        <v>-</v>
      </c>
      <c r="R24" s="1397"/>
      <c r="S24" s="74">
        <v>0</v>
      </c>
      <c r="T24" s="1397"/>
      <c r="U24" s="1397"/>
    </row>
    <row r="25" spans="1:21" ht="15">
      <c r="A25" s="1396">
        <v>12</v>
      </c>
      <c r="B25" s="1394"/>
      <c r="C25" s="75" t="s">
        <v>923</v>
      </c>
      <c r="D25" s="74">
        <v>1500</v>
      </c>
      <c r="E25" s="1401">
        <f t="shared" si="0"/>
        <v>0</v>
      </c>
      <c r="F25" s="74">
        <v>1500</v>
      </c>
      <c r="G25" s="1401">
        <f t="shared" si="1"/>
        <v>0</v>
      </c>
      <c r="H25" s="74">
        <v>1500</v>
      </c>
      <c r="I25" s="1401">
        <f t="shared" si="2"/>
        <v>0</v>
      </c>
      <c r="J25" s="74">
        <v>1500</v>
      </c>
      <c r="K25" s="1401">
        <f t="shared" si="3"/>
        <v>0</v>
      </c>
      <c r="L25" s="74">
        <v>1500</v>
      </c>
      <c r="M25" s="1401">
        <f t="shared" si="4"/>
        <v>0</v>
      </c>
      <c r="N25" s="74">
        <v>1500</v>
      </c>
      <c r="O25" s="1401">
        <f t="shared" si="5"/>
        <v>0</v>
      </c>
      <c r="P25" s="74">
        <v>1500</v>
      </c>
      <c r="Q25" s="1401">
        <f t="shared" si="6"/>
        <v>0</v>
      </c>
      <c r="R25" s="1397"/>
      <c r="S25" s="74">
        <v>1500</v>
      </c>
      <c r="T25" s="1397"/>
      <c r="U25" s="1397"/>
    </row>
    <row r="26" spans="1:21" ht="15">
      <c r="A26" s="1396">
        <v>13</v>
      </c>
      <c r="B26" s="1394"/>
      <c r="C26" s="75" t="s">
        <v>924</v>
      </c>
      <c r="D26" s="74">
        <v>1715645</v>
      </c>
      <c r="E26" s="1401">
        <f t="shared" si="0"/>
        <v>-7.85E-2</v>
      </c>
      <c r="F26" s="74">
        <v>1861775</v>
      </c>
      <c r="G26" s="1401">
        <f t="shared" si="1"/>
        <v>8.5199999999999998E-2</v>
      </c>
      <c r="H26" s="74">
        <v>1715645</v>
      </c>
      <c r="I26" s="1401">
        <f t="shared" si="2"/>
        <v>0.5302</v>
      </c>
      <c r="J26" s="74">
        <v>1121197</v>
      </c>
      <c r="K26" s="1401">
        <f t="shared" si="3"/>
        <v>1.3486</v>
      </c>
      <c r="L26" s="74">
        <v>477394</v>
      </c>
      <c r="M26" s="1401">
        <f t="shared" si="4"/>
        <v>-0.69320000000000004</v>
      </c>
      <c r="N26" s="74">
        <v>1556265</v>
      </c>
      <c r="O26" s="1401" t="str">
        <f t="shared" si="5"/>
        <v>-</v>
      </c>
      <c r="P26" s="74">
        <v>0</v>
      </c>
      <c r="Q26" s="1401" t="str">
        <f t="shared" si="6"/>
        <v>-</v>
      </c>
      <c r="R26" s="1397"/>
      <c r="S26" s="74">
        <v>0</v>
      </c>
      <c r="T26" s="1397"/>
      <c r="U26" s="1397"/>
    </row>
    <row r="27" spans="1:21" ht="15">
      <c r="A27" s="1396">
        <v>14</v>
      </c>
      <c r="B27" s="1394"/>
      <c r="C27" s="75" t="s">
        <v>2602</v>
      </c>
      <c r="D27" s="74">
        <v>954187</v>
      </c>
      <c r="E27" s="1401">
        <f t="shared" si="0"/>
        <v>-1.4E-3</v>
      </c>
      <c r="F27" s="74">
        <v>955550</v>
      </c>
      <c r="G27" s="1401">
        <f t="shared" si="1"/>
        <v>1.4E-3</v>
      </c>
      <c r="H27" s="74">
        <v>954187</v>
      </c>
      <c r="I27" s="1401" t="str">
        <f t="shared" si="2"/>
        <v>-</v>
      </c>
      <c r="J27" s="74">
        <v>0</v>
      </c>
      <c r="K27" s="1401" t="str">
        <f t="shared" si="3"/>
        <v>-</v>
      </c>
      <c r="L27" s="74">
        <v>0</v>
      </c>
      <c r="M27" s="1401" t="str">
        <f t="shared" si="4"/>
        <v>-</v>
      </c>
      <c r="N27" s="74">
        <v>0</v>
      </c>
      <c r="O27" s="1401" t="str">
        <f t="shared" si="5"/>
        <v>-</v>
      </c>
      <c r="P27" s="74">
        <v>0</v>
      </c>
      <c r="Q27" s="1401" t="str">
        <f t="shared" si="6"/>
        <v>-</v>
      </c>
      <c r="R27" s="1397"/>
      <c r="S27" s="74">
        <v>0</v>
      </c>
      <c r="T27" s="1397"/>
      <c r="U27" s="1397"/>
    </row>
    <row r="28" spans="1:21" ht="15">
      <c r="A28" s="1396">
        <v>15</v>
      </c>
      <c r="B28" s="1394"/>
      <c r="C28" s="75" t="s">
        <v>925</v>
      </c>
      <c r="D28" s="1402">
        <f>D22-D23+D24+D25+D26+D27</f>
        <v>2673538</v>
      </c>
      <c r="E28" s="1401">
        <f t="shared" si="0"/>
        <v>-5.2299999999999999E-2</v>
      </c>
      <c r="F28" s="1402">
        <f>F22-F23+F24+F25+F26+F27</f>
        <v>2821031</v>
      </c>
      <c r="G28" s="1401">
        <f t="shared" si="1"/>
        <v>5.5199999999999999E-2</v>
      </c>
      <c r="H28" s="1402">
        <f>H22-H23+H24+H25+H26+H27</f>
        <v>2673538</v>
      </c>
      <c r="I28" s="1401">
        <f t="shared" si="2"/>
        <v>1.3767</v>
      </c>
      <c r="J28" s="1402">
        <f>J22-J23+J24+J25+J26+J27</f>
        <v>1124903</v>
      </c>
      <c r="K28" s="1401">
        <f t="shared" si="3"/>
        <v>1.3382000000000001</v>
      </c>
      <c r="L28" s="1402">
        <f>L22-L23+L24+L25+L26+L27</f>
        <v>481100</v>
      </c>
      <c r="M28" s="1401">
        <f t="shared" si="4"/>
        <v>-0.69159999999999999</v>
      </c>
      <c r="N28" s="1402">
        <f>N22-N23+N24+N25+N26+N27</f>
        <v>1559971</v>
      </c>
      <c r="O28" s="1401">
        <f t="shared" si="5"/>
        <v>-0.71519999999999995</v>
      </c>
      <c r="P28" s="1402">
        <f>P22-P23+P24+P25+P26+P27</f>
        <v>5476792</v>
      </c>
      <c r="Q28" s="1401">
        <f t="shared" si="6"/>
        <v>-0.13980000000000001</v>
      </c>
      <c r="R28" s="1397"/>
      <c r="S28" s="1402">
        <f>S22-S23+S24+S25+S26+S27</f>
        <v>6366542</v>
      </c>
      <c r="T28" s="1397"/>
      <c r="U28" s="1397"/>
    </row>
    <row r="29" spans="1:21" ht="15.75">
      <c r="A29" s="1396">
        <v>16</v>
      </c>
      <c r="B29" s="1394"/>
      <c r="C29" s="50" t="s">
        <v>926</v>
      </c>
      <c r="D29" s="1348"/>
      <c r="E29" s="1348"/>
      <c r="F29" s="1348"/>
      <c r="G29" s="1348"/>
      <c r="H29" s="1348"/>
      <c r="I29" s="1348"/>
      <c r="J29" s="1348"/>
      <c r="K29" s="1348"/>
      <c r="L29" s="1348"/>
      <c r="M29" s="1348"/>
      <c r="N29" s="1348"/>
      <c r="O29" s="1348"/>
      <c r="P29" s="1348"/>
      <c r="Q29" s="1348"/>
      <c r="R29" s="1397"/>
      <c r="S29" s="1348"/>
      <c r="T29" s="1397"/>
      <c r="U29" s="1397"/>
    </row>
    <row r="30" spans="1:21" ht="15">
      <c r="A30" s="1396">
        <v>17</v>
      </c>
      <c r="B30" s="1394"/>
      <c r="C30" s="75" t="s">
        <v>927</v>
      </c>
      <c r="D30" s="1295">
        <v>5167094</v>
      </c>
      <c r="E30" s="1401">
        <f t="shared" ref="E30:E50" si="7">IF(F30=0,"-",ROUND((D30-F30)/ABS(F30),4))</f>
        <v>-0.83379999999999999</v>
      </c>
      <c r="F30" s="1295">
        <v>31080935</v>
      </c>
      <c r="G30" s="1401">
        <f t="shared" ref="G30:G50" si="8">IF(H30=0,"-",ROUND((F30-H30)/ABS(H30),4))</f>
        <v>3.7568999999999999</v>
      </c>
      <c r="H30" s="1295">
        <v>6533836</v>
      </c>
      <c r="I30" s="1401">
        <f t="shared" ref="I30:I50" si="9">IF(J30=0,"-",ROUND((H30-J30)/ABS(J30),4))</f>
        <v>-0.28520000000000001</v>
      </c>
      <c r="J30" s="1295">
        <v>9140810</v>
      </c>
      <c r="K30" s="1401">
        <f t="shared" ref="K30:K50" si="10">IF(L30=0,"-",ROUND((J30-L30)/ABS(L30),4))</f>
        <v>-0.19159999999999999</v>
      </c>
      <c r="L30" s="1295">
        <v>11306908</v>
      </c>
      <c r="M30" s="1401">
        <f t="shared" ref="M30:M50" si="11">IF(N30=0,"-",ROUND((L30-N30)/ABS(N30),4))</f>
        <v>-0.1328</v>
      </c>
      <c r="N30" s="1295">
        <v>13037744</v>
      </c>
      <c r="O30" s="1401">
        <f t="shared" ref="O30:O50" si="12">IF(P30=0,"-",ROUND((N30-P30)/ABS(P30),4))</f>
        <v>0.21929999999999999</v>
      </c>
      <c r="P30" s="1295">
        <v>10692801</v>
      </c>
      <c r="Q30" s="1401">
        <f t="shared" ref="Q30:Q50" si="13">IF(S30=0,"-",ROUND((P30-S30)/ABS(S30),4))</f>
        <v>8.3000000000000004E-2</v>
      </c>
      <c r="R30" s="1397"/>
      <c r="S30" s="74">
        <v>9873513</v>
      </c>
      <c r="T30" s="1397"/>
      <c r="U30" s="1397"/>
    </row>
    <row r="31" spans="1:21" ht="15">
      <c r="A31" s="1396">
        <v>18</v>
      </c>
      <c r="B31" s="1394"/>
      <c r="C31" s="75" t="s">
        <v>928</v>
      </c>
      <c r="D31" s="1295"/>
      <c r="E31" s="1401" t="str">
        <f t="shared" si="7"/>
        <v>-</v>
      </c>
      <c r="F31" s="1295"/>
      <c r="G31" s="1401" t="str">
        <f t="shared" si="8"/>
        <v>-</v>
      </c>
      <c r="H31" s="1295">
        <v>0</v>
      </c>
      <c r="I31" s="1401" t="str">
        <f t="shared" si="9"/>
        <v>-</v>
      </c>
      <c r="J31" s="1295">
        <v>0</v>
      </c>
      <c r="K31" s="1401" t="str">
        <f t="shared" si="10"/>
        <v>-</v>
      </c>
      <c r="L31" s="1295">
        <v>0</v>
      </c>
      <c r="M31" s="1401" t="str">
        <f t="shared" si="11"/>
        <v>-</v>
      </c>
      <c r="N31" s="1295">
        <v>0</v>
      </c>
      <c r="O31" s="1401" t="str">
        <f t="shared" si="12"/>
        <v>-</v>
      </c>
      <c r="P31" s="1295">
        <v>0</v>
      </c>
      <c r="Q31" s="1401" t="str">
        <f t="shared" si="13"/>
        <v>-</v>
      </c>
      <c r="R31" s="1397"/>
      <c r="S31" s="74">
        <v>0</v>
      </c>
      <c r="T31" s="1397"/>
      <c r="U31" s="1397"/>
    </row>
    <row r="32" spans="1:21" ht="15">
      <c r="A32" s="1396">
        <v>19</v>
      </c>
      <c r="B32" s="1394"/>
      <c r="C32" s="75" t="s">
        <v>929</v>
      </c>
      <c r="D32" s="1295"/>
      <c r="E32" s="1401" t="str">
        <f t="shared" si="7"/>
        <v>-</v>
      </c>
      <c r="F32" s="1295"/>
      <c r="G32" s="1401" t="str">
        <f t="shared" si="8"/>
        <v>-</v>
      </c>
      <c r="H32" s="1295">
        <v>0</v>
      </c>
      <c r="I32" s="1401" t="str">
        <f t="shared" si="9"/>
        <v>-</v>
      </c>
      <c r="J32" s="1295">
        <v>0</v>
      </c>
      <c r="K32" s="1401" t="str">
        <f t="shared" si="10"/>
        <v>-</v>
      </c>
      <c r="L32" s="1295">
        <v>0</v>
      </c>
      <c r="M32" s="1401" t="str">
        <f t="shared" si="11"/>
        <v>-</v>
      </c>
      <c r="N32" s="1295">
        <v>0</v>
      </c>
      <c r="O32" s="1401" t="str">
        <f t="shared" si="12"/>
        <v>-</v>
      </c>
      <c r="P32" s="1295">
        <v>0</v>
      </c>
      <c r="Q32" s="1401" t="str">
        <f t="shared" si="13"/>
        <v>-</v>
      </c>
      <c r="R32" s="1397"/>
      <c r="S32" s="74">
        <v>0</v>
      </c>
      <c r="T32" s="1397"/>
      <c r="U32" s="1397"/>
    </row>
    <row r="33" spans="1:21" ht="15">
      <c r="A33" s="1396">
        <v>20</v>
      </c>
      <c r="B33" s="1394"/>
      <c r="C33" s="75" t="s">
        <v>930</v>
      </c>
      <c r="D33" s="1295"/>
      <c r="E33" s="1401" t="str">
        <f t="shared" si="7"/>
        <v>-</v>
      </c>
      <c r="F33" s="1295"/>
      <c r="G33" s="1401" t="str">
        <f t="shared" si="8"/>
        <v>-</v>
      </c>
      <c r="H33" s="1295">
        <v>0</v>
      </c>
      <c r="I33" s="1401" t="str">
        <f t="shared" si="9"/>
        <v>-</v>
      </c>
      <c r="J33" s="1295">
        <v>0</v>
      </c>
      <c r="K33" s="1401" t="str">
        <f t="shared" si="10"/>
        <v>-</v>
      </c>
      <c r="L33" s="1295">
        <v>0</v>
      </c>
      <c r="M33" s="1401" t="str">
        <f t="shared" si="11"/>
        <v>-</v>
      </c>
      <c r="N33" s="1295">
        <v>0</v>
      </c>
      <c r="O33" s="1401" t="str">
        <f t="shared" si="12"/>
        <v>-</v>
      </c>
      <c r="P33" s="1295">
        <v>0</v>
      </c>
      <c r="Q33" s="1401" t="str">
        <f t="shared" si="13"/>
        <v>-</v>
      </c>
      <c r="R33" s="1397"/>
      <c r="S33" s="74">
        <v>0</v>
      </c>
      <c r="T33" s="1397"/>
      <c r="U33" s="1397"/>
    </row>
    <row r="34" spans="1:21" ht="15">
      <c r="A34" s="1396">
        <v>21</v>
      </c>
      <c r="B34" s="1394"/>
      <c r="C34" s="75" t="s">
        <v>2309</v>
      </c>
      <c r="D34" s="1295"/>
      <c r="E34" s="1401" t="str">
        <f t="shared" si="7"/>
        <v>-</v>
      </c>
      <c r="F34" s="1295"/>
      <c r="G34" s="1401">
        <f t="shared" si="8"/>
        <v>-1</v>
      </c>
      <c r="H34" s="1295">
        <v>929120</v>
      </c>
      <c r="I34" s="1401">
        <f t="shared" si="9"/>
        <v>-0.81469999999999998</v>
      </c>
      <c r="J34" s="1295">
        <v>5013100</v>
      </c>
      <c r="K34" s="1401">
        <f t="shared" si="10"/>
        <v>1.889</v>
      </c>
      <c r="L34" s="1295">
        <v>1735257</v>
      </c>
      <c r="M34" s="1401">
        <f t="shared" si="11"/>
        <v>0.21360000000000001</v>
      </c>
      <c r="N34" s="1295">
        <v>1429790</v>
      </c>
      <c r="O34" s="1401">
        <f t="shared" si="12"/>
        <v>-0.13780000000000001</v>
      </c>
      <c r="P34" s="1295">
        <v>1658353</v>
      </c>
      <c r="Q34" s="1401">
        <f t="shared" si="13"/>
        <v>-0.38840000000000002</v>
      </c>
      <c r="R34" s="1397"/>
      <c r="S34" s="74">
        <v>2711715</v>
      </c>
      <c r="T34" s="1397"/>
      <c r="U34" s="1397"/>
    </row>
    <row r="35" spans="1:21" ht="15">
      <c r="A35" s="1396">
        <v>22</v>
      </c>
      <c r="B35" s="1394"/>
      <c r="C35" s="75" t="s">
        <v>2310</v>
      </c>
      <c r="D35" s="1295">
        <v>9526128</v>
      </c>
      <c r="E35" s="1401">
        <f t="shared" si="7"/>
        <v>-0.46610000000000001</v>
      </c>
      <c r="F35" s="1295">
        <v>17841980</v>
      </c>
      <c r="G35" s="1401">
        <f t="shared" si="8"/>
        <v>19.396999999999998</v>
      </c>
      <c r="H35" s="1295">
        <v>874735</v>
      </c>
      <c r="I35" s="1401">
        <f t="shared" si="9"/>
        <v>-0.81420000000000003</v>
      </c>
      <c r="J35" s="1295">
        <v>4706764</v>
      </c>
      <c r="K35" s="1401">
        <f t="shared" si="10"/>
        <v>-0.19270000000000001</v>
      </c>
      <c r="L35" s="1295">
        <v>5830602</v>
      </c>
      <c r="M35" s="1401">
        <f t="shared" si="11"/>
        <v>-0.2213</v>
      </c>
      <c r="N35" s="1295">
        <v>7487942</v>
      </c>
      <c r="O35" s="1401">
        <f t="shared" si="12"/>
        <v>0.82120000000000004</v>
      </c>
      <c r="P35" s="1295">
        <v>4111586</v>
      </c>
      <c r="Q35" s="1401">
        <f t="shared" si="13"/>
        <v>2.5499999999999998E-2</v>
      </c>
      <c r="R35" s="1397"/>
      <c r="S35" s="74">
        <v>4009492</v>
      </c>
      <c r="T35" s="1397"/>
      <c r="U35" s="1397"/>
    </row>
    <row r="36" spans="1:21" ht="15">
      <c r="A36" s="1396">
        <v>23</v>
      </c>
      <c r="B36" s="1394"/>
      <c r="C36" s="73" t="s">
        <v>2311</v>
      </c>
      <c r="D36" s="1295">
        <v>-140799</v>
      </c>
      <c r="E36" s="1401">
        <f t="shared" si="7"/>
        <v>0.23619999999999999</v>
      </c>
      <c r="F36" s="1295">
        <f>-184336</f>
        <v>-184336</v>
      </c>
      <c r="G36" s="1401">
        <f t="shared" si="8"/>
        <v>-0.30919999999999997</v>
      </c>
      <c r="H36" s="1295">
        <v>-140798</v>
      </c>
      <c r="I36" s="1401">
        <f t="shared" si="9"/>
        <v>0.27810000000000001</v>
      </c>
      <c r="J36" s="1295">
        <v>-195051</v>
      </c>
      <c r="K36" s="1401">
        <f t="shared" si="10"/>
        <v>-4.5499999999999999E-2</v>
      </c>
      <c r="L36" s="1295">
        <v>-186563</v>
      </c>
      <c r="M36" s="1401">
        <f t="shared" si="11"/>
        <v>0.18479999999999999</v>
      </c>
      <c r="N36" s="1295">
        <v>-228855</v>
      </c>
      <c r="O36" s="1401">
        <f t="shared" si="12"/>
        <v>-0.39500000000000002</v>
      </c>
      <c r="P36" s="1295">
        <v>-164057</v>
      </c>
      <c r="Q36" s="1401">
        <f t="shared" si="13"/>
        <v>0.32550000000000001</v>
      </c>
      <c r="R36" s="1397"/>
      <c r="S36" s="74">
        <v>-243221</v>
      </c>
      <c r="T36" s="1397"/>
      <c r="U36" s="1397"/>
    </row>
    <row r="37" spans="1:21" ht="15">
      <c r="A37" s="1396">
        <v>24</v>
      </c>
      <c r="B37" s="1394"/>
      <c r="C37" s="75" t="s">
        <v>1038</v>
      </c>
      <c r="D37" s="1295">
        <v>30556687</v>
      </c>
      <c r="E37" s="1401">
        <f t="shared" si="7"/>
        <v>0</v>
      </c>
      <c r="F37" s="1295">
        <v>30556687</v>
      </c>
      <c r="G37" s="1401">
        <f t="shared" si="8"/>
        <v>0.66159999999999997</v>
      </c>
      <c r="H37" s="1295">
        <v>18389762</v>
      </c>
      <c r="I37" s="1401">
        <f t="shared" si="9"/>
        <v>0.81410000000000005</v>
      </c>
      <c r="J37" s="1295">
        <v>10137088</v>
      </c>
      <c r="K37" s="1401">
        <f t="shared" si="10"/>
        <v>-0.52980000000000005</v>
      </c>
      <c r="L37" s="1295">
        <v>21560229</v>
      </c>
      <c r="M37" s="1401">
        <f t="shared" si="11"/>
        <v>-0.16439999999999999</v>
      </c>
      <c r="N37" s="1295">
        <v>25800643</v>
      </c>
      <c r="O37" s="1401">
        <f t="shared" si="12"/>
        <v>9.0999999999999998E-2</v>
      </c>
      <c r="P37" s="1295">
        <v>23649581</v>
      </c>
      <c r="Q37" s="1401">
        <f t="shared" si="13"/>
        <v>-0.25879999999999997</v>
      </c>
      <c r="R37" s="1397"/>
      <c r="S37" s="74">
        <v>31908184</v>
      </c>
      <c r="T37" s="1397"/>
      <c r="U37" s="1397"/>
    </row>
    <row r="38" spans="1:21" ht="15">
      <c r="A38" s="1396">
        <v>25</v>
      </c>
      <c r="B38" s="1394"/>
      <c r="C38" s="75" t="s">
        <v>931</v>
      </c>
      <c r="D38" s="1295"/>
      <c r="E38" s="1401" t="str">
        <f t="shared" si="7"/>
        <v>-</v>
      </c>
      <c r="F38" s="1295"/>
      <c r="G38" s="1401">
        <f t="shared" si="8"/>
        <v>-1</v>
      </c>
      <c r="H38" s="1295">
        <v>4382007</v>
      </c>
      <c r="I38" s="1401">
        <f t="shared" si="9"/>
        <v>2.2168000000000001</v>
      </c>
      <c r="J38" s="1295">
        <v>1362224</v>
      </c>
      <c r="K38" s="1401">
        <f t="shared" si="10"/>
        <v>-0.66080000000000005</v>
      </c>
      <c r="L38" s="1295">
        <v>4016223</v>
      </c>
      <c r="M38" s="1401">
        <f t="shared" si="11"/>
        <v>1.7402</v>
      </c>
      <c r="N38" s="1295">
        <v>1465683</v>
      </c>
      <c r="O38" s="1401">
        <f t="shared" si="12"/>
        <v>1.3270999999999999</v>
      </c>
      <c r="P38" s="1295">
        <v>-4481465</v>
      </c>
      <c r="Q38" s="1401">
        <f t="shared" si="13"/>
        <v>-64.601200000000006</v>
      </c>
      <c r="R38" s="1397"/>
      <c r="S38" s="74">
        <v>70462</v>
      </c>
      <c r="T38" s="1397"/>
      <c r="U38" s="1397"/>
    </row>
    <row r="39" spans="1:21" ht="15">
      <c r="A39" s="1396">
        <v>26</v>
      </c>
      <c r="B39" s="1394"/>
      <c r="C39" s="75" t="s">
        <v>932</v>
      </c>
      <c r="D39" s="1295">
        <v>44615945</v>
      </c>
      <c r="E39" s="1401">
        <f t="shared" si="7"/>
        <v>-2.0799999999999999E-2</v>
      </c>
      <c r="F39" s="1295">
        <v>45563591</v>
      </c>
      <c r="G39" s="1401">
        <f t="shared" si="8"/>
        <v>-1.2999999999999999E-3</v>
      </c>
      <c r="H39" s="1295">
        <f>24608235+20679892+336171</f>
        <v>45624298</v>
      </c>
      <c r="I39" s="1401">
        <f t="shared" si="9"/>
        <v>3.3599999999999998E-2</v>
      </c>
      <c r="J39" s="1295">
        <f>22581326+20450713+1109030</f>
        <v>44141069</v>
      </c>
      <c r="K39" s="1401">
        <f t="shared" si="10"/>
        <v>-0.1656</v>
      </c>
      <c r="L39" s="1295">
        <f>30613952+20637814+1648182</f>
        <v>52899948</v>
      </c>
      <c r="M39" s="1401">
        <f t="shared" si="11"/>
        <v>0.3952</v>
      </c>
      <c r="N39" s="1295">
        <f>19115407+17942602+858399</f>
        <v>37916408</v>
      </c>
      <c r="O39" s="1401">
        <f t="shared" si="12"/>
        <v>-1.7999999999999999E-2</v>
      </c>
      <c r="P39" s="1295">
        <f>20599164+17517636+493090</f>
        <v>38609890</v>
      </c>
      <c r="Q39" s="1401">
        <f t="shared" si="13"/>
        <v>4.87E-2</v>
      </c>
      <c r="R39" s="1394"/>
      <c r="S39" s="74">
        <f>17624306+18379080+814113</f>
        <v>36817499</v>
      </c>
      <c r="T39" s="1394"/>
      <c r="U39" s="1394"/>
    </row>
    <row r="40" spans="1:21" ht="15">
      <c r="A40" s="1396">
        <v>27</v>
      </c>
      <c r="B40" s="1394"/>
      <c r="C40" s="75" t="s">
        <v>1538</v>
      </c>
      <c r="D40" s="1295"/>
      <c r="E40" s="1401" t="str">
        <f t="shared" si="7"/>
        <v>-</v>
      </c>
      <c r="F40" s="1295"/>
      <c r="G40" s="1401">
        <f t="shared" si="8"/>
        <v>-1</v>
      </c>
      <c r="H40" s="1295">
        <v>50652</v>
      </c>
      <c r="I40" s="1401">
        <f t="shared" si="9"/>
        <v>-0.30830000000000002</v>
      </c>
      <c r="J40" s="1295">
        <v>73231</v>
      </c>
      <c r="K40" s="1401">
        <f t="shared" si="10"/>
        <v>2.0432999999999999</v>
      </c>
      <c r="L40" s="1295">
        <v>24063</v>
      </c>
      <c r="M40" s="1401">
        <f t="shared" si="11"/>
        <v>-0.62480000000000002</v>
      </c>
      <c r="N40" s="1295">
        <v>64128</v>
      </c>
      <c r="O40" s="1401">
        <f t="shared" si="12"/>
        <v>-0.49640000000000001</v>
      </c>
      <c r="P40" s="1295">
        <v>127340</v>
      </c>
      <c r="Q40" s="1401">
        <f t="shared" si="13"/>
        <v>-0.76980000000000004</v>
      </c>
      <c r="R40" s="1397"/>
      <c r="S40" s="74">
        <v>553203</v>
      </c>
      <c r="T40" s="1397"/>
      <c r="U40" s="1397"/>
    </row>
    <row r="41" spans="1:21" ht="15">
      <c r="A41" s="1396">
        <v>28</v>
      </c>
      <c r="B41" s="1394"/>
      <c r="C41" s="75" t="s">
        <v>933</v>
      </c>
      <c r="D41" s="1295">
        <v>3412415</v>
      </c>
      <c r="E41" s="1401">
        <f t="shared" si="7"/>
        <v>0</v>
      </c>
      <c r="F41" s="1295">
        <v>3412415</v>
      </c>
      <c r="G41" s="1401">
        <f t="shared" si="8"/>
        <v>0</v>
      </c>
      <c r="H41" s="1295">
        <v>3412415</v>
      </c>
      <c r="I41" s="1401" t="str">
        <f t="shared" si="9"/>
        <v>-</v>
      </c>
      <c r="J41" s="1295">
        <v>0</v>
      </c>
      <c r="K41" s="1401" t="str">
        <f t="shared" si="10"/>
        <v>-</v>
      </c>
      <c r="L41" s="1295">
        <v>0</v>
      </c>
      <c r="M41" s="1401">
        <f t="shared" si="11"/>
        <v>-1</v>
      </c>
      <c r="N41" s="1295">
        <v>3750379</v>
      </c>
      <c r="O41" s="1401" t="str">
        <f t="shared" si="12"/>
        <v>-</v>
      </c>
      <c r="P41" s="1295">
        <v>0</v>
      </c>
      <c r="Q41" s="1401" t="str">
        <f t="shared" si="13"/>
        <v>-</v>
      </c>
      <c r="R41" s="1397"/>
      <c r="S41" s="74">
        <v>0</v>
      </c>
      <c r="T41" s="1397"/>
      <c r="U41" s="1397"/>
    </row>
    <row r="42" spans="1:21" ht="15">
      <c r="A42" s="1396">
        <v>29</v>
      </c>
      <c r="B42" s="1394"/>
      <c r="C42" s="75" t="s">
        <v>934</v>
      </c>
      <c r="D42" s="1295">
        <v>1178425</v>
      </c>
      <c r="E42" s="1401">
        <f t="shared" si="7"/>
        <v>0.76959999999999995</v>
      </c>
      <c r="F42" s="1295">
        <v>665925</v>
      </c>
      <c r="G42" s="1401">
        <f t="shared" si="8"/>
        <v>0.35589999999999999</v>
      </c>
      <c r="H42" s="1295">
        <v>491138</v>
      </c>
      <c r="I42" s="1401">
        <f t="shared" si="9"/>
        <v>-0.4269</v>
      </c>
      <c r="J42" s="1295">
        <v>856973</v>
      </c>
      <c r="K42" s="1401">
        <f t="shared" si="10"/>
        <v>-0.47220000000000001</v>
      </c>
      <c r="L42" s="1295">
        <v>1623581</v>
      </c>
      <c r="M42" s="1401">
        <f t="shared" si="11"/>
        <v>-3.1099999999999999E-2</v>
      </c>
      <c r="N42" s="1295">
        <v>1675712</v>
      </c>
      <c r="O42" s="1401">
        <f t="shared" si="12"/>
        <v>0.45150000000000001</v>
      </c>
      <c r="P42" s="1295">
        <v>1154486</v>
      </c>
      <c r="Q42" s="1401">
        <f t="shared" si="13"/>
        <v>-0.60870000000000002</v>
      </c>
      <c r="R42" s="1397"/>
      <c r="S42" s="74">
        <v>2950497</v>
      </c>
      <c r="T42" s="1397"/>
      <c r="U42" s="1397"/>
    </row>
    <row r="43" spans="1:21" ht="15">
      <c r="A43" s="1396">
        <v>30</v>
      </c>
      <c r="B43" s="1394"/>
      <c r="C43" s="75" t="s">
        <v>2312</v>
      </c>
      <c r="D43" s="1295"/>
      <c r="E43" s="1401" t="str">
        <f t="shared" si="7"/>
        <v>-</v>
      </c>
      <c r="F43" s="1295"/>
      <c r="G43" s="1401" t="str">
        <f t="shared" si="8"/>
        <v>-</v>
      </c>
      <c r="H43" s="1295">
        <v>0</v>
      </c>
      <c r="I43" s="1401" t="str">
        <f t="shared" si="9"/>
        <v>-</v>
      </c>
      <c r="J43" s="1295">
        <v>0</v>
      </c>
      <c r="K43" s="1401" t="str">
        <f t="shared" si="10"/>
        <v>-</v>
      </c>
      <c r="L43" s="1295">
        <v>0</v>
      </c>
      <c r="M43" s="1401" t="str">
        <f t="shared" si="11"/>
        <v>-</v>
      </c>
      <c r="N43" s="1295">
        <v>0</v>
      </c>
      <c r="O43" s="1401" t="str">
        <f t="shared" si="12"/>
        <v>-</v>
      </c>
      <c r="P43" s="1295">
        <v>0</v>
      </c>
      <c r="Q43" s="1401" t="str">
        <f t="shared" si="13"/>
        <v>-</v>
      </c>
      <c r="R43" s="1397"/>
      <c r="S43" s="74">
        <v>0</v>
      </c>
      <c r="T43" s="1397"/>
      <c r="U43" s="1397"/>
    </row>
    <row r="44" spans="1:21" ht="15">
      <c r="A44" s="1396">
        <v>31</v>
      </c>
      <c r="B44" s="1394"/>
      <c r="C44" s="75" t="s">
        <v>935</v>
      </c>
      <c r="D44" s="1295">
        <f>15957628+1</f>
        <v>15957629</v>
      </c>
      <c r="E44" s="1401">
        <f t="shared" si="7"/>
        <v>1.5412999999999999</v>
      </c>
      <c r="F44" s="1295">
        <v>6279323</v>
      </c>
      <c r="G44" s="1401">
        <f t="shared" si="8"/>
        <v>-0.55200000000000005</v>
      </c>
      <c r="H44" s="1295">
        <v>14017712</v>
      </c>
      <c r="I44" s="1401">
        <f t="shared" si="9"/>
        <v>-0.309</v>
      </c>
      <c r="J44" s="1295">
        <v>20285345</v>
      </c>
      <c r="K44" s="1401">
        <f t="shared" si="10"/>
        <v>-7.4499999999999997E-2</v>
      </c>
      <c r="L44" s="1295">
        <v>21918755</v>
      </c>
      <c r="M44" s="1401">
        <f t="shared" si="11"/>
        <v>1.9421999999999999</v>
      </c>
      <c r="N44" s="1295">
        <v>7449715</v>
      </c>
      <c r="O44" s="1401">
        <f t="shared" si="12"/>
        <v>-0.40589999999999998</v>
      </c>
      <c r="P44" s="1295">
        <v>12540368</v>
      </c>
      <c r="Q44" s="1401">
        <f t="shared" si="13"/>
        <v>0.4738</v>
      </c>
      <c r="R44" s="1397"/>
      <c r="S44" s="74">
        <v>8509140</v>
      </c>
      <c r="T44" s="1397"/>
      <c r="U44" s="1397"/>
    </row>
    <row r="45" spans="1:21" ht="15">
      <c r="A45" s="1396">
        <v>32</v>
      </c>
      <c r="B45" s="1394"/>
      <c r="C45" s="75" t="s">
        <v>2313</v>
      </c>
      <c r="D45" s="1295">
        <v>3962367</v>
      </c>
      <c r="E45" s="1401">
        <f t="shared" si="7"/>
        <v>0.15049999999999999</v>
      </c>
      <c r="F45" s="1295">
        <v>3444122</v>
      </c>
      <c r="G45" s="1401">
        <f t="shared" si="8"/>
        <v>-0.1308</v>
      </c>
      <c r="H45" s="1295">
        <v>3962367</v>
      </c>
      <c r="I45" s="1401">
        <f t="shared" si="9"/>
        <v>0.36030000000000001</v>
      </c>
      <c r="J45" s="1295">
        <v>2912924</v>
      </c>
      <c r="K45" s="1401">
        <f t="shared" si="10"/>
        <v>1.8197000000000001</v>
      </c>
      <c r="L45" s="1295">
        <v>1033047</v>
      </c>
      <c r="M45" s="1401">
        <f t="shared" si="11"/>
        <v>1.9519</v>
      </c>
      <c r="N45" s="1295">
        <v>349957</v>
      </c>
      <c r="O45" s="1401">
        <f t="shared" si="12"/>
        <v>-0.19120000000000001</v>
      </c>
      <c r="P45" s="1295">
        <v>432689</v>
      </c>
      <c r="Q45" s="1401">
        <f t="shared" si="13"/>
        <v>0.94930000000000003</v>
      </c>
      <c r="R45" s="1397"/>
      <c r="S45" s="74">
        <v>221976</v>
      </c>
      <c r="T45" s="1397"/>
      <c r="U45" s="1397"/>
    </row>
    <row r="46" spans="1:21" ht="15">
      <c r="A46" s="1396">
        <v>33</v>
      </c>
      <c r="B46" s="1394"/>
      <c r="C46" s="75" t="s">
        <v>2314</v>
      </c>
      <c r="D46" s="1295"/>
      <c r="E46" s="1401" t="str">
        <f t="shared" si="7"/>
        <v>-</v>
      </c>
      <c r="F46" s="1295"/>
      <c r="G46" s="1401" t="str">
        <f t="shared" si="8"/>
        <v>-</v>
      </c>
      <c r="H46" s="1295">
        <v>0</v>
      </c>
      <c r="I46" s="1401" t="str">
        <f t="shared" si="9"/>
        <v>-</v>
      </c>
      <c r="J46" s="1295">
        <v>0</v>
      </c>
      <c r="K46" s="1401" t="str">
        <f t="shared" si="10"/>
        <v>-</v>
      </c>
      <c r="L46" s="1295">
        <v>0</v>
      </c>
      <c r="M46" s="1401" t="str">
        <f t="shared" si="11"/>
        <v>-</v>
      </c>
      <c r="N46" s="1295">
        <v>0</v>
      </c>
      <c r="O46" s="1401" t="str">
        <f t="shared" si="12"/>
        <v>-</v>
      </c>
      <c r="P46" s="1295">
        <v>0</v>
      </c>
      <c r="Q46" s="1401" t="str">
        <f t="shared" si="13"/>
        <v>-</v>
      </c>
      <c r="R46" s="1397"/>
      <c r="S46" s="74">
        <v>0</v>
      </c>
      <c r="T46" s="1397"/>
      <c r="U46" s="1397"/>
    </row>
    <row r="47" spans="1:21" ht="15">
      <c r="A47" s="1396">
        <v>34</v>
      </c>
      <c r="B47" s="1394"/>
      <c r="C47" s="75" t="s">
        <v>2315</v>
      </c>
      <c r="D47" s="1295"/>
      <c r="E47" s="1401" t="str">
        <f t="shared" si="7"/>
        <v>-</v>
      </c>
      <c r="F47" s="1295"/>
      <c r="G47" s="1401" t="str">
        <f t="shared" si="8"/>
        <v>-</v>
      </c>
      <c r="H47" s="1295">
        <v>0</v>
      </c>
      <c r="I47" s="1401" t="str">
        <f t="shared" si="9"/>
        <v>-</v>
      </c>
      <c r="J47" s="1295">
        <v>0</v>
      </c>
      <c r="K47" s="1401" t="str">
        <f t="shared" si="10"/>
        <v>-</v>
      </c>
      <c r="L47" s="1295">
        <v>0</v>
      </c>
      <c r="M47" s="1401" t="str">
        <f t="shared" si="11"/>
        <v>-</v>
      </c>
      <c r="N47" s="1295">
        <v>0</v>
      </c>
      <c r="O47" s="1401" t="str">
        <f t="shared" si="12"/>
        <v>-</v>
      </c>
      <c r="P47" s="1295">
        <v>0</v>
      </c>
      <c r="Q47" s="1401" t="str">
        <f t="shared" si="13"/>
        <v>-</v>
      </c>
      <c r="R47" s="1397"/>
      <c r="S47" s="74">
        <v>0</v>
      </c>
      <c r="T47" s="1397"/>
      <c r="U47" s="1397"/>
    </row>
    <row r="48" spans="1:21" ht="15">
      <c r="A48" s="1396">
        <v>35</v>
      </c>
      <c r="B48" s="1394"/>
      <c r="C48" s="75" t="s">
        <v>2316</v>
      </c>
      <c r="D48" s="1295"/>
      <c r="E48" s="1401" t="str">
        <f t="shared" si="7"/>
        <v>-</v>
      </c>
      <c r="F48" s="1295"/>
      <c r="G48" s="1401" t="str">
        <f t="shared" si="8"/>
        <v>-</v>
      </c>
      <c r="H48" s="1295">
        <v>0</v>
      </c>
      <c r="I48" s="1401" t="str">
        <f t="shared" si="9"/>
        <v>-</v>
      </c>
      <c r="J48" s="1295">
        <v>0</v>
      </c>
      <c r="K48" s="1401" t="str">
        <f t="shared" si="10"/>
        <v>-</v>
      </c>
      <c r="L48" s="1295">
        <v>0</v>
      </c>
      <c r="M48" s="1401" t="str">
        <f t="shared" si="11"/>
        <v>-</v>
      </c>
      <c r="N48" s="1295">
        <v>0</v>
      </c>
      <c r="O48" s="1401" t="str">
        <f t="shared" si="12"/>
        <v>-</v>
      </c>
      <c r="P48" s="1295">
        <v>0</v>
      </c>
      <c r="Q48" s="1401" t="str">
        <f t="shared" si="13"/>
        <v>-</v>
      </c>
      <c r="R48" s="1397"/>
      <c r="S48" s="74">
        <v>0</v>
      </c>
      <c r="T48" s="1397"/>
      <c r="U48" s="1397"/>
    </row>
    <row r="49" spans="1:21" ht="15">
      <c r="A49" s="1396">
        <v>36</v>
      </c>
      <c r="B49" s="1394"/>
      <c r="C49" s="75" t="s">
        <v>936</v>
      </c>
      <c r="D49" s="1295">
        <v>2500</v>
      </c>
      <c r="E49" s="1401">
        <f t="shared" si="7"/>
        <v>0</v>
      </c>
      <c r="F49" s="1295">
        <v>2500</v>
      </c>
      <c r="G49" s="1401">
        <f t="shared" si="8"/>
        <v>0</v>
      </c>
      <c r="H49" s="1295">
        <v>2500</v>
      </c>
      <c r="I49" s="1401">
        <f t="shared" si="9"/>
        <v>0</v>
      </c>
      <c r="J49" s="1295">
        <v>2500</v>
      </c>
      <c r="K49" s="1401" t="str">
        <f t="shared" si="10"/>
        <v>-</v>
      </c>
      <c r="L49" s="1295">
        <v>0</v>
      </c>
      <c r="M49" s="1401" t="str">
        <f t="shared" si="11"/>
        <v>-</v>
      </c>
      <c r="N49" s="1295">
        <v>0</v>
      </c>
      <c r="O49" s="1401" t="str">
        <f t="shared" si="12"/>
        <v>-</v>
      </c>
      <c r="P49" s="1295">
        <v>0</v>
      </c>
      <c r="Q49" s="1401">
        <f t="shared" si="13"/>
        <v>-1</v>
      </c>
      <c r="R49" s="1397"/>
      <c r="S49" s="74">
        <v>78000</v>
      </c>
      <c r="T49" s="1397"/>
      <c r="U49" s="1397"/>
    </row>
    <row r="50" spans="1:21" ht="15">
      <c r="A50" s="1396">
        <v>37</v>
      </c>
      <c r="B50" s="1394"/>
      <c r="C50" s="75" t="s">
        <v>1259</v>
      </c>
      <c r="D50" s="1414">
        <f>SUM(D29:D49)</f>
        <v>114238391</v>
      </c>
      <c r="E50" s="1401">
        <f t="shared" si="7"/>
        <v>-0.17610000000000001</v>
      </c>
      <c r="F50" s="1414">
        <f>SUM(F29:F49)</f>
        <v>138663142</v>
      </c>
      <c r="G50" s="1401">
        <f t="shared" si="8"/>
        <v>0.4073</v>
      </c>
      <c r="H50" s="1414">
        <f>SUM(H29:H49)</f>
        <v>98529744</v>
      </c>
      <c r="I50" s="1401">
        <f t="shared" si="9"/>
        <v>8.9999999999999998E-4</v>
      </c>
      <c r="J50" s="1414">
        <f>SUM(J29:J49)</f>
        <v>98436977</v>
      </c>
      <c r="K50" s="1401">
        <f t="shared" si="10"/>
        <v>-0.19159999999999999</v>
      </c>
      <c r="L50" s="1414">
        <f>SUM(L29:L49)</f>
        <v>121762050</v>
      </c>
      <c r="M50" s="1401">
        <f t="shared" si="11"/>
        <v>0.2152</v>
      </c>
      <c r="N50" s="1414">
        <f>SUM(N29:N49)</f>
        <v>100199246</v>
      </c>
      <c r="O50" s="1401">
        <f t="shared" si="12"/>
        <v>0.13439999999999999</v>
      </c>
      <c r="P50" s="1414">
        <f>SUM(P29:P49)</f>
        <v>88331572</v>
      </c>
      <c r="Q50" s="1401">
        <f t="shared" si="13"/>
        <v>-9.3700000000000006E-2</v>
      </c>
      <c r="R50" s="1397"/>
      <c r="S50" s="1402">
        <f>SUM(S29:S49)</f>
        <v>97460460</v>
      </c>
      <c r="T50" s="1397"/>
      <c r="U50" s="1397"/>
    </row>
    <row r="51" spans="1:21" ht="15.75">
      <c r="A51" s="1396">
        <v>38</v>
      </c>
      <c r="B51" s="1394"/>
      <c r="C51" s="50" t="s">
        <v>1260</v>
      </c>
      <c r="D51" s="1415"/>
      <c r="E51" s="1348"/>
      <c r="F51" s="1415"/>
      <c r="G51" s="1348"/>
      <c r="H51" s="1415"/>
      <c r="I51" s="1348"/>
      <c r="J51" s="1415"/>
      <c r="K51" s="1348"/>
      <c r="L51" s="1415"/>
      <c r="M51" s="1348"/>
      <c r="N51" s="1415"/>
      <c r="O51" s="1348"/>
      <c r="P51" s="1415"/>
      <c r="Q51" s="1348"/>
      <c r="R51" s="1397"/>
      <c r="S51" s="1348"/>
      <c r="T51" s="1397"/>
      <c r="U51" s="1397"/>
    </row>
    <row r="52" spans="1:21" ht="15">
      <c r="A52" s="1396">
        <v>39</v>
      </c>
      <c r="B52" s="1394"/>
      <c r="C52" s="75" t="s">
        <v>1261</v>
      </c>
      <c r="D52" s="1295">
        <v>2018356</v>
      </c>
      <c r="E52" s="1401">
        <f t="shared" ref="E52:E61" si="14">IF(F52=0,"-",ROUND((D52-F52)/ABS(F52),4))</f>
        <v>-3.9800000000000002E-2</v>
      </c>
      <c r="F52" s="1295">
        <v>2102043</v>
      </c>
      <c r="G52" s="1401">
        <f t="shared" ref="G52:G61" si="15">IF(H52=0,"-",ROUND((F52-H52)/ABS(H52),4))</f>
        <v>0.2104</v>
      </c>
      <c r="H52" s="1295">
        <v>1736629</v>
      </c>
      <c r="I52" s="1401">
        <f t="shared" ref="I52:I61" si="16">IF(J52=0,"-",ROUND((H52-J52)/ABS(J52),4))</f>
        <v>0.3296</v>
      </c>
      <c r="J52" s="1295">
        <v>1306096</v>
      </c>
      <c r="K52" s="1401">
        <f t="shared" ref="K52:K61" si="17">IF(L52=0,"-",ROUND((J52-L52)/ABS(L52),4))</f>
        <v>-0.3226</v>
      </c>
      <c r="L52" s="1295">
        <v>1928034</v>
      </c>
      <c r="M52" s="1401">
        <f t="shared" ref="M52:M61" si="18">IF(N52=0,"-",ROUND((L52-N52)/ABS(N52),4))</f>
        <v>-9.8400000000000001E-2</v>
      </c>
      <c r="N52" s="1295">
        <v>2138571</v>
      </c>
      <c r="O52" s="1401">
        <f t="shared" ref="O52:O61" si="19">IF(P52=0,"-",ROUND((N52-P52)/ABS(P52),4))</f>
        <v>-0.1474</v>
      </c>
      <c r="P52" s="1295">
        <v>2508430</v>
      </c>
      <c r="Q52" s="1401">
        <f t="shared" ref="Q52:Q61" si="20">IF(S52=0,"-",ROUND((P52-S52)/ABS(S52),4))</f>
        <v>-0.1019</v>
      </c>
      <c r="R52" s="1397"/>
      <c r="S52" s="74">
        <v>2793101</v>
      </c>
      <c r="T52" s="1397"/>
      <c r="U52" s="1397"/>
    </row>
    <row r="53" spans="1:21" ht="15">
      <c r="A53" s="1396">
        <v>40</v>
      </c>
      <c r="B53" s="1394"/>
      <c r="C53" s="75" t="s">
        <v>1262</v>
      </c>
      <c r="D53" s="1295">
        <v>65841184</v>
      </c>
      <c r="E53" s="1401">
        <f t="shared" si="14"/>
        <v>0.40799999999999997</v>
      </c>
      <c r="F53" s="1295">
        <f>70133230-665925-5865085-4729763+2206-12111254</f>
        <v>46763409</v>
      </c>
      <c r="G53" s="1401">
        <f t="shared" si="15"/>
        <v>-0.34150000000000003</v>
      </c>
      <c r="H53" s="1295">
        <v>71018702</v>
      </c>
      <c r="I53" s="1401">
        <f t="shared" si="16"/>
        <v>0.47470000000000001</v>
      </c>
      <c r="J53" s="1295">
        <v>48159201</v>
      </c>
      <c r="K53" s="1401">
        <f t="shared" si="17"/>
        <v>0.76339999999999997</v>
      </c>
      <c r="L53" s="1295">
        <v>27310676</v>
      </c>
      <c r="M53" s="1401">
        <f t="shared" si="18"/>
        <v>0.36459999999999998</v>
      </c>
      <c r="N53" s="1295">
        <v>20014015</v>
      </c>
      <c r="O53" s="1401">
        <f t="shared" si="19"/>
        <v>0.1386</v>
      </c>
      <c r="P53" s="1295">
        <v>17577334</v>
      </c>
      <c r="Q53" s="1401">
        <f t="shared" si="20"/>
        <v>5.3499999999999999E-2</v>
      </c>
      <c r="R53" s="1397"/>
      <c r="S53" s="74">
        <v>16684902</v>
      </c>
      <c r="T53" s="1394"/>
      <c r="U53" s="1394"/>
    </row>
    <row r="54" spans="1:21" ht="15">
      <c r="A54" s="1396">
        <v>41</v>
      </c>
      <c r="B54" s="1394"/>
      <c r="C54" s="75" t="s">
        <v>2317</v>
      </c>
      <c r="D54" s="1295"/>
      <c r="E54" s="1401" t="str">
        <f t="shared" si="14"/>
        <v>-</v>
      </c>
      <c r="F54" s="1295"/>
      <c r="G54" s="1401">
        <f t="shared" si="15"/>
        <v>-1</v>
      </c>
      <c r="H54" s="1295">
        <v>143374</v>
      </c>
      <c r="I54" s="1401">
        <f t="shared" si="16"/>
        <v>-0.89429999999999998</v>
      </c>
      <c r="J54" s="1295">
        <v>1355886</v>
      </c>
      <c r="K54" s="1401">
        <f t="shared" si="17"/>
        <v>-0.36330000000000001</v>
      </c>
      <c r="L54" s="1295">
        <v>2129393</v>
      </c>
      <c r="M54" s="1401">
        <f t="shared" si="18"/>
        <v>2.0999999999999999E-3</v>
      </c>
      <c r="N54" s="1295">
        <v>2124893</v>
      </c>
      <c r="O54" s="1401">
        <f t="shared" si="19"/>
        <v>-0.188</v>
      </c>
      <c r="P54" s="1295">
        <v>2616844</v>
      </c>
      <c r="Q54" s="1401">
        <f t="shared" si="20"/>
        <v>0.1368</v>
      </c>
      <c r="R54" s="1397"/>
      <c r="S54" s="74">
        <v>2301918</v>
      </c>
      <c r="T54" s="1397"/>
      <c r="U54" s="1397"/>
    </row>
    <row r="55" spans="1:21" ht="15">
      <c r="A55" s="1396">
        <v>42</v>
      </c>
      <c r="B55" s="1394"/>
      <c r="C55" s="75" t="s">
        <v>1263</v>
      </c>
      <c r="D55" s="1295"/>
      <c r="E55" s="1401" t="str">
        <f t="shared" si="14"/>
        <v>-</v>
      </c>
      <c r="F55" s="1295"/>
      <c r="G55" s="1401">
        <f t="shared" si="15"/>
        <v>1</v>
      </c>
      <c r="H55" s="1295">
        <v>-16</v>
      </c>
      <c r="I55" s="1401">
        <f t="shared" si="16"/>
        <v>-1.6667000000000001</v>
      </c>
      <c r="J55" s="1295">
        <v>24</v>
      </c>
      <c r="K55" s="1401">
        <f t="shared" si="17"/>
        <v>-0.99550000000000005</v>
      </c>
      <c r="L55" s="1295">
        <v>5364</v>
      </c>
      <c r="M55" s="1401">
        <f t="shared" si="18"/>
        <v>-0.90669999999999995</v>
      </c>
      <c r="N55" s="1295">
        <v>57469</v>
      </c>
      <c r="O55" s="1401">
        <f t="shared" si="19"/>
        <v>0.30790000000000001</v>
      </c>
      <c r="P55" s="1295">
        <v>43940</v>
      </c>
      <c r="Q55" s="1401">
        <f t="shared" si="20"/>
        <v>0.24210000000000001</v>
      </c>
      <c r="R55" s="1397"/>
      <c r="S55" s="74">
        <v>35376</v>
      </c>
      <c r="T55" s="1397"/>
      <c r="U55" s="1397"/>
    </row>
    <row r="56" spans="1:21" ht="15">
      <c r="A56" s="1396">
        <v>43</v>
      </c>
      <c r="B56" s="1394"/>
      <c r="C56" s="75" t="s">
        <v>2318</v>
      </c>
      <c r="D56" s="1295"/>
      <c r="E56" s="1401" t="str">
        <f t="shared" si="14"/>
        <v>-</v>
      </c>
      <c r="F56" s="1295"/>
      <c r="G56" s="1401" t="str">
        <f t="shared" si="15"/>
        <v>-</v>
      </c>
      <c r="H56" s="1295">
        <v>0</v>
      </c>
      <c r="I56" s="1401" t="str">
        <f t="shared" si="16"/>
        <v>-</v>
      </c>
      <c r="J56" s="1295">
        <v>0</v>
      </c>
      <c r="K56" s="1401" t="str">
        <f t="shared" si="17"/>
        <v>-</v>
      </c>
      <c r="L56" s="1295">
        <v>0</v>
      </c>
      <c r="M56" s="1401" t="str">
        <f t="shared" si="18"/>
        <v>-</v>
      </c>
      <c r="N56" s="1295">
        <v>0</v>
      </c>
      <c r="O56" s="1401" t="str">
        <f t="shared" si="19"/>
        <v>-</v>
      </c>
      <c r="P56" s="1295">
        <v>0</v>
      </c>
      <c r="Q56" s="1401">
        <f t="shared" si="20"/>
        <v>1</v>
      </c>
      <c r="R56" s="1397"/>
      <c r="S56" s="74">
        <v>-21595</v>
      </c>
      <c r="T56" s="1397"/>
      <c r="U56" s="1397"/>
    </row>
    <row r="57" spans="1:21" ht="15">
      <c r="A57" s="1396">
        <v>44</v>
      </c>
      <c r="B57" s="1394"/>
      <c r="C57" s="75" t="s">
        <v>1264</v>
      </c>
      <c r="D57" s="1295">
        <f>37776034+1</f>
        <v>37776035</v>
      </c>
      <c r="E57" s="1401">
        <f t="shared" si="14"/>
        <v>-0.2102</v>
      </c>
      <c r="F57" s="1295">
        <v>47827987</v>
      </c>
      <c r="G57" s="1401">
        <f t="shared" si="15"/>
        <v>0.6028</v>
      </c>
      <c r="H57" s="1295">
        <v>29840493</v>
      </c>
      <c r="I57" s="1401">
        <f t="shared" si="16"/>
        <v>1.0200000000000001E-2</v>
      </c>
      <c r="J57" s="1295">
        <v>29538033</v>
      </c>
      <c r="K57" s="1401">
        <f t="shared" si="17"/>
        <v>0.15379999999999999</v>
      </c>
      <c r="L57" s="1295">
        <v>25601304</v>
      </c>
      <c r="M57" s="1401">
        <f t="shared" si="18"/>
        <v>3.6900000000000002E-2</v>
      </c>
      <c r="N57" s="1295">
        <v>24689250</v>
      </c>
      <c r="O57" s="1401">
        <f t="shared" si="19"/>
        <v>-0.39190000000000003</v>
      </c>
      <c r="P57" s="1295">
        <v>40601486</v>
      </c>
      <c r="Q57" s="1401">
        <f t="shared" si="20"/>
        <v>8.6300000000000002E-2</v>
      </c>
      <c r="R57" s="1397"/>
      <c r="S57" s="74">
        <v>37376859</v>
      </c>
      <c r="T57" s="1397"/>
      <c r="U57" s="1397"/>
    </row>
    <row r="58" spans="1:21" ht="15">
      <c r="A58" s="1396">
        <v>45</v>
      </c>
      <c r="B58" s="1394"/>
      <c r="C58" s="75" t="s">
        <v>1265</v>
      </c>
      <c r="D58" s="1295">
        <v>988576</v>
      </c>
      <c r="E58" s="1401">
        <f t="shared" si="14"/>
        <v>-0.18340000000000001</v>
      </c>
      <c r="F58" s="1295">
        <v>1210638</v>
      </c>
      <c r="G58" s="1401">
        <f t="shared" si="15"/>
        <v>-0.16789999999999999</v>
      </c>
      <c r="H58" s="1295">
        <v>1454906</v>
      </c>
      <c r="I58" s="1401">
        <f t="shared" si="16"/>
        <v>-0.15479999999999999</v>
      </c>
      <c r="J58" s="1295">
        <v>1721380</v>
      </c>
      <c r="K58" s="1401">
        <f t="shared" si="17"/>
        <v>-0.1341</v>
      </c>
      <c r="L58" s="1295">
        <v>1987854</v>
      </c>
      <c r="M58" s="1401">
        <f t="shared" si="18"/>
        <v>-0.1182</v>
      </c>
      <c r="N58" s="1295">
        <v>2254328</v>
      </c>
      <c r="O58" s="1401">
        <f t="shared" si="19"/>
        <v>-0.1091</v>
      </c>
      <c r="P58" s="1295">
        <v>2530513</v>
      </c>
      <c r="Q58" s="1401">
        <f t="shared" si="20"/>
        <v>-0.10059999999999999</v>
      </c>
      <c r="R58" s="1397"/>
      <c r="S58" s="74">
        <v>2813656</v>
      </c>
      <c r="T58" s="1397"/>
      <c r="U58" s="1397"/>
    </row>
    <row r="59" spans="1:21" ht="15">
      <c r="A59" s="1396">
        <v>46</v>
      </c>
      <c r="B59" s="1394"/>
      <c r="C59" s="75" t="s">
        <v>1266</v>
      </c>
      <c r="D59" s="1295">
        <v>10823173</v>
      </c>
      <c r="E59" s="1401">
        <f t="shared" si="14"/>
        <v>-5.0200000000000002E-2</v>
      </c>
      <c r="F59" s="1295">
        <v>11395767</v>
      </c>
      <c r="G59" s="1401">
        <f t="shared" si="15"/>
        <v>-0.64390000000000003</v>
      </c>
      <c r="H59" s="1295">
        <v>32002628</v>
      </c>
      <c r="I59" s="1401">
        <f t="shared" si="16"/>
        <v>-0.20580000000000001</v>
      </c>
      <c r="J59" s="1295">
        <v>40297566</v>
      </c>
      <c r="K59" s="1401">
        <f t="shared" si="17"/>
        <v>8.7929999999999993</v>
      </c>
      <c r="L59" s="1295">
        <v>-5170986</v>
      </c>
      <c r="M59" s="1401">
        <f t="shared" si="18"/>
        <v>-1.4789000000000001</v>
      </c>
      <c r="N59" s="1295">
        <v>-2086005</v>
      </c>
      <c r="O59" s="1401">
        <f t="shared" si="19"/>
        <v>-1.2662</v>
      </c>
      <c r="P59" s="1295">
        <v>7836663</v>
      </c>
      <c r="Q59" s="1401">
        <f t="shared" si="20"/>
        <v>0.16339999999999999</v>
      </c>
      <c r="R59" s="1397"/>
      <c r="S59" s="74">
        <v>6735833</v>
      </c>
      <c r="T59" s="1397"/>
      <c r="U59" s="1397"/>
    </row>
    <row r="60" spans="1:21" ht="15">
      <c r="A60" s="1396">
        <v>47</v>
      </c>
      <c r="B60" s="1394"/>
      <c r="C60" s="75" t="s">
        <v>1267</v>
      </c>
      <c r="D60" s="1295"/>
      <c r="E60" s="1401" t="str">
        <f t="shared" si="14"/>
        <v>-</v>
      </c>
      <c r="F60" s="1295"/>
      <c r="G60" s="1401">
        <f t="shared" si="15"/>
        <v>-1</v>
      </c>
      <c r="H60" s="1295">
        <v>1627916</v>
      </c>
      <c r="I60" s="1401">
        <f t="shared" si="16"/>
        <v>1.8122</v>
      </c>
      <c r="J60" s="1295">
        <v>578873</v>
      </c>
      <c r="K60" s="1401">
        <f t="shared" si="17"/>
        <v>-0.69869999999999999</v>
      </c>
      <c r="L60" s="1295">
        <v>1921396</v>
      </c>
      <c r="M60" s="1401">
        <f t="shared" si="18"/>
        <v>1.1133</v>
      </c>
      <c r="N60" s="1295">
        <v>909195</v>
      </c>
      <c r="O60" s="1401">
        <f t="shared" si="19"/>
        <v>1.6811</v>
      </c>
      <c r="P60" s="1295">
        <v>-1334972</v>
      </c>
      <c r="Q60" s="1401">
        <f t="shared" si="20"/>
        <v>0.42120000000000002</v>
      </c>
      <c r="R60" s="1397"/>
      <c r="S60" s="74">
        <v>-2306548</v>
      </c>
      <c r="T60" s="1397"/>
      <c r="U60" s="1397"/>
    </row>
    <row r="61" spans="1:21" ht="15">
      <c r="A61" s="1396">
        <v>48</v>
      </c>
      <c r="B61" s="1394"/>
      <c r="C61" s="75" t="s">
        <v>1268</v>
      </c>
      <c r="D61" s="1414">
        <f>SUM(D51:D60)</f>
        <v>117447324</v>
      </c>
      <c r="E61" s="1401">
        <f t="shared" si="14"/>
        <v>7.4499999999999997E-2</v>
      </c>
      <c r="F61" s="1414">
        <f>SUM(F51:F60)</f>
        <v>109299844</v>
      </c>
      <c r="G61" s="1401">
        <f t="shared" si="15"/>
        <v>-0.20699999999999999</v>
      </c>
      <c r="H61" s="1414">
        <f>SUM(H51:H60)</f>
        <v>137824632</v>
      </c>
      <c r="I61" s="1401">
        <f t="shared" si="16"/>
        <v>0.12089999999999999</v>
      </c>
      <c r="J61" s="1414">
        <f>SUM(J51:J60)</f>
        <v>122957059</v>
      </c>
      <c r="K61" s="1401">
        <f t="shared" si="17"/>
        <v>1.2070000000000001</v>
      </c>
      <c r="L61" s="1414">
        <f>SUM(L51:L60)</f>
        <v>55713035</v>
      </c>
      <c r="M61" s="1401">
        <f t="shared" si="18"/>
        <v>0.112</v>
      </c>
      <c r="N61" s="1414">
        <f>SUM(N51:N60)</f>
        <v>50101716</v>
      </c>
      <c r="O61" s="1401">
        <f t="shared" si="19"/>
        <v>-0.30780000000000002</v>
      </c>
      <c r="P61" s="1414">
        <f>SUM(P51:P60)</f>
        <v>72380238</v>
      </c>
      <c r="Q61" s="1401">
        <f t="shared" si="20"/>
        <v>8.9800000000000005E-2</v>
      </c>
      <c r="R61" s="1397"/>
      <c r="S61" s="1402">
        <f>SUM(S51:S60)</f>
        <v>66413502</v>
      </c>
      <c r="T61" s="1397"/>
      <c r="U61" s="1397"/>
    </row>
    <row r="62" spans="1:21" ht="15">
      <c r="A62" s="1396">
        <v>49</v>
      </c>
      <c r="B62" s="1394"/>
      <c r="C62" s="1394"/>
      <c r="D62" s="1348"/>
      <c r="E62" s="1348"/>
      <c r="F62" s="1348"/>
      <c r="G62" s="1348"/>
      <c r="H62" s="1348"/>
      <c r="I62" s="1348"/>
      <c r="J62" s="1348"/>
      <c r="K62" s="1348"/>
      <c r="L62" s="1348"/>
      <c r="M62" s="1348"/>
      <c r="N62" s="1348"/>
      <c r="O62" s="1348"/>
      <c r="P62" s="1348"/>
      <c r="Q62" s="1348"/>
      <c r="R62" s="1397"/>
      <c r="S62" s="1348"/>
      <c r="T62" s="1397"/>
      <c r="U62" s="1397"/>
    </row>
    <row r="63" spans="1:21" ht="15">
      <c r="A63" s="1396">
        <v>50</v>
      </c>
      <c r="B63" s="1394"/>
      <c r="C63" s="1394"/>
      <c r="D63" s="1348"/>
      <c r="E63" s="1348"/>
      <c r="F63" s="1348"/>
      <c r="G63" s="1348"/>
      <c r="H63" s="1348"/>
      <c r="I63" s="1348"/>
      <c r="J63" s="1348"/>
      <c r="K63" s="1348"/>
      <c r="L63" s="1348"/>
      <c r="M63" s="1348"/>
      <c r="N63" s="1348"/>
      <c r="O63" s="1348"/>
      <c r="P63" s="1348"/>
      <c r="Q63" s="1348"/>
      <c r="R63" s="1397"/>
      <c r="S63" s="1348"/>
      <c r="T63" s="1397"/>
      <c r="U63" s="1397"/>
    </row>
    <row r="64" spans="1:21" ht="15.75" thickBot="1">
      <c r="A64" s="1396">
        <v>51</v>
      </c>
      <c r="B64" s="1394"/>
      <c r="C64" s="75" t="s">
        <v>1269</v>
      </c>
      <c r="D64" s="1400">
        <f>D61+D50+D28+D20</f>
        <v>1613254728</v>
      </c>
      <c r="E64" s="1401">
        <f>IF(F64=0,"-",ROUND((D64-F64)/ABS(F64),4))</f>
        <v>8.4400000000000003E-2</v>
      </c>
      <c r="F64" s="1400">
        <f>F61+F50+F28+F20</f>
        <v>1487692390</v>
      </c>
      <c r="G64" s="1401">
        <f>IF(H64=0,"-",ROUND((F64-H64)/ABS(H64),4))</f>
        <v>9.8500000000000004E-2</v>
      </c>
      <c r="H64" s="1400">
        <f>H61+H50+H28+H20</f>
        <v>1354236962</v>
      </c>
      <c r="I64" s="1401">
        <f>IF(J64=0,"-",ROUND((H64-J64)/ABS(J64),4))</f>
        <v>2.2800000000000001E-2</v>
      </c>
      <c r="J64" s="1400">
        <f>J61+J50+J28+J20</f>
        <v>1324084250</v>
      </c>
      <c r="K64" s="1401">
        <f>IF(L64=0,"-",ROUND((J64-L64)/ABS(L64),4))</f>
        <v>0.14829999999999999</v>
      </c>
      <c r="L64" s="1400">
        <f>L61+L50+L28+L20</f>
        <v>1153123738</v>
      </c>
      <c r="M64" s="1401">
        <f>IF(N64=0,"-",ROUND((L64-N64)/ABS(N64),4))</f>
        <v>5.3900000000000003E-2</v>
      </c>
      <c r="N64" s="1400">
        <f>N61+N50+N28+N20</f>
        <v>1094191585</v>
      </c>
      <c r="O64" s="1401">
        <f>IF(P64=0,"-",ROUND((N64-P64)/ABS(P64),4))</f>
        <v>-1.32E-2</v>
      </c>
      <c r="P64" s="1400">
        <f>P61+P50+P28+P20</f>
        <v>1108773593</v>
      </c>
      <c r="Q64" s="1401">
        <f>IF(S64=0,"-",ROUND((P64-S64)/ABS(S64),4))</f>
        <v>2.3599999999999999E-2</v>
      </c>
      <c r="R64" s="1397"/>
      <c r="S64" s="1400">
        <f>S61+S50+S28+S20</f>
        <v>1083233819</v>
      </c>
      <c r="T64" s="1397"/>
      <c r="U64" s="1397"/>
    </row>
    <row r="65" spans="1:21" ht="15.75" thickTop="1">
      <c r="A65" s="1394"/>
      <c r="B65" s="1394"/>
      <c r="C65" s="1394"/>
      <c r="D65" s="1348"/>
      <c r="E65" s="1394"/>
      <c r="F65" s="1348"/>
      <c r="G65" s="1348"/>
      <c r="H65" s="1348"/>
      <c r="I65" s="1348"/>
      <c r="J65" s="1348"/>
      <c r="K65" s="1348"/>
      <c r="L65" s="1348"/>
      <c r="M65" s="1348"/>
      <c r="N65" s="1348"/>
      <c r="O65" s="1348"/>
      <c r="P65" s="1348"/>
      <c r="Q65" s="1348"/>
      <c r="R65" s="1397"/>
      <c r="S65" s="1348"/>
      <c r="T65" s="1397"/>
      <c r="U65" s="1397"/>
    </row>
    <row r="66" spans="1:21" ht="15">
      <c r="A66" s="1394"/>
      <c r="B66" s="1394"/>
      <c r="C66" s="2425" t="s">
        <v>3265</v>
      </c>
      <c r="D66" s="1348"/>
      <c r="E66" s="1394"/>
      <c r="F66" s="1348"/>
      <c r="G66" s="1413"/>
      <c r="H66" s="1348"/>
      <c r="I66" s="1348"/>
      <c r="J66" s="1348"/>
      <c r="K66" s="1348"/>
      <c r="L66" s="1348"/>
      <c r="M66" s="1348"/>
      <c r="N66" s="1399"/>
      <c r="O66" s="1399"/>
      <c r="P66" s="1348"/>
      <c r="Q66" s="1348"/>
      <c r="R66" s="1394"/>
      <c r="S66" s="1348"/>
      <c r="T66" s="1397"/>
      <c r="U66" s="1397"/>
    </row>
    <row r="67" spans="1:21" ht="15">
      <c r="A67" s="1394"/>
      <c r="B67" s="1394"/>
      <c r="C67" s="1394"/>
      <c r="D67" s="1399"/>
      <c r="E67" s="1394"/>
      <c r="F67" s="1399"/>
      <c r="G67" s="1399"/>
      <c r="H67" s="1399"/>
      <c r="I67" s="1399"/>
      <c r="J67" s="1399"/>
      <c r="K67" s="1399"/>
      <c r="L67" s="1399"/>
      <c r="M67" s="1399"/>
      <c r="N67" s="1399"/>
      <c r="O67" s="1399"/>
      <c r="P67" s="1399"/>
      <c r="Q67" s="1399"/>
      <c r="R67" s="1394"/>
      <c r="S67" s="1394"/>
      <c r="T67" s="1397"/>
      <c r="U67" s="1397"/>
    </row>
    <row r="68" spans="1:21" ht="15">
      <c r="A68" s="2422" t="str">
        <f>A1</f>
        <v>DUKE ENERGY KENTUCKY, INC.</v>
      </c>
      <c r="B68" s="1412"/>
      <c r="C68" s="1412"/>
      <c r="D68" s="1411"/>
      <c r="E68" s="1412"/>
      <c r="F68" s="1411"/>
      <c r="G68" s="1411"/>
      <c r="H68" s="1411"/>
      <c r="I68" s="1411"/>
      <c r="J68" s="1411"/>
      <c r="K68" s="1411"/>
      <c r="L68" s="1411"/>
      <c r="M68" s="1411"/>
      <c r="N68" s="1411"/>
      <c r="O68" s="1411"/>
      <c r="P68" s="1411"/>
      <c r="Q68" s="1411"/>
      <c r="R68" s="1394"/>
      <c r="S68" s="1394"/>
      <c r="T68" s="1394"/>
      <c r="U68" s="1394"/>
    </row>
    <row r="69" spans="1:21" ht="15">
      <c r="A69" s="2422" t="str">
        <f>A2</f>
        <v>CASE NO. 2017-00321</v>
      </c>
      <c r="B69" s="1412"/>
      <c r="C69" s="1412"/>
      <c r="D69" s="1411"/>
      <c r="E69" s="1412"/>
      <c r="F69" s="1411"/>
      <c r="G69" s="1411"/>
      <c r="H69" s="1411"/>
      <c r="I69" s="1411"/>
      <c r="J69" s="1411"/>
      <c r="K69" s="1411"/>
      <c r="L69" s="1411"/>
      <c r="M69" s="1411"/>
      <c r="N69" s="1411"/>
      <c r="O69" s="1411"/>
      <c r="P69" s="1411"/>
      <c r="Q69" s="1411"/>
      <c r="R69" s="1394"/>
      <c r="S69" s="1394"/>
      <c r="T69" s="1394"/>
      <c r="U69" s="1394"/>
    </row>
    <row r="70" spans="1:21" ht="15">
      <c r="A70" s="1412" t="s">
        <v>1979</v>
      </c>
      <c r="B70" s="1412"/>
      <c r="C70" s="1412"/>
      <c r="D70" s="1411"/>
      <c r="E70" s="1412"/>
      <c r="F70" s="1411"/>
      <c r="G70" s="1411"/>
      <c r="H70" s="1411"/>
      <c r="I70" s="1411"/>
      <c r="J70" s="1411"/>
      <c r="K70" s="1411"/>
      <c r="L70" s="1411"/>
      <c r="M70" s="1411"/>
      <c r="N70" s="1411"/>
      <c r="O70" s="1411"/>
      <c r="P70" s="1411"/>
      <c r="Q70" s="1411"/>
      <c r="R70" s="1394"/>
      <c r="S70" s="1394"/>
      <c r="T70" s="1394"/>
      <c r="U70" s="1394"/>
    </row>
    <row r="71" spans="1:21" ht="15">
      <c r="A71" s="2423" t="str">
        <f>A4</f>
        <v>AS OF DECEMBER 31, 2012-2016 AND BASE AND FORECASTED PERIODS</v>
      </c>
      <c r="B71" s="1412"/>
      <c r="C71" s="1412"/>
      <c r="D71" s="1411"/>
      <c r="E71" s="1412"/>
      <c r="F71" s="1411"/>
      <c r="G71" s="1411"/>
      <c r="H71" s="1411"/>
      <c r="I71" s="1411"/>
      <c r="J71" s="1411"/>
      <c r="K71" s="1411"/>
      <c r="L71" s="1411"/>
      <c r="M71" s="1411"/>
      <c r="N71" s="1411"/>
      <c r="O71" s="1411"/>
      <c r="P71" s="1411"/>
      <c r="Q71" s="1411"/>
      <c r="R71" s="1394"/>
      <c r="S71" s="1394"/>
      <c r="T71" s="1394"/>
      <c r="U71" s="1394"/>
    </row>
    <row r="72" spans="1:21" ht="15">
      <c r="A72" s="75"/>
      <c r="B72" s="1394"/>
      <c r="C72" s="1394"/>
      <c r="D72" s="1399"/>
      <c r="E72" s="1394"/>
      <c r="F72" s="1399"/>
      <c r="G72" s="1399"/>
      <c r="H72" s="1399"/>
      <c r="I72" s="1399"/>
      <c r="J72" s="1399"/>
      <c r="K72" s="1399"/>
      <c r="L72" s="1399"/>
      <c r="M72" s="1399"/>
      <c r="N72" s="1399"/>
      <c r="O72" s="1399"/>
      <c r="P72" s="1399"/>
      <c r="Q72" s="1399"/>
      <c r="R72" s="1394"/>
      <c r="S72" s="1394"/>
      <c r="T72" s="1394"/>
      <c r="U72" s="1394"/>
    </row>
    <row r="73" spans="1:21" ht="15">
      <c r="A73" s="75" t="str">
        <f>LOGO!$B$14</f>
        <v>DATA: "X" BASE PERIOD  "X" FORECASTED PERIOD</v>
      </c>
      <c r="B73" s="1394"/>
      <c r="C73" s="1394"/>
      <c r="D73" s="1399"/>
      <c r="E73" s="1394"/>
      <c r="F73" s="1399"/>
      <c r="G73" s="1399"/>
      <c r="H73" s="1399"/>
      <c r="I73" s="1399"/>
      <c r="J73" s="1399"/>
      <c r="K73" s="1399"/>
      <c r="L73" s="1399"/>
      <c r="M73" s="1399"/>
      <c r="N73" s="1413" t="s">
        <v>1980</v>
      </c>
      <c r="O73" s="1413"/>
      <c r="P73" s="1399"/>
      <c r="Q73" s="1399"/>
      <c r="R73" s="1394"/>
      <c r="S73" s="1394"/>
      <c r="T73" s="1394"/>
      <c r="U73" s="1394"/>
    </row>
    <row r="74" spans="1:21" ht="15">
      <c r="A74" s="75" t="str">
        <f>A7</f>
        <v xml:space="preserve">TYPE OF FILING:  "X" ORIGINAL   UPDATED    REVISED  </v>
      </c>
      <c r="B74" s="1394"/>
      <c r="C74" s="1394"/>
      <c r="D74" s="1399"/>
      <c r="E74" s="1394"/>
      <c r="F74" s="1399"/>
      <c r="G74" s="1399"/>
      <c r="H74" s="1399"/>
      <c r="I74" s="1399"/>
      <c r="J74" s="1399"/>
      <c r="K74" s="1399"/>
      <c r="L74" s="1399"/>
      <c r="M74" s="1399"/>
      <c r="N74" s="1413" t="s">
        <v>86</v>
      </c>
      <c r="O74" s="1413"/>
      <c r="P74" s="1399"/>
      <c r="Q74" s="1399"/>
      <c r="R74" s="1394"/>
      <c r="S74" s="1394"/>
      <c r="T74" s="1394"/>
      <c r="U74" s="1394"/>
    </row>
    <row r="75" spans="1:21" ht="15">
      <c r="A75" s="75" t="s">
        <v>1879</v>
      </c>
      <c r="B75" s="1394"/>
      <c r="C75" s="1394"/>
      <c r="D75" s="1399"/>
      <c r="E75" s="1394"/>
      <c r="F75" s="1399"/>
      <c r="G75" s="1399"/>
      <c r="H75" s="1399"/>
      <c r="I75" s="1399"/>
      <c r="J75" s="1399"/>
      <c r="K75" s="1399"/>
      <c r="L75" s="1399"/>
      <c r="M75" s="1399"/>
      <c r="N75" s="1399" t="s">
        <v>622</v>
      </c>
      <c r="O75" s="1399"/>
      <c r="P75" s="1399"/>
      <c r="Q75" s="1399"/>
      <c r="R75" s="1394"/>
      <c r="S75" s="1394"/>
      <c r="T75" s="1394"/>
      <c r="U75" s="1394"/>
    </row>
    <row r="76" spans="1:21" ht="15">
      <c r="A76" s="75"/>
      <c r="B76" s="1394"/>
      <c r="C76" s="1394"/>
      <c r="D76" s="1399"/>
      <c r="E76" s="1394"/>
      <c r="F76" s="1399"/>
      <c r="G76" s="1399"/>
      <c r="H76" s="1399"/>
      <c r="I76" s="1399"/>
      <c r="J76" s="1399"/>
      <c r="K76" s="1399"/>
      <c r="L76" s="1399"/>
      <c r="M76" s="1399"/>
      <c r="N76" s="1399" t="str">
        <f>_WIT6</f>
        <v>R. H. PRATT / D. L. DOSS</v>
      </c>
      <c r="O76" s="1399"/>
      <c r="P76" s="1399"/>
      <c r="Q76" s="1399"/>
      <c r="R76" s="1394"/>
      <c r="S76" s="1394"/>
      <c r="T76" s="1394"/>
      <c r="U76" s="1394"/>
    </row>
    <row r="77" spans="1:21" ht="15">
      <c r="A77" s="75"/>
      <c r="B77" s="1394"/>
      <c r="C77" s="1394"/>
      <c r="D77" s="1399"/>
      <c r="E77" s="1394"/>
      <c r="F77" s="1399"/>
      <c r="G77" s="1399"/>
      <c r="H77" s="1399"/>
      <c r="I77" s="1399"/>
      <c r="J77" s="1399"/>
      <c r="K77" s="1399"/>
      <c r="L77" s="1399"/>
      <c r="M77" s="1399"/>
      <c r="N77" s="1399"/>
      <c r="O77" s="1399"/>
      <c r="P77" s="1399"/>
      <c r="Q77" s="1399"/>
      <c r="R77" s="1394"/>
      <c r="S77" s="1394"/>
      <c r="T77" s="1394"/>
      <c r="U77" s="1394"/>
    </row>
    <row r="78" spans="1:21" ht="15">
      <c r="A78" s="1394"/>
      <c r="B78" s="1394"/>
      <c r="C78" s="1394"/>
      <c r="D78" s="1410" t="s">
        <v>455</v>
      </c>
      <c r="E78" s="1394"/>
      <c r="F78" s="1394"/>
      <c r="G78" s="1394"/>
      <c r="H78" s="1409" t="s">
        <v>1982</v>
      </c>
      <c r="I78" s="1409"/>
      <c r="J78" s="1408"/>
      <c r="K78" s="1408"/>
      <c r="L78" s="1408"/>
      <c r="M78" s="1408"/>
      <c r="N78" s="1408"/>
      <c r="O78" s="1408"/>
      <c r="P78" s="1408"/>
      <c r="Q78" s="1384"/>
      <c r="R78" s="1394"/>
      <c r="S78" s="1394"/>
      <c r="T78" s="1394"/>
      <c r="U78" s="1394"/>
    </row>
    <row r="79" spans="1:21" ht="15">
      <c r="A79" s="2424" t="s">
        <v>1961</v>
      </c>
      <c r="B79" s="1406"/>
      <c r="C79" s="1406"/>
      <c r="D79" s="1406" t="s">
        <v>1143</v>
      </c>
      <c r="E79" s="1406" t="s">
        <v>363</v>
      </c>
      <c r="F79" s="1407" t="s">
        <v>564</v>
      </c>
      <c r="G79" s="1406" t="s">
        <v>363</v>
      </c>
      <c r="H79" s="1394"/>
      <c r="I79" s="1406" t="s">
        <v>363</v>
      </c>
      <c r="J79" s="1394"/>
      <c r="K79" s="1406" t="s">
        <v>363</v>
      </c>
      <c r="L79" s="1394"/>
      <c r="M79" s="1406" t="s">
        <v>363</v>
      </c>
      <c r="N79" s="1394"/>
      <c r="O79" s="1406" t="s">
        <v>363</v>
      </c>
      <c r="P79" s="1394"/>
      <c r="Q79" s="1405" t="s">
        <v>363</v>
      </c>
      <c r="R79" s="1394"/>
      <c r="S79" s="1394"/>
      <c r="T79" s="1394"/>
      <c r="U79" s="1394"/>
    </row>
    <row r="80" spans="1:21" ht="15">
      <c r="A80" s="1403" t="s">
        <v>90</v>
      </c>
      <c r="B80" s="1406"/>
      <c r="C80" s="1403" t="s">
        <v>1874</v>
      </c>
      <c r="D80" s="1404" t="s">
        <v>568</v>
      </c>
      <c r="E80" s="1404" t="s">
        <v>1937</v>
      </c>
      <c r="F80" s="1404" t="s">
        <v>568</v>
      </c>
      <c r="G80" s="1404" t="s">
        <v>1937</v>
      </c>
      <c r="H80" s="44">
        <f>H13</f>
        <v>2016</v>
      </c>
      <c r="I80" s="1404" t="s">
        <v>1937</v>
      </c>
      <c r="J80" s="1403">
        <f>H80-1</f>
        <v>2015</v>
      </c>
      <c r="K80" s="1404" t="s">
        <v>1937</v>
      </c>
      <c r="L80" s="1403">
        <f>J80-1</f>
        <v>2014</v>
      </c>
      <c r="M80" s="1404" t="s">
        <v>1937</v>
      </c>
      <c r="N80" s="1403">
        <f>L80-1</f>
        <v>2013</v>
      </c>
      <c r="O80" s="1404" t="s">
        <v>1937</v>
      </c>
      <c r="P80" s="1403">
        <f>N80-1</f>
        <v>2012</v>
      </c>
      <c r="Q80" s="1404" t="s">
        <v>1937</v>
      </c>
      <c r="R80" s="1394"/>
      <c r="S80" s="1403">
        <f>P80-1</f>
        <v>2011</v>
      </c>
      <c r="T80" s="1394"/>
      <c r="U80" s="1394"/>
    </row>
    <row r="81" spans="1:21" ht="15.75">
      <c r="A81" s="1396">
        <v>1</v>
      </c>
      <c r="B81" s="1394"/>
      <c r="C81" s="50" t="s">
        <v>857</v>
      </c>
      <c r="D81" s="1399"/>
      <c r="E81" s="50"/>
      <c r="F81" s="1399"/>
      <c r="G81" s="1399"/>
      <c r="H81" s="1399"/>
      <c r="I81" s="1399"/>
      <c r="J81" s="1399"/>
      <c r="K81" s="1399"/>
      <c r="L81" s="1399"/>
      <c r="M81" s="1399"/>
      <c r="N81" s="1399"/>
      <c r="O81" s="1399"/>
      <c r="P81" s="1399"/>
      <c r="Q81" s="1399"/>
      <c r="R81" s="1394"/>
      <c r="S81" s="1399"/>
      <c r="T81" s="1397"/>
      <c r="U81" s="1397"/>
    </row>
    <row r="82" spans="1:21" ht="15.75">
      <c r="A82" s="1396">
        <v>2</v>
      </c>
      <c r="B82" s="1394"/>
      <c r="C82" s="50" t="s">
        <v>858</v>
      </c>
      <c r="D82" s="1399"/>
      <c r="E82" s="50"/>
      <c r="F82" s="1399"/>
      <c r="G82" s="1399"/>
      <c r="H82" s="1399"/>
      <c r="I82" s="1399"/>
      <c r="J82" s="1399"/>
      <c r="K82" s="1399"/>
      <c r="L82" s="1399"/>
      <c r="M82" s="1399"/>
      <c r="N82" s="1399"/>
      <c r="O82" s="1399"/>
      <c r="P82" s="1399"/>
      <c r="Q82" s="1399"/>
      <c r="R82" s="1394"/>
      <c r="S82" s="1399"/>
      <c r="T82" s="1397"/>
      <c r="U82" s="1397"/>
    </row>
    <row r="83" spans="1:21" ht="15">
      <c r="A83" s="1396">
        <v>3</v>
      </c>
      <c r="B83" s="1394"/>
      <c r="C83" s="75" t="s">
        <v>859</v>
      </c>
      <c r="D83" s="74">
        <v>8779995</v>
      </c>
      <c r="E83" s="1401">
        <f t="shared" ref="E83:E88" si="21">IF(F83=0,"-",ROUND((D83-F83)/ABS(F83),4))</f>
        <v>0</v>
      </c>
      <c r="F83" s="74">
        <v>8779995</v>
      </c>
      <c r="G83" s="1401">
        <f t="shared" ref="G83:G88" si="22">IF(H83=0,"-",ROUND((F83-H83)/ABS(H83),4))</f>
        <v>0</v>
      </c>
      <c r="H83" s="74">
        <v>8779995</v>
      </c>
      <c r="I83" s="1401">
        <f t="shared" ref="I83:I88" si="23">IF(J83=0,"-",ROUND((H83-J83)/ABS(J83),4))</f>
        <v>0</v>
      </c>
      <c r="J83" s="74">
        <v>8779995</v>
      </c>
      <c r="K83" s="1401">
        <f t="shared" ref="K83:K88" si="24">IF(L83=0,"-",ROUND((J83-L83)/ABS(L83),4))</f>
        <v>0</v>
      </c>
      <c r="L83" s="74">
        <v>8779995</v>
      </c>
      <c r="M83" s="1401">
        <f t="shared" ref="M83:M88" si="25">IF(N83=0,"-",ROUND((L83-N83)/ABS(N83),4))</f>
        <v>0</v>
      </c>
      <c r="N83" s="74">
        <v>8779995</v>
      </c>
      <c r="O83" s="1401">
        <f t="shared" ref="O83:O88" si="26">IF(P83=0,"-",ROUND((N83-P83)/ABS(P83),4))</f>
        <v>0</v>
      </c>
      <c r="P83" s="74">
        <v>8779995</v>
      </c>
      <c r="Q83" s="1401">
        <f t="shared" ref="Q83:Q88" si="27">IF(S83=0,"-",ROUND((P83-S83)/ABS(S83),4))</f>
        <v>0</v>
      </c>
      <c r="R83" s="1397"/>
      <c r="S83" s="74">
        <v>8779995</v>
      </c>
      <c r="T83" s="1397"/>
      <c r="U83" s="1397"/>
    </row>
    <row r="84" spans="1:21" ht="15">
      <c r="A84" s="1396">
        <v>4</v>
      </c>
      <c r="B84" s="1394"/>
      <c r="C84" s="75" t="s">
        <v>860</v>
      </c>
      <c r="D84" s="74">
        <v>18838946</v>
      </c>
      <c r="E84" s="1401">
        <f t="shared" si="21"/>
        <v>0</v>
      </c>
      <c r="F84" s="74">
        <v>18838946</v>
      </c>
      <c r="G84" s="1401">
        <f t="shared" si="22"/>
        <v>0</v>
      </c>
      <c r="H84" s="74">
        <v>18838946</v>
      </c>
      <c r="I84" s="1401">
        <f t="shared" si="23"/>
        <v>0</v>
      </c>
      <c r="J84" s="74">
        <v>18838946</v>
      </c>
      <c r="K84" s="1401">
        <f t="shared" si="24"/>
        <v>0</v>
      </c>
      <c r="L84" s="74">
        <v>18838946</v>
      </c>
      <c r="M84" s="1401">
        <f t="shared" si="25"/>
        <v>0</v>
      </c>
      <c r="N84" s="74">
        <f>18838946</f>
        <v>18838946</v>
      </c>
      <c r="O84" s="1401">
        <f t="shared" si="26"/>
        <v>0</v>
      </c>
      <c r="P84" s="74">
        <f>18838946</f>
        <v>18838946</v>
      </c>
      <c r="Q84" s="1401">
        <f t="shared" si="27"/>
        <v>0</v>
      </c>
      <c r="R84" s="1397"/>
      <c r="S84" s="74">
        <v>18838946</v>
      </c>
      <c r="T84" s="1397"/>
      <c r="U84" s="1397"/>
    </row>
    <row r="85" spans="1:21" ht="15">
      <c r="A85" s="1396">
        <v>5</v>
      </c>
      <c r="B85" s="1394"/>
      <c r="C85" s="75" t="s">
        <v>861</v>
      </c>
      <c r="D85" s="74">
        <f>167494134-18838946</f>
        <v>148655188</v>
      </c>
      <c r="E85" s="1401">
        <f t="shared" si="21"/>
        <v>0</v>
      </c>
      <c r="F85" s="74">
        <v>148655189</v>
      </c>
      <c r="G85" s="1401">
        <f t="shared" si="22"/>
        <v>0</v>
      </c>
      <c r="H85" s="74">
        <v>148655189</v>
      </c>
      <c r="I85" s="1401">
        <f t="shared" si="23"/>
        <v>0</v>
      </c>
      <c r="J85" s="74">
        <v>148655189</v>
      </c>
      <c r="K85" s="1401">
        <f t="shared" si="24"/>
        <v>0</v>
      </c>
      <c r="L85" s="74">
        <v>148655189</v>
      </c>
      <c r="M85" s="1401">
        <f t="shared" si="25"/>
        <v>0</v>
      </c>
      <c r="N85" s="74">
        <v>148655189</v>
      </c>
      <c r="O85" s="1401">
        <f t="shared" si="26"/>
        <v>0</v>
      </c>
      <c r="P85" s="74">
        <v>148655189</v>
      </c>
      <c r="Q85" s="1401">
        <f t="shared" si="27"/>
        <v>0</v>
      </c>
      <c r="R85" s="1397"/>
      <c r="S85" s="74">
        <v>148655189</v>
      </c>
      <c r="T85" s="1397"/>
      <c r="U85" s="1397"/>
    </row>
    <row r="86" spans="1:21" ht="15">
      <c r="A86" s="1396">
        <v>6</v>
      </c>
      <c r="B86" s="1394"/>
      <c r="C86" s="75" t="s">
        <v>862</v>
      </c>
      <c r="D86" s="25">
        <v>346491738</v>
      </c>
      <c r="E86" s="1401">
        <f t="shared" si="21"/>
        <v>0.1376</v>
      </c>
      <c r="F86" s="25">
        <f>304577017-1</f>
        <v>304577016</v>
      </c>
      <c r="G86" s="1401">
        <f t="shared" si="22"/>
        <v>0.1681</v>
      </c>
      <c r="H86" s="25">
        <v>260741367</v>
      </c>
      <c r="I86" s="1401">
        <f t="shared" si="23"/>
        <v>0.14280000000000001</v>
      </c>
      <c r="J86" s="25">
        <v>228157429</v>
      </c>
      <c r="K86" s="1401">
        <f t="shared" si="24"/>
        <v>-3.7199999999999997E-2</v>
      </c>
      <c r="L86" s="25">
        <v>236981799</v>
      </c>
      <c r="M86" s="1401">
        <f t="shared" si="25"/>
        <v>0.17499999999999999</v>
      </c>
      <c r="N86" s="25">
        <v>201679984</v>
      </c>
      <c r="O86" s="1401">
        <f t="shared" si="26"/>
        <v>2.58E-2</v>
      </c>
      <c r="P86" s="25">
        <v>196610413</v>
      </c>
      <c r="Q86" s="1401">
        <f t="shared" si="27"/>
        <v>0.1021</v>
      </c>
      <c r="R86" s="1397"/>
      <c r="S86" s="25">
        <v>178389553</v>
      </c>
      <c r="T86" s="1397"/>
      <c r="U86" s="1397"/>
    </row>
    <row r="87" spans="1:21" ht="15">
      <c r="A87" s="1396">
        <v>7</v>
      </c>
      <c r="B87" s="1394"/>
      <c r="C87" s="75" t="s">
        <v>1039</v>
      </c>
      <c r="D87" s="25"/>
      <c r="E87" s="1401" t="str">
        <f t="shared" si="21"/>
        <v>-</v>
      </c>
      <c r="F87" s="25">
        <v>0</v>
      </c>
      <c r="G87" s="1401" t="str">
        <f t="shared" si="22"/>
        <v>-</v>
      </c>
      <c r="H87" s="25">
        <v>0</v>
      </c>
      <c r="I87" s="1401" t="str">
        <f t="shared" si="23"/>
        <v>-</v>
      </c>
      <c r="J87" s="25">
        <v>0</v>
      </c>
      <c r="K87" s="1401" t="str">
        <f t="shared" si="24"/>
        <v>-</v>
      </c>
      <c r="L87" s="25">
        <v>0</v>
      </c>
      <c r="M87" s="1401" t="str">
        <f t="shared" si="25"/>
        <v>-</v>
      </c>
      <c r="N87" s="25">
        <v>0</v>
      </c>
      <c r="O87" s="1401" t="str">
        <f t="shared" si="26"/>
        <v>-</v>
      </c>
      <c r="P87" s="25">
        <v>0</v>
      </c>
      <c r="Q87" s="1401" t="str">
        <f t="shared" si="27"/>
        <v>-</v>
      </c>
      <c r="R87" s="1397"/>
      <c r="S87" s="74">
        <v>0</v>
      </c>
      <c r="T87" s="1397"/>
      <c r="U87" s="1397"/>
    </row>
    <row r="88" spans="1:21" ht="15">
      <c r="A88" s="1396">
        <v>8</v>
      </c>
      <c r="B88" s="1394"/>
      <c r="C88" s="75" t="s">
        <v>863</v>
      </c>
      <c r="D88" s="1402">
        <f>SUM(D83:D87)</f>
        <v>522765867</v>
      </c>
      <c r="E88" s="1401">
        <f t="shared" si="21"/>
        <v>8.72E-2</v>
      </c>
      <c r="F88" s="1402">
        <f>SUM(F83:F87)</f>
        <v>480851146</v>
      </c>
      <c r="G88" s="1401">
        <f t="shared" si="22"/>
        <v>0.1003</v>
      </c>
      <c r="H88" s="1402">
        <f>SUM(H83:H87)</f>
        <v>437015497</v>
      </c>
      <c r="I88" s="1401">
        <f t="shared" si="23"/>
        <v>8.0600000000000005E-2</v>
      </c>
      <c r="J88" s="1402">
        <f>SUM(J83:J87)</f>
        <v>404431559</v>
      </c>
      <c r="K88" s="1401">
        <f t="shared" si="24"/>
        <v>-2.1399999999999999E-2</v>
      </c>
      <c r="L88" s="1402">
        <f>SUM(L83:L87)</f>
        <v>413255929</v>
      </c>
      <c r="M88" s="1401">
        <f t="shared" si="25"/>
        <v>9.3399999999999997E-2</v>
      </c>
      <c r="N88" s="1402">
        <f>SUM(N83:N87)</f>
        <v>377954114</v>
      </c>
      <c r="O88" s="1401">
        <f t="shared" si="26"/>
        <v>1.3599999999999999E-2</v>
      </c>
      <c r="P88" s="1402">
        <f>SUM(P83:P87)</f>
        <v>372884543</v>
      </c>
      <c r="Q88" s="1401">
        <f t="shared" si="27"/>
        <v>5.1400000000000001E-2</v>
      </c>
      <c r="R88" s="1397"/>
      <c r="S88" s="1402">
        <f>SUM(S83:S87)</f>
        <v>354663683</v>
      </c>
      <c r="T88" s="1397"/>
      <c r="U88" s="1397"/>
    </row>
    <row r="89" spans="1:21" ht="15.75">
      <c r="A89" s="1396">
        <v>9</v>
      </c>
      <c r="B89" s="1394"/>
      <c r="C89" s="50" t="s">
        <v>1942</v>
      </c>
      <c r="D89" s="1348"/>
      <c r="E89" s="1348"/>
      <c r="F89" s="1348"/>
      <c r="G89" s="1348"/>
      <c r="H89" s="1348"/>
      <c r="I89" s="1348"/>
      <c r="J89" s="1348"/>
      <c r="K89" s="1348"/>
      <c r="L89" s="1348"/>
      <c r="M89" s="1348"/>
      <c r="N89" s="1348"/>
      <c r="O89" s="1348"/>
      <c r="P89" s="1348"/>
      <c r="Q89" s="1348"/>
      <c r="R89" s="1397"/>
      <c r="S89" s="1348"/>
      <c r="T89" s="1397"/>
      <c r="U89" s="1397"/>
    </row>
    <row r="90" spans="1:21" ht="15">
      <c r="A90" s="1396">
        <v>10</v>
      </c>
      <c r="B90" s="1394"/>
      <c r="C90" s="75" t="s">
        <v>2643</v>
      </c>
      <c r="D90" s="74">
        <v>25000000</v>
      </c>
      <c r="E90" s="1401">
        <f t="shared" ref="E90:E95" si="28">IF(F90=0,"-",ROUND((D90-F90)/ABS(F90),4))</f>
        <v>0</v>
      </c>
      <c r="F90" s="74">
        <v>25000000</v>
      </c>
      <c r="G90" s="1401">
        <f t="shared" ref="G90:G95" si="29">IF(H90=0,"-",ROUND((F90-H90)/ABS(H90),4))</f>
        <v>0</v>
      </c>
      <c r="H90" s="74">
        <v>25000000</v>
      </c>
      <c r="I90" s="1401">
        <f t="shared" ref="I90:I95" si="30">IF(J90=0,"-",ROUND((H90-J90)/ABS(J90),4))</f>
        <v>0</v>
      </c>
      <c r="J90" s="74">
        <v>25000000</v>
      </c>
      <c r="K90" s="1401">
        <f t="shared" ref="K90:K95" si="31">IF(L90=0,"-",ROUND((J90-L90)/ABS(L90),4))</f>
        <v>0</v>
      </c>
      <c r="L90" s="74">
        <v>25000000</v>
      </c>
      <c r="M90" s="1401" t="str">
        <f t="shared" ref="M90:M95" si="32">IF(N90=0,"-",ROUND((L90-N90)/ABS(N90),4))</f>
        <v>-</v>
      </c>
      <c r="N90" s="74">
        <v>0</v>
      </c>
      <c r="O90" s="1401" t="str">
        <f t="shared" ref="O90:O95" si="33">IF(P90=0,"-",ROUND((N90-P90)/ABS(P90),4))</f>
        <v>-</v>
      </c>
      <c r="P90" s="74">
        <v>0</v>
      </c>
      <c r="Q90" s="1401" t="str">
        <f t="shared" ref="Q90:Q95" si="34">IF(S90=0,"-",ROUND((P90-S90)/ABS(S90),4))</f>
        <v>-</v>
      </c>
      <c r="R90" s="1397"/>
      <c r="S90" s="74">
        <v>0</v>
      </c>
      <c r="T90" s="1397"/>
      <c r="U90" s="1397"/>
    </row>
    <row r="91" spans="1:21" ht="15">
      <c r="A91" s="1396">
        <v>11</v>
      </c>
      <c r="B91" s="1394"/>
      <c r="C91" s="75" t="s">
        <v>1943</v>
      </c>
      <c r="D91" s="74">
        <v>413180903</v>
      </c>
      <c r="E91" s="1401">
        <f t="shared" si="28"/>
        <v>-3.44E-2</v>
      </c>
      <c r="F91" s="74">
        <v>427898521</v>
      </c>
      <c r="G91" s="1401">
        <f t="shared" si="29"/>
        <v>0.27079999999999999</v>
      </c>
      <c r="H91" s="74">
        <v>336720000</v>
      </c>
      <c r="I91" s="1401">
        <f t="shared" si="30"/>
        <v>0.15429999999999999</v>
      </c>
      <c r="J91" s="74">
        <v>291720000</v>
      </c>
      <c r="K91" s="1401">
        <f t="shared" si="31"/>
        <v>-2.8999999999999998E-3</v>
      </c>
      <c r="L91" s="74">
        <v>292571494</v>
      </c>
      <c r="M91" s="1401">
        <f t="shared" si="32"/>
        <v>-0.1203</v>
      </c>
      <c r="N91" s="74">
        <v>332571494</v>
      </c>
      <c r="O91" s="1401">
        <f t="shared" si="33"/>
        <v>0</v>
      </c>
      <c r="P91" s="74">
        <v>332571494</v>
      </c>
      <c r="Q91" s="1401">
        <f t="shared" si="34"/>
        <v>0</v>
      </c>
      <c r="R91" s="1397"/>
      <c r="S91" s="74">
        <v>332571494</v>
      </c>
      <c r="T91" s="1397"/>
      <c r="U91" s="1397"/>
    </row>
    <row r="92" spans="1:21" ht="15">
      <c r="A92" s="1396">
        <v>12</v>
      </c>
      <c r="B92" s="1394"/>
      <c r="C92" s="75" t="s">
        <v>1944</v>
      </c>
      <c r="D92" s="74"/>
      <c r="E92" s="1401" t="str">
        <f t="shared" si="28"/>
        <v>-</v>
      </c>
      <c r="F92" s="74"/>
      <c r="G92" s="1401" t="str">
        <f t="shared" si="29"/>
        <v>-</v>
      </c>
      <c r="H92" s="74">
        <v>0</v>
      </c>
      <c r="I92" s="1401" t="str">
        <f t="shared" si="30"/>
        <v>-</v>
      </c>
      <c r="J92" s="74">
        <v>0</v>
      </c>
      <c r="K92" s="1401" t="str">
        <f t="shared" si="31"/>
        <v>-</v>
      </c>
      <c r="L92" s="74">
        <v>0</v>
      </c>
      <c r="M92" s="1401" t="str">
        <f t="shared" si="32"/>
        <v>-</v>
      </c>
      <c r="N92" s="74">
        <v>0</v>
      </c>
      <c r="O92" s="1401" t="str">
        <f t="shared" si="33"/>
        <v>-</v>
      </c>
      <c r="P92" s="74">
        <v>0</v>
      </c>
      <c r="Q92" s="1401" t="str">
        <f t="shared" si="34"/>
        <v>-</v>
      </c>
      <c r="R92" s="1397"/>
      <c r="S92" s="74">
        <v>0</v>
      </c>
      <c r="T92" s="1397"/>
      <c r="U92" s="1397"/>
    </row>
    <row r="93" spans="1:21" ht="15">
      <c r="A93" s="1396">
        <v>13</v>
      </c>
      <c r="B93" s="1394"/>
      <c r="C93" s="75" t="s">
        <v>981</v>
      </c>
      <c r="D93" s="74">
        <v>-239004</v>
      </c>
      <c r="E93" s="1401">
        <f t="shared" si="28"/>
        <v>0.18290000000000001</v>
      </c>
      <c r="F93" s="74">
        <v>-292509</v>
      </c>
      <c r="G93" s="1401">
        <f t="shared" si="29"/>
        <v>-1.8654999999999999</v>
      </c>
      <c r="H93" s="74">
        <v>337948</v>
      </c>
      <c r="I93" s="1401">
        <f t="shared" si="30"/>
        <v>-0.12920000000000001</v>
      </c>
      <c r="J93" s="74">
        <v>388093</v>
      </c>
      <c r="K93" s="1401">
        <f t="shared" si="31"/>
        <v>-0.1193</v>
      </c>
      <c r="L93" s="74">
        <v>440663</v>
      </c>
      <c r="M93" s="1401">
        <f t="shared" si="32"/>
        <v>-0.1676</v>
      </c>
      <c r="N93" s="74">
        <v>529408</v>
      </c>
      <c r="O93" s="1401">
        <f t="shared" si="33"/>
        <v>-0.1459</v>
      </c>
      <c r="P93" s="74">
        <v>619835</v>
      </c>
      <c r="Q93" s="1401">
        <f t="shared" si="34"/>
        <v>-0.1273</v>
      </c>
      <c r="R93" s="1397"/>
      <c r="S93" s="74">
        <v>710262</v>
      </c>
      <c r="T93" s="1397"/>
      <c r="U93" s="1397"/>
    </row>
    <row r="94" spans="1:21" ht="15">
      <c r="A94" s="1396">
        <v>14</v>
      </c>
      <c r="B94" s="1394"/>
      <c r="C94" s="75" t="s">
        <v>534</v>
      </c>
      <c r="D94" s="74"/>
      <c r="E94" s="1401" t="str">
        <f t="shared" si="28"/>
        <v>-</v>
      </c>
      <c r="F94" s="74"/>
      <c r="G94" s="1401" t="str">
        <f t="shared" si="29"/>
        <v>-</v>
      </c>
      <c r="H94" s="74">
        <v>0</v>
      </c>
      <c r="I94" s="1401" t="str">
        <f t="shared" si="30"/>
        <v>-</v>
      </c>
      <c r="J94" s="74">
        <v>0</v>
      </c>
      <c r="K94" s="1401" t="str">
        <f t="shared" si="31"/>
        <v>-</v>
      </c>
      <c r="L94" s="74">
        <v>0</v>
      </c>
      <c r="M94" s="1401" t="str">
        <f t="shared" si="32"/>
        <v>-</v>
      </c>
      <c r="N94" s="74">
        <v>0</v>
      </c>
      <c r="O94" s="1401" t="str">
        <f t="shared" si="33"/>
        <v>-</v>
      </c>
      <c r="P94" s="74">
        <v>0</v>
      </c>
      <c r="Q94" s="1401" t="str">
        <f t="shared" si="34"/>
        <v>-</v>
      </c>
      <c r="R94" s="1397"/>
      <c r="S94" s="74">
        <v>0</v>
      </c>
      <c r="T94" s="1397"/>
      <c r="U94" s="1397"/>
    </row>
    <row r="95" spans="1:21" ht="15">
      <c r="A95" s="1396">
        <v>15</v>
      </c>
      <c r="B95" s="1394"/>
      <c r="C95" s="75" t="s">
        <v>982</v>
      </c>
      <c r="D95" s="1402">
        <f>SUM(D90:D92)-SUM(D93:D94)</f>
        <v>438419907</v>
      </c>
      <c r="E95" s="1401">
        <f t="shared" si="28"/>
        <v>-3.2599999999999997E-2</v>
      </c>
      <c r="F95" s="1402">
        <f>SUM(F90:F92)-SUM(F93:F94)</f>
        <v>453191030</v>
      </c>
      <c r="G95" s="1401">
        <f t="shared" si="29"/>
        <v>0.254</v>
      </c>
      <c r="H95" s="1402">
        <f>SUM(H90:H92)-SUM(H93:H94)</f>
        <v>361382052</v>
      </c>
      <c r="I95" s="1401">
        <f t="shared" si="30"/>
        <v>0.1424</v>
      </c>
      <c r="J95" s="1402">
        <f>SUM(J90:J92)-SUM(J93:J94)</f>
        <v>316331907</v>
      </c>
      <c r="K95" s="1401">
        <f t="shared" si="31"/>
        <v>-2.5000000000000001E-3</v>
      </c>
      <c r="L95" s="1402">
        <f>SUM(L90:L92)-SUM(L93:L94)</f>
        <v>317130831</v>
      </c>
      <c r="M95" s="1401">
        <f t="shared" si="32"/>
        <v>-4.4900000000000002E-2</v>
      </c>
      <c r="N95" s="1402">
        <f>SUM(N90:N92)-SUM(N93:N94)</f>
        <v>332042086</v>
      </c>
      <c r="O95" s="1401">
        <f t="shared" si="33"/>
        <v>2.9999999999999997E-4</v>
      </c>
      <c r="P95" s="1402">
        <f>SUM(P90:P92)-SUM(P93:P94)</f>
        <v>331951659</v>
      </c>
      <c r="Q95" s="1401">
        <f t="shared" si="34"/>
        <v>2.9999999999999997E-4</v>
      </c>
      <c r="R95" s="1397"/>
      <c r="S95" s="1402">
        <f>SUM(S90:S92)-SUM(S93:S94)</f>
        <v>331861232</v>
      </c>
      <c r="T95" s="1397"/>
      <c r="U95" s="1397"/>
    </row>
    <row r="96" spans="1:21" ht="15.75">
      <c r="A96" s="1396">
        <v>16</v>
      </c>
      <c r="B96" s="1394"/>
      <c r="C96" s="50" t="s">
        <v>983</v>
      </c>
      <c r="D96" s="1348"/>
      <c r="E96" s="1348"/>
      <c r="F96" s="1348"/>
      <c r="G96" s="1348"/>
      <c r="H96" s="1348"/>
      <c r="I96" s="1348"/>
      <c r="J96" s="1348"/>
      <c r="K96" s="1348"/>
      <c r="L96" s="1348"/>
      <c r="M96" s="1348"/>
      <c r="N96" s="1348"/>
      <c r="O96" s="1348"/>
      <c r="P96" s="1348"/>
      <c r="Q96" s="1348"/>
      <c r="R96" s="1397"/>
      <c r="S96" s="1348"/>
      <c r="T96" s="1397"/>
      <c r="U96" s="1397"/>
    </row>
    <row r="97" spans="1:21" ht="15">
      <c r="A97" s="1396">
        <v>17</v>
      </c>
      <c r="B97" s="1394"/>
      <c r="C97" s="75" t="s">
        <v>1426</v>
      </c>
      <c r="D97" s="25">
        <v>388661</v>
      </c>
      <c r="E97" s="1401">
        <f t="shared" ref="E97:E104" si="35">IF(F97=0,"-",ROUND((D97-F97)/ABS(F97),4))</f>
        <v>0.1242</v>
      </c>
      <c r="F97" s="25">
        <v>345737</v>
      </c>
      <c r="G97" s="1401">
        <f t="shared" ref="G97:G104" si="36">IF(H97=0,"-",ROUND((F97-H97)/ABS(H97),4))</f>
        <v>-0.7641</v>
      </c>
      <c r="H97" s="25">
        <v>1465571</v>
      </c>
      <c r="I97" s="1401">
        <f t="shared" ref="I97:I104" si="37">IF(J97=0,"-",ROUND((H97-J97)/ABS(J97),4))</f>
        <v>-0.31890000000000002</v>
      </c>
      <c r="J97" s="25">
        <v>2151880</v>
      </c>
      <c r="K97" s="1401">
        <f t="shared" ref="K97:K104" si="38">IF(L97=0,"-",ROUND((J97-L97)/ABS(L97),4))</f>
        <v>-0.41389999999999999</v>
      </c>
      <c r="L97" s="25">
        <v>3671631</v>
      </c>
      <c r="M97" s="1401">
        <f t="shared" ref="M97:M104" si="39">IF(N97=0,"-",ROUND((L97-N97)/ABS(N97),4))</f>
        <v>-0.30549999999999999</v>
      </c>
      <c r="N97" s="25">
        <v>5287092</v>
      </c>
      <c r="O97" s="1401">
        <f t="shared" ref="O97:O104" si="40">IF(P97=0,"-",ROUND((N97-P97)/ABS(P97),4))</f>
        <v>-0.2447</v>
      </c>
      <c r="P97" s="25">
        <v>6999647</v>
      </c>
      <c r="Q97" s="1401">
        <f t="shared" ref="Q97:Q104" si="41">IF(S97=0,"-",ROUND((P97-S97)/ABS(S97),4))</f>
        <v>-0.21160000000000001</v>
      </c>
      <c r="R97" s="1397"/>
      <c r="S97" s="25">
        <v>8878042</v>
      </c>
      <c r="T97" s="1397"/>
      <c r="U97" s="1397"/>
    </row>
    <row r="98" spans="1:21" ht="15">
      <c r="A98" s="1396">
        <v>18</v>
      </c>
      <c r="B98" s="1394"/>
      <c r="C98" s="75" t="s">
        <v>1427</v>
      </c>
      <c r="D98" s="25"/>
      <c r="E98" s="1401" t="str">
        <f t="shared" si="35"/>
        <v>-</v>
      </c>
      <c r="F98" s="25"/>
      <c r="G98" s="1401">
        <f t="shared" si="36"/>
        <v>1</v>
      </c>
      <c r="H98" s="25">
        <v>-57669</v>
      </c>
      <c r="I98" s="1401">
        <f t="shared" si="37"/>
        <v>-0.42230000000000001</v>
      </c>
      <c r="J98" s="25">
        <v>-40546</v>
      </c>
      <c r="K98" s="1401">
        <f t="shared" si="38"/>
        <v>0.72050000000000003</v>
      </c>
      <c r="L98" s="25">
        <v>-145076</v>
      </c>
      <c r="M98" s="1401">
        <f t="shared" si="39"/>
        <v>-156.9957</v>
      </c>
      <c r="N98" s="25">
        <v>930</v>
      </c>
      <c r="O98" s="1401" t="str">
        <f t="shared" si="40"/>
        <v>-</v>
      </c>
      <c r="P98" s="25">
        <v>0</v>
      </c>
      <c r="Q98" s="1401" t="str">
        <f t="shared" si="41"/>
        <v>-</v>
      </c>
      <c r="R98" s="1397"/>
      <c r="S98" s="25">
        <v>0</v>
      </c>
      <c r="T98" s="1397"/>
      <c r="U98" s="1397"/>
    </row>
    <row r="99" spans="1:21" ht="15">
      <c r="A99" s="1396">
        <v>19</v>
      </c>
      <c r="B99" s="1394"/>
      <c r="C99" s="75" t="s">
        <v>535</v>
      </c>
      <c r="D99" s="25">
        <v>14974925</v>
      </c>
      <c r="E99" s="1401">
        <f t="shared" si="35"/>
        <v>-1.2999999999999999E-3</v>
      </c>
      <c r="F99" s="25">
        <f>14994039+1</f>
        <v>14994040</v>
      </c>
      <c r="G99" s="1401">
        <f t="shared" si="36"/>
        <v>1.2999999999999999E-3</v>
      </c>
      <c r="H99" s="25">
        <v>14974925</v>
      </c>
      <c r="I99" s="1401">
        <f t="shared" si="37"/>
        <v>0.28549999999999998</v>
      </c>
      <c r="J99" s="25">
        <v>11648663</v>
      </c>
      <c r="K99" s="1401">
        <f t="shared" si="38"/>
        <v>0.22819999999999999</v>
      </c>
      <c r="L99" s="25">
        <v>9484261</v>
      </c>
      <c r="M99" s="1401">
        <f t="shared" si="39"/>
        <v>0.2782</v>
      </c>
      <c r="N99" s="25">
        <v>7419884</v>
      </c>
      <c r="O99" s="1401">
        <f t="shared" si="40"/>
        <v>-0.5978</v>
      </c>
      <c r="P99" s="25">
        <v>18448724</v>
      </c>
      <c r="Q99" s="1401">
        <f t="shared" si="41"/>
        <v>0.34129999999999999</v>
      </c>
      <c r="R99" s="1397"/>
      <c r="S99" s="25">
        <v>13754004</v>
      </c>
      <c r="T99" s="1397"/>
      <c r="U99" s="1397"/>
    </row>
    <row r="100" spans="1:21" ht="15">
      <c r="A100" s="1396">
        <v>20</v>
      </c>
      <c r="B100" s="1394"/>
      <c r="C100" s="75" t="s">
        <v>1542</v>
      </c>
      <c r="D100" s="25"/>
      <c r="E100" s="1401" t="str">
        <f t="shared" si="35"/>
        <v>-</v>
      </c>
      <c r="F100" s="25"/>
      <c r="G100" s="1401" t="str">
        <f t="shared" si="36"/>
        <v>-</v>
      </c>
      <c r="H100" s="25">
        <v>0</v>
      </c>
      <c r="I100" s="1401" t="str">
        <f t="shared" si="37"/>
        <v>-</v>
      </c>
      <c r="J100" s="25">
        <v>0</v>
      </c>
      <c r="K100" s="1401">
        <f t="shared" si="38"/>
        <v>-1</v>
      </c>
      <c r="L100" s="25">
        <v>303256</v>
      </c>
      <c r="M100" s="1401">
        <f t="shared" si="39"/>
        <v>-0.38109999999999999</v>
      </c>
      <c r="N100" s="25">
        <v>490000</v>
      </c>
      <c r="O100" s="1401">
        <f t="shared" si="40"/>
        <v>-0.1404</v>
      </c>
      <c r="P100" s="25">
        <v>570000</v>
      </c>
      <c r="Q100" s="1401">
        <f t="shared" si="41"/>
        <v>9.6199999999999994E-2</v>
      </c>
      <c r="R100" s="1397"/>
      <c r="S100" s="25">
        <v>520000</v>
      </c>
      <c r="T100" s="1397"/>
      <c r="U100" s="1397"/>
    </row>
    <row r="101" spans="1:21" ht="15">
      <c r="A101" s="1396">
        <v>21</v>
      </c>
      <c r="B101" s="1394"/>
      <c r="C101" s="75" t="s">
        <v>1543</v>
      </c>
      <c r="D101" s="25"/>
      <c r="E101" s="1401" t="str">
        <f t="shared" si="35"/>
        <v>-</v>
      </c>
      <c r="F101" s="25"/>
      <c r="G101" s="1401" t="str">
        <f t="shared" si="36"/>
        <v>-</v>
      </c>
      <c r="H101" s="25">
        <v>0</v>
      </c>
      <c r="I101" s="1401" t="str">
        <f t="shared" si="37"/>
        <v>-</v>
      </c>
      <c r="J101" s="25">
        <v>0</v>
      </c>
      <c r="K101" s="1401" t="str">
        <f t="shared" si="38"/>
        <v>-</v>
      </c>
      <c r="L101" s="25">
        <v>0</v>
      </c>
      <c r="M101" s="1401" t="str">
        <f t="shared" si="39"/>
        <v>-</v>
      </c>
      <c r="N101" s="25">
        <v>0</v>
      </c>
      <c r="O101" s="1401" t="str">
        <f t="shared" si="40"/>
        <v>-</v>
      </c>
      <c r="P101" s="25">
        <v>0</v>
      </c>
      <c r="Q101" s="1401" t="str">
        <f t="shared" si="41"/>
        <v>-</v>
      </c>
      <c r="R101" s="1397"/>
      <c r="S101" s="25">
        <v>0</v>
      </c>
      <c r="T101" s="1397"/>
      <c r="U101" s="1397"/>
    </row>
    <row r="102" spans="1:21" ht="15">
      <c r="A102" s="1396">
        <v>22</v>
      </c>
      <c r="B102" s="1394"/>
      <c r="C102" s="75" t="s">
        <v>2644</v>
      </c>
      <c r="D102" s="25"/>
      <c r="E102" s="1401" t="str">
        <f t="shared" si="35"/>
        <v>-</v>
      </c>
      <c r="F102" s="25"/>
      <c r="G102" s="1401">
        <f t="shared" si="36"/>
        <v>-1</v>
      </c>
      <c r="H102" s="25">
        <v>5110664</v>
      </c>
      <c r="I102" s="1401">
        <f t="shared" si="37"/>
        <v>-0.109</v>
      </c>
      <c r="J102" s="25">
        <v>5735787</v>
      </c>
      <c r="K102" s="1401">
        <f t="shared" si="38"/>
        <v>8.0000000000000002E-3</v>
      </c>
      <c r="L102" s="25">
        <v>5690225</v>
      </c>
      <c r="M102" s="1401">
        <f t="shared" si="39"/>
        <v>0.52159999999999995</v>
      </c>
      <c r="N102" s="25">
        <v>3739694</v>
      </c>
      <c r="O102" s="1401">
        <f t="shared" si="40"/>
        <v>-0.49619999999999997</v>
      </c>
      <c r="P102" s="25">
        <v>7423301</v>
      </c>
      <c r="Q102" s="1401">
        <f t="shared" si="41"/>
        <v>-0.12379999999999999</v>
      </c>
      <c r="R102" s="1397"/>
      <c r="S102" s="25">
        <v>8472629</v>
      </c>
      <c r="T102" s="1397"/>
      <c r="U102" s="1397"/>
    </row>
    <row r="103" spans="1:21" ht="15">
      <c r="A103" s="1396">
        <v>23</v>
      </c>
      <c r="B103" s="1394"/>
      <c r="C103" s="75" t="s">
        <v>1383</v>
      </c>
      <c r="D103" s="25">
        <v>52822086</v>
      </c>
      <c r="E103" s="1401">
        <f t="shared" si="35"/>
        <v>3.0700000000000002E-2</v>
      </c>
      <c r="F103" s="25">
        <v>51246822</v>
      </c>
      <c r="G103" s="1401">
        <f t="shared" si="36"/>
        <v>-2.98E-2</v>
      </c>
      <c r="H103" s="25">
        <v>52822086</v>
      </c>
      <c r="I103" s="1401">
        <f t="shared" si="37"/>
        <v>-0.48959999999999998</v>
      </c>
      <c r="J103" s="25">
        <v>103500128</v>
      </c>
      <c r="K103" s="1401">
        <f t="shared" si="38"/>
        <v>11.742699999999999</v>
      </c>
      <c r="L103" s="25">
        <v>8122285</v>
      </c>
      <c r="M103" s="1401">
        <f t="shared" si="39"/>
        <v>0.29899999999999999</v>
      </c>
      <c r="N103" s="25">
        <v>6252729</v>
      </c>
      <c r="O103" s="1401">
        <f t="shared" si="40"/>
        <v>2.87E-2</v>
      </c>
      <c r="P103" s="25">
        <v>6078048</v>
      </c>
      <c r="Q103" s="1401">
        <f t="shared" si="41"/>
        <v>3.7400000000000003E-2</v>
      </c>
      <c r="R103" s="1397"/>
      <c r="S103" s="25">
        <v>5859011</v>
      </c>
      <c r="T103" s="1397"/>
      <c r="U103" s="1397"/>
    </row>
    <row r="104" spans="1:21" ht="15">
      <c r="A104" s="1396">
        <v>24</v>
      </c>
      <c r="B104" s="1394"/>
      <c r="C104" s="75" t="s">
        <v>1428</v>
      </c>
      <c r="D104" s="1402">
        <f>SUM(D97:D103)</f>
        <v>68185672</v>
      </c>
      <c r="E104" s="1401">
        <f t="shared" si="35"/>
        <v>2.4E-2</v>
      </c>
      <c r="F104" s="1402">
        <f>SUM(F97:F103)</f>
        <v>66586599</v>
      </c>
      <c r="G104" s="1401">
        <f t="shared" si="36"/>
        <v>-0.104</v>
      </c>
      <c r="H104" s="1402">
        <f>SUM(H97:H103)</f>
        <v>74315577</v>
      </c>
      <c r="I104" s="1401">
        <f t="shared" si="37"/>
        <v>-0.39579999999999999</v>
      </c>
      <c r="J104" s="1402">
        <f>SUM(J97:J103)</f>
        <v>122995912</v>
      </c>
      <c r="K104" s="1401">
        <f t="shared" si="38"/>
        <v>3.5341</v>
      </c>
      <c r="L104" s="1402">
        <f>SUM(L97:L103)</f>
        <v>27126582</v>
      </c>
      <c r="M104" s="1401">
        <f t="shared" si="39"/>
        <v>0.16969999999999999</v>
      </c>
      <c r="N104" s="1402">
        <f>SUM(N97:N103)</f>
        <v>23190329</v>
      </c>
      <c r="O104" s="1401">
        <f t="shared" si="40"/>
        <v>-0.41320000000000001</v>
      </c>
      <c r="P104" s="1402">
        <f>SUM(P97:P103)</f>
        <v>39519720</v>
      </c>
      <c r="Q104" s="1401">
        <f t="shared" si="41"/>
        <v>5.4300000000000001E-2</v>
      </c>
      <c r="R104" s="1397"/>
      <c r="S104" s="1402">
        <f>SUM(S97:S103)</f>
        <v>37483686</v>
      </c>
      <c r="T104" s="1397"/>
      <c r="U104" s="1397"/>
    </row>
    <row r="105" spans="1:21" ht="15.75">
      <c r="A105" s="1396">
        <v>25</v>
      </c>
      <c r="B105" s="1394"/>
      <c r="C105" s="50" t="s">
        <v>1429</v>
      </c>
      <c r="D105" s="1348"/>
      <c r="E105" s="1348"/>
      <c r="F105" s="1348"/>
      <c r="G105" s="1348"/>
      <c r="H105" s="1348"/>
      <c r="I105" s="1348"/>
      <c r="J105" s="1348"/>
      <c r="K105" s="1348"/>
      <c r="L105" s="1348"/>
      <c r="M105" s="1348"/>
      <c r="N105" s="1348"/>
      <c r="O105" s="1348"/>
      <c r="P105" s="1348"/>
      <c r="Q105" s="1348"/>
      <c r="R105" s="1397"/>
      <c r="S105" s="1348"/>
      <c r="T105" s="1397"/>
      <c r="U105" s="1397"/>
    </row>
    <row r="106" spans="1:21" ht="15">
      <c r="A106" s="1396">
        <v>26</v>
      </c>
      <c r="B106" s="1394"/>
      <c r="C106" s="75" t="s">
        <v>1430</v>
      </c>
      <c r="D106" s="25"/>
      <c r="E106" s="1401" t="str">
        <f t="shared" ref="E106:E119" si="42">IF(F106=0,"-",ROUND((D106-F106)/ABS(F106),4))</f>
        <v>-</v>
      </c>
      <c r="F106" s="25"/>
      <c r="G106" s="1401" t="str">
        <f t="shared" ref="G106:G119" si="43">IF(H106=0,"-",ROUND((F106-H106)/ABS(H106),4))</f>
        <v>-</v>
      </c>
      <c r="H106" s="25">
        <v>0</v>
      </c>
      <c r="I106" s="1401" t="str">
        <f t="shared" ref="I106:I119" si="44">IF(J106=0,"-",ROUND((H106-J106)/ABS(J106),4))</f>
        <v>-</v>
      </c>
      <c r="J106" s="25">
        <v>0</v>
      </c>
      <c r="K106" s="1401" t="str">
        <f t="shared" ref="K106:K119" si="45">IF(L106=0,"-",ROUND((J106-L106)/ABS(L106),4))</f>
        <v>-</v>
      </c>
      <c r="L106" s="25">
        <v>0</v>
      </c>
      <c r="M106" s="1401" t="str">
        <f t="shared" ref="M106:M119" si="46">IF(N106=0,"-",ROUND((L106-N106)/ABS(N106),4))</f>
        <v>-</v>
      </c>
      <c r="N106" s="25">
        <v>0</v>
      </c>
      <c r="O106" s="1401" t="str">
        <f t="shared" ref="O106:O119" si="47">IF(P106=0,"-",ROUND((N106-P106)/ABS(P106),4))</f>
        <v>-</v>
      </c>
      <c r="P106" s="25">
        <v>0</v>
      </c>
      <c r="Q106" s="1401" t="str">
        <f t="shared" ref="Q106:Q119" si="48">IF(S106=0,"-",ROUND((P106-S106)/ABS(S106),4))</f>
        <v>-</v>
      </c>
      <c r="R106" s="1397"/>
      <c r="S106" s="74">
        <v>0</v>
      </c>
      <c r="T106" s="1397"/>
      <c r="U106" s="1397"/>
    </row>
    <row r="107" spans="1:21" ht="15">
      <c r="A107" s="1396">
        <v>27</v>
      </c>
      <c r="B107" s="1394"/>
      <c r="C107" s="75" t="s">
        <v>533</v>
      </c>
      <c r="D107" s="25">
        <v>46153846</v>
      </c>
      <c r="E107" s="1401" t="str">
        <f t="shared" si="42"/>
        <v>-</v>
      </c>
      <c r="F107" s="25">
        <v>0</v>
      </c>
      <c r="G107" s="1401" t="str">
        <f t="shared" si="43"/>
        <v>-</v>
      </c>
      <c r="H107" s="25">
        <v>0</v>
      </c>
      <c r="I107" s="1401" t="str">
        <f t="shared" si="44"/>
        <v>-</v>
      </c>
      <c r="J107" s="25">
        <v>0</v>
      </c>
      <c r="K107" s="1401" t="str">
        <f t="shared" si="45"/>
        <v>-</v>
      </c>
      <c r="L107" s="25">
        <v>0</v>
      </c>
      <c r="M107" s="1401" t="str">
        <f t="shared" si="46"/>
        <v>-</v>
      </c>
      <c r="N107" s="25">
        <v>0</v>
      </c>
      <c r="O107" s="1401" t="str">
        <f t="shared" si="47"/>
        <v>-</v>
      </c>
      <c r="P107" s="25">
        <v>0</v>
      </c>
      <c r="Q107" s="1401" t="str">
        <f t="shared" si="48"/>
        <v>-</v>
      </c>
      <c r="R107" s="1397"/>
      <c r="S107" s="74">
        <v>0</v>
      </c>
      <c r="T107" s="1397"/>
      <c r="U107" s="1397"/>
    </row>
    <row r="108" spans="1:21" ht="15">
      <c r="A108" s="1396">
        <v>28</v>
      </c>
      <c r="B108" s="1394"/>
      <c r="C108" s="75" t="s">
        <v>1064</v>
      </c>
      <c r="D108" s="25">
        <v>28629027</v>
      </c>
      <c r="E108" s="1401">
        <f t="shared" si="42"/>
        <v>2.93E-2</v>
      </c>
      <c r="F108" s="25">
        <v>27815360</v>
      </c>
      <c r="G108" s="1401">
        <f t="shared" si="43"/>
        <v>-0.1217</v>
      </c>
      <c r="H108" s="25">
        <v>31671028</v>
      </c>
      <c r="I108" s="1401">
        <f t="shared" si="44"/>
        <v>0.23319999999999999</v>
      </c>
      <c r="J108" s="25">
        <v>25682371</v>
      </c>
      <c r="K108" s="1401">
        <f t="shared" si="45"/>
        <v>4.8899999999999999E-2</v>
      </c>
      <c r="L108" s="25">
        <v>24484622</v>
      </c>
      <c r="M108" s="1401">
        <f t="shared" si="46"/>
        <v>-4.2700000000000002E-2</v>
      </c>
      <c r="N108" s="25">
        <v>25577884</v>
      </c>
      <c r="O108" s="1401">
        <f t="shared" si="47"/>
        <v>3.8600000000000002E-2</v>
      </c>
      <c r="P108" s="25">
        <v>24627751</v>
      </c>
      <c r="Q108" s="1401">
        <f t="shared" si="48"/>
        <v>-9.3399999999999997E-2</v>
      </c>
      <c r="R108" s="1397"/>
      <c r="S108" s="74">
        <v>27166108</v>
      </c>
      <c r="T108" s="1397"/>
      <c r="U108" s="1397"/>
    </row>
    <row r="109" spans="1:21" ht="15">
      <c r="A109" s="1396">
        <v>29</v>
      </c>
      <c r="B109" s="1394"/>
      <c r="C109" s="75" t="s">
        <v>1065</v>
      </c>
      <c r="D109" s="25">
        <v>34392344</v>
      </c>
      <c r="E109" s="1401">
        <f t="shared" si="42"/>
        <v>46.989800000000002</v>
      </c>
      <c r="F109" s="25">
        <v>716660</v>
      </c>
      <c r="G109" s="1401">
        <f t="shared" si="43"/>
        <v>-0.96350000000000002</v>
      </c>
      <c r="H109" s="25">
        <v>19656000</v>
      </c>
      <c r="I109" s="1401">
        <f t="shared" si="44"/>
        <v>-0.64739999999999998</v>
      </c>
      <c r="J109" s="25">
        <v>55743000</v>
      </c>
      <c r="K109" s="1401">
        <f t="shared" si="45"/>
        <v>0.48220000000000002</v>
      </c>
      <c r="L109" s="25">
        <v>37609000</v>
      </c>
      <c r="M109" s="1401" t="str">
        <f t="shared" si="46"/>
        <v>-</v>
      </c>
      <c r="N109" s="25">
        <v>0</v>
      </c>
      <c r="O109" s="1401" t="str">
        <f t="shared" si="47"/>
        <v>-</v>
      </c>
      <c r="P109" s="25">
        <v>0</v>
      </c>
      <c r="Q109" s="1401" t="str">
        <f t="shared" si="48"/>
        <v>-</v>
      </c>
      <c r="R109" s="1397"/>
      <c r="S109" s="74">
        <v>0</v>
      </c>
      <c r="T109" s="1397"/>
      <c r="U109" s="1397"/>
    </row>
    <row r="110" spans="1:21" ht="15">
      <c r="A110" s="1396">
        <v>30</v>
      </c>
      <c r="B110" s="1394"/>
      <c r="C110" s="75" t="s">
        <v>1066</v>
      </c>
      <c r="D110" s="25">
        <v>12324091</v>
      </c>
      <c r="E110" s="1401">
        <f t="shared" si="42"/>
        <v>-0.26950000000000002</v>
      </c>
      <c r="F110" s="25">
        <v>16869608</v>
      </c>
      <c r="G110" s="1401">
        <f t="shared" si="43"/>
        <v>0.34150000000000003</v>
      </c>
      <c r="H110" s="25">
        <v>12575250</v>
      </c>
      <c r="I110" s="1401">
        <f t="shared" si="44"/>
        <v>-0.1278</v>
      </c>
      <c r="J110" s="25">
        <v>14418085</v>
      </c>
      <c r="K110" s="1401">
        <f t="shared" si="45"/>
        <v>8.7099999999999997E-2</v>
      </c>
      <c r="L110" s="25">
        <v>13262877</v>
      </c>
      <c r="M110" s="1401">
        <f t="shared" si="46"/>
        <v>-0.27139999999999997</v>
      </c>
      <c r="N110" s="25">
        <v>18203896</v>
      </c>
      <c r="O110" s="1401">
        <f t="shared" si="47"/>
        <v>-9.1300000000000006E-2</v>
      </c>
      <c r="P110" s="25">
        <v>20032722</v>
      </c>
      <c r="Q110" s="1401">
        <f t="shared" si="48"/>
        <v>-0.2288</v>
      </c>
      <c r="R110" s="1397"/>
      <c r="S110" s="74">
        <v>25977263</v>
      </c>
      <c r="T110" s="1397"/>
      <c r="U110" s="1397"/>
    </row>
    <row r="111" spans="1:21" ht="15">
      <c r="A111" s="1396">
        <v>31</v>
      </c>
      <c r="B111" s="1394"/>
      <c r="C111" s="75" t="s">
        <v>1067</v>
      </c>
      <c r="D111" s="25"/>
      <c r="E111" s="1401" t="str">
        <f t="shared" si="42"/>
        <v>-</v>
      </c>
      <c r="F111" s="25"/>
      <c r="G111" s="1401">
        <f t="shared" si="43"/>
        <v>-1</v>
      </c>
      <c r="H111" s="25">
        <v>10269585</v>
      </c>
      <c r="I111" s="1401">
        <f t="shared" si="44"/>
        <v>1.37E-2</v>
      </c>
      <c r="J111" s="25">
        <v>10130787</v>
      </c>
      <c r="K111" s="1401">
        <f t="shared" si="45"/>
        <v>2.52E-2</v>
      </c>
      <c r="L111" s="25">
        <v>9882144</v>
      </c>
      <c r="M111" s="1401">
        <f t="shared" si="46"/>
        <v>7.0999999999999994E-2</v>
      </c>
      <c r="N111" s="25">
        <v>9226882</v>
      </c>
      <c r="O111" s="1401">
        <f t="shared" si="47"/>
        <v>3.4099999999999998E-2</v>
      </c>
      <c r="P111" s="25">
        <v>8922494</v>
      </c>
      <c r="Q111" s="1401">
        <f t="shared" si="48"/>
        <v>6.6299999999999998E-2</v>
      </c>
      <c r="R111" s="1397"/>
      <c r="S111" s="74">
        <v>8367445</v>
      </c>
      <c r="T111" s="1397"/>
      <c r="U111" s="1397"/>
    </row>
    <row r="112" spans="1:21" ht="15">
      <c r="A112" s="1396">
        <v>32</v>
      </c>
      <c r="B112" s="1394"/>
      <c r="C112" s="75" t="s">
        <v>1068</v>
      </c>
      <c r="D112" s="25">
        <v>3411099</v>
      </c>
      <c r="E112" s="1401">
        <f t="shared" si="42"/>
        <v>10.547599999999999</v>
      </c>
      <c r="F112" s="25">
        <v>295395</v>
      </c>
      <c r="G112" s="1401">
        <f t="shared" si="43"/>
        <v>-0.97340000000000004</v>
      </c>
      <c r="H112" s="25">
        <v>11102968</v>
      </c>
      <c r="I112" s="1401">
        <f t="shared" si="44"/>
        <v>3.7084000000000001</v>
      </c>
      <c r="J112" s="25">
        <v>-4099457</v>
      </c>
      <c r="K112" s="1401">
        <f t="shared" si="45"/>
        <v>-1.7501</v>
      </c>
      <c r="L112" s="25">
        <v>5465247</v>
      </c>
      <c r="M112" s="1401">
        <f t="shared" si="46"/>
        <v>-0.37240000000000001</v>
      </c>
      <c r="N112" s="25">
        <v>8707706</v>
      </c>
      <c r="O112" s="1401">
        <f t="shared" si="47"/>
        <v>0.15959999999999999</v>
      </c>
      <c r="P112" s="25">
        <v>7509437</v>
      </c>
      <c r="Q112" s="1401">
        <f t="shared" si="48"/>
        <v>1.6199999999999999E-2</v>
      </c>
      <c r="R112" s="1397"/>
      <c r="S112" s="74">
        <v>7389694</v>
      </c>
      <c r="T112" s="1397"/>
      <c r="U112" s="1397"/>
    </row>
    <row r="113" spans="1:21" ht="15">
      <c r="A113" s="1396">
        <v>33</v>
      </c>
      <c r="B113" s="1394"/>
      <c r="C113" s="75" t="s">
        <v>1805</v>
      </c>
      <c r="D113" s="25">
        <v>3527422</v>
      </c>
      <c r="E113" s="1401">
        <f t="shared" si="42"/>
        <v>9.11E-2</v>
      </c>
      <c r="F113" s="25">
        <v>3232931</v>
      </c>
      <c r="G113" s="1401">
        <f t="shared" si="43"/>
        <v>-0.23519999999999999</v>
      </c>
      <c r="H113" s="25">
        <v>4227363</v>
      </c>
      <c r="I113" s="1401">
        <f t="shared" si="44"/>
        <v>0.26529999999999998</v>
      </c>
      <c r="J113" s="25">
        <v>3340930</v>
      </c>
      <c r="K113" s="1401">
        <f t="shared" si="45"/>
        <v>-1.6000000000000001E-3</v>
      </c>
      <c r="L113" s="25">
        <v>3346215</v>
      </c>
      <c r="M113" s="1401">
        <f t="shared" si="46"/>
        <v>-5.7000000000000002E-2</v>
      </c>
      <c r="N113" s="25">
        <v>3548338</v>
      </c>
      <c r="O113" s="1401">
        <f t="shared" si="47"/>
        <v>-0.105</v>
      </c>
      <c r="P113" s="25">
        <v>3964498</v>
      </c>
      <c r="Q113" s="1401">
        <f t="shared" si="48"/>
        <v>-4.0800000000000003E-2</v>
      </c>
      <c r="R113" s="1397"/>
      <c r="S113" s="74">
        <v>4133070</v>
      </c>
      <c r="T113" s="1397"/>
      <c r="U113" s="1397"/>
    </row>
    <row r="114" spans="1:21" ht="15">
      <c r="A114" s="1396">
        <v>34</v>
      </c>
      <c r="B114" s="1394"/>
      <c r="C114" s="75" t="s">
        <v>1806</v>
      </c>
      <c r="D114" s="25"/>
      <c r="E114" s="1401" t="str">
        <f t="shared" si="42"/>
        <v>-</v>
      </c>
      <c r="F114" s="25"/>
      <c r="G114" s="1401">
        <f t="shared" si="43"/>
        <v>-1</v>
      </c>
      <c r="H114" s="25">
        <v>1769826</v>
      </c>
      <c r="I114" s="1401">
        <f t="shared" si="44"/>
        <v>0.1154</v>
      </c>
      <c r="J114" s="25">
        <v>1586741</v>
      </c>
      <c r="K114" s="1401">
        <f t="shared" si="45"/>
        <v>-0.43080000000000002</v>
      </c>
      <c r="L114" s="25">
        <v>2787669</v>
      </c>
      <c r="M114" s="1401">
        <f t="shared" si="46"/>
        <v>0.13619999999999999</v>
      </c>
      <c r="N114" s="25">
        <v>2453529</v>
      </c>
      <c r="O114" s="1401">
        <f t="shared" si="47"/>
        <v>0.4713</v>
      </c>
      <c r="P114" s="25">
        <v>1667569</v>
      </c>
      <c r="Q114" s="1401">
        <f t="shared" si="48"/>
        <v>2.5700000000000001E-2</v>
      </c>
      <c r="R114" s="1397"/>
      <c r="S114" s="74">
        <v>1625734</v>
      </c>
      <c r="T114" s="1394"/>
      <c r="U114" s="1394"/>
    </row>
    <row r="115" spans="1:21" ht="15">
      <c r="A115" s="1396">
        <v>35</v>
      </c>
      <c r="B115" s="1394"/>
      <c r="C115" s="75" t="s">
        <v>889</v>
      </c>
      <c r="D115" s="25">
        <v>21098635</v>
      </c>
      <c r="E115" s="1401">
        <f t="shared" si="42"/>
        <v>-2.9399999999999999E-2</v>
      </c>
      <c r="F115" s="25">
        <v>21736623</v>
      </c>
      <c r="G115" s="1401">
        <f t="shared" si="43"/>
        <v>0.28370000000000001</v>
      </c>
      <c r="H115" s="25">
        <v>16932837</v>
      </c>
      <c r="I115" s="1401">
        <f t="shared" si="44"/>
        <v>0.63049999999999995</v>
      </c>
      <c r="J115" s="25">
        <v>10385150</v>
      </c>
      <c r="K115" s="1401">
        <f t="shared" si="45"/>
        <v>0.3886</v>
      </c>
      <c r="L115" s="25">
        <v>7478936</v>
      </c>
      <c r="M115" s="1401">
        <f t="shared" si="46"/>
        <v>-0.1293</v>
      </c>
      <c r="N115" s="25">
        <v>8589504</v>
      </c>
      <c r="O115" s="1401">
        <f t="shared" si="47"/>
        <v>7.5300000000000006E-2</v>
      </c>
      <c r="P115" s="25">
        <v>7987897</v>
      </c>
      <c r="Q115" s="1401">
        <f t="shared" si="48"/>
        <v>3.2899999999999999E-2</v>
      </c>
      <c r="R115" s="1397"/>
      <c r="S115" s="74">
        <v>7733476</v>
      </c>
      <c r="T115" s="1394"/>
      <c r="U115" s="1394"/>
    </row>
    <row r="116" spans="1:21" ht="15">
      <c r="A116" s="1396">
        <v>36</v>
      </c>
      <c r="B116" s="1394"/>
      <c r="C116" s="75" t="s">
        <v>2319</v>
      </c>
      <c r="D116" s="74"/>
      <c r="E116" s="1401" t="str">
        <f t="shared" si="42"/>
        <v>-</v>
      </c>
      <c r="F116" s="74"/>
      <c r="G116" s="1401">
        <f t="shared" si="43"/>
        <v>-1</v>
      </c>
      <c r="H116" s="74">
        <v>686310</v>
      </c>
      <c r="I116" s="1401">
        <f t="shared" si="44"/>
        <v>-0.5484</v>
      </c>
      <c r="J116" s="74">
        <v>1519753</v>
      </c>
      <c r="K116" s="1401">
        <f t="shared" si="45"/>
        <v>-5.9200000000000003E-2</v>
      </c>
      <c r="L116" s="74">
        <v>1615463</v>
      </c>
      <c r="M116" s="1401">
        <f t="shared" si="46"/>
        <v>-6.3E-2</v>
      </c>
      <c r="N116" s="74">
        <v>1724080</v>
      </c>
      <c r="O116" s="1401">
        <f t="shared" si="47"/>
        <v>-8.7300000000000003E-2</v>
      </c>
      <c r="P116" s="74">
        <v>1888974</v>
      </c>
      <c r="Q116" s="1401">
        <f t="shared" si="48"/>
        <v>-7.6899999999999996E-2</v>
      </c>
      <c r="R116" s="1397"/>
      <c r="S116" s="74">
        <v>2046316</v>
      </c>
      <c r="T116" s="1394"/>
      <c r="U116" s="1394"/>
    </row>
    <row r="117" spans="1:21" ht="15">
      <c r="A117" s="1396">
        <v>37</v>
      </c>
      <c r="B117" s="1394"/>
      <c r="C117" s="75" t="s">
        <v>2320</v>
      </c>
      <c r="D117" s="74"/>
      <c r="E117" s="1401" t="str">
        <f t="shared" si="42"/>
        <v>-</v>
      </c>
      <c r="F117" s="74"/>
      <c r="G117" s="1401">
        <f t="shared" si="43"/>
        <v>-1</v>
      </c>
      <c r="H117" s="74">
        <v>5943438</v>
      </c>
      <c r="I117" s="1401">
        <f t="shared" si="44"/>
        <v>-0.10630000000000001</v>
      </c>
      <c r="J117" s="74">
        <v>6650693</v>
      </c>
      <c r="K117" s="1401">
        <f t="shared" si="45"/>
        <v>-4.0000000000000001E-3</v>
      </c>
      <c r="L117" s="74">
        <v>6677507</v>
      </c>
      <c r="M117" s="1401">
        <f t="shared" si="46"/>
        <v>0.41139999999999999</v>
      </c>
      <c r="N117" s="74">
        <v>4731216</v>
      </c>
      <c r="O117" s="1401">
        <f t="shared" si="47"/>
        <v>-0.43780000000000002</v>
      </c>
      <c r="P117" s="74">
        <v>8416102</v>
      </c>
      <c r="Q117" s="1401">
        <f t="shared" si="48"/>
        <v>-6.7000000000000002E-3</v>
      </c>
      <c r="R117" s="1397"/>
      <c r="S117" s="74">
        <v>8472629</v>
      </c>
      <c r="T117" s="1394"/>
      <c r="U117" s="1394"/>
    </row>
    <row r="118" spans="1:21" ht="15">
      <c r="A118" s="1396">
        <v>38</v>
      </c>
      <c r="B118" s="1394"/>
      <c r="C118" s="75" t="s">
        <v>2321</v>
      </c>
      <c r="D118" s="25"/>
      <c r="E118" s="1401" t="str">
        <f t="shared" si="42"/>
        <v>-</v>
      </c>
      <c r="F118" s="25"/>
      <c r="G118" s="1401">
        <f t="shared" si="43"/>
        <v>1</v>
      </c>
      <c r="H118" s="25">
        <v>-5110664</v>
      </c>
      <c r="I118" s="1401">
        <f t="shared" si="44"/>
        <v>0.109</v>
      </c>
      <c r="J118" s="25">
        <v>-5735787</v>
      </c>
      <c r="K118" s="1401">
        <f t="shared" si="45"/>
        <v>-8.0000000000000002E-3</v>
      </c>
      <c r="L118" s="25">
        <v>-5690225</v>
      </c>
      <c r="M118" s="1401">
        <f t="shared" si="46"/>
        <v>-0.52159999999999995</v>
      </c>
      <c r="N118" s="25">
        <v>-3739694</v>
      </c>
      <c r="O118" s="1401">
        <f t="shared" si="47"/>
        <v>0.49619999999999997</v>
      </c>
      <c r="P118" s="25">
        <v>-7423301</v>
      </c>
      <c r="Q118" s="1401">
        <f t="shared" si="48"/>
        <v>0.12379999999999999</v>
      </c>
      <c r="R118" s="1397"/>
      <c r="S118" s="74">
        <v>-8472629</v>
      </c>
      <c r="T118" s="1394"/>
      <c r="U118" s="1394"/>
    </row>
    <row r="119" spans="1:21" ht="15">
      <c r="A119" s="1396">
        <v>39</v>
      </c>
      <c r="B119" s="1394"/>
      <c r="C119" s="75" t="s">
        <v>890</v>
      </c>
      <c r="D119" s="1402">
        <f>SUM(D105:D118)</f>
        <v>149536464</v>
      </c>
      <c r="E119" s="1401">
        <f t="shared" si="42"/>
        <v>1.1161000000000001</v>
      </c>
      <c r="F119" s="1402">
        <f>SUM(F105:F118)</f>
        <v>70666577</v>
      </c>
      <c r="G119" s="1401">
        <f t="shared" si="43"/>
        <v>-0.35599999999999998</v>
      </c>
      <c r="H119" s="1402">
        <f>SUM(H105:H118)</f>
        <v>109723941</v>
      </c>
      <c r="I119" s="1401">
        <f t="shared" si="44"/>
        <v>-8.2699999999999996E-2</v>
      </c>
      <c r="J119" s="1402">
        <f>SUM(J105:J118)</f>
        <v>119622266</v>
      </c>
      <c r="K119" s="1401">
        <f t="shared" si="45"/>
        <v>0.1188</v>
      </c>
      <c r="L119" s="1402">
        <f>SUM(L105:L118)</f>
        <v>106919455</v>
      </c>
      <c r="M119" s="1401">
        <f t="shared" si="46"/>
        <v>0.35299999999999998</v>
      </c>
      <c r="N119" s="1402">
        <f>SUM(N105:N118)</f>
        <v>79023341</v>
      </c>
      <c r="O119" s="1401">
        <f t="shared" si="47"/>
        <v>1.84E-2</v>
      </c>
      <c r="P119" s="1402">
        <f>SUM(P105:P118)</f>
        <v>77594143</v>
      </c>
      <c r="Q119" s="1401">
        <f t="shared" si="48"/>
        <v>-8.1100000000000005E-2</v>
      </c>
      <c r="R119" s="1397"/>
      <c r="S119" s="1402">
        <f>SUM(S105:S118)</f>
        <v>84439106</v>
      </c>
      <c r="T119" s="1394"/>
      <c r="U119" s="1394"/>
    </row>
    <row r="120" spans="1:21" ht="15.75">
      <c r="A120" s="1396">
        <v>40</v>
      </c>
      <c r="B120" s="1394"/>
      <c r="C120" s="50" t="s">
        <v>891</v>
      </c>
      <c r="D120" s="1348"/>
      <c r="E120" s="1348"/>
      <c r="F120" s="1348"/>
      <c r="G120" s="1348"/>
      <c r="H120" s="1348"/>
      <c r="I120" s="1348"/>
      <c r="J120" s="1348"/>
      <c r="K120" s="1348"/>
      <c r="L120" s="1348"/>
      <c r="M120" s="1348"/>
      <c r="N120" s="1348"/>
      <c r="O120" s="1348"/>
      <c r="P120" s="1348"/>
      <c r="Q120" s="1348"/>
      <c r="R120" s="1397"/>
      <c r="S120" s="1348"/>
      <c r="T120" s="1394"/>
      <c r="U120" s="1394"/>
    </row>
    <row r="121" spans="1:21" ht="15">
      <c r="A121" s="1396">
        <v>41</v>
      </c>
      <c r="B121" s="1394"/>
      <c r="C121" s="75" t="s">
        <v>892</v>
      </c>
      <c r="D121" s="25">
        <v>1492412</v>
      </c>
      <c r="E121" s="1401">
        <f t="shared" ref="E121:E126" si="49">IF(F121=0,"-",ROUND((D121-F121)/ABS(F121),4))</f>
        <v>0</v>
      </c>
      <c r="F121" s="25">
        <v>1492412</v>
      </c>
      <c r="G121" s="1401">
        <f t="shared" ref="G121:G126" si="50">IF(H121=0,"-",ROUND((F121-H121)/ABS(H121),4))</f>
        <v>4.0500000000000001E-2</v>
      </c>
      <c r="H121" s="25">
        <v>1434379</v>
      </c>
      <c r="I121" s="1401">
        <f t="shared" ref="I121:I126" si="51">IF(J121=0,"-",ROUND((H121-J121)/ABS(J121),4))</f>
        <v>0.46150000000000002</v>
      </c>
      <c r="J121" s="25">
        <v>981414</v>
      </c>
      <c r="K121" s="1401">
        <f t="shared" ref="K121:K126" si="52">IF(L121=0,"-",ROUND((J121-L121)/ABS(L121),4))</f>
        <v>0.30059999999999998</v>
      </c>
      <c r="L121" s="25">
        <v>754559</v>
      </c>
      <c r="M121" s="1401">
        <f t="shared" ref="M121:M126" si="53">IF(N121=0,"-",ROUND((L121-N121)/ABS(N121),4))</f>
        <v>2.2000000000000001E-3</v>
      </c>
      <c r="N121" s="25">
        <v>752906</v>
      </c>
      <c r="O121" s="1401">
        <f t="shared" ref="O121:O126" si="54">IF(P121=0,"-",ROUND((N121-P121)/ABS(P121),4))</f>
        <v>6.25E-2</v>
      </c>
      <c r="P121" s="25">
        <v>708595</v>
      </c>
      <c r="Q121" s="1401">
        <f t="shared" ref="Q121:Q126" si="55">IF(S121=0,"-",ROUND((P121-S121)/ABS(S121),4))</f>
        <v>-0.31219999999999998</v>
      </c>
      <c r="R121" s="1397"/>
      <c r="S121" s="74">
        <v>1030284</v>
      </c>
      <c r="T121" s="1394"/>
      <c r="U121" s="1394"/>
    </row>
    <row r="122" spans="1:21" ht="15">
      <c r="A122" s="1396">
        <v>42</v>
      </c>
      <c r="B122" s="1394"/>
      <c r="C122" s="75" t="s">
        <v>893</v>
      </c>
      <c r="D122" s="25">
        <v>4874264</v>
      </c>
      <c r="E122" s="1401">
        <f t="shared" si="49"/>
        <v>6.5822000000000003</v>
      </c>
      <c r="F122" s="25">
        <v>642857</v>
      </c>
      <c r="G122" s="1401">
        <f t="shared" si="50"/>
        <v>-6.2E-2</v>
      </c>
      <c r="H122" s="25">
        <v>685347</v>
      </c>
      <c r="I122" s="1401">
        <f t="shared" si="51"/>
        <v>-0.22700000000000001</v>
      </c>
      <c r="J122" s="25">
        <v>886573</v>
      </c>
      <c r="K122" s="1401">
        <f t="shared" si="52"/>
        <v>-0.19020000000000001</v>
      </c>
      <c r="L122" s="25">
        <v>1094869</v>
      </c>
      <c r="M122" s="1401">
        <f t="shared" si="53"/>
        <v>-0.1605</v>
      </c>
      <c r="N122" s="25">
        <v>1304230</v>
      </c>
      <c r="O122" s="1401">
        <f t="shared" si="54"/>
        <v>0.29320000000000002</v>
      </c>
      <c r="P122" s="25">
        <v>1008529</v>
      </c>
      <c r="Q122" s="1401">
        <f t="shared" si="55"/>
        <v>-0.43230000000000002</v>
      </c>
      <c r="R122" s="1397"/>
      <c r="S122" s="74">
        <v>1776454</v>
      </c>
      <c r="T122" s="1394"/>
      <c r="U122" s="1394"/>
    </row>
    <row r="123" spans="1:21" ht="15">
      <c r="A123" s="1396">
        <v>43</v>
      </c>
      <c r="B123" s="1394"/>
      <c r="C123" s="75" t="s">
        <v>894</v>
      </c>
      <c r="D123" s="25">
        <v>24938820</v>
      </c>
      <c r="E123" s="1401">
        <f t="shared" si="49"/>
        <v>-0.49919999999999998</v>
      </c>
      <c r="F123" s="25">
        <f>77074519-1492412-52642795+7860695+19000000</f>
        <v>49800007</v>
      </c>
      <c r="G123" s="1401">
        <f t="shared" si="50"/>
        <v>1.4843</v>
      </c>
      <c r="H123" s="25">
        <v>20046049</v>
      </c>
      <c r="I123" s="1401">
        <f t="shared" si="51"/>
        <v>-0.20119999999999999</v>
      </c>
      <c r="J123" s="25">
        <v>25093634</v>
      </c>
      <c r="K123" s="1401">
        <f t="shared" si="52"/>
        <v>9.3700000000000006E-2</v>
      </c>
      <c r="L123" s="25">
        <v>22943763</v>
      </c>
      <c r="M123" s="1401">
        <f t="shared" si="53"/>
        <v>-0.1227</v>
      </c>
      <c r="N123" s="25">
        <v>26152141</v>
      </c>
      <c r="O123" s="1401">
        <f t="shared" si="54"/>
        <v>-7.2900000000000006E-2</v>
      </c>
      <c r="P123" s="25">
        <v>28208820</v>
      </c>
      <c r="Q123" s="1401">
        <f t="shared" si="55"/>
        <v>0.25650000000000001</v>
      </c>
      <c r="R123" s="1397"/>
      <c r="S123" s="74">
        <v>22449809</v>
      </c>
      <c r="T123" s="1394"/>
      <c r="U123" s="1394"/>
    </row>
    <row r="124" spans="1:21" ht="15">
      <c r="A124" s="1396">
        <v>44</v>
      </c>
      <c r="B124" s="1394"/>
      <c r="C124" s="75" t="s">
        <v>1158</v>
      </c>
      <c r="D124" s="25">
        <f>12173292</f>
        <v>12173292</v>
      </c>
      <c r="E124" s="1401">
        <f t="shared" si="49"/>
        <v>1.3891</v>
      </c>
      <c r="F124" s="25">
        <f>5095326-1</f>
        <v>5095325</v>
      </c>
      <c r="G124" s="1401">
        <f t="shared" si="50"/>
        <v>-0.14879999999999999</v>
      </c>
      <c r="H124" s="25">
        <v>5986078</v>
      </c>
      <c r="I124" s="1401">
        <f t="shared" si="51"/>
        <v>0.57869999999999999</v>
      </c>
      <c r="J124" s="25">
        <v>3791681</v>
      </c>
      <c r="K124" s="1401">
        <f t="shared" si="52"/>
        <v>5.7953000000000001</v>
      </c>
      <c r="L124" s="25">
        <v>557988</v>
      </c>
      <c r="M124" s="1401">
        <f t="shared" si="53"/>
        <v>-9.9199999999999997E-2</v>
      </c>
      <c r="N124" s="25">
        <v>619446</v>
      </c>
      <c r="O124" s="1401">
        <f t="shared" si="54"/>
        <v>-0.85980000000000001</v>
      </c>
      <c r="P124" s="25">
        <v>4418869</v>
      </c>
      <c r="Q124" s="1401">
        <f t="shared" si="55"/>
        <v>-0.35239999999999999</v>
      </c>
      <c r="R124" s="1397"/>
      <c r="S124" s="74">
        <v>6823376</v>
      </c>
      <c r="T124" s="1394"/>
      <c r="U124" s="1394"/>
    </row>
    <row r="125" spans="1:21" ht="15">
      <c r="A125" s="1396">
        <v>45</v>
      </c>
      <c r="B125" s="1394"/>
      <c r="C125" s="75" t="s">
        <v>1266</v>
      </c>
      <c r="D125" s="25">
        <v>390868030</v>
      </c>
      <c r="E125" s="1401">
        <f t="shared" si="49"/>
        <v>8.77E-2</v>
      </c>
      <c r="F125" s="25">
        <v>359366437</v>
      </c>
      <c r="G125" s="1401">
        <f t="shared" si="50"/>
        <v>4.5699999999999998E-2</v>
      </c>
      <c r="H125" s="25">
        <v>343648042</v>
      </c>
      <c r="I125" s="1401">
        <f t="shared" si="51"/>
        <v>4.1500000000000002E-2</v>
      </c>
      <c r="J125" s="25">
        <f>190426+317823685+11935193</f>
        <v>329949304</v>
      </c>
      <c r="K125" s="1401">
        <f t="shared" si="52"/>
        <v>0.25290000000000001</v>
      </c>
      <c r="L125" s="25">
        <f>234803+264399906-1294947</f>
        <v>263339762</v>
      </c>
      <c r="M125" s="1401">
        <f t="shared" si="53"/>
        <v>4.02E-2</v>
      </c>
      <c r="N125" s="25">
        <f>394496+254753824-1995328</f>
        <v>253152992</v>
      </c>
      <c r="O125" s="1401">
        <f t="shared" si="54"/>
        <v>2.7000000000000001E-3</v>
      </c>
      <c r="P125" s="25">
        <f>394497+248370380+3713838</f>
        <v>252478715</v>
      </c>
      <c r="Q125" s="1401">
        <f t="shared" si="55"/>
        <v>4.0300000000000002E-2</v>
      </c>
      <c r="R125" s="1397"/>
      <c r="S125" s="74">
        <f>394496+232620280+9691413</f>
        <v>242706189</v>
      </c>
      <c r="T125" s="1394"/>
      <c r="U125" s="1394"/>
    </row>
    <row r="126" spans="1:21" ht="15">
      <c r="A126" s="1396">
        <v>46</v>
      </c>
      <c r="B126" s="1394"/>
      <c r="C126" s="75" t="s">
        <v>1159</v>
      </c>
      <c r="D126" s="1402">
        <f>SUM(D121:D125)</f>
        <v>434346818</v>
      </c>
      <c r="E126" s="1401">
        <f t="shared" si="49"/>
        <v>4.3099999999999999E-2</v>
      </c>
      <c r="F126" s="1402">
        <f>SUM(F121:F125)</f>
        <v>416397038</v>
      </c>
      <c r="G126" s="1401">
        <f t="shared" si="50"/>
        <v>0.11990000000000001</v>
      </c>
      <c r="H126" s="1402">
        <f>SUM(H121:H125)</f>
        <v>371799895</v>
      </c>
      <c r="I126" s="1401">
        <f t="shared" si="51"/>
        <v>3.0800000000000001E-2</v>
      </c>
      <c r="J126" s="1402">
        <f>SUM(J121:J125)</f>
        <v>360702606</v>
      </c>
      <c r="K126" s="1401">
        <f t="shared" si="52"/>
        <v>0.24940000000000001</v>
      </c>
      <c r="L126" s="1402">
        <f>SUM(L121:L125)</f>
        <v>288690941</v>
      </c>
      <c r="M126" s="1401">
        <f t="shared" si="53"/>
        <v>2.3800000000000002E-2</v>
      </c>
      <c r="N126" s="1402">
        <f>SUM(N121:N125)</f>
        <v>281981715</v>
      </c>
      <c r="O126" s="1401">
        <f t="shared" si="54"/>
        <v>-1.6899999999999998E-2</v>
      </c>
      <c r="P126" s="1402">
        <f>SUM(P121:P125)</f>
        <v>286823528</v>
      </c>
      <c r="Q126" s="1401">
        <f t="shared" si="55"/>
        <v>4.3799999999999999E-2</v>
      </c>
      <c r="R126" s="1397"/>
      <c r="S126" s="1402">
        <f>SUM(S121:S125)</f>
        <v>274786112</v>
      </c>
      <c r="T126" s="1394"/>
      <c r="U126" s="1394"/>
    </row>
    <row r="127" spans="1:21" ht="15">
      <c r="A127" s="1396">
        <v>47</v>
      </c>
      <c r="B127" s="1394"/>
      <c r="C127" s="1394"/>
      <c r="D127" s="1348"/>
      <c r="E127" s="1348"/>
      <c r="F127" s="1348"/>
      <c r="G127" s="1348"/>
      <c r="H127" s="1348"/>
      <c r="I127" s="1348"/>
      <c r="J127" s="1348"/>
      <c r="K127" s="1348"/>
      <c r="L127" s="1348"/>
      <c r="M127" s="1348"/>
      <c r="N127" s="1348"/>
      <c r="O127" s="1348"/>
      <c r="P127" s="1348"/>
      <c r="Q127" s="1348"/>
      <c r="R127" s="1397"/>
      <c r="S127" s="1348"/>
      <c r="T127" s="1394"/>
      <c r="U127" s="1394"/>
    </row>
    <row r="128" spans="1:21" ht="15">
      <c r="A128" s="1396">
        <v>48</v>
      </c>
      <c r="B128" s="1394"/>
      <c r="C128" s="1394"/>
      <c r="D128" s="1348"/>
      <c r="E128" s="1348"/>
      <c r="F128" s="1348"/>
      <c r="G128" s="1348"/>
      <c r="H128" s="1348"/>
      <c r="I128" s="1348"/>
      <c r="J128" s="1348"/>
      <c r="K128" s="1348"/>
      <c r="L128" s="1348"/>
      <c r="M128" s="1348"/>
      <c r="N128" s="1348"/>
      <c r="O128" s="1348"/>
      <c r="P128" s="1348"/>
      <c r="Q128" s="1348"/>
      <c r="R128" s="1397"/>
      <c r="S128" s="1348"/>
      <c r="T128" s="1394"/>
      <c r="U128" s="1394"/>
    </row>
    <row r="129" spans="1:21" ht="15.75" thickBot="1">
      <c r="A129" s="1396">
        <v>49</v>
      </c>
      <c r="B129" s="1394"/>
      <c r="C129" s="75" t="s">
        <v>1160</v>
      </c>
      <c r="D129" s="1400">
        <f>D126+D119+D104+D95+D88</f>
        <v>1613254728</v>
      </c>
      <c r="E129" s="1401">
        <f>IF(F129=0,"-",ROUND((D129-F129)/ABS(F129),4))</f>
        <v>8.4400000000000003E-2</v>
      </c>
      <c r="F129" s="1400">
        <f>F126+F119+F104+F95+F88</f>
        <v>1487692390</v>
      </c>
      <c r="G129" s="1401">
        <f>IF(H129=0,"-",ROUND((F129-H129)/ABS(H129),4))</f>
        <v>9.8500000000000004E-2</v>
      </c>
      <c r="H129" s="1400">
        <f>H126+H119+H104+H95+H88</f>
        <v>1354236962</v>
      </c>
      <c r="I129" s="1401">
        <f>IF(J129=0,"-",ROUND((H129-J129)/ABS(J129),4))</f>
        <v>2.2800000000000001E-2</v>
      </c>
      <c r="J129" s="1400">
        <f>J126+J119+J104+J95+J88</f>
        <v>1324084250</v>
      </c>
      <c r="K129" s="1401">
        <f>IF(L129=0,"-",ROUND((J129-L129)/ABS(L129),4))</f>
        <v>0.14829999999999999</v>
      </c>
      <c r="L129" s="1400">
        <f>L126+L119+L104+L95+L88</f>
        <v>1153123738</v>
      </c>
      <c r="M129" s="1401">
        <f>IF(N129=0,"-",ROUND((L129-N129)/ABS(N129),4))</f>
        <v>5.3900000000000003E-2</v>
      </c>
      <c r="N129" s="1400">
        <f>N126+N119+N104+N95+N88</f>
        <v>1094191585</v>
      </c>
      <c r="O129" s="1401">
        <f>IF(P129=0,"-",ROUND((N129-P129)/ABS(P129),4))</f>
        <v>-1.32E-2</v>
      </c>
      <c r="P129" s="1400">
        <f>P126+P119+P104+P95+P88</f>
        <v>1108773593</v>
      </c>
      <c r="Q129" s="1401">
        <f>IF(S129=0,"-",ROUND((P129-S129)/ABS(S129),4))</f>
        <v>2.3599999999999999E-2</v>
      </c>
      <c r="R129" s="1397"/>
      <c r="S129" s="1400">
        <f>S126+S119+S104+S95+S88</f>
        <v>1083233819</v>
      </c>
      <c r="T129" s="1394"/>
      <c r="U129" s="1394"/>
    </row>
    <row r="130" spans="1:21" ht="15.75" thickTop="1">
      <c r="A130" s="1384"/>
      <c r="B130" s="1394"/>
      <c r="C130" s="1394"/>
      <c r="D130" s="1399"/>
      <c r="E130" s="1399"/>
      <c r="F130" s="1399"/>
      <c r="G130" s="1399"/>
      <c r="H130" s="1399"/>
      <c r="I130" s="1399"/>
      <c r="J130" s="1399"/>
      <c r="K130" s="1399"/>
      <c r="L130" s="1399"/>
      <c r="M130" s="1399"/>
      <c r="N130" s="1399"/>
      <c r="O130" s="1399"/>
      <c r="P130" s="1399"/>
      <c r="Q130" s="1399"/>
      <c r="R130" s="1394"/>
      <c r="S130" s="1399"/>
      <c r="T130" s="1394"/>
      <c r="U130" s="1394"/>
    </row>
    <row r="131" spans="1:21" ht="15">
      <c r="A131" s="1394"/>
      <c r="B131" s="1394"/>
      <c r="C131" s="2425" t="s">
        <v>3265</v>
      </c>
      <c r="D131" s="1348"/>
      <c r="E131" s="1348"/>
      <c r="F131" s="1348"/>
      <c r="G131" s="1348"/>
      <c r="H131" s="1348"/>
      <c r="I131" s="1348"/>
      <c r="J131" s="1348"/>
      <c r="K131" s="1348"/>
      <c r="L131" s="1348"/>
      <c r="M131" s="1348"/>
      <c r="N131" s="1348"/>
      <c r="O131" s="1348"/>
      <c r="P131" s="1348"/>
      <c r="Q131" s="1348"/>
      <c r="R131" s="1397"/>
      <c r="S131" s="1348"/>
      <c r="T131" s="1394"/>
      <c r="U131" s="1394"/>
    </row>
    <row r="132" spans="1:21" ht="15">
      <c r="A132" s="1394"/>
      <c r="B132" s="1394"/>
      <c r="C132" s="1394"/>
      <c r="D132" s="1398"/>
      <c r="E132" s="1398"/>
      <c r="F132" s="1398"/>
      <c r="G132" s="1398"/>
      <c r="H132" s="1398"/>
      <c r="I132" s="1398"/>
      <c r="J132" s="1398"/>
      <c r="K132" s="1398"/>
      <c r="L132" s="1398"/>
      <c r="M132" s="1398"/>
      <c r="N132" s="1398"/>
      <c r="O132" s="1398"/>
      <c r="P132" s="1398"/>
      <c r="Q132" s="1398"/>
      <c r="R132" s="1394"/>
      <c r="S132" s="1398"/>
      <c r="T132" s="1394"/>
      <c r="U132" s="1394"/>
    </row>
    <row r="133" spans="1:21" ht="15">
      <c r="A133" s="1394"/>
      <c r="B133" s="1394"/>
      <c r="C133" s="2426"/>
      <c r="D133" s="1397"/>
      <c r="E133" s="1396"/>
      <c r="F133" s="1397"/>
      <c r="G133" s="1396"/>
      <c r="H133" s="1397"/>
      <c r="I133" s="1396"/>
      <c r="J133" s="1396"/>
      <c r="K133" s="1396"/>
      <c r="L133" s="1397"/>
      <c r="M133" s="1396"/>
      <c r="N133" s="1397"/>
      <c r="O133" s="1396"/>
      <c r="P133" s="1396"/>
      <c r="Q133" s="1397"/>
      <c r="R133" s="1394"/>
      <c r="S133" s="1396"/>
      <c r="T133" s="1394"/>
      <c r="U133" s="1394"/>
    </row>
    <row r="134" spans="1:21" ht="15">
      <c r="A134" s="1384"/>
      <c r="B134" s="1384"/>
      <c r="C134" s="1384"/>
      <c r="D134" s="1395"/>
      <c r="E134" s="1395"/>
      <c r="F134" s="1395"/>
      <c r="G134" s="1395"/>
      <c r="H134" s="1395"/>
      <c r="I134" s="1395"/>
      <c r="J134" s="1395"/>
      <c r="K134" s="1395"/>
      <c r="L134" s="1395"/>
      <c r="M134" s="1395"/>
      <c r="N134" s="1395"/>
      <c r="O134" s="1395"/>
      <c r="P134" s="1395"/>
      <c r="Q134" s="1395"/>
      <c r="R134" s="1395"/>
      <c r="S134" s="1395"/>
      <c r="T134" s="1384"/>
      <c r="U134" s="1384"/>
    </row>
    <row r="135" spans="1:21" ht="15">
      <c r="A135" s="2427"/>
      <c r="B135" s="1391"/>
      <c r="C135" s="1391"/>
      <c r="D135" s="1391"/>
      <c r="E135" s="1391"/>
      <c r="F135" s="1391"/>
      <c r="G135" s="1391"/>
      <c r="H135" s="1391"/>
      <c r="I135" s="1391"/>
      <c r="J135" s="1391"/>
      <c r="K135" s="1391"/>
      <c r="L135" s="1391"/>
      <c r="M135" s="1391"/>
      <c r="N135" s="1391"/>
      <c r="O135" s="1391"/>
      <c r="P135" s="1391"/>
      <c r="Q135" s="1391"/>
      <c r="R135" s="1384"/>
      <c r="S135" s="1391"/>
      <c r="T135" s="1384"/>
      <c r="U135" s="1384"/>
    </row>
    <row r="136" spans="1:21" ht="15">
      <c r="A136" s="1391"/>
      <c r="B136" s="1391"/>
      <c r="C136" s="1391"/>
      <c r="D136" s="1391"/>
      <c r="E136" s="1391"/>
      <c r="F136" s="1391"/>
      <c r="G136" s="1391"/>
      <c r="H136" s="1391"/>
      <c r="I136" s="1391"/>
      <c r="J136" s="1391"/>
      <c r="K136" s="1391"/>
      <c r="L136" s="1391"/>
      <c r="M136" s="1391"/>
      <c r="N136" s="1391"/>
      <c r="O136" s="1391"/>
      <c r="P136" s="1391"/>
      <c r="Q136" s="1391"/>
      <c r="R136" s="1384"/>
      <c r="S136" s="1391"/>
      <c r="T136" s="1384"/>
      <c r="U136" s="1384"/>
    </row>
    <row r="137" spans="1:21" ht="15">
      <c r="A137" s="2428"/>
      <c r="B137" s="1391"/>
      <c r="C137" s="1391"/>
      <c r="D137" s="1391"/>
      <c r="E137" s="1391"/>
      <c r="F137" s="1391"/>
      <c r="G137" s="1391"/>
      <c r="H137" s="1391"/>
      <c r="I137" s="1391"/>
      <c r="J137" s="1391"/>
      <c r="K137" s="1391"/>
      <c r="L137" s="1391"/>
      <c r="M137" s="1391"/>
      <c r="N137" s="1391"/>
      <c r="O137" s="1391"/>
      <c r="P137" s="1391"/>
      <c r="Q137" s="1391"/>
      <c r="R137" s="1384"/>
      <c r="S137" s="1391"/>
      <c r="T137" s="1384"/>
      <c r="U137" s="1384"/>
    </row>
    <row r="138" spans="1:21" ht="15">
      <c r="A138" s="1387"/>
      <c r="B138" s="1384"/>
      <c r="C138" s="1384"/>
      <c r="D138" s="1384"/>
      <c r="E138" s="1384"/>
      <c r="F138" s="1384"/>
      <c r="G138" s="1384"/>
      <c r="H138" s="1384"/>
      <c r="I138" s="1384"/>
      <c r="J138" s="1384"/>
      <c r="K138" s="1384"/>
      <c r="L138" s="1384"/>
      <c r="M138" s="1384"/>
      <c r="N138" s="1384"/>
      <c r="O138" s="1384"/>
      <c r="P138" s="1384"/>
      <c r="Q138" s="1384"/>
      <c r="R138" s="1384"/>
      <c r="S138" s="1384"/>
      <c r="T138" s="1384"/>
      <c r="U138" s="1384"/>
    </row>
    <row r="139" spans="1:21" ht="15">
      <c r="A139" s="1387"/>
      <c r="B139" s="1384"/>
      <c r="C139" s="1384"/>
      <c r="D139" s="1384"/>
      <c r="E139" s="1387"/>
      <c r="F139" s="1384"/>
      <c r="G139" s="1387"/>
      <c r="H139" s="1384"/>
      <c r="I139" s="1387"/>
      <c r="J139" s="1384"/>
      <c r="K139" s="1387"/>
      <c r="L139" s="1384"/>
      <c r="M139" s="1387"/>
      <c r="N139" s="1384"/>
      <c r="O139" s="1387"/>
      <c r="P139" s="1387"/>
      <c r="Q139" s="1384"/>
      <c r="R139" s="1384"/>
      <c r="S139" s="1384"/>
      <c r="T139" s="1384"/>
      <c r="U139" s="1384"/>
    </row>
    <row r="140" spans="1:21" ht="15">
      <c r="A140" s="1387"/>
      <c r="B140" s="1384"/>
      <c r="C140" s="1384"/>
      <c r="D140" s="1384"/>
      <c r="E140" s="1393"/>
      <c r="F140" s="1384"/>
      <c r="G140" s="1393"/>
      <c r="H140" s="1384"/>
      <c r="I140" s="1393"/>
      <c r="J140" s="1384"/>
      <c r="K140" s="1393"/>
      <c r="L140" s="1384"/>
      <c r="M140" s="1393"/>
      <c r="N140" s="1393"/>
      <c r="O140" s="1393"/>
      <c r="P140" s="1393"/>
      <c r="Q140" s="1384"/>
      <c r="R140" s="1384"/>
      <c r="S140" s="1384"/>
      <c r="T140" s="1384"/>
      <c r="U140" s="1384"/>
    </row>
    <row r="141" spans="1:21" ht="15">
      <c r="A141" s="1387"/>
      <c r="B141" s="1384"/>
      <c r="C141" s="1384"/>
      <c r="D141" s="1384"/>
      <c r="E141" s="1384"/>
      <c r="F141" s="1384"/>
      <c r="G141" s="1384"/>
      <c r="H141" s="1384"/>
      <c r="I141" s="1384"/>
      <c r="J141" s="1384"/>
      <c r="K141" s="1384"/>
      <c r="L141" s="1384"/>
      <c r="M141" s="1384"/>
      <c r="N141" s="1384"/>
      <c r="O141" s="1384"/>
      <c r="P141" s="1384"/>
      <c r="Q141" s="1384"/>
      <c r="R141" s="1384"/>
      <c r="S141" s="1384"/>
      <c r="T141" s="1384"/>
      <c r="U141" s="1384"/>
    </row>
    <row r="142" spans="1:21" ht="15">
      <c r="A142" s="1384"/>
      <c r="B142" s="1384"/>
      <c r="C142" s="1384"/>
      <c r="D142" s="1384"/>
      <c r="E142" s="1384"/>
      <c r="F142" s="1384"/>
      <c r="G142" s="1384"/>
      <c r="H142" s="1384"/>
      <c r="I142" s="1384"/>
      <c r="J142" s="1384"/>
      <c r="K142" s="1384"/>
      <c r="L142" s="1384"/>
      <c r="M142" s="1384"/>
      <c r="N142" s="1384"/>
      <c r="O142" s="1384"/>
      <c r="P142" s="1384"/>
      <c r="Q142" s="1384"/>
      <c r="R142" s="1384"/>
      <c r="S142" s="1384"/>
      <c r="T142" s="1384"/>
      <c r="U142" s="1384"/>
    </row>
    <row r="143" spans="1:21" ht="15">
      <c r="A143" s="1389"/>
      <c r="B143" s="1392"/>
      <c r="C143" s="1392"/>
      <c r="D143" s="1392"/>
      <c r="E143" s="1391"/>
      <c r="F143" s="1392"/>
      <c r="G143" s="1391"/>
      <c r="H143" s="49"/>
      <c r="I143" s="1391"/>
      <c r="J143" s="1391"/>
      <c r="K143" s="1391"/>
      <c r="L143" s="1391"/>
      <c r="M143" s="1391"/>
      <c r="N143" s="1391"/>
      <c r="O143" s="1391"/>
      <c r="P143" s="1391"/>
      <c r="Q143" s="1391"/>
      <c r="R143" s="2429"/>
      <c r="S143" s="1391"/>
      <c r="T143" s="1389"/>
      <c r="U143" s="1384"/>
    </row>
    <row r="144" spans="1:21" ht="15">
      <c r="A144" s="1389"/>
      <c r="B144" s="1392"/>
      <c r="C144" s="1389"/>
      <c r="D144" s="1389"/>
      <c r="E144" s="1390"/>
      <c r="F144" s="1390"/>
      <c r="G144" s="1390"/>
      <c r="H144" s="1389"/>
      <c r="I144" s="1390"/>
      <c r="J144" s="1389"/>
      <c r="K144" s="1390"/>
      <c r="L144" s="1389"/>
      <c r="M144" s="1390"/>
      <c r="N144" s="1390"/>
      <c r="O144" s="1390"/>
      <c r="P144" s="1390"/>
      <c r="Q144" s="1389"/>
      <c r="R144" s="2430"/>
      <c r="S144" s="1389"/>
      <c r="T144" s="2430"/>
      <c r="U144" s="1384"/>
    </row>
    <row r="145" spans="1:21" ht="15">
      <c r="A145" s="2429"/>
      <c r="B145" s="1384"/>
      <c r="C145" s="1387"/>
      <c r="D145" s="1387"/>
      <c r="E145" s="1385"/>
      <c r="F145" s="1385"/>
      <c r="G145" s="1385"/>
      <c r="H145" s="1385"/>
      <c r="I145" s="1385"/>
      <c r="J145" s="1385"/>
      <c r="K145" s="1385"/>
      <c r="L145" s="1385"/>
      <c r="M145" s="1385"/>
      <c r="N145" s="1385"/>
      <c r="O145" s="1385"/>
      <c r="P145" s="1385"/>
      <c r="Q145" s="1388"/>
      <c r="R145" s="1384"/>
      <c r="S145" s="1385"/>
      <c r="T145" s="1384"/>
      <c r="U145" s="1384"/>
    </row>
    <row r="146" spans="1:21" ht="15">
      <c r="A146" s="2429"/>
      <c r="B146" s="1384"/>
      <c r="C146" s="1387"/>
      <c r="D146" s="1387"/>
      <c r="E146" s="1388"/>
      <c r="F146" s="26"/>
      <c r="G146" s="1388"/>
      <c r="H146" s="1385"/>
      <c r="I146" s="1388"/>
      <c r="J146" s="1388"/>
      <c r="K146" s="1388"/>
      <c r="L146" s="1385"/>
      <c r="M146" s="1388"/>
      <c r="N146" s="1388"/>
      <c r="O146" s="1388"/>
      <c r="P146" s="1388"/>
      <c r="Q146" s="1388"/>
      <c r="R146" s="1388"/>
      <c r="S146" s="1388"/>
      <c r="T146" s="1384"/>
      <c r="U146" s="1384"/>
    </row>
    <row r="147" spans="1:21" ht="15">
      <c r="A147" s="2429"/>
      <c r="B147" s="1384"/>
      <c r="C147" s="1387"/>
      <c r="D147" s="1387"/>
      <c r="E147" s="1386"/>
      <c r="F147" s="1385"/>
      <c r="G147" s="1386"/>
      <c r="H147" s="1385"/>
      <c r="I147" s="1386"/>
      <c r="J147" s="1386"/>
      <c r="K147" s="1386"/>
      <c r="L147" s="1385"/>
      <c r="M147" s="1386"/>
      <c r="N147" s="1386"/>
      <c r="O147" s="1386"/>
      <c r="P147" s="1386"/>
      <c r="Q147" s="1385"/>
      <c r="R147" s="1385"/>
      <c r="S147" s="1386"/>
      <c r="T147" s="1384"/>
      <c r="U147" s="1384"/>
    </row>
    <row r="148" spans="1:21" ht="15">
      <c r="A148" s="2429"/>
      <c r="B148" s="1384"/>
      <c r="C148" s="1387"/>
      <c r="D148" s="1387"/>
      <c r="E148" s="1388"/>
      <c r="F148" s="26"/>
      <c r="G148" s="1388"/>
      <c r="H148" s="1385"/>
      <c r="I148" s="1388"/>
      <c r="J148" s="1388"/>
      <c r="K148" s="1388"/>
      <c r="L148" s="1385"/>
      <c r="M148" s="1388"/>
      <c r="N148" s="1388"/>
      <c r="O148" s="1388"/>
      <c r="P148" s="1388"/>
      <c r="Q148" s="1388"/>
      <c r="R148" s="1388"/>
      <c r="S148" s="1388"/>
      <c r="T148" s="1384"/>
      <c r="U148" s="1384"/>
    </row>
    <row r="149" spans="1:21" ht="15">
      <c r="A149" s="2429"/>
      <c r="B149" s="1384"/>
      <c r="C149" s="1387"/>
      <c r="D149" s="1387"/>
      <c r="E149" s="1388"/>
      <c r="F149" s="26"/>
      <c r="G149" s="1388"/>
      <c r="H149" s="1385"/>
      <c r="I149" s="1388"/>
      <c r="J149" s="1388"/>
      <c r="K149" s="1388"/>
      <c r="L149" s="1385"/>
      <c r="M149" s="1388"/>
      <c r="N149" s="1388"/>
      <c r="O149" s="1388"/>
      <c r="P149" s="1388"/>
      <c r="Q149" s="1388"/>
      <c r="R149" s="1388"/>
      <c r="S149" s="1388"/>
      <c r="T149" s="1384"/>
      <c r="U149" s="1384"/>
    </row>
    <row r="150" spans="1:21" ht="15">
      <c r="A150" s="2429"/>
      <c r="B150" s="1384"/>
      <c r="C150" s="1387"/>
      <c r="D150" s="1387"/>
      <c r="E150" s="1385"/>
      <c r="F150" s="26"/>
      <c r="G150" s="1385"/>
      <c r="H150" s="1385"/>
      <c r="I150" s="1385"/>
      <c r="J150" s="1388"/>
      <c r="K150" s="1385"/>
      <c r="L150" s="1385"/>
      <c r="M150" s="1385"/>
      <c r="N150" s="1385"/>
      <c r="O150" s="1385"/>
      <c r="P150" s="1385"/>
      <c r="Q150" s="1385"/>
      <c r="R150" s="2431"/>
      <c r="S150" s="1388"/>
      <c r="T150" s="1384"/>
      <c r="U150" s="1384"/>
    </row>
    <row r="151" spans="1:21" ht="15">
      <c r="A151" s="2429"/>
      <c r="B151" s="1384"/>
      <c r="C151" s="1387"/>
      <c r="D151" s="1387"/>
      <c r="E151" s="1388"/>
      <c r="F151" s="26"/>
      <c r="G151" s="1388"/>
      <c r="H151" s="1385"/>
      <c r="I151" s="1388"/>
      <c r="J151" s="1388"/>
      <c r="K151" s="1388"/>
      <c r="L151" s="1385"/>
      <c r="M151" s="1388"/>
      <c r="N151" s="1388"/>
      <c r="O151" s="1388"/>
      <c r="P151" s="1388"/>
      <c r="Q151" s="1388"/>
      <c r="R151" s="1388"/>
      <c r="S151" s="1388"/>
      <c r="T151" s="1384"/>
      <c r="U151" s="1384"/>
    </row>
    <row r="152" spans="1:21" ht="15">
      <c r="A152" s="2429"/>
      <c r="B152" s="1384"/>
      <c r="C152" s="1387"/>
      <c r="D152" s="1387"/>
      <c r="E152" s="1388"/>
      <c r="F152" s="26"/>
      <c r="G152" s="1388"/>
      <c r="H152" s="1385"/>
      <c r="I152" s="1388"/>
      <c r="J152" s="1388"/>
      <c r="K152" s="1388"/>
      <c r="L152" s="1385"/>
      <c r="M152" s="1388"/>
      <c r="N152" s="1388"/>
      <c r="O152" s="1388"/>
      <c r="P152" s="1388"/>
      <c r="Q152" s="1388"/>
      <c r="R152" s="1388"/>
      <c r="S152" s="1388"/>
      <c r="T152" s="1387"/>
      <c r="U152" s="1387"/>
    </row>
    <row r="153" spans="1:21" ht="15">
      <c r="A153" s="2429"/>
      <c r="B153" s="1384"/>
      <c r="C153" s="1387"/>
      <c r="D153" s="1387"/>
      <c r="E153" s="1388"/>
      <c r="F153" s="26"/>
      <c r="G153" s="1388"/>
      <c r="H153" s="1385"/>
      <c r="I153" s="1388"/>
      <c r="J153" s="1388"/>
      <c r="K153" s="1388"/>
      <c r="L153" s="1385"/>
      <c r="M153" s="1388"/>
      <c r="N153" s="1388"/>
      <c r="O153" s="1388"/>
      <c r="P153" s="1388"/>
      <c r="Q153" s="1388"/>
      <c r="R153" s="1388"/>
      <c r="S153" s="1388"/>
      <c r="T153" s="1387"/>
      <c r="U153" s="1387"/>
    </row>
    <row r="154" spans="1:21" ht="15">
      <c r="A154" s="2429"/>
      <c r="B154" s="1384"/>
      <c r="C154" s="1387"/>
      <c r="D154" s="1387"/>
      <c r="E154" s="1388"/>
      <c r="F154" s="26"/>
      <c r="G154" s="1388"/>
      <c r="H154" s="1385"/>
      <c r="I154" s="1388"/>
      <c r="J154" s="1388"/>
      <c r="K154" s="1388"/>
      <c r="L154" s="1385"/>
      <c r="M154" s="1388"/>
      <c r="N154" s="1388"/>
      <c r="O154" s="1388"/>
      <c r="P154" s="1388"/>
      <c r="Q154" s="1388"/>
      <c r="R154" s="1388"/>
      <c r="S154" s="1388"/>
      <c r="T154" s="1387"/>
      <c r="U154" s="1387"/>
    </row>
    <row r="155" spans="1:21" ht="15">
      <c r="A155" s="2429"/>
      <c r="B155" s="1384"/>
      <c r="C155" s="1387"/>
      <c r="D155" s="1387"/>
      <c r="E155" s="1388"/>
      <c r="F155" s="26"/>
      <c r="G155" s="1388"/>
      <c r="H155" s="1385"/>
      <c r="I155" s="1388"/>
      <c r="J155" s="1388"/>
      <c r="K155" s="1388"/>
      <c r="L155" s="1385"/>
      <c r="M155" s="1388"/>
      <c r="N155" s="1388"/>
      <c r="O155" s="1388"/>
      <c r="P155" s="1388"/>
      <c r="Q155" s="1388"/>
      <c r="R155" s="1388"/>
      <c r="S155" s="1388"/>
      <c r="T155" s="1387"/>
      <c r="U155" s="1384"/>
    </row>
    <row r="156" spans="1:21" ht="15">
      <c r="A156" s="2429"/>
      <c r="B156" s="1385"/>
      <c r="C156" s="1386"/>
      <c r="D156" s="1386"/>
      <c r="E156" s="1388"/>
      <c r="F156" s="26"/>
      <c r="G156" s="1388"/>
      <c r="H156" s="1385"/>
      <c r="I156" s="1388"/>
      <c r="J156" s="1388"/>
      <c r="K156" s="1388"/>
      <c r="L156" s="1385"/>
      <c r="M156" s="1388"/>
      <c r="N156" s="1388"/>
      <c r="O156" s="1388"/>
      <c r="P156" s="1388"/>
      <c r="Q156" s="1388"/>
      <c r="R156" s="1388"/>
      <c r="S156" s="1388"/>
      <c r="T156" s="1387"/>
      <c r="U156" s="1384"/>
    </row>
    <row r="157" spans="1:21" ht="15">
      <c r="A157" s="2429"/>
      <c r="B157" s="1384"/>
      <c r="C157" s="1387"/>
      <c r="D157" s="1387"/>
      <c r="E157" s="1388"/>
      <c r="F157" s="26"/>
      <c r="G157" s="1388"/>
      <c r="H157" s="1385"/>
      <c r="I157" s="1388"/>
      <c r="J157" s="1388"/>
      <c r="K157" s="1388"/>
      <c r="L157" s="1385"/>
      <c r="M157" s="1388"/>
      <c r="N157" s="1388"/>
      <c r="O157" s="1388"/>
      <c r="P157" s="1388"/>
      <c r="Q157" s="1388"/>
      <c r="R157" s="1388"/>
      <c r="S157" s="1388"/>
      <c r="T157" s="1387"/>
      <c r="U157" s="1387"/>
    </row>
    <row r="158" spans="1:21" ht="15">
      <c r="A158" s="2429"/>
      <c r="B158" s="1384"/>
      <c r="C158" s="1384"/>
      <c r="D158" s="1384"/>
      <c r="E158" s="1384"/>
      <c r="F158" s="26"/>
      <c r="G158" s="1384"/>
      <c r="H158" s="1384"/>
      <c r="I158" s="1384"/>
      <c r="J158" s="1384"/>
      <c r="K158" s="1384"/>
      <c r="L158" s="1384"/>
      <c r="M158" s="1384"/>
      <c r="N158" s="1384"/>
      <c r="O158" s="1384"/>
      <c r="P158" s="1384"/>
      <c r="Q158" s="1384"/>
      <c r="R158" s="1384"/>
      <c r="S158" s="1384"/>
      <c r="T158" s="1384"/>
      <c r="U158" s="1384"/>
    </row>
    <row r="159" spans="1:21" ht="15">
      <c r="A159" s="2429"/>
      <c r="B159" s="1384"/>
      <c r="C159" s="1387"/>
      <c r="D159" s="1387"/>
      <c r="E159" s="1385"/>
      <c r="F159" s="1385"/>
      <c r="G159" s="1385"/>
      <c r="H159" s="1385"/>
      <c r="I159" s="1385"/>
      <c r="J159" s="1385"/>
      <c r="K159" s="1385"/>
      <c r="L159" s="1385"/>
      <c r="M159" s="1385"/>
      <c r="N159" s="1385"/>
      <c r="O159" s="1385"/>
      <c r="P159" s="1385"/>
      <c r="Q159" s="1385"/>
      <c r="R159" s="1385"/>
      <c r="S159" s="1385"/>
      <c r="T159" s="1384"/>
      <c r="U159" s="1384"/>
    </row>
    <row r="160" spans="1:21" ht="15">
      <c r="A160" s="2429"/>
      <c r="B160" s="1384"/>
      <c r="C160" s="1387"/>
      <c r="D160" s="1387"/>
      <c r="E160" s="1385"/>
      <c r="F160" s="1385"/>
      <c r="G160" s="1385"/>
      <c r="H160" s="1385"/>
      <c r="I160" s="1385"/>
      <c r="J160" s="1385"/>
      <c r="K160" s="1385"/>
      <c r="L160" s="1385"/>
      <c r="M160" s="1385"/>
      <c r="N160" s="1385"/>
      <c r="O160" s="1385"/>
      <c r="P160" s="1385"/>
      <c r="Q160" s="1385"/>
      <c r="R160" s="1385"/>
      <c r="S160" s="1385"/>
      <c r="T160" s="1384"/>
      <c r="U160" s="1384"/>
    </row>
    <row r="161" spans="1:21" ht="15">
      <c r="A161" s="2429"/>
      <c r="B161" s="1384"/>
      <c r="C161" s="1387"/>
      <c r="D161" s="1387"/>
      <c r="E161" s="1388"/>
      <c r="F161" s="1385"/>
      <c r="G161" s="1388"/>
      <c r="H161" s="1385"/>
      <c r="I161" s="1388"/>
      <c r="J161" s="1388"/>
      <c r="K161" s="1388"/>
      <c r="L161" s="1385"/>
      <c r="M161" s="1388"/>
      <c r="N161" s="1388"/>
      <c r="O161" s="1388"/>
      <c r="P161" s="1388"/>
      <c r="Q161" s="1388"/>
      <c r="R161" s="1388"/>
      <c r="S161" s="1388"/>
      <c r="T161" s="1384"/>
      <c r="U161" s="1384"/>
    </row>
    <row r="162" spans="1:21" ht="15">
      <c r="A162" s="2429"/>
      <c r="B162" s="1384"/>
      <c r="C162" s="1387"/>
      <c r="D162" s="1387"/>
      <c r="E162" s="1388"/>
      <c r="F162" s="1385"/>
      <c r="G162" s="1388"/>
      <c r="H162" s="1385"/>
      <c r="I162" s="1388"/>
      <c r="J162" s="1388"/>
      <c r="K162" s="1388"/>
      <c r="L162" s="1385"/>
      <c r="M162" s="1388"/>
      <c r="N162" s="1388"/>
      <c r="O162" s="1388"/>
      <c r="P162" s="1388"/>
      <c r="Q162" s="1388"/>
      <c r="R162" s="1388"/>
      <c r="S162" s="1388"/>
      <c r="T162" s="1384"/>
      <c r="U162" s="1384"/>
    </row>
    <row r="163" spans="1:21" ht="15">
      <c r="A163" s="2429"/>
      <c r="B163" s="1384"/>
      <c r="C163" s="1387"/>
      <c r="D163" s="1387"/>
      <c r="E163" s="1388"/>
      <c r="F163" s="26"/>
      <c r="G163" s="1388"/>
      <c r="H163" s="1385"/>
      <c r="I163" s="1388"/>
      <c r="J163" s="1388"/>
      <c r="K163" s="1388"/>
      <c r="L163" s="1385"/>
      <c r="M163" s="1388"/>
      <c r="N163" s="1388"/>
      <c r="O163" s="1388"/>
      <c r="P163" s="1388"/>
      <c r="Q163" s="1388"/>
      <c r="R163" s="1388"/>
      <c r="S163" s="1388"/>
      <c r="T163" s="1387"/>
      <c r="U163" s="1384"/>
    </row>
    <row r="164" spans="1:21" ht="15">
      <c r="A164" s="2429"/>
      <c r="B164" s="1384"/>
      <c r="C164" s="1387"/>
      <c r="D164" s="1387"/>
      <c r="E164" s="1388"/>
      <c r="F164" s="26"/>
      <c r="G164" s="1388"/>
      <c r="H164" s="1385"/>
      <c r="I164" s="1388"/>
      <c r="J164" s="1388"/>
      <c r="K164" s="1388"/>
      <c r="L164" s="1385"/>
      <c r="M164" s="1388"/>
      <c r="N164" s="1388"/>
      <c r="O164" s="1388"/>
      <c r="P164" s="1388"/>
      <c r="Q164" s="1388"/>
      <c r="R164" s="1388"/>
      <c r="S164" s="1388"/>
      <c r="T164" s="1384"/>
      <c r="U164" s="1384"/>
    </row>
    <row r="165" spans="1:21" ht="15">
      <c r="A165" s="2429"/>
      <c r="B165" s="1384"/>
      <c r="C165" s="1387"/>
      <c r="D165" s="1387"/>
      <c r="E165" s="1388"/>
      <c r="F165" s="26"/>
      <c r="G165" s="1388"/>
      <c r="H165" s="1385"/>
      <c r="I165" s="1388"/>
      <c r="J165" s="1388"/>
      <c r="K165" s="1388"/>
      <c r="L165" s="1385"/>
      <c r="M165" s="1388"/>
      <c r="N165" s="1388"/>
      <c r="O165" s="1388"/>
      <c r="P165" s="1388"/>
      <c r="Q165" s="1388"/>
      <c r="R165" s="1388"/>
      <c r="S165" s="1388"/>
      <c r="T165" s="1384"/>
      <c r="U165" s="1384"/>
    </row>
    <row r="166" spans="1:21" ht="15">
      <c r="A166" s="2429"/>
      <c r="B166" s="1384"/>
      <c r="C166" s="1387"/>
      <c r="D166" s="1387"/>
      <c r="E166" s="1388"/>
      <c r="F166" s="26"/>
      <c r="G166" s="1388"/>
      <c r="H166" s="1385"/>
      <c r="I166" s="1388"/>
      <c r="J166" s="1388"/>
      <c r="K166" s="1388"/>
      <c r="L166" s="1385"/>
      <c r="M166" s="1388"/>
      <c r="N166" s="1388"/>
      <c r="O166" s="1388"/>
      <c r="P166" s="1388"/>
      <c r="Q166" s="1388"/>
      <c r="R166" s="1388"/>
      <c r="S166" s="1388"/>
      <c r="T166" s="1384"/>
      <c r="U166" s="1384"/>
    </row>
    <row r="167" spans="1:21" ht="15">
      <c r="A167" s="2429"/>
      <c r="B167" s="1384"/>
      <c r="C167" s="1387"/>
      <c r="D167" s="1387"/>
      <c r="E167" s="1388"/>
      <c r="F167" s="26"/>
      <c r="G167" s="1388"/>
      <c r="H167" s="1385"/>
      <c r="I167" s="1388"/>
      <c r="J167" s="1388"/>
      <c r="K167" s="1388"/>
      <c r="L167" s="1385"/>
      <c r="M167" s="1388"/>
      <c r="N167" s="1388"/>
      <c r="O167" s="1388"/>
      <c r="P167" s="1388"/>
      <c r="Q167" s="1388"/>
      <c r="R167" s="1388"/>
      <c r="S167" s="1388"/>
      <c r="T167" s="1384"/>
      <c r="U167" s="1384"/>
    </row>
    <row r="168" spans="1:21" ht="15">
      <c r="A168" s="2429"/>
      <c r="B168" s="1384"/>
      <c r="C168" s="1387"/>
      <c r="D168" s="1387"/>
      <c r="E168" s="1388"/>
      <c r="F168" s="26"/>
      <c r="G168" s="1388"/>
      <c r="H168" s="1385"/>
      <c r="I168" s="1388"/>
      <c r="J168" s="1388"/>
      <c r="K168" s="1388"/>
      <c r="L168" s="1385"/>
      <c r="M168" s="1388"/>
      <c r="N168" s="1388"/>
      <c r="O168" s="1388"/>
      <c r="P168" s="1388"/>
      <c r="Q168" s="1388"/>
      <c r="R168" s="1388"/>
      <c r="S168" s="1388"/>
      <c r="T168" s="1384"/>
      <c r="U168" s="1384"/>
    </row>
    <row r="169" spans="1:21" ht="15">
      <c r="A169" s="2429"/>
      <c r="B169" s="1384"/>
      <c r="C169" s="1387"/>
      <c r="D169" s="1387"/>
      <c r="E169" s="1385"/>
      <c r="F169" s="1385"/>
      <c r="G169" s="1385"/>
      <c r="H169" s="1385"/>
      <c r="I169" s="1385"/>
      <c r="J169" s="1385"/>
      <c r="K169" s="1385"/>
      <c r="L169" s="1385"/>
      <c r="M169" s="1385"/>
      <c r="N169" s="1385"/>
      <c r="O169" s="1385"/>
      <c r="P169" s="1385"/>
      <c r="Q169" s="1385"/>
      <c r="R169" s="1385"/>
      <c r="S169" s="1385"/>
      <c r="T169" s="1384"/>
      <c r="U169" s="1384"/>
    </row>
    <row r="170" spans="1:21" ht="15">
      <c r="A170" s="2429"/>
      <c r="B170" s="1384"/>
      <c r="C170" s="1387"/>
      <c r="D170" s="1387"/>
      <c r="E170" s="1385"/>
      <c r="F170" s="1385"/>
      <c r="G170" s="1385"/>
      <c r="H170" s="1385"/>
      <c r="I170" s="1385"/>
      <c r="J170" s="1385"/>
      <c r="K170" s="1385"/>
      <c r="L170" s="1385"/>
      <c r="M170" s="1385"/>
      <c r="N170" s="1385"/>
      <c r="O170" s="1385"/>
      <c r="P170" s="1385"/>
      <c r="Q170" s="1385"/>
      <c r="R170" s="1385"/>
      <c r="S170" s="1385"/>
      <c r="T170" s="1384"/>
      <c r="U170" s="1384"/>
    </row>
    <row r="171" spans="1:21" ht="15">
      <c r="A171" s="2429"/>
      <c r="B171" s="1384"/>
      <c r="C171" s="1387"/>
      <c r="D171" s="1387"/>
      <c r="E171" s="1388"/>
      <c r="F171" s="26"/>
      <c r="G171" s="1388"/>
      <c r="H171" s="1385"/>
      <c r="I171" s="1388"/>
      <c r="J171" s="1388"/>
      <c r="K171" s="1388"/>
      <c r="L171" s="1385"/>
      <c r="M171" s="1388"/>
      <c r="N171" s="1388"/>
      <c r="O171" s="1388"/>
      <c r="P171" s="1388"/>
      <c r="Q171" s="1388"/>
      <c r="R171" s="1388"/>
      <c r="S171" s="1388"/>
      <c r="T171" s="1384"/>
      <c r="U171" s="1384"/>
    </row>
    <row r="172" spans="1:21" ht="15">
      <c r="A172" s="2429"/>
      <c r="B172" s="1384"/>
      <c r="C172" s="1387"/>
      <c r="D172" s="1387"/>
      <c r="E172" s="1388"/>
      <c r="F172" s="26"/>
      <c r="G172" s="1388"/>
      <c r="H172" s="1385"/>
      <c r="I172" s="1388"/>
      <c r="J172" s="1388"/>
      <c r="K172" s="1388"/>
      <c r="L172" s="1385"/>
      <c r="M172" s="1388"/>
      <c r="N172" s="1388"/>
      <c r="O172" s="1388"/>
      <c r="P172" s="1388"/>
      <c r="Q172" s="1388"/>
      <c r="R172" s="1388"/>
      <c r="S172" s="1388"/>
      <c r="T172" s="1384"/>
      <c r="U172" s="1384"/>
    </row>
    <row r="173" spans="1:21" ht="15">
      <c r="A173" s="2429"/>
      <c r="B173" s="1384"/>
      <c r="C173" s="1387"/>
      <c r="D173" s="1387"/>
      <c r="E173" s="1385"/>
      <c r="F173" s="1385"/>
      <c r="G173" s="1385"/>
      <c r="H173" s="1385"/>
      <c r="I173" s="1385"/>
      <c r="J173" s="1385"/>
      <c r="K173" s="1385"/>
      <c r="L173" s="1385"/>
      <c r="M173" s="1385"/>
      <c r="N173" s="1385"/>
      <c r="O173" s="1385"/>
      <c r="P173" s="1385"/>
      <c r="Q173" s="1385"/>
      <c r="R173" s="1385"/>
      <c r="S173" s="1385"/>
      <c r="T173" s="1384"/>
      <c r="U173" s="1384"/>
    </row>
    <row r="174" spans="1:21" ht="15">
      <c r="A174" s="2429"/>
      <c r="B174" s="1384"/>
      <c r="C174" s="1387"/>
      <c r="D174" s="1387"/>
      <c r="E174" s="1385"/>
      <c r="F174" s="1385"/>
      <c r="G174" s="1385"/>
      <c r="H174" s="1385"/>
      <c r="I174" s="1385"/>
      <c r="J174" s="1385"/>
      <c r="K174" s="1385"/>
      <c r="L174" s="1385"/>
      <c r="M174" s="1385"/>
      <c r="N174" s="1385"/>
      <c r="O174" s="1385"/>
      <c r="P174" s="1385"/>
      <c r="Q174" s="1385"/>
      <c r="R174" s="1385"/>
      <c r="S174" s="1385"/>
      <c r="T174" s="1384"/>
      <c r="U174" s="1384"/>
    </row>
    <row r="175" spans="1:21" ht="15">
      <c r="A175" s="2429"/>
      <c r="B175" s="1384"/>
      <c r="C175" s="1387"/>
      <c r="D175" s="1387"/>
      <c r="E175" s="1388"/>
      <c r="F175" s="26"/>
      <c r="G175" s="1388"/>
      <c r="H175" s="1385"/>
      <c r="I175" s="1388"/>
      <c r="J175" s="1388"/>
      <c r="K175" s="1388"/>
      <c r="L175" s="1385"/>
      <c r="M175" s="1388"/>
      <c r="N175" s="1388"/>
      <c r="O175" s="1388"/>
      <c r="P175" s="1388"/>
      <c r="Q175" s="1388"/>
      <c r="R175" s="1388"/>
      <c r="S175" s="1388"/>
      <c r="T175" s="1387"/>
      <c r="U175" s="1387"/>
    </row>
    <row r="176" spans="1:21" ht="15">
      <c r="A176" s="2429"/>
      <c r="B176" s="1384"/>
      <c r="C176" s="1387"/>
      <c r="D176" s="1387"/>
      <c r="E176" s="1388"/>
      <c r="F176" s="26"/>
      <c r="G176" s="1388"/>
      <c r="H176" s="1385"/>
      <c r="I176" s="1388"/>
      <c r="J176" s="1388"/>
      <c r="K176" s="1388"/>
      <c r="L176" s="1385"/>
      <c r="M176" s="1388"/>
      <c r="N176" s="1388"/>
      <c r="O176" s="1388"/>
      <c r="P176" s="1388"/>
      <c r="Q176" s="1388"/>
      <c r="R176" s="1388"/>
      <c r="S176" s="1388"/>
      <c r="T176" s="1387"/>
      <c r="U176" s="1387"/>
    </row>
    <row r="177" spans="1:21" ht="15">
      <c r="A177" s="2429"/>
      <c r="B177" s="1384"/>
      <c r="C177" s="1387"/>
      <c r="D177" s="1387"/>
      <c r="E177" s="1388"/>
      <c r="F177" s="26"/>
      <c r="G177" s="1388"/>
      <c r="H177" s="1385"/>
      <c r="I177" s="1388"/>
      <c r="J177" s="1388"/>
      <c r="K177" s="1388"/>
      <c r="L177" s="1385"/>
      <c r="M177" s="1388"/>
      <c r="N177" s="1388"/>
      <c r="O177" s="1388"/>
      <c r="P177" s="1388"/>
      <c r="Q177" s="1388"/>
      <c r="R177" s="1388"/>
      <c r="S177" s="1388"/>
      <c r="T177" s="1387"/>
      <c r="U177" s="1384"/>
    </row>
    <row r="178" spans="1:21" ht="15">
      <c r="A178" s="2429"/>
      <c r="B178" s="1384"/>
      <c r="C178" s="1387"/>
      <c r="D178" s="1387"/>
      <c r="E178" s="1388"/>
      <c r="F178" s="26"/>
      <c r="G178" s="1388"/>
      <c r="H178" s="1385"/>
      <c r="I178" s="1388"/>
      <c r="J178" s="1388"/>
      <c r="K178" s="1388"/>
      <c r="L178" s="1385"/>
      <c r="M178" s="1388"/>
      <c r="N178" s="1388"/>
      <c r="O178" s="1388"/>
      <c r="P178" s="1388"/>
      <c r="Q178" s="1388"/>
      <c r="R178" s="1388"/>
      <c r="S178" s="1388"/>
      <c r="T178" s="1387"/>
      <c r="U178" s="1384"/>
    </row>
    <row r="179" spans="1:21" ht="15">
      <c r="A179" s="2429"/>
      <c r="B179" s="1384"/>
      <c r="C179" s="1387"/>
      <c r="D179" s="1387"/>
      <c r="E179" s="1388"/>
      <c r="F179" s="26"/>
      <c r="G179" s="1388"/>
      <c r="H179" s="1385"/>
      <c r="I179" s="1388"/>
      <c r="J179" s="1388"/>
      <c r="K179" s="1388"/>
      <c r="L179" s="1385"/>
      <c r="M179" s="1388"/>
      <c r="N179" s="1388"/>
      <c r="O179" s="1388"/>
      <c r="P179" s="1388"/>
      <c r="Q179" s="1388"/>
      <c r="R179" s="1388"/>
      <c r="S179" s="1388"/>
      <c r="T179" s="1384"/>
      <c r="U179" s="1384"/>
    </row>
    <row r="180" spans="1:21" ht="15">
      <c r="A180" s="2429"/>
      <c r="B180" s="1384"/>
      <c r="C180" s="1387"/>
      <c r="D180" s="1387"/>
      <c r="E180" s="1385"/>
      <c r="F180" s="1385"/>
      <c r="G180" s="1385"/>
      <c r="H180" s="1385"/>
      <c r="I180" s="1385"/>
      <c r="J180" s="1385"/>
      <c r="K180" s="1385"/>
      <c r="L180" s="1385"/>
      <c r="M180" s="1385"/>
      <c r="N180" s="1385"/>
      <c r="O180" s="1385"/>
      <c r="P180" s="1385"/>
      <c r="Q180" s="1385"/>
      <c r="R180" s="1385"/>
      <c r="S180" s="1385"/>
      <c r="T180" s="1384"/>
      <c r="U180" s="1384"/>
    </row>
    <row r="181" spans="1:21" ht="15">
      <c r="A181" s="2429"/>
      <c r="B181" s="1384"/>
      <c r="C181" s="1387"/>
      <c r="D181" s="1387"/>
      <c r="E181" s="1385"/>
      <c r="F181" s="1385"/>
      <c r="G181" s="1385"/>
      <c r="H181" s="1385"/>
      <c r="I181" s="1385"/>
      <c r="J181" s="1385"/>
      <c r="K181" s="1385"/>
      <c r="L181" s="1385"/>
      <c r="M181" s="1385"/>
      <c r="N181" s="1385"/>
      <c r="O181" s="1385"/>
      <c r="P181" s="1385"/>
      <c r="Q181" s="1385"/>
      <c r="R181" s="1385"/>
      <c r="S181" s="1385"/>
      <c r="T181" s="1384"/>
      <c r="U181" s="1384"/>
    </row>
    <row r="182" spans="1:21" ht="15">
      <c r="A182" s="2429"/>
      <c r="B182" s="1384"/>
      <c r="C182" s="1387"/>
      <c r="D182" s="1387"/>
      <c r="E182" s="1385"/>
      <c r="F182" s="1385"/>
      <c r="G182" s="1385"/>
      <c r="H182" s="1384"/>
      <c r="I182" s="1385"/>
      <c r="J182" s="1385"/>
      <c r="K182" s="1385"/>
      <c r="L182" s="1385"/>
      <c r="M182" s="1385"/>
      <c r="N182" s="1385"/>
      <c r="O182" s="1385"/>
      <c r="P182" s="1385"/>
      <c r="Q182" s="1385"/>
      <c r="R182" s="1385"/>
      <c r="S182" s="1385"/>
      <c r="T182" s="1384"/>
      <c r="U182" s="1384"/>
    </row>
    <row r="183" spans="1:21" ht="15">
      <c r="A183" s="2429"/>
      <c r="B183" s="1384"/>
      <c r="C183" s="1387"/>
      <c r="D183" s="1387"/>
      <c r="E183" s="1388"/>
      <c r="F183" s="26"/>
      <c r="G183" s="1388"/>
      <c r="H183" s="1385"/>
      <c r="I183" s="1388"/>
      <c r="J183" s="1388"/>
      <c r="K183" s="1388"/>
      <c r="L183" s="1385"/>
      <c r="M183" s="1388"/>
      <c r="N183" s="1388"/>
      <c r="O183" s="1388"/>
      <c r="P183" s="1388"/>
      <c r="Q183" s="1388"/>
      <c r="R183" s="1388"/>
      <c r="S183" s="1388"/>
      <c r="T183" s="1387"/>
      <c r="U183" s="1384"/>
    </row>
    <row r="184" spans="1:21" ht="15">
      <c r="A184" s="2429"/>
      <c r="B184" s="1384"/>
      <c r="C184" s="1387"/>
      <c r="D184" s="1387"/>
      <c r="E184" s="1388"/>
      <c r="F184" s="26"/>
      <c r="G184" s="1388"/>
      <c r="H184" s="1385"/>
      <c r="I184" s="1388"/>
      <c r="J184" s="1388"/>
      <c r="K184" s="1388"/>
      <c r="L184" s="1385"/>
      <c r="M184" s="1388"/>
      <c r="N184" s="1388"/>
      <c r="O184" s="1388"/>
      <c r="P184" s="1388"/>
      <c r="Q184" s="1388"/>
      <c r="R184" s="1388"/>
      <c r="S184" s="1388"/>
      <c r="T184" s="1387"/>
      <c r="U184" s="1384"/>
    </row>
    <row r="185" spans="1:21" ht="15">
      <c r="A185" s="2429"/>
      <c r="B185" s="1384"/>
      <c r="C185" s="1387"/>
      <c r="D185" s="1387"/>
      <c r="E185" s="1388"/>
      <c r="F185" s="26"/>
      <c r="G185" s="1388"/>
      <c r="H185" s="1385"/>
      <c r="I185" s="1388"/>
      <c r="J185" s="1388"/>
      <c r="K185" s="1388"/>
      <c r="L185" s="1385"/>
      <c r="M185" s="1388"/>
      <c r="N185" s="1388"/>
      <c r="O185" s="1388"/>
      <c r="P185" s="1388"/>
      <c r="Q185" s="1388"/>
      <c r="R185" s="1388"/>
      <c r="S185" s="1388"/>
      <c r="T185" s="1384"/>
      <c r="U185" s="1384"/>
    </row>
    <row r="186" spans="1:21" ht="15">
      <c r="A186" s="2429"/>
      <c r="B186" s="1384"/>
      <c r="C186" s="1387"/>
      <c r="D186" s="1387"/>
      <c r="E186" s="1388"/>
      <c r="F186" s="26"/>
      <c r="G186" s="1388"/>
      <c r="H186" s="1385"/>
      <c r="I186" s="1388"/>
      <c r="J186" s="1388"/>
      <c r="K186" s="1388"/>
      <c r="L186" s="1385"/>
      <c r="M186" s="1388"/>
      <c r="N186" s="1388"/>
      <c r="O186" s="1388"/>
      <c r="P186" s="1388"/>
      <c r="Q186" s="1388"/>
      <c r="R186" s="1388"/>
      <c r="S186" s="1388"/>
      <c r="T186" s="1384"/>
      <c r="U186" s="1384"/>
    </row>
    <row r="187" spans="1:21" ht="15">
      <c r="A187" s="2429"/>
      <c r="B187" s="1384"/>
      <c r="C187" s="1387"/>
      <c r="D187" s="1387"/>
      <c r="E187" s="1388"/>
      <c r="F187" s="26"/>
      <c r="G187" s="1388"/>
      <c r="H187" s="1385"/>
      <c r="I187" s="1388"/>
      <c r="J187" s="1388"/>
      <c r="K187" s="1388"/>
      <c r="L187" s="1385"/>
      <c r="M187" s="1388"/>
      <c r="N187" s="1388"/>
      <c r="O187" s="1388"/>
      <c r="P187" s="1388"/>
      <c r="Q187" s="1388"/>
      <c r="R187" s="1388"/>
      <c r="S187" s="1388"/>
      <c r="T187" s="1384"/>
      <c r="U187" s="1384"/>
    </row>
    <row r="188" spans="1:21" ht="15">
      <c r="A188" s="2429"/>
      <c r="B188" s="1384"/>
      <c r="C188" s="1384"/>
      <c r="D188" s="1384"/>
      <c r="E188" s="1388"/>
      <c r="F188" s="26"/>
      <c r="G188" s="1388"/>
      <c r="H188" s="1385"/>
      <c r="I188" s="1388"/>
      <c r="J188" s="1388"/>
      <c r="K188" s="1388"/>
      <c r="L188" s="1385"/>
      <c r="M188" s="1388"/>
      <c r="N188" s="1388"/>
      <c r="O188" s="1388"/>
      <c r="P188" s="1388"/>
      <c r="Q188" s="1388"/>
      <c r="R188" s="1388"/>
      <c r="S188" s="1384"/>
      <c r="T188" s="1384"/>
      <c r="U188" s="1384"/>
    </row>
    <row r="189" spans="1:21" ht="15">
      <c r="A189" s="1384"/>
      <c r="B189" s="1384"/>
      <c r="C189" s="1387"/>
      <c r="D189" s="1387"/>
      <c r="E189" s="1388"/>
      <c r="F189" s="26"/>
      <c r="G189" s="1388"/>
      <c r="H189" s="1385"/>
      <c r="I189" s="1388"/>
      <c r="J189" s="1388"/>
      <c r="K189" s="1388"/>
      <c r="L189" s="1385"/>
      <c r="M189" s="1388"/>
      <c r="N189" s="1388"/>
      <c r="O189" s="1388"/>
      <c r="P189" s="1388"/>
      <c r="Q189" s="1388"/>
      <c r="R189" s="1388"/>
      <c r="S189" s="1385"/>
      <c r="T189" s="1384"/>
      <c r="U189" s="1384"/>
    </row>
    <row r="190" spans="1:21" ht="15">
      <c r="A190" s="1384"/>
      <c r="B190" s="1384"/>
      <c r="C190" s="1387"/>
      <c r="D190" s="1387"/>
      <c r="E190" s="1385"/>
      <c r="F190" s="1385"/>
      <c r="G190" s="1385"/>
      <c r="H190" s="1385"/>
      <c r="I190" s="1385"/>
      <c r="J190" s="1385"/>
      <c r="K190" s="1385"/>
      <c r="L190" s="1385"/>
      <c r="M190" s="1385"/>
      <c r="N190" s="1385"/>
      <c r="O190" s="1385"/>
      <c r="P190" s="1385"/>
      <c r="Q190" s="1385"/>
      <c r="R190" s="1385"/>
      <c r="S190" s="1385"/>
      <c r="T190" s="1384"/>
      <c r="U190" s="1384"/>
    </row>
    <row r="191" spans="1:21" ht="15">
      <c r="A191" s="1384"/>
      <c r="B191" s="1384"/>
      <c r="C191" s="1387"/>
      <c r="D191" s="1387"/>
      <c r="E191" s="1385"/>
      <c r="F191" s="1385"/>
      <c r="G191" s="1385"/>
      <c r="H191" s="1385"/>
      <c r="I191" s="1385"/>
      <c r="J191" s="1385"/>
      <c r="K191" s="1385"/>
      <c r="L191" s="1385"/>
      <c r="M191" s="1385"/>
      <c r="N191" s="1385"/>
      <c r="O191" s="1385"/>
      <c r="P191" s="1385"/>
      <c r="Q191" s="1385"/>
      <c r="R191" s="1385"/>
      <c r="S191" s="1385"/>
      <c r="T191" s="1384"/>
      <c r="U191" s="1384"/>
    </row>
    <row r="192" spans="1:21" ht="15">
      <c r="A192" s="1384"/>
      <c r="B192" s="1384"/>
      <c r="C192" s="1384"/>
      <c r="D192" s="1384"/>
      <c r="E192" s="1385"/>
      <c r="F192" s="1385"/>
      <c r="G192" s="1385"/>
      <c r="H192" s="1385"/>
      <c r="I192" s="1385"/>
      <c r="J192" s="1385"/>
      <c r="K192" s="1385"/>
      <c r="L192" s="1385"/>
      <c r="M192" s="1385"/>
      <c r="N192" s="1385"/>
      <c r="O192" s="1385"/>
      <c r="P192" s="1385"/>
      <c r="Q192" s="1385"/>
      <c r="R192" s="1385"/>
      <c r="S192" s="1384"/>
      <c r="T192" s="1384"/>
      <c r="U192" s="1384"/>
    </row>
    <row r="193" spans="1:21" ht="15">
      <c r="A193" s="2432"/>
      <c r="B193" s="1384"/>
      <c r="C193" s="1384"/>
      <c r="D193" s="1384"/>
      <c r="E193" s="1385"/>
      <c r="F193" s="1386"/>
      <c r="G193" s="1385"/>
      <c r="H193" s="1385"/>
      <c r="I193" s="1385"/>
      <c r="J193" s="1385"/>
      <c r="K193" s="1385"/>
      <c r="L193" s="1385"/>
      <c r="M193" s="1385"/>
      <c r="N193" s="1385"/>
      <c r="O193" s="1385"/>
      <c r="P193" s="1385"/>
      <c r="Q193" s="1385"/>
      <c r="R193" s="1385"/>
      <c r="S193" s="1384"/>
      <c r="T193" s="1384"/>
      <c r="U193" s="1384"/>
    </row>
    <row r="194" spans="1:21" ht="15">
      <c r="A194" s="1384"/>
      <c r="B194" s="1384"/>
      <c r="C194" s="1384"/>
      <c r="D194" s="1384"/>
      <c r="E194" s="1385"/>
      <c r="F194" s="1385"/>
      <c r="G194" s="1385"/>
      <c r="H194" s="1385"/>
      <c r="I194" s="1385"/>
      <c r="J194" s="1385"/>
      <c r="K194" s="1385"/>
      <c r="L194" s="1385"/>
      <c r="M194" s="1385"/>
      <c r="N194" s="1385"/>
      <c r="O194" s="1385"/>
      <c r="P194" s="1385"/>
      <c r="Q194" s="1385"/>
      <c r="R194" s="1385"/>
      <c r="S194" s="1384"/>
      <c r="T194" s="1384"/>
      <c r="U194" s="1384"/>
    </row>
    <row r="195" spans="1:21" ht="15">
      <c r="A195" s="1384"/>
      <c r="B195" s="1384"/>
      <c r="C195" s="1384"/>
      <c r="D195" s="1384"/>
      <c r="E195" s="1385"/>
      <c r="F195" s="1385"/>
      <c r="G195" s="1385"/>
      <c r="H195" s="1385"/>
      <c r="I195" s="1385"/>
      <c r="J195" s="1385"/>
      <c r="K195" s="1385"/>
      <c r="L195" s="1385"/>
      <c r="M195" s="1385"/>
      <c r="N195" s="1385"/>
      <c r="O195" s="1385"/>
      <c r="P195" s="1385"/>
      <c r="Q195" s="1385"/>
      <c r="R195" s="1385"/>
      <c r="S195" s="1384"/>
      <c r="T195" s="1384"/>
      <c r="U195" s="1384"/>
    </row>
    <row r="196" spans="1:21" ht="15">
      <c r="A196" s="1384"/>
      <c r="B196" s="1384"/>
      <c r="C196" s="1384"/>
      <c r="D196" s="1384"/>
      <c r="E196" s="1385"/>
      <c r="F196" s="1385"/>
      <c r="G196" s="1385"/>
      <c r="H196" s="1385"/>
      <c r="I196" s="1385"/>
      <c r="J196" s="1385"/>
      <c r="K196" s="1385"/>
      <c r="L196" s="1385"/>
      <c r="M196" s="1385"/>
      <c r="N196" s="1385"/>
      <c r="O196" s="1385"/>
      <c r="P196" s="1385"/>
      <c r="Q196" s="1385"/>
      <c r="R196" s="1385"/>
      <c r="S196" s="1384"/>
      <c r="T196" s="1384"/>
      <c r="U196" s="1384"/>
    </row>
    <row r="197" spans="1:21" ht="15">
      <c r="A197" s="1384"/>
      <c r="B197" s="1384"/>
      <c r="C197" s="1384"/>
      <c r="D197" s="1384"/>
      <c r="E197" s="1384"/>
      <c r="F197" s="1384"/>
      <c r="G197" s="1384"/>
      <c r="H197" s="1384"/>
      <c r="I197" s="1384"/>
      <c r="J197" s="1384"/>
      <c r="K197" s="1384"/>
      <c r="L197" s="1384"/>
      <c r="M197" s="1384"/>
      <c r="N197" s="1384"/>
      <c r="O197" s="1384"/>
      <c r="P197" s="1384"/>
      <c r="Q197" s="1384"/>
      <c r="R197" s="1384"/>
      <c r="S197" s="1384"/>
      <c r="T197" s="1384"/>
      <c r="U197" s="1384"/>
    </row>
    <row r="198" spans="1:21" ht="15">
      <c r="A198" s="1384"/>
      <c r="B198" s="1384"/>
      <c r="C198" s="1384"/>
      <c r="D198" s="1384"/>
      <c r="E198" s="1384"/>
      <c r="F198" s="1385"/>
      <c r="G198" s="1384"/>
      <c r="H198" s="1385"/>
      <c r="I198" s="1384"/>
      <c r="J198" s="1384"/>
      <c r="K198" s="1384"/>
      <c r="L198" s="1384"/>
      <c r="M198" s="1384"/>
      <c r="N198" s="1384"/>
      <c r="O198" s="1384"/>
      <c r="P198" s="1384"/>
      <c r="Q198" s="1384"/>
      <c r="R198" s="1384"/>
      <c r="S198" s="1384"/>
      <c r="T198" s="1384"/>
      <c r="U198" s="1384"/>
    </row>
    <row r="199" spans="1:21" ht="15">
      <c r="A199" s="1384"/>
      <c r="B199" s="1384"/>
      <c r="C199" s="1384"/>
      <c r="D199" s="1384"/>
      <c r="E199" s="1384"/>
      <c r="F199" s="1384"/>
      <c r="G199" s="1384"/>
      <c r="H199" s="1384"/>
      <c r="I199" s="1384"/>
      <c r="J199" s="1384"/>
      <c r="K199" s="1384"/>
      <c r="L199" s="1384"/>
      <c r="M199" s="1384"/>
      <c r="N199" s="1384"/>
      <c r="O199" s="1384"/>
      <c r="P199" s="1384"/>
      <c r="Q199" s="1384"/>
      <c r="R199" s="1384"/>
      <c r="S199" s="1384"/>
      <c r="T199" s="1384"/>
      <c r="U199" s="1384"/>
    </row>
    <row r="200" spans="1:21" ht="15">
      <c r="A200" s="1384"/>
      <c r="B200" s="1384"/>
      <c r="C200" s="1384"/>
      <c r="D200" s="1384"/>
      <c r="E200" s="1384"/>
      <c r="F200" s="1385"/>
      <c r="G200" s="1384"/>
      <c r="H200" s="1385"/>
      <c r="I200" s="1384"/>
      <c r="J200" s="1384"/>
      <c r="K200" s="1384"/>
      <c r="L200" s="1384"/>
      <c r="M200" s="1384"/>
      <c r="N200" s="1384"/>
      <c r="O200" s="1384"/>
      <c r="P200" s="1384"/>
      <c r="Q200" s="1384"/>
      <c r="R200" s="1384"/>
      <c r="S200" s="1384"/>
      <c r="T200" s="1384"/>
      <c r="U200" s="1384"/>
    </row>
    <row r="201" spans="1:21" ht="15">
      <c r="A201" s="1384"/>
      <c r="B201" s="1384"/>
      <c r="C201" s="1384"/>
      <c r="D201" s="1384"/>
      <c r="E201" s="1384"/>
      <c r="F201" s="1385"/>
      <c r="G201" s="1384"/>
      <c r="H201" s="1385"/>
      <c r="I201" s="1384"/>
      <c r="J201" s="1384"/>
      <c r="K201" s="1384"/>
      <c r="L201" s="1384"/>
      <c r="M201" s="1384"/>
      <c r="N201" s="1384"/>
      <c r="O201" s="1384"/>
      <c r="P201" s="1384"/>
      <c r="Q201" s="1384"/>
      <c r="R201" s="1384"/>
      <c r="S201" s="1384"/>
      <c r="T201" s="1384"/>
      <c r="U201" s="1384"/>
    </row>
    <row r="202" spans="1:21" ht="15">
      <c r="A202" s="1384"/>
      <c r="B202" s="1384"/>
      <c r="C202" s="1384"/>
      <c r="D202" s="1384"/>
      <c r="E202" s="1384"/>
      <c r="F202" s="1385"/>
      <c r="G202" s="1384"/>
      <c r="H202" s="1385"/>
      <c r="I202" s="1384"/>
      <c r="J202" s="1384"/>
      <c r="K202" s="1384"/>
      <c r="L202" s="1384"/>
      <c r="M202" s="1384"/>
      <c r="N202" s="1384"/>
      <c r="O202" s="1384"/>
      <c r="P202" s="1384"/>
      <c r="Q202" s="1384"/>
      <c r="R202" s="1384"/>
      <c r="S202" s="1384"/>
      <c r="T202" s="1384"/>
      <c r="U202" s="1384"/>
    </row>
    <row r="203" spans="1:21" ht="15">
      <c r="A203" s="1384"/>
      <c r="B203" s="1384"/>
      <c r="C203" s="1384"/>
      <c r="D203" s="1384"/>
      <c r="E203" s="1384"/>
      <c r="F203" s="1385"/>
      <c r="G203" s="1384"/>
      <c r="H203" s="1385"/>
      <c r="I203" s="1384"/>
      <c r="J203" s="1384"/>
      <c r="K203" s="1384"/>
      <c r="L203" s="1384"/>
      <c r="M203" s="1384"/>
      <c r="N203" s="1384"/>
      <c r="O203" s="1384"/>
      <c r="P203" s="1384"/>
      <c r="Q203" s="1384"/>
      <c r="R203" s="1384"/>
      <c r="S203" s="1384"/>
      <c r="T203" s="1384"/>
      <c r="U203" s="1384"/>
    </row>
    <row r="204" spans="1:21" ht="15">
      <c r="A204" s="1384"/>
      <c r="B204" s="1384"/>
      <c r="C204" s="1384"/>
      <c r="D204" s="1384"/>
      <c r="E204" s="1384"/>
      <c r="F204" s="1385"/>
      <c r="G204" s="1384"/>
      <c r="H204" s="1385"/>
      <c r="I204" s="1384"/>
      <c r="J204" s="1384"/>
      <c r="K204" s="1384"/>
      <c r="L204" s="1384"/>
      <c r="M204" s="1384"/>
      <c r="N204" s="1384"/>
      <c r="O204" s="1384"/>
      <c r="P204" s="1384"/>
      <c r="Q204" s="1384"/>
      <c r="R204" s="1384"/>
      <c r="S204" s="1384"/>
      <c r="T204" s="1384"/>
      <c r="U204" s="1384"/>
    </row>
  </sheetData>
  <printOptions horizontalCentered="1"/>
  <pageMargins left="0.75" right="0.75" top="1" bottom="1" header="0.5" footer="0.5"/>
  <pageSetup scale="59" orientation="landscape" blackAndWhite="1" horizontalDpi="300" verticalDpi="300" r:id="rId1"/>
  <headerFooter alignWithMargins="0">
    <oddHeader>&amp;C&amp;A&amp;R&amp;"Times New Roman,Bold"KyPSC Case No. 2017-00321
STAFF-DR-01-071 SFRs Attachment
Page &amp;P of &amp;N</oddHeader>
    <oddFooter>Page &amp;P</oddFooter>
  </headerFooter>
  <rowBreaks count="2" manualBreakCount="2">
    <brk id="61" max="16" man="1"/>
    <brk id="113" max="7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2" tint="-0.499984740745262"/>
  </sheetPr>
  <dimension ref="A1:R87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7" style="18" customWidth="1"/>
    <col min="2" max="2" width="2.85546875" style="18" customWidth="1"/>
    <col min="3" max="3" width="38.7109375" style="18" customWidth="1"/>
    <col min="4" max="4" width="3" style="18" customWidth="1"/>
    <col min="5" max="5" width="22.7109375" style="18" customWidth="1"/>
    <col min="6" max="6" width="2" style="18" customWidth="1"/>
    <col min="7" max="7" width="19.140625" style="18" customWidth="1"/>
    <col min="8" max="8" width="2.5703125" style="18" customWidth="1"/>
    <col min="9" max="9" width="28" style="18" customWidth="1"/>
    <col min="10" max="10" width="7.85546875" style="18" customWidth="1"/>
    <col min="11" max="11" width="2.5703125" style="18" customWidth="1"/>
    <col min="12" max="12" width="54.140625" style="18" customWidth="1"/>
    <col min="13" max="13" width="5.28515625" style="18" customWidth="1"/>
    <col min="14" max="14" width="17.42578125" style="18" customWidth="1"/>
    <col min="15" max="15" width="7.140625" style="18" customWidth="1"/>
    <col min="16" max="16" width="15.85546875" style="18" customWidth="1"/>
    <col min="17" max="17" width="14.85546875" style="18" customWidth="1"/>
    <col min="18" max="16384" width="8" style="18"/>
  </cols>
  <sheetData>
    <row r="1" spans="1:18">
      <c r="A1" s="2390" t="str">
        <f>COMPANY</f>
        <v>DUKE ENERGY KENTUCKY, INC.</v>
      </c>
      <c r="B1" s="2391"/>
      <c r="C1" s="2391"/>
      <c r="D1" s="2390"/>
      <c r="E1" s="2391"/>
      <c r="F1" s="2391"/>
      <c r="G1" s="2391"/>
      <c r="H1" s="2391"/>
      <c r="I1" s="2391"/>
      <c r="J1" s="2392"/>
      <c r="K1" s="2392"/>
      <c r="L1" s="2392"/>
      <c r="M1" s="2392"/>
      <c r="N1" s="2392"/>
      <c r="O1" s="2392"/>
      <c r="P1" s="2392"/>
      <c r="Q1" s="2392"/>
      <c r="R1" s="2392"/>
    </row>
    <row r="2" spans="1:18">
      <c r="A2" s="2390" t="str">
        <f>CASE</f>
        <v>CASE NO. 2017-00321</v>
      </c>
      <c r="B2" s="2391"/>
      <c r="C2" s="2391"/>
      <c r="D2" s="2390"/>
      <c r="E2" s="2391"/>
      <c r="F2" s="2391"/>
      <c r="G2" s="2391"/>
      <c r="H2" s="2391"/>
      <c r="I2" s="2391"/>
      <c r="J2" s="2392"/>
      <c r="K2" s="2392"/>
      <c r="L2" s="2392"/>
      <c r="M2" s="2392"/>
      <c r="N2" s="2392"/>
      <c r="O2" s="2392"/>
      <c r="P2" s="2392"/>
      <c r="Q2" s="2392"/>
      <c r="R2" s="2392"/>
    </row>
    <row r="3" spans="1:18">
      <c r="A3" s="2390" t="s">
        <v>1161</v>
      </c>
      <c r="B3" s="2391"/>
      <c r="C3" s="2391"/>
      <c r="D3" s="2391"/>
      <c r="E3" s="2391"/>
      <c r="F3" s="2391"/>
      <c r="G3" s="2391"/>
      <c r="H3" s="2391"/>
      <c r="I3" s="2391"/>
      <c r="J3" s="2392"/>
      <c r="K3" s="2392"/>
      <c r="L3" s="2392"/>
      <c r="M3" s="2392"/>
      <c r="N3" s="2392"/>
      <c r="O3" s="2392"/>
      <c r="P3" s="2392"/>
      <c r="Q3" s="2392"/>
      <c r="R3" s="2392"/>
    </row>
    <row r="4" spans="1:18">
      <c r="A4" s="2390" t="str">
        <f>PeriodF</f>
        <v>FOR THE TWELVE MONTHS ENDED MARCH 31, 2019</v>
      </c>
      <c r="B4" s="2391"/>
      <c r="C4" s="2391"/>
      <c r="D4" s="2390"/>
      <c r="E4" s="2391"/>
      <c r="F4" s="2391"/>
      <c r="G4" s="2391"/>
      <c r="H4" s="2391"/>
      <c r="I4" s="2391"/>
      <c r="J4" s="2392"/>
      <c r="K4" s="2392"/>
      <c r="L4" s="2392"/>
      <c r="M4" s="2392"/>
      <c r="N4" s="2392"/>
      <c r="O4" s="2392"/>
      <c r="P4" s="2392"/>
      <c r="Q4" s="2392"/>
      <c r="R4" s="2392"/>
    </row>
    <row r="5" spans="1:18">
      <c r="A5" s="2392"/>
      <c r="B5" s="2392"/>
      <c r="C5" s="2392"/>
      <c r="D5" s="2392"/>
      <c r="E5" s="2392"/>
      <c r="F5" s="2392"/>
      <c r="G5" s="2392"/>
      <c r="H5" s="2392"/>
      <c r="I5" s="2393"/>
      <c r="J5" s="2392"/>
      <c r="K5" s="2392"/>
      <c r="L5" s="2392"/>
      <c r="M5" s="2392"/>
      <c r="N5" s="2392"/>
      <c r="O5" s="2392"/>
      <c r="P5" s="2392"/>
      <c r="Q5" s="2392"/>
      <c r="R5" s="2392"/>
    </row>
    <row r="6" spans="1:18">
      <c r="A6" s="2394" t="str">
        <f>DataF</f>
        <v>DATA:  BASE PERIOD  "X" FORECASTED PERIOD</v>
      </c>
      <c r="B6" s="2392"/>
      <c r="C6" s="2392"/>
      <c r="D6" s="2392"/>
      <c r="E6" s="2392"/>
      <c r="F6" s="2392"/>
      <c r="G6" s="2392"/>
      <c r="H6" s="2395" t="s">
        <v>1802</v>
      </c>
      <c r="I6" s="2392"/>
      <c r="J6" s="2392"/>
      <c r="K6" s="2392"/>
      <c r="L6" s="2392"/>
      <c r="M6" s="2392"/>
      <c r="N6" s="2392"/>
      <c r="O6" s="2392"/>
      <c r="P6" s="2392"/>
      <c r="Q6" s="2392"/>
      <c r="R6" s="2392"/>
    </row>
    <row r="7" spans="1:18">
      <c r="A7" s="2394" t="str">
        <f>Type</f>
        <v xml:space="preserve">TYPE OF FILING:  "X" ORIGINAL   UPDATED    REVISED  </v>
      </c>
      <c r="B7" s="2392"/>
      <c r="C7" s="2392"/>
      <c r="D7" s="2392"/>
      <c r="E7" s="2392"/>
      <c r="F7" s="2392"/>
      <c r="G7" s="2392"/>
      <c r="H7" s="2395" t="s">
        <v>620</v>
      </c>
      <c r="I7" s="2392"/>
      <c r="J7" s="2392"/>
      <c r="K7" s="2392"/>
      <c r="L7" s="2392"/>
      <c r="M7" s="2392"/>
      <c r="N7" s="2392"/>
      <c r="O7" s="2392"/>
      <c r="P7" s="2392"/>
      <c r="Q7" s="2392"/>
      <c r="R7" s="2392"/>
    </row>
    <row r="8" spans="1:18">
      <c r="A8" s="2395" t="s">
        <v>1490</v>
      </c>
      <c r="B8" s="2392"/>
      <c r="C8" s="2392"/>
      <c r="D8" s="2392"/>
      <c r="E8" s="2392"/>
      <c r="F8" s="2392"/>
      <c r="G8" s="2392"/>
      <c r="H8" s="2395" t="s">
        <v>622</v>
      </c>
      <c r="I8" s="2392"/>
      <c r="J8" s="2392"/>
      <c r="K8" s="2392"/>
      <c r="L8" s="2392"/>
      <c r="M8" s="2392"/>
      <c r="N8" s="2392"/>
      <c r="O8" s="2392"/>
      <c r="P8" s="2392"/>
      <c r="Q8" s="2392"/>
      <c r="R8" s="2392"/>
    </row>
    <row r="9" spans="1:18">
      <c r="A9" s="2392"/>
      <c r="B9" s="2392"/>
      <c r="C9" s="2392"/>
      <c r="D9" s="2392"/>
      <c r="E9" s="2392"/>
      <c r="F9" s="2392"/>
      <c r="G9" s="2392"/>
      <c r="H9" s="2395" t="str">
        <f>LOGO!G6</f>
        <v>S. E. LAWLER</v>
      </c>
      <c r="I9" s="2392"/>
      <c r="J9" s="2392"/>
      <c r="K9" s="2392"/>
      <c r="L9" s="2392"/>
      <c r="M9" s="2392"/>
      <c r="N9" s="2392"/>
      <c r="O9" s="2392"/>
      <c r="P9" s="2392"/>
      <c r="Q9" s="2392"/>
      <c r="R9" s="2392"/>
    </row>
    <row r="10" spans="1:18">
      <c r="A10" s="2396"/>
      <c r="B10" s="2396"/>
      <c r="C10" s="2396"/>
      <c r="D10" s="2396"/>
      <c r="E10" s="2396"/>
      <c r="F10" s="2396"/>
      <c r="G10" s="2396"/>
      <c r="H10" s="2396"/>
      <c r="I10" s="2396"/>
      <c r="J10" s="2392"/>
      <c r="K10" s="2392"/>
      <c r="L10" s="2392"/>
      <c r="M10" s="2392"/>
      <c r="N10" s="2392"/>
      <c r="O10" s="2392"/>
      <c r="P10" s="2392"/>
      <c r="Q10" s="2392"/>
      <c r="R10" s="2392"/>
    </row>
    <row r="11" spans="1:18">
      <c r="A11" s="2397"/>
      <c r="B11" s="2397"/>
      <c r="C11" s="2397"/>
      <c r="D11" s="2397"/>
      <c r="E11" s="2398" t="s">
        <v>1143</v>
      </c>
      <c r="F11" s="2397"/>
      <c r="G11" s="2397"/>
      <c r="H11" s="2397"/>
      <c r="I11" s="2398" t="s">
        <v>1143</v>
      </c>
      <c r="J11" s="2392"/>
      <c r="K11" s="2392"/>
      <c r="L11" s="2392"/>
      <c r="M11" s="2392"/>
      <c r="N11" s="2392"/>
      <c r="O11" s="2392"/>
      <c r="P11" s="2392"/>
      <c r="Q11" s="2392"/>
      <c r="R11" s="2392"/>
    </row>
    <row r="12" spans="1:18">
      <c r="A12" s="2392"/>
      <c r="B12" s="2392"/>
      <c r="C12" s="2392"/>
      <c r="D12" s="2392"/>
      <c r="E12" s="2399" t="s">
        <v>1144</v>
      </c>
      <c r="F12" s="2392"/>
      <c r="G12" s="2392"/>
      <c r="H12" s="2392"/>
      <c r="I12" s="2399" t="s">
        <v>1144</v>
      </c>
      <c r="J12" s="2392"/>
      <c r="K12" s="2392"/>
      <c r="L12" s="2392"/>
      <c r="M12" s="2392"/>
      <c r="N12" s="2392"/>
      <c r="O12" s="2392"/>
      <c r="P12" s="2392"/>
      <c r="Q12" s="2392"/>
      <c r="R12" s="2392"/>
    </row>
    <row r="13" spans="1:18">
      <c r="A13" s="2399" t="s">
        <v>1961</v>
      </c>
      <c r="B13" s="2392"/>
      <c r="C13" s="2392"/>
      <c r="D13" s="2392"/>
      <c r="E13" s="2399" t="s">
        <v>1145</v>
      </c>
      <c r="F13" s="2392"/>
      <c r="G13" s="2399" t="s">
        <v>1146</v>
      </c>
      <c r="H13" s="2399"/>
      <c r="I13" s="2399" t="s">
        <v>1146</v>
      </c>
      <c r="J13" s="2392"/>
      <c r="K13" s="2392"/>
      <c r="L13" s="2392"/>
      <c r="M13" s="2392"/>
      <c r="N13" s="2392"/>
      <c r="O13" s="2392"/>
      <c r="P13" s="2392"/>
      <c r="Q13" s="2392"/>
      <c r="R13" s="2392"/>
    </row>
    <row r="14" spans="1:18">
      <c r="A14" s="2399" t="s">
        <v>1854</v>
      </c>
      <c r="B14" s="2392"/>
      <c r="C14" s="2395" t="s">
        <v>1147</v>
      </c>
      <c r="D14" s="2392"/>
      <c r="E14" s="2399" t="s">
        <v>1148</v>
      </c>
      <c r="F14" s="2392"/>
      <c r="G14" s="2399" t="s">
        <v>1149</v>
      </c>
      <c r="H14" s="2399"/>
      <c r="I14" s="2399" t="s">
        <v>1148</v>
      </c>
      <c r="J14" s="2392"/>
      <c r="K14" s="2392"/>
      <c r="L14" s="2392"/>
      <c r="M14" s="2392"/>
      <c r="N14" s="2392"/>
      <c r="O14" s="2392"/>
      <c r="P14" s="2392"/>
      <c r="Q14" s="2392"/>
      <c r="R14" s="2392"/>
    </row>
    <row r="15" spans="1:18">
      <c r="A15" s="2396"/>
      <c r="B15" s="2396"/>
      <c r="C15" s="2396"/>
      <c r="D15" s="2396"/>
      <c r="E15" s="2396"/>
      <c r="F15" s="2396"/>
      <c r="G15" s="2396"/>
      <c r="H15" s="2396"/>
      <c r="I15" s="2396"/>
      <c r="J15" s="2392"/>
      <c r="K15" s="2392"/>
      <c r="L15" s="2392"/>
      <c r="M15" s="2392"/>
      <c r="N15" s="2392"/>
      <c r="O15" s="2392"/>
      <c r="P15" s="2392"/>
      <c r="Q15" s="2392"/>
      <c r="R15" s="2392"/>
    </row>
    <row r="16" spans="1:18">
      <c r="A16" s="2392"/>
      <c r="B16" s="2392"/>
      <c r="C16" s="2392"/>
      <c r="D16" s="2392"/>
      <c r="E16" s="2400" t="s">
        <v>1150</v>
      </c>
      <c r="F16" s="2392"/>
      <c r="G16" s="2400" t="s">
        <v>1150</v>
      </c>
      <c r="H16" s="2400"/>
      <c r="I16" s="2400" t="s">
        <v>1150</v>
      </c>
      <c r="J16" s="2392"/>
      <c r="K16" s="2392"/>
      <c r="L16" s="2392"/>
      <c r="M16" s="2392"/>
      <c r="N16" s="2392"/>
      <c r="O16" s="2392"/>
      <c r="P16" s="2392"/>
      <c r="Q16" s="2392"/>
      <c r="R16" s="2392"/>
    </row>
    <row r="17" spans="1:18">
      <c r="A17" s="2399">
        <v>1</v>
      </c>
      <c r="B17" s="2392"/>
      <c r="C17" s="2395" t="s">
        <v>1151</v>
      </c>
      <c r="D17" s="2392"/>
      <c r="E17" s="2401">
        <f ca="1">SCH_C2!N20</f>
        <v>308857946</v>
      </c>
      <c r="F17" s="2392"/>
      <c r="G17" s="2402">
        <v>48646213</v>
      </c>
      <c r="H17" s="2403"/>
      <c r="I17" s="2401">
        <f ca="1">E17+G17</f>
        <v>357504159</v>
      </c>
      <c r="J17" s="2392"/>
      <c r="K17" s="2392"/>
      <c r="L17" s="2392"/>
      <c r="M17" s="2392"/>
      <c r="N17" s="2392"/>
      <c r="O17" s="2392"/>
      <c r="P17" s="2392"/>
      <c r="Q17" s="2392"/>
      <c r="R17" s="2392"/>
    </row>
    <row r="18" spans="1:18">
      <c r="A18" s="2404">
        <v>2</v>
      </c>
      <c r="B18" s="2392"/>
      <c r="C18" s="2392"/>
      <c r="D18" s="2392"/>
      <c r="E18" s="2405" t="str">
        <f ca="1">IF(E17&lt;&gt;SCH_C2!N20,"**CHECK REVENUES**","")</f>
        <v/>
      </c>
      <c r="F18" s="2392"/>
      <c r="G18" s="2406"/>
      <c r="H18" s="2406"/>
      <c r="I18" s="2406"/>
      <c r="J18" s="2392"/>
      <c r="K18" s="2392"/>
      <c r="L18" s="2392"/>
      <c r="M18" s="2392"/>
      <c r="N18" s="2392"/>
      <c r="O18" s="2392"/>
      <c r="P18" s="2392"/>
      <c r="Q18" s="2392"/>
      <c r="R18" s="2392"/>
    </row>
    <row r="19" spans="1:18">
      <c r="A19" s="2399">
        <v>3</v>
      </c>
      <c r="B19" s="2392"/>
      <c r="C19" s="2395" t="s">
        <v>1152</v>
      </c>
      <c r="D19" s="2392"/>
      <c r="E19" s="2407"/>
      <c r="F19" s="2392"/>
      <c r="G19" s="2392"/>
      <c r="H19" s="2392"/>
      <c r="I19" s="2392"/>
      <c r="J19" s="2392"/>
      <c r="K19" s="2392"/>
      <c r="L19" s="2392"/>
      <c r="M19" s="2392"/>
      <c r="N19" s="2392"/>
      <c r="O19" s="2392"/>
      <c r="P19" s="2392"/>
      <c r="Q19" s="2392"/>
      <c r="R19" s="2392"/>
    </row>
    <row r="20" spans="1:18">
      <c r="A20" s="2404">
        <v>4</v>
      </c>
      <c r="B20" s="2392"/>
      <c r="C20" s="2395" t="s">
        <v>1153</v>
      </c>
      <c r="D20" s="2392"/>
      <c r="E20" s="2393">
        <f ca="1">SCH_C2!N37</f>
        <v>220615724</v>
      </c>
      <c r="F20" s="2392"/>
      <c r="G20" s="2393">
        <f>P57</f>
        <v>36485</v>
      </c>
      <c r="H20" s="2393"/>
      <c r="I20" s="2393">
        <f ca="1">E20+G20</f>
        <v>220652209</v>
      </c>
      <c r="J20" s="2392"/>
      <c r="K20" s="2392"/>
      <c r="L20" s="2392"/>
      <c r="M20" s="2392"/>
      <c r="N20" s="2392"/>
      <c r="O20" s="2392"/>
      <c r="P20" s="2392"/>
      <c r="Q20" s="2392"/>
      <c r="R20" s="2392"/>
    </row>
    <row r="21" spans="1:18">
      <c r="A21" s="2399">
        <v>5</v>
      </c>
      <c r="B21" s="2392"/>
      <c r="C21" s="2395" t="s">
        <v>1154</v>
      </c>
      <c r="D21" s="2392"/>
      <c r="E21" s="2393">
        <f ca="1">SCH_C2!N39</f>
        <v>50969314</v>
      </c>
      <c r="F21" s="2392"/>
      <c r="G21" s="2408">
        <v>0</v>
      </c>
      <c r="H21" s="2393"/>
      <c r="I21" s="2393">
        <f ca="1">E21+G21</f>
        <v>50969314</v>
      </c>
      <c r="J21" s="2392"/>
      <c r="K21" s="2392"/>
      <c r="L21" s="2392"/>
      <c r="M21" s="2392"/>
      <c r="N21" s="2392"/>
      <c r="O21" s="2392"/>
      <c r="P21" s="2392"/>
      <c r="Q21" s="2392"/>
      <c r="R21" s="2392"/>
    </row>
    <row r="22" spans="1:18">
      <c r="A22" s="2404">
        <v>6</v>
      </c>
      <c r="B22" s="2392"/>
      <c r="C22" s="2395" t="s">
        <v>1155</v>
      </c>
      <c r="D22" s="2392"/>
      <c r="E22" s="2401">
        <f>SCH_C2!N44</f>
        <v>12729507</v>
      </c>
      <c r="F22" s="2392"/>
      <c r="G22" s="2401">
        <f>P60</f>
        <v>97098</v>
      </c>
      <c r="H22" s="2393"/>
      <c r="I22" s="2401">
        <f>E22+G22</f>
        <v>12826605</v>
      </c>
      <c r="J22" s="2392"/>
      <c r="K22" s="2392"/>
      <c r="L22" s="2392"/>
      <c r="M22" s="2392"/>
      <c r="N22" s="2392"/>
      <c r="O22" s="2392"/>
      <c r="P22" s="2392"/>
      <c r="Q22" s="2392"/>
      <c r="R22" s="2392"/>
    </row>
    <row r="23" spans="1:18">
      <c r="A23" s="2399">
        <v>7</v>
      </c>
      <c r="B23" s="2392"/>
      <c r="C23" s="2395" t="s">
        <v>1156</v>
      </c>
      <c r="D23" s="2392"/>
      <c r="E23" s="2393">
        <f ca="1">SUM(E20:E22)</f>
        <v>284314545</v>
      </c>
      <c r="F23" s="2392"/>
      <c r="G23" s="2393">
        <f>SUM(G20:G22)</f>
        <v>133583</v>
      </c>
      <c r="H23" s="2393"/>
      <c r="I23" s="2393">
        <f ca="1">SUM(I20:I22)</f>
        <v>284448128</v>
      </c>
      <c r="J23" s="2392"/>
      <c r="K23" s="2392"/>
      <c r="L23" s="2392"/>
      <c r="M23" s="2392"/>
      <c r="N23" s="2392"/>
      <c r="O23" s="2392"/>
      <c r="P23" s="2392"/>
      <c r="Q23" s="2392"/>
      <c r="R23" s="2392"/>
    </row>
    <row r="24" spans="1:18">
      <c r="A24" s="2399">
        <v>8</v>
      </c>
      <c r="B24" s="2392"/>
      <c r="C24" s="2392"/>
      <c r="D24" s="2392"/>
      <c r="E24" s="2393"/>
      <c r="F24" s="2392"/>
      <c r="G24" s="2392"/>
      <c r="H24" s="2392"/>
      <c r="I24" s="2393"/>
      <c r="J24" s="2392"/>
      <c r="K24" s="2392"/>
      <c r="L24" s="2392"/>
      <c r="M24" s="2392"/>
      <c r="N24" s="2392"/>
      <c r="O24" s="2392"/>
      <c r="P24" s="2392"/>
      <c r="Q24" s="2392"/>
      <c r="R24" s="2392"/>
    </row>
    <row r="25" spans="1:18">
      <c r="A25" s="2404">
        <v>9</v>
      </c>
      <c r="B25" s="2392"/>
      <c r="C25" s="2395" t="s">
        <v>1157</v>
      </c>
      <c r="D25" s="2392"/>
      <c r="E25" s="2393">
        <f ca="1">SCH_C2!N49</f>
        <v>692899.69101511547</v>
      </c>
      <c r="F25" s="2392"/>
      <c r="G25" s="2393">
        <f>P66</f>
        <v>2593098</v>
      </c>
      <c r="H25" s="2393"/>
      <c r="I25" s="2393">
        <f ca="1">E25+G25</f>
        <v>3285997.6910151155</v>
      </c>
      <c r="J25" s="2392"/>
      <c r="K25" s="2392"/>
      <c r="L25" s="2392"/>
      <c r="M25" s="2392"/>
      <c r="N25" s="2392"/>
      <c r="O25" s="2392"/>
      <c r="P25" s="2392"/>
      <c r="Q25" s="2392"/>
      <c r="R25" s="2392"/>
    </row>
    <row r="26" spans="1:18">
      <c r="A26" s="2399">
        <v>10</v>
      </c>
      <c r="B26" s="2392"/>
      <c r="C26" s="2395" t="s">
        <v>1524</v>
      </c>
      <c r="D26" s="2392"/>
      <c r="E26" s="2401">
        <f ca="1">SCH_C2!N55</f>
        <v>3759430.3089848831</v>
      </c>
      <c r="F26" s="2392"/>
      <c r="G26" s="2401">
        <f>P68</f>
        <v>16071836</v>
      </c>
      <c r="H26" s="2393"/>
      <c r="I26" s="2401">
        <f ca="1">E26+G26</f>
        <v>19831266.308984883</v>
      </c>
      <c r="J26" s="2392"/>
      <c r="K26" s="2392"/>
      <c r="L26" s="2392"/>
      <c r="M26" s="2392"/>
      <c r="N26" s="2392"/>
      <c r="O26" s="2392"/>
      <c r="P26" s="2392"/>
      <c r="Q26" s="2392"/>
      <c r="R26" s="2392"/>
    </row>
    <row r="27" spans="1:18">
      <c r="A27" s="2404">
        <v>11</v>
      </c>
      <c r="B27" s="2392"/>
      <c r="C27" s="2392"/>
      <c r="D27" s="2392"/>
      <c r="E27" s="2406"/>
      <c r="F27" s="2392"/>
      <c r="G27" s="2406"/>
      <c r="H27" s="2406"/>
      <c r="I27" s="2406"/>
      <c r="J27" s="2392"/>
      <c r="K27" s="2392"/>
      <c r="L27" s="2392"/>
      <c r="M27" s="2392"/>
      <c r="N27" s="2392"/>
      <c r="O27" s="2392"/>
      <c r="P27" s="2392"/>
      <c r="Q27" s="2392"/>
      <c r="R27" s="2392"/>
    </row>
    <row r="28" spans="1:18">
      <c r="A28" s="2399">
        <v>12</v>
      </c>
      <c r="B28" s="2392"/>
      <c r="C28" s="2395" t="s">
        <v>1683</v>
      </c>
      <c r="D28" s="2392"/>
      <c r="E28" s="2401">
        <f ca="1">E23+E25+E26</f>
        <v>288766875</v>
      </c>
      <c r="F28" s="2392"/>
      <c r="G28" s="2401">
        <f>G23+G25+G26</f>
        <v>18798517</v>
      </c>
      <c r="H28" s="2393"/>
      <c r="I28" s="2401">
        <f ca="1">I23+I25+I26</f>
        <v>307565392</v>
      </c>
      <c r="J28" s="2392"/>
      <c r="K28" s="2392"/>
      <c r="L28" s="2392"/>
      <c r="M28" s="2392"/>
      <c r="N28" s="2392"/>
      <c r="O28" s="2392"/>
      <c r="P28" s="2392"/>
      <c r="Q28" s="2392"/>
      <c r="R28" s="2392"/>
    </row>
    <row r="29" spans="1:18">
      <c r="A29" s="2399">
        <v>13</v>
      </c>
      <c r="B29" s="2392"/>
      <c r="C29" s="2392"/>
      <c r="D29" s="2392"/>
      <c r="E29" s="2406"/>
      <c r="F29" s="2392"/>
      <c r="G29" s="2406"/>
      <c r="H29" s="2406"/>
      <c r="I29" s="2406"/>
      <c r="J29" s="2392"/>
      <c r="K29" s="2392"/>
      <c r="L29" s="2392"/>
      <c r="M29" s="2392"/>
      <c r="N29" s="2392"/>
      <c r="O29" s="2392"/>
      <c r="P29" s="2392"/>
      <c r="Q29" s="2392"/>
      <c r="R29" s="2392"/>
    </row>
    <row r="30" spans="1:18">
      <c r="A30" s="2404">
        <v>14</v>
      </c>
      <c r="B30" s="2392"/>
      <c r="C30" s="2395" t="s">
        <v>1684</v>
      </c>
      <c r="D30" s="2392"/>
      <c r="E30" s="2409">
        <f ca="1">IF(E17-E28=SCH_C2!N59,+E17-E28,"       check c-2!")</f>
        <v>20091071</v>
      </c>
      <c r="F30" s="2392"/>
      <c r="G30" s="2409">
        <f>G17-G28</f>
        <v>29847696</v>
      </c>
      <c r="H30" s="2393"/>
      <c r="I30" s="2409">
        <f ca="1">E30+G30</f>
        <v>49938767</v>
      </c>
      <c r="J30" s="2392"/>
      <c r="K30" s="2392"/>
      <c r="L30" s="2392"/>
      <c r="M30" s="2392"/>
      <c r="N30" s="2392"/>
      <c r="O30" s="2392"/>
      <c r="P30" s="2392"/>
      <c r="Q30" s="2392"/>
      <c r="R30" s="2392"/>
    </row>
    <row r="31" spans="1:18">
      <c r="A31" s="2399">
        <v>15</v>
      </c>
      <c r="B31" s="2392"/>
      <c r="C31" s="2392"/>
      <c r="D31" s="2392"/>
      <c r="E31" s="2406"/>
      <c r="F31" s="2392"/>
      <c r="G31" s="2406"/>
      <c r="H31" s="2406"/>
      <c r="I31" s="2406"/>
      <c r="J31" s="2392"/>
      <c r="K31" s="2392"/>
      <c r="L31" s="2392"/>
      <c r="M31" s="2392"/>
      <c r="N31" s="2392"/>
      <c r="O31" s="2392"/>
      <c r="P31" s="2392"/>
      <c r="Q31" s="2392"/>
      <c r="R31" s="2392"/>
    </row>
    <row r="32" spans="1:18">
      <c r="A32" s="2404">
        <v>16</v>
      </c>
      <c r="B32" s="2392"/>
      <c r="C32" s="2395" t="s">
        <v>208</v>
      </c>
      <c r="D32" s="2392"/>
      <c r="E32" s="2410">
        <f ca="1">SCH_A!Q112</f>
        <v>705051140</v>
      </c>
      <c r="F32" s="2411"/>
      <c r="G32" s="2411"/>
      <c r="H32" s="2411"/>
      <c r="I32" s="2410">
        <f ca="1">SCH_A!Q112</f>
        <v>705051140</v>
      </c>
      <c r="J32" s="2392"/>
      <c r="K32" s="2392"/>
      <c r="L32" s="2392"/>
      <c r="M32" s="2392"/>
      <c r="N32" s="2392"/>
      <c r="O32" s="2392"/>
      <c r="P32" s="2392"/>
      <c r="Q32" s="2392"/>
      <c r="R32" s="2392"/>
    </row>
    <row r="33" spans="1:18">
      <c r="A33" s="2399">
        <v>17</v>
      </c>
      <c r="B33" s="2392"/>
      <c r="C33" s="2395" t="s">
        <v>1807</v>
      </c>
      <c r="D33" s="2392"/>
      <c r="E33" s="2671">
        <f ca="1">ROUND(E30/E32,4)</f>
        <v>2.8500000000000001E-2</v>
      </c>
      <c r="F33" s="2411"/>
      <c r="G33" s="2411"/>
      <c r="H33" s="2411"/>
      <c r="I33" s="2671">
        <f ca="1">ROUND(I30/I32,5)</f>
        <v>7.0830000000000004E-2</v>
      </c>
      <c r="J33" s="2392"/>
      <c r="K33" s="2392"/>
      <c r="L33" s="2392"/>
      <c r="M33" s="2392"/>
      <c r="N33" s="2392"/>
      <c r="O33" s="2392"/>
      <c r="P33" s="2392"/>
      <c r="Q33" s="2392"/>
      <c r="R33" s="2392"/>
    </row>
    <row r="34" spans="1:18">
      <c r="A34" s="2399">
        <v>18</v>
      </c>
      <c r="B34" s="2392"/>
      <c r="C34" s="2392"/>
      <c r="D34" s="2392"/>
      <c r="E34" s="2392"/>
      <c r="F34" s="2392"/>
      <c r="G34" s="2392"/>
      <c r="H34" s="2392"/>
      <c r="I34" s="2392"/>
      <c r="J34" s="2392"/>
      <c r="K34" s="2392"/>
      <c r="L34" s="2392"/>
      <c r="M34" s="2392"/>
      <c r="N34" s="2392"/>
      <c r="O34" s="2392"/>
      <c r="P34" s="2392"/>
      <c r="Q34" s="2392"/>
      <c r="R34" s="2392"/>
    </row>
    <row r="35" spans="1:18">
      <c r="A35" s="2404">
        <v>19</v>
      </c>
      <c r="B35" s="2392"/>
      <c r="C35" s="2395" t="s">
        <v>452</v>
      </c>
      <c r="D35" s="2392"/>
      <c r="E35" s="2410">
        <f ca="1">SCH_B1!I40</f>
        <v>700204561</v>
      </c>
      <c r="F35" s="2411"/>
      <c r="G35" s="2411"/>
      <c r="H35" s="2411"/>
      <c r="I35" s="2410">
        <f ca="1">SCH_B1!I40</f>
        <v>700204561</v>
      </c>
      <c r="J35" s="2392"/>
      <c r="K35" s="2392"/>
      <c r="L35" s="2392"/>
      <c r="M35" s="2392"/>
      <c r="N35" s="2392"/>
      <c r="O35" s="2392"/>
      <c r="P35" s="2392"/>
      <c r="Q35" s="2392"/>
      <c r="R35" s="2392"/>
    </row>
    <row r="36" spans="1:18">
      <c r="A36" s="2399">
        <v>20</v>
      </c>
      <c r="B36" s="2392"/>
      <c r="C36" s="2395" t="s">
        <v>1808</v>
      </c>
      <c r="D36" s="2392"/>
      <c r="E36" s="2671">
        <f ca="1">ROUND(E30/E35,4)</f>
        <v>2.87E-2</v>
      </c>
      <c r="F36" s="2411"/>
      <c r="G36" s="2411"/>
      <c r="H36" s="2411"/>
      <c r="I36" s="2671">
        <f ca="1">ROUND(I30/I35,4)</f>
        <v>7.1300000000000002E-2</v>
      </c>
      <c r="J36" s="2392"/>
      <c r="K36" s="2392"/>
      <c r="L36" s="2392"/>
      <c r="M36" s="2392"/>
      <c r="N36" s="2392"/>
      <c r="O36" s="2392"/>
      <c r="P36" s="2392"/>
      <c r="Q36" s="2392"/>
      <c r="R36" s="2392"/>
    </row>
    <row r="37" spans="1:18">
      <c r="A37" s="2404"/>
      <c r="B37" s="2392"/>
      <c r="C37" s="2392"/>
      <c r="D37" s="2392"/>
      <c r="E37" s="2406"/>
      <c r="F37" s="2392"/>
      <c r="G37" s="2392"/>
      <c r="H37" s="2392"/>
      <c r="I37" s="2406"/>
      <c r="J37" s="2392"/>
      <c r="K37" s="2392"/>
      <c r="L37" s="2392"/>
      <c r="M37" s="2392"/>
      <c r="N37" s="2392"/>
      <c r="O37" s="2392"/>
      <c r="P37" s="2392"/>
      <c r="Q37" s="2392"/>
      <c r="R37" s="2392"/>
    </row>
    <row r="38" spans="1:18">
      <c r="A38" s="2412"/>
      <c r="B38" s="2392"/>
      <c r="C38" s="2392"/>
      <c r="D38" s="2392"/>
      <c r="E38" s="2393"/>
      <c r="F38" s="2392"/>
      <c r="G38" s="2392"/>
      <c r="H38" s="2392"/>
      <c r="I38" s="2392"/>
      <c r="J38" s="2392"/>
      <c r="K38" s="2392"/>
      <c r="L38" s="2392"/>
      <c r="M38" s="2392"/>
      <c r="N38" s="2392"/>
      <c r="O38" s="2392"/>
      <c r="P38" s="2392"/>
      <c r="Q38" s="2392"/>
      <c r="R38" s="2392"/>
    </row>
    <row r="39" spans="1:18">
      <c r="A39" s="2395"/>
      <c r="B39" s="2392"/>
      <c r="C39" s="2392"/>
      <c r="D39" s="2392"/>
      <c r="E39" s="2393"/>
      <c r="F39" s="2392"/>
      <c r="G39" s="2392"/>
      <c r="H39" s="2392"/>
      <c r="I39" s="2392"/>
      <c r="J39" s="2392"/>
      <c r="K39" s="2392"/>
      <c r="L39" s="2392"/>
      <c r="M39" s="2392"/>
      <c r="N39" s="2392"/>
      <c r="O39" s="2392"/>
      <c r="P39" s="2392"/>
      <c r="Q39" s="2392"/>
      <c r="R39" s="2392"/>
    </row>
    <row r="40" spans="1:18">
      <c r="A40" s="2392"/>
      <c r="B40" s="2392"/>
      <c r="C40" s="2392"/>
      <c r="D40" s="2392"/>
      <c r="E40" s="2392"/>
      <c r="F40" s="2392"/>
      <c r="G40" s="2392"/>
      <c r="H40" s="2392"/>
      <c r="I40" s="2392"/>
      <c r="J40" s="2392"/>
      <c r="K40" s="2392"/>
      <c r="L40" s="2392"/>
      <c r="M40" s="2392"/>
      <c r="N40" s="2392"/>
      <c r="O40" s="2392"/>
      <c r="P40" s="2392"/>
      <c r="Q40" s="2392"/>
      <c r="R40" s="2392"/>
    </row>
    <row r="41" spans="1:18">
      <c r="A41" s="2392"/>
      <c r="B41" s="2392"/>
      <c r="C41" s="2392"/>
      <c r="D41" s="2392"/>
      <c r="E41" s="2392"/>
      <c r="F41" s="2392"/>
      <c r="G41" s="2392"/>
      <c r="H41" s="2392"/>
      <c r="I41" s="2392"/>
      <c r="J41" s="2394" t="str">
        <f>LOGO!B5</f>
        <v>DUKE ENERGY KENTUCKY, INC.</v>
      </c>
      <c r="K41" s="2392"/>
      <c r="L41" s="2392"/>
      <c r="M41" s="2392"/>
      <c r="N41" s="2395" t="s">
        <v>1809</v>
      </c>
      <c r="O41" s="2392"/>
      <c r="P41" s="2392"/>
      <c r="Q41" s="2392"/>
      <c r="R41" s="2392"/>
    </row>
    <row r="42" spans="1:18">
      <c r="A42" s="2392"/>
      <c r="B42" s="2392"/>
      <c r="C42" s="2392"/>
      <c r="D42" s="2392"/>
      <c r="E42" s="2392"/>
      <c r="F42" s="2392"/>
      <c r="G42" s="2392"/>
      <c r="H42" s="2392"/>
      <c r="I42" s="2392"/>
      <c r="J42" s="2394" t="str">
        <f>LOGO!B9</f>
        <v>ELECTRIC DEPARTMENT</v>
      </c>
      <c r="K42" s="2392"/>
      <c r="L42" s="2392"/>
      <c r="M42" s="2392"/>
      <c r="N42" s="2395" t="s">
        <v>622</v>
      </c>
      <c r="O42" s="2392"/>
      <c r="P42" s="2392"/>
      <c r="Q42" s="2392"/>
      <c r="R42" s="2392"/>
    </row>
    <row r="43" spans="1:18">
      <c r="A43" s="2392"/>
      <c r="B43" s="2392"/>
      <c r="C43" s="2392"/>
      <c r="D43" s="2392"/>
      <c r="E43" s="2392"/>
      <c r="F43" s="2392"/>
      <c r="G43" s="2392"/>
      <c r="H43" s="2392"/>
      <c r="I43" s="2392"/>
      <c r="J43" s="2394" t="str">
        <f>LOGO!B6</f>
        <v>CASE NO. 2017-00321</v>
      </c>
      <c r="K43" s="2392"/>
      <c r="L43" s="2392"/>
      <c r="M43" s="2392"/>
      <c r="N43" s="2392" t="str">
        <f>_WIT1</f>
        <v>S. E. LAWLER</v>
      </c>
      <c r="O43" s="2392"/>
      <c r="P43" s="2392"/>
      <c r="Q43" s="2392"/>
      <c r="R43" s="2392"/>
    </row>
    <row r="44" spans="1:18">
      <c r="A44" s="2392"/>
      <c r="B44" s="2392"/>
      <c r="C44" s="2392"/>
      <c r="D44" s="2392"/>
      <c r="E44" s="2392"/>
      <c r="F44" s="2392"/>
      <c r="G44" s="2392"/>
      <c r="H44" s="2392"/>
      <c r="I44" s="2392"/>
      <c r="J44" s="2395" t="s">
        <v>1810</v>
      </c>
      <c r="K44" s="2392"/>
      <c r="L44" s="2392"/>
      <c r="M44" s="2392"/>
      <c r="N44" s="2392"/>
      <c r="O44" s="2392"/>
      <c r="P44" s="2392"/>
      <c r="Q44" s="2392"/>
      <c r="R44" s="2392"/>
    </row>
    <row r="45" spans="1:18">
      <c r="A45" s="2392"/>
      <c r="B45" s="2392"/>
      <c r="C45" s="2392"/>
      <c r="D45" s="2392"/>
      <c r="E45" s="2392"/>
      <c r="F45" s="2392"/>
      <c r="G45" s="2392"/>
      <c r="H45" s="2392"/>
      <c r="I45" s="2392"/>
      <c r="J45" s="2392"/>
      <c r="K45" s="2392"/>
      <c r="L45" s="2392"/>
      <c r="M45" s="2392"/>
      <c r="N45" s="2413"/>
      <c r="O45" s="2392"/>
      <c r="P45" s="2392"/>
      <c r="Q45" s="2392"/>
      <c r="R45" s="2392"/>
    </row>
    <row r="46" spans="1:18">
      <c r="A46" s="2392"/>
      <c r="B46" s="2392"/>
      <c r="C46" s="2392"/>
      <c r="D46" s="2392"/>
      <c r="E46" s="2392"/>
      <c r="F46" s="2392"/>
      <c r="G46" s="2392"/>
      <c r="H46" s="2392"/>
      <c r="I46" s="2392"/>
      <c r="J46" s="2392"/>
      <c r="K46" s="2392"/>
      <c r="L46" s="2392"/>
      <c r="M46" s="2392"/>
      <c r="N46" s="2392"/>
      <c r="O46" s="2392"/>
      <c r="P46" s="2392"/>
      <c r="Q46" s="2392"/>
      <c r="R46" s="2392"/>
    </row>
    <row r="47" spans="1:18">
      <c r="A47" s="2392"/>
      <c r="B47" s="2392"/>
      <c r="C47" s="2392"/>
      <c r="D47" s="2392"/>
      <c r="E47" s="2392"/>
      <c r="F47" s="2392"/>
      <c r="G47" s="2392"/>
      <c r="H47" s="2392"/>
      <c r="I47" s="2392"/>
      <c r="J47" s="2392"/>
      <c r="K47" s="2392"/>
      <c r="L47" s="2392"/>
      <c r="M47" s="2392"/>
      <c r="N47" s="2392"/>
      <c r="O47" s="2392"/>
      <c r="P47" s="2392"/>
      <c r="Q47" s="2392"/>
      <c r="R47" s="2392"/>
    </row>
    <row r="48" spans="1:18">
      <c r="A48" s="2392"/>
      <c r="B48" s="2392"/>
      <c r="C48" s="2392"/>
      <c r="D48" s="2392"/>
      <c r="E48" s="2392"/>
      <c r="F48" s="2392"/>
      <c r="G48" s="2392"/>
      <c r="H48" s="2392"/>
      <c r="I48" s="2392"/>
      <c r="J48" s="2392"/>
      <c r="K48" s="2392"/>
      <c r="L48" s="2392"/>
      <c r="M48" s="2392"/>
      <c r="N48" s="2399" t="s">
        <v>1811</v>
      </c>
      <c r="O48" s="2392"/>
      <c r="P48" s="2392"/>
      <c r="Q48" s="2392"/>
      <c r="R48" s="2392"/>
    </row>
    <row r="49" spans="1:18">
      <c r="A49" s="2392"/>
      <c r="B49" s="2392"/>
      <c r="C49" s="2392"/>
      <c r="D49" s="2392"/>
      <c r="E49" s="2392"/>
      <c r="F49" s="2392"/>
      <c r="G49" s="2392"/>
      <c r="H49" s="2392"/>
      <c r="I49" s="2392"/>
      <c r="J49" s="2399" t="s">
        <v>1961</v>
      </c>
      <c r="K49" s="2392"/>
      <c r="L49" s="2392"/>
      <c r="M49" s="2392"/>
      <c r="N49" s="2399" t="s">
        <v>1034</v>
      </c>
      <c r="O49" s="2392"/>
      <c r="P49" s="2399" t="s">
        <v>1146</v>
      </c>
      <c r="Q49" s="2392"/>
      <c r="R49" s="2392"/>
    </row>
    <row r="50" spans="1:18">
      <c r="A50" s="2392"/>
      <c r="B50" s="2392"/>
      <c r="C50" s="2392"/>
      <c r="D50" s="2392"/>
      <c r="E50" s="2392"/>
      <c r="F50" s="2392"/>
      <c r="G50" s="2392"/>
      <c r="H50" s="2392"/>
      <c r="I50" s="2392"/>
      <c r="J50" s="2414" t="s">
        <v>1854</v>
      </c>
      <c r="K50" s="2392"/>
      <c r="L50" s="2414" t="s">
        <v>1812</v>
      </c>
      <c r="M50" s="2392"/>
      <c r="N50" s="2414" t="s">
        <v>567</v>
      </c>
      <c r="O50" s="2392"/>
      <c r="P50" s="2414" t="s">
        <v>1149</v>
      </c>
      <c r="Q50" s="2392"/>
      <c r="R50" s="2392"/>
    </row>
    <row r="51" spans="1:18">
      <c r="A51" s="2392"/>
      <c r="B51" s="2392"/>
      <c r="C51" s="2392"/>
      <c r="D51" s="2392"/>
      <c r="E51" s="2392"/>
      <c r="F51" s="2392"/>
      <c r="G51" s="2392"/>
      <c r="H51" s="2392"/>
      <c r="I51" s="2392"/>
      <c r="J51" s="2395"/>
      <c r="K51" s="2415"/>
      <c r="L51" s="2415"/>
      <c r="M51" s="2415"/>
      <c r="N51" s="2395"/>
      <c r="O51" s="2392"/>
      <c r="P51" s="2400" t="s">
        <v>1150</v>
      </c>
      <c r="Q51" s="2392"/>
      <c r="R51" s="2392"/>
    </row>
    <row r="52" spans="1:18">
      <c r="A52" s="2392"/>
      <c r="B52" s="2392"/>
      <c r="C52" s="2392"/>
      <c r="D52" s="2392"/>
      <c r="E52" s="2392"/>
      <c r="F52" s="2392"/>
      <c r="G52" s="2392"/>
      <c r="H52" s="2392"/>
      <c r="I52" s="2392"/>
      <c r="J52" s="2404"/>
      <c r="K52" s="2392"/>
      <c r="L52" s="2392"/>
      <c r="M52" s="2392"/>
      <c r="N52" s="2392"/>
      <c r="O52" s="2392"/>
      <c r="P52" s="2392"/>
      <c r="Q52" s="2392"/>
      <c r="R52" s="2392"/>
    </row>
    <row r="53" spans="1:18">
      <c r="A53" s="2392"/>
      <c r="B53" s="2392"/>
      <c r="C53" s="2392"/>
      <c r="D53" s="2392"/>
      <c r="E53" s="2392"/>
      <c r="F53" s="2392"/>
      <c r="G53" s="2392"/>
      <c r="H53" s="2392"/>
      <c r="I53" s="2392"/>
      <c r="J53" s="2399">
        <v>1</v>
      </c>
      <c r="K53" s="2392"/>
      <c r="L53" s="2251" t="s">
        <v>1151</v>
      </c>
      <c r="M53" s="2392"/>
      <c r="N53" s="2416" t="s">
        <v>1813</v>
      </c>
      <c r="O53" s="2392"/>
      <c r="P53" s="2409">
        <f>MINCR</f>
        <v>48646213</v>
      </c>
      <c r="Q53" s="2393"/>
      <c r="R53" s="2392"/>
    </row>
    <row r="54" spans="1:18">
      <c r="A54" s="2392"/>
      <c r="B54" s="2392"/>
      <c r="C54" s="2392"/>
      <c r="D54" s="2392"/>
      <c r="E54" s="2392"/>
      <c r="F54" s="2392"/>
      <c r="G54" s="2392"/>
      <c r="H54" s="2392"/>
      <c r="I54" s="2392"/>
      <c r="J54" s="2399">
        <v>2</v>
      </c>
      <c r="K54" s="2392"/>
      <c r="L54" s="2417"/>
      <c r="M54" s="2392"/>
      <c r="N54" s="2393"/>
      <c r="O54" s="2392"/>
      <c r="P54" s="2406"/>
      <c r="Q54" s="2393"/>
      <c r="R54" s="2392"/>
    </row>
    <row r="55" spans="1:18">
      <c r="A55" s="2392"/>
      <c r="B55" s="2392"/>
      <c r="C55" s="2392"/>
      <c r="D55" s="2392"/>
      <c r="E55" s="2392"/>
      <c r="F55" s="2392"/>
      <c r="G55" s="2392"/>
      <c r="H55" s="2392"/>
      <c r="I55" s="2392"/>
      <c r="J55" s="2399">
        <v>3</v>
      </c>
      <c r="K55" s="2392"/>
      <c r="L55" s="2251" t="s">
        <v>1681</v>
      </c>
      <c r="M55" s="2392"/>
      <c r="N55" s="2405"/>
      <c r="O55" s="2392"/>
      <c r="P55" s="2392"/>
      <c r="Q55" s="2392"/>
      <c r="R55" s="2392"/>
    </row>
    <row r="56" spans="1:18">
      <c r="A56" s="2392"/>
      <c r="B56" s="2392"/>
      <c r="C56" s="2392"/>
      <c r="D56" s="2392"/>
      <c r="E56" s="2392"/>
      <c r="F56" s="2392"/>
      <c r="G56" s="2392"/>
      <c r="H56" s="2392"/>
      <c r="I56" s="2392"/>
      <c r="J56" s="2399">
        <v>4</v>
      </c>
      <c r="K56" s="2392"/>
      <c r="L56" s="2417"/>
      <c r="M56" s="2392"/>
      <c r="N56" s="2392"/>
      <c r="O56" s="2392"/>
      <c r="P56" s="2392"/>
      <c r="Q56" s="2392"/>
      <c r="R56" s="2392"/>
    </row>
    <row r="57" spans="1:18">
      <c r="A57" s="2392"/>
      <c r="B57" s="2392"/>
      <c r="C57" s="2392"/>
      <c r="D57" s="2392"/>
      <c r="E57" s="2392"/>
      <c r="F57" s="2392"/>
      <c r="G57" s="2392"/>
      <c r="H57" s="2392"/>
      <c r="I57" s="2392"/>
      <c r="J57" s="2399">
        <v>5</v>
      </c>
      <c r="K57" s="2392"/>
      <c r="L57" s="2251" t="str">
        <f>"Uncollectible Accounts  @ "&amp;TEXT(UncollExp,"#0.0000%")</f>
        <v>Uncollectible Accounts  @ 0.0750%</v>
      </c>
      <c r="M57" s="2392"/>
      <c r="N57" s="2416" t="s">
        <v>1682</v>
      </c>
      <c r="O57" s="2392"/>
      <c r="P57" s="2401">
        <f>ROUND(P53*UncollExp,0)</f>
        <v>36485</v>
      </c>
      <c r="Q57" s="2393"/>
      <c r="R57" s="2392"/>
    </row>
    <row r="58" spans="1:18">
      <c r="A58" s="2392"/>
      <c r="B58" s="2392"/>
      <c r="C58" s="2392"/>
      <c r="D58" s="2392"/>
      <c r="E58" s="2392"/>
      <c r="F58" s="2392"/>
      <c r="G58" s="2392"/>
      <c r="H58" s="2392"/>
      <c r="I58" s="2392"/>
      <c r="J58" s="2399">
        <v>6</v>
      </c>
      <c r="K58" s="2392"/>
      <c r="L58" s="2417"/>
      <c r="M58" s="2392"/>
      <c r="N58" s="2392"/>
      <c r="O58" s="2392"/>
      <c r="P58" s="2406"/>
      <c r="Q58" s="2392"/>
      <c r="R58" s="2392"/>
    </row>
    <row r="59" spans="1:18">
      <c r="A59" s="2392"/>
      <c r="B59" s="2392"/>
      <c r="C59" s="2392"/>
      <c r="D59" s="2392"/>
      <c r="E59" s="2392"/>
      <c r="F59" s="2392"/>
      <c r="G59" s="2392"/>
      <c r="H59" s="2392"/>
      <c r="I59" s="2392"/>
      <c r="J59" s="2399">
        <v>7</v>
      </c>
      <c r="K59" s="2392"/>
      <c r="L59" s="2251" t="s">
        <v>951</v>
      </c>
      <c r="M59" s="2392"/>
      <c r="N59" s="2392"/>
      <c r="O59" s="2392"/>
      <c r="P59" s="2392"/>
      <c r="Q59" s="2392"/>
      <c r="R59" s="2392"/>
    </row>
    <row r="60" spans="1:18">
      <c r="A60" s="2392"/>
      <c r="B60" s="2392"/>
      <c r="C60" s="2392"/>
      <c r="D60" s="2392"/>
      <c r="E60" s="2392"/>
      <c r="F60" s="2392"/>
      <c r="G60" s="2392"/>
      <c r="H60" s="2392"/>
      <c r="I60" s="2392"/>
      <c r="J60" s="2399">
        <v>8</v>
      </c>
      <c r="K60" s="2392"/>
      <c r="L60" s="2251" t="str">
        <f>"  KPSC Maintenance Tax    @ "&amp;TEXT(KPSCMaint,"0.####%")</f>
        <v xml:space="preserve">  KPSC Maintenance Tax    @ 0.1996%</v>
      </c>
      <c r="M60" s="2392"/>
      <c r="N60" s="2416" t="s">
        <v>952</v>
      </c>
      <c r="O60" s="2392"/>
      <c r="P60" s="2401">
        <f>ROUND(($P$53*KPSCMaint),0)</f>
        <v>97098</v>
      </c>
      <c r="Q60" s="2393"/>
      <c r="R60" s="2392"/>
    </row>
    <row r="61" spans="1:18">
      <c r="A61" s="2392"/>
      <c r="B61" s="2392"/>
      <c r="C61" s="2392"/>
      <c r="D61" s="2392"/>
      <c r="E61" s="2392"/>
      <c r="F61" s="2392"/>
      <c r="G61" s="2392"/>
      <c r="H61" s="2392"/>
      <c r="I61" s="2392"/>
      <c r="J61" s="2399">
        <v>9</v>
      </c>
      <c r="K61" s="2392"/>
      <c r="L61" s="2417"/>
      <c r="M61" s="2392"/>
      <c r="N61" s="2393"/>
      <c r="O61" s="2392"/>
      <c r="P61" s="2406"/>
      <c r="Q61" s="2392"/>
      <c r="R61" s="2392"/>
    </row>
    <row r="62" spans="1:18">
      <c r="A62" s="2392"/>
      <c r="B62" s="2392"/>
      <c r="C62" s="2392"/>
      <c r="D62" s="2392"/>
      <c r="E62" s="2392"/>
      <c r="F62" s="2392"/>
      <c r="G62" s="2392"/>
      <c r="H62" s="2392"/>
      <c r="I62" s="2392"/>
      <c r="J62" s="2399">
        <v>10</v>
      </c>
      <c r="K62" s="2392"/>
      <c r="L62" s="2251" t="s">
        <v>953</v>
      </c>
      <c r="M62" s="2392"/>
      <c r="N62" s="2393"/>
      <c r="O62" s="2392"/>
      <c r="P62" s="2409">
        <f>P57+P60</f>
        <v>133583</v>
      </c>
      <c r="Q62" s="2393"/>
      <c r="R62" s="2392"/>
    </row>
    <row r="63" spans="1:18">
      <c r="A63" s="2392"/>
      <c r="B63" s="2392"/>
      <c r="C63" s="2392"/>
      <c r="D63" s="2392"/>
      <c r="E63" s="2392"/>
      <c r="F63" s="2392"/>
      <c r="G63" s="2392"/>
      <c r="H63" s="2392"/>
      <c r="I63" s="2392"/>
      <c r="J63" s="2399">
        <v>11</v>
      </c>
      <c r="K63" s="2392"/>
      <c r="L63" s="2417"/>
      <c r="M63" s="2392"/>
      <c r="N63" s="2393"/>
      <c r="O63" s="2392"/>
      <c r="P63" s="2406"/>
      <c r="Q63" s="2393"/>
      <c r="R63" s="2392"/>
    </row>
    <row r="64" spans="1:18">
      <c r="A64" s="2392"/>
      <c r="B64" s="2392"/>
      <c r="C64" s="2392"/>
      <c r="D64" s="2392"/>
      <c r="E64" s="2392"/>
      <c r="F64" s="2392"/>
      <c r="G64" s="2392"/>
      <c r="H64" s="2392"/>
      <c r="I64" s="2392"/>
      <c r="J64" s="2399">
        <v>12</v>
      </c>
      <c r="K64" s="2392"/>
      <c r="L64" s="2417" t="s">
        <v>954</v>
      </c>
      <c r="M64" s="2392"/>
      <c r="N64" s="2393"/>
      <c r="O64" s="2392"/>
      <c r="P64" s="2418">
        <f>P53-P62</f>
        <v>48512630</v>
      </c>
      <c r="Q64" s="2393"/>
      <c r="R64" s="2392"/>
    </row>
    <row r="65" spans="1:18">
      <c r="A65" s="2392"/>
      <c r="B65" s="2392"/>
      <c r="C65" s="2392"/>
      <c r="D65" s="2392"/>
      <c r="E65" s="2392"/>
      <c r="F65" s="2392"/>
      <c r="G65" s="2392"/>
      <c r="H65" s="2392"/>
      <c r="I65" s="2392"/>
      <c r="J65" s="2399">
        <v>13</v>
      </c>
      <c r="K65" s="2392"/>
      <c r="L65" s="2393"/>
      <c r="M65" s="2392"/>
      <c r="N65" s="2393"/>
      <c r="O65" s="2392"/>
      <c r="P65" s="2406"/>
      <c r="Q65" s="2393"/>
      <c r="R65" s="2392"/>
    </row>
    <row r="66" spans="1:18">
      <c r="A66" s="2392"/>
      <c r="B66" s="2392"/>
      <c r="C66" s="2392"/>
      <c r="D66" s="2392"/>
      <c r="E66" s="2392"/>
      <c r="F66" s="2392"/>
      <c r="G66" s="2392"/>
      <c r="H66" s="2392"/>
      <c r="I66" s="2392"/>
      <c r="J66" s="2399">
        <v>14</v>
      </c>
      <c r="K66" s="2392"/>
      <c r="L66" s="2251" t="str">
        <f>"State Income Taxes (Line 12 * "&amp;TEXT(APPORT,"0.000%")&amp;" * "&amp;TEXT(SIT,"0.000%")&amp;")"</f>
        <v>State Income Taxes (Line 12 * 89.087% * 6.000%)</v>
      </c>
      <c r="M66" s="2392"/>
      <c r="N66" s="2416" t="s">
        <v>1682</v>
      </c>
      <c r="O66" s="2392"/>
      <c r="P66" s="2418">
        <f>ROUND(P64*APPORT*SIT,0)</f>
        <v>2593098</v>
      </c>
      <c r="Q66" s="2419"/>
      <c r="R66" s="2392"/>
    </row>
    <row r="67" spans="1:18">
      <c r="A67" s="2392"/>
      <c r="B67" s="2392"/>
      <c r="C67" s="2392"/>
      <c r="D67" s="2392"/>
      <c r="E67" s="2392"/>
      <c r="F67" s="2392"/>
      <c r="G67" s="2392"/>
      <c r="H67" s="2392"/>
      <c r="I67" s="2392"/>
      <c r="J67" s="2399">
        <v>15</v>
      </c>
      <c r="K67" s="2392"/>
      <c r="L67" s="2420"/>
      <c r="M67" s="2392"/>
      <c r="N67" s="2393"/>
      <c r="O67" s="2392"/>
      <c r="P67" s="2406"/>
      <c r="Q67" s="2393"/>
      <c r="R67" s="2392"/>
    </row>
    <row r="68" spans="1:18">
      <c r="A68" s="2392"/>
      <c r="B68" s="2392"/>
      <c r="C68" s="2392"/>
      <c r="D68" s="2392"/>
      <c r="E68" s="2392"/>
      <c r="F68" s="2392"/>
      <c r="G68" s="2392"/>
      <c r="H68" s="2392"/>
      <c r="I68" s="2392"/>
      <c r="J68" s="2399">
        <v>16</v>
      </c>
      <c r="K68" s="2392"/>
      <c r="L68" s="2251" t="str">
        <f>"Federal Income Taxes  (Line 12 - Line 14) * "&amp;TEXT(FIT,"##%")&amp;")"</f>
        <v>Federal Income Taxes  (Line 12 - Line 14) * 35%)</v>
      </c>
      <c r="M68" s="2392"/>
      <c r="N68" s="2416" t="s">
        <v>1682</v>
      </c>
      <c r="O68" s="2392"/>
      <c r="P68" s="2409">
        <f>ROUND((P64-P66)*FIT,0)</f>
        <v>16071836</v>
      </c>
      <c r="Q68" s="2393"/>
      <c r="R68" s="2392"/>
    </row>
    <row r="69" spans="1:18">
      <c r="A69" s="2392"/>
      <c r="B69" s="2392"/>
      <c r="C69" s="2392"/>
      <c r="D69" s="2392"/>
      <c r="E69" s="2392"/>
      <c r="F69" s="2392"/>
      <c r="G69" s="2392"/>
      <c r="H69" s="2392"/>
      <c r="I69" s="2392"/>
      <c r="J69" s="2399">
        <v>17</v>
      </c>
      <c r="K69" s="2392"/>
      <c r="L69" s="2420"/>
      <c r="M69" s="2392"/>
      <c r="N69" s="2393"/>
      <c r="O69" s="2392"/>
      <c r="P69" s="2406"/>
      <c r="Q69" s="2393"/>
      <c r="R69" s="2392"/>
    </row>
    <row r="70" spans="1:18">
      <c r="A70" s="2392"/>
      <c r="B70" s="2392"/>
      <c r="C70" s="2392"/>
      <c r="D70" s="2392"/>
      <c r="E70" s="2392"/>
      <c r="F70" s="2392"/>
      <c r="G70" s="2392"/>
      <c r="H70" s="2392"/>
      <c r="I70" s="2392"/>
      <c r="J70" s="2399">
        <v>18</v>
      </c>
      <c r="K70" s="2392"/>
      <c r="L70" s="2251" t="s">
        <v>878</v>
      </c>
      <c r="M70" s="2393"/>
      <c r="N70" s="2393"/>
      <c r="O70" s="2392"/>
      <c r="P70" s="2409">
        <f>P62+P66+P68</f>
        <v>18798517</v>
      </c>
      <c r="Q70" s="2393"/>
      <c r="R70" s="2392"/>
    </row>
    <row r="71" spans="1:18">
      <c r="A71" s="2392"/>
      <c r="B71" s="2392"/>
      <c r="C71" s="2392"/>
      <c r="D71" s="2392"/>
      <c r="E71" s="2392"/>
      <c r="F71" s="2392"/>
      <c r="G71" s="2392"/>
      <c r="H71" s="2392"/>
      <c r="I71" s="2392"/>
      <c r="J71" s="2399">
        <v>19</v>
      </c>
      <c r="K71" s="2392"/>
      <c r="L71" s="2417"/>
      <c r="M71" s="2392"/>
      <c r="N71" s="2392"/>
      <c r="O71" s="2392"/>
      <c r="P71" s="2406"/>
      <c r="Q71" s="2393"/>
      <c r="R71" s="2392"/>
    </row>
    <row r="72" spans="1:18">
      <c r="A72" s="2392"/>
      <c r="B72" s="2392"/>
      <c r="C72" s="2392"/>
      <c r="D72" s="2392"/>
      <c r="E72" s="2392"/>
      <c r="F72" s="2392"/>
      <c r="G72" s="2392"/>
      <c r="H72" s="2392"/>
      <c r="I72" s="2392"/>
      <c r="J72" s="2399">
        <v>20</v>
      </c>
      <c r="K72" s="2392"/>
      <c r="L72" s="2251" t="s">
        <v>1684</v>
      </c>
      <c r="M72" s="2392"/>
      <c r="N72" s="2421"/>
      <c r="O72" s="2392"/>
      <c r="P72" s="2409">
        <f>P53-P70</f>
        <v>29847696</v>
      </c>
      <c r="Q72" s="2393"/>
      <c r="R72" s="2392"/>
    </row>
    <row r="73" spans="1:18">
      <c r="A73" s="2392"/>
      <c r="B73" s="2392"/>
      <c r="C73" s="2392"/>
      <c r="D73" s="2392"/>
      <c r="E73" s="2392"/>
      <c r="F73" s="2392"/>
      <c r="G73" s="2392"/>
      <c r="H73" s="2392"/>
      <c r="I73" s="2392"/>
      <c r="J73" s="2399"/>
      <c r="K73" s="2392"/>
      <c r="L73" s="2417"/>
      <c r="M73" s="2392"/>
      <c r="N73" s="2392"/>
      <c r="O73" s="2392"/>
      <c r="P73" s="2406"/>
      <c r="Q73" s="2392"/>
      <c r="R73" s="2392"/>
    </row>
    <row r="74" spans="1:18">
      <c r="A74" s="2392"/>
      <c r="B74" s="2392"/>
      <c r="C74" s="2392"/>
      <c r="D74" s="2392"/>
      <c r="E74" s="2392"/>
      <c r="F74" s="2392"/>
      <c r="G74" s="2392"/>
      <c r="H74" s="2392"/>
      <c r="I74" s="2392"/>
      <c r="J74" s="2399"/>
      <c r="K74" s="2392"/>
      <c r="L74" s="2417"/>
      <c r="M74" s="2392"/>
      <c r="N74" s="2392"/>
      <c r="O74" s="2392"/>
      <c r="P74" s="2392"/>
      <c r="Q74" s="2392"/>
      <c r="R74" s="2392"/>
    </row>
    <row r="75" spans="1:18">
      <c r="A75" s="2392"/>
      <c r="B75" s="2392"/>
      <c r="C75" s="2392"/>
      <c r="D75" s="2392"/>
      <c r="E75" s="2392"/>
      <c r="F75" s="2392"/>
      <c r="G75" s="2392"/>
      <c r="H75" s="2392"/>
      <c r="I75" s="2392"/>
      <c r="J75" s="2399"/>
      <c r="K75" s="2392"/>
      <c r="L75" s="2392"/>
      <c r="M75" s="2392"/>
      <c r="N75" s="2392"/>
      <c r="O75" s="2392"/>
      <c r="P75" s="2392"/>
      <c r="Q75" s="2392"/>
      <c r="R75" s="2392"/>
    </row>
    <row r="76" spans="1:18">
      <c r="A76" s="2392"/>
      <c r="B76" s="2392"/>
      <c r="C76" s="2392"/>
      <c r="D76" s="2392"/>
      <c r="E76" s="2392"/>
      <c r="F76" s="2392"/>
      <c r="G76" s="2392"/>
      <c r="H76" s="2392"/>
      <c r="I76" s="2392"/>
      <c r="J76" s="2399"/>
      <c r="K76" s="2392"/>
      <c r="L76" s="2392"/>
      <c r="M76" s="2392"/>
      <c r="N76" s="2392"/>
      <c r="O76" s="2392"/>
      <c r="P76" s="2392"/>
      <c r="Q76" s="2392"/>
      <c r="R76" s="2392"/>
    </row>
    <row r="77" spans="1:18">
      <c r="A77" s="2392"/>
      <c r="B77" s="2392"/>
      <c r="C77" s="2392"/>
      <c r="D77" s="2392"/>
      <c r="E77" s="2392"/>
      <c r="F77" s="2392"/>
      <c r="G77" s="2392"/>
      <c r="H77" s="2392"/>
      <c r="I77" s="2392"/>
      <c r="J77" s="2399"/>
      <c r="K77" s="2392"/>
      <c r="L77" s="2392"/>
      <c r="M77" s="2392"/>
      <c r="N77" s="2392"/>
      <c r="O77" s="2392"/>
      <c r="P77" s="2392"/>
      <c r="Q77" s="2392"/>
      <c r="R77" s="2392"/>
    </row>
    <row r="78" spans="1:18">
      <c r="A78" s="2392"/>
      <c r="B78" s="2392"/>
      <c r="C78" s="2392"/>
      <c r="D78" s="2392"/>
      <c r="E78" s="2392"/>
      <c r="F78" s="2392"/>
      <c r="G78" s="2392"/>
      <c r="H78" s="2392"/>
      <c r="I78" s="2392"/>
      <c r="J78" s="2399"/>
      <c r="K78" s="2392"/>
      <c r="L78" s="2417"/>
      <c r="M78" s="2392"/>
      <c r="N78" s="2392"/>
      <c r="O78" s="2392"/>
      <c r="P78" s="2392"/>
      <c r="Q78" s="2392"/>
      <c r="R78" s="2392"/>
    </row>
    <row r="79" spans="1:18">
      <c r="A79" s="2392"/>
      <c r="B79" s="2392"/>
      <c r="C79" s="2392"/>
      <c r="D79" s="2392"/>
      <c r="E79" s="2392"/>
      <c r="F79" s="2392"/>
      <c r="G79" s="2392"/>
      <c r="H79" s="2392"/>
      <c r="I79" s="2392"/>
      <c r="J79" s="2399"/>
      <c r="K79" s="2392"/>
      <c r="L79" s="2392"/>
      <c r="M79" s="2392"/>
      <c r="N79" s="2392"/>
      <c r="O79" s="2392"/>
      <c r="P79" s="2392"/>
      <c r="Q79" s="2392"/>
      <c r="R79" s="2392"/>
    </row>
    <row r="80" spans="1:18">
      <c r="A80" s="2392"/>
      <c r="B80" s="2392"/>
      <c r="C80" s="2392"/>
      <c r="D80" s="2392"/>
      <c r="E80" s="2392"/>
      <c r="F80" s="2392"/>
      <c r="G80" s="2392"/>
      <c r="H80" s="2392"/>
      <c r="I80" s="2392"/>
      <c r="J80" s="2399"/>
      <c r="K80" s="2392"/>
      <c r="L80" s="2417"/>
      <c r="M80" s="2392"/>
      <c r="N80" s="2392"/>
      <c r="O80" s="2392"/>
      <c r="P80" s="2392"/>
      <c r="Q80" s="2392"/>
      <c r="R80" s="2392"/>
    </row>
    <row r="81" spans="1:18">
      <c r="A81" s="2392"/>
      <c r="B81" s="2392"/>
      <c r="C81" s="2392"/>
      <c r="D81" s="2392"/>
      <c r="E81" s="2392"/>
      <c r="F81" s="2392"/>
      <c r="G81" s="2392"/>
      <c r="H81" s="2392"/>
      <c r="I81" s="2392"/>
      <c r="J81" s="2399"/>
      <c r="K81" s="2392"/>
      <c r="L81" s="2417"/>
      <c r="M81" s="2392"/>
      <c r="N81" s="2392"/>
      <c r="O81" s="2392"/>
      <c r="P81" s="2392"/>
      <c r="Q81" s="2392"/>
      <c r="R81" s="2392"/>
    </row>
    <row r="82" spans="1:18">
      <c r="A82" s="2392"/>
      <c r="B82" s="2392"/>
      <c r="C82" s="2392"/>
      <c r="D82" s="2392"/>
      <c r="E82" s="2392"/>
      <c r="F82" s="2392"/>
      <c r="G82" s="2392"/>
      <c r="H82" s="2392"/>
      <c r="I82" s="2392"/>
      <c r="J82" s="2395"/>
      <c r="K82" s="2392"/>
      <c r="L82" s="2417"/>
      <c r="M82" s="2392"/>
      <c r="N82" s="2392"/>
      <c r="O82" s="2392"/>
      <c r="P82" s="2392"/>
      <c r="Q82" s="2392"/>
      <c r="R82" s="2392"/>
    </row>
    <row r="83" spans="1:18">
      <c r="A83" s="2392"/>
      <c r="B83" s="2392"/>
      <c r="C83" s="2392"/>
      <c r="D83" s="2392"/>
      <c r="E83" s="2392"/>
      <c r="F83" s="2392"/>
      <c r="G83" s="2392"/>
      <c r="H83" s="2392"/>
      <c r="I83" s="2392"/>
      <c r="J83" s="2392"/>
      <c r="K83" s="2392"/>
      <c r="L83" s="2392"/>
      <c r="M83" s="2392"/>
      <c r="N83" s="2392"/>
      <c r="O83" s="2392"/>
      <c r="P83" s="2392"/>
      <c r="Q83" s="2392"/>
      <c r="R83" s="2392"/>
    </row>
    <row r="84" spans="1:18">
      <c r="A84" s="2392"/>
      <c r="B84" s="2392"/>
      <c r="C84" s="2392"/>
      <c r="D84" s="2392"/>
      <c r="E84" s="2392"/>
      <c r="F84" s="2392"/>
      <c r="G84" s="2392"/>
      <c r="H84" s="2392"/>
      <c r="I84" s="2392"/>
      <c r="J84" s="2392"/>
      <c r="K84" s="2392"/>
      <c r="L84" s="2417"/>
      <c r="M84" s="2392"/>
      <c r="N84" s="2392"/>
      <c r="O84" s="2392"/>
      <c r="P84" s="2392"/>
      <c r="Q84" s="2392"/>
      <c r="R84" s="2392"/>
    </row>
    <row r="85" spans="1:18">
      <c r="A85" s="2392"/>
      <c r="B85" s="2392"/>
      <c r="C85" s="2392"/>
      <c r="D85" s="2392"/>
      <c r="E85" s="2392"/>
      <c r="F85" s="2392"/>
      <c r="G85" s="2392"/>
      <c r="H85" s="2392"/>
      <c r="I85" s="2392"/>
      <c r="J85" s="2392"/>
      <c r="K85" s="2392"/>
      <c r="L85" s="2417"/>
      <c r="M85" s="2392"/>
      <c r="N85" s="2392"/>
      <c r="O85" s="2392"/>
      <c r="P85" s="2392"/>
      <c r="Q85" s="2392"/>
      <c r="R85" s="2392"/>
    </row>
    <row r="86" spans="1:18">
      <c r="A86" s="2392"/>
      <c r="B86" s="2392"/>
      <c r="C86" s="2392"/>
      <c r="D86" s="2392"/>
      <c r="E86" s="2392"/>
      <c r="F86" s="2392"/>
      <c r="G86" s="2392"/>
      <c r="H86" s="2392"/>
      <c r="I86" s="2392"/>
      <c r="J86" s="2392"/>
      <c r="K86" s="2392"/>
      <c r="L86" s="2392"/>
      <c r="M86" s="2392"/>
      <c r="N86" s="2392"/>
      <c r="O86" s="2392"/>
      <c r="P86" s="2392"/>
      <c r="Q86" s="2392"/>
      <c r="R86" s="2392"/>
    </row>
    <row r="87" spans="1:18">
      <c r="A87" s="2392"/>
      <c r="B87" s="2392"/>
      <c r="C87" s="2392"/>
      <c r="D87" s="2392"/>
      <c r="E87" s="2392"/>
      <c r="F87" s="2392"/>
      <c r="G87" s="2392"/>
      <c r="H87" s="2392"/>
      <c r="I87" s="2392"/>
      <c r="J87" s="2392"/>
      <c r="K87" s="2392"/>
      <c r="L87" s="2392"/>
      <c r="M87" s="2392"/>
      <c r="N87" s="2392"/>
      <c r="O87" s="2392"/>
      <c r="P87" s="2392"/>
      <c r="Q87" s="2392"/>
      <c r="R87" s="2392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theme="2" tint="-0.499984740745262"/>
  </sheetPr>
  <dimension ref="A1:AQ111"/>
  <sheetViews>
    <sheetView tabSelected="1" view="pageLayout" zoomScaleNormal="90" workbookViewId="0">
      <selection activeCell="G1" sqref="G1"/>
    </sheetView>
  </sheetViews>
  <sheetFormatPr defaultColWidth="16.140625" defaultRowHeight="12.75"/>
  <cols>
    <col min="1" max="1" width="5.85546875" style="18" customWidth="1"/>
    <col min="2" max="2" width="4.5703125" style="18" customWidth="1"/>
    <col min="3" max="3" width="39" style="18" customWidth="1"/>
    <col min="4" max="4" width="1.140625" style="18" customWidth="1"/>
    <col min="5" max="5" width="17.140625" style="18" customWidth="1"/>
    <col min="6" max="6" width="18.28515625" style="18" customWidth="1"/>
    <col min="7" max="7" width="15.5703125" style="18" customWidth="1"/>
    <col min="8" max="8" width="18.7109375" style="18" customWidth="1"/>
    <col min="9" max="9" width="1.85546875" style="18" customWidth="1"/>
    <col min="10" max="10" width="17.5703125" style="18" customWidth="1"/>
    <col min="11" max="11" width="1" style="18" customWidth="1"/>
    <col min="12" max="12" width="17.85546875" style="18" customWidth="1"/>
    <col min="13" max="13" width="1" style="18" customWidth="1"/>
    <col min="14" max="14" width="17.42578125" style="18" customWidth="1"/>
    <col min="15" max="15" width="5.85546875" style="18" customWidth="1"/>
    <col min="16" max="16" width="20.85546875" style="18" customWidth="1"/>
    <col min="17" max="20" width="17.42578125" style="18" customWidth="1"/>
    <col min="21" max="21" width="12.5703125" style="18" customWidth="1"/>
    <col min="22" max="22" width="18.42578125" style="18" customWidth="1"/>
    <col min="23" max="23" width="12" style="18" customWidth="1"/>
    <col min="24" max="24" width="9" style="18" customWidth="1"/>
    <col min="25" max="25" width="2" style="18" customWidth="1"/>
    <col min="26" max="26" width="12.7109375" style="18" customWidth="1"/>
    <col min="27" max="27" width="28.85546875" style="18" customWidth="1"/>
    <col min="28" max="28" width="17.28515625" style="18" customWidth="1"/>
    <col min="29" max="29" width="13" style="18" customWidth="1"/>
    <col min="30" max="30" width="18.7109375" style="18" customWidth="1"/>
    <col min="31" max="31" width="12.140625" style="18" customWidth="1"/>
    <col min="32" max="32" width="20" style="18" customWidth="1"/>
    <col min="33" max="33" width="16.140625" style="18" customWidth="1"/>
    <col min="34" max="34" width="13.5703125" style="18" customWidth="1"/>
    <col min="35" max="35" width="5.85546875" style="18" customWidth="1"/>
    <col min="36" max="36" width="16.140625" style="18" customWidth="1"/>
    <col min="37" max="37" width="27.7109375" style="18" customWidth="1"/>
    <col min="38" max="38" width="9.7109375" style="18" customWidth="1"/>
    <col min="39" max="39" width="20" style="18" customWidth="1"/>
    <col min="40" max="40" width="11" style="18" customWidth="1"/>
    <col min="41" max="41" width="13.5703125" style="18" customWidth="1"/>
    <col min="42" max="42" width="5.85546875" style="18" customWidth="1"/>
    <col min="43" max="45" width="16.140625" style="18" customWidth="1"/>
    <col min="46" max="16384" width="16.140625" style="18"/>
  </cols>
  <sheetData>
    <row r="1" spans="1:17">
      <c r="A1" s="353" t="str">
        <f>COMPANY</f>
        <v>DUKE ENERGY KENTUCKY, INC.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5"/>
      <c r="P1" s="1493"/>
      <c r="Q1" s="355"/>
    </row>
    <row r="2" spans="1:17">
      <c r="A2" s="353" t="str">
        <f>CASE</f>
        <v>CASE NO. 2017-00321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5"/>
      <c r="P2" s="1311"/>
      <c r="Q2" s="1311"/>
    </row>
    <row r="3" spans="1:17">
      <c r="A3" s="353" t="s">
        <v>879</v>
      </c>
      <c r="B3" s="354"/>
      <c r="C3" s="354"/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5"/>
      <c r="P3" s="2385"/>
      <c r="Q3" s="355"/>
    </row>
    <row r="4" spans="1:17">
      <c r="A4" s="353" t="str">
        <f>PERIOD</f>
        <v>FOR THE TWELVE MONTHS ENDED NOVEMBER 30, 2017</v>
      </c>
      <c r="B4" s="354"/>
      <c r="C4" s="354"/>
      <c r="D4" s="354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5"/>
      <c r="P4" s="2385"/>
      <c r="Q4" s="355"/>
    </row>
    <row r="5" spans="1:17">
      <c r="A5" s="353" t="str">
        <f>PeriodF</f>
        <v>FOR THE TWELVE MONTHS ENDED MARCH 31, 2019</v>
      </c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5"/>
      <c r="P5" s="355"/>
      <c r="Q5" s="355"/>
    </row>
    <row r="6" spans="1:17">
      <c r="A6" s="354"/>
      <c r="B6" s="354"/>
      <c r="C6" s="354"/>
      <c r="D6" s="354"/>
      <c r="E6" s="354"/>
      <c r="F6" s="354"/>
      <c r="G6" s="354"/>
      <c r="H6" s="354"/>
      <c r="I6" s="354"/>
      <c r="J6" s="354"/>
      <c r="K6" s="354"/>
      <c r="L6" s="354"/>
      <c r="M6" s="354"/>
      <c r="N6" s="354"/>
      <c r="O6" s="355"/>
      <c r="P6" s="355"/>
      <c r="Q6" s="355"/>
    </row>
    <row r="7" spans="1:17">
      <c r="A7" s="357" t="str">
        <f>DataB</f>
        <v>DATA: "X" BASE PERIOD  "X" FORECASTED PERIOD</v>
      </c>
      <c r="B7" s="355"/>
      <c r="C7" s="355"/>
      <c r="D7" s="355"/>
      <c r="E7" s="355"/>
      <c r="F7" s="355"/>
      <c r="G7" s="355"/>
      <c r="H7" s="355"/>
      <c r="I7" s="355"/>
      <c r="J7" s="355"/>
      <c r="K7" s="358"/>
      <c r="L7" s="358" t="s">
        <v>1941</v>
      </c>
      <c r="M7" s="355"/>
      <c r="N7" s="355"/>
      <c r="O7" s="355"/>
      <c r="P7" s="355"/>
      <c r="Q7" s="355"/>
    </row>
    <row r="8" spans="1:17">
      <c r="A8" s="357" t="str">
        <f>Type</f>
        <v xml:space="preserve">TYPE OF FILING:  "X" ORIGINAL   UPDATED    REVISED  </v>
      </c>
      <c r="B8" s="355"/>
      <c r="C8" s="355"/>
      <c r="D8" s="355"/>
      <c r="E8" s="355"/>
      <c r="F8" s="355"/>
      <c r="G8" s="355"/>
      <c r="H8" s="355"/>
      <c r="I8" s="355"/>
      <c r="J8" s="355"/>
      <c r="K8" s="358"/>
      <c r="L8" s="358" t="s">
        <v>557</v>
      </c>
      <c r="M8" s="355"/>
      <c r="N8" s="355"/>
      <c r="O8" s="355"/>
      <c r="P8" s="355"/>
      <c r="Q8" s="355"/>
    </row>
    <row r="9" spans="1:17">
      <c r="A9" s="358" t="s">
        <v>150</v>
      </c>
      <c r="B9" s="355"/>
      <c r="C9" s="355"/>
      <c r="D9" s="355"/>
      <c r="E9" s="355"/>
      <c r="F9" s="355"/>
      <c r="G9" s="355"/>
      <c r="H9" s="355"/>
      <c r="I9" s="355"/>
      <c r="J9" s="355"/>
      <c r="K9" s="358"/>
      <c r="L9" s="358" t="s">
        <v>558</v>
      </c>
      <c r="M9" s="355"/>
      <c r="N9" s="355"/>
      <c r="O9" s="355"/>
      <c r="P9" s="355"/>
      <c r="Q9" s="355"/>
    </row>
    <row r="10" spans="1:17">
      <c r="A10" s="355"/>
      <c r="B10" s="355"/>
      <c r="C10" s="355"/>
      <c r="D10" s="355"/>
      <c r="E10" s="355"/>
      <c r="F10" s="355"/>
      <c r="G10" s="355"/>
      <c r="H10" s="355"/>
      <c r="I10" s="355"/>
      <c r="J10" s="355"/>
      <c r="K10" s="355"/>
      <c r="L10" s="355" t="str">
        <f>"              "&amp;_WIT1</f>
        <v xml:space="preserve">              S. E. LAWLER</v>
      </c>
      <c r="M10" s="355"/>
      <c r="N10" s="355"/>
      <c r="O10" s="355"/>
      <c r="P10" s="355"/>
      <c r="Q10" s="355"/>
    </row>
    <row r="11" spans="1:17">
      <c r="A11" s="360"/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355"/>
      <c r="P11" s="360"/>
      <c r="Q11" s="355"/>
    </row>
    <row r="12" spans="1:17">
      <c r="A12" s="356"/>
      <c r="B12" s="356"/>
      <c r="C12" s="356"/>
      <c r="D12" s="356"/>
      <c r="E12" s="356"/>
      <c r="F12" s="356"/>
      <c r="G12" s="356"/>
      <c r="H12" s="356"/>
      <c r="I12" s="356"/>
      <c r="J12" s="361" t="s">
        <v>41</v>
      </c>
      <c r="K12" s="361"/>
      <c r="L12" s="361"/>
      <c r="M12" s="356"/>
      <c r="N12" s="356"/>
      <c r="O12" s="355"/>
      <c r="P12" s="362" t="s">
        <v>1035</v>
      </c>
      <c r="Q12" s="355"/>
    </row>
    <row r="13" spans="1:17">
      <c r="A13" s="355"/>
      <c r="B13" s="355"/>
      <c r="C13" s="363" t="s">
        <v>559</v>
      </c>
      <c r="D13" s="355"/>
      <c r="E13" s="364"/>
      <c r="F13" s="365" t="s">
        <v>1421</v>
      </c>
      <c r="G13" s="366"/>
      <c r="H13" s="367"/>
      <c r="I13" s="355"/>
      <c r="J13" s="365" t="s">
        <v>1401</v>
      </c>
      <c r="K13" s="365"/>
      <c r="L13" s="365"/>
      <c r="M13" s="368"/>
      <c r="N13" s="368" t="s">
        <v>561</v>
      </c>
      <c r="O13" s="355"/>
      <c r="P13" s="369" t="s">
        <v>585</v>
      </c>
      <c r="Q13" s="355"/>
    </row>
    <row r="14" spans="1:17">
      <c r="A14" s="367" t="s">
        <v>1961</v>
      </c>
      <c r="B14" s="355"/>
      <c r="C14" s="363" t="s">
        <v>562</v>
      </c>
      <c r="D14" s="355"/>
      <c r="E14" s="367" t="s">
        <v>564</v>
      </c>
      <c r="F14" s="363"/>
      <c r="G14" s="363" t="s">
        <v>563</v>
      </c>
      <c r="H14" s="367" t="s">
        <v>1143</v>
      </c>
      <c r="I14" s="370"/>
      <c r="J14" s="363"/>
      <c r="K14" s="363"/>
      <c r="L14" s="363" t="s">
        <v>563</v>
      </c>
      <c r="M14" s="363"/>
      <c r="N14" s="367" t="s">
        <v>1143</v>
      </c>
      <c r="O14" s="355"/>
      <c r="P14" s="371" t="s">
        <v>1873</v>
      </c>
      <c r="Q14" s="355"/>
    </row>
    <row r="15" spans="1:17">
      <c r="A15" s="374" t="s">
        <v>1854</v>
      </c>
      <c r="B15" s="360"/>
      <c r="C15" s="374" t="s">
        <v>1690</v>
      </c>
      <c r="D15" s="360"/>
      <c r="E15" s="374" t="s">
        <v>568</v>
      </c>
      <c r="F15" s="375" t="s">
        <v>364</v>
      </c>
      <c r="G15" s="375" t="s">
        <v>567</v>
      </c>
      <c r="H15" s="374" t="s">
        <v>568</v>
      </c>
      <c r="I15" s="375"/>
      <c r="J15" s="375" t="s">
        <v>364</v>
      </c>
      <c r="K15" s="375"/>
      <c r="L15" s="375" t="s">
        <v>567</v>
      </c>
      <c r="M15" s="375"/>
      <c r="N15" s="374" t="s">
        <v>568</v>
      </c>
      <c r="O15" s="355"/>
      <c r="P15" s="376" t="s">
        <v>1689</v>
      </c>
      <c r="Q15" s="355"/>
    </row>
    <row r="16" spans="1:17">
      <c r="A16" s="367">
        <v>1</v>
      </c>
      <c r="B16" s="358" t="s">
        <v>1691</v>
      </c>
      <c r="C16" s="355"/>
      <c r="D16" s="355"/>
      <c r="E16" s="355"/>
      <c r="F16" s="355"/>
      <c r="G16" s="355"/>
      <c r="H16" s="355"/>
      <c r="I16" s="355"/>
      <c r="J16" s="355"/>
      <c r="K16" s="355"/>
      <c r="L16" s="355"/>
      <c r="M16" s="355"/>
      <c r="N16" s="355"/>
      <c r="O16" s="355"/>
      <c r="P16" s="377"/>
      <c r="Q16" s="355"/>
    </row>
    <row r="17" spans="1:17">
      <c r="A17" s="367">
        <v>2</v>
      </c>
      <c r="B17" s="355"/>
      <c r="C17" s="358" t="s">
        <v>1117</v>
      </c>
      <c r="D17" s="355"/>
      <c r="E17" s="1309">
        <f>WPC_2!E33</f>
        <v>208099411</v>
      </c>
      <c r="F17" s="1310">
        <f ca="1">H17-E17</f>
        <v>-1552053</v>
      </c>
      <c r="G17" s="363" t="s">
        <v>1196</v>
      </c>
      <c r="H17" s="1309">
        <f ca="1">WPC_2!O70</f>
        <v>206547358</v>
      </c>
      <c r="I17" s="1310"/>
      <c r="J17" s="1309">
        <f>SCH_D1!U204</f>
        <v>-3438797</v>
      </c>
      <c r="K17" s="1309"/>
      <c r="L17" s="363" t="s">
        <v>135</v>
      </c>
      <c r="M17" s="355"/>
      <c r="N17" s="1311">
        <f ca="1">H17+J17</f>
        <v>203108561</v>
      </c>
      <c r="O17" s="355"/>
      <c r="P17" s="378">
        <f ca="1">IF(J17+F17=SCH_D1!AK517,J17+F17,"ERROR")</f>
        <v>-4990850</v>
      </c>
      <c r="Q17" s="355"/>
    </row>
    <row r="18" spans="1:17">
      <c r="A18" s="367">
        <v>3</v>
      </c>
      <c r="B18" s="355"/>
      <c r="C18" s="358" t="s">
        <v>696</v>
      </c>
      <c r="D18" s="355"/>
      <c r="E18" s="1309">
        <f>WPC_2!F33</f>
        <v>93769900</v>
      </c>
      <c r="F18" s="1310">
        <f>H18-E18</f>
        <v>2798704</v>
      </c>
      <c r="G18" s="363" t="s">
        <v>1196</v>
      </c>
      <c r="H18" s="1309">
        <f>WPC_2!P70</f>
        <v>96568604</v>
      </c>
      <c r="I18" s="1310"/>
      <c r="J18" s="1309">
        <f>SCH_D1!U205</f>
        <v>4635613</v>
      </c>
      <c r="K18" s="1309"/>
      <c r="L18" s="363" t="s">
        <v>135</v>
      </c>
      <c r="M18" s="355"/>
      <c r="N18" s="1311">
        <f>H18+J18</f>
        <v>101204217</v>
      </c>
      <c r="O18" s="355"/>
      <c r="P18" s="378">
        <f>IF(J18+F18=SCH_D1!AK518,J18+F18,"ERROR")</f>
        <v>7434317</v>
      </c>
      <c r="Q18" s="355"/>
    </row>
    <row r="19" spans="1:17">
      <c r="A19" s="367">
        <v>4</v>
      </c>
      <c r="B19" s="355"/>
      <c r="C19" s="358" t="s">
        <v>1692</v>
      </c>
      <c r="D19" s="355"/>
      <c r="E19" s="1309">
        <f>WPC_2!G33</f>
        <v>24583027</v>
      </c>
      <c r="F19" s="1310">
        <f ca="1">H19-E19</f>
        <v>-6380035</v>
      </c>
      <c r="G19" s="363" t="s">
        <v>1196</v>
      </c>
      <c r="H19" s="1309">
        <f ca="1">WPC_2!Q70</f>
        <v>18202992</v>
      </c>
      <c r="I19" s="1310"/>
      <c r="J19" s="1309">
        <f>SCH_D1!U206</f>
        <v>-13657824</v>
      </c>
      <c r="K19" s="1309"/>
      <c r="L19" s="363" t="s">
        <v>135</v>
      </c>
      <c r="M19" s="355"/>
      <c r="N19" s="1311">
        <f ca="1">H19+J19</f>
        <v>4545168</v>
      </c>
      <c r="O19" s="355"/>
      <c r="P19" s="378">
        <f ca="1">IF(J19+F19=SCH_D1!AK519,J19+F19,"ERROR")</f>
        <v>-20037859</v>
      </c>
      <c r="Q19" s="355"/>
    </row>
    <row r="20" spans="1:17">
      <c r="A20" s="367">
        <v>5</v>
      </c>
      <c r="B20" s="355"/>
      <c r="C20" s="358" t="s">
        <v>1693</v>
      </c>
      <c r="D20" s="1310"/>
      <c r="E20" s="1312">
        <f>IF(E17+E18+E19='SCH_C2.1 - Base Period'!J51,+E17+E18+E19,"check C-2.1 !")</f>
        <v>326452338</v>
      </c>
      <c r="F20" s="1312">
        <f ca="1">SUM(F17:F19)</f>
        <v>-5133384</v>
      </c>
      <c r="G20" s="363"/>
      <c r="H20" s="1312">
        <f ca="1">IF(H17+H18+H19='SCH_C2.1 - Forecasted Period'!J47,+H17+H18+H19,"check C-2.1 !")</f>
        <v>321318954</v>
      </c>
      <c r="I20" s="355"/>
      <c r="J20" s="1312">
        <f>SUM(J17:J19)</f>
        <v>-12461008</v>
      </c>
      <c r="K20" s="359"/>
      <c r="L20" s="363"/>
      <c r="M20" s="355"/>
      <c r="N20" s="1312">
        <f ca="1">SUM(N17:N19)</f>
        <v>308857946</v>
      </c>
      <c r="O20" s="355"/>
      <c r="P20" s="379">
        <f ca="1">SUM(P17:P19)</f>
        <v>-17594392</v>
      </c>
      <c r="Q20" s="355"/>
    </row>
    <row r="21" spans="1:17">
      <c r="A21" s="367">
        <v>6</v>
      </c>
      <c r="B21" s="355"/>
      <c r="C21" s="355"/>
      <c r="D21" s="355"/>
      <c r="E21" s="380"/>
      <c r="F21" s="355"/>
      <c r="G21" s="363"/>
      <c r="H21" s="380"/>
      <c r="I21" s="355"/>
      <c r="J21" s="355"/>
      <c r="K21" s="355"/>
      <c r="L21" s="363"/>
      <c r="M21" s="355"/>
      <c r="N21" s="355"/>
      <c r="O21" s="355"/>
      <c r="P21" s="377"/>
      <c r="Q21" s="355"/>
    </row>
    <row r="22" spans="1:17">
      <c r="A22" s="367">
        <v>7</v>
      </c>
      <c r="B22" s="358" t="s">
        <v>1694</v>
      </c>
      <c r="C22" s="355"/>
      <c r="D22" s="355"/>
      <c r="E22" s="1310"/>
      <c r="F22" s="355"/>
      <c r="G22" s="363"/>
      <c r="H22" s="1310"/>
      <c r="I22" s="355"/>
      <c r="J22" s="355"/>
      <c r="K22" s="355"/>
      <c r="L22" s="363"/>
      <c r="M22" s="355"/>
      <c r="N22" s="355"/>
      <c r="O22" s="355"/>
      <c r="P22" s="377"/>
      <c r="Q22" s="355"/>
    </row>
    <row r="23" spans="1:17">
      <c r="A23" s="367">
        <v>8</v>
      </c>
      <c r="B23" s="358" t="s">
        <v>1695</v>
      </c>
      <c r="C23" s="355"/>
      <c r="D23" s="355"/>
      <c r="E23" s="1310"/>
      <c r="F23" s="355"/>
      <c r="G23" s="363"/>
      <c r="H23" s="1310"/>
      <c r="I23" s="355"/>
      <c r="J23" s="355"/>
      <c r="K23" s="355"/>
      <c r="L23" s="363"/>
      <c r="M23" s="355"/>
      <c r="N23" s="1311"/>
      <c r="O23" s="355"/>
      <c r="P23" s="377"/>
      <c r="Q23" s="355"/>
    </row>
    <row r="24" spans="1:17">
      <c r="A24" s="367">
        <v>9</v>
      </c>
      <c r="B24" s="355"/>
      <c r="C24" s="358" t="s">
        <v>1696</v>
      </c>
      <c r="D24" s="355"/>
      <c r="E24" s="1310"/>
      <c r="F24" s="355"/>
      <c r="G24" s="363"/>
      <c r="H24" s="1310"/>
      <c r="I24" s="355"/>
      <c r="J24" s="355"/>
      <c r="K24" s="355"/>
      <c r="L24" s="363"/>
      <c r="M24" s="355"/>
      <c r="N24" s="355"/>
      <c r="O24" s="355"/>
      <c r="P24" s="377"/>
      <c r="Q24" s="355"/>
    </row>
    <row r="25" spans="1:17">
      <c r="A25" s="367">
        <v>10</v>
      </c>
      <c r="B25" s="358" t="s">
        <v>1697</v>
      </c>
      <c r="C25" s="358" t="s">
        <v>348</v>
      </c>
      <c r="D25" s="355"/>
      <c r="E25" s="1309">
        <f>'SCH_C2.1 - Base Period'!J114+'SCH_C2.1 - Base Period'!J113+'SCH_C2.1 - Base Period'!J75+'SCH_C2.1 - Base Period'!J95+'SCH_C2.1 - Base Period'!J117</f>
        <v>115955445</v>
      </c>
      <c r="F25" s="1310">
        <f ca="1">H25-E25</f>
        <v>-1284619</v>
      </c>
      <c r="G25" s="363" t="s">
        <v>1197</v>
      </c>
      <c r="H25" s="1309">
        <f ca="1">'SCH_C2.1 - Forecasted Period'!J117+'SCH_C2.1 - Forecasted Period'!J116+'SCH_C2.1 - Forecasted Period'!J98+'SCH_C2.1 - Forecasted Period'!J71+'SCH_C2.1 - Forecasted Period'!J120</f>
        <v>114670826</v>
      </c>
      <c r="I25" s="355"/>
      <c r="J25" s="1311">
        <f>SCH_D1!U212</f>
        <v>-7778359.5999999996</v>
      </c>
      <c r="K25" s="1311"/>
      <c r="L25" s="363" t="s">
        <v>135</v>
      </c>
      <c r="M25" s="355"/>
      <c r="N25" s="1311">
        <f ca="1">H25+J25</f>
        <v>106892466.40000001</v>
      </c>
      <c r="O25" s="355"/>
      <c r="P25" s="378">
        <f ca="1">IF(J25+F25=SCH_D1!AK525,J25+F25,"ERROR")</f>
        <v>-9062978.5999999996</v>
      </c>
      <c r="Q25" s="355"/>
    </row>
    <row r="26" spans="1:17">
      <c r="A26" s="367">
        <v>11</v>
      </c>
      <c r="B26" s="358"/>
      <c r="C26" s="355" t="s">
        <v>697</v>
      </c>
      <c r="D26" s="355"/>
      <c r="E26" s="381">
        <f>'SCH_C2.1 - Base Period'!J120-E25</f>
        <v>51048894</v>
      </c>
      <c r="F26" s="1310">
        <f ca="1">H26-E26</f>
        <v>12650083</v>
      </c>
      <c r="G26" s="363" t="s">
        <v>1699</v>
      </c>
      <c r="H26" s="381">
        <f ca="1">'SCH_C2.1 - Forecasted Period'!J123-H25</f>
        <v>63698977</v>
      </c>
      <c r="I26" s="355"/>
      <c r="J26" s="1311">
        <f>SCH_D1!U213</f>
        <v>-15451196.399999999</v>
      </c>
      <c r="K26" s="355"/>
      <c r="L26" s="363" t="s">
        <v>135</v>
      </c>
      <c r="M26" s="355"/>
      <c r="N26" s="1311">
        <f ca="1">H26+J26</f>
        <v>48247780.600000001</v>
      </c>
      <c r="O26" s="355"/>
      <c r="P26" s="378">
        <f ca="1">IF(J26+F26=SCH_D1!AK526,J26+F26,"ERROR")</f>
        <v>-2801113.3999999985</v>
      </c>
      <c r="Q26" s="355"/>
    </row>
    <row r="27" spans="1:17">
      <c r="A27" s="367">
        <v>12</v>
      </c>
      <c r="B27" s="355"/>
      <c r="C27" s="1318" t="s">
        <v>1826</v>
      </c>
      <c r="D27" s="355"/>
      <c r="E27" s="359">
        <f>SUM(E25:E26)</f>
        <v>167004339</v>
      </c>
      <c r="F27" s="382">
        <f ca="1">SUM(F25:F26)</f>
        <v>11365464</v>
      </c>
      <c r="G27" s="363"/>
      <c r="H27" s="359">
        <f ca="1">SUM(H25:H26)</f>
        <v>178369803</v>
      </c>
      <c r="I27" s="355"/>
      <c r="J27" s="382">
        <f>SUM(J25:J26)</f>
        <v>-23229556</v>
      </c>
      <c r="K27" s="359"/>
      <c r="L27" s="363"/>
      <c r="M27" s="355"/>
      <c r="N27" s="382">
        <f ca="1">SUM(N25:N26)</f>
        <v>155140247</v>
      </c>
      <c r="O27" s="355"/>
      <c r="P27" s="383">
        <f ca="1">SUM(P25:P26)</f>
        <v>-11864091.999999998</v>
      </c>
      <c r="Q27" s="355"/>
    </row>
    <row r="28" spans="1:17">
      <c r="A28" s="367">
        <v>13</v>
      </c>
      <c r="B28" s="358"/>
      <c r="C28" s="355"/>
      <c r="D28" s="355"/>
      <c r="E28" s="359"/>
      <c r="F28" s="359"/>
      <c r="G28" s="363"/>
      <c r="H28" s="359"/>
      <c r="I28" s="355"/>
      <c r="J28" s="355"/>
      <c r="K28" s="355"/>
      <c r="L28" s="363"/>
      <c r="M28" s="355"/>
      <c r="N28" s="355"/>
      <c r="O28" s="355"/>
      <c r="P28" s="377"/>
      <c r="Q28" s="355"/>
    </row>
    <row r="29" spans="1:17">
      <c r="A29" s="367">
        <v>14</v>
      </c>
      <c r="B29" s="358"/>
      <c r="C29" s="355" t="s">
        <v>897</v>
      </c>
      <c r="D29" s="355"/>
      <c r="E29" s="1309">
        <f>'SCH_C2.1 - Base Period'!J158</f>
        <v>18095393</v>
      </c>
      <c r="F29" s="1310">
        <f t="shared" ref="F29:F35" ca="1" si="0">H29-E29</f>
        <v>919747</v>
      </c>
      <c r="G29" s="363" t="s">
        <v>1198</v>
      </c>
      <c r="H29" s="1309">
        <f ca="1">'SCH_C2.1 - Forecasted Period'!J164</f>
        <v>19015140</v>
      </c>
      <c r="I29" s="355"/>
      <c r="J29" s="1311">
        <f>SCH_D1!U216</f>
        <v>917833</v>
      </c>
      <c r="K29" s="355"/>
      <c r="L29" s="363" t="s">
        <v>135</v>
      </c>
      <c r="M29" s="355"/>
      <c r="N29" s="1311">
        <f t="shared" ref="N29:N35" ca="1" si="1">H29+J29</f>
        <v>19932973</v>
      </c>
      <c r="O29" s="355"/>
      <c r="P29" s="378">
        <f ca="1">IF(J29+F29=SCH_D1!AK529,J29+F29,"ERROR")</f>
        <v>1837580</v>
      </c>
      <c r="Q29" s="355"/>
    </row>
    <row r="30" spans="1:17">
      <c r="A30" s="367">
        <v>15</v>
      </c>
      <c r="B30" s="358"/>
      <c r="C30" s="355" t="s">
        <v>2249</v>
      </c>
      <c r="D30" s="355"/>
      <c r="E30" s="1309">
        <f>'SCH_C2.1 - Base Period'!J164</f>
        <v>1637210</v>
      </c>
      <c r="F30" s="1310">
        <f t="shared" ca="1" si="0"/>
        <v>79447</v>
      </c>
      <c r="G30" s="363" t="s">
        <v>253</v>
      </c>
      <c r="H30" s="1309">
        <f ca="1">'SCH_C2.1 - Forecasted Period'!J170</f>
        <v>1716657</v>
      </c>
      <c r="I30" s="355"/>
      <c r="J30" s="1311">
        <f>SCH_D1!U217</f>
        <v>0</v>
      </c>
      <c r="K30" s="355"/>
      <c r="L30" s="363" t="s">
        <v>135</v>
      </c>
      <c r="M30" s="355"/>
      <c r="N30" s="1311">
        <f t="shared" ca="1" si="1"/>
        <v>1716657</v>
      </c>
      <c r="O30" s="355"/>
      <c r="P30" s="378">
        <f ca="1">IF(J30+F30=SCH_D1!AK530,J30+F30,"ERROR")</f>
        <v>79447</v>
      </c>
      <c r="Q30" s="355"/>
    </row>
    <row r="31" spans="1:17">
      <c r="A31" s="367">
        <v>16</v>
      </c>
      <c r="B31" s="355"/>
      <c r="C31" s="358" t="s">
        <v>172</v>
      </c>
      <c r="D31" s="355"/>
      <c r="E31" s="1309">
        <f>'SCH_C2.1 - Base Period'!J193</f>
        <v>14193963</v>
      </c>
      <c r="F31" s="1310">
        <f t="shared" ca="1" si="0"/>
        <v>-43555</v>
      </c>
      <c r="G31" s="363" t="s">
        <v>175</v>
      </c>
      <c r="H31" s="1309">
        <f ca="1">'SCH_C2.1 - Forecasted Period'!J199</f>
        <v>14150408</v>
      </c>
      <c r="I31" s="355"/>
      <c r="J31" s="1311">
        <f>SCH_D1!U218</f>
        <v>0</v>
      </c>
      <c r="K31" s="1311"/>
      <c r="L31" s="363" t="s">
        <v>135</v>
      </c>
      <c r="M31" s="355"/>
      <c r="N31" s="1311">
        <f t="shared" ca="1" si="1"/>
        <v>14150408</v>
      </c>
      <c r="O31" s="355"/>
      <c r="P31" s="378">
        <f ca="1">IF(J31+F31=SCH_D1!AK531,J31+F31,"ERROR")</f>
        <v>-43555</v>
      </c>
      <c r="Q31" s="355"/>
    </row>
    <row r="32" spans="1:17">
      <c r="A32" s="367">
        <v>17</v>
      </c>
      <c r="B32" s="355"/>
      <c r="C32" s="358" t="s">
        <v>173</v>
      </c>
      <c r="D32" s="355"/>
      <c r="E32" s="1309">
        <f>'SCH_C2.1 - Base Period'!J221</f>
        <v>6076877</v>
      </c>
      <c r="F32" s="1310">
        <f t="shared" ca="1" si="0"/>
        <v>671968</v>
      </c>
      <c r="G32" s="363" t="s">
        <v>254</v>
      </c>
      <c r="H32" s="1309">
        <f ca="1">'SCH_C2.1 - Forecasted Period'!J227</f>
        <v>6748845</v>
      </c>
      <c r="I32" s="355"/>
      <c r="J32" s="1311">
        <f ca="1">SCH_D1!U219</f>
        <v>-3761971</v>
      </c>
      <c r="K32" s="1311"/>
      <c r="L32" s="363" t="s">
        <v>135</v>
      </c>
      <c r="M32" s="355"/>
      <c r="N32" s="1311">
        <f t="shared" ca="1" si="1"/>
        <v>2986874</v>
      </c>
      <c r="O32" s="355"/>
      <c r="P32" s="378">
        <f ca="1">IF(J32+F32=SCH_D1!AK532,J32+F32,"ERROR")</f>
        <v>-3090003</v>
      </c>
      <c r="Q32" s="355"/>
    </row>
    <row r="33" spans="1:17">
      <c r="A33" s="367">
        <v>18</v>
      </c>
      <c r="B33" s="355"/>
      <c r="C33" s="358" t="s">
        <v>174</v>
      </c>
      <c r="D33" s="355"/>
      <c r="E33" s="1309">
        <f>'SCH_C2.1 - Base Period'!J230</f>
        <v>898077</v>
      </c>
      <c r="F33" s="1310">
        <f t="shared" ca="1" si="0"/>
        <v>183121</v>
      </c>
      <c r="G33" s="363" t="s">
        <v>255</v>
      </c>
      <c r="H33" s="1309">
        <f ca="1">'SCH_C2.1 - Forecasted Period'!J236</f>
        <v>1081198</v>
      </c>
      <c r="I33" s="355"/>
      <c r="J33" s="1311">
        <f>SCH_D1!U220</f>
        <v>0</v>
      </c>
      <c r="K33" s="355"/>
      <c r="L33" s="363" t="s">
        <v>135</v>
      </c>
      <c r="M33" s="355"/>
      <c r="N33" s="1311">
        <f t="shared" ca="1" si="1"/>
        <v>1081198</v>
      </c>
      <c r="O33" s="355"/>
      <c r="P33" s="378">
        <f ca="1">IF(J33+F33=SCH_D1!AK533,J33+F33,"ERROR")</f>
        <v>183121</v>
      </c>
      <c r="Q33" s="355"/>
    </row>
    <row r="34" spans="1:17">
      <c r="A34" s="367">
        <v>19</v>
      </c>
      <c r="B34" s="355"/>
      <c r="C34" s="358" t="s">
        <v>176</v>
      </c>
      <c r="D34" s="355"/>
      <c r="E34" s="1309">
        <f>'SCH_C2.1 - Base Period'!J238</f>
        <v>946639</v>
      </c>
      <c r="F34" s="1310">
        <f t="shared" ca="1" si="0"/>
        <v>-151501</v>
      </c>
      <c r="G34" s="363" t="s">
        <v>180</v>
      </c>
      <c r="H34" s="1309">
        <f ca="1">'SCH_C2.1 - Forecasted Period'!J244</f>
        <v>795138</v>
      </c>
      <c r="I34" s="355"/>
      <c r="J34" s="1311">
        <f>SCH_D1!U221</f>
        <v>-122062</v>
      </c>
      <c r="K34" s="1311"/>
      <c r="L34" s="363" t="s">
        <v>135</v>
      </c>
      <c r="M34" s="355"/>
      <c r="N34" s="1311">
        <f t="shared" ca="1" si="1"/>
        <v>673076</v>
      </c>
      <c r="O34" s="355"/>
      <c r="P34" s="378">
        <f ca="1">IF(J34+F34=SCH_D1!AK534,J34+F34,"ERROR")</f>
        <v>-273563</v>
      </c>
      <c r="Q34" s="355"/>
    </row>
    <row r="35" spans="1:17">
      <c r="A35" s="367">
        <v>20</v>
      </c>
      <c r="B35" s="355"/>
      <c r="C35" s="358" t="s">
        <v>177</v>
      </c>
      <c r="D35" s="355"/>
      <c r="E35" s="1309">
        <f>'SCH_C2.1 - Base Period'!J282</f>
        <v>20406967</v>
      </c>
      <c r="F35" s="1310">
        <f t="shared" ca="1" si="0"/>
        <v>-1497124</v>
      </c>
      <c r="G35" s="363" t="s">
        <v>1211</v>
      </c>
      <c r="H35" s="1309">
        <f ca="1">'SCH_C2.1 - Forecasted Period'!J287</f>
        <v>18909843</v>
      </c>
      <c r="I35" s="355"/>
      <c r="J35" s="1311">
        <f>SCH_D1!U222</f>
        <v>-725144</v>
      </c>
      <c r="K35" s="1311"/>
      <c r="L35" s="363" t="s">
        <v>135</v>
      </c>
      <c r="M35" s="355"/>
      <c r="N35" s="1311">
        <f t="shared" ca="1" si="1"/>
        <v>18184699</v>
      </c>
      <c r="O35" s="355"/>
      <c r="P35" s="378">
        <f ca="1">IF(J35+F35=SCH_D1!AK535,J35+F35,"ERROR")</f>
        <v>-2222268</v>
      </c>
      <c r="Q35" s="355"/>
    </row>
    <row r="36" spans="1:17">
      <c r="A36" s="367">
        <v>21</v>
      </c>
      <c r="B36" s="355"/>
      <c r="C36" s="358" t="s">
        <v>216</v>
      </c>
      <c r="D36" s="355"/>
      <c r="E36" s="1309">
        <f>'SCH_C2.1 - Base Period'!J292</f>
        <v>-2763105</v>
      </c>
      <c r="F36" s="1310">
        <f>H36-E36</f>
        <v>2680605</v>
      </c>
      <c r="G36" s="363" t="s">
        <v>810</v>
      </c>
      <c r="H36" s="1309">
        <f>'SCH_C2.1 - Forecasted Period'!J297</f>
        <v>-82500</v>
      </c>
      <c r="I36" s="355"/>
      <c r="J36" s="1311">
        <f>SCH_D1!U223</f>
        <v>6832092</v>
      </c>
      <c r="K36" s="1311"/>
      <c r="L36" s="363" t="s">
        <v>135</v>
      </c>
      <c r="M36" s="355"/>
      <c r="N36" s="1311">
        <f>H36+J36</f>
        <v>6749592</v>
      </c>
      <c r="O36" s="355"/>
      <c r="P36" s="378">
        <f>IF(J36+F36=SCH_D1!AK536,J36+F36,"ERROR")</f>
        <v>9512697</v>
      </c>
      <c r="Q36" s="355"/>
    </row>
    <row r="37" spans="1:17">
      <c r="A37" s="367">
        <v>22</v>
      </c>
      <c r="B37" s="355"/>
      <c r="C37" s="358" t="s">
        <v>178</v>
      </c>
      <c r="D37" s="355"/>
      <c r="E37" s="1312">
        <f>E27+SUM(E29:E36)</f>
        <v>226496360</v>
      </c>
      <c r="F37" s="1312">
        <f ca="1">F27+SUM(F29:F36)</f>
        <v>14208172</v>
      </c>
      <c r="G37" s="363"/>
      <c r="H37" s="1312">
        <f ca="1">H27+SUM(H29:H36)</f>
        <v>240704532</v>
      </c>
      <c r="I37" s="355"/>
      <c r="J37" s="1312">
        <f ca="1">J27+SUM(J29:J36)</f>
        <v>-20088808</v>
      </c>
      <c r="K37" s="359"/>
      <c r="L37" s="363"/>
      <c r="M37" s="355"/>
      <c r="N37" s="1312">
        <f ca="1">N27+SUM(N29:N36)</f>
        <v>220615724</v>
      </c>
      <c r="O37" s="355"/>
      <c r="P37" s="379">
        <f ca="1">P27+SUM(P29:P36)</f>
        <v>-5880635.9999999981</v>
      </c>
      <c r="Q37" s="355"/>
    </row>
    <row r="38" spans="1:17">
      <c r="A38" s="367">
        <v>23</v>
      </c>
      <c r="B38" s="355"/>
      <c r="C38" s="355"/>
      <c r="D38" s="355"/>
      <c r="E38" s="380"/>
      <c r="F38" s="380"/>
      <c r="G38" s="363"/>
      <c r="H38" s="380"/>
      <c r="I38" s="355"/>
      <c r="J38" s="355"/>
      <c r="K38" s="355"/>
      <c r="L38" s="363"/>
      <c r="M38" s="355"/>
      <c r="N38" s="355"/>
      <c r="O38" s="355"/>
      <c r="P38" s="377"/>
      <c r="Q38" s="355"/>
    </row>
    <row r="39" spans="1:17">
      <c r="A39" s="367">
        <v>24</v>
      </c>
      <c r="B39" s="355"/>
      <c r="C39" s="358" t="s">
        <v>179</v>
      </c>
      <c r="D39" s="355"/>
      <c r="E39" s="381">
        <f>'SCH_C2.1 - Base Period'!J286</f>
        <v>35375930</v>
      </c>
      <c r="F39" s="1313">
        <f ca="1">H39-E39</f>
        <v>9166332</v>
      </c>
      <c r="G39" s="363" t="s">
        <v>811</v>
      </c>
      <c r="H39" s="381">
        <f ca="1">'SCH_C2.1 - Forecasted Period'!J291</f>
        <v>44542262</v>
      </c>
      <c r="I39" s="355"/>
      <c r="J39" s="1313">
        <f ca="1">SCH_D1!U226</f>
        <v>6427052</v>
      </c>
      <c r="K39" s="359"/>
      <c r="L39" s="363" t="s">
        <v>135</v>
      </c>
      <c r="M39" s="355"/>
      <c r="N39" s="1313">
        <f ca="1">H39+J39</f>
        <v>50969314</v>
      </c>
      <c r="O39" s="355"/>
      <c r="P39" s="384">
        <f ca="1">IF(J39+F39=SCH_D1!AK539,J39+F39,"ERROR")</f>
        <v>15593384</v>
      </c>
      <c r="Q39" s="355"/>
    </row>
    <row r="40" spans="1:17">
      <c r="A40" s="367">
        <v>25</v>
      </c>
      <c r="B40" s="355"/>
      <c r="C40" s="355"/>
      <c r="D40" s="355"/>
      <c r="E40" s="380"/>
      <c r="F40" s="355"/>
      <c r="G40" s="363"/>
      <c r="H40" s="380"/>
      <c r="I40" s="355"/>
      <c r="J40" s="355"/>
      <c r="K40" s="355"/>
      <c r="L40" s="363"/>
      <c r="M40" s="355"/>
      <c r="N40" s="355"/>
      <c r="O40" s="355"/>
      <c r="P40" s="377"/>
      <c r="Q40" s="355"/>
    </row>
    <row r="41" spans="1:17">
      <c r="A41" s="367">
        <v>26</v>
      </c>
      <c r="B41" s="355"/>
      <c r="C41" s="358" t="s">
        <v>951</v>
      </c>
      <c r="D41" s="355"/>
      <c r="E41" s="1310"/>
      <c r="F41" s="355"/>
      <c r="G41" s="363"/>
      <c r="H41" s="1310"/>
      <c r="I41" s="355"/>
      <c r="J41" s="355"/>
      <c r="K41" s="355"/>
      <c r="L41" s="363"/>
      <c r="M41" s="355"/>
      <c r="N41" s="355"/>
      <c r="O41" s="355"/>
      <c r="P41" s="377"/>
      <c r="Q41" s="355"/>
    </row>
    <row r="42" spans="1:17">
      <c r="A42" s="367">
        <v>27</v>
      </c>
      <c r="B42" s="355"/>
      <c r="C42" s="358" t="s">
        <v>1210</v>
      </c>
      <c r="D42" s="355"/>
      <c r="E42" s="1309">
        <f>'SCH_C2.1 - Base Period'!J315</f>
        <v>-5147</v>
      </c>
      <c r="F42" s="1310">
        <f>H42-E42</f>
        <v>5147</v>
      </c>
      <c r="G42" s="363" t="s">
        <v>812</v>
      </c>
      <c r="H42" s="1309">
        <f>'SCH_C2.1 - Forecasted Period'!J320</f>
        <v>0</v>
      </c>
      <c r="I42" s="355"/>
      <c r="J42" s="1311">
        <f>SCH_D1!U229</f>
        <v>0</v>
      </c>
      <c r="K42" s="1311"/>
      <c r="L42" s="363"/>
      <c r="M42" s="355"/>
      <c r="N42" s="1311">
        <f>H42+J42</f>
        <v>0</v>
      </c>
      <c r="O42" s="355"/>
      <c r="P42" s="378">
        <f>IF(J42+F42=SCH_D1!AK542,J42+F42,"ERROR")</f>
        <v>5147</v>
      </c>
      <c r="Q42" s="355"/>
    </row>
    <row r="43" spans="1:17">
      <c r="A43" s="367">
        <v>28</v>
      </c>
      <c r="B43" s="355"/>
      <c r="C43" s="358" t="s">
        <v>1212</v>
      </c>
      <c r="D43" s="355"/>
      <c r="E43" s="1309">
        <f>'SCH_C2.1 - Base Period'!J329</f>
        <v>10680604</v>
      </c>
      <c r="F43" s="1310">
        <f>H43-E43</f>
        <v>2100462</v>
      </c>
      <c r="G43" s="363" t="s">
        <v>812</v>
      </c>
      <c r="H43" s="1309">
        <f>'SCH_C2.1 - Forecasted Period'!J332</f>
        <v>12781066</v>
      </c>
      <c r="I43" s="355"/>
      <c r="J43" s="1311">
        <f>SCH_D1!U230</f>
        <v>-51559</v>
      </c>
      <c r="K43" s="1311"/>
      <c r="L43" s="363" t="s">
        <v>135</v>
      </c>
      <c r="M43" s="355"/>
      <c r="N43" s="1311">
        <f>H43+J43</f>
        <v>12729507</v>
      </c>
      <c r="O43" s="355"/>
      <c r="P43" s="378">
        <f>IF(J43+F43=SCH_D1!AK543,J43+F43,"ERROR")</f>
        <v>2048903</v>
      </c>
      <c r="Q43" s="355"/>
    </row>
    <row r="44" spans="1:17">
      <c r="A44" s="367">
        <v>29</v>
      </c>
      <c r="B44" s="355"/>
      <c r="C44" s="358" t="s">
        <v>1971</v>
      </c>
      <c r="D44" s="355"/>
      <c r="E44" s="1312">
        <f>SUM(E42:E43)</f>
        <v>10675457</v>
      </c>
      <c r="F44" s="1312">
        <f>SUM(F42:F43)</f>
        <v>2105609</v>
      </c>
      <c r="G44" s="363"/>
      <c r="H44" s="1312">
        <f>SUM(H42:H43)</f>
        <v>12781066</v>
      </c>
      <c r="I44" s="355"/>
      <c r="J44" s="1312">
        <f>SUM(J42:J43)</f>
        <v>-51559</v>
      </c>
      <c r="K44" s="359"/>
      <c r="L44" s="363"/>
      <c r="M44" s="355"/>
      <c r="N44" s="1312">
        <f>SUM(N42:N43)</f>
        <v>12729507</v>
      </c>
      <c r="O44" s="355"/>
      <c r="P44" s="379">
        <f>SUM(P42:P43)</f>
        <v>2054050</v>
      </c>
      <c r="Q44" s="355"/>
    </row>
    <row r="45" spans="1:17">
      <c r="A45" s="367">
        <v>30</v>
      </c>
      <c r="B45" s="358"/>
      <c r="C45" s="355"/>
      <c r="D45" s="355"/>
      <c r="E45" s="359"/>
      <c r="F45" s="359"/>
      <c r="G45" s="363"/>
      <c r="H45" s="359"/>
      <c r="I45" s="355"/>
      <c r="J45" s="355"/>
      <c r="K45" s="355"/>
      <c r="L45" s="363"/>
      <c r="M45" s="355"/>
      <c r="N45" s="355"/>
      <c r="O45" s="355"/>
      <c r="P45" s="377"/>
      <c r="Q45" s="355"/>
    </row>
    <row r="46" spans="1:17">
      <c r="A46" s="367">
        <v>31</v>
      </c>
      <c r="B46" s="355"/>
      <c r="C46" s="358" t="s">
        <v>1972</v>
      </c>
      <c r="D46" s="355"/>
      <c r="E46" s="355"/>
      <c r="F46" s="355"/>
      <c r="G46" s="363"/>
      <c r="H46" s="1310"/>
      <c r="I46" s="355"/>
      <c r="J46" s="355"/>
      <c r="K46" s="355"/>
      <c r="L46" s="363"/>
      <c r="M46" s="355"/>
      <c r="N46" s="355"/>
      <c r="O46" s="355"/>
      <c r="P46" s="377"/>
      <c r="Q46" s="355"/>
    </row>
    <row r="47" spans="1:17">
      <c r="A47" s="367">
        <v>32</v>
      </c>
      <c r="B47" s="355"/>
      <c r="C47" s="358" t="s">
        <v>1973</v>
      </c>
      <c r="D47" s="355"/>
      <c r="E47" s="1310">
        <f>SCH_E1!G78</f>
        <v>-618687</v>
      </c>
      <c r="F47" s="1310">
        <f ca="1">H47-E47</f>
        <v>338500</v>
      </c>
      <c r="G47" s="363" t="s">
        <v>583</v>
      </c>
      <c r="H47" s="1310">
        <f ca="1">SCH_E1!K78</f>
        <v>-280187</v>
      </c>
      <c r="I47" s="355"/>
      <c r="J47" s="1311">
        <f ca="1">N47-H47</f>
        <v>395485</v>
      </c>
      <c r="K47" s="355"/>
      <c r="L47" s="363" t="s">
        <v>583</v>
      </c>
      <c r="M47" s="355"/>
      <c r="N47" s="1310">
        <f ca="1">SCH_E1!M78</f>
        <v>115298</v>
      </c>
      <c r="O47" s="355"/>
      <c r="P47" s="378">
        <f ca="1">IF(J47+F47=SCH_D1!AK547,J47+F47,"ERROR")</f>
        <v>733985</v>
      </c>
      <c r="Q47" s="355"/>
    </row>
    <row r="48" spans="1:17">
      <c r="A48" s="367">
        <v>33</v>
      </c>
      <c r="B48" s="355"/>
      <c r="C48" s="358" t="s">
        <v>1020</v>
      </c>
      <c r="D48" s="355"/>
      <c r="E48" s="1310">
        <f>SCH_E1!G107</f>
        <v>3190452.8455075575</v>
      </c>
      <c r="F48" s="1310">
        <f ca="1">H48-E48</f>
        <v>-2269312.154492442</v>
      </c>
      <c r="G48" s="363" t="s">
        <v>583</v>
      </c>
      <c r="H48" s="1310">
        <f ca="1">SCH_E1!K107</f>
        <v>921140.69101511547</v>
      </c>
      <c r="I48" s="355"/>
      <c r="J48" s="1311">
        <f ca="1">N48-H48</f>
        <v>-343539</v>
      </c>
      <c r="K48" s="355"/>
      <c r="L48" s="363" t="s">
        <v>583</v>
      </c>
      <c r="M48" s="355"/>
      <c r="N48" s="1310">
        <f ca="1">SCH_E1!M107</f>
        <v>577601.69101511547</v>
      </c>
      <c r="O48" s="355"/>
      <c r="P48" s="378">
        <f ca="1">IF(J48+F48=SCH_D1!AK548,J48+F48,"ERROR")</f>
        <v>-2612851.154492442</v>
      </c>
      <c r="Q48" s="355"/>
    </row>
    <row r="49" spans="1:17">
      <c r="A49" s="367">
        <v>34</v>
      </c>
      <c r="B49" s="355"/>
      <c r="C49" s="358" t="s">
        <v>1304</v>
      </c>
      <c r="D49" s="355"/>
      <c r="E49" s="1312">
        <f>SUM(E47:E48)</f>
        <v>2571765.8455075575</v>
      </c>
      <c r="F49" s="1312">
        <f ca="1">SUM(F47:F48)</f>
        <v>-1930812.154492442</v>
      </c>
      <c r="G49" s="363"/>
      <c r="H49" s="1312">
        <f ca="1">SUM(H47:H48)</f>
        <v>640953.69101511547</v>
      </c>
      <c r="I49" s="355"/>
      <c r="J49" s="1312">
        <f ca="1">SUM(J47:J48)</f>
        <v>51946</v>
      </c>
      <c r="K49" s="355"/>
      <c r="L49" s="363"/>
      <c r="M49" s="355"/>
      <c r="N49" s="1312">
        <f ca="1">SUM(N47:N48)</f>
        <v>692899.69101511547</v>
      </c>
      <c r="O49" s="355"/>
      <c r="P49" s="379">
        <f ca="1">SUM(P47:P48)</f>
        <v>-1878866.154492442</v>
      </c>
      <c r="Q49" s="355"/>
    </row>
    <row r="50" spans="1:17">
      <c r="A50" s="367">
        <v>35</v>
      </c>
      <c r="B50" s="355"/>
      <c r="C50" s="355"/>
      <c r="D50" s="355"/>
      <c r="E50" s="380"/>
      <c r="F50" s="355"/>
      <c r="G50" s="363"/>
      <c r="H50" s="1310"/>
      <c r="I50" s="355"/>
      <c r="J50" s="355"/>
      <c r="K50" s="355"/>
      <c r="L50" s="363"/>
      <c r="M50" s="355"/>
      <c r="N50" s="355"/>
      <c r="O50" s="355"/>
      <c r="P50" s="377"/>
      <c r="Q50" s="355"/>
    </row>
    <row r="51" spans="1:17">
      <c r="A51" s="367">
        <v>36</v>
      </c>
      <c r="B51" s="355"/>
      <c r="C51" s="358" t="s">
        <v>1305</v>
      </c>
      <c r="D51" s="355"/>
      <c r="E51" s="355"/>
      <c r="F51" s="355"/>
      <c r="G51" s="363"/>
      <c r="H51" s="1310"/>
      <c r="I51" s="355"/>
      <c r="J51" s="355"/>
      <c r="K51" s="355"/>
      <c r="L51" s="363"/>
      <c r="M51" s="355"/>
      <c r="N51" s="355"/>
      <c r="O51" s="355"/>
      <c r="P51" s="377"/>
      <c r="Q51" s="355"/>
    </row>
    <row r="52" spans="1:17">
      <c r="A52" s="367">
        <v>37</v>
      </c>
      <c r="B52" s="355"/>
      <c r="C52" s="358" t="s">
        <v>1306</v>
      </c>
      <c r="D52" s="355"/>
      <c r="E52" s="1310">
        <f>SCH_E1!G121</f>
        <v>-19935176</v>
      </c>
      <c r="F52" s="1310">
        <f ca="1">H52-E52</f>
        <v>-1289121</v>
      </c>
      <c r="G52" s="363" t="s">
        <v>583</v>
      </c>
      <c r="H52" s="1310">
        <f ca="1">SCH_E1!K121</f>
        <v>-21224297</v>
      </c>
      <c r="I52" s="355"/>
      <c r="J52" s="1311">
        <f ca="1">N52-H52</f>
        <v>2451199</v>
      </c>
      <c r="K52" s="355"/>
      <c r="L52" s="363" t="s">
        <v>583</v>
      </c>
      <c r="M52" s="355"/>
      <c r="N52" s="1310">
        <f ca="1">SCH_E1!M121</f>
        <v>-18773098</v>
      </c>
      <c r="O52" s="355"/>
      <c r="P52" s="378">
        <f ca="1">IF(J52+F52=SCH_D1!AK552,J52+F52,"ERROR")</f>
        <v>1162078</v>
      </c>
      <c r="Q52" s="355"/>
    </row>
    <row r="53" spans="1:17">
      <c r="A53" s="367">
        <v>38</v>
      </c>
      <c r="B53" s="355"/>
      <c r="C53" s="358" t="s">
        <v>1020</v>
      </c>
      <c r="D53" s="355"/>
      <c r="E53" s="1310">
        <f>SCH_E1!G126</f>
        <v>34892043.154492445</v>
      </c>
      <c r="F53" s="1310">
        <f ca="1">H53-E53</f>
        <v>-10218968.845507562</v>
      </c>
      <c r="G53" s="363" t="s">
        <v>583</v>
      </c>
      <c r="H53" s="1310">
        <f ca="1">SCH_E1!K126</f>
        <v>24673074.308984883</v>
      </c>
      <c r="I53" s="355"/>
      <c r="J53" s="1311">
        <f ca="1">N53-H53</f>
        <v>-2129230</v>
      </c>
      <c r="K53" s="355"/>
      <c r="L53" s="363" t="s">
        <v>583</v>
      </c>
      <c r="M53" s="355"/>
      <c r="N53" s="1310">
        <f ca="1">SCH_E1!M126</f>
        <v>22543844.308984883</v>
      </c>
      <c r="O53" s="355"/>
      <c r="P53" s="378">
        <f ca="1">IF(J53+F53=SCH_D1!AK553,J53+F53,"ERROR")</f>
        <v>-12348198.845507562</v>
      </c>
      <c r="Q53" s="355"/>
    </row>
    <row r="54" spans="1:17">
      <c r="A54" s="367">
        <v>39</v>
      </c>
      <c r="B54" s="355"/>
      <c r="C54" s="358" t="s">
        <v>1021</v>
      </c>
      <c r="D54" s="355"/>
      <c r="E54" s="1310">
        <f>SCH_E1!G128</f>
        <v>-11950</v>
      </c>
      <c r="F54" s="1310">
        <f>H54-E54</f>
        <v>634</v>
      </c>
      <c r="G54" s="363" t="s">
        <v>583</v>
      </c>
      <c r="H54" s="1310">
        <f>SCH_E1!K128</f>
        <v>-11316</v>
      </c>
      <c r="I54" s="355"/>
      <c r="J54" s="1311">
        <f>N54-H54</f>
        <v>0</v>
      </c>
      <c r="K54" s="355"/>
      <c r="L54" s="363" t="s">
        <v>583</v>
      </c>
      <c r="M54" s="355"/>
      <c r="N54" s="1310">
        <f>SCH_E1!M128</f>
        <v>-11316</v>
      </c>
      <c r="O54" s="355"/>
      <c r="P54" s="378">
        <f>IF(J54+F54=SCH_D1!AK554,J54+F54,"ERROR")</f>
        <v>634</v>
      </c>
      <c r="Q54" s="355"/>
    </row>
    <row r="55" spans="1:17">
      <c r="A55" s="367">
        <v>40</v>
      </c>
      <c r="B55" s="355"/>
      <c r="C55" s="358" t="s">
        <v>1307</v>
      </c>
      <c r="D55" s="355"/>
      <c r="E55" s="1312">
        <f>SUM(E52:E54)</f>
        <v>14944917.154492445</v>
      </c>
      <c r="F55" s="1312">
        <f ca="1">SUM(F52:F54)</f>
        <v>-11507455.845507562</v>
      </c>
      <c r="G55" s="363"/>
      <c r="H55" s="1312">
        <f ca="1">SUM(H52:H54)</f>
        <v>3437461.3089848831</v>
      </c>
      <c r="I55" s="355"/>
      <c r="J55" s="1312">
        <f ca="1">SUM(J52:J54)</f>
        <v>321969</v>
      </c>
      <c r="K55" s="355"/>
      <c r="L55" s="363"/>
      <c r="M55" s="355"/>
      <c r="N55" s="1312">
        <f ca="1">SUM(N52:N54)</f>
        <v>3759430.3089848831</v>
      </c>
      <c r="O55" s="355"/>
      <c r="P55" s="379">
        <f ca="1">SUM(P52:P54)</f>
        <v>-11185486.845507562</v>
      </c>
      <c r="Q55" s="355"/>
    </row>
    <row r="56" spans="1:17">
      <c r="A56" s="367">
        <v>41</v>
      </c>
      <c r="B56" s="355"/>
      <c r="C56" s="355"/>
      <c r="D56" s="355"/>
      <c r="E56" s="380"/>
      <c r="F56" s="355"/>
      <c r="G56" s="363"/>
      <c r="H56" s="1310"/>
      <c r="I56" s="355"/>
      <c r="J56" s="355"/>
      <c r="K56" s="355"/>
      <c r="L56" s="363"/>
      <c r="M56" s="355"/>
      <c r="N56" s="355"/>
      <c r="O56" s="355"/>
      <c r="P56" s="377"/>
      <c r="Q56" s="355"/>
    </row>
    <row r="57" spans="1:17">
      <c r="A57" s="367">
        <v>42</v>
      </c>
      <c r="B57" s="355"/>
      <c r="C57" s="358" t="s">
        <v>1308</v>
      </c>
      <c r="D57" s="355"/>
      <c r="E57" s="1313">
        <f>E37+E39+E44+E49+E55</f>
        <v>290064430</v>
      </c>
      <c r="F57" s="1313">
        <f ca="1">F37+F39+F44+F49+F55</f>
        <v>12041844.999999996</v>
      </c>
      <c r="G57" s="355"/>
      <c r="H57" s="1313">
        <f ca="1">H37+H39+H44+H49+H55</f>
        <v>302106275</v>
      </c>
      <c r="I57" s="355"/>
      <c r="J57" s="1313">
        <f ca="1">J37+J39+J44+J49+J55</f>
        <v>-13339400</v>
      </c>
      <c r="K57" s="359"/>
      <c r="L57" s="355"/>
      <c r="M57" s="355"/>
      <c r="N57" s="1313">
        <f ca="1">N37+N39+N44+N49+N55</f>
        <v>288766875</v>
      </c>
      <c r="O57" s="355"/>
      <c r="P57" s="385">
        <f ca="1">P37+P39+P44+P49+P55</f>
        <v>-1297555.0000000019</v>
      </c>
      <c r="Q57" s="355"/>
    </row>
    <row r="58" spans="1:17">
      <c r="A58" s="367">
        <v>43</v>
      </c>
      <c r="B58" s="355"/>
      <c r="C58" s="355"/>
      <c r="D58" s="355"/>
      <c r="E58" s="380"/>
      <c r="F58" s="355"/>
      <c r="G58" s="355"/>
      <c r="H58" s="1310"/>
      <c r="I58" s="355"/>
      <c r="J58" s="355"/>
      <c r="K58" s="355"/>
      <c r="L58" s="355"/>
      <c r="M58" s="355"/>
      <c r="N58" s="355"/>
      <c r="O58" s="356"/>
      <c r="P58" s="377"/>
      <c r="Q58" s="356"/>
    </row>
    <row r="59" spans="1:17" ht="13.5" thickBot="1">
      <c r="A59" s="367">
        <v>44</v>
      </c>
      <c r="B59" s="355"/>
      <c r="C59" s="358" t="s">
        <v>1492</v>
      </c>
      <c r="D59" s="355"/>
      <c r="E59" s="1314">
        <f>IF(E20-E57='SCH_C2.1 - Base Period'!J372,E20-E57,"check C-2.1 !")</f>
        <v>36387908</v>
      </c>
      <c r="F59" s="386">
        <f ca="1">F20-F57</f>
        <v>-17175228.999999996</v>
      </c>
      <c r="G59" s="355"/>
      <c r="H59" s="1314">
        <f ca="1">IF(H20-H57='SCH_C2.1 - Forecasted Period'!J375,H20-H57,"check C-2.1 !")</f>
        <v>19212679</v>
      </c>
      <c r="I59" s="355"/>
      <c r="J59" s="386">
        <f ca="1">J20-J57</f>
        <v>878392</v>
      </c>
      <c r="K59" s="359"/>
      <c r="L59" s="359"/>
      <c r="M59" s="355"/>
      <c r="N59" s="386">
        <f ca="1">N20-N57</f>
        <v>20091071</v>
      </c>
      <c r="O59" s="356"/>
      <c r="P59" s="385">
        <f ca="1">P20-P57</f>
        <v>-16296836.999999998</v>
      </c>
      <c r="Q59" s="356"/>
    </row>
    <row r="60" spans="1:17" ht="13.5" thickTop="1">
      <c r="A60" s="355"/>
      <c r="B60" s="355"/>
      <c r="C60" s="355"/>
      <c r="D60" s="355"/>
      <c r="E60" s="1315"/>
      <c r="F60" s="1310"/>
      <c r="G60" s="355"/>
      <c r="H60" s="1315"/>
      <c r="I60" s="355"/>
      <c r="J60" s="355"/>
      <c r="K60" s="355"/>
      <c r="L60" s="355"/>
      <c r="M60" s="355"/>
      <c r="N60" s="355"/>
      <c r="O60" s="356"/>
      <c r="P60" s="356"/>
      <c r="Q60" s="356"/>
    </row>
    <row r="61" spans="1:17">
      <c r="A61" s="355"/>
      <c r="B61" s="358"/>
      <c r="C61" s="355"/>
      <c r="D61" s="355"/>
      <c r="E61" s="1311"/>
      <c r="F61" s="355"/>
      <c r="G61" s="355"/>
      <c r="H61" s="1311"/>
      <c r="I61" s="355"/>
      <c r="J61" s="355"/>
      <c r="K61" s="355"/>
      <c r="L61" s="355"/>
      <c r="M61" s="355"/>
      <c r="N61" s="1311"/>
      <c r="O61" s="356"/>
      <c r="P61" s="356"/>
      <c r="Q61" s="356"/>
    </row>
    <row r="62" spans="1:17">
      <c r="A62" s="356"/>
      <c r="B62" s="356"/>
      <c r="C62" s="356"/>
      <c r="D62" s="356"/>
      <c r="E62" s="387"/>
      <c r="F62" s="359"/>
      <c r="G62" s="359"/>
      <c r="H62" s="387"/>
      <c r="I62" s="356"/>
      <c r="J62" s="356"/>
      <c r="K62" s="356"/>
      <c r="L62" s="356"/>
      <c r="M62" s="356"/>
      <c r="N62" s="356"/>
      <c r="O62" s="356"/>
      <c r="P62" s="356"/>
      <c r="Q62" s="356"/>
    </row>
    <row r="63" spans="1:17">
      <c r="A63" s="388"/>
      <c r="B63" s="356"/>
      <c r="C63" s="392"/>
      <c r="D63" s="356"/>
      <c r="E63" s="2798"/>
      <c r="F63" s="2798"/>
      <c r="G63" s="356"/>
      <c r="H63" s="2798"/>
      <c r="I63" s="356"/>
      <c r="J63" s="2798"/>
      <c r="K63" s="356"/>
      <c r="L63" s="356"/>
      <c r="M63" s="356"/>
      <c r="N63" s="2798"/>
      <c r="O63" s="356"/>
      <c r="P63" s="356"/>
      <c r="Q63" s="356"/>
    </row>
    <row r="64" spans="1:17">
      <c r="A64" s="356"/>
      <c r="B64" s="356"/>
      <c r="C64" s="392"/>
      <c r="D64" s="356"/>
      <c r="E64" s="2386"/>
      <c r="F64" s="2387"/>
      <c r="G64" s="387"/>
      <c r="H64" s="2386"/>
      <c r="I64" s="387"/>
      <c r="J64" s="2387"/>
      <c r="K64" s="387"/>
      <c r="L64" s="387"/>
      <c r="M64" s="387"/>
      <c r="N64" s="2387"/>
      <c r="O64" s="356"/>
      <c r="P64" s="356"/>
      <c r="Q64" s="356"/>
    </row>
    <row r="65" spans="1:17">
      <c r="A65" s="356"/>
      <c r="B65" s="356"/>
      <c r="C65" s="392"/>
      <c r="D65" s="356"/>
      <c r="E65" s="2387"/>
      <c r="F65" s="2387"/>
      <c r="G65" s="387"/>
      <c r="H65" s="2387"/>
      <c r="I65" s="387"/>
      <c r="J65" s="2387"/>
      <c r="K65" s="387"/>
      <c r="L65" s="387"/>
      <c r="M65" s="387"/>
      <c r="N65" s="2387"/>
      <c r="O65" s="356"/>
      <c r="P65" s="356"/>
      <c r="Q65" s="356"/>
    </row>
    <row r="66" spans="1:17">
      <c r="A66" s="356"/>
      <c r="B66" s="356"/>
      <c r="C66" s="392"/>
      <c r="D66" s="356"/>
      <c r="E66" s="2387"/>
      <c r="F66" s="2387"/>
      <c r="G66" s="387"/>
      <c r="H66" s="2387"/>
      <c r="I66" s="387"/>
      <c r="J66" s="2387"/>
      <c r="K66" s="387"/>
      <c r="L66" s="387"/>
      <c r="M66" s="387"/>
      <c r="N66" s="2387"/>
      <c r="O66" s="356"/>
      <c r="P66" s="356"/>
      <c r="Q66" s="356"/>
    </row>
    <row r="67" spans="1:17">
      <c r="A67" s="356"/>
      <c r="B67" s="356"/>
      <c r="C67" s="392"/>
      <c r="D67" s="356"/>
      <c r="E67" s="2387"/>
      <c r="F67" s="2387"/>
      <c r="G67" s="387"/>
      <c r="H67" s="2387"/>
      <c r="I67" s="387"/>
      <c r="J67" s="2387"/>
      <c r="K67" s="387"/>
      <c r="L67" s="387"/>
      <c r="M67" s="387"/>
      <c r="N67" s="2387"/>
      <c r="O67" s="356"/>
      <c r="P67" s="356"/>
      <c r="Q67" s="356"/>
    </row>
    <row r="68" spans="1:17">
      <c r="A68" s="356"/>
      <c r="B68" s="356"/>
      <c r="C68" s="392"/>
      <c r="D68" s="356"/>
      <c r="E68" s="2387"/>
      <c r="F68" s="2387"/>
      <c r="G68" s="387"/>
      <c r="H68" s="2387"/>
      <c r="I68" s="387"/>
      <c r="J68" s="2387"/>
      <c r="K68" s="387"/>
      <c r="L68" s="387"/>
      <c r="M68" s="387"/>
      <c r="N68" s="2387"/>
      <c r="O68" s="356"/>
      <c r="P68" s="356"/>
      <c r="Q68" s="356"/>
    </row>
    <row r="69" spans="1:17">
      <c r="A69" s="356"/>
      <c r="B69" s="356"/>
      <c r="C69" s="392"/>
      <c r="D69" s="356"/>
      <c r="E69" s="2386"/>
      <c r="F69" s="2387"/>
      <c r="G69" s="387"/>
      <c r="H69" s="2386"/>
      <c r="I69" s="387"/>
      <c r="J69" s="2386"/>
      <c r="K69" s="387"/>
      <c r="L69" s="387"/>
      <c r="M69" s="387"/>
      <c r="N69" s="2386"/>
      <c r="O69" s="364"/>
      <c r="P69" s="361"/>
      <c r="Q69" s="361"/>
    </row>
    <row r="70" spans="1:17">
      <c r="A70" s="356"/>
      <c r="B70" s="356"/>
      <c r="C70" s="392"/>
      <c r="D70" s="356"/>
      <c r="E70" s="2386"/>
      <c r="F70" s="2387"/>
      <c r="G70" s="387"/>
      <c r="H70" s="2386"/>
      <c r="I70" s="387"/>
      <c r="J70" s="2386"/>
      <c r="K70" s="387"/>
      <c r="L70" s="387"/>
      <c r="M70" s="387"/>
      <c r="N70" s="2387"/>
      <c r="O70" s="364"/>
      <c r="P70" s="361"/>
      <c r="Q70" s="361"/>
    </row>
    <row r="71" spans="1:17">
      <c r="A71" s="356"/>
      <c r="B71" s="356"/>
      <c r="C71" s="392"/>
      <c r="D71" s="356"/>
      <c r="E71" s="2387"/>
      <c r="F71" s="2387"/>
      <c r="G71" s="2388"/>
      <c r="H71" s="2387"/>
      <c r="I71" s="2387"/>
      <c r="J71" s="2387"/>
      <c r="K71" s="2388"/>
      <c r="L71" s="2388"/>
      <c r="M71" s="2388"/>
      <c r="N71" s="2387"/>
      <c r="O71" s="390"/>
      <c r="P71" s="361"/>
      <c r="Q71" s="361"/>
    </row>
    <row r="72" spans="1:17">
      <c r="A72" s="356"/>
      <c r="B72" s="356"/>
      <c r="C72" s="392"/>
      <c r="D72" s="356"/>
      <c r="E72" s="2389"/>
      <c r="F72" s="2389"/>
      <c r="G72" s="356"/>
      <c r="H72" s="2389"/>
      <c r="I72" s="356"/>
      <c r="J72" s="2389"/>
      <c r="K72" s="356"/>
      <c r="L72" s="356"/>
      <c r="M72" s="356"/>
      <c r="N72" s="2389"/>
      <c r="O72" s="364"/>
      <c r="P72" s="361"/>
      <c r="Q72" s="361"/>
    </row>
    <row r="73" spans="1:17">
      <c r="A73" s="356"/>
      <c r="B73" s="356"/>
      <c r="C73" s="392"/>
      <c r="D73" s="356"/>
      <c r="E73" s="392"/>
      <c r="F73" s="356"/>
      <c r="G73" s="356"/>
      <c r="H73" s="392"/>
      <c r="I73" s="356"/>
      <c r="J73" s="356"/>
      <c r="K73" s="356"/>
      <c r="L73" s="356"/>
      <c r="M73" s="356"/>
      <c r="N73" s="392"/>
      <c r="O73" s="388"/>
      <c r="P73" s="356"/>
      <c r="Q73" s="356"/>
    </row>
    <row r="74" spans="1:17">
      <c r="A74" s="364"/>
      <c r="B74" s="361"/>
      <c r="C74" s="392"/>
      <c r="D74" s="361"/>
      <c r="E74" s="392"/>
      <c r="F74" s="361"/>
      <c r="G74" s="361"/>
      <c r="H74" s="392"/>
      <c r="I74" s="361"/>
      <c r="J74" s="361"/>
      <c r="K74" s="361"/>
      <c r="L74" s="361"/>
      <c r="M74" s="361"/>
      <c r="N74" s="392"/>
      <c r="O74" s="393"/>
      <c r="P74" s="356"/>
      <c r="Q74" s="356"/>
    </row>
    <row r="75" spans="1:17">
      <c r="A75" s="388"/>
      <c r="B75" s="356"/>
      <c r="C75" s="356"/>
      <c r="D75" s="356"/>
      <c r="E75" s="356"/>
      <c r="F75" s="356"/>
      <c r="G75" s="356"/>
      <c r="H75" s="356"/>
      <c r="I75" s="356"/>
      <c r="J75" s="356"/>
      <c r="K75" s="356"/>
      <c r="L75" s="356"/>
      <c r="M75" s="356"/>
      <c r="N75" s="355"/>
      <c r="O75" s="389"/>
      <c r="P75" s="388"/>
      <c r="Q75" s="356"/>
    </row>
    <row r="76" spans="1:17">
      <c r="A76" s="356"/>
      <c r="B76" s="356"/>
      <c r="C76" s="356"/>
      <c r="D76" s="356"/>
      <c r="E76" s="356"/>
      <c r="F76" s="356"/>
      <c r="G76" s="356"/>
      <c r="H76" s="356"/>
      <c r="I76" s="356"/>
      <c r="J76" s="356"/>
      <c r="K76" s="356"/>
      <c r="L76" s="356"/>
      <c r="M76" s="356"/>
      <c r="N76" s="355"/>
      <c r="O76" s="389"/>
      <c r="P76" s="388"/>
      <c r="Q76" s="356"/>
    </row>
    <row r="77" spans="1:17">
      <c r="A77" s="388"/>
      <c r="B77" s="356"/>
      <c r="C77" s="356"/>
      <c r="D77" s="356"/>
      <c r="E77" s="394"/>
      <c r="F77" s="394"/>
      <c r="G77" s="394"/>
      <c r="H77" s="394"/>
      <c r="I77" s="394"/>
      <c r="J77" s="394"/>
      <c r="K77" s="394"/>
      <c r="L77" s="394"/>
      <c r="M77" s="394"/>
      <c r="N77" s="355"/>
      <c r="O77" s="389"/>
      <c r="P77" s="388"/>
      <c r="Q77" s="356"/>
    </row>
    <row r="78" spans="1:17">
      <c r="A78" s="395"/>
      <c r="B78" s="356"/>
      <c r="C78" s="395"/>
      <c r="D78" s="356"/>
      <c r="E78" s="395"/>
      <c r="F78" s="395"/>
      <c r="G78" s="395"/>
      <c r="H78" s="395"/>
      <c r="I78" s="395"/>
      <c r="J78" s="395"/>
      <c r="K78" s="395"/>
      <c r="L78" s="395"/>
      <c r="M78" s="395"/>
      <c r="N78" s="355"/>
      <c r="O78" s="389"/>
      <c r="P78" s="388"/>
      <c r="Q78" s="356"/>
    </row>
    <row r="79" spans="1:17">
      <c r="A79" s="389"/>
      <c r="B79" s="372"/>
      <c r="C79" s="388"/>
      <c r="D79" s="356"/>
      <c r="E79" s="359"/>
      <c r="F79" s="359"/>
      <c r="G79" s="359"/>
      <c r="H79" s="356"/>
      <c r="I79" s="356"/>
      <c r="J79" s="356"/>
      <c r="K79" s="356"/>
      <c r="L79" s="356"/>
      <c r="M79" s="356"/>
      <c r="N79" s="355"/>
      <c r="O79" s="389"/>
      <c r="P79" s="388"/>
      <c r="Q79" s="356"/>
    </row>
    <row r="80" spans="1:17">
      <c r="A80" s="389"/>
      <c r="B80" s="372"/>
      <c r="C80" s="388"/>
      <c r="D80" s="356"/>
      <c r="E80" s="373"/>
      <c r="F80" s="373"/>
      <c r="G80" s="373"/>
      <c r="H80" s="356"/>
      <c r="I80" s="356"/>
      <c r="J80" s="356"/>
      <c r="K80" s="356"/>
      <c r="L80" s="356"/>
      <c r="M80" s="356"/>
      <c r="N80" s="355"/>
      <c r="O80" s="389"/>
      <c r="P80" s="388"/>
      <c r="Q80" s="356"/>
    </row>
    <row r="81" spans="1:17">
      <c r="A81" s="389"/>
      <c r="B81" s="356"/>
      <c r="C81" s="388"/>
      <c r="D81" s="356"/>
      <c r="E81" s="373"/>
      <c r="F81" s="373"/>
      <c r="G81" s="373"/>
      <c r="H81" s="356"/>
      <c r="I81" s="356"/>
      <c r="J81" s="356"/>
      <c r="K81" s="356"/>
      <c r="L81" s="356"/>
      <c r="M81" s="356"/>
      <c r="N81" s="355"/>
      <c r="O81" s="389"/>
      <c r="P81" s="388"/>
      <c r="Q81" s="356"/>
    </row>
    <row r="82" spans="1:17">
      <c r="A82" s="389"/>
      <c r="B82" s="356"/>
      <c r="C82" s="388"/>
      <c r="D82" s="356"/>
      <c r="E82" s="373"/>
      <c r="F82" s="373"/>
      <c r="G82" s="373"/>
      <c r="H82" s="356"/>
      <c r="I82" s="356"/>
      <c r="J82" s="356"/>
      <c r="K82" s="356"/>
      <c r="L82" s="356"/>
      <c r="M82" s="356"/>
      <c r="N82" s="355"/>
      <c r="O82" s="389"/>
      <c r="P82" s="388"/>
      <c r="Q82" s="356"/>
    </row>
    <row r="83" spans="1:17">
      <c r="A83" s="389"/>
      <c r="B83" s="356"/>
      <c r="C83" s="388"/>
      <c r="D83" s="356"/>
      <c r="E83" s="373"/>
      <c r="F83" s="373"/>
      <c r="G83" s="373"/>
      <c r="H83" s="356"/>
      <c r="I83" s="356"/>
      <c r="J83" s="356"/>
      <c r="K83" s="356"/>
      <c r="L83" s="356"/>
      <c r="M83" s="356"/>
      <c r="N83" s="355"/>
      <c r="O83" s="389"/>
      <c r="P83" s="356"/>
      <c r="Q83" s="356"/>
    </row>
    <row r="84" spans="1:17">
      <c r="A84" s="389"/>
      <c r="B84" s="356"/>
      <c r="C84" s="388"/>
      <c r="D84" s="356"/>
      <c r="E84" s="373"/>
      <c r="F84" s="373"/>
      <c r="G84" s="373"/>
      <c r="H84" s="356"/>
      <c r="I84" s="356"/>
      <c r="J84" s="356"/>
      <c r="K84" s="356"/>
      <c r="L84" s="356"/>
      <c r="M84" s="356"/>
      <c r="N84" s="355"/>
      <c r="O84" s="389"/>
      <c r="P84" s="388"/>
      <c r="Q84" s="356"/>
    </row>
    <row r="85" spans="1:17">
      <c r="A85" s="389"/>
      <c r="B85" s="356"/>
      <c r="C85" s="388"/>
      <c r="D85" s="356"/>
      <c r="E85" s="373"/>
      <c r="F85" s="373"/>
      <c r="G85" s="373"/>
      <c r="H85" s="356"/>
      <c r="I85" s="356"/>
      <c r="J85" s="356"/>
      <c r="K85" s="356"/>
      <c r="L85" s="356"/>
      <c r="M85" s="356"/>
      <c r="N85" s="355"/>
      <c r="O85" s="389"/>
      <c r="P85" s="388"/>
      <c r="Q85" s="356"/>
    </row>
    <row r="86" spans="1:17">
      <c r="A86" s="389"/>
      <c r="B86" s="356"/>
      <c r="C86" s="388"/>
      <c r="D86" s="356"/>
      <c r="E86" s="359"/>
      <c r="F86" s="359"/>
      <c r="G86" s="359"/>
      <c r="H86" s="356"/>
      <c r="I86" s="356"/>
      <c r="J86" s="356"/>
      <c r="K86" s="356"/>
      <c r="L86" s="356"/>
      <c r="M86" s="356"/>
      <c r="N86" s="355"/>
      <c r="O86" s="389"/>
      <c r="P86" s="388"/>
      <c r="Q86" s="356"/>
    </row>
    <row r="111" spans="43:43"/>
  </sheetData>
  <phoneticPr fontId="19" type="noConversion"/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2" tint="-0.499984740745262"/>
  </sheetPr>
  <dimension ref="A1:BC283"/>
  <sheetViews>
    <sheetView tabSelected="1" view="pageLayout" zoomScaleNormal="78" workbookViewId="0">
      <selection activeCell="G1" sqref="G1"/>
    </sheetView>
  </sheetViews>
  <sheetFormatPr defaultColWidth="8" defaultRowHeight="12.75"/>
  <cols>
    <col min="1" max="1" width="7" style="18" customWidth="1"/>
    <col min="2" max="2" width="0.5703125" style="18" customWidth="1"/>
    <col min="3" max="3" width="42.140625" style="18" customWidth="1"/>
    <col min="4" max="4" width="1.42578125" style="18" customWidth="1"/>
    <col min="5" max="5" width="15.5703125" style="18" customWidth="1"/>
    <col min="6" max="6" width="16" style="18" customWidth="1"/>
    <col min="7" max="7" width="16.5703125" style="18" customWidth="1"/>
    <col min="8" max="8" width="1.28515625" style="18" customWidth="1"/>
    <col min="9" max="9" width="17.140625" style="18" customWidth="1"/>
    <col min="10" max="10" width="2.140625" style="18" customWidth="1"/>
    <col min="11" max="11" width="8" style="18" customWidth="1"/>
    <col min="12" max="12" width="2.140625" style="18" customWidth="1"/>
    <col min="13" max="13" width="30.28515625" style="18" customWidth="1"/>
    <col min="14" max="14" width="3.42578125" style="18" customWidth="1"/>
    <col min="15" max="15" width="17.140625" style="18" customWidth="1"/>
    <col min="16" max="16" width="16.85546875" style="18" customWidth="1"/>
    <col min="17" max="17" width="15.42578125" style="18" customWidth="1"/>
    <col min="18" max="18" width="1.42578125" style="18" customWidth="1"/>
    <col min="19" max="19" width="15.5703125" style="18" customWidth="1"/>
    <col min="20" max="20" width="13.42578125" style="18" customWidth="1"/>
    <col min="21" max="21" width="6.28515625" style="18" customWidth="1"/>
    <col min="22" max="22" width="1" style="18" customWidth="1"/>
    <col min="23" max="23" width="31.28515625" style="18" customWidth="1"/>
    <col min="24" max="24" width="0.85546875" style="18" customWidth="1"/>
    <col min="25" max="25" width="14.5703125" style="18" customWidth="1"/>
    <col min="26" max="27" width="15" style="18" customWidth="1"/>
    <col min="28" max="28" width="14.42578125" style="18" customWidth="1"/>
    <col min="29" max="29" width="15.42578125" style="18" customWidth="1"/>
    <col min="30" max="30" width="15.5703125" style="18" customWidth="1"/>
    <col min="31" max="34" width="13.85546875" style="18" customWidth="1"/>
    <col min="35" max="35" width="15" style="18" customWidth="1"/>
    <col min="36" max="36" width="14.5703125" style="18" customWidth="1"/>
    <col min="37" max="37" width="16.42578125" style="18" customWidth="1"/>
    <col min="38" max="38" width="8" style="18" customWidth="1"/>
    <col min="39" max="39" width="7.140625" style="18" customWidth="1"/>
    <col min="40" max="40" width="15.5703125" style="18" customWidth="1"/>
    <col min="41" max="41" width="15.7109375" style="18" customWidth="1"/>
    <col min="42" max="43" width="17.42578125" style="18" customWidth="1"/>
    <col min="44" max="44" width="15" style="18" customWidth="1"/>
    <col min="45" max="45" width="15.5703125" style="18" customWidth="1"/>
    <col min="46" max="46" width="15.42578125" style="18" customWidth="1"/>
    <col min="47" max="49" width="14" style="18" customWidth="1"/>
    <col min="50" max="50" width="15" style="18" customWidth="1"/>
    <col min="51" max="51" width="16.7109375" style="18" customWidth="1"/>
    <col min="52" max="52" width="15" style="18" customWidth="1"/>
    <col min="53" max="53" width="16.7109375" style="18" customWidth="1"/>
    <col min="54" max="16384" width="8" style="18"/>
  </cols>
  <sheetData>
    <row r="1" spans="1:55">
      <c r="A1" s="1581" t="str">
        <f>COMPANY</f>
        <v>DUKE ENERGY KENTUCKY, INC.</v>
      </c>
      <c r="B1" s="1571"/>
      <c r="C1" s="1571"/>
      <c r="D1" s="1571"/>
      <c r="E1" s="1571"/>
      <c r="F1" s="1571"/>
      <c r="G1" s="337" t="s">
        <v>1493</v>
      </c>
      <c r="H1" s="1571"/>
      <c r="I1" s="1571"/>
      <c r="J1" s="1571"/>
      <c r="K1" s="1571"/>
      <c r="L1" s="1571"/>
      <c r="M1" s="1571"/>
      <c r="N1" s="1571"/>
      <c r="O1" s="1571"/>
      <c r="P1" s="1571"/>
      <c r="Q1" s="1571"/>
      <c r="R1" s="1571"/>
      <c r="S1" s="1571"/>
      <c r="T1" s="1571"/>
      <c r="U1" s="1571"/>
      <c r="V1" s="1571"/>
      <c r="W1" s="1571"/>
      <c r="X1" s="1571"/>
      <c r="Y1" s="1571"/>
      <c r="Z1" s="1571"/>
      <c r="AA1" s="1571"/>
      <c r="AB1" s="1571"/>
      <c r="AC1" s="1571"/>
      <c r="AD1" s="1571"/>
      <c r="AE1" s="1571"/>
      <c r="AF1" s="1571"/>
      <c r="AG1" s="1571"/>
      <c r="AH1" s="1571"/>
      <c r="AI1" s="1571"/>
      <c r="AJ1" s="1571"/>
      <c r="AK1" s="1571"/>
      <c r="AL1" s="1571"/>
      <c r="AM1" s="1571"/>
      <c r="AN1" s="1571"/>
      <c r="AO1" s="1571"/>
      <c r="AP1" s="1571"/>
      <c r="AQ1" s="1571"/>
      <c r="AR1" s="1571"/>
      <c r="AS1" s="1571"/>
      <c r="AT1" s="1571"/>
      <c r="AU1" s="1571"/>
      <c r="AV1" s="1571"/>
      <c r="AW1" s="1571"/>
      <c r="AX1" s="1571"/>
      <c r="AY1" s="1571"/>
      <c r="AZ1" s="1571"/>
      <c r="BA1" s="1571"/>
      <c r="BB1" s="1571"/>
      <c r="BC1" s="1571"/>
    </row>
    <row r="2" spans="1:55">
      <c r="A2" s="396" t="str">
        <f>CASE</f>
        <v>CASE NO. 2017-00321</v>
      </c>
      <c r="B2" s="1571"/>
      <c r="C2" s="1571"/>
      <c r="D2" s="1571"/>
      <c r="E2" s="1571"/>
      <c r="F2" s="1571"/>
      <c r="G2" s="1581" t="s">
        <v>1494</v>
      </c>
      <c r="H2" s="1571"/>
      <c r="I2" s="1571"/>
      <c r="J2" s="1571"/>
      <c r="K2" s="1571"/>
      <c r="L2" s="1571"/>
      <c r="M2" s="1571"/>
      <c r="N2" s="1571"/>
      <c r="O2" s="1571"/>
      <c r="P2" s="1571"/>
      <c r="Q2" s="1571"/>
      <c r="R2" s="1571"/>
      <c r="S2" s="1571"/>
      <c r="T2" s="1571"/>
      <c r="U2" s="1571"/>
      <c r="V2" s="1571"/>
      <c r="W2" s="1571"/>
      <c r="X2" s="1571"/>
      <c r="Y2" s="1571"/>
      <c r="Z2" s="1571"/>
      <c r="AA2" s="1571"/>
      <c r="AB2" s="1571"/>
      <c r="AC2" s="1571"/>
      <c r="AD2" s="1571"/>
      <c r="AE2" s="1571"/>
      <c r="AF2" s="1571"/>
      <c r="AG2" s="1571"/>
      <c r="AH2" s="1571"/>
      <c r="AI2" s="1571"/>
      <c r="AJ2" s="1571"/>
      <c r="AK2" s="1571"/>
      <c r="AL2" s="1571"/>
      <c r="AM2" s="1571"/>
      <c r="AN2" s="1571"/>
      <c r="AO2" s="1571"/>
      <c r="AP2" s="1571"/>
      <c r="AQ2" s="1571"/>
      <c r="AR2" s="1571"/>
      <c r="AS2" s="1571"/>
      <c r="AT2" s="1571"/>
      <c r="AU2" s="1571"/>
      <c r="AV2" s="1571"/>
      <c r="AW2" s="1571"/>
      <c r="AX2" s="1571"/>
      <c r="AY2" s="1571"/>
      <c r="AZ2" s="1571"/>
      <c r="BA2" s="1571"/>
      <c r="BB2" s="1571"/>
      <c r="BC2" s="1571"/>
    </row>
    <row r="3" spans="1:55">
      <c r="A3" s="1581" t="str">
        <f>DEPT</f>
        <v>ELECTRIC DEPARTMENT</v>
      </c>
      <c r="B3" s="1571"/>
      <c r="C3" s="1571"/>
      <c r="D3" s="1571"/>
      <c r="E3" s="1571"/>
      <c r="F3" s="1571"/>
      <c r="G3" s="1571" t="str">
        <f>"      "&amp;_WIT1</f>
        <v xml:space="preserve">      S. E. LAWLER</v>
      </c>
      <c r="H3" s="1571"/>
      <c r="I3" s="1571"/>
      <c r="J3" s="1571"/>
      <c r="K3" s="1571"/>
      <c r="L3" s="1571"/>
      <c r="M3" s="1571"/>
      <c r="N3" s="1571"/>
      <c r="O3" s="1571"/>
      <c r="P3" s="1571"/>
      <c r="Q3" s="1571"/>
      <c r="R3" s="1571"/>
      <c r="S3" s="1571"/>
      <c r="T3" s="1571"/>
      <c r="U3" s="1571"/>
      <c r="V3" s="1571"/>
      <c r="W3" s="1571"/>
      <c r="X3" s="1571"/>
      <c r="Y3" s="1571"/>
      <c r="Z3" s="1571"/>
      <c r="AA3" s="1571"/>
      <c r="AB3" s="1571"/>
      <c r="AC3" s="1571"/>
      <c r="AD3" s="1571"/>
      <c r="AE3" s="1571"/>
      <c r="AF3" s="1571"/>
      <c r="AG3" s="1571"/>
      <c r="AH3" s="1571"/>
      <c r="AI3" s="1571"/>
      <c r="AJ3" s="1571"/>
      <c r="AK3" s="1571"/>
      <c r="AL3" s="1571"/>
      <c r="AM3" s="1571"/>
      <c r="AN3" s="1571"/>
      <c r="AO3" s="1571"/>
      <c r="AP3" s="1571"/>
      <c r="AQ3" s="1571"/>
      <c r="AR3" s="1571"/>
      <c r="AS3" s="1571"/>
      <c r="AT3" s="1571"/>
      <c r="AU3" s="1571"/>
      <c r="AV3" s="1571"/>
      <c r="AW3" s="1571"/>
      <c r="AX3" s="1571"/>
      <c r="AY3" s="1571"/>
      <c r="AZ3" s="1571"/>
      <c r="BA3" s="1571"/>
      <c r="BB3" s="1571"/>
      <c r="BC3" s="1571"/>
    </row>
    <row r="4" spans="1:55">
      <c r="A4" s="1581" t="str">
        <f>PERIOD</f>
        <v>FOR THE TWELVE MONTHS ENDED NOVEMBER 30, 2017</v>
      </c>
      <c r="B4" s="1571"/>
      <c r="C4" s="1571"/>
      <c r="D4" s="1571"/>
      <c r="E4" s="1571"/>
      <c r="F4" s="1571"/>
      <c r="G4" s="1571"/>
      <c r="H4" s="1571"/>
      <c r="I4" s="1571"/>
      <c r="J4" s="1571"/>
      <c r="K4" s="1571"/>
      <c r="L4" s="1571"/>
      <c r="M4" s="1571"/>
      <c r="N4" s="1571"/>
      <c r="O4" s="1571"/>
      <c r="P4" s="1571"/>
      <c r="Q4" s="1571"/>
      <c r="R4" s="1571"/>
      <c r="S4" s="1571"/>
      <c r="T4" s="1571"/>
      <c r="U4" s="1571"/>
      <c r="V4" s="1571"/>
      <c r="W4" s="1571"/>
      <c r="X4" s="1571"/>
      <c r="Y4" s="1571"/>
      <c r="Z4" s="1571"/>
      <c r="AA4" s="1571"/>
      <c r="AB4" s="1571"/>
      <c r="AC4" s="1571"/>
      <c r="AD4" s="1571"/>
      <c r="AE4" s="1571"/>
      <c r="AF4" s="1571"/>
      <c r="AG4" s="1571"/>
      <c r="AH4" s="1571"/>
      <c r="AI4" s="1571"/>
      <c r="AJ4" s="1571"/>
      <c r="AK4" s="1571"/>
      <c r="AL4" s="1571"/>
      <c r="AM4" s="1571"/>
      <c r="AN4" s="1571"/>
      <c r="AO4" s="1571"/>
      <c r="AP4" s="1571"/>
      <c r="AQ4" s="1571"/>
      <c r="AR4" s="1571"/>
      <c r="AS4" s="1571"/>
      <c r="AT4" s="1571"/>
      <c r="AU4" s="1571"/>
      <c r="AV4" s="1571"/>
      <c r="AW4" s="1571"/>
      <c r="AX4" s="1571"/>
      <c r="AY4" s="1571"/>
      <c r="AZ4" s="1571"/>
      <c r="BA4" s="1571"/>
      <c r="BB4" s="1571"/>
      <c r="BC4" s="1571"/>
    </row>
    <row r="5" spans="1:55">
      <c r="A5" s="1581" t="str">
        <f>LOGO!B12</f>
        <v>DATA: "X" BASE PERIOD   FORECASTED PERIOD</v>
      </c>
      <c r="B5" s="1571"/>
      <c r="C5" s="1571"/>
      <c r="D5" s="1571"/>
      <c r="E5" s="1571"/>
      <c r="F5" s="1571"/>
      <c r="G5" s="1571"/>
      <c r="H5" s="1571"/>
      <c r="I5" s="1571"/>
      <c r="J5" s="1571"/>
      <c r="K5" s="1571"/>
      <c r="L5" s="1571"/>
      <c r="M5" s="1571"/>
      <c r="N5" s="1571"/>
      <c r="O5" s="1571"/>
      <c r="P5" s="1571"/>
      <c r="Q5" s="1571"/>
      <c r="R5" s="1571"/>
      <c r="S5" s="1571"/>
      <c r="T5" s="1571"/>
      <c r="U5" s="1571"/>
      <c r="V5" s="1571"/>
      <c r="W5" s="1571"/>
      <c r="X5" s="1571"/>
      <c r="Y5" s="1571"/>
      <c r="Z5" s="1571"/>
      <c r="AA5" s="1571"/>
      <c r="AB5" s="1571"/>
      <c r="AC5" s="1571"/>
      <c r="AD5" s="1571"/>
      <c r="AE5" s="1571"/>
      <c r="AF5" s="1571"/>
      <c r="AG5" s="1571"/>
      <c r="AH5" s="1571"/>
      <c r="AI5" s="1571"/>
      <c r="AJ5" s="1571"/>
      <c r="AK5" s="1571"/>
      <c r="AL5" s="1571"/>
      <c r="AM5" s="1571"/>
      <c r="AN5" s="1571"/>
      <c r="AO5" s="1571"/>
      <c r="AP5" s="1571"/>
      <c r="AQ5" s="1571"/>
      <c r="AR5" s="1571"/>
      <c r="AS5" s="1571"/>
      <c r="AT5" s="1571"/>
      <c r="AU5" s="1571"/>
      <c r="AV5" s="1571"/>
      <c r="AW5" s="1571"/>
      <c r="AX5" s="1571"/>
      <c r="AY5" s="1571"/>
      <c r="AZ5" s="1571"/>
      <c r="BA5" s="1571"/>
      <c r="BB5" s="1571"/>
      <c r="BC5" s="1571"/>
    </row>
    <row r="6" spans="1:55">
      <c r="A6" s="1581" t="str">
        <f>LOGO!B15</f>
        <v xml:space="preserve">TYPE OF FILING:  "X" ORIGINAL   UPDATED    REVISED  </v>
      </c>
      <c r="B6" s="1571"/>
      <c r="C6" s="1571"/>
      <c r="D6" s="1571"/>
      <c r="E6" s="1571"/>
      <c r="F6" s="1571"/>
      <c r="G6" s="1571"/>
      <c r="H6" s="1571"/>
      <c r="I6" s="1571"/>
      <c r="J6" s="1571"/>
      <c r="K6" s="1571"/>
      <c r="L6" s="1571"/>
      <c r="M6" s="1571"/>
      <c r="N6" s="1571"/>
      <c r="O6" s="1571"/>
      <c r="P6" s="1571"/>
      <c r="Q6" s="1571"/>
      <c r="R6" s="1571"/>
      <c r="S6" s="1571"/>
      <c r="T6" s="1571"/>
      <c r="U6" s="1571"/>
      <c r="V6" s="1571"/>
      <c r="W6" s="1571"/>
      <c r="X6" s="1571"/>
      <c r="Y6" s="1571"/>
      <c r="Z6" s="1571"/>
      <c r="AA6" s="1571"/>
      <c r="AB6" s="1571"/>
      <c r="AC6" s="1571"/>
      <c r="AD6" s="1571"/>
      <c r="AE6" s="1571"/>
      <c r="AF6" s="1571"/>
      <c r="AG6" s="1571"/>
      <c r="AH6" s="1571"/>
      <c r="AI6" s="1571"/>
      <c r="AJ6" s="1571"/>
      <c r="AK6" s="1571"/>
      <c r="AL6" s="1571"/>
      <c r="AM6" s="1571"/>
      <c r="AN6" s="1571"/>
      <c r="AO6" s="1571"/>
      <c r="AP6" s="1571"/>
      <c r="AQ6" s="1571"/>
      <c r="AR6" s="1571"/>
      <c r="AS6" s="1571"/>
      <c r="AT6" s="1571"/>
      <c r="AU6" s="1571"/>
      <c r="AV6" s="1571"/>
      <c r="AW6" s="1571"/>
      <c r="AX6" s="1571"/>
      <c r="AY6" s="1571"/>
      <c r="AZ6" s="1571"/>
      <c r="BA6" s="1571"/>
      <c r="BB6" s="1571"/>
      <c r="BC6" s="1571"/>
    </row>
    <row r="7" spans="1:55">
      <c r="A7" s="1571"/>
      <c r="B7" s="1571"/>
      <c r="C7" s="1571"/>
      <c r="D7" s="1571"/>
      <c r="E7" s="1571"/>
      <c r="F7" s="1571"/>
      <c r="G7" s="1571"/>
      <c r="H7" s="1571"/>
      <c r="I7" s="1571"/>
      <c r="J7" s="1571"/>
      <c r="K7" s="1571"/>
      <c r="L7" s="1571"/>
      <c r="M7" s="1571"/>
      <c r="N7" s="1571"/>
      <c r="O7" s="1571"/>
      <c r="P7" s="1571"/>
      <c r="Q7" s="1571"/>
      <c r="R7" s="1571"/>
      <c r="S7" s="1571"/>
      <c r="T7" s="1571"/>
      <c r="U7" s="1571"/>
      <c r="V7" s="1571"/>
      <c r="W7" s="1571"/>
      <c r="X7" s="1571"/>
      <c r="Y7" s="1571"/>
      <c r="Z7" s="1571"/>
      <c r="AA7" s="1571"/>
      <c r="AB7" s="1571"/>
      <c r="AC7" s="1571"/>
      <c r="AD7" s="1571"/>
      <c r="AE7" s="1571"/>
      <c r="AF7" s="1571"/>
      <c r="AG7" s="1571"/>
      <c r="AH7" s="1571"/>
      <c r="AI7" s="1571"/>
      <c r="AJ7" s="1571"/>
      <c r="AK7" s="1571"/>
      <c r="AL7" s="1571"/>
      <c r="AM7" s="1571"/>
      <c r="AN7" s="1571"/>
      <c r="AO7" s="1571"/>
      <c r="AP7" s="1571"/>
      <c r="AQ7" s="1571"/>
      <c r="AR7" s="1571"/>
      <c r="AS7" s="1571"/>
      <c r="AT7" s="1571"/>
      <c r="AU7" s="1571"/>
      <c r="AV7" s="1571"/>
      <c r="AW7" s="1571"/>
      <c r="AX7" s="1571"/>
      <c r="AY7" s="1571"/>
      <c r="AZ7" s="1571"/>
      <c r="BA7" s="1571"/>
      <c r="BB7" s="1571"/>
      <c r="BC7" s="1571"/>
    </row>
    <row r="8" spans="1:55">
      <c r="A8" s="1571"/>
      <c r="B8" s="1571"/>
      <c r="C8" s="1571"/>
      <c r="D8" s="1571"/>
      <c r="E8" s="1571"/>
      <c r="F8" s="1571"/>
      <c r="G8" s="1571"/>
      <c r="H8" s="1571"/>
      <c r="I8" s="1458"/>
      <c r="J8" s="1571"/>
      <c r="K8" s="1571"/>
      <c r="L8" s="1571"/>
      <c r="M8" s="1571"/>
      <c r="N8" s="1571"/>
      <c r="O8" s="1571"/>
      <c r="P8" s="1571"/>
      <c r="Q8" s="1571"/>
      <c r="R8" s="1571"/>
      <c r="S8" s="1571"/>
      <c r="T8" s="1571"/>
      <c r="U8" s="1571"/>
      <c r="V8" s="1571"/>
      <c r="W8" s="1571"/>
      <c r="X8" s="1571"/>
      <c r="Y8" s="1571"/>
      <c r="Z8" s="1571"/>
      <c r="AA8" s="1571"/>
      <c r="AB8" s="1571"/>
      <c r="AC8" s="1571"/>
      <c r="AD8" s="1571"/>
      <c r="AE8" s="1571"/>
      <c r="AF8" s="1571"/>
      <c r="AG8" s="1571"/>
      <c r="AH8" s="1571"/>
      <c r="AI8" s="1571"/>
      <c r="AJ8" s="1571"/>
      <c r="AK8" s="1571"/>
      <c r="AL8" s="1571"/>
      <c r="AM8" s="1571"/>
      <c r="AN8" s="1571"/>
      <c r="AO8" s="1571"/>
      <c r="AP8" s="1571"/>
      <c r="AQ8" s="1571"/>
      <c r="AR8" s="1571"/>
      <c r="AS8" s="1571"/>
      <c r="AT8" s="1571"/>
      <c r="AU8" s="1571"/>
      <c r="AV8" s="1571"/>
      <c r="AW8" s="1571"/>
      <c r="AX8" s="1571"/>
      <c r="AY8" s="1571"/>
      <c r="AZ8" s="1571"/>
      <c r="BA8" s="1571"/>
      <c r="BB8" s="1571"/>
      <c r="BC8" s="1571"/>
    </row>
    <row r="9" spans="1:55">
      <c r="A9" s="1571"/>
      <c r="B9" s="1571"/>
      <c r="C9" s="1571"/>
      <c r="D9" s="1571"/>
      <c r="E9" s="397" t="s">
        <v>1981</v>
      </c>
      <c r="F9" s="397"/>
      <c r="G9" s="397"/>
      <c r="H9" s="1571"/>
      <c r="I9" s="2741" t="s">
        <v>1035</v>
      </c>
      <c r="J9" s="1571"/>
      <c r="K9" s="1571"/>
      <c r="L9" s="1571"/>
      <c r="M9" s="1571"/>
      <c r="N9" s="1571"/>
      <c r="O9" s="1571"/>
      <c r="P9" s="1571"/>
      <c r="Q9" s="1571"/>
      <c r="R9" s="1571"/>
      <c r="S9" s="1571"/>
      <c r="T9" s="1571"/>
      <c r="U9" s="1571"/>
      <c r="V9" s="1571"/>
      <c r="W9" s="1571"/>
      <c r="X9" s="1571"/>
      <c r="Y9" s="1571"/>
      <c r="Z9" s="1571"/>
      <c r="AA9" s="1571"/>
      <c r="AB9" s="1571"/>
      <c r="AC9" s="1571"/>
      <c r="AD9" s="1571"/>
      <c r="AE9" s="1571"/>
      <c r="AF9" s="1571"/>
      <c r="AG9" s="1571"/>
      <c r="AH9" s="1571"/>
      <c r="AI9" s="1571"/>
      <c r="AJ9" s="1571"/>
      <c r="AK9" s="1571"/>
      <c r="AL9" s="1571"/>
      <c r="AM9" s="1571"/>
      <c r="AN9" s="1571"/>
      <c r="AO9" s="1571"/>
      <c r="AP9" s="1571"/>
      <c r="AQ9" s="1571"/>
      <c r="AR9" s="1571"/>
      <c r="AS9" s="1571"/>
      <c r="AT9" s="1571"/>
      <c r="AU9" s="1571"/>
      <c r="AV9" s="1571"/>
      <c r="AW9" s="1571"/>
      <c r="AX9" s="1571"/>
      <c r="AY9" s="1571"/>
      <c r="AZ9" s="1571"/>
      <c r="BA9" s="1571"/>
      <c r="BB9" s="1571"/>
      <c r="BC9" s="1571"/>
    </row>
    <row r="10" spans="1:55">
      <c r="A10" s="2741" t="s">
        <v>1961</v>
      </c>
      <c r="B10" s="1571"/>
      <c r="C10" s="1571"/>
      <c r="D10" s="1571"/>
      <c r="E10" s="398" t="s">
        <v>1495</v>
      </c>
      <c r="F10" s="247"/>
      <c r="G10" s="247"/>
      <c r="H10" s="1571"/>
      <c r="I10" s="2741" t="s">
        <v>1496</v>
      </c>
      <c r="J10" s="1571"/>
      <c r="K10" s="1571"/>
      <c r="L10" s="1571"/>
      <c r="M10" s="1571"/>
      <c r="N10" s="1571"/>
      <c r="O10" s="1571"/>
      <c r="P10" s="1571"/>
      <c r="Q10" s="1571"/>
      <c r="R10" s="1571"/>
      <c r="S10" s="1571"/>
      <c r="T10" s="1571"/>
      <c r="U10" s="1571"/>
      <c r="V10" s="1571"/>
      <c r="W10" s="1571"/>
      <c r="X10" s="1571"/>
      <c r="Y10" s="1571"/>
      <c r="Z10" s="1571"/>
      <c r="AA10" s="1571"/>
      <c r="AB10" s="1571"/>
      <c r="AC10" s="1571"/>
      <c r="AD10" s="1571"/>
      <c r="AE10" s="1571"/>
      <c r="AF10" s="1571"/>
      <c r="AG10" s="1571"/>
      <c r="AH10" s="1571"/>
      <c r="AI10" s="1571"/>
      <c r="AJ10" s="1571"/>
      <c r="AK10" s="1571"/>
      <c r="AL10" s="1571"/>
      <c r="AM10" s="1571"/>
      <c r="AN10" s="1571"/>
      <c r="AO10" s="1571"/>
      <c r="AP10" s="1571"/>
      <c r="AQ10" s="1571"/>
      <c r="AR10" s="1571"/>
      <c r="AS10" s="1571"/>
      <c r="AT10" s="1571"/>
      <c r="AU10" s="1571"/>
      <c r="AV10" s="1571"/>
      <c r="AW10" s="1571"/>
      <c r="AX10" s="1571"/>
      <c r="AY10" s="1571"/>
      <c r="AZ10" s="1571"/>
      <c r="BA10" s="1571"/>
      <c r="BB10" s="1571"/>
      <c r="BC10" s="1571"/>
    </row>
    <row r="11" spans="1:55">
      <c r="A11" s="1308" t="s">
        <v>90</v>
      </c>
      <c r="B11" s="1571"/>
      <c r="C11" s="399" t="s">
        <v>1497</v>
      </c>
      <c r="D11" s="1571"/>
      <c r="E11" s="1308" t="s">
        <v>564</v>
      </c>
      <c r="F11" s="1308" t="s">
        <v>347</v>
      </c>
      <c r="G11" s="1308" t="s">
        <v>1498</v>
      </c>
      <c r="H11" s="1571"/>
      <c r="I11" s="1308" t="s">
        <v>1499</v>
      </c>
      <c r="J11" s="1571"/>
      <c r="K11" s="1571"/>
      <c r="L11" s="1571"/>
      <c r="M11" s="1571"/>
      <c r="N11" s="1571"/>
      <c r="O11" s="1571"/>
      <c r="P11" s="1571"/>
      <c r="Q11" s="1571"/>
      <c r="R11" s="1571"/>
      <c r="S11" s="1571"/>
      <c r="T11" s="1571"/>
      <c r="U11" s="1571"/>
      <c r="V11" s="1571"/>
      <c r="W11" s="1571"/>
      <c r="X11" s="1571"/>
      <c r="Y11" s="1571"/>
      <c r="Z11" s="1571"/>
      <c r="AA11" s="1571"/>
      <c r="AB11" s="1571"/>
      <c r="AC11" s="1571"/>
      <c r="AD11" s="1571"/>
      <c r="AE11" s="1571"/>
      <c r="AF11" s="1571"/>
      <c r="AG11" s="1571"/>
      <c r="AH11" s="1571"/>
      <c r="AI11" s="1571"/>
      <c r="AJ11" s="1571"/>
      <c r="AK11" s="1571"/>
      <c r="AL11" s="1571"/>
      <c r="AM11" s="1571"/>
      <c r="AN11" s="1571"/>
      <c r="AO11" s="1571"/>
      <c r="AP11" s="1571"/>
      <c r="AQ11" s="1571"/>
      <c r="AR11" s="1571"/>
      <c r="AS11" s="1571"/>
      <c r="AT11" s="1571"/>
      <c r="AU11" s="1571"/>
      <c r="AV11" s="1571"/>
      <c r="AW11" s="1571"/>
      <c r="AX11" s="1571"/>
      <c r="AY11" s="1571"/>
      <c r="AZ11" s="1571"/>
      <c r="BA11" s="1571"/>
      <c r="BB11" s="1571"/>
      <c r="BC11" s="1571"/>
    </row>
    <row r="12" spans="1:55">
      <c r="A12" s="1571"/>
      <c r="B12" s="1571"/>
      <c r="C12" s="1571"/>
      <c r="D12" s="1571"/>
      <c r="E12" s="1459"/>
      <c r="F12" s="1459"/>
      <c r="G12" s="1459"/>
      <c r="H12" s="1571"/>
      <c r="I12" s="1458"/>
      <c r="J12" s="1571"/>
      <c r="K12" s="1571"/>
      <c r="L12" s="1571"/>
      <c r="M12" s="1571"/>
      <c r="N12" s="1571"/>
      <c r="O12" s="1571"/>
      <c r="P12" s="1571"/>
      <c r="Q12" s="1571"/>
      <c r="R12" s="1571"/>
      <c r="S12" s="1571"/>
      <c r="T12" s="1571"/>
      <c r="U12" s="1571"/>
      <c r="V12" s="1571"/>
      <c r="W12" s="1571"/>
      <c r="X12" s="1571"/>
      <c r="Y12" s="1571"/>
      <c r="Z12" s="1571"/>
      <c r="AA12" s="1571"/>
      <c r="AB12" s="1571"/>
      <c r="AC12" s="1571"/>
      <c r="AD12" s="1571"/>
      <c r="AE12" s="1571"/>
      <c r="AF12" s="1571"/>
      <c r="AG12" s="1571"/>
      <c r="AH12" s="1571"/>
      <c r="AI12" s="1571"/>
      <c r="AJ12" s="1571"/>
      <c r="AK12" s="1571"/>
      <c r="AL12" s="1571"/>
      <c r="AM12" s="1571"/>
      <c r="AN12" s="1571"/>
      <c r="AO12" s="1571"/>
      <c r="AP12" s="1571"/>
      <c r="AQ12" s="1571"/>
      <c r="AR12" s="1571"/>
      <c r="AS12" s="1571"/>
      <c r="AT12" s="1571"/>
      <c r="AU12" s="1571"/>
      <c r="AV12" s="1571"/>
      <c r="AW12" s="1571"/>
      <c r="AX12" s="1571"/>
      <c r="AY12" s="1571"/>
      <c r="AZ12" s="1571"/>
      <c r="BA12" s="1571"/>
      <c r="BB12" s="1571"/>
      <c r="BC12" s="1571"/>
    </row>
    <row r="13" spans="1:55">
      <c r="A13" s="2741">
        <v>1</v>
      </c>
      <c r="B13" s="400"/>
      <c r="C13" s="1581" t="s">
        <v>1317</v>
      </c>
      <c r="D13" s="1459"/>
      <c r="E13" s="401">
        <f>I13-F13</f>
        <v>198608179</v>
      </c>
      <c r="F13" s="401">
        <f>SUM(AK105:AK109)</f>
        <v>108778846</v>
      </c>
      <c r="G13" s="401"/>
      <c r="H13" s="1571"/>
      <c r="I13" s="1459">
        <f>'SCH_C2.1 - Base Period'!J51-I15-I18-I19-I20-I31</f>
        <v>307387025</v>
      </c>
      <c r="J13" s="1316"/>
      <c r="K13" s="306"/>
      <c r="L13" s="1571"/>
      <c r="M13" s="1571"/>
      <c r="N13" s="1571"/>
      <c r="O13" s="1571"/>
      <c r="P13" s="1571"/>
      <c r="Q13" s="1571"/>
      <c r="R13" s="1571"/>
      <c r="S13" s="1571"/>
      <c r="T13" s="1571"/>
      <c r="U13" s="1571"/>
      <c r="V13" s="1571"/>
      <c r="W13" s="1571"/>
      <c r="X13" s="1571"/>
      <c r="Y13" s="1571"/>
      <c r="Z13" s="1571"/>
      <c r="AA13" s="1571"/>
      <c r="AB13" s="1571"/>
      <c r="AC13" s="1571"/>
      <c r="AD13" s="1571"/>
      <c r="AE13" s="1571"/>
      <c r="AF13" s="1571"/>
      <c r="AG13" s="1571"/>
      <c r="AH13" s="1571"/>
      <c r="AI13" s="1571"/>
      <c r="AJ13" s="1571"/>
      <c r="AK13" s="1571"/>
      <c r="AL13" s="1571"/>
      <c r="AM13" s="1571"/>
      <c r="AN13" s="1571"/>
      <c r="AO13" s="1571"/>
      <c r="AP13" s="1571"/>
      <c r="AQ13" s="1571"/>
      <c r="AR13" s="1571"/>
      <c r="AS13" s="1571"/>
      <c r="AT13" s="1571"/>
      <c r="AU13" s="1571"/>
      <c r="AV13" s="1571"/>
      <c r="AW13" s="1571"/>
      <c r="AX13" s="1571"/>
      <c r="AY13" s="1571"/>
      <c r="AZ13" s="1571"/>
      <c r="BA13" s="1571"/>
      <c r="BB13" s="1571"/>
      <c r="BC13" s="1571"/>
    </row>
    <row r="14" spans="1:55">
      <c r="A14" s="2741">
        <v>2</v>
      </c>
      <c r="B14" s="400"/>
      <c r="C14" s="1571"/>
      <c r="D14" s="1571"/>
      <c r="E14" s="1571"/>
      <c r="F14" s="1571"/>
      <c r="G14" s="1571"/>
      <c r="H14" s="1571"/>
      <c r="I14" s="1571"/>
      <c r="J14" s="402"/>
      <c r="K14" s="234"/>
      <c r="L14" s="1571"/>
      <c r="M14" s="1571"/>
      <c r="N14" s="1571"/>
      <c r="O14" s="1571"/>
      <c r="P14" s="1571"/>
      <c r="Q14" s="1571"/>
      <c r="R14" s="1571"/>
      <c r="S14" s="1571"/>
      <c r="T14" s="1571"/>
      <c r="U14" s="1571"/>
      <c r="V14" s="1571"/>
      <c r="W14" s="1571"/>
      <c r="X14" s="1571"/>
      <c r="Y14" s="1571"/>
      <c r="Z14" s="1571"/>
      <c r="AA14" s="1571"/>
      <c r="AB14" s="1571"/>
      <c r="AC14" s="1571"/>
      <c r="AD14" s="1571"/>
      <c r="AE14" s="1571"/>
      <c r="AF14" s="1571"/>
      <c r="AG14" s="1571"/>
      <c r="AH14" s="1571"/>
      <c r="AI14" s="1571"/>
      <c r="AJ14" s="1571"/>
      <c r="AK14" s="1571"/>
      <c r="AL14" s="1571"/>
      <c r="AM14" s="1571"/>
      <c r="AN14" s="1571"/>
      <c r="AO14" s="1571"/>
      <c r="AP14" s="1571"/>
      <c r="AQ14" s="1571"/>
      <c r="AR14" s="1571"/>
      <c r="AS14" s="1571"/>
      <c r="AT14" s="1571"/>
      <c r="AU14" s="1571"/>
      <c r="AV14" s="1571"/>
      <c r="AW14" s="1571"/>
      <c r="AX14" s="1571"/>
      <c r="AY14" s="1571"/>
      <c r="AZ14" s="1571"/>
      <c r="BA14" s="1571"/>
      <c r="BB14" s="1571"/>
      <c r="BC14" s="1571"/>
    </row>
    <row r="15" spans="1:55">
      <c r="A15" s="2741">
        <v>3</v>
      </c>
      <c r="B15" s="1571"/>
      <c r="C15" s="1581" t="s">
        <v>786</v>
      </c>
      <c r="D15" s="1459"/>
      <c r="E15" s="1458">
        <f>SUM(AK98:AK102)-F15</f>
        <v>-2314923</v>
      </c>
      <c r="F15" s="401"/>
      <c r="G15" s="1571"/>
      <c r="H15" s="1571"/>
      <c r="I15" s="1459">
        <f>SUM(E15:G15)</f>
        <v>-2314923</v>
      </c>
      <c r="J15" s="1316"/>
      <c r="K15" s="306"/>
      <c r="L15" s="1571"/>
      <c r="M15" s="1571"/>
      <c r="N15" s="1571"/>
      <c r="O15" s="1571"/>
      <c r="P15" s="1571"/>
      <c r="Q15" s="1571"/>
      <c r="R15" s="1571"/>
      <c r="S15" s="1571"/>
      <c r="T15" s="1571"/>
      <c r="U15" s="1571"/>
      <c r="V15" s="1571"/>
      <c r="W15" s="1571"/>
      <c r="X15" s="1571"/>
      <c r="Y15" s="1571"/>
      <c r="Z15" s="1571"/>
      <c r="AA15" s="1571"/>
      <c r="AB15" s="1571"/>
      <c r="AC15" s="1571"/>
      <c r="AD15" s="1571"/>
      <c r="AE15" s="1571"/>
      <c r="AF15" s="1571"/>
      <c r="AG15" s="1571"/>
      <c r="AH15" s="1571"/>
      <c r="AI15" s="1571"/>
      <c r="AJ15" s="1571"/>
      <c r="AK15" s="1571"/>
      <c r="AL15" s="1571"/>
      <c r="AM15" s="1571"/>
      <c r="AN15" s="1571"/>
      <c r="AO15" s="1571"/>
      <c r="AP15" s="1571"/>
      <c r="AQ15" s="1571"/>
      <c r="AR15" s="1571"/>
      <c r="AS15" s="1571"/>
      <c r="AT15" s="1571"/>
      <c r="AU15" s="1571"/>
      <c r="AV15" s="1571"/>
      <c r="AW15" s="1571"/>
      <c r="AX15" s="1571"/>
      <c r="AY15" s="1571"/>
      <c r="AZ15" s="1571"/>
      <c r="BA15" s="1571"/>
      <c r="BB15" s="1571"/>
      <c r="BC15" s="1571"/>
    </row>
    <row r="16" spans="1:55">
      <c r="A16" s="2741">
        <v>4</v>
      </c>
      <c r="B16" s="1571"/>
      <c r="C16" s="1571"/>
      <c r="D16" s="1571"/>
      <c r="E16" s="1571"/>
      <c r="F16" s="1459"/>
      <c r="G16" s="1571"/>
      <c r="H16" s="1571"/>
      <c r="I16" s="1571"/>
      <c r="J16" s="402"/>
      <c r="K16" s="234"/>
      <c r="L16" s="1571"/>
      <c r="M16" s="1571"/>
      <c r="N16" s="1571"/>
      <c r="O16" s="1571"/>
      <c r="P16" s="1571"/>
      <c r="Q16" s="1571"/>
      <c r="R16" s="1571"/>
      <c r="S16" s="1571"/>
      <c r="T16" s="1571"/>
      <c r="U16" s="1571"/>
      <c r="V16" s="1571"/>
      <c r="W16" s="1571"/>
      <c r="X16" s="1571"/>
      <c r="Y16" s="1571"/>
      <c r="Z16" s="1571"/>
      <c r="AA16" s="1571"/>
      <c r="AB16" s="1571"/>
      <c r="AC16" s="1571"/>
      <c r="AD16" s="1571"/>
      <c r="AE16" s="1571"/>
      <c r="AF16" s="1571"/>
      <c r="AG16" s="1571"/>
      <c r="AH16" s="1571"/>
      <c r="AI16" s="1571"/>
      <c r="AJ16" s="1571"/>
      <c r="AK16" s="1571"/>
      <c r="AL16" s="1571"/>
      <c r="AM16" s="1571"/>
      <c r="AN16" s="1571"/>
      <c r="AO16" s="1571"/>
      <c r="AP16" s="1571"/>
      <c r="AQ16" s="1571"/>
      <c r="AR16" s="1571"/>
      <c r="AS16" s="1571"/>
      <c r="AT16" s="1571"/>
      <c r="AU16" s="1571"/>
      <c r="AV16" s="1571"/>
      <c r="AW16" s="1571"/>
      <c r="AX16" s="1571"/>
      <c r="AY16" s="1571"/>
      <c r="AZ16" s="1571"/>
      <c r="BA16" s="1571"/>
      <c r="BB16" s="1571"/>
      <c r="BC16" s="1571"/>
    </row>
    <row r="17" spans="1:55">
      <c r="A17" s="2741">
        <v>5</v>
      </c>
      <c r="B17" s="1571"/>
      <c r="C17" s="1571" t="s">
        <v>3167</v>
      </c>
      <c r="D17" s="1571"/>
      <c r="E17" s="1571"/>
      <c r="F17" s="1459"/>
      <c r="G17" s="1571"/>
      <c r="H17" s="1571"/>
      <c r="I17" s="1571"/>
      <c r="J17" s="402"/>
      <c r="K17" s="234"/>
      <c r="L17" s="1571"/>
      <c r="M17" s="1571"/>
      <c r="N17" s="1571"/>
      <c r="O17" s="1571"/>
      <c r="P17" s="1571"/>
      <c r="Q17" s="1571"/>
      <c r="R17" s="1571"/>
      <c r="S17" s="1571"/>
      <c r="T17" s="1571"/>
      <c r="U17" s="1571"/>
      <c r="V17" s="1571"/>
      <c r="W17" s="1571"/>
      <c r="X17" s="1571"/>
      <c r="Y17" s="1571"/>
      <c r="Z17" s="1571"/>
      <c r="AA17" s="1571"/>
      <c r="AB17" s="1571"/>
      <c r="AC17" s="1571"/>
      <c r="AD17" s="1571"/>
      <c r="AE17" s="1571"/>
      <c r="AF17" s="1571"/>
      <c r="AG17" s="1571"/>
      <c r="AH17" s="1571"/>
      <c r="AI17" s="1571"/>
      <c r="AJ17" s="1571"/>
      <c r="AK17" s="1571"/>
      <c r="AL17" s="1571"/>
      <c r="AM17" s="1571"/>
      <c r="AN17" s="1571"/>
      <c r="AO17" s="1571"/>
      <c r="AP17" s="1571"/>
      <c r="AQ17" s="1571"/>
      <c r="AR17" s="1571"/>
      <c r="AS17" s="1571"/>
      <c r="AT17" s="1571"/>
      <c r="AU17" s="1571"/>
      <c r="AV17" s="1571"/>
      <c r="AW17" s="1571"/>
      <c r="AX17" s="1571"/>
      <c r="AY17" s="1571"/>
      <c r="AZ17" s="1571"/>
      <c r="BA17" s="1571"/>
      <c r="BB17" s="1571"/>
      <c r="BC17" s="1571"/>
    </row>
    <row r="18" spans="1:55">
      <c r="A18" s="2741">
        <v>6</v>
      </c>
      <c r="B18" s="1571"/>
      <c r="C18" s="1581" t="s">
        <v>2246</v>
      </c>
      <c r="D18" s="1571"/>
      <c r="E18" s="1459">
        <f>SUM(AK123:AK127)</f>
        <v>14644410</v>
      </c>
      <c r="F18" s="1459"/>
      <c r="H18" s="1571"/>
      <c r="I18" s="1459">
        <f>SUM(E18:F18)</f>
        <v>14644410</v>
      </c>
      <c r="J18" s="1316"/>
      <c r="K18" s="306"/>
      <c r="L18" s="1571"/>
      <c r="M18" s="1571"/>
      <c r="N18" s="1571"/>
      <c r="O18" s="1571"/>
      <c r="P18" s="1571"/>
      <c r="Q18" s="1571"/>
      <c r="R18" s="1571"/>
      <c r="S18" s="1571"/>
      <c r="T18" s="1571"/>
      <c r="U18" s="1571"/>
      <c r="V18" s="1571"/>
      <c r="W18" s="1571"/>
      <c r="X18" s="1571"/>
      <c r="Y18" s="1571"/>
      <c r="Z18" s="1571"/>
      <c r="AA18" s="1571"/>
      <c r="AB18" s="1571"/>
      <c r="AC18" s="1571"/>
      <c r="AD18" s="1571"/>
      <c r="AE18" s="1571"/>
      <c r="AF18" s="1571"/>
      <c r="AG18" s="1571"/>
      <c r="AH18" s="1571"/>
      <c r="AI18" s="1571"/>
      <c r="AJ18" s="1571"/>
      <c r="AK18" s="1571"/>
      <c r="AL18" s="1571"/>
      <c r="AM18" s="1571"/>
      <c r="AN18" s="1571"/>
      <c r="AO18" s="1571"/>
      <c r="AP18" s="1571"/>
      <c r="AQ18" s="1571"/>
      <c r="AR18" s="1571"/>
      <c r="AS18" s="1571"/>
      <c r="AT18" s="1571"/>
      <c r="AU18" s="1571"/>
      <c r="AV18" s="1571"/>
      <c r="AW18" s="1571"/>
      <c r="AX18" s="1571"/>
      <c r="AY18" s="1571"/>
      <c r="AZ18" s="1571"/>
      <c r="BA18" s="1571"/>
      <c r="BB18" s="1571"/>
      <c r="BC18" s="1571"/>
    </row>
    <row r="19" spans="1:55">
      <c r="A19" s="2741">
        <v>7</v>
      </c>
      <c r="B19" s="1571"/>
      <c r="C19" s="1581" t="s">
        <v>2244</v>
      </c>
      <c r="D19" s="1571"/>
      <c r="E19" s="1459">
        <f>SUM(AK130:AK134)</f>
        <v>-2886013</v>
      </c>
      <c r="F19" s="182"/>
      <c r="H19" s="1571"/>
      <c r="I19" s="1459">
        <f>SUM(E19:F19)</f>
        <v>-2886013</v>
      </c>
      <c r="J19" s="1316"/>
      <c r="K19" s="306"/>
      <c r="L19" s="1571"/>
      <c r="M19" s="1571"/>
      <c r="N19" s="1571"/>
      <c r="O19" s="1571"/>
      <c r="P19" s="1571"/>
      <c r="Q19" s="1571"/>
      <c r="R19" s="1571"/>
      <c r="S19" s="1571"/>
      <c r="T19" s="1571"/>
      <c r="U19" s="1571"/>
      <c r="V19" s="1571"/>
      <c r="W19" s="1571"/>
      <c r="X19" s="1571"/>
      <c r="Y19" s="1571"/>
      <c r="Z19" s="1571"/>
      <c r="AA19" s="1571"/>
      <c r="AB19" s="1571"/>
      <c r="AC19" s="1571"/>
      <c r="AD19" s="1571"/>
      <c r="AE19" s="1571"/>
      <c r="AF19" s="1571"/>
      <c r="AG19" s="1571"/>
      <c r="AH19" s="1571"/>
      <c r="AI19" s="1571"/>
      <c r="AJ19" s="1571"/>
      <c r="AK19" s="1571"/>
      <c r="AL19" s="1571"/>
      <c r="AM19" s="1571"/>
      <c r="AN19" s="1571"/>
      <c r="AO19" s="1571"/>
      <c r="AP19" s="1571"/>
      <c r="AQ19" s="1571"/>
      <c r="AR19" s="1571"/>
      <c r="AS19" s="1571"/>
      <c r="AT19" s="1571"/>
      <c r="AU19" s="1571"/>
      <c r="AV19" s="1571"/>
      <c r="AW19" s="1571"/>
      <c r="AX19" s="1571"/>
      <c r="AY19" s="1571"/>
      <c r="AZ19" s="1571"/>
      <c r="BA19" s="1571"/>
      <c r="BB19" s="1571"/>
      <c r="BC19" s="1571"/>
    </row>
    <row r="20" spans="1:55">
      <c r="A20" s="2741">
        <v>8</v>
      </c>
      <c r="B20" s="1571"/>
      <c r="C20" s="1581" t="s">
        <v>2245</v>
      </c>
      <c r="D20" s="1571"/>
      <c r="E20" s="1459"/>
      <c r="F20" s="1459">
        <f>SUM(AK113:AK117)</f>
        <v>-15013262</v>
      </c>
      <c r="G20" s="1571"/>
      <c r="H20" s="1571"/>
      <c r="I20" s="1459">
        <f>SUM(E20:G20)</f>
        <v>-15013262</v>
      </c>
      <c r="J20" s="1316"/>
      <c r="K20" s="306"/>
      <c r="L20" s="1571"/>
      <c r="M20" s="1571"/>
      <c r="N20" s="1571"/>
      <c r="O20" s="1571"/>
      <c r="P20" s="1571"/>
      <c r="Q20" s="1571"/>
      <c r="R20" s="1571"/>
      <c r="S20" s="1571"/>
      <c r="T20" s="1571"/>
      <c r="U20" s="1571"/>
      <c r="V20" s="1571"/>
      <c r="W20" s="1571"/>
      <c r="X20" s="1571"/>
      <c r="Y20" s="1571"/>
      <c r="Z20" s="1571"/>
      <c r="AA20" s="1571"/>
      <c r="AB20" s="1571"/>
      <c r="AC20" s="1571"/>
      <c r="AD20" s="1571"/>
      <c r="AE20" s="1571"/>
      <c r="AF20" s="1571"/>
      <c r="AG20" s="1571"/>
      <c r="AH20" s="1571"/>
      <c r="AI20" s="1571"/>
      <c r="AJ20" s="1571"/>
      <c r="AK20" s="1571"/>
      <c r="AL20" s="1571"/>
      <c r="AM20" s="1571"/>
      <c r="AN20" s="1571"/>
      <c r="AO20" s="1571"/>
      <c r="AP20" s="1571"/>
      <c r="AQ20" s="1571"/>
      <c r="AR20" s="1571"/>
      <c r="AS20" s="1571"/>
      <c r="AT20" s="1571"/>
      <c r="AU20" s="1571"/>
      <c r="AV20" s="1571"/>
      <c r="AW20" s="1571"/>
      <c r="AX20" s="1571"/>
      <c r="AY20" s="1571"/>
      <c r="AZ20" s="1571"/>
      <c r="BA20" s="1571"/>
      <c r="BB20" s="1571"/>
      <c r="BC20" s="1571"/>
    </row>
    <row r="21" spans="1:55">
      <c r="A21" s="2741">
        <v>9</v>
      </c>
      <c r="B21" s="400"/>
      <c r="C21" s="1571"/>
      <c r="D21" s="1571"/>
      <c r="E21" s="1571"/>
      <c r="F21" s="1571"/>
      <c r="G21" s="1571"/>
      <c r="H21" s="1571"/>
      <c r="I21" s="1571"/>
      <c r="J21" s="402"/>
      <c r="K21" s="234"/>
      <c r="L21" s="1571"/>
      <c r="M21" s="1571"/>
      <c r="N21" s="1571"/>
      <c r="O21" s="1571"/>
      <c r="P21" s="1571"/>
      <c r="Q21" s="1571"/>
      <c r="R21" s="1571"/>
      <c r="S21" s="1571"/>
      <c r="T21" s="1571"/>
      <c r="U21" s="1571"/>
      <c r="V21" s="1571"/>
      <c r="W21" s="1571"/>
      <c r="X21" s="1571"/>
      <c r="Y21" s="1571"/>
      <c r="Z21" s="1571"/>
      <c r="AA21" s="1571"/>
      <c r="AB21" s="1571"/>
      <c r="AC21" s="1571"/>
      <c r="AD21" s="1571"/>
      <c r="AE21" s="1571"/>
      <c r="AF21" s="1571"/>
      <c r="AG21" s="1571"/>
      <c r="AH21" s="1571"/>
      <c r="AI21" s="1571"/>
      <c r="AJ21" s="1571"/>
      <c r="AK21" s="1571"/>
      <c r="AL21" s="1571"/>
      <c r="AM21" s="1571"/>
      <c r="AN21" s="1571"/>
      <c r="AO21" s="1571"/>
      <c r="AP21" s="1571"/>
      <c r="AQ21" s="1571"/>
      <c r="AR21" s="1571"/>
      <c r="AS21" s="1571"/>
      <c r="AT21" s="1571"/>
      <c r="AU21" s="1571"/>
      <c r="AV21" s="1571"/>
      <c r="AW21" s="1571"/>
      <c r="AX21" s="1571"/>
      <c r="AY21" s="1571"/>
      <c r="AZ21" s="1571"/>
      <c r="BA21" s="1571"/>
      <c r="BB21" s="1571"/>
      <c r="BC21" s="1571"/>
    </row>
    <row r="22" spans="1:55">
      <c r="A22" s="2741">
        <v>10</v>
      </c>
      <c r="B22" s="1571"/>
      <c r="C22" s="1581" t="s">
        <v>1318</v>
      </c>
      <c r="D22" s="1571"/>
      <c r="E22" s="1571"/>
      <c r="F22" s="1571"/>
      <c r="G22" s="1571"/>
      <c r="H22" s="1571"/>
      <c r="I22" s="240" t="s">
        <v>529</v>
      </c>
      <c r="J22" s="403"/>
      <c r="K22" s="234"/>
      <c r="L22" s="1571"/>
      <c r="M22" s="1571"/>
      <c r="N22" s="1571"/>
      <c r="O22" s="1571"/>
      <c r="P22" s="1571"/>
      <c r="Q22" s="1571"/>
      <c r="R22" s="1571"/>
      <c r="S22" s="1571"/>
      <c r="T22" s="1571"/>
      <c r="U22" s="1571"/>
      <c r="V22" s="1571"/>
      <c r="W22" s="1571"/>
      <c r="X22" s="1571"/>
      <c r="Y22" s="1571"/>
      <c r="Z22" s="1571"/>
      <c r="AA22" s="1571"/>
      <c r="AB22" s="1571"/>
      <c r="AC22" s="1571"/>
      <c r="AD22" s="1571"/>
      <c r="AE22" s="1571"/>
      <c r="AF22" s="1571"/>
      <c r="AG22" s="1571"/>
      <c r="AH22" s="1571"/>
      <c r="AI22" s="1571"/>
      <c r="AJ22" s="1571"/>
      <c r="AK22" s="1571"/>
      <c r="AL22" s="1571"/>
      <c r="AM22" s="1571"/>
      <c r="AN22" s="1571"/>
      <c r="AO22" s="1571"/>
      <c r="AP22" s="1571"/>
      <c r="AQ22" s="1571"/>
      <c r="AR22" s="1571"/>
      <c r="AS22" s="1571"/>
      <c r="AT22" s="1571"/>
      <c r="AU22" s="1571"/>
      <c r="AV22" s="1571"/>
      <c r="AW22" s="1571"/>
      <c r="AX22" s="1571"/>
      <c r="AY22" s="1571"/>
      <c r="AZ22" s="1571"/>
      <c r="BA22" s="1571"/>
      <c r="BB22" s="1571"/>
      <c r="BC22" s="1571"/>
    </row>
    <row r="23" spans="1:55">
      <c r="A23" s="2741">
        <v>11</v>
      </c>
      <c r="B23" s="1571"/>
      <c r="C23" s="1581" t="s">
        <v>2674</v>
      </c>
      <c r="D23" s="1571"/>
      <c r="E23" s="1458">
        <f>I23-F23</f>
        <v>47758</v>
      </c>
      <c r="F23" s="1458">
        <f>AK110+AK118</f>
        <v>4316</v>
      </c>
      <c r="G23" s="1458"/>
      <c r="H23" s="1571"/>
      <c r="I23" s="1458">
        <f>VLOOKUP($T$95,BasePeriod,5,FALSE)</f>
        <v>52074</v>
      </c>
      <c r="J23" s="403"/>
      <c r="K23" s="234"/>
      <c r="L23" s="1571"/>
      <c r="M23" s="1571"/>
      <c r="N23" s="1571"/>
      <c r="O23" s="1571"/>
      <c r="P23" s="1571"/>
      <c r="Q23" s="1571"/>
      <c r="R23" s="1571"/>
      <c r="S23" s="1571"/>
      <c r="T23" s="1571"/>
      <c r="U23" s="1571"/>
      <c r="V23" s="1571"/>
      <c r="W23" s="1571"/>
      <c r="X23" s="1571"/>
      <c r="Y23" s="1571"/>
      <c r="Z23" s="1571"/>
      <c r="AA23" s="1571"/>
      <c r="AB23" s="1571"/>
      <c r="AC23" s="1571"/>
      <c r="AD23" s="1571"/>
      <c r="AE23" s="1571"/>
      <c r="AF23" s="1571"/>
      <c r="AG23" s="1571"/>
      <c r="AH23" s="1571"/>
      <c r="AI23" s="1571"/>
      <c r="AJ23" s="1571"/>
      <c r="AK23" s="1571"/>
      <c r="AL23" s="1571"/>
      <c r="AM23" s="1571"/>
      <c r="AN23" s="1571"/>
      <c r="AO23" s="1571"/>
      <c r="AP23" s="1571"/>
      <c r="AQ23" s="1571"/>
      <c r="AR23" s="1571"/>
      <c r="AS23" s="1571"/>
      <c r="AT23" s="1571"/>
      <c r="AU23" s="1571"/>
      <c r="AV23" s="1571"/>
      <c r="AW23" s="1571"/>
      <c r="AX23" s="1571"/>
      <c r="AY23" s="1571"/>
      <c r="AZ23" s="1571"/>
      <c r="BA23" s="1571"/>
      <c r="BB23" s="1571"/>
      <c r="BC23" s="1571"/>
    </row>
    <row r="24" spans="1:55">
      <c r="A24" s="2741">
        <v>12</v>
      </c>
      <c r="B24" s="1571"/>
      <c r="C24" s="1581" t="s">
        <v>1787</v>
      </c>
      <c r="D24" s="1571"/>
      <c r="E24" s="1571"/>
      <c r="F24" s="1571"/>
      <c r="G24" s="1458">
        <f>AK136</f>
        <v>17932492</v>
      </c>
      <c r="H24" s="1571"/>
      <c r="I24" s="1459">
        <f t="shared" ref="I24:I30" si="0">SUM(E24:G24)</f>
        <v>17932492</v>
      </c>
      <c r="J24" s="403"/>
      <c r="K24" s="234"/>
      <c r="L24" s="1571"/>
      <c r="M24" s="1571"/>
      <c r="N24" s="1571"/>
      <c r="O24" s="1571"/>
      <c r="P24" s="1571"/>
      <c r="Q24" s="1571"/>
      <c r="R24" s="1571"/>
      <c r="S24" s="1571"/>
      <c r="T24" s="1571"/>
      <c r="U24" s="1571"/>
      <c r="V24" s="1571"/>
      <c r="W24" s="1571"/>
      <c r="X24" s="1571"/>
      <c r="Y24" s="1571"/>
      <c r="Z24" s="1571"/>
      <c r="AA24" s="1571"/>
      <c r="AB24" s="1571"/>
      <c r="AC24" s="1571"/>
      <c r="AD24" s="1571"/>
      <c r="AE24" s="1571"/>
      <c r="AF24" s="1571"/>
      <c r="AG24" s="1571"/>
      <c r="AH24" s="1571"/>
      <c r="AI24" s="1571"/>
      <c r="AJ24" s="1571"/>
      <c r="AK24" s="1571"/>
      <c r="AL24" s="1571"/>
      <c r="AM24" s="1571"/>
      <c r="AN24" s="1571"/>
      <c r="AO24" s="1571"/>
      <c r="AP24" s="1571"/>
      <c r="AQ24" s="1571"/>
      <c r="AR24" s="1571"/>
      <c r="AS24" s="1571"/>
      <c r="AT24" s="1571"/>
      <c r="AU24" s="1571"/>
      <c r="AV24" s="1571"/>
      <c r="AW24" s="1571"/>
      <c r="AX24" s="1571"/>
      <c r="AY24" s="1571"/>
      <c r="AZ24" s="1571"/>
      <c r="BA24" s="1571"/>
      <c r="BB24" s="1571"/>
      <c r="BC24" s="1571"/>
    </row>
    <row r="25" spans="1:55">
      <c r="A25" s="2741">
        <v>13</v>
      </c>
      <c r="B25" s="1571"/>
      <c r="C25" s="1571" t="s">
        <v>2170</v>
      </c>
      <c r="D25" s="1459"/>
      <c r="E25" s="1459"/>
      <c r="F25" s="1459"/>
      <c r="G25" s="1459">
        <f>AK138</f>
        <v>573260</v>
      </c>
      <c r="H25" s="1459"/>
      <c r="I25" s="1459">
        <f t="shared" si="0"/>
        <v>573260</v>
      </c>
      <c r="J25" s="1316"/>
      <c r="K25" s="306"/>
      <c r="L25" s="1571"/>
      <c r="M25" s="1571"/>
      <c r="N25" s="1571"/>
      <c r="O25" s="1571"/>
      <c r="P25" s="1571"/>
      <c r="Q25" s="1571"/>
      <c r="R25" s="1571"/>
      <c r="S25" s="1571"/>
      <c r="T25" s="1571"/>
      <c r="U25" s="1571"/>
      <c r="V25" s="1571"/>
      <c r="W25" s="1571"/>
      <c r="X25" s="1571"/>
      <c r="Y25" s="1571"/>
      <c r="Z25" s="1571"/>
      <c r="AA25" s="1571"/>
      <c r="AB25" s="1571"/>
      <c r="AC25" s="1571"/>
      <c r="AD25" s="1571"/>
      <c r="AE25" s="1571"/>
      <c r="AF25" s="1571"/>
      <c r="AG25" s="1571"/>
      <c r="AH25" s="1571"/>
      <c r="AI25" s="1571"/>
      <c r="AJ25" s="1571"/>
      <c r="AK25" s="1571"/>
      <c r="AL25" s="1571"/>
      <c r="AM25" s="1571"/>
      <c r="AN25" s="1571"/>
      <c r="AO25" s="1571"/>
      <c r="AP25" s="1571"/>
      <c r="AQ25" s="1571"/>
      <c r="AR25" s="1571"/>
      <c r="AS25" s="1571"/>
      <c r="AT25" s="1571"/>
      <c r="AU25" s="1571"/>
      <c r="AV25" s="1571"/>
      <c r="AW25" s="1571"/>
      <c r="AX25" s="1571"/>
      <c r="AY25" s="1571"/>
      <c r="AZ25" s="1571"/>
      <c r="BA25" s="1571"/>
      <c r="BB25" s="1571"/>
      <c r="BC25" s="1571"/>
    </row>
    <row r="26" spans="1:55">
      <c r="A26" s="2741">
        <v>14</v>
      </c>
      <c r="B26" s="1571"/>
      <c r="C26" s="1571" t="s">
        <v>2242</v>
      </c>
      <c r="D26" s="1571"/>
      <c r="E26" s="1459"/>
      <c r="F26" s="1459"/>
      <c r="G26" s="1459">
        <f>AK139</f>
        <v>284441</v>
      </c>
      <c r="H26" s="1571"/>
      <c r="I26" s="1459">
        <f t="shared" si="0"/>
        <v>284441</v>
      </c>
      <c r="J26" s="1316"/>
      <c r="K26" s="306"/>
      <c r="L26" s="1571"/>
      <c r="M26" s="1571"/>
      <c r="N26" s="1571"/>
      <c r="O26" s="1571"/>
      <c r="P26" s="1571"/>
      <c r="Q26" s="1571"/>
      <c r="R26" s="1571"/>
      <c r="S26" s="1571"/>
      <c r="T26" s="1571"/>
      <c r="U26" s="1571"/>
      <c r="V26" s="1571"/>
      <c r="W26" s="1571"/>
      <c r="X26" s="1571"/>
      <c r="Y26" s="1571"/>
      <c r="Z26" s="1571"/>
      <c r="AA26" s="1571"/>
      <c r="AB26" s="1571"/>
      <c r="AC26" s="1571"/>
      <c r="AD26" s="1571"/>
      <c r="AE26" s="1571"/>
      <c r="AF26" s="1571"/>
      <c r="AG26" s="1571"/>
      <c r="AH26" s="1571"/>
      <c r="AI26" s="1571"/>
      <c r="AJ26" s="1571"/>
      <c r="AK26" s="1571"/>
      <c r="AL26" s="1571"/>
      <c r="AM26" s="1571"/>
      <c r="AN26" s="1571"/>
      <c r="AO26" s="1571"/>
      <c r="AP26" s="1571"/>
      <c r="AQ26" s="1571"/>
      <c r="AR26" s="1571"/>
      <c r="AS26" s="1571"/>
      <c r="AT26" s="1571"/>
      <c r="AU26" s="1571"/>
      <c r="AV26" s="1571"/>
      <c r="AW26" s="1571"/>
      <c r="AX26" s="1571"/>
      <c r="AY26" s="1571"/>
      <c r="AZ26" s="1571"/>
      <c r="BA26" s="1571"/>
      <c r="BB26" s="1571"/>
      <c r="BC26" s="1571"/>
    </row>
    <row r="27" spans="1:55">
      <c r="A27" s="2741">
        <v>15</v>
      </c>
      <c r="B27" s="1571"/>
      <c r="C27" s="1571" t="s">
        <v>2243</v>
      </c>
      <c r="D27" s="1571"/>
      <c r="E27" s="1459"/>
      <c r="F27" s="1459"/>
      <c r="G27" s="1459">
        <f>AK141</f>
        <v>1049274</v>
      </c>
      <c r="H27" s="1571"/>
      <c r="I27" s="1459">
        <f t="shared" si="0"/>
        <v>1049274</v>
      </c>
      <c r="J27" s="1316"/>
      <c r="K27" s="306"/>
      <c r="L27" s="1571"/>
      <c r="M27" s="1571"/>
      <c r="N27" s="1571"/>
      <c r="O27" s="1571"/>
      <c r="P27" s="1571"/>
      <c r="Q27" s="1571"/>
      <c r="R27" s="1571"/>
      <c r="S27" s="1571"/>
      <c r="T27" s="1571"/>
      <c r="U27" s="1571"/>
      <c r="V27" s="1571"/>
      <c r="W27" s="1571"/>
      <c r="X27" s="1571"/>
      <c r="Y27" s="1571"/>
      <c r="Z27" s="1571"/>
      <c r="AA27" s="1571"/>
      <c r="AB27" s="1571"/>
      <c r="AC27" s="1571"/>
      <c r="AD27" s="1571"/>
      <c r="AE27" s="1571"/>
      <c r="AF27" s="1571"/>
      <c r="AG27" s="1571"/>
      <c r="AH27" s="1571"/>
      <c r="AI27" s="1571"/>
      <c r="AJ27" s="1571"/>
      <c r="AK27" s="1571"/>
      <c r="AL27" s="1571"/>
      <c r="AM27" s="1571"/>
      <c r="AN27" s="1571"/>
      <c r="AO27" s="1571"/>
      <c r="AP27" s="1571"/>
      <c r="AQ27" s="1571"/>
      <c r="AR27" s="1571"/>
      <c r="AS27" s="1571"/>
      <c r="AT27" s="1571"/>
      <c r="AU27" s="1571"/>
      <c r="AV27" s="1571"/>
      <c r="AW27" s="1571"/>
      <c r="AX27" s="1571"/>
      <c r="AY27" s="1571"/>
      <c r="AZ27" s="1571"/>
      <c r="BA27" s="1571"/>
      <c r="BB27" s="1571"/>
      <c r="BC27" s="1571"/>
    </row>
    <row r="28" spans="1:55">
      <c r="A28" s="2741">
        <v>16</v>
      </c>
      <c r="B28" s="1571"/>
      <c r="C28" s="1571" t="s">
        <v>2590</v>
      </c>
      <c r="D28" s="1571"/>
      <c r="E28" s="1459"/>
      <c r="F28" s="1459"/>
      <c r="G28" s="1460">
        <f>AK140</f>
        <v>114457</v>
      </c>
      <c r="H28" s="1571"/>
      <c r="I28" s="1459">
        <f t="shared" si="0"/>
        <v>114457</v>
      </c>
      <c r="J28" s="1316"/>
      <c r="K28" s="306"/>
      <c r="L28" s="1571"/>
      <c r="M28" s="1571"/>
      <c r="N28" s="1571"/>
      <c r="O28" s="1571"/>
      <c r="P28" s="1571"/>
      <c r="Q28" s="1571"/>
      <c r="R28" s="1571"/>
      <c r="S28" s="1571"/>
      <c r="T28" s="1571"/>
      <c r="U28" s="1571"/>
      <c r="V28" s="1571"/>
      <c r="W28" s="1571"/>
      <c r="X28" s="1571"/>
      <c r="Y28" s="1571"/>
      <c r="Z28" s="1571"/>
      <c r="AA28" s="1571"/>
      <c r="AB28" s="1571"/>
      <c r="AC28" s="1571"/>
      <c r="AD28" s="1571"/>
      <c r="AE28" s="1571"/>
      <c r="AF28" s="1571"/>
      <c r="AG28" s="1571"/>
      <c r="AH28" s="1571"/>
      <c r="AI28" s="1571"/>
      <c r="AJ28" s="1571"/>
      <c r="AK28" s="1571"/>
      <c r="AL28" s="1571"/>
      <c r="AM28" s="1571"/>
      <c r="AN28" s="1571"/>
      <c r="AO28" s="1571"/>
      <c r="AP28" s="1571"/>
      <c r="AQ28" s="1571"/>
      <c r="AR28" s="1571"/>
      <c r="AS28" s="1571"/>
      <c r="AT28" s="1571"/>
      <c r="AU28" s="1571"/>
      <c r="AV28" s="1571"/>
      <c r="AW28" s="1571"/>
      <c r="AX28" s="1571"/>
      <c r="AY28" s="1571"/>
      <c r="AZ28" s="1571"/>
      <c r="BA28" s="1571"/>
      <c r="BB28" s="1571"/>
      <c r="BC28" s="1571"/>
    </row>
    <row r="29" spans="1:55">
      <c r="A29" s="2741">
        <v>17</v>
      </c>
      <c r="B29" s="1571"/>
      <c r="C29" s="1581" t="s">
        <v>694</v>
      </c>
      <c r="D29" s="1571"/>
      <c r="E29" s="1459"/>
      <c r="F29" s="1617"/>
      <c r="G29" s="1460">
        <f>AK142-F29</f>
        <v>2498280</v>
      </c>
      <c r="H29" s="1571"/>
      <c r="I29" s="1459">
        <f t="shared" si="0"/>
        <v>2498280</v>
      </c>
      <c r="J29" s="1316"/>
      <c r="K29" s="306"/>
      <c r="L29" s="1571"/>
      <c r="M29" s="1571"/>
      <c r="N29" s="1571"/>
      <c r="O29" s="1571"/>
      <c r="P29" s="1571"/>
      <c r="Q29" s="1571"/>
      <c r="R29" s="1571"/>
      <c r="S29" s="1571"/>
      <c r="T29" s="1571"/>
      <c r="U29" s="1571"/>
      <c r="V29" s="1571"/>
      <c r="W29" s="1571"/>
      <c r="X29" s="1571"/>
      <c r="Y29" s="1571"/>
      <c r="Z29" s="1571"/>
      <c r="AA29" s="1571"/>
      <c r="AB29" s="1571"/>
      <c r="AC29" s="1571"/>
      <c r="AD29" s="1571"/>
      <c r="AE29" s="1571"/>
      <c r="AF29" s="1571"/>
      <c r="AG29" s="1571"/>
      <c r="AH29" s="1571"/>
      <c r="AI29" s="1571"/>
      <c r="AJ29" s="1571"/>
      <c r="AK29" s="1571"/>
      <c r="AL29" s="1571"/>
      <c r="AM29" s="1571"/>
      <c r="AN29" s="1571"/>
      <c r="AO29" s="1571"/>
      <c r="AP29" s="1571"/>
      <c r="AQ29" s="1571"/>
      <c r="AR29" s="1571"/>
      <c r="AS29" s="1571"/>
      <c r="AT29" s="1571"/>
      <c r="AU29" s="1571"/>
      <c r="AV29" s="1571"/>
      <c r="AW29" s="1571"/>
      <c r="AX29" s="1571"/>
      <c r="AY29" s="1571"/>
      <c r="AZ29" s="1571"/>
      <c r="BA29" s="1571"/>
      <c r="BB29" s="1571"/>
      <c r="BC29" s="1571"/>
    </row>
    <row r="30" spans="1:55">
      <c r="A30" s="2741">
        <v>18</v>
      </c>
      <c r="B30" s="400"/>
      <c r="C30" s="1581" t="s">
        <v>3205</v>
      </c>
      <c r="D30" s="1571"/>
      <c r="E30" s="1461"/>
      <c r="F30" s="1461"/>
      <c r="G30" s="1461">
        <f>AK143</f>
        <v>2130823</v>
      </c>
      <c r="H30" s="1571"/>
      <c r="I30" s="1461">
        <f t="shared" si="0"/>
        <v>2130823</v>
      </c>
      <c r="J30" s="1316"/>
      <c r="K30" s="306"/>
      <c r="L30" s="1571"/>
      <c r="M30" s="1571"/>
      <c r="N30" s="1571"/>
      <c r="O30" s="1571"/>
      <c r="P30" s="1571"/>
      <c r="Q30" s="1571"/>
      <c r="R30" s="1571"/>
      <c r="S30" s="1571"/>
      <c r="T30" s="1571"/>
      <c r="U30" s="1571"/>
      <c r="V30" s="1571"/>
      <c r="W30" s="1571"/>
      <c r="X30" s="1571"/>
      <c r="Y30" s="1571"/>
      <c r="Z30" s="1571"/>
      <c r="AA30" s="1571"/>
      <c r="AB30" s="1571"/>
      <c r="AC30" s="1571"/>
      <c r="AD30" s="1571"/>
      <c r="AE30" s="1571"/>
      <c r="AF30" s="1571"/>
      <c r="AG30" s="1571"/>
      <c r="AH30" s="1571"/>
      <c r="AI30" s="1571"/>
      <c r="AJ30" s="1571"/>
      <c r="AK30" s="1571"/>
      <c r="AL30" s="1571"/>
      <c r="AM30" s="1571"/>
      <c r="AN30" s="1571"/>
      <c r="AO30" s="1571"/>
      <c r="AP30" s="1571"/>
      <c r="AQ30" s="1571"/>
      <c r="AR30" s="1571"/>
      <c r="AS30" s="1571"/>
      <c r="AT30" s="1571"/>
      <c r="AU30" s="1571"/>
      <c r="AV30" s="1571"/>
      <c r="AW30" s="1571"/>
      <c r="AX30" s="1571"/>
      <c r="AY30" s="1571"/>
      <c r="AZ30" s="1571"/>
      <c r="BA30" s="1571"/>
      <c r="BB30" s="1571"/>
      <c r="BC30" s="1571"/>
    </row>
    <row r="31" spans="1:55">
      <c r="A31" s="2741">
        <v>19</v>
      </c>
      <c r="B31" s="1571"/>
      <c r="C31" s="1581" t="s">
        <v>1500</v>
      </c>
      <c r="D31" s="1571"/>
      <c r="E31" s="1459">
        <f>SUM(E23:E30)</f>
        <v>47758</v>
      </c>
      <c r="F31" s="1459">
        <f>SUM(F23:F30)</f>
        <v>4316</v>
      </c>
      <c r="G31" s="1459">
        <f>SUM(G23:G30)</f>
        <v>24583027</v>
      </c>
      <c r="H31" s="1571"/>
      <c r="I31" s="1459">
        <f>SUM(I23:I30)</f>
        <v>24635101</v>
      </c>
      <c r="J31" s="1316"/>
      <c r="K31" s="306"/>
      <c r="L31" s="1571"/>
      <c r="M31" s="1571"/>
      <c r="N31" s="1571"/>
      <c r="O31" s="1571"/>
      <c r="P31" s="1571"/>
      <c r="Q31" s="1571"/>
      <c r="R31" s="1571"/>
      <c r="S31" s="1571"/>
      <c r="T31" s="1571"/>
      <c r="U31" s="1571"/>
      <c r="V31" s="1571"/>
      <c r="W31" s="1571"/>
      <c r="X31" s="1571"/>
      <c r="Y31" s="1571"/>
      <c r="Z31" s="1571"/>
      <c r="AA31" s="1571"/>
      <c r="AB31" s="1571"/>
      <c r="AC31" s="1571"/>
      <c r="AD31" s="1571"/>
      <c r="AE31" s="1571"/>
      <c r="AF31" s="1571"/>
      <c r="AG31" s="1571"/>
      <c r="AH31" s="1571"/>
      <c r="AI31" s="1571"/>
      <c r="AJ31" s="1571"/>
      <c r="AK31" s="1571"/>
      <c r="AL31" s="1571"/>
      <c r="AM31" s="1571"/>
      <c r="AN31" s="1571"/>
      <c r="AO31" s="1571"/>
      <c r="AP31" s="1571"/>
      <c r="AQ31" s="1571"/>
      <c r="AR31" s="1571"/>
      <c r="AS31" s="1571"/>
      <c r="AT31" s="1571"/>
      <c r="AU31" s="1571"/>
      <c r="AV31" s="1571"/>
      <c r="AW31" s="1571"/>
      <c r="AX31" s="1571"/>
      <c r="AY31" s="1571"/>
      <c r="AZ31" s="1571"/>
      <c r="BA31" s="1571"/>
      <c r="BB31" s="1571"/>
      <c r="BC31" s="1571"/>
    </row>
    <row r="32" spans="1:55">
      <c r="A32" s="2741">
        <v>20</v>
      </c>
      <c r="B32" s="1571"/>
      <c r="C32" s="1571"/>
      <c r="D32" s="1571"/>
      <c r="E32" s="1571"/>
      <c r="F32" s="1571"/>
      <c r="G32" s="1571"/>
      <c r="H32" s="1571"/>
      <c r="I32" s="1571"/>
      <c r="J32" s="402"/>
      <c r="K32" s="234"/>
      <c r="L32" s="1571"/>
      <c r="M32" s="1571"/>
      <c r="N32" s="1571"/>
      <c r="O32" s="1571"/>
      <c r="P32" s="1571"/>
      <c r="Q32" s="1571"/>
      <c r="R32" s="1571"/>
      <c r="S32" s="1571"/>
      <c r="T32" s="1571"/>
      <c r="U32" s="1571"/>
      <c r="V32" s="1571"/>
      <c r="W32" s="1571"/>
      <c r="X32" s="1571"/>
      <c r="Y32" s="1571"/>
      <c r="Z32" s="1571"/>
      <c r="AA32" s="1571"/>
      <c r="AB32" s="1571"/>
      <c r="AC32" s="1571"/>
      <c r="AD32" s="1571"/>
      <c r="AE32" s="1571"/>
      <c r="AF32" s="1571"/>
      <c r="AG32" s="1571"/>
      <c r="AH32" s="1571"/>
      <c r="AI32" s="1571"/>
      <c r="AJ32" s="1571"/>
      <c r="AK32" s="1571"/>
      <c r="AL32" s="1571"/>
      <c r="AM32" s="1571"/>
      <c r="AN32" s="1571"/>
      <c r="AO32" s="1571"/>
      <c r="AP32" s="1571"/>
      <c r="AQ32" s="1571"/>
      <c r="AR32" s="1571"/>
      <c r="AS32" s="1571"/>
      <c r="AT32" s="1571"/>
      <c r="AU32" s="1571"/>
      <c r="AV32" s="1571"/>
      <c r="AW32" s="1571"/>
      <c r="AX32" s="1571"/>
      <c r="AY32" s="1571"/>
      <c r="AZ32" s="1571"/>
      <c r="BA32" s="1571"/>
      <c r="BB32" s="1571"/>
      <c r="BC32" s="1571"/>
    </row>
    <row r="33" spans="1:55" ht="13.5" thickBot="1">
      <c r="A33" s="2741">
        <v>21</v>
      </c>
      <c r="B33" s="1571"/>
      <c r="C33" s="2741" t="s">
        <v>1501</v>
      </c>
      <c r="D33" s="1571"/>
      <c r="E33" s="1301">
        <f>E13+E15+SUM(E18:E20)+E31</f>
        <v>208099411</v>
      </c>
      <c r="F33" s="1301">
        <f>F13+F15+SUM(F18:F20)+F31</f>
        <v>93769900</v>
      </c>
      <c r="G33" s="1301">
        <f>G13+G15+SUM(G18:G20)+G31</f>
        <v>24583027</v>
      </c>
      <c r="H33" s="1571"/>
      <c r="I33" s="1301">
        <f>IF(I13+I15+I18+I19+I20+I31=AK145,I13+I15+I18+I19+I20+I31,"Check WPC-2c Rev")</f>
        <v>326452338</v>
      </c>
      <c r="J33" s="1316"/>
      <c r="K33" s="306"/>
      <c r="L33" s="1571"/>
      <c r="M33" s="1571"/>
      <c r="N33" s="1571"/>
      <c r="O33" s="1571"/>
      <c r="P33" s="1571"/>
      <c r="Q33" s="1571"/>
      <c r="R33" s="1571"/>
      <c r="S33" s="1571"/>
      <c r="T33" s="1571"/>
      <c r="U33" s="1571"/>
      <c r="V33" s="1571"/>
      <c r="W33" s="1571"/>
      <c r="X33" s="1571"/>
      <c r="Y33" s="1571"/>
      <c r="Z33" s="1571"/>
      <c r="AA33" s="1571"/>
      <c r="AB33" s="1571"/>
      <c r="AC33" s="1571"/>
      <c r="AD33" s="1571"/>
      <c r="AE33" s="1571"/>
      <c r="AF33" s="1571"/>
      <c r="AG33" s="1571"/>
      <c r="AH33" s="1571"/>
      <c r="AI33" s="1571"/>
      <c r="AJ33" s="1571"/>
      <c r="AK33" s="1571"/>
      <c r="AL33" s="1571"/>
      <c r="AM33" s="1571"/>
      <c r="AN33" s="1571"/>
      <c r="AO33" s="1571"/>
      <c r="AP33" s="1571"/>
      <c r="AQ33" s="1571"/>
      <c r="AR33" s="1571"/>
      <c r="AS33" s="1571"/>
      <c r="AT33" s="1571"/>
      <c r="AU33" s="1571"/>
      <c r="AV33" s="1571"/>
      <c r="AW33" s="1571"/>
      <c r="AX33" s="1571"/>
      <c r="AY33" s="1571"/>
      <c r="AZ33" s="1571"/>
      <c r="BA33" s="1571"/>
      <c r="BB33" s="1571"/>
      <c r="BC33" s="1571"/>
    </row>
    <row r="34" spans="1:55" ht="13.5" thickTop="1">
      <c r="A34" s="2741"/>
      <c r="B34" s="1571"/>
      <c r="C34" s="1571"/>
      <c r="D34" s="1571"/>
      <c r="E34" s="1571"/>
      <c r="F34" s="1571"/>
      <c r="G34" s="1571"/>
      <c r="H34" s="1571"/>
      <c r="I34" s="1459"/>
      <c r="J34" s="234"/>
      <c r="K34" s="234"/>
      <c r="L34" s="1571"/>
      <c r="M34" s="1571"/>
      <c r="N34" s="1571"/>
      <c r="O34" s="1571"/>
      <c r="P34" s="1571"/>
      <c r="Q34" s="1571"/>
      <c r="R34" s="1571"/>
      <c r="S34" s="1571"/>
      <c r="T34" s="1571"/>
      <c r="U34" s="1571"/>
      <c r="V34" s="1571"/>
      <c r="W34" s="1571"/>
      <c r="X34" s="1571"/>
      <c r="Y34" s="1571"/>
      <c r="Z34" s="1571"/>
      <c r="AA34" s="1571"/>
      <c r="AB34" s="1571"/>
      <c r="AC34" s="1571"/>
      <c r="AD34" s="1571"/>
      <c r="AE34" s="1571"/>
      <c r="AF34" s="1571"/>
      <c r="AG34" s="1571"/>
      <c r="AH34" s="1571"/>
      <c r="AI34" s="1571"/>
      <c r="AJ34" s="1571"/>
      <c r="AK34" s="1571"/>
      <c r="AL34" s="1571"/>
      <c r="AM34" s="1571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1571"/>
      <c r="AX34" s="1571"/>
      <c r="AY34" s="1571"/>
      <c r="AZ34" s="1571"/>
      <c r="BA34" s="1571"/>
      <c r="BB34" s="1571"/>
      <c r="BC34" s="1571"/>
    </row>
    <row r="35" spans="1:55">
      <c r="A35" s="173"/>
      <c r="B35" s="1571"/>
      <c r="C35" s="1571"/>
      <c r="D35" s="1571"/>
      <c r="E35" s="1571"/>
      <c r="F35" s="1571"/>
      <c r="G35" s="1571"/>
      <c r="H35" s="1571"/>
      <c r="I35" s="1459"/>
      <c r="J35" s="234"/>
      <c r="K35" s="234"/>
      <c r="L35" s="1571"/>
      <c r="M35" s="1571"/>
      <c r="N35" s="1571"/>
      <c r="O35" s="1571"/>
      <c r="P35" s="1571"/>
      <c r="Q35" s="1571"/>
      <c r="R35" s="1571"/>
      <c r="S35" s="1571"/>
      <c r="T35" s="1571"/>
      <c r="U35" s="1571"/>
      <c r="V35" s="1571"/>
      <c r="W35" s="1571"/>
      <c r="X35" s="1571"/>
      <c r="Y35" s="1571"/>
      <c r="Z35" s="1571"/>
      <c r="AA35" s="1571"/>
      <c r="AB35" s="1571"/>
      <c r="AC35" s="1571"/>
      <c r="AD35" s="1571"/>
      <c r="AE35" s="1571"/>
      <c r="AF35" s="1571"/>
      <c r="AG35" s="1571"/>
      <c r="AH35" s="1571"/>
      <c r="AI35" s="1571"/>
      <c r="AJ35" s="1571"/>
      <c r="AK35" s="1571"/>
      <c r="AL35" s="1571"/>
      <c r="AM35" s="1571"/>
      <c r="AN35" s="1571"/>
      <c r="AO35" s="1571"/>
      <c r="AP35" s="1571"/>
      <c r="AQ35" s="1571"/>
      <c r="AR35" s="1571"/>
      <c r="AS35" s="1571"/>
      <c r="AT35" s="1571"/>
      <c r="AU35" s="1571"/>
      <c r="AV35" s="1571"/>
      <c r="AW35" s="1571"/>
      <c r="AX35" s="1571"/>
      <c r="AY35" s="1571"/>
      <c r="AZ35" s="1571"/>
      <c r="BA35" s="1571"/>
      <c r="BB35" s="1571"/>
      <c r="BC35" s="1571"/>
    </row>
    <row r="36" spans="1:55">
      <c r="A36" s="173"/>
      <c r="B36" s="1571"/>
      <c r="C36" s="1571" t="s">
        <v>1502</v>
      </c>
      <c r="D36" s="1571"/>
      <c r="E36" s="1571"/>
      <c r="F36" s="1571"/>
      <c r="G36" s="1571"/>
      <c r="H36" s="1571"/>
      <c r="I36" s="1459"/>
      <c r="J36" s="234"/>
      <c r="K36" s="234"/>
      <c r="L36" s="1571"/>
      <c r="M36" s="1571"/>
      <c r="N36" s="1571"/>
      <c r="O36" s="1571"/>
      <c r="P36" s="1571"/>
      <c r="Q36" s="1571"/>
      <c r="R36" s="1571"/>
      <c r="S36" s="1571"/>
      <c r="T36" s="1571"/>
      <c r="U36" s="1571"/>
      <c r="V36" s="1571"/>
      <c r="W36" s="1571"/>
      <c r="X36" s="1571"/>
      <c r="Y36" s="1571"/>
      <c r="Z36" s="1571"/>
      <c r="AA36" s="1571"/>
      <c r="AB36" s="1571"/>
      <c r="AC36" s="1571"/>
      <c r="AD36" s="1571"/>
      <c r="AE36" s="1571"/>
      <c r="AF36" s="1571"/>
      <c r="AG36" s="1571"/>
      <c r="AH36" s="1571"/>
      <c r="AI36" s="1571"/>
      <c r="AJ36" s="1571"/>
      <c r="AK36" s="1571"/>
      <c r="AL36" s="1571"/>
      <c r="AM36" s="1571"/>
      <c r="AN36" s="1571"/>
      <c r="AO36" s="1571"/>
      <c r="AP36" s="1571"/>
      <c r="AQ36" s="1571"/>
      <c r="AR36" s="1571"/>
      <c r="AS36" s="1571"/>
      <c r="AT36" s="1571"/>
      <c r="AU36" s="1571"/>
      <c r="AV36" s="1571"/>
      <c r="AW36" s="1571"/>
      <c r="AX36" s="1571"/>
      <c r="AY36" s="1571"/>
      <c r="AZ36" s="1571"/>
      <c r="BA36" s="1571"/>
      <c r="BB36" s="1571"/>
      <c r="BC36" s="1571"/>
    </row>
    <row r="37" spans="1:55">
      <c r="A37" s="173"/>
      <c r="B37" s="1571"/>
      <c r="C37" s="1581" t="s">
        <v>785</v>
      </c>
      <c r="D37" s="1571"/>
      <c r="E37" s="1571"/>
      <c r="F37" s="1571"/>
      <c r="G37" s="1571"/>
      <c r="H37" s="1571"/>
      <c r="I37" s="1571"/>
      <c r="J37" s="1571"/>
      <c r="K37" s="1571"/>
      <c r="L37" s="1571"/>
      <c r="M37" s="1571"/>
      <c r="N37" s="1571"/>
      <c r="O37" s="1571"/>
      <c r="P37" s="1571"/>
      <c r="Q37" s="1571"/>
      <c r="R37" s="1571"/>
      <c r="S37" s="1571"/>
      <c r="T37" s="1571"/>
      <c r="U37" s="1571"/>
      <c r="V37" s="1571"/>
      <c r="W37" s="1571"/>
      <c r="X37" s="1571"/>
      <c r="Y37" s="1571"/>
      <c r="Z37" s="1571"/>
      <c r="AA37" s="1571"/>
      <c r="AB37" s="1571"/>
      <c r="AC37" s="1571"/>
      <c r="AD37" s="1571"/>
      <c r="AE37" s="1571"/>
      <c r="AF37" s="1571"/>
      <c r="AG37" s="1571"/>
      <c r="AH37" s="1571"/>
      <c r="AI37" s="1571"/>
      <c r="AJ37" s="1571"/>
      <c r="AK37" s="1571"/>
      <c r="AL37" s="1571"/>
      <c r="AM37" s="1571"/>
      <c r="AN37" s="1571"/>
      <c r="AO37" s="1571"/>
      <c r="AP37" s="1571"/>
      <c r="AQ37" s="1571"/>
      <c r="AR37" s="1571"/>
      <c r="AS37" s="1571"/>
      <c r="AT37" s="1571"/>
      <c r="AU37" s="1571"/>
      <c r="AV37" s="1571"/>
      <c r="AW37" s="1571"/>
      <c r="AX37" s="1571"/>
      <c r="AY37" s="1571"/>
      <c r="AZ37" s="1571"/>
      <c r="BA37" s="1571"/>
      <c r="BB37" s="1571"/>
      <c r="BC37" s="1571"/>
    </row>
    <row r="38" spans="1:55">
      <c r="A38" s="173"/>
      <c r="B38" s="1571"/>
      <c r="C38" s="1581" t="s">
        <v>3166</v>
      </c>
      <c r="D38" s="1571"/>
      <c r="E38" s="1571"/>
      <c r="F38" s="1571"/>
      <c r="G38" s="1571"/>
      <c r="H38" s="1571"/>
      <c r="I38" s="1571"/>
      <c r="J38" s="1571"/>
      <c r="K38" s="1571"/>
      <c r="L38" s="1571"/>
      <c r="M38" s="1571"/>
      <c r="N38" s="1571"/>
      <c r="O38" s="1571"/>
      <c r="P38" s="1571"/>
      <c r="Q38" s="1571"/>
      <c r="R38" s="1571"/>
      <c r="S38" s="1571"/>
      <c r="T38" s="1571"/>
      <c r="U38" s="1571"/>
      <c r="V38" s="1571"/>
      <c r="W38" s="1571"/>
      <c r="X38" s="1571"/>
      <c r="Y38" s="1571"/>
      <c r="Z38" s="1571"/>
      <c r="AA38" s="1571"/>
      <c r="AB38" s="1571"/>
      <c r="AC38" s="1571"/>
      <c r="AD38" s="1571"/>
      <c r="AE38" s="1571"/>
      <c r="AF38" s="1571"/>
      <c r="AG38" s="1571"/>
      <c r="AH38" s="1571"/>
      <c r="AI38" s="1571"/>
      <c r="AJ38" s="1571"/>
      <c r="AK38" s="1571"/>
      <c r="AL38" s="1571"/>
      <c r="AM38" s="1571"/>
      <c r="AN38" s="1571"/>
      <c r="AO38" s="1571"/>
      <c r="AP38" s="1571"/>
      <c r="AQ38" s="1571"/>
      <c r="AR38" s="1571"/>
      <c r="AS38" s="1571"/>
      <c r="AT38" s="1571"/>
      <c r="AU38" s="1571"/>
      <c r="AV38" s="1571"/>
      <c r="AW38" s="1571"/>
      <c r="AX38" s="1571"/>
      <c r="AY38" s="1571"/>
      <c r="AZ38" s="1571"/>
      <c r="BA38" s="1571"/>
      <c r="BB38" s="1571"/>
      <c r="BC38" s="1571"/>
    </row>
    <row r="39" spans="1:55">
      <c r="A39" s="1571"/>
      <c r="B39" s="1571"/>
      <c r="C39" s="344"/>
      <c r="D39" s="234"/>
      <c r="E39" s="404"/>
      <c r="F39" s="404"/>
      <c r="G39" s="404"/>
      <c r="H39" s="234"/>
      <c r="I39" s="234"/>
      <c r="J39" s="1571"/>
      <c r="K39" s="1581" t="str">
        <f>COMPANY</f>
        <v>DUKE ENERGY KENTUCKY, INC.</v>
      </c>
      <c r="L39" s="1571"/>
      <c r="M39" s="1571"/>
      <c r="N39" s="1571"/>
      <c r="O39" s="1571"/>
      <c r="P39" s="1571"/>
      <c r="Q39" s="337" t="s">
        <v>1503</v>
      </c>
      <c r="R39" s="1571"/>
      <c r="S39" s="1571"/>
      <c r="T39" s="1571"/>
      <c r="U39" s="1571"/>
      <c r="V39" s="1571"/>
      <c r="W39" s="1571"/>
      <c r="X39" s="1571"/>
      <c r="Y39" s="1571"/>
      <c r="Z39" s="1571"/>
      <c r="AA39" s="1571"/>
      <c r="AB39" s="1571"/>
      <c r="AC39" s="1571"/>
      <c r="AD39" s="1571"/>
      <c r="AE39" s="1571"/>
      <c r="AF39" s="1571"/>
      <c r="AG39" s="1571"/>
      <c r="AH39" s="1571"/>
      <c r="AI39" s="1571"/>
      <c r="AJ39" s="1571"/>
      <c r="AK39" s="1571"/>
      <c r="AL39" s="1571"/>
      <c r="AM39" s="1571"/>
      <c r="AN39" s="1571"/>
      <c r="AO39" s="1571"/>
      <c r="AP39" s="1571"/>
      <c r="AQ39" s="1571"/>
      <c r="AR39" s="1571"/>
      <c r="AS39" s="1571"/>
      <c r="AT39" s="1571"/>
      <c r="AU39" s="1571"/>
      <c r="AV39" s="1571"/>
      <c r="AW39" s="1571"/>
      <c r="AX39" s="1571"/>
      <c r="AY39" s="1571"/>
      <c r="AZ39" s="1571"/>
      <c r="BA39" s="1571"/>
      <c r="BB39" s="1571"/>
      <c r="BC39" s="1571"/>
    </row>
    <row r="40" spans="1:55">
      <c r="A40" s="1571"/>
      <c r="B40" s="1571"/>
      <c r="C40" s="234"/>
      <c r="D40" s="234"/>
      <c r="E40" s="404"/>
      <c r="F40" s="404"/>
      <c r="G40" s="404"/>
      <c r="H40" s="234"/>
      <c r="I40" s="234"/>
      <c r="J40" s="1571"/>
      <c r="K40" s="396" t="str">
        <f>CASE</f>
        <v>CASE NO. 2017-00321</v>
      </c>
      <c r="L40" s="1571"/>
      <c r="M40" s="1571"/>
      <c r="N40" s="1571"/>
      <c r="O40" s="1571"/>
      <c r="P40" s="1571"/>
      <c r="Q40" s="1581" t="s">
        <v>1494</v>
      </c>
      <c r="R40" s="1571"/>
      <c r="S40" s="1571"/>
      <c r="T40" s="1571"/>
      <c r="U40" s="1571"/>
      <c r="V40" s="1571"/>
      <c r="W40" s="1571"/>
      <c r="X40" s="1571"/>
      <c r="Y40" s="1571"/>
      <c r="Z40" s="1571"/>
      <c r="AA40" s="1571"/>
      <c r="AB40" s="1571"/>
      <c r="AC40" s="1571"/>
      <c r="AD40" s="1571"/>
      <c r="AE40" s="1571"/>
      <c r="AF40" s="1571"/>
      <c r="AG40" s="1571"/>
      <c r="AH40" s="1571"/>
      <c r="AI40" s="1571"/>
      <c r="AJ40" s="1571"/>
      <c r="AK40" s="1571"/>
      <c r="AL40" s="1571"/>
      <c r="AM40" s="1571"/>
      <c r="AN40" s="1571"/>
      <c r="AO40" s="1571"/>
      <c r="AP40" s="1571"/>
      <c r="AQ40" s="1571"/>
      <c r="AR40" s="1571"/>
      <c r="AS40" s="1571"/>
      <c r="AT40" s="1571"/>
      <c r="AU40" s="1571"/>
      <c r="AV40" s="1571"/>
      <c r="AW40" s="1571"/>
      <c r="AX40" s="1571"/>
      <c r="AY40" s="1571"/>
      <c r="AZ40" s="1571"/>
      <c r="BA40" s="1571"/>
      <c r="BB40" s="1571"/>
      <c r="BC40" s="1571"/>
    </row>
    <row r="41" spans="1:55">
      <c r="A41" s="1571"/>
      <c r="B41" s="1571"/>
      <c r="C41" s="234"/>
      <c r="D41" s="234"/>
      <c r="E41" s="404"/>
      <c r="F41" s="404"/>
      <c r="G41" s="404"/>
      <c r="H41" s="234"/>
      <c r="I41" s="234"/>
      <c r="J41" s="1571"/>
      <c r="K41" s="1581" t="str">
        <f>DEPT</f>
        <v>ELECTRIC DEPARTMENT</v>
      </c>
      <c r="L41" s="1571"/>
      <c r="M41" s="1571"/>
      <c r="N41" s="1571"/>
      <c r="O41" s="1571"/>
      <c r="P41" s="1571"/>
      <c r="Q41" s="1571" t="str">
        <f>"      "&amp;_WIT1</f>
        <v xml:space="preserve">      S. E. LAWLER</v>
      </c>
      <c r="R41" s="1571"/>
      <c r="S41" s="1571"/>
      <c r="T41" s="1571"/>
      <c r="U41" s="1571"/>
      <c r="V41" s="1571"/>
      <c r="W41" s="1571"/>
      <c r="X41" s="1571"/>
      <c r="Y41" s="1571"/>
      <c r="Z41" s="1571"/>
      <c r="AA41" s="1571"/>
      <c r="AB41" s="1571"/>
      <c r="AC41" s="1571"/>
      <c r="AD41" s="1571"/>
      <c r="AE41" s="1571"/>
      <c r="AF41" s="1571"/>
      <c r="AG41" s="1571"/>
      <c r="AH41" s="1571"/>
      <c r="AI41" s="1571"/>
      <c r="AJ41" s="1571"/>
      <c r="AK41" s="1571"/>
      <c r="AL41" s="1571"/>
      <c r="AM41" s="1571"/>
      <c r="AN41" s="1571"/>
      <c r="AO41" s="1571"/>
      <c r="AP41" s="1571"/>
      <c r="AQ41" s="1571"/>
      <c r="AR41" s="1571"/>
      <c r="AS41" s="1571"/>
      <c r="AT41" s="1571"/>
      <c r="AU41" s="1571"/>
      <c r="AV41" s="1571"/>
      <c r="AW41" s="1571"/>
      <c r="AX41" s="1571"/>
      <c r="AY41" s="1571"/>
      <c r="AZ41" s="1571"/>
      <c r="BA41" s="1571"/>
      <c r="BB41" s="1571"/>
      <c r="BC41" s="1571"/>
    </row>
    <row r="42" spans="1:55">
      <c r="A42" s="1571"/>
      <c r="B42" s="1571"/>
      <c r="C42" s="234"/>
      <c r="D42" s="234"/>
      <c r="E42" s="404"/>
      <c r="F42" s="404"/>
      <c r="G42" s="404"/>
      <c r="H42" s="234"/>
      <c r="I42" s="234"/>
      <c r="J42" s="1571"/>
      <c r="K42" s="1581" t="str">
        <f>PeriodF</f>
        <v>FOR THE TWELVE MONTHS ENDED MARCH 31, 2019</v>
      </c>
      <c r="L42" s="1571"/>
      <c r="M42" s="1571"/>
      <c r="N42" s="1571"/>
      <c r="O42" s="1571"/>
      <c r="P42" s="1571"/>
      <c r="Q42" s="1571"/>
      <c r="R42" s="1571"/>
      <c r="S42" s="1571"/>
      <c r="T42" s="1571"/>
      <c r="U42" s="1571"/>
      <c r="V42" s="1571"/>
      <c r="W42" s="1571"/>
      <c r="X42" s="1571"/>
      <c r="Y42" s="1571"/>
      <c r="Z42" s="1571"/>
      <c r="AA42" s="1571"/>
      <c r="AB42" s="1571"/>
      <c r="AC42" s="1571"/>
      <c r="AD42" s="1571"/>
      <c r="AE42" s="1571"/>
      <c r="AF42" s="1571"/>
      <c r="AG42" s="1571"/>
      <c r="AH42" s="1571"/>
      <c r="AI42" s="1571"/>
      <c r="AJ42" s="1571"/>
      <c r="AK42" s="1571"/>
      <c r="AL42" s="1571"/>
      <c r="AM42" s="1571"/>
      <c r="AN42" s="1571"/>
      <c r="AO42" s="1571"/>
      <c r="AP42" s="1571"/>
      <c r="AQ42" s="1571"/>
      <c r="AR42" s="1571"/>
      <c r="AS42" s="1571"/>
      <c r="AT42" s="1571"/>
      <c r="AU42" s="1571"/>
      <c r="AV42" s="1571"/>
      <c r="AW42" s="1571"/>
      <c r="AX42" s="1571"/>
      <c r="AY42" s="1571"/>
      <c r="AZ42" s="1571"/>
      <c r="BA42" s="1571"/>
      <c r="BB42" s="1571"/>
      <c r="BC42" s="1571"/>
    </row>
    <row r="43" spans="1:55">
      <c r="A43" s="1571"/>
      <c r="B43" s="1571"/>
      <c r="C43" s="234"/>
      <c r="D43" s="234"/>
      <c r="E43" s="404"/>
      <c r="F43" s="404"/>
      <c r="G43" s="404"/>
      <c r="H43" s="234"/>
      <c r="I43" s="234"/>
      <c r="J43" s="1571"/>
      <c r="K43" s="1581" t="str">
        <f>DataF</f>
        <v>DATA:  BASE PERIOD  "X" FORECASTED PERIOD</v>
      </c>
      <c r="L43" s="1571"/>
      <c r="M43" s="1571"/>
      <c r="N43" s="1571"/>
      <c r="O43" s="1571"/>
      <c r="P43" s="1571"/>
      <c r="Q43" s="1571"/>
      <c r="R43" s="1571"/>
      <c r="S43" s="1571"/>
      <c r="T43" s="1571"/>
      <c r="U43" s="1571"/>
      <c r="V43" s="1571"/>
      <c r="W43" s="1571"/>
      <c r="X43" s="1571"/>
      <c r="Y43" s="1571"/>
      <c r="Z43" s="1571"/>
      <c r="AA43" s="1571"/>
      <c r="AB43" s="1571"/>
      <c r="AC43" s="1571"/>
      <c r="AD43" s="1571"/>
      <c r="AE43" s="1571"/>
      <c r="AF43" s="1571"/>
      <c r="AG43" s="1571"/>
      <c r="AH43" s="1571"/>
      <c r="AI43" s="1571"/>
      <c r="AJ43" s="1571"/>
      <c r="AK43" s="1571"/>
      <c r="AL43" s="1571"/>
      <c r="AM43" s="1571"/>
      <c r="AN43" s="1571"/>
      <c r="AO43" s="1571"/>
      <c r="AP43" s="1571"/>
      <c r="AQ43" s="1571"/>
      <c r="AR43" s="1571"/>
      <c r="AS43" s="1571"/>
      <c r="AT43" s="1571"/>
      <c r="AU43" s="1571"/>
      <c r="AV43" s="1571"/>
      <c r="AW43" s="1571"/>
      <c r="AX43" s="1571"/>
      <c r="AY43" s="1571"/>
      <c r="AZ43" s="1571"/>
      <c r="BA43" s="1571"/>
      <c r="BB43" s="1571"/>
      <c r="BC43" s="1571"/>
    </row>
    <row r="44" spans="1:55">
      <c r="A44" s="1571"/>
      <c r="B44" s="1571"/>
      <c r="C44" s="234"/>
      <c r="D44" s="234"/>
      <c r="E44" s="404"/>
      <c r="F44" s="404"/>
      <c r="G44" s="404"/>
      <c r="H44" s="234"/>
      <c r="I44" s="234"/>
      <c r="J44" s="1571"/>
      <c r="K44" s="1581" t="str">
        <f>Type</f>
        <v xml:space="preserve">TYPE OF FILING:  "X" ORIGINAL   UPDATED    REVISED  </v>
      </c>
      <c r="L44" s="1571"/>
      <c r="M44" s="1571"/>
      <c r="N44" s="1571"/>
      <c r="O44" s="1571"/>
      <c r="P44" s="1571"/>
      <c r="Q44" s="1571"/>
      <c r="R44" s="1571"/>
      <c r="S44" s="1571"/>
      <c r="T44" s="1571"/>
      <c r="U44" s="1571"/>
      <c r="V44" s="1571"/>
      <c r="W44" s="1571"/>
      <c r="X44" s="1571"/>
      <c r="Y44" s="1571"/>
      <c r="Z44" s="1571"/>
      <c r="AA44" s="1571"/>
      <c r="AB44" s="1571"/>
      <c r="AC44" s="1571"/>
      <c r="AD44" s="1571"/>
      <c r="AE44" s="1571"/>
      <c r="AF44" s="1571"/>
      <c r="AG44" s="1571"/>
      <c r="AH44" s="1571"/>
      <c r="AI44" s="1571"/>
      <c r="AJ44" s="1571"/>
      <c r="AK44" s="1571"/>
      <c r="AL44" s="1571"/>
      <c r="AM44" s="1571"/>
      <c r="AN44" s="1571"/>
      <c r="AO44" s="1571"/>
      <c r="AP44" s="1571"/>
      <c r="AQ44" s="1571"/>
      <c r="AR44" s="1571"/>
      <c r="AS44" s="1571"/>
      <c r="AT44" s="1571"/>
      <c r="AU44" s="1571"/>
      <c r="AV44" s="1571"/>
      <c r="AW44" s="1571"/>
      <c r="AX44" s="1571"/>
      <c r="AY44" s="1571"/>
      <c r="AZ44" s="1571"/>
      <c r="BA44" s="1571"/>
      <c r="BB44" s="1571"/>
      <c r="BC44" s="1571"/>
    </row>
    <row r="45" spans="1:55">
      <c r="A45" s="1571"/>
      <c r="B45" s="1571"/>
      <c r="C45" s="234"/>
      <c r="D45" s="234"/>
      <c r="E45" s="404"/>
      <c r="F45" s="404"/>
      <c r="G45" s="404"/>
      <c r="H45" s="234"/>
      <c r="I45" s="234"/>
      <c r="J45" s="1571"/>
      <c r="K45" s="1571"/>
      <c r="L45" s="1571"/>
      <c r="M45" s="1571"/>
      <c r="N45" s="1571"/>
      <c r="O45" s="1571"/>
      <c r="P45" s="1571"/>
      <c r="Q45" s="1571"/>
      <c r="R45" s="1571"/>
      <c r="S45" s="1571"/>
      <c r="T45" s="1571"/>
      <c r="U45" s="1571"/>
      <c r="V45" s="1571"/>
      <c r="W45" s="1571"/>
      <c r="X45" s="1571"/>
      <c r="Y45" s="1571"/>
      <c r="Z45" s="1571"/>
      <c r="AA45" s="1571"/>
      <c r="AB45" s="1571"/>
      <c r="AC45" s="1571"/>
      <c r="AD45" s="1571"/>
      <c r="AE45" s="1571"/>
      <c r="AF45" s="1571"/>
      <c r="AG45" s="1571"/>
      <c r="AH45" s="1571"/>
      <c r="AI45" s="1571"/>
      <c r="AJ45" s="1571"/>
      <c r="AK45" s="1571"/>
      <c r="AL45" s="1571"/>
      <c r="AM45" s="1571"/>
      <c r="AN45" s="1571"/>
      <c r="AO45" s="1571"/>
      <c r="AP45" s="1571"/>
      <c r="AQ45" s="1571"/>
      <c r="AR45" s="1571"/>
      <c r="AS45" s="1571"/>
      <c r="AT45" s="1571"/>
      <c r="AU45" s="1571"/>
      <c r="AV45" s="1571"/>
      <c r="AW45" s="1571"/>
      <c r="AX45" s="1571"/>
      <c r="AY45" s="1571"/>
      <c r="AZ45" s="1571"/>
      <c r="BA45" s="1571"/>
      <c r="BB45" s="1571"/>
      <c r="BC45" s="1571"/>
    </row>
    <row r="46" spans="1:55">
      <c r="A46" s="1571"/>
      <c r="B46" s="1571"/>
      <c r="C46" s="1571"/>
      <c r="D46" s="1571"/>
      <c r="E46" s="1571"/>
      <c r="F46" s="1571"/>
      <c r="G46" s="1571"/>
      <c r="H46" s="1571"/>
      <c r="I46" s="1571"/>
      <c r="J46" s="1571"/>
      <c r="K46" s="1571"/>
      <c r="L46" s="1571"/>
      <c r="M46" s="1571"/>
      <c r="N46" s="1571"/>
      <c r="O46" s="1571"/>
      <c r="P46" s="1571"/>
      <c r="Q46" s="1571"/>
      <c r="R46" s="1571"/>
      <c r="S46" s="1571"/>
      <c r="T46" s="1571"/>
      <c r="U46" s="1571"/>
      <c r="V46" s="1571"/>
      <c r="W46" s="1571"/>
      <c r="X46" s="1571"/>
      <c r="Y46" s="1571"/>
      <c r="Z46" s="1571"/>
      <c r="AA46" s="1571"/>
      <c r="AB46" s="1571"/>
      <c r="AC46" s="1571"/>
      <c r="AD46" s="1571"/>
      <c r="AE46" s="1571"/>
      <c r="AF46" s="1571"/>
      <c r="AG46" s="1571"/>
      <c r="AH46" s="1571"/>
      <c r="AI46" s="1571"/>
      <c r="AJ46" s="1571"/>
      <c r="AK46" s="1571"/>
      <c r="AL46" s="1571"/>
      <c r="AM46" s="1571"/>
      <c r="AN46" s="1571"/>
      <c r="AO46" s="1571"/>
      <c r="AP46" s="1571"/>
      <c r="AQ46" s="1571"/>
      <c r="AR46" s="1571"/>
      <c r="AS46" s="1571"/>
      <c r="AT46" s="1571"/>
      <c r="AU46" s="1571"/>
      <c r="AV46" s="1571"/>
      <c r="AW46" s="1571"/>
      <c r="AX46" s="1571"/>
      <c r="AY46" s="1571"/>
      <c r="AZ46" s="1571"/>
      <c r="BA46" s="1571"/>
      <c r="BB46" s="1571"/>
      <c r="BC46" s="1571"/>
    </row>
    <row r="47" spans="1:55">
      <c r="A47" s="1571"/>
      <c r="B47" s="1571"/>
      <c r="C47" s="1571"/>
      <c r="D47" s="1571"/>
      <c r="E47" s="1571"/>
      <c r="F47" s="1571"/>
      <c r="G47" s="1571"/>
      <c r="H47" s="1571"/>
      <c r="I47" s="1571"/>
      <c r="J47" s="1571"/>
      <c r="K47" s="1571"/>
      <c r="L47" s="1571"/>
      <c r="M47" s="1571"/>
      <c r="N47" s="1571"/>
      <c r="O47" s="397" t="s">
        <v>624</v>
      </c>
      <c r="P47" s="397"/>
      <c r="Q47" s="397"/>
      <c r="R47" s="1571"/>
      <c r="S47" s="2741" t="s">
        <v>1035</v>
      </c>
      <c r="T47" s="1571"/>
      <c r="U47" s="1571"/>
      <c r="V47" s="1571"/>
      <c r="W47" s="1571"/>
      <c r="X47" s="1571"/>
      <c r="Y47" s="1571"/>
      <c r="Z47" s="1571"/>
      <c r="AA47" s="1571"/>
      <c r="AB47" s="1571"/>
      <c r="AC47" s="1571"/>
      <c r="AD47" s="1571"/>
      <c r="AE47" s="1571"/>
      <c r="AF47" s="1571"/>
      <c r="AG47" s="1571"/>
      <c r="AH47" s="1571"/>
      <c r="AI47" s="1571"/>
      <c r="AJ47" s="1571"/>
      <c r="AK47" s="1571"/>
      <c r="AL47" s="1571"/>
      <c r="AM47" s="1571"/>
      <c r="AN47" s="1571"/>
      <c r="AO47" s="1571"/>
      <c r="AP47" s="1571"/>
      <c r="AQ47" s="1571"/>
      <c r="AR47" s="1571"/>
      <c r="AS47" s="1571"/>
      <c r="AT47" s="1571"/>
      <c r="AU47" s="1571"/>
      <c r="AV47" s="1571"/>
      <c r="AW47" s="1571"/>
      <c r="AX47" s="1571"/>
      <c r="AY47" s="1571"/>
      <c r="AZ47" s="1571"/>
      <c r="BA47" s="1571"/>
      <c r="BB47" s="1571"/>
      <c r="BC47" s="1571"/>
    </row>
    <row r="48" spans="1:55">
      <c r="A48" s="1571"/>
      <c r="B48" s="1571"/>
      <c r="C48" s="1571"/>
      <c r="D48" s="1571"/>
      <c r="E48" s="1571"/>
      <c r="F48" s="1571"/>
      <c r="G48" s="1571"/>
      <c r="H48" s="1571"/>
      <c r="I48" s="1571"/>
      <c r="J48" s="1571"/>
      <c r="K48" s="2741" t="s">
        <v>1961</v>
      </c>
      <c r="L48" s="1571"/>
      <c r="M48" s="1571"/>
      <c r="N48" s="1571"/>
      <c r="O48" s="398" t="s">
        <v>1495</v>
      </c>
      <c r="P48" s="247"/>
      <c r="Q48" s="247"/>
      <c r="R48" s="1571"/>
      <c r="S48" s="2741" t="s">
        <v>1496</v>
      </c>
      <c r="T48" s="1571"/>
      <c r="U48" s="1571"/>
      <c r="V48" s="1571"/>
      <c r="W48" s="1571"/>
      <c r="X48" s="1571"/>
      <c r="Y48" s="1571"/>
      <c r="Z48" s="1571"/>
      <c r="AA48" s="1571"/>
      <c r="AB48" s="1571"/>
      <c r="AC48" s="1571"/>
      <c r="AD48" s="1571"/>
      <c r="AE48" s="1571"/>
      <c r="AF48" s="1571"/>
      <c r="AG48" s="1571"/>
      <c r="AH48" s="1571"/>
      <c r="AI48" s="1571"/>
      <c r="AJ48" s="1571"/>
      <c r="AK48" s="1571"/>
      <c r="AL48" s="1571"/>
      <c r="AM48" s="1571"/>
      <c r="AN48" s="1571"/>
      <c r="AO48" s="1571"/>
      <c r="AP48" s="1571"/>
      <c r="AQ48" s="1571"/>
      <c r="AR48" s="1571"/>
      <c r="AS48" s="1571"/>
      <c r="AT48" s="1571"/>
      <c r="AU48" s="1571"/>
      <c r="AV48" s="1571"/>
      <c r="AW48" s="1571"/>
      <c r="AX48" s="1571"/>
      <c r="AY48" s="1571"/>
      <c r="AZ48" s="1571"/>
      <c r="BA48" s="1571"/>
      <c r="BB48" s="1571"/>
      <c r="BC48" s="1571"/>
    </row>
    <row r="49" spans="1:55">
      <c r="A49" s="1571"/>
      <c r="B49" s="1571"/>
      <c r="C49" s="1571"/>
      <c r="D49" s="1571"/>
      <c r="E49" s="1571"/>
      <c r="F49" s="1571"/>
      <c r="G49" s="1571"/>
      <c r="H49" s="1571"/>
      <c r="I49" s="1571"/>
      <c r="J49" s="1571"/>
      <c r="K49" s="1308" t="s">
        <v>90</v>
      </c>
      <c r="L49" s="1571"/>
      <c r="M49" s="399" t="s">
        <v>1497</v>
      </c>
      <c r="N49" s="1571"/>
      <c r="O49" s="1308" t="s">
        <v>564</v>
      </c>
      <c r="P49" s="1308" t="s">
        <v>347</v>
      </c>
      <c r="Q49" s="1308" t="s">
        <v>1498</v>
      </c>
      <c r="R49" s="1571"/>
      <c r="S49" s="1308" t="s">
        <v>1499</v>
      </c>
      <c r="T49" s="1571"/>
      <c r="U49" s="1571"/>
      <c r="V49" s="1571"/>
      <c r="W49" s="1571"/>
      <c r="X49" s="1571"/>
      <c r="Y49" s="1571"/>
      <c r="Z49" s="1571"/>
      <c r="AA49" s="1571"/>
      <c r="AB49" s="1571"/>
      <c r="AC49" s="1571"/>
      <c r="AD49" s="1571"/>
      <c r="AE49" s="1571"/>
      <c r="AF49" s="1571"/>
      <c r="AG49" s="1571"/>
      <c r="AH49" s="1571"/>
      <c r="AI49" s="1571"/>
      <c r="AJ49" s="1571"/>
      <c r="AK49" s="1571"/>
      <c r="AL49" s="1571"/>
      <c r="AM49" s="1571"/>
      <c r="AN49" s="1571"/>
      <c r="AO49" s="1571"/>
      <c r="AP49" s="1571"/>
      <c r="AQ49" s="1571"/>
      <c r="AR49" s="1571"/>
      <c r="AS49" s="1571"/>
      <c r="AT49" s="1571"/>
      <c r="AU49" s="1571"/>
      <c r="AV49" s="1571"/>
      <c r="AW49" s="1571"/>
      <c r="AX49" s="1571"/>
      <c r="AY49" s="1571"/>
      <c r="AZ49" s="1571"/>
      <c r="BA49" s="1571"/>
      <c r="BB49" s="1571"/>
      <c r="BC49" s="1571"/>
    </row>
    <row r="50" spans="1:55">
      <c r="A50" s="173"/>
      <c r="B50" s="1571"/>
      <c r="C50" s="1571"/>
      <c r="D50" s="1571"/>
      <c r="E50" s="1571"/>
      <c r="F50" s="1571"/>
      <c r="G50" s="1571"/>
      <c r="H50" s="1571"/>
      <c r="I50" s="1571"/>
      <c r="J50" s="1571"/>
      <c r="K50" s="1571"/>
      <c r="L50" s="1571"/>
      <c r="M50" s="1571"/>
      <c r="N50" s="1571"/>
      <c r="O50" s="1459"/>
      <c r="P50" s="1459"/>
      <c r="Q50" s="1459"/>
      <c r="R50" s="1571"/>
      <c r="S50" s="1458"/>
      <c r="T50" s="1571"/>
      <c r="U50" s="1571"/>
      <c r="V50" s="1571"/>
      <c r="W50" s="1571"/>
      <c r="X50" s="1571"/>
      <c r="Y50" s="1571"/>
      <c r="Z50" s="1571"/>
      <c r="AA50" s="1571"/>
      <c r="AB50" s="1571"/>
      <c r="AC50" s="1571"/>
      <c r="AD50" s="1571"/>
      <c r="AE50" s="1571"/>
      <c r="AF50" s="1571"/>
      <c r="AG50" s="1571"/>
      <c r="AH50" s="1571"/>
      <c r="AI50" s="1571"/>
      <c r="AJ50" s="1571"/>
      <c r="AK50" s="1571"/>
      <c r="AL50" s="1571"/>
      <c r="AM50" s="1571"/>
      <c r="AN50" s="1571"/>
      <c r="AO50" s="1571"/>
      <c r="AP50" s="1571"/>
      <c r="AQ50" s="1571"/>
      <c r="AR50" s="1571"/>
      <c r="AS50" s="1571"/>
      <c r="AT50" s="1571"/>
      <c r="AU50" s="1571"/>
      <c r="AV50" s="1571"/>
      <c r="AW50" s="1571"/>
      <c r="AX50" s="1571"/>
      <c r="AY50" s="1571"/>
      <c r="AZ50" s="1571"/>
      <c r="BA50" s="1571"/>
      <c r="BB50" s="1571"/>
      <c r="BC50" s="1571"/>
    </row>
    <row r="51" spans="1:55">
      <c r="A51" s="1581"/>
      <c r="B51" s="1571"/>
      <c r="C51" s="1571"/>
      <c r="D51" s="1459"/>
      <c r="E51" s="1459"/>
      <c r="F51" s="1571"/>
      <c r="G51" s="405"/>
      <c r="H51" s="1459"/>
      <c r="I51" s="405"/>
      <c r="J51" s="1571"/>
      <c r="K51" s="2741">
        <v>1</v>
      </c>
      <c r="L51" s="400"/>
      <c r="M51" s="1581" t="s">
        <v>1317</v>
      </c>
      <c r="N51" s="1459"/>
      <c r="O51" s="401">
        <f ca="1">S51-P51</f>
        <v>202967846</v>
      </c>
      <c r="P51" s="401">
        <f>SUM(AK182:AK186)</f>
        <v>104273988</v>
      </c>
      <c r="Q51" s="1571"/>
      <c r="R51" s="1571"/>
      <c r="S51" s="1459">
        <f ca="1">'SCH_C2.1 - Forecasted Period'!J47-S53-S56-S57-S58-S68</f>
        <v>307241834</v>
      </c>
      <c r="T51" s="1571"/>
      <c r="U51" s="1571"/>
      <c r="V51" s="1571"/>
      <c r="W51" s="1571"/>
      <c r="X51" s="1571"/>
      <c r="Y51" s="1571"/>
      <c r="Z51" s="1571"/>
      <c r="AA51" s="1571"/>
      <c r="AB51" s="1571"/>
      <c r="AC51" s="1571"/>
      <c r="AD51" s="1571"/>
      <c r="AE51" s="1571"/>
      <c r="AF51" s="1571"/>
      <c r="AG51" s="1571"/>
      <c r="AH51" s="1571"/>
      <c r="AI51" s="1571"/>
      <c r="AJ51" s="1571"/>
      <c r="AK51" s="1571"/>
      <c r="AL51" s="1571"/>
      <c r="AM51" s="1571"/>
      <c r="AN51" s="1571"/>
      <c r="AO51" s="1571"/>
      <c r="AP51" s="1571"/>
      <c r="AQ51" s="1571"/>
      <c r="AR51" s="1571"/>
      <c r="AS51" s="1571"/>
      <c r="AT51" s="1571"/>
      <c r="AU51" s="1571"/>
      <c r="AV51" s="1571"/>
      <c r="AW51" s="1571"/>
      <c r="AX51" s="1571"/>
      <c r="AY51" s="1571"/>
      <c r="AZ51" s="1571"/>
      <c r="BA51" s="1571"/>
      <c r="BB51" s="1571"/>
      <c r="BC51" s="1571"/>
    </row>
    <row r="52" spans="1:55">
      <c r="A52" s="1571"/>
      <c r="B52" s="1571"/>
      <c r="C52" s="1571"/>
      <c r="D52" s="1571"/>
      <c r="E52" s="1571"/>
      <c r="F52" s="1571"/>
      <c r="G52" s="1571"/>
      <c r="H52" s="1571"/>
      <c r="I52" s="1571"/>
      <c r="J52" s="1571"/>
      <c r="K52" s="2741">
        <v>2</v>
      </c>
      <c r="L52" s="400"/>
      <c r="M52" s="1571"/>
      <c r="N52" s="1571"/>
      <c r="O52" s="1571"/>
      <c r="P52" s="1571"/>
      <c r="Q52" s="1571"/>
      <c r="R52" s="1571"/>
      <c r="S52" s="1571"/>
      <c r="T52" s="1571"/>
      <c r="U52" s="1571"/>
      <c r="V52" s="1571"/>
      <c r="W52" s="1571"/>
      <c r="X52" s="1571"/>
      <c r="Y52" s="1571"/>
      <c r="Z52" s="1571"/>
      <c r="AA52" s="1571"/>
      <c r="AB52" s="1571"/>
      <c r="AC52" s="1571"/>
      <c r="AD52" s="1571"/>
      <c r="AE52" s="1571"/>
      <c r="AF52" s="1571"/>
      <c r="AG52" s="1571"/>
      <c r="AH52" s="1571"/>
      <c r="AI52" s="1571"/>
      <c r="AJ52" s="1571"/>
      <c r="AK52" s="1571"/>
      <c r="AL52" s="1571"/>
      <c r="AM52" s="1571"/>
      <c r="AN52" s="1571"/>
      <c r="AO52" s="1571"/>
      <c r="AP52" s="1571"/>
      <c r="AQ52" s="1571"/>
      <c r="AR52" s="1571"/>
      <c r="AS52" s="1571"/>
      <c r="AT52" s="1571"/>
      <c r="AU52" s="1571"/>
      <c r="AV52" s="1571"/>
      <c r="AW52" s="1571"/>
      <c r="AX52" s="1571"/>
      <c r="AY52" s="1571"/>
      <c r="AZ52" s="1571"/>
      <c r="BA52" s="1571"/>
      <c r="BB52" s="1571"/>
      <c r="BC52" s="1571"/>
    </row>
    <row r="53" spans="1:55">
      <c r="A53" s="1571"/>
      <c r="B53" s="1571"/>
      <c r="C53" s="1571"/>
      <c r="D53" s="1571"/>
      <c r="E53" s="1571"/>
      <c r="F53" s="1571"/>
      <c r="G53" s="1571"/>
      <c r="H53" s="1571"/>
      <c r="I53" s="1571"/>
      <c r="J53" s="1571"/>
      <c r="K53" s="2741">
        <v>3</v>
      </c>
      <c r="L53" s="1571"/>
      <c r="M53" s="1581" t="s">
        <v>786</v>
      </c>
      <c r="N53" s="1459"/>
      <c r="O53" s="1458">
        <f>SUM(AK175:AK179)-P53</f>
        <v>-3258473</v>
      </c>
      <c r="P53" s="401"/>
      <c r="Q53" s="1571"/>
      <c r="R53" s="1571"/>
      <c r="S53" s="1459">
        <f>SUM(O53:Q53)</f>
        <v>-3258473</v>
      </c>
      <c r="T53" s="1571"/>
      <c r="U53" s="1571"/>
      <c r="V53" s="1571"/>
      <c r="W53" s="1571"/>
      <c r="X53" s="1571"/>
      <c r="Y53" s="1571"/>
      <c r="Z53" s="1571"/>
      <c r="AA53" s="1571"/>
      <c r="AB53" s="1571"/>
      <c r="AC53" s="1571"/>
      <c r="AD53" s="1571"/>
      <c r="AE53" s="1571"/>
      <c r="AF53" s="1571"/>
      <c r="AG53" s="1571"/>
      <c r="AH53" s="1571"/>
      <c r="AI53" s="1571"/>
      <c r="AJ53" s="1571"/>
      <c r="AK53" s="1571"/>
      <c r="AL53" s="1571"/>
      <c r="AM53" s="1571"/>
      <c r="AN53" s="1571"/>
      <c r="AO53" s="1571"/>
      <c r="AP53" s="1571"/>
      <c r="AQ53" s="1571"/>
      <c r="AR53" s="1571"/>
      <c r="AS53" s="1571"/>
      <c r="AT53" s="1571"/>
      <c r="AU53" s="1571"/>
      <c r="AV53" s="1571"/>
      <c r="AW53" s="1571"/>
      <c r="AX53" s="1571"/>
      <c r="AY53" s="1571"/>
      <c r="AZ53" s="1571"/>
      <c r="BA53" s="1571"/>
      <c r="BB53" s="1571"/>
      <c r="BC53" s="1571"/>
    </row>
    <row r="54" spans="1:55">
      <c r="A54" s="1571"/>
      <c r="B54" s="1571"/>
      <c r="C54" s="1571"/>
      <c r="D54" s="1571"/>
      <c r="E54" s="1571"/>
      <c r="F54" s="1571"/>
      <c r="G54" s="1571"/>
      <c r="H54" s="1571"/>
      <c r="I54" s="1571"/>
      <c r="J54" s="1571"/>
      <c r="K54" s="2741">
        <v>4</v>
      </c>
      <c r="L54" s="1571"/>
      <c r="M54" s="1571"/>
      <c r="N54" s="1571"/>
      <c r="O54" s="1571"/>
      <c r="P54" s="1459"/>
      <c r="Q54" s="1571"/>
      <c r="R54" s="1571"/>
      <c r="S54" s="1571"/>
      <c r="T54" s="1571"/>
      <c r="U54" s="1571"/>
      <c r="V54" s="1571"/>
      <c r="W54" s="1571"/>
      <c r="X54" s="1571"/>
      <c r="Y54" s="1571"/>
      <c r="Z54" s="1571"/>
      <c r="AA54" s="1571"/>
      <c r="AB54" s="1571"/>
      <c r="AC54" s="1571"/>
      <c r="AD54" s="1571"/>
      <c r="AE54" s="1571"/>
      <c r="AF54" s="1571"/>
      <c r="AG54" s="1571"/>
      <c r="AH54" s="1571"/>
      <c r="AI54" s="1571"/>
      <c r="AJ54" s="1571"/>
      <c r="AK54" s="1571"/>
      <c r="AL54" s="1571"/>
      <c r="AM54" s="1571"/>
      <c r="AN54" s="1571"/>
      <c r="AO54" s="1571"/>
      <c r="AP54" s="1571"/>
      <c r="AQ54" s="1571"/>
      <c r="AR54" s="1571"/>
      <c r="AS54" s="1571"/>
      <c r="AT54" s="1571"/>
      <c r="AU54" s="1571"/>
      <c r="AV54" s="1571"/>
      <c r="AW54" s="1571"/>
      <c r="AX54" s="1571"/>
      <c r="AY54" s="1571"/>
      <c r="AZ54" s="1571"/>
      <c r="BA54" s="1571"/>
      <c r="BB54" s="1571"/>
      <c r="BC54" s="1571"/>
    </row>
    <row r="55" spans="1:55">
      <c r="A55" s="1571"/>
      <c r="B55" s="1571"/>
      <c r="C55" s="1571"/>
      <c r="D55" s="1571"/>
      <c r="E55" s="1571"/>
      <c r="F55" s="1571"/>
      <c r="G55" s="1571"/>
      <c r="H55" s="1571"/>
      <c r="I55" s="1571"/>
      <c r="J55" s="1571"/>
      <c r="K55" s="2741">
        <v>5</v>
      </c>
      <c r="L55" s="1571"/>
      <c r="M55" s="1571" t="s">
        <v>3167</v>
      </c>
      <c r="N55" s="1571"/>
      <c r="O55" s="1571"/>
      <c r="P55" s="1459"/>
      <c r="Q55" s="1571"/>
      <c r="R55" s="1571"/>
      <c r="S55" s="1571"/>
      <c r="T55" s="1571"/>
      <c r="U55" s="1571"/>
      <c r="V55" s="1571"/>
      <c r="W55" s="1571"/>
      <c r="X55" s="1571"/>
      <c r="Y55" s="1571"/>
      <c r="Z55" s="1571"/>
      <c r="AA55" s="1571"/>
      <c r="AB55" s="1571"/>
      <c r="AC55" s="1571"/>
      <c r="AD55" s="1571"/>
      <c r="AE55" s="1571"/>
      <c r="AF55" s="1571"/>
      <c r="AG55" s="1571"/>
      <c r="AH55" s="1571"/>
      <c r="AI55" s="1571"/>
      <c r="AJ55" s="1571"/>
      <c r="AK55" s="1571"/>
      <c r="AL55" s="1571"/>
      <c r="AM55" s="1571"/>
      <c r="AN55" s="1571"/>
      <c r="AO55" s="1571"/>
      <c r="AP55" s="1571"/>
      <c r="AQ55" s="1571"/>
      <c r="AR55" s="1571"/>
      <c r="AS55" s="1571"/>
      <c r="AT55" s="1571"/>
      <c r="AU55" s="1571"/>
      <c r="AV55" s="1571"/>
      <c r="AW55" s="1571"/>
      <c r="AX55" s="1571"/>
      <c r="AY55" s="1571"/>
      <c r="AZ55" s="1571"/>
      <c r="BA55" s="1571"/>
      <c r="BB55" s="1571"/>
      <c r="BC55" s="1571"/>
    </row>
    <row r="56" spans="1:55">
      <c r="A56" s="1571"/>
      <c r="B56" s="1571"/>
      <c r="C56" s="1571"/>
      <c r="D56" s="1571"/>
      <c r="E56" s="1571"/>
      <c r="F56" s="1571"/>
      <c r="G56" s="1571"/>
      <c r="H56" s="1571"/>
      <c r="I56" s="1571"/>
      <c r="J56" s="1571"/>
      <c r="K56" s="2741">
        <v>6</v>
      </c>
      <c r="L56" s="1571"/>
      <c r="M56" s="1581" t="s">
        <v>2246</v>
      </c>
      <c r="N56" s="1571"/>
      <c r="O56" s="1459">
        <f>SUM(AK200:AK204)</f>
        <v>9203902</v>
      </c>
      <c r="P56" s="1459"/>
      <c r="R56" s="1571"/>
      <c r="S56" s="1459">
        <f>SUM(O56:P56)</f>
        <v>9203902</v>
      </c>
      <c r="T56" s="1571"/>
      <c r="U56" s="1571"/>
      <c r="V56" s="1571"/>
      <c r="W56" s="1571"/>
      <c r="X56" s="1571"/>
      <c r="Y56" s="1571"/>
      <c r="Z56" s="1571"/>
      <c r="AA56" s="1571"/>
      <c r="AB56" s="1571"/>
      <c r="AC56" s="1571"/>
      <c r="AD56" s="1571"/>
      <c r="AE56" s="1571"/>
      <c r="AF56" s="1571"/>
      <c r="AG56" s="1571"/>
      <c r="AH56" s="1571"/>
      <c r="AI56" s="1571"/>
      <c r="AJ56" s="1571"/>
      <c r="AK56" s="1571"/>
      <c r="AL56" s="1571"/>
      <c r="AM56" s="1571"/>
      <c r="AN56" s="1571"/>
      <c r="AO56" s="1571"/>
      <c r="AP56" s="1571"/>
      <c r="AQ56" s="1571"/>
      <c r="AR56" s="1571"/>
      <c r="AS56" s="1571"/>
      <c r="AT56" s="1571"/>
      <c r="AU56" s="1571"/>
      <c r="AV56" s="1571"/>
      <c r="AW56" s="1571"/>
      <c r="AX56" s="1571"/>
      <c r="AY56" s="1571"/>
      <c r="AZ56" s="1571"/>
      <c r="BA56" s="1571"/>
      <c r="BB56" s="1571"/>
      <c r="BC56" s="1571"/>
    </row>
    <row r="57" spans="1:55">
      <c r="A57" s="1571"/>
      <c r="B57" s="1571"/>
      <c r="C57" s="1571"/>
      <c r="D57" s="1571"/>
      <c r="E57" s="1571"/>
      <c r="F57" s="1571"/>
      <c r="G57" s="1571"/>
      <c r="H57" s="1571"/>
      <c r="I57" s="1571"/>
      <c r="J57" s="1571"/>
      <c r="K57" s="2741">
        <v>7</v>
      </c>
      <c r="L57" s="1571"/>
      <c r="M57" s="1581" t="s">
        <v>2244</v>
      </c>
      <c r="N57" s="1571"/>
      <c r="O57" s="1459">
        <f>SUM(AK207:AK211)</f>
        <v>-2401046</v>
      </c>
      <c r="P57" s="182"/>
      <c r="R57" s="1571"/>
      <c r="S57" s="1459">
        <f>SUM(O57:P57)</f>
        <v>-2401046</v>
      </c>
      <c r="T57" s="1571"/>
      <c r="U57" s="1571"/>
      <c r="V57" s="1571"/>
      <c r="W57" s="1571"/>
      <c r="X57" s="1571"/>
      <c r="Y57" s="1571"/>
      <c r="Z57" s="1571"/>
      <c r="AA57" s="1571"/>
      <c r="AB57" s="1571"/>
      <c r="AC57" s="1571"/>
      <c r="AD57" s="1571"/>
      <c r="AE57" s="1571"/>
      <c r="AF57" s="1571"/>
      <c r="AG57" s="1571"/>
      <c r="AH57" s="1571"/>
      <c r="AI57" s="1571"/>
      <c r="AJ57" s="1571"/>
      <c r="AK57" s="1571"/>
      <c r="AL57" s="1571"/>
      <c r="AM57" s="1571"/>
      <c r="AN57" s="1571"/>
      <c r="AO57" s="1571"/>
      <c r="AP57" s="1571"/>
      <c r="AQ57" s="1571"/>
      <c r="AR57" s="1571"/>
      <c r="AS57" s="1571"/>
      <c r="AT57" s="1571"/>
      <c r="AU57" s="1571"/>
      <c r="AV57" s="1571"/>
      <c r="AW57" s="1571"/>
      <c r="AX57" s="1571"/>
      <c r="AY57" s="1571"/>
      <c r="AZ57" s="1571"/>
      <c r="BA57" s="1571"/>
      <c r="BB57" s="1571"/>
      <c r="BC57" s="1571"/>
    </row>
    <row r="58" spans="1:55">
      <c r="A58" s="1571"/>
      <c r="B58" s="1571"/>
      <c r="C58" s="1571"/>
      <c r="D58" s="1571"/>
      <c r="E58" s="1571"/>
      <c r="F58" s="1571"/>
      <c r="G58" s="1571"/>
      <c r="H58" s="1571"/>
      <c r="I58" s="1571"/>
      <c r="J58" s="1571"/>
      <c r="K58" s="2741">
        <v>8</v>
      </c>
      <c r="L58" s="1571"/>
      <c r="M58" s="1581" t="s">
        <v>2245</v>
      </c>
      <c r="N58" s="1571"/>
      <c r="O58" s="1459"/>
      <c r="P58" s="1459">
        <f>SUM(AK190:AK194)</f>
        <v>-7722028</v>
      </c>
      <c r="Q58" s="1571"/>
      <c r="R58" s="1571"/>
      <c r="S58" s="1459">
        <f>SUM(O58:Q58)</f>
        <v>-7722028</v>
      </c>
      <c r="T58" s="1571"/>
      <c r="U58" s="1571"/>
      <c r="V58" s="1571"/>
      <c r="W58" s="1571"/>
      <c r="X58" s="1571"/>
      <c r="Y58" s="1571"/>
      <c r="Z58" s="1571"/>
      <c r="AA58" s="1571"/>
      <c r="AB58" s="1571"/>
      <c r="AC58" s="1571"/>
      <c r="AD58" s="1571"/>
      <c r="AE58" s="1571"/>
      <c r="AF58" s="1571"/>
      <c r="AG58" s="1571"/>
      <c r="AH58" s="1571"/>
      <c r="AI58" s="1571"/>
      <c r="AJ58" s="1571"/>
      <c r="AK58" s="1571"/>
      <c r="AL58" s="1571"/>
      <c r="AM58" s="1571"/>
      <c r="AN58" s="1571"/>
      <c r="AO58" s="1571"/>
      <c r="AP58" s="1571"/>
      <c r="AQ58" s="1571"/>
      <c r="AR58" s="1571"/>
      <c r="AS58" s="1571"/>
      <c r="AT58" s="1571"/>
      <c r="AU58" s="1571"/>
      <c r="AV58" s="1571"/>
      <c r="AW58" s="1571"/>
      <c r="AX58" s="1571"/>
      <c r="AY58" s="1571"/>
      <c r="AZ58" s="1571"/>
      <c r="BA58" s="1571"/>
      <c r="BB58" s="1571"/>
      <c r="BC58" s="1571"/>
    </row>
    <row r="59" spans="1:55">
      <c r="A59" s="1571"/>
      <c r="B59" s="1571"/>
      <c r="C59" s="1571"/>
      <c r="D59" s="1571"/>
      <c r="E59" s="1571"/>
      <c r="F59" s="1571"/>
      <c r="G59" s="1571"/>
      <c r="H59" s="1571"/>
      <c r="I59" s="1571"/>
      <c r="J59" s="1571"/>
      <c r="K59" s="2741">
        <v>9</v>
      </c>
      <c r="L59" s="400"/>
      <c r="M59" s="1571"/>
      <c r="N59" s="1571"/>
      <c r="O59" s="1571"/>
      <c r="P59" s="1571"/>
      <c r="Q59" s="1571"/>
      <c r="R59" s="1571"/>
      <c r="S59" s="1571"/>
      <c r="T59" s="1571"/>
      <c r="U59" s="1571"/>
      <c r="V59" s="1571"/>
      <c r="W59" s="1571"/>
      <c r="X59" s="1571"/>
      <c r="Y59" s="1571"/>
      <c r="Z59" s="1571"/>
      <c r="AA59" s="1571"/>
      <c r="AB59" s="1571"/>
      <c r="AC59" s="1571"/>
      <c r="AD59" s="1571"/>
      <c r="AE59" s="1571"/>
      <c r="AF59" s="1571"/>
      <c r="AG59" s="1571"/>
      <c r="AH59" s="1571"/>
      <c r="AI59" s="1571"/>
      <c r="AJ59" s="1571"/>
      <c r="AK59" s="1571"/>
      <c r="AL59" s="1571"/>
      <c r="AM59" s="1571"/>
      <c r="AN59" s="1571"/>
      <c r="AO59" s="1571"/>
      <c r="AP59" s="1571"/>
      <c r="AQ59" s="1571"/>
      <c r="AR59" s="1571"/>
      <c r="AS59" s="1571"/>
      <c r="AT59" s="1571"/>
      <c r="AU59" s="1571"/>
      <c r="AV59" s="1571"/>
      <c r="AW59" s="1571"/>
      <c r="AX59" s="1571"/>
      <c r="AY59" s="1571"/>
      <c r="AZ59" s="1571"/>
      <c r="BA59" s="1571"/>
      <c r="BB59" s="1571"/>
      <c r="BC59" s="1571"/>
    </row>
    <row r="60" spans="1:55">
      <c r="A60" s="1571"/>
      <c r="B60" s="1571"/>
      <c r="C60" s="1571"/>
      <c r="D60" s="1571"/>
      <c r="E60" s="1571"/>
      <c r="F60" s="1571"/>
      <c r="G60" s="1571"/>
      <c r="H60" s="1571"/>
      <c r="I60" s="1571"/>
      <c r="J60" s="1571"/>
      <c r="K60" s="2741">
        <v>10</v>
      </c>
      <c r="L60" s="1571"/>
      <c r="M60" s="1581" t="s">
        <v>1318</v>
      </c>
      <c r="N60" s="1571"/>
      <c r="O60" s="1571"/>
      <c r="P60" s="1571"/>
      <c r="Q60" s="1571"/>
      <c r="R60" s="1571"/>
      <c r="S60" s="240" t="s">
        <v>529</v>
      </c>
      <c r="T60" s="1571"/>
      <c r="U60" s="1571"/>
      <c r="V60" s="1571"/>
      <c r="W60" s="1571"/>
      <c r="X60" s="1571"/>
      <c r="Y60" s="1571"/>
      <c r="Z60" s="1571"/>
      <c r="AA60" s="1571"/>
      <c r="AB60" s="1571"/>
      <c r="AC60" s="1571"/>
      <c r="AD60" s="1571"/>
      <c r="AE60" s="1571"/>
      <c r="AF60" s="1571"/>
      <c r="AG60" s="1571"/>
      <c r="AH60" s="1571"/>
      <c r="AI60" s="1571"/>
      <c r="AJ60" s="1571"/>
      <c r="AK60" s="1571"/>
      <c r="AL60" s="1571"/>
      <c r="AM60" s="1571"/>
      <c r="AN60" s="1571"/>
      <c r="AO60" s="1571"/>
      <c r="AP60" s="1571"/>
      <c r="AQ60" s="1571"/>
      <c r="AR60" s="1571"/>
      <c r="AS60" s="1571"/>
      <c r="AT60" s="1571"/>
      <c r="AU60" s="1571"/>
      <c r="AV60" s="1571"/>
      <c r="AW60" s="1571"/>
      <c r="AX60" s="1571"/>
      <c r="AY60" s="1571"/>
      <c r="AZ60" s="1571"/>
      <c r="BA60" s="1571"/>
      <c r="BB60" s="1571"/>
      <c r="BC60" s="1571"/>
    </row>
    <row r="61" spans="1:55">
      <c r="A61" s="1571"/>
      <c r="B61" s="1571"/>
      <c r="C61" s="1571"/>
      <c r="D61" s="1571"/>
      <c r="E61" s="1571"/>
      <c r="F61" s="1571"/>
      <c r="G61" s="1571"/>
      <c r="H61" s="1571"/>
      <c r="I61" s="1571"/>
      <c r="J61" s="1571"/>
      <c r="K61" s="2741">
        <v>11</v>
      </c>
      <c r="L61" s="1571"/>
      <c r="M61" s="1581" t="s">
        <v>2674</v>
      </c>
      <c r="N61" s="1571"/>
      <c r="O61" s="1458">
        <f>S61-P61</f>
        <v>35129</v>
      </c>
      <c r="P61" s="1458">
        <f>AK187+AK195</f>
        <v>16644</v>
      </c>
      <c r="Q61" s="1458"/>
      <c r="R61" s="1571"/>
      <c r="S61" s="1458">
        <f>VLOOKUP($T$172,FPERIOD,5,FALSE)</f>
        <v>51773</v>
      </c>
      <c r="T61" s="1571"/>
      <c r="U61" s="1571"/>
      <c r="V61" s="1571"/>
      <c r="W61" s="1571"/>
      <c r="X61" s="1571"/>
      <c r="Y61" s="1571"/>
      <c r="Z61" s="1571"/>
      <c r="AA61" s="1571"/>
      <c r="AB61" s="1571"/>
      <c r="AC61" s="1571"/>
      <c r="AD61" s="1571"/>
      <c r="AE61" s="1571"/>
      <c r="AF61" s="1571"/>
      <c r="AG61" s="1571"/>
      <c r="AH61" s="1571"/>
      <c r="AI61" s="1571"/>
      <c r="AJ61" s="1571"/>
      <c r="AK61" s="1571"/>
      <c r="AL61" s="1571"/>
      <c r="AM61" s="1571"/>
      <c r="AN61" s="1571"/>
      <c r="AO61" s="1571"/>
      <c r="AP61" s="1571"/>
      <c r="AQ61" s="1571"/>
      <c r="AR61" s="1571"/>
      <c r="AS61" s="1571"/>
      <c r="AT61" s="1571"/>
      <c r="AU61" s="1571"/>
      <c r="AV61" s="1571"/>
      <c r="AW61" s="1571"/>
      <c r="AX61" s="1571"/>
      <c r="AY61" s="1571"/>
      <c r="AZ61" s="1571"/>
      <c r="BA61" s="1571"/>
      <c r="BB61" s="1571"/>
      <c r="BC61" s="1571"/>
    </row>
    <row r="62" spans="1:55">
      <c r="A62" s="1571"/>
      <c r="B62" s="1571"/>
      <c r="C62" s="1571"/>
      <c r="D62" s="1571"/>
      <c r="E62" s="1571"/>
      <c r="F62" s="1571"/>
      <c r="G62" s="1571"/>
      <c r="H62" s="1571"/>
      <c r="I62" s="1571"/>
      <c r="J62" s="1571"/>
      <c r="K62" s="2741">
        <v>12</v>
      </c>
      <c r="L62" s="1571"/>
      <c r="M62" s="1581" t="s">
        <v>1787</v>
      </c>
      <c r="N62" s="1571"/>
      <c r="O62" s="1459"/>
      <c r="P62" s="1459"/>
      <c r="Q62" s="1458">
        <f ca="1">AK213</f>
        <v>11959000</v>
      </c>
      <c r="R62" s="1458"/>
      <c r="S62" s="1459">
        <f t="shared" ref="S62:S67" ca="1" si="1">SUM(O62:Q62)</f>
        <v>11959000</v>
      </c>
      <c r="T62" s="1571"/>
      <c r="U62" s="1571"/>
      <c r="V62" s="1571"/>
      <c r="W62" s="1571"/>
      <c r="X62" s="1571"/>
      <c r="Y62" s="1571"/>
      <c r="Z62" s="1571"/>
      <c r="AA62" s="1571"/>
      <c r="AB62" s="1571"/>
      <c r="AC62" s="1571"/>
      <c r="AD62" s="1571"/>
      <c r="AE62" s="1571"/>
      <c r="AF62" s="1571"/>
      <c r="AG62" s="1571"/>
      <c r="AH62" s="1571"/>
      <c r="AI62" s="1571"/>
      <c r="AJ62" s="1571"/>
      <c r="AK62" s="1571"/>
      <c r="AL62" s="1571"/>
      <c r="AM62" s="1571"/>
      <c r="AN62" s="1571"/>
      <c r="AO62" s="1571"/>
      <c r="AP62" s="1571"/>
      <c r="AQ62" s="1571"/>
      <c r="AR62" s="1571"/>
      <c r="AS62" s="1571"/>
      <c r="AT62" s="1571"/>
      <c r="AU62" s="1571"/>
      <c r="AV62" s="1571"/>
      <c r="AW62" s="1571"/>
      <c r="AX62" s="1571"/>
      <c r="AY62" s="1571"/>
      <c r="AZ62" s="1571"/>
      <c r="BA62" s="1571"/>
      <c r="BB62" s="1571"/>
      <c r="BC62" s="1571"/>
    </row>
    <row r="63" spans="1:55">
      <c r="A63" s="1571"/>
      <c r="B63" s="1571"/>
      <c r="C63" s="1571"/>
      <c r="D63" s="1571"/>
      <c r="E63" s="1571"/>
      <c r="F63" s="1571"/>
      <c r="G63" s="1571"/>
      <c r="H63" s="1571"/>
      <c r="I63" s="1571"/>
      <c r="J63" s="1571"/>
      <c r="K63" s="2741">
        <v>13</v>
      </c>
      <c r="L63" s="1571"/>
      <c r="M63" s="1571" t="s">
        <v>2170</v>
      </c>
      <c r="N63" s="1571"/>
      <c r="O63" s="1459"/>
      <c r="P63" s="1459"/>
      <c r="Q63" s="1458">
        <f ca="1">AK215</f>
        <v>0</v>
      </c>
      <c r="R63" s="1458"/>
      <c r="S63" s="1459">
        <f t="shared" ca="1" si="1"/>
        <v>0</v>
      </c>
      <c r="T63" s="1571"/>
      <c r="U63" s="1571"/>
      <c r="V63" s="1571"/>
      <c r="W63" s="1571"/>
      <c r="X63" s="1571"/>
      <c r="Y63" s="1571"/>
      <c r="Z63" s="1571"/>
      <c r="AA63" s="1571"/>
      <c r="AB63" s="1571"/>
      <c r="AC63" s="1571"/>
      <c r="AD63" s="1571"/>
      <c r="AE63" s="1571"/>
      <c r="AF63" s="1571"/>
      <c r="AG63" s="1571"/>
      <c r="AH63" s="1571"/>
      <c r="AI63" s="1571"/>
      <c r="AJ63" s="1571"/>
      <c r="AK63" s="1571"/>
      <c r="AL63" s="1571"/>
      <c r="AM63" s="1571"/>
      <c r="AN63" s="1571"/>
      <c r="AO63" s="1571"/>
      <c r="AP63" s="1571"/>
      <c r="AQ63" s="1571"/>
      <c r="AR63" s="1571"/>
      <c r="AS63" s="1571"/>
      <c r="AT63" s="1571"/>
      <c r="AU63" s="1571"/>
      <c r="AV63" s="1571"/>
      <c r="AW63" s="1571"/>
      <c r="AX63" s="1571"/>
      <c r="AY63" s="1571"/>
      <c r="AZ63" s="1571"/>
      <c r="BA63" s="1571"/>
      <c r="BB63" s="1571"/>
      <c r="BC63" s="1571"/>
    </row>
    <row r="64" spans="1:55">
      <c r="A64" s="1571"/>
      <c r="B64" s="1571"/>
      <c r="C64" s="1571"/>
      <c r="D64" s="1571"/>
      <c r="E64" s="1571"/>
      <c r="F64" s="1571"/>
      <c r="G64" s="1571"/>
      <c r="H64" s="1571"/>
      <c r="I64" s="1571"/>
      <c r="J64" s="1571"/>
      <c r="K64" s="2741">
        <v>14</v>
      </c>
      <c r="L64" s="1571"/>
      <c r="M64" s="1571" t="s">
        <v>2242</v>
      </c>
      <c r="N64" s="1571"/>
      <c r="O64" s="1459"/>
      <c r="P64" s="1459"/>
      <c r="Q64" s="1458">
        <f ca="1">AK216</f>
        <v>297504</v>
      </c>
      <c r="R64" s="1458"/>
      <c r="S64" s="1459">
        <f t="shared" ca="1" si="1"/>
        <v>297504</v>
      </c>
      <c r="T64" s="1571"/>
      <c r="U64" s="1571"/>
      <c r="V64" s="1571"/>
      <c r="W64" s="1571"/>
      <c r="X64" s="1571"/>
      <c r="Y64" s="1571"/>
      <c r="Z64" s="1571"/>
      <c r="AA64" s="1571"/>
      <c r="AB64" s="1571"/>
      <c r="AC64" s="1571"/>
      <c r="AD64" s="1571"/>
      <c r="AE64" s="1571"/>
      <c r="AF64" s="1571"/>
      <c r="AG64" s="1571"/>
      <c r="AH64" s="1571"/>
      <c r="AI64" s="1571"/>
      <c r="AJ64" s="1571"/>
      <c r="AK64" s="1571"/>
      <c r="AL64" s="1571"/>
      <c r="AM64" s="1571"/>
      <c r="AN64" s="1571"/>
      <c r="AO64" s="1571"/>
      <c r="AP64" s="1571"/>
      <c r="AQ64" s="1571"/>
      <c r="AR64" s="1571"/>
      <c r="AS64" s="1571"/>
      <c r="AT64" s="1571"/>
      <c r="AU64" s="1571"/>
      <c r="AV64" s="1571"/>
      <c r="AW64" s="1571"/>
      <c r="AX64" s="1571"/>
      <c r="AY64" s="1571"/>
      <c r="AZ64" s="1571"/>
      <c r="BA64" s="1571"/>
      <c r="BB64" s="1571"/>
      <c r="BC64" s="1571"/>
    </row>
    <row r="65" spans="1:55">
      <c r="A65" s="1571"/>
      <c r="B65" s="1571"/>
      <c r="C65" s="1571"/>
      <c r="D65" s="1571"/>
      <c r="E65" s="1571"/>
      <c r="F65" s="1571"/>
      <c r="G65" s="1571"/>
      <c r="H65" s="1571"/>
      <c r="I65" s="1571"/>
      <c r="J65" s="1571"/>
      <c r="K65" s="2741">
        <v>15</v>
      </c>
      <c r="L65" s="400"/>
      <c r="M65" s="1571" t="s">
        <v>2243</v>
      </c>
      <c r="N65" s="1571"/>
      <c r="O65" s="1460"/>
      <c r="P65" s="1460"/>
      <c r="Q65" s="1458">
        <f ca="1">AK217</f>
        <v>1228008</v>
      </c>
      <c r="R65" s="306"/>
      <c r="S65" s="1459">
        <f t="shared" ca="1" si="1"/>
        <v>1228008</v>
      </c>
      <c r="T65" s="1571"/>
      <c r="U65" s="1571"/>
      <c r="V65" s="1571"/>
      <c r="W65" s="1571"/>
      <c r="X65" s="1571"/>
      <c r="Y65" s="1571"/>
      <c r="Z65" s="1571"/>
      <c r="AA65" s="1571"/>
      <c r="AB65" s="1571"/>
      <c r="AC65" s="1571"/>
      <c r="AD65" s="1571"/>
      <c r="AE65" s="1571"/>
      <c r="AF65" s="1571"/>
      <c r="AG65" s="1571"/>
      <c r="AH65" s="1571"/>
      <c r="AI65" s="1571"/>
      <c r="AJ65" s="1571"/>
      <c r="AK65" s="1571"/>
      <c r="AL65" s="1571"/>
      <c r="AM65" s="1571"/>
      <c r="AN65" s="1571"/>
      <c r="AO65" s="1571"/>
      <c r="AP65" s="1571"/>
      <c r="AQ65" s="1571"/>
      <c r="AR65" s="1571"/>
      <c r="AS65" s="1571"/>
      <c r="AT65" s="1571"/>
      <c r="AU65" s="1571"/>
      <c r="AV65" s="1571"/>
      <c r="AW65" s="1571"/>
      <c r="AX65" s="1571"/>
      <c r="AY65" s="1571"/>
      <c r="AZ65" s="1571"/>
      <c r="BA65" s="1571"/>
      <c r="BB65" s="1571"/>
      <c r="BC65" s="1571"/>
    </row>
    <row r="66" spans="1:55">
      <c r="A66" s="1571"/>
      <c r="B66" s="1571"/>
      <c r="C66" s="1571"/>
      <c r="D66" s="1571"/>
      <c r="E66" s="1571"/>
      <c r="F66" s="1571"/>
      <c r="G66" s="1571"/>
      <c r="H66" s="1571"/>
      <c r="I66" s="1571"/>
      <c r="J66" s="1571"/>
      <c r="K66" s="2741">
        <v>16</v>
      </c>
      <c r="L66" s="400"/>
      <c r="M66" s="1581" t="s">
        <v>694</v>
      </c>
      <c r="N66" s="1571"/>
      <c r="O66" s="1460"/>
      <c r="P66" s="1460"/>
      <c r="Q66" s="1460">
        <f ca="1">AK218-P66</f>
        <v>2837250</v>
      </c>
      <c r="R66" s="306"/>
      <c r="S66" s="1459">
        <f t="shared" ca="1" si="1"/>
        <v>2837250</v>
      </c>
      <c r="T66" s="1571"/>
      <c r="U66" s="1571"/>
      <c r="V66" s="1571"/>
      <c r="W66" s="1571"/>
      <c r="X66" s="1571"/>
      <c r="Y66" s="1571"/>
      <c r="Z66" s="1571"/>
      <c r="AA66" s="1571"/>
      <c r="AB66" s="1571"/>
      <c r="AC66" s="1571"/>
      <c r="AD66" s="1571"/>
      <c r="AE66" s="1571"/>
      <c r="AF66" s="1571"/>
      <c r="AG66" s="1571"/>
      <c r="AH66" s="1571"/>
      <c r="AI66" s="1571"/>
      <c r="AJ66" s="1571"/>
      <c r="AK66" s="1571"/>
      <c r="AL66" s="1571"/>
      <c r="AM66" s="1571"/>
      <c r="AN66" s="1571"/>
      <c r="AO66" s="1571"/>
      <c r="AP66" s="1571"/>
      <c r="AQ66" s="1571"/>
      <c r="AR66" s="1571"/>
      <c r="AS66" s="1571"/>
      <c r="AT66" s="1571"/>
      <c r="AU66" s="1571"/>
      <c r="AV66" s="1571"/>
      <c r="AW66" s="1571"/>
      <c r="AX66" s="1571"/>
      <c r="AY66" s="1571"/>
      <c r="AZ66" s="1571"/>
      <c r="BA66" s="1571"/>
      <c r="BB66" s="1571"/>
      <c r="BC66" s="1571"/>
    </row>
    <row r="67" spans="1:55">
      <c r="A67" s="1571"/>
      <c r="B67" s="1571"/>
      <c r="C67" s="1571"/>
      <c r="D67" s="1571"/>
      <c r="E67" s="1571"/>
      <c r="F67" s="1571"/>
      <c r="G67" s="1571"/>
      <c r="H67" s="1571"/>
      <c r="I67" s="1571"/>
      <c r="J67" s="1571"/>
      <c r="K67" s="2741">
        <v>17</v>
      </c>
      <c r="L67" s="1571"/>
      <c r="M67" s="1581" t="s">
        <v>3205</v>
      </c>
      <c r="N67" s="1571"/>
      <c r="O67" s="1571"/>
      <c r="P67" s="1571"/>
      <c r="Q67" s="1458">
        <f ca="1">AK219</f>
        <v>1881230</v>
      </c>
      <c r="R67" s="1458"/>
      <c r="S67" s="1461">
        <f t="shared" ca="1" si="1"/>
        <v>1881230</v>
      </c>
      <c r="T67" s="1571"/>
      <c r="U67" s="1571"/>
      <c r="V67" s="1571"/>
      <c r="W67" s="1571"/>
      <c r="X67" s="1571"/>
      <c r="Y67" s="1571"/>
      <c r="Z67" s="1571"/>
      <c r="AA67" s="1571"/>
      <c r="AB67" s="1571"/>
      <c r="AC67" s="1571"/>
      <c r="AD67" s="1571"/>
      <c r="AE67" s="1571"/>
      <c r="AF67" s="1571"/>
      <c r="AG67" s="1571"/>
      <c r="AH67" s="1571"/>
      <c r="AI67" s="1571"/>
      <c r="AJ67" s="1571"/>
      <c r="AK67" s="1571"/>
      <c r="AL67" s="1571"/>
      <c r="AM67" s="1571"/>
      <c r="AN67" s="1571"/>
      <c r="AO67" s="1571"/>
      <c r="AP67" s="1571"/>
      <c r="AQ67" s="1571"/>
      <c r="AR67" s="1571"/>
      <c r="AS67" s="1571"/>
      <c r="AT67" s="1571"/>
      <c r="AU67" s="1571"/>
      <c r="AV67" s="1571"/>
      <c r="AW67" s="1571"/>
      <c r="AX67" s="1571"/>
      <c r="AY67" s="1571"/>
      <c r="AZ67" s="1571"/>
      <c r="BA67" s="1571"/>
      <c r="BB67" s="1571"/>
      <c r="BC67" s="1571"/>
    </row>
    <row r="68" spans="1:55">
      <c r="A68" s="1571"/>
      <c r="B68" s="1571"/>
      <c r="C68" s="1571"/>
      <c r="D68" s="1571"/>
      <c r="E68" s="1571"/>
      <c r="F68" s="1571"/>
      <c r="G68" s="1571"/>
      <c r="H68" s="1571"/>
      <c r="I68" s="1571"/>
      <c r="J68" s="1571"/>
      <c r="K68" s="2741">
        <v>18</v>
      </c>
      <c r="L68" s="1571"/>
      <c r="M68" s="1581" t="s">
        <v>1500</v>
      </c>
      <c r="N68" s="1571"/>
      <c r="O68" s="406">
        <f>SUM(O61:O67)</f>
        <v>35129</v>
      </c>
      <c r="P68" s="406">
        <f>SUM(P61:P67)</f>
        <v>16644</v>
      </c>
      <c r="Q68" s="406">
        <f ca="1">SUM(Q61:Q67)</f>
        <v>18202992</v>
      </c>
      <c r="R68" s="1458"/>
      <c r="S68" s="406">
        <f ca="1">SUM(S61:S67)</f>
        <v>18254765</v>
      </c>
      <c r="T68" s="1571"/>
      <c r="U68" s="1571"/>
      <c r="V68" s="1571"/>
      <c r="W68" s="1571"/>
      <c r="X68" s="1571"/>
      <c r="Y68" s="1571"/>
      <c r="Z68" s="1571"/>
      <c r="AA68" s="1571"/>
      <c r="AB68" s="1571"/>
      <c r="AC68" s="1571"/>
      <c r="AD68" s="1571"/>
      <c r="AE68" s="1571"/>
      <c r="AF68" s="1571"/>
      <c r="AG68" s="1571"/>
      <c r="AH68" s="1571"/>
      <c r="AI68" s="1571"/>
      <c r="AJ68" s="1571"/>
      <c r="AK68" s="1571"/>
      <c r="AL68" s="1571"/>
      <c r="AM68" s="1571"/>
      <c r="AN68" s="1571"/>
      <c r="AO68" s="1571"/>
      <c r="AP68" s="1571"/>
      <c r="AQ68" s="1571"/>
      <c r="AR68" s="1571"/>
      <c r="AS68" s="1571"/>
      <c r="AT68" s="1571"/>
      <c r="AU68" s="1571"/>
      <c r="AV68" s="1571"/>
      <c r="AW68" s="1571"/>
      <c r="AX68" s="1571"/>
      <c r="AY68" s="1571"/>
      <c r="AZ68" s="1571"/>
      <c r="BA68" s="1571"/>
      <c r="BB68" s="1571"/>
      <c r="BC68" s="1571"/>
    </row>
    <row r="69" spans="1:55">
      <c r="A69" s="1571"/>
      <c r="B69" s="1571"/>
      <c r="C69" s="1571"/>
      <c r="D69" s="1571"/>
      <c r="E69" s="1571"/>
      <c r="F69" s="1571"/>
      <c r="G69" s="1571"/>
      <c r="H69" s="1571"/>
      <c r="I69" s="1571"/>
      <c r="J69" s="1571"/>
      <c r="K69" s="2741">
        <v>19</v>
      </c>
      <c r="L69" s="1571"/>
      <c r="M69" s="1571"/>
      <c r="N69" s="1571"/>
      <c r="O69" s="1571"/>
      <c r="P69" s="1571"/>
      <c r="Q69" s="1571"/>
      <c r="R69" s="1571"/>
      <c r="S69" s="1459"/>
      <c r="T69" s="1571"/>
      <c r="U69" s="1571"/>
      <c r="V69" s="1571"/>
      <c r="W69" s="1571"/>
      <c r="X69" s="1571"/>
      <c r="Y69" s="1571"/>
      <c r="Z69" s="1571"/>
      <c r="AA69" s="1571"/>
      <c r="AB69" s="1571"/>
      <c r="AC69" s="1571"/>
      <c r="AD69" s="1571"/>
      <c r="AE69" s="1571"/>
      <c r="AF69" s="1571"/>
      <c r="AG69" s="1571"/>
      <c r="AH69" s="1571"/>
      <c r="AI69" s="1571"/>
      <c r="AJ69" s="1571"/>
      <c r="AK69" s="1571"/>
      <c r="AL69" s="1571"/>
      <c r="AM69" s="1571"/>
      <c r="AN69" s="1571"/>
      <c r="AO69" s="1571"/>
      <c r="AP69" s="1571"/>
      <c r="AQ69" s="1571"/>
      <c r="AR69" s="1571"/>
      <c r="AS69" s="1571"/>
      <c r="AT69" s="1571"/>
      <c r="AU69" s="1571"/>
      <c r="AV69" s="1571"/>
      <c r="AW69" s="1571"/>
      <c r="AX69" s="1571"/>
      <c r="AY69" s="1571"/>
      <c r="AZ69" s="1571"/>
      <c r="BA69" s="1571"/>
      <c r="BB69" s="1571"/>
      <c r="BC69" s="1571"/>
    </row>
    <row r="70" spans="1:55" ht="13.5" thickBot="1">
      <c r="A70" s="1571"/>
      <c r="B70" s="1571"/>
      <c r="C70" s="1571"/>
      <c r="D70" s="1571"/>
      <c r="E70" s="1571"/>
      <c r="F70" s="1571"/>
      <c r="G70" s="1571"/>
      <c r="H70" s="1571"/>
      <c r="I70" s="1571"/>
      <c r="J70" s="1571"/>
      <c r="K70" s="2741">
        <v>20</v>
      </c>
      <c r="L70" s="1571"/>
      <c r="M70" s="2741" t="s">
        <v>1501</v>
      </c>
      <c r="N70" s="1571"/>
      <c r="O70" s="1301">
        <f ca="1">O51+O53+SUM(O56:O58)+O68</f>
        <v>206547358</v>
      </c>
      <c r="P70" s="1301">
        <f>P51+P53+SUM(P56:P58)+P68</f>
        <v>96568604</v>
      </c>
      <c r="Q70" s="1301">
        <f ca="1">Q51+Q53+SUM(Q56:Q58)+Q68</f>
        <v>18202992</v>
      </c>
      <c r="R70" s="1571"/>
      <c r="S70" s="1301">
        <f ca="1">IF(S51+S53+S56+S57+S58+S68=SCH_C2!H20,S51+S53+S56+S57+S58+S68,"Check WPC-2d Rev")</f>
        <v>321318954</v>
      </c>
      <c r="T70" s="1571"/>
      <c r="U70" s="1571"/>
      <c r="V70" s="1571"/>
      <c r="W70" s="1571"/>
      <c r="X70" s="1571"/>
      <c r="Y70" s="1571"/>
      <c r="Z70" s="1571"/>
      <c r="AA70" s="1571"/>
      <c r="AB70" s="1571"/>
      <c r="AC70" s="1571"/>
      <c r="AD70" s="1571"/>
      <c r="AE70" s="1571"/>
      <c r="AF70" s="1571"/>
      <c r="AG70" s="1571"/>
      <c r="AH70" s="1571"/>
      <c r="AI70" s="1571"/>
      <c r="AJ70" s="1571"/>
      <c r="AK70" s="1571"/>
      <c r="AL70" s="1571"/>
      <c r="AM70" s="1571"/>
      <c r="AN70" s="1571"/>
      <c r="AO70" s="1571"/>
      <c r="AP70" s="1571"/>
      <c r="AQ70" s="1571"/>
      <c r="AR70" s="1571"/>
      <c r="AS70" s="1571"/>
      <c r="AT70" s="1571"/>
      <c r="AU70" s="1571"/>
      <c r="AV70" s="1571"/>
      <c r="AW70" s="1571"/>
      <c r="AX70" s="1571"/>
      <c r="AY70" s="1571"/>
      <c r="AZ70" s="1571"/>
      <c r="BA70" s="1571"/>
      <c r="BB70" s="1571"/>
      <c r="BC70" s="1571"/>
    </row>
    <row r="71" spans="1:55" ht="13.5" thickTop="1">
      <c r="A71" s="1571"/>
      <c r="B71" s="1571"/>
      <c r="C71" s="1571"/>
      <c r="D71" s="1571"/>
      <c r="E71" s="1571"/>
      <c r="F71" s="1571"/>
      <c r="G71" s="1571"/>
      <c r="H71" s="1571"/>
      <c r="I71" s="1571"/>
      <c r="J71" s="1571"/>
      <c r="K71" s="2741"/>
      <c r="L71" s="1571"/>
      <c r="M71" s="1571"/>
      <c r="N71" s="1571"/>
      <c r="O71" s="1571"/>
      <c r="P71" s="1571"/>
      <c r="Q71" s="1571"/>
      <c r="R71" s="1571"/>
      <c r="S71" s="1571"/>
      <c r="T71" s="1571"/>
      <c r="U71" s="1571"/>
      <c r="V71" s="1571"/>
      <c r="W71" s="1571"/>
      <c r="X71" s="1571"/>
      <c r="Y71" s="1571"/>
      <c r="Z71" s="1571"/>
      <c r="AA71" s="1571"/>
      <c r="AB71" s="1571"/>
      <c r="AC71" s="1571"/>
      <c r="AD71" s="1571"/>
      <c r="AE71" s="1571"/>
      <c r="AF71" s="1571"/>
      <c r="AG71" s="1571"/>
      <c r="AH71" s="1571"/>
      <c r="AI71" s="1571"/>
      <c r="AJ71" s="1571"/>
      <c r="AK71" s="1571"/>
      <c r="AL71" s="1571"/>
      <c r="AM71" s="1571"/>
      <c r="AN71" s="1571"/>
      <c r="AO71" s="1571"/>
      <c r="AP71" s="1571"/>
      <c r="AQ71" s="1571"/>
      <c r="AR71" s="1571"/>
      <c r="AS71" s="1571"/>
      <c r="AT71" s="1571"/>
      <c r="AU71" s="1571"/>
      <c r="AV71" s="1571"/>
      <c r="AW71" s="1571"/>
      <c r="AX71" s="1571"/>
      <c r="AY71" s="1571"/>
      <c r="AZ71" s="1571"/>
      <c r="BA71" s="1571"/>
      <c r="BB71" s="1571"/>
      <c r="BC71" s="1571"/>
    </row>
    <row r="72" spans="1:55">
      <c r="A72" s="1571"/>
      <c r="B72" s="1571"/>
      <c r="C72" s="1571"/>
      <c r="D72" s="1571"/>
      <c r="E72" s="1571"/>
      <c r="F72" s="1571"/>
      <c r="G72" s="1571"/>
      <c r="H72" s="1571"/>
      <c r="I72" s="1571"/>
      <c r="J72" s="1571"/>
      <c r="K72" s="173"/>
      <c r="L72" s="1571"/>
      <c r="M72" s="1571" t="s">
        <v>1502</v>
      </c>
      <c r="N72" s="1571"/>
      <c r="O72" s="1571"/>
      <c r="P72" s="1571"/>
      <c r="Q72" s="1571"/>
      <c r="R72" s="1571"/>
      <c r="S72" s="232"/>
      <c r="T72" s="1571"/>
      <c r="U72" s="1571"/>
      <c r="V72" s="1571"/>
      <c r="W72" s="1571"/>
      <c r="X72" s="1571"/>
      <c r="Y72" s="1571"/>
      <c r="Z72" s="1571"/>
      <c r="AA72" s="1571"/>
      <c r="AB72" s="1571"/>
      <c r="AC72" s="1571"/>
      <c r="AD72" s="1571"/>
      <c r="AE72" s="1571"/>
      <c r="AF72" s="1571"/>
      <c r="AG72" s="1571"/>
      <c r="AH72" s="1571"/>
      <c r="AI72" s="1571"/>
      <c r="AJ72" s="1571"/>
      <c r="AK72" s="1571"/>
      <c r="AL72" s="1571"/>
      <c r="AM72" s="1571"/>
      <c r="AN72" s="1571"/>
      <c r="AO72" s="1571"/>
      <c r="AP72" s="1571"/>
      <c r="AQ72" s="1571"/>
      <c r="AR72" s="1571"/>
      <c r="AS72" s="1571"/>
      <c r="AT72" s="1571"/>
      <c r="AU72" s="1571"/>
      <c r="AV72" s="1571"/>
      <c r="AW72" s="1571"/>
      <c r="AX72" s="1571"/>
      <c r="AY72" s="1571"/>
      <c r="AZ72" s="1571"/>
      <c r="BA72" s="1571"/>
      <c r="BB72" s="1571"/>
      <c r="BC72" s="1571"/>
    </row>
    <row r="73" spans="1:55">
      <c r="A73" s="1571"/>
      <c r="B73" s="1571"/>
      <c r="C73" s="1571"/>
      <c r="D73" s="1571"/>
      <c r="E73" s="1571"/>
      <c r="F73" s="1571"/>
      <c r="G73" s="1571"/>
      <c r="H73" s="1571"/>
      <c r="I73" s="1571"/>
      <c r="J73" s="1571"/>
      <c r="K73" s="173"/>
      <c r="L73" s="1571"/>
      <c r="M73" s="1581" t="s">
        <v>787</v>
      </c>
      <c r="N73" s="1571"/>
      <c r="O73" s="1571"/>
      <c r="P73" s="1571"/>
      <c r="Q73" s="1571"/>
      <c r="R73" s="1571"/>
      <c r="S73" s="232"/>
      <c r="T73" s="1571"/>
      <c r="U73" s="1571"/>
      <c r="V73" s="1571"/>
      <c r="W73" s="1571"/>
      <c r="X73" s="1571"/>
      <c r="Y73" s="1571"/>
      <c r="Z73" s="1571"/>
      <c r="AA73" s="1571"/>
      <c r="AB73" s="1571"/>
      <c r="AC73" s="1571"/>
      <c r="AD73" s="1571"/>
      <c r="AE73" s="1571"/>
      <c r="AF73" s="1571"/>
      <c r="AG73" s="1571"/>
      <c r="AH73" s="1571"/>
      <c r="AI73" s="1571"/>
      <c r="AJ73" s="1571"/>
      <c r="AK73" s="1571"/>
      <c r="AL73" s="1571"/>
      <c r="AM73" s="1571"/>
      <c r="AN73" s="1571"/>
      <c r="AO73" s="1571"/>
      <c r="AP73" s="1571"/>
      <c r="AQ73" s="1571"/>
      <c r="AR73" s="1571"/>
      <c r="AS73" s="1571"/>
      <c r="AT73" s="1571"/>
      <c r="AU73" s="1571"/>
      <c r="AV73" s="1571"/>
      <c r="AW73" s="1571"/>
      <c r="AX73" s="1571"/>
      <c r="AY73" s="1571"/>
      <c r="AZ73" s="1571"/>
      <c r="BA73" s="1571"/>
      <c r="BB73" s="1571"/>
      <c r="BC73" s="1571"/>
    </row>
    <row r="74" spans="1:55">
      <c r="A74" s="1571"/>
      <c r="B74" s="1571"/>
      <c r="C74" s="1571"/>
      <c r="D74" s="1571"/>
      <c r="E74" s="1571"/>
      <c r="F74" s="1571"/>
      <c r="G74" s="1571"/>
      <c r="H74" s="1571"/>
      <c r="I74" s="1571"/>
      <c r="J74" s="1571"/>
      <c r="K74" s="1571"/>
      <c r="L74" s="1571"/>
      <c r="M74" s="1581" t="s">
        <v>110</v>
      </c>
      <c r="N74" s="1571"/>
      <c r="O74" s="1571"/>
      <c r="P74" s="1571"/>
      <c r="Q74" s="1571"/>
      <c r="R74" s="1571"/>
      <c r="S74" s="232"/>
      <c r="T74" s="1571"/>
      <c r="U74" s="1571"/>
      <c r="V74" s="1571"/>
      <c r="W74" s="1571"/>
      <c r="X74" s="1571"/>
      <c r="Y74" s="1571"/>
      <c r="Z74" s="1571"/>
      <c r="AA74" s="1571"/>
      <c r="AB74" s="1571"/>
      <c r="AC74" s="1571"/>
      <c r="AD74" s="1571"/>
      <c r="AE74" s="1571"/>
      <c r="AF74" s="1571"/>
      <c r="AG74" s="1571"/>
      <c r="AH74" s="1571"/>
      <c r="AI74" s="1571"/>
      <c r="AJ74" s="1571"/>
      <c r="AK74" s="1571"/>
      <c r="AL74" s="1571"/>
      <c r="AM74" s="1571"/>
      <c r="AN74" s="1571"/>
      <c r="AO74" s="1571"/>
      <c r="AP74" s="1571"/>
      <c r="AQ74" s="1571"/>
      <c r="AR74" s="1571"/>
      <c r="AS74" s="1571"/>
      <c r="AT74" s="1571"/>
      <c r="AU74" s="1571"/>
      <c r="AV74" s="1571"/>
      <c r="AW74" s="1571"/>
      <c r="AX74" s="1571"/>
      <c r="AY74" s="1571"/>
      <c r="AZ74" s="1571"/>
      <c r="BA74" s="1571"/>
      <c r="BB74" s="1571"/>
      <c r="BC74" s="1571"/>
    </row>
    <row r="75" spans="1:55">
      <c r="A75" s="1571"/>
      <c r="B75" s="1571"/>
      <c r="C75" s="1571"/>
      <c r="D75" s="1571"/>
      <c r="E75" s="1571"/>
      <c r="F75" s="1571"/>
      <c r="G75" s="1571"/>
      <c r="H75" s="1571"/>
      <c r="I75" s="1571"/>
      <c r="J75" s="1571"/>
      <c r="K75" s="1571"/>
      <c r="L75" s="1571"/>
      <c r="M75" s="407"/>
      <c r="N75" s="1571"/>
      <c r="O75" s="1571"/>
      <c r="P75" s="1571"/>
      <c r="Q75" s="1571"/>
      <c r="R75" s="1571"/>
      <c r="S75" s="1571"/>
      <c r="T75" s="1571"/>
      <c r="U75" s="1571"/>
      <c r="V75" s="1571"/>
      <c r="W75" s="1571"/>
      <c r="X75" s="1571"/>
      <c r="Y75" s="1571"/>
      <c r="Z75" s="1571"/>
      <c r="AA75" s="1571"/>
      <c r="AB75" s="1571"/>
      <c r="AC75" s="1571"/>
      <c r="AD75" s="1571"/>
      <c r="AE75" s="1571"/>
      <c r="AF75" s="1571"/>
      <c r="AG75" s="1571"/>
      <c r="AH75" s="1571"/>
      <c r="AI75" s="1571"/>
      <c r="AJ75" s="1571"/>
      <c r="AK75" s="1571"/>
      <c r="AL75" s="1571"/>
      <c r="AM75" s="1571"/>
      <c r="AN75" s="1571"/>
      <c r="AO75" s="1571"/>
      <c r="AP75" s="1571"/>
      <c r="AQ75" s="1571"/>
      <c r="AR75" s="1571"/>
      <c r="AS75" s="1571"/>
      <c r="AT75" s="1571"/>
      <c r="AU75" s="1571"/>
      <c r="AV75" s="1571"/>
      <c r="AW75" s="1571"/>
      <c r="AX75" s="1571"/>
      <c r="AY75" s="1571"/>
      <c r="AZ75" s="1571"/>
      <c r="BA75" s="1571"/>
      <c r="BB75" s="1571"/>
      <c r="BC75" s="1571"/>
    </row>
    <row r="76" spans="1:55">
      <c r="A76" s="1571"/>
      <c r="B76" s="1571"/>
      <c r="C76" s="1571"/>
      <c r="D76" s="1571"/>
      <c r="E76" s="1571"/>
      <c r="F76" s="1571"/>
      <c r="G76" s="1571"/>
      <c r="H76" s="1571"/>
      <c r="I76" s="1571"/>
      <c r="J76" s="1571"/>
      <c r="K76" s="1571"/>
      <c r="L76" s="1571"/>
      <c r="M76" s="234"/>
      <c r="N76" s="234"/>
      <c r="O76" s="232"/>
      <c r="P76" s="232"/>
      <c r="Q76" s="232"/>
      <c r="R76" s="234"/>
      <c r="S76" s="232"/>
      <c r="T76" s="1571"/>
      <c r="U76" s="1571"/>
      <c r="V76" s="1571"/>
      <c r="W76" s="1571"/>
      <c r="X76" s="1571"/>
      <c r="Y76" s="1571"/>
      <c r="Z76" s="1571"/>
      <c r="AA76" s="1571"/>
      <c r="AB76" s="1571"/>
      <c r="AC76" s="1571"/>
      <c r="AD76" s="1571"/>
      <c r="AE76" s="1571"/>
      <c r="AF76" s="1571"/>
      <c r="AG76" s="1571"/>
      <c r="AH76" s="1571"/>
      <c r="AI76" s="1571"/>
      <c r="AJ76" s="1571"/>
      <c r="AK76" s="1571"/>
      <c r="AL76" s="1571"/>
      <c r="AM76" s="1571"/>
      <c r="AN76" s="1571"/>
      <c r="AO76" s="1571"/>
      <c r="AP76" s="1571"/>
      <c r="AQ76" s="1571"/>
      <c r="AR76" s="1571"/>
      <c r="AS76" s="1571"/>
      <c r="AT76" s="1571"/>
      <c r="AU76" s="1571"/>
      <c r="AV76" s="1571"/>
      <c r="AW76" s="1571"/>
      <c r="AX76" s="1571"/>
      <c r="AY76" s="1571"/>
      <c r="AZ76" s="1571"/>
      <c r="BA76" s="1571"/>
      <c r="BB76" s="1571"/>
      <c r="BC76" s="1571"/>
    </row>
    <row r="77" spans="1:55">
      <c r="A77" s="1571"/>
      <c r="B77" s="1571"/>
      <c r="C77" s="1571"/>
      <c r="D77" s="1571"/>
      <c r="E77" s="1571"/>
      <c r="F77" s="1571"/>
      <c r="G77" s="1571"/>
      <c r="H77" s="1571"/>
      <c r="I77" s="1571"/>
      <c r="J77" s="1571"/>
      <c r="K77" s="1571"/>
      <c r="L77" s="1571"/>
      <c r="M77" s="408"/>
      <c r="N77" s="234"/>
      <c r="O77" s="306"/>
      <c r="P77" s="306"/>
      <c r="Q77" s="306"/>
      <c r="R77" s="306"/>
      <c r="S77" s="306"/>
      <c r="T77" s="1571"/>
      <c r="U77" s="1581" t="str">
        <f>COMPANY</f>
        <v>DUKE ENERGY KENTUCKY, INC.</v>
      </c>
      <c r="V77" s="1571"/>
      <c r="W77" s="1571"/>
      <c r="X77" s="1571"/>
      <c r="Y77" s="1571"/>
      <c r="Z77" s="1571"/>
      <c r="AA77" s="1571"/>
      <c r="AB77" s="1571"/>
      <c r="AC77" s="1571"/>
      <c r="AD77" s="1571"/>
      <c r="AE77" s="1571"/>
      <c r="AF77" s="1571"/>
      <c r="AG77" s="1571"/>
      <c r="AH77" s="1571"/>
      <c r="AI77" s="1571"/>
      <c r="AJ77" s="1581" t="s">
        <v>939</v>
      </c>
      <c r="AK77" s="1571"/>
      <c r="AL77" s="1571"/>
      <c r="AM77" s="1571"/>
      <c r="AN77" s="1571"/>
      <c r="AO77" s="1571"/>
      <c r="AP77" s="1571"/>
      <c r="AQ77" s="1571"/>
      <c r="AR77" s="1571"/>
      <c r="AS77" s="1571"/>
      <c r="AT77" s="1571"/>
      <c r="AU77" s="1571"/>
      <c r="AV77" s="1571"/>
      <c r="AW77" s="1571"/>
      <c r="AX77" s="1571"/>
      <c r="AY77" s="1571"/>
      <c r="AZ77" s="1571"/>
      <c r="BA77" s="1571"/>
      <c r="BB77" s="1571"/>
      <c r="BC77" s="1571"/>
    </row>
    <row r="78" spans="1:55">
      <c r="A78" s="1571"/>
      <c r="B78" s="1571"/>
      <c r="C78" s="1571"/>
      <c r="D78" s="1571"/>
      <c r="E78" s="1571"/>
      <c r="F78" s="1571"/>
      <c r="G78" s="1571"/>
      <c r="H78" s="1571"/>
      <c r="I78" s="1571"/>
      <c r="J78" s="1571"/>
      <c r="K78" s="1571"/>
      <c r="L78" s="1571"/>
      <c r="M78" s="408"/>
      <c r="N78" s="234"/>
      <c r="O78" s="306"/>
      <c r="P78" s="306"/>
      <c r="Q78" s="306"/>
      <c r="R78" s="306"/>
      <c r="S78" s="306"/>
      <c r="T78" s="1571"/>
      <c r="U78" s="396" t="str">
        <f>CASE</f>
        <v>CASE NO. 2017-00321</v>
      </c>
      <c r="V78" s="1571"/>
      <c r="W78" s="1571"/>
      <c r="X78" s="1571"/>
      <c r="Y78" s="1571"/>
      <c r="Z78" s="1571"/>
      <c r="AA78" s="1571"/>
      <c r="AB78" s="1571"/>
      <c r="AC78" s="1571"/>
      <c r="AD78" s="1571"/>
      <c r="AE78" s="1571"/>
      <c r="AF78" s="1571"/>
      <c r="AG78" s="1571"/>
      <c r="AH78" s="1571"/>
      <c r="AI78" s="1571"/>
      <c r="AJ78" s="1581" t="s">
        <v>622</v>
      </c>
      <c r="AK78" s="1571"/>
      <c r="AL78" s="1571"/>
      <c r="AM78" s="1571"/>
      <c r="AN78" s="1571"/>
      <c r="AO78" s="1571"/>
      <c r="AP78" s="1571"/>
      <c r="AQ78" s="1571"/>
      <c r="AR78" s="1571"/>
      <c r="AS78" s="1571"/>
      <c r="AT78" s="1571"/>
      <c r="AU78" s="1571"/>
      <c r="AV78" s="1571"/>
      <c r="AW78" s="1571"/>
      <c r="AX78" s="1571"/>
      <c r="AY78" s="1571"/>
      <c r="AZ78" s="1571"/>
      <c r="BA78" s="1571"/>
      <c r="BB78" s="1571"/>
      <c r="BC78" s="1571"/>
    </row>
    <row r="79" spans="1:55">
      <c r="A79" s="1571"/>
      <c r="B79" s="1571"/>
      <c r="C79" s="1571"/>
      <c r="D79" s="1571"/>
      <c r="E79" s="1571"/>
      <c r="F79" s="1571"/>
      <c r="G79" s="1571"/>
      <c r="H79" s="1571"/>
      <c r="I79" s="1571"/>
      <c r="J79" s="1571"/>
      <c r="K79" s="1571"/>
      <c r="L79" s="1571"/>
      <c r="M79" s="234"/>
      <c r="N79" s="234"/>
      <c r="O79" s="306"/>
      <c r="P79" s="306"/>
      <c r="Q79" s="306"/>
      <c r="R79" s="409"/>
      <c r="S79" s="306"/>
      <c r="T79" s="1571"/>
      <c r="U79" s="1581" t="str">
        <f>DEPT</f>
        <v>ELECTRIC DEPARTMENT</v>
      </c>
      <c r="V79" s="1571"/>
      <c r="W79" s="1571"/>
      <c r="X79" s="1571"/>
      <c r="Y79" s="1571"/>
      <c r="Z79" s="1571"/>
      <c r="AA79" s="1571"/>
      <c r="AB79" s="1571"/>
      <c r="AC79" s="1571"/>
      <c r="AD79" s="1571"/>
      <c r="AE79" s="1571"/>
      <c r="AF79" s="1571"/>
      <c r="AG79" s="1571"/>
      <c r="AH79" s="1571"/>
      <c r="AI79" s="1571"/>
      <c r="AJ79" s="1571" t="str">
        <f>_WIT1</f>
        <v>S. E. LAWLER</v>
      </c>
      <c r="AK79" s="1571"/>
      <c r="AL79" s="1571"/>
      <c r="AM79" s="1571"/>
      <c r="AN79" s="1571"/>
      <c r="AO79" s="1571"/>
      <c r="AP79" s="1571"/>
      <c r="AQ79" s="1571"/>
      <c r="AR79" s="1571"/>
      <c r="AS79" s="1571"/>
      <c r="AT79" s="1571"/>
      <c r="AU79" s="1571"/>
      <c r="AV79" s="1571"/>
      <c r="AW79" s="1571"/>
      <c r="AX79" s="1571"/>
      <c r="AY79" s="1571"/>
      <c r="AZ79" s="1571"/>
      <c r="BA79" s="1571"/>
      <c r="BB79" s="1571"/>
      <c r="BC79" s="1571"/>
    </row>
    <row r="80" spans="1:55">
      <c r="A80" s="1571"/>
      <c r="B80" s="1571"/>
      <c r="C80" s="1571"/>
      <c r="D80" s="1571"/>
      <c r="E80" s="1571"/>
      <c r="F80" s="1571"/>
      <c r="G80" s="1571"/>
      <c r="H80" s="1571"/>
      <c r="I80" s="1571"/>
      <c r="J80" s="1571"/>
      <c r="K80" s="1571"/>
      <c r="L80" s="1571"/>
      <c r="M80" s="408"/>
      <c r="N80" s="234"/>
      <c r="O80" s="306"/>
      <c r="P80" s="306"/>
      <c r="Q80" s="306"/>
      <c r="R80" s="306"/>
      <c r="S80" s="306"/>
      <c r="T80" s="1571"/>
      <c r="U80" s="1581" t="s">
        <v>940</v>
      </c>
      <c r="V80" s="1571"/>
      <c r="W80" s="1571"/>
      <c r="X80" s="1571"/>
      <c r="Y80" s="1571"/>
      <c r="Z80" s="1571"/>
      <c r="AA80" s="1571"/>
      <c r="AB80" s="1571"/>
      <c r="AC80" s="1571"/>
      <c r="AD80" s="1571"/>
      <c r="AE80" s="1571"/>
      <c r="AF80" s="1571"/>
      <c r="AG80" s="1571"/>
      <c r="AH80" s="1571"/>
      <c r="AI80" s="1571"/>
      <c r="AJ80" s="1571"/>
      <c r="AK80" s="1571"/>
      <c r="AL80" s="1571"/>
      <c r="AM80" s="1571"/>
      <c r="AN80" s="1571"/>
      <c r="AO80" s="1571"/>
      <c r="AP80" s="1571"/>
      <c r="AQ80" s="1571"/>
      <c r="AR80" s="1571"/>
      <c r="AS80" s="1571"/>
      <c r="AT80" s="1571"/>
      <c r="AU80" s="1571"/>
      <c r="AV80" s="1571"/>
      <c r="AW80" s="1571"/>
      <c r="AX80" s="1571"/>
      <c r="AY80" s="1571"/>
      <c r="AZ80" s="1571"/>
      <c r="BA80" s="1571"/>
      <c r="BB80" s="1571"/>
      <c r="BC80" s="1571"/>
    </row>
    <row r="81" spans="1:55">
      <c r="A81" s="1571"/>
      <c r="B81" s="1571"/>
      <c r="C81" s="1571"/>
      <c r="D81" s="1571"/>
      <c r="E81" s="1571"/>
      <c r="F81" s="1571"/>
      <c r="G81" s="1571"/>
      <c r="H81" s="1571"/>
      <c r="I81" s="1571"/>
      <c r="J81" s="1571"/>
      <c r="K81" s="1571"/>
      <c r="L81" s="1571"/>
      <c r="M81" s="234"/>
      <c r="N81" s="234"/>
      <c r="O81" s="306"/>
      <c r="P81" s="306"/>
      <c r="Q81" s="306"/>
      <c r="R81" s="409"/>
      <c r="S81" s="306"/>
      <c r="T81" s="1571"/>
      <c r="U81" s="1581" t="str">
        <f>PERIOD</f>
        <v>FOR THE TWELVE MONTHS ENDED NOVEMBER 30, 2017</v>
      </c>
      <c r="V81" s="1571"/>
      <c r="W81" s="1571"/>
      <c r="X81" s="1571"/>
      <c r="Y81" s="1571"/>
      <c r="Z81" s="1571"/>
      <c r="AA81" s="1571"/>
      <c r="AB81" s="1571"/>
      <c r="AC81" s="1571"/>
      <c r="AD81" s="1571"/>
      <c r="AE81" s="1571"/>
      <c r="AF81" s="1571"/>
      <c r="AG81" s="1571"/>
      <c r="AH81" s="1571"/>
      <c r="AI81" s="1571"/>
      <c r="AJ81" s="1571"/>
      <c r="AK81" s="1571"/>
      <c r="AL81" s="1571"/>
      <c r="AM81" s="1571"/>
      <c r="AN81" s="1571"/>
      <c r="AO81" s="1571"/>
      <c r="AP81" s="1571"/>
      <c r="AQ81" s="1571"/>
      <c r="AR81" s="1571"/>
      <c r="AS81" s="1571"/>
      <c r="AT81" s="1571"/>
      <c r="AU81" s="1571"/>
      <c r="AV81" s="1571"/>
      <c r="AW81" s="1571"/>
      <c r="AX81" s="1571"/>
      <c r="AY81" s="1571"/>
      <c r="AZ81" s="1571"/>
      <c r="BA81" s="1571"/>
      <c r="BB81" s="1571"/>
      <c r="BC81" s="1571"/>
    </row>
    <row r="82" spans="1:55">
      <c r="A82" s="1571"/>
      <c r="B82" s="1571"/>
      <c r="C82" s="1571"/>
      <c r="D82" s="1571"/>
      <c r="E82" s="1571"/>
      <c r="F82" s="1571"/>
      <c r="G82" s="1571"/>
      <c r="H82" s="1571"/>
      <c r="I82" s="1571"/>
      <c r="J82" s="1571"/>
      <c r="K82" s="1571"/>
      <c r="L82" s="1571"/>
      <c r="M82" s="408"/>
      <c r="N82" s="234"/>
      <c r="O82" s="306"/>
      <c r="P82" s="306"/>
      <c r="Q82" s="306"/>
      <c r="R82" s="234"/>
      <c r="S82" s="306"/>
      <c r="T82" s="1571"/>
      <c r="U82" s="1581" t="str">
        <f>Data</f>
        <v>DATA: "X" BASE PERIOD   FORECASTED PERIOD</v>
      </c>
      <c r="V82" s="1571"/>
      <c r="W82" s="1571"/>
      <c r="X82" s="1571"/>
      <c r="Y82" s="1571"/>
      <c r="Z82" s="1571"/>
      <c r="AA82" s="1571"/>
      <c r="AB82" s="1571"/>
      <c r="AC82" s="1571"/>
      <c r="AD82" s="1571"/>
      <c r="AE82" s="1571"/>
      <c r="AF82" s="1571"/>
      <c r="AG82" s="1571"/>
      <c r="AH82" s="1571"/>
      <c r="AI82" s="1571"/>
      <c r="AJ82" s="1571"/>
      <c r="AK82" s="1571"/>
      <c r="AL82" s="1571"/>
      <c r="AM82" s="1571"/>
      <c r="AN82" s="1571"/>
      <c r="AO82" s="1571"/>
      <c r="AP82" s="1571"/>
      <c r="AQ82" s="1571"/>
      <c r="AR82" s="1571"/>
      <c r="AS82" s="1571"/>
      <c r="AT82" s="1571"/>
      <c r="AU82" s="1571"/>
      <c r="AV82" s="1571"/>
      <c r="AW82" s="1571"/>
      <c r="AX82" s="1571"/>
      <c r="AY82" s="1571"/>
      <c r="AZ82" s="1571"/>
      <c r="BA82" s="1571"/>
      <c r="BB82" s="1571"/>
      <c r="BC82" s="1571"/>
    </row>
    <row r="83" spans="1:55">
      <c r="A83" s="1571"/>
      <c r="B83" s="1571"/>
      <c r="C83" s="1571"/>
      <c r="D83" s="1571"/>
      <c r="E83" s="1571"/>
      <c r="F83" s="1571"/>
      <c r="G83" s="1571"/>
      <c r="H83" s="1571"/>
      <c r="I83" s="1571"/>
      <c r="J83" s="1571"/>
      <c r="K83" s="1571"/>
      <c r="L83" s="1571"/>
      <c r="M83" s="234"/>
      <c r="N83" s="234"/>
      <c r="O83" s="234"/>
      <c r="P83" s="234"/>
      <c r="Q83" s="306"/>
      <c r="R83" s="408"/>
      <c r="S83" s="306"/>
      <c r="T83" s="1571"/>
      <c r="U83" s="1581" t="str">
        <f>Type</f>
        <v xml:space="preserve">TYPE OF FILING:  "X" ORIGINAL   UPDATED    REVISED  </v>
      </c>
      <c r="V83" s="1571"/>
      <c r="W83" s="1571"/>
      <c r="X83" s="1571"/>
      <c r="Y83" s="1571"/>
      <c r="Z83" s="1571"/>
      <c r="AA83" s="1571"/>
      <c r="AB83" s="1571"/>
      <c r="AC83" s="1571"/>
      <c r="AD83" s="1571"/>
      <c r="AE83" s="1571"/>
      <c r="AF83" s="1571"/>
      <c r="AG83" s="1571"/>
      <c r="AH83" s="1571"/>
      <c r="AI83" s="1571"/>
      <c r="AJ83" s="1571"/>
      <c r="AK83" s="1571"/>
      <c r="AL83" s="1571"/>
      <c r="AM83" s="1571"/>
      <c r="AN83" s="1571"/>
      <c r="AO83" s="1571"/>
      <c r="AP83" s="1571"/>
      <c r="AQ83" s="1571"/>
      <c r="AR83" s="1571"/>
      <c r="AS83" s="1571"/>
      <c r="AT83" s="1571"/>
      <c r="AU83" s="1571"/>
      <c r="AV83" s="1571"/>
      <c r="AW83" s="1571"/>
      <c r="AX83" s="1571"/>
      <c r="AY83" s="1571"/>
      <c r="AZ83" s="1571"/>
      <c r="BA83" s="1571"/>
      <c r="BB83" s="1571"/>
      <c r="BC83" s="1571"/>
    </row>
    <row r="84" spans="1:55">
      <c r="A84" s="1571"/>
      <c r="B84" s="1571"/>
      <c r="C84" s="1571"/>
      <c r="D84" s="1571"/>
      <c r="E84" s="1571"/>
      <c r="F84" s="1571"/>
      <c r="G84" s="1571"/>
      <c r="H84" s="1571"/>
      <c r="I84" s="1571"/>
      <c r="J84" s="1571"/>
      <c r="K84" s="1571"/>
      <c r="L84" s="1571"/>
      <c r="M84" s="234"/>
      <c r="N84" s="234"/>
      <c r="O84" s="234"/>
      <c r="P84" s="234"/>
      <c r="Q84" s="234"/>
      <c r="R84" s="234"/>
      <c r="S84" s="234"/>
      <c r="T84" s="1571"/>
      <c r="U84" s="1571"/>
      <c r="V84" s="1571"/>
      <c r="W84" s="1571"/>
      <c r="X84" s="1571"/>
      <c r="Y84" s="1571"/>
      <c r="Z84" s="1571"/>
      <c r="AA84" s="1571"/>
      <c r="AB84" s="1571"/>
      <c r="AC84" s="1571"/>
      <c r="AD84" s="1571"/>
      <c r="AE84" s="1571"/>
      <c r="AF84" s="1571"/>
      <c r="AG84" s="1571"/>
      <c r="AH84" s="1571"/>
      <c r="AI84" s="1571"/>
      <c r="AJ84" s="1571"/>
      <c r="AK84" s="1571"/>
      <c r="AL84" s="1571"/>
      <c r="AM84" s="1571"/>
      <c r="AN84" s="1571"/>
      <c r="AO84" s="1571"/>
      <c r="AP84" s="1571"/>
      <c r="AQ84" s="1571"/>
      <c r="AR84" s="1571"/>
      <c r="AS84" s="1571"/>
      <c r="AT84" s="1571"/>
      <c r="AU84" s="1571"/>
      <c r="AV84" s="1571"/>
      <c r="AW84" s="1571"/>
      <c r="AX84" s="1571"/>
      <c r="AY84" s="1571"/>
      <c r="AZ84" s="1571"/>
      <c r="BA84" s="1571"/>
      <c r="BB84" s="1571"/>
      <c r="BC84" s="1571"/>
    </row>
    <row r="85" spans="1:55">
      <c r="A85" s="1571"/>
      <c r="B85" s="1571"/>
      <c r="C85" s="1571"/>
      <c r="D85" s="1571"/>
      <c r="E85" s="1571"/>
      <c r="F85" s="1571"/>
      <c r="G85" s="1571"/>
      <c r="H85" s="1571"/>
      <c r="I85" s="1571"/>
      <c r="J85" s="1571"/>
      <c r="K85" s="1571"/>
      <c r="L85" s="1571"/>
      <c r="M85" s="234"/>
      <c r="N85" s="234"/>
      <c r="O85" s="306"/>
      <c r="P85" s="306"/>
      <c r="Q85" s="306"/>
      <c r="R85" s="306"/>
      <c r="S85" s="306"/>
      <c r="T85" s="1571"/>
      <c r="U85" s="1571"/>
      <c r="V85" s="1571"/>
      <c r="W85" s="1571"/>
      <c r="X85" s="1571"/>
      <c r="Y85" s="1571"/>
      <c r="Z85" s="1571"/>
      <c r="AA85" s="1571"/>
      <c r="AB85" s="1571"/>
      <c r="AC85" s="1458"/>
      <c r="AD85" s="1458"/>
      <c r="AE85" s="1458"/>
      <c r="AF85" s="1571"/>
      <c r="AG85" s="1571"/>
      <c r="AH85" s="1571"/>
      <c r="AI85" s="1571"/>
      <c r="AJ85" s="1571"/>
      <c r="AK85" s="1571"/>
      <c r="AL85" s="1571"/>
      <c r="AM85" s="1571"/>
      <c r="AN85" s="1571"/>
      <c r="AO85" s="1571"/>
      <c r="AP85" s="1571"/>
      <c r="AQ85" s="1571"/>
      <c r="AR85" s="1571"/>
      <c r="AS85" s="1571"/>
      <c r="AT85" s="1571"/>
      <c r="AU85" s="1571"/>
      <c r="AV85" s="1571"/>
      <c r="AW85" s="1571"/>
      <c r="AX85" s="1571"/>
      <c r="AY85" s="1571"/>
      <c r="AZ85" s="1571"/>
      <c r="BA85" s="1571"/>
      <c r="BB85" s="1571"/>
      <c r="BC85" s="1571"/>
    </row>
    <row r="86" spans="1:55">
      <c r="A86" s="1571"/>
      <c r="B86" s="1571"/>
      <c r="C86" s="1571"/>
      <c r="D86" s="1571"/>
      <c r="E86" s="1571"/>
      <c r="F86" s="1571"/>
      <c r="G86" s="1571"/>
      <c r="H86" s="1571"/>
      <c r="I86" s="1571"/>
      <c r="J86" s="1571"/>
      <c r="K86" s="1571"/>
      <c r="L86" s="1571"/>
      <c r="M86" s="234"/>
      <c r="N86" s="234"/>
      <c r="O86" s="234"/>
      <c r="P86" s="234"/>
      <c r="Q86" s="234"/>
      <c r="R86" s="234"/>
      <c r="S86" s="234"/>
      <c r="T86" s="1571"/>
      <c r="U86" s="2741" t="s">
        <v>1240</v>
      </c>
      <c r="V86" s="1571"/>
      <c r="W86" s="1571"/>
      <c r="X86" s="1571"/>
      <c r="Y86" s="1571"/>
      <c r="Z86" s="1571"/>
      <c r="AA86" s="1571"/>
      <c r="AB86" s="1571"/>
      <c r="AC86" s="1571"/>
      <c r="AD86" s="1571"/>
      <c r="AE86" s="1571"/>
      <c r="AF86" s="1571"/>
      <c r="AG86" s="1571"/>
      <c r="AH86" s="1571"/>
      <c r="AI86" s="1571"/>
      <c r="AJ86" s="1571"/>
      <c r="AK86" s="1571"/>
      <c r="AL86" s="1571"/>
      <c r="AM86" s="1571"/>
      <c r="AN86" s="1571"/>
      <c r="AO86" s="1571"/>
      <c r="AP86" s="1571"/>
      <c r="AQ86" s="1571"/>
      <c r="AR86" s="1571"/>
      <c r="AS86" s="1571"/>
      <c r="AT86" s="1571"/>
      <c r="AU86" s="1571"/>
      <c r="AV86" s="1571"/>
      <c r="AW86" s="1571"/>
      <c r="AX86" s="1571"/>
      <c r="AY86" s="1571"/>
      <c r="AZ86" s="1571"/>
      <c r="BA86" s="1571"/>
      <c r="BB86" s="1571"/>
      <c r="BC86" s="1571"/>
    </row>
    <row r="87" spans="1:55">
      <c r="A87" s="1571"/>
      <c r="B87" s="1571"/>
      <c r="C87" s="1571"/>
      <c r="D87" s="1571"/>
      <c r="E87" s="1571"/>
      <c r="F87" s="1571"/>
      <c r="G87" s="1571"/>
      <c r="H87" s="1571"/>
      <c r="I87" s="1571"/>
      <c r="J87" s="1571"/>
      <c r="K87" s="1571"/>
      <c r="L87" s="1571"/>
      <c r="M87" s="234"/>
      <c r="N87" s="234"/>
      <c r="O87" s="410"/>
      <c r="P87" s="410"/>
      <c r="Q87" s="234"/>
      <c r="R87" s="234"/>
      <c r="S87" s="234"/>
      <c r="T87" s="1571"/>
      <c r="U87" s="231" t="s">
        <v>1241</v>
      </c>
      <c r="V87" s="1571"/>
      <c r="W87" s="178" t="s">
        <v>1119</v>
      </c>
      <c r="X87" s="1571"/>
      <c r="Y87" s="43">
        <f>LOGO!$I$7</f>
        <v>42735</v>
      </c>
      <c r="Z87" s="43">
        <f>LOGO!$I$8</f>
        <v>42766</v>
      </c>
      <c r="AA87" s="43">
        <f>LOGO!$I$9</f>
        <v>42794</v>
      </c>
      <c r="AB87" s="43">
        <f>LOGO!$I$10</f>
        <v>42825</v>
      </c>
      <c r="AC87" s="43">
        <f>LOGO!$I$11</f>
        <v>42855</v>
      </c>
      <c r="AD87" s="43">
        <f>LOGO!$I$12</f>
        <v>42886</v>
      </c>
      <c r="AE87" s="43">
        <f>LOGO!$I$13</f>
        <v>42916</v>
      </c>
      <c r="AF87" s="43">
        <f>LOGO!$I$14</f>
        <v>42947</v>
      </c>
      <c r="AG87" s="43">
        <f>LOGO!$I$15</f>
        <v>42978</v>
      </c>
      <c r="AH87" s="43">
        <f>LOGO!$I$16</f>
        <v>43008</v>
      </c>
      <c r="AI87" s="43">
        <f>LOGO!$I$17</f>
        <v>43039</v>
      </c>
      <c r="AJ87" s="43">
        <f>LOGO!$I$18</f>
        <v>43069</v>
      </c>
      <c r="AK87" s="178" t="s">
        <v>1929</v>
      </c>
      <c r="AL87" s="1571"/>
      <c r="AM87" s="1571"/>
      <c r="AN87" s="1571"/>
      <c r="AO87" s="1571"/>
      <c r="AP87" s="1571"/>
      <c r="AQ87" s="1571"/>
      <c r="AR87" s="1571"/>
      <c r="AS87" s="1571"/>
      <c r="AT87" s="1571"/>
      <c r="AU87" s="1571"/>
      <c r="AV87" s="1571"/>
      <c r="AW87" s="1571"/>
      <c r="AX87" s="1571"/>
      <c r="AY87" s="1571"/>
      <c r="AZ87" s="1571"/>
      <c r="BA87" s="1571"/>
      <c r="BB87" s="1571"/>
      <c r="BC87" s="1571"/>
    </row>
    <row r="88" spans="1:55">
      <c r="A88" s="1571"/>
      <c r="B88" s="1571"/>
      <c r="C88" s="1571"/>
      <c r="D88" s="1571"/>
      <c r="E88" s="1571"/>
      <c r="F88" s="1571"/>
      <c r="G88" s="1571"/>
      <c r="H88" s="1571"/>
      <c r="I88" s="1571"/>
      <c r="J88" s="1571"/>
      <c r="K88" s="1571"/>
      <c r="L88" s="1571"/>
      <c r="M88" s="344"/>
      <c r="N88" s="234"/>
      <c r="O88" s="404"/>
      <c r="P88" s="404"/>
      <c r="Q88" s="404"/>
      <c r="R88" s="234"/>
      <c r="S88" s="234"/>
      <c r="T88" s="1571"/>
      <c r="U88" s="1571"/>
      <c r="V88" s="1571"/>
      <c r="W88" s="1571"/>
      <c r="X88" s="1571"/>
      <c r="Y88" s="1571"/>
      <c r="Z88" s="1571"/>
      <c r="AA88" s="1571"/>
      <c r="AB88" s="1571"/>
      <c r="AC88" s="1571"/>
      <c r="AD88" s="1571"/>
      <c r="AE88" s="1571"/>
      <c r="AF88" s="1571"/>
      <c r="AG88" s="1571"/>
      <c r="AH88" s="1571"/>
      <c r="AI88" s="1571"/>
      <c r="AJ88" s="1571"/>
      <c r="AK88" s="1571"/>
      <c r="AL88" s="1571"/>
      <c r="AM88" s="1571"/>
      <c r="AN88" s="1571"/>
      <c r="AO88" s="1571"/>
      <c r="AP88" s="1571"/>
      <c r="AQ88" s="1571"/>
      <c r="AR88" s="1571"/>
      <c r="AS88" s="1571"/>
      <c r="AT88" s="1571"/>
      <c r="AU88" s="1571"/>
      <c r="AV88" s="1571"/>
      <c r="AW88" s="1571"/>
      <c r="AX88" s="1571"/>
      <c r="AY88" s="1571"/>
      <c r="AZ88" s="1571"/>
      <c r="BA88" s="1571"/>
      <c r="BB88" s="1571"/>
      <c r="BC88" s="1571"/>
    </row>
    <row r="89" spans="1:55">
      <c r="A89" s="1571"/>
      <c r="B89" s="1571"/>
      <c r="C89" s="1571"/>
      <c r="D89" s="1571"/>
      <c r="E89" s="1571"/>
      <c r="F89" s="1571"/>
      <c r="G89" s="1571"/>
      <c r="H89" s="1571"/>
      <c r="I89" s="1571"/>
      <c r="J89" s="1571"/>
      <c r="K89" s="1571"/>
      <c r="L89" s="1571"/>
      <c r="M89" s="234"/>
      <c r="N89" s="234"/>
      <c r="O89" s="404"/>
      <c r="P89" s="404"/>
      <c r="Q89" s="404"/>
      <c r="R89" s="234"/>
      <c r="S89" s="234"/>
      <c r="T89" s="1571"/>
      <c r="U89" s="2741">
        <v>1</v>
      </c>
      <c r="V89" s="1571"/>
      <c r="W89" s="233" t="s">
        <v>372</v>
      </c>
      <c r="X89" s="1571"/>
      <c r="Y89" s="1571"/>
      <c r="Z89" s="1571"/>
      <c r="AA89" s="1571"/>
      <c r="AB89" s="1571"/>
      <c r="AC89" s="1571"/>
      <c r="AD89" s="1571"/>
      <c r="AE89" s="1571"/>
      <c r="AF89" s="1571"/>
      <c r="AG89" s="1571"/>
      <c r="AH89" s="1571"/>
      <c r="AI89" s="1571"/>
      <c r="AJ89" s="1571"/>
      <c r="AK89" s="1571"/>
      <c r="AL89" s="1571"/>
      <c r="AM89" s="1571"/>
      <c r="AN89" s="1571"/>
      <c r="AO89" s="1571"/>
      <c r="AP89" s="1571"/>
      <c r="AQ89" s="1571"/>
      <c r="AR89" s="1571"/>
      <c r="AS89" s="1571"/>
      <c r="AT89" s="1571"/>
      <c r="AU89" s="1571"/>
      <c r="AV89" s="1571"/>
      <c r="AW89" s="1571"/>
      <c r="AX89" s="1571"/>
      <c r="AY89" s="1571"/>
      <c r="AZ89" s="1571"/>
      <c r="BA89" s="1571"/>
      <c r="BB89" s="1571"/>
      <c r="BC89" s="1571"/>
    </row>
    <row r="90" spans="1:55">
      <c r="A90" s="1571"/>
      <c r="B90" s="1571"/>
      <c r="C90" s="1571"/>
      <c r="D90" s="1571"/>
      <c r="E90" s="1571"/>
      <c r="F90" s="1571"/>
      <c r="G90" s="1571"/>
      <c r="H90" s="1571"/>
      <c r="I90" s="1571"/>
      <c r="J90" s="1571"/>
      <c r="K90" s="1571"/>
      <c r="L90" s="1571"/>
      <c r="M90" s="234"/>
      <c r="N90" s="234"/>
      <c r="O90" s="404"/>
      <c r="P90" s="404"/>
      <c r="Q90" s="404"/>
      <c r="R90" s="234"/>
      <c r="S90" s="411" t="s">
        <v>2211</v>
      </c>
      <c r="T90" s="412">
        <v>440000</v>
      </c>
      <c r="U90" s="2741">
        <v>2</v>
      </c>
      <c r="V90" s="1571"/>
      <c r="W90" s="413" t="s">
        <v>947</v>
      </c>
      <c r="X90" s="1571"/>
      <c r="Y90" s="1458">
        <f t="array" ref="Y90">SUM(IF(BPrevACCT=T90,IF(BPREVPROD=S90,BPrev1)))</f>
        <v>7093348</v>
      </c>
      <c r="Z90" s="1458">
        <f t="array" ref="Z90">SUM(IF(BPrevACCT=T90,IF(BPREVPROD=S90,BPrev2)))</f>
        <v>8427342</v>
      </c>
      <c r="AA90" s="1458">
        <f t="array" ref="AA90">SUM(IF(BPrevACCT=T90,IF(BPREVPROD=S90,BPrev3)))</f>
        <v>6597780</v>
      </c>
      <c r="AB90" s="1458">
        <f t="array" ref="AB90">SUM(IF(BPrevACCT=T90,IF(BPREVPROD=S90,BPrev4)))</f>
        <v>6012250</v>
      </c>
      <c r="AC90" s="1458">
        <f t="array" ref="AC90">SUM(IF(BPrevACCT=T90,IF(BPREVPROD=S90,BPrev5)))</f>
        <v>5331415</v>
      </c>
      <c r="AD90" s="1458">
        <f t="array" ref="AD90">SUM(IF(BPrevACCT=T90,IF(BPREVPROD=S90,BPrev6)))</f>
        <v>5150601</v>
      </c>
      <c r="AE90" s="1458">
        <f t="array" ref="AE90">SUM(IF(BPrevACCT=T90,IF(BPREVPROD=S90,BPrev7)))</f>
        <v>6223458</v>
      </c>
      <c r="AF90" s="1458">
        <f t="array" ref="AF90">SUM(IF(BPrevACCT=T90,IF(BPREVPROD=S90,BPrev8)))</f>
        <v>8095575</v>
      </c>
      <c r="AG90" s="1458">
        <f t="array" ref="AG90">SUM(IF(BPrevACCT=T90,IF(BPREVPROD=S90,BPrev9)))</f>
        <v>8321571</v>
      </c>
      <c r="AH90" s="1458">
        <f t="array" ref="AH90">SUM(IF(BPrevACCT=T90,IF(BPREVPROD=S90,BPrev10)))</f>
        <v>7479656</v>
      </c>
      <c r="AI90" s="1458">
        <f t="array" ref="AI90">SUM(IF(BPrevACCT=T90,IF(BPREVPROD=S90,BPrev11)))</f>
        <v>5278504</v>
      </c>
      <c r="AJ90" s="1458">
        <f t="array" ref="AJ90">SUM(IF(BPrevACCT=T90,IF(BPREVPROD=S90,BPrev12)))</f>
        <v>5395184</v>
      </c>
      <c r="AK90" s="306">
        <f t="shared" ref="AK90:AK95" si="2">SUM(Y90:AJ90)</f>
        <v>79406684</v>
      </c>
      <c r="AL90" s="1571"/>
      <c r="AM90" s="1458"/>
      <c r="AN90" s="1571"/>
      <c r="AO90" s="1571"/>
      <c r="AP90" s="1571"/>
      <c r="AQ90" s="1571"/>
      <c r="AR90" s="1571"/>
      <c r="AS90" s="1571"/>
      <c r="AT90" s="1571"/>
      <c r="AU90" s="1571"/>
      <c r="AV90" s="1571"/>
      <c r="AW90" s="1571"/>
      <c r="AX90" s="1571"/>
      <c r="AY90" s="1571"/>
      <c r="AZ90" s="1571"/>
      <c r="BA90" s="1571"/>
      <c r="BB90" s="1571"/>
      <c r="BC90" s="1571"/>
    </row>
    <row r="91" spans="1:55">
      <c r="A91" s="1571"/>
      <c r="B91" s="1571"/>
      <c r="C91" s="1571"/>
      <c r="D91" s="1571"/>
      <c r="E91" s="1571"/>
      <c r="F91" s="1571"/>
      <c r="G91" s="1571"/>
      <c r="H91" s="1571"/>
      <c r="I91" s="1571"/>
      <c r="J91" s="1571"/>
      <c r="K91" s="1571"/>
      <c r="L91" s="1571"/>
      <c r="M91" s="234"/>
      <c r="N91" s="234"/>
      <c r="O91" s="404"/>
      <c r="P91" s="404"/>
      <c r="Q91" s="404"/>
      <c r="R91" s="234"/>
      <c r="S91" s="411"/>
      <c r="T91" s="412">
        <v>442100</v>
      </c>
      <c r="U91" s="2741">
        <v>3</v>
      </c>
      <c r="V91" s="1571"/>
      <c r="W91" s="413" t="s">
        <v>948</v>
      </c>
      <c r="X91" s="1571"/>
      <c r="Y91" s="1458">
        <f t="array" ref="Y91">SUM(IF(BPrevACCT=T91,IF(BPREVPROD=S90,BPrev1)))</f>
        <v>5982285</v>
      </c>
      <c r="Z91" s="1458">
        <f t="array" ref="Z91">SUM(IF(BPrevACCT=T91,IF(BPREVPROD=S90,BPrev2)))</f>
        <v>6101430</v>
      </c>
      <c r="AA91" s="1458">
        <f t="array" ref="AA91">SUM(IF(BPrevACCT=T91,IF(BPREVPROD=S90,BPrev3)))</f>
        <v>5724302</v>
      </c>
      <c r="AB91" s="1458">
        <f t="array" ref="AB91">SUM(IF(BPrevACCT=T91,IF(BPREVPROD=S90,BPrev4)))</f>
        <v>5656628</v>
      </c>
      <c r="AC91" s="1458">
        <f t="array" ref="AC91">SUM(IF(BPrevACCT=T91,IF(BPREVPROD=S90,BPrev5)))</f>
        <v>5642383</v>
      </c>
      <c r="AD91" s="1458">
        <f t="array" ref="AD91">SUM(IF(BPrevACCT=T91,IF(BPREVPROD=S90,BPrev6)))</f>
        <v>5710289</v>
      </c>
      <c r="AE91" s="1458">
        <f t="array" ref="AE91">SUM(IF(BPrevACCT=T91,IF(BPREVPROD=S90,BPrev7)))</f>
        <v>6269966</v>
      </c>
      <c r="AF91" s="1458">
        <f t="array" ref="AF91">SUM(IF(BPrevACCT=T91,IF(BPREVPROD=S90,BPrev8)))</f>
        <v>6708140</v>
      </c>
      <c r="AG91" s="1458">
        <f t="array" ref="AG91">SUM(IF(BPrevACCT=T91,IF(BPREVPROD=S90,BPrev9)))</f>
        <v>6684444</v>
      </c>
      <c r="AH91" s="1458">
        <f t="array" ref="AH91">SUM(IF(BPrevACCT=T91,IF(BPREVPROD=S90,BPrev10)))</f>
        <v>6501874</v>
      </c>
      <c r="AI91" s="1458">
        <f t="array" ref="AI91">SUM(IF(BPrevACCT=T91,IF(BPREVPROD=S90,BPrev11)))</f>
        <v>5863006</v>
      </c>
      <c r="AJ91" s="1458">
        <f t="array" ref="AJ91">SUM(IF(BPrevACCT=T91,IF(BPREVPROD=S90,BPrev12)))</f>
        <v>5778508</v>
      </c>
      <c r="AK91" s="306">
        <f t="shared" si="2"/>
        <v>72623255</v>
      </c>
      <c r="AL91" s="1571"/>
      <c r="AM91" s="1458"/>
      <c r="AN91" s="1571"/>
      <c r="AO91" s="1571"/>
      <c r="AP91" s="1571"/>
      <c r="AQ91" s="1571"/>
      <c r="AR91" s="1571"/>
      <c r="AS91" s="1571"/>
      <c r="AT91" s="1571"/>
      <c r="AU91" s="1571"/>
      <c r="AV91" s="1571"/>
      <c r="AW91" s="1571"/>
      <c r="AX91" s="1571"/>
      <c r="AY91" s="1571"/>
      <c r="AZ91" s="1571"/>
      <c r="BA91" s="1571"/>
      <c r="BB91" s="1571"/>
      <c r="BC91" s="1571"/>
    </row>
    <row r="92" spans="1:55">
      <c r="A92" s="1571"/>
      <c r="B92" s="1571"/>
      <c r="C92" s="1571"/>
      <c r="D92" s="1571"/>
      <c r="E92" s="1571"/>
      <c r="F92" s="1571"/>
      <c r="G92" s="1571"/>
      <c r="H92" s="1571"/>
      <c r="I92" s="1571"/>
      <c r="J92" s="1571"/>
      <c r="K92" s="1571"/>
      <c r="L92" s="1571"/>
      <c r="M92" s="234"/>
      <c r="N92" s="234"/>
      <c r="O92" s="404"/>
      <c r="P92" s="404"/>
      <c r="Q92" s="404"/>
      <c r="R92" s="234"/>
      <c r="S92" s="411"/>
      <c r="T92" s="412">
        <v>442200</v>
      </c>
      <c r="U92" s="2741">
        <v>4</v>
      </c>
      <c r="V92" s="1571"/>
      <c r="W92" s="413" t="s">
        <v>949</v>
      </c>
      <c r="X92" s="1571"/>
      <c r="Y92" s="1458">
        <f t="array" ref="Y92">SUM(IF(BPrevACCT=T92,IF(BPREVPROD=S90,BPrev1)))</f>
        <v>2523241</v>
      </c>
      <c r="Z92" s="1458">
        <f t="array" ref="Z92">SUM(IF(BPrevACCT=T92,IF(BPREVPROD=S90,BPrev2)))</f>
        <v>2442454</v>
      </c>
      <c r="AA92" s="1458">
        <f t="array" ref="AA92">SUM(IF(BPrevACCT=T92,IF(BPREVPROD=S90,BPrev3)))</f>
        <v>2426914</v>
      </c>
      <c r="AB92" s="1458">
        <f t="array" ref="AB92">SUM(IF(BPrevACCT=T92,IF(BPREVPROD=S90,BPrev4)))</f>
        <v>2439069</v>
      </c>
      <c r="AC92" s="1458">
        <f t="array" ref="AC92">SUM(IF(BPrevACCT=T92,IF(BPREVPROD=S90,BPrev5)))</f>
        <v>2473764</v>
      </c>
      <c r="AD92" s="1458">
        <f t="array" ref="AD92">SUM(IF(BPrevACCT=T92,IF(BPREVPROD=S90,BPrev6)))</f>
        <v>2555379</v>
      </c>
      <c r="AE92" s="1458">
        <f t="array" ref="AE92">SUM(IF(BPrevACCT=T92,IF(BPREVPROD=S90,BPrev7)))</f>
        <v>2884948</v>
      </c>
      <c r="AF92" s="1458">
        <f t="array" ref="AF92">SUM(IF(BPrevACCT=T92,IF(BPREVPROD=S90,BPrev8)))</f>
        <v>2893016</v>
      </c>
      <c r="AG92" s="1458">
        <f t="array" ref="AG92">SUM(IF(BPrevACCT=T92,IF(BPREVPROD=S90,BPrev9)))</f>
        <v>2862343</v>
      </c>
      <c r="AH92" s="1458">
        <f t="array" ref="AH92">SUM(IF(BPrevACCT=T92,IF(BPREVPROD=S90,BPrev10)))</f>
        <v>2800482</v>
      </c>
      <c r="AI92" s="1458">
        <f t="array" ref="AI92">SUM(IF(BPrevACCT=T92,IF(BPREVPROD=S90,BPrev11)))</f>
        <v>2716713</v>
      </c>
      <c r="AJ92" s="1458">
        <f t="array" ref="AJ92">SUM(IF(BPrevACCT=T92,IF(BPREVPROD=S90,BPrev12)))</f>
        <v>2732266</v>
      </c>
      <c r="AK92" s="306">
        <f t="shared" si="2"/>
        <v>31750589</v>
      </c>
      <c r="AL92" s="1571"/>
      <c r="AM92" s="1458"/>
      <c r="AN92" s="1571"/>
      <c r="AO92" s="1571"/>
      <c r="AP92" s="1571"/>
      <c r="AQ92" s="1571"/>
      <c r="AR92" s="1571"/>
      <c r="AS92" s="1571"/>
      <c r="AT92" s="1571"/>
      <c r="AU92" s="1571"/>
      <c r="AV92" s="1571"/>
      <c r="AW92" s="1571"/>
      <c r="AX92" s="1571"/>
      <c r="AY92" s="1571"/>
      <c r="AZ92" s="1571"/>
      <c r="BA92" s="1571"/>
      <c r="BB92" s="1571"/>
      <c r="BC92" s="1571"/>
    </row>
    <row r="93" spans="1:55">
      <c r="A93" s="1571"/>
      <c r="B93" s="1571"/>
      <c r="C93" s="1571"/>
      <c r="D93" s="1571"/>
      <c r="E93" s="1571"/>
      <c r="F93" s="1571"/>
      <c r="G93" s="1571"/>
      <c r="H93" s="1571"/>
      <c r="I93" s="1571"/>
      <c r="J93" s="1571"/>
      <c r="K93" s="1571"/>
      <c r="L93" s="1571"/>
      <c r="M93" s="234"/>
      <c r="N93" s="234"/>
      <c r="O93" s="404"/>
      <c r="P93" s="404"/>
      <c r="Q93" s="404"/>
      <c r="R93" s="234"/>
      <c r="S93" s="411"/>
      <c r="T93" s="412">
        <v>444000</v>
      </c>
      <c r="U93" s="2741">
        <v>5</v>
      </c>
      <c r="V93" s="1571"/>
      <c r="W93" s="413" t="s">
        <v>718</v>
      </c>
      <c r="X93" s="1571"/>
      <c r="Y93" s="1458">
        <f t="array" ref="Y93">SUM(IF(BPrevACCT=T93,IF(BPREVPROD=S90,BPrev1)))</f>
        <v>106926</v>
      </c>
      <c r="Z93" s="1458">
        <f t="array" ref="Z93">SUM(IF(BPrevACCT=T93,IF(BPREVPROD=S90,BPrev2)))</f>
        <v>87710</v>
      </c>
      <c r="AA93" s="1458">
        <f t="array" ref="AA93">SUM(IF(BPrevACCT=T93,IF(BPREVPROD=S90,BPrev3)))</f>
        <v>105330</v>
      </c>
      <c r="AB93" s="1458">
        <f t="array" ref="AB93">SUM(IF(BPrevACCT=T93,IF(BPREVPROD=S90,BPrev4)))</f>
        <v>104032</v>
      </c>
      <c r="AC93" s="1458">
        <f t="array" ref="AC93">SUM(IF(BPrevACCT=T93,IF(BPREVPROD=S90,BPrev5)))</f>
        <v>104585</v>
      </c>
      <c r="AD93" s="1458">
        <f t="array" ref="AD93">SUM(IF(BPrevACCT=T93,IF(BPREVPROD=S90,BPrev6)))</f>
        <v>103785</v>
      </c>
      <c r="AE93" s="1458">
        <f t="array" ref="AE93">SUM(IF(BPrevACCT=T93,IF(BPREVPROD=S90,BPrev7)))</f>
        <v>104426</v>
      </c>
      <c r="AF93" s="1458">
        <f t="array" ref="AF93">SUM(IF(BPrevACCT=T93,IF(BPREVPROD=S90,BPrev8)))</f>
        <v>107107</v>
      </c>
      <c r="AG93" s="1458">
        <f t="array" ref="AG93">SUM(IF(BPrevACCT=T93,IF(BPREVPROD=S90,BPrev9)))</f>
        <v>106316</v>
      </c>
      <c r="AH93" s="1458">
        <f t="array" ref="AH93">SUM(IF(BPrevACCT=T93,IF(BPREVPROD=S90,BPrev10)))</f>
        <v>105881</v>
      </c>
      <c r="AI93" s="1458">
        <f t="array" ref="AI93">SUM(IF(BPrevACCT=T93,IF(BPREVPROD=S90,BPrev11)))</f>
        <v>105510</v>
      </c>
      <c r="AJ93" s="1458">
        <f t="array" ref="AJ93">SUM(IF(BPrevACCT=T93,IF(BPREVPROD=S90,BPrev12)))</f>
        <v>107182</v>
      </c>
      <c r="AK93" s="306">
        <f t="shared" si="2"/>
        <v>1248790</v>
      </c>
      <c r="AL93" s="1571"/>
      <c r="AM93" s="1458"/>
      <c r="AN93" s="1571"/>
      <c r="AO93" s="1571"/>
      <c r="AP93" s="1571"/>
      <c r="AQ93" s="1571"/>
      <c r="AR93" s="1571"/>
      <c r="AS93" s="1571"/>
      <c r="AT93" s="1571"/>
      <c r="AU93" s="1571"/>
      <c r="AV93" s="1571"/>
      <c r="AW93" s="1571"/>
      <c r="AX93" s="1571"/>
      <c r="AY93" s="1571"/>
      <c r="AZ93" s="1571"/>
      <c r="BA93" s="1571"/>
      <c r="BB93" s="1571"/>
      <c r="BC93" s="1571"/>
    </row>
    <row r="94" spans="1:55">
      <c r="A94" s="1571"/>
      <c r="B94" s="1571"/>
      <c r="C94" s="1571"/>
      <c r="D94" s="1571"/>
      <c r="E94" s="1571"/>
      <c r="F94" s="1571"/>
      <c r="G94" s="1571"/>
      <c r="H94" s="1571"/>
      <c r="I94" s="1571"/>
      <c r="J94" s="1571"/>
      <c r="K94" s="1571"/>
      <c r="L94" s="1571"/>
      <c r="M94" s="234"/>
      <c r="N94" s="234"/>
      <c r="O94" s="404"/>
      <c r="P94" s="404"/>
      <c r="Q94" s="404"/>
      <c r="R94" s="234"/>
      <c r="S94" s="411"/>
      <c r="T94" s="412">
        <v>445000</v>
      </c>
      <c r="U94" s="2741">
        <v>6</v>
      </c>
      <c r="V94" s="1571"/>
      <c r="W94" s="413" t="s">
        <v>950</v>
      </c>
      <c r="X94" s="1571"/>
      <c r="Y94" s="1458">
        <f t="array" ref="Y94">SUM(IF(BPrevACCT=T94,IF(BPREVPROD=S90,BPrev1)))</f>
        <v>1117691</v>
      </c>
      <c r="Z94" s="1458">
        <f t="array" ref="Z94">SUM(IF(BPrevACCT=T94,IF(BPREVPROD=S90,BPrev2)))</f>
        <v>1113876</v>
      </c>
      <c r="AA94" s="1458">
        <f t="array" ref="AA94">SUM(IF(BPrevACCT=T94,IF(BPREVPROD=S90,BPrev3)))</f>
        <v>1034096</v>
      </c>
      <c r="AB94" s="1458">
        <f t="array" ref="AB94">SUM(IF(BPrevACCT=T94,IF(BPREVPROD=S90,BPrev4)))</f>
        <v>1107687</v>
      </c>
      <c r="AC94" s="1458">
        <f t="array" ref="AC94">SUM(IF(BPrevACCT=T94,IF(BPREVPROD=S90,BPrev5)))</f>
        <v>1042014</v>
      </c>
      <c r="AD94" s="1458">
        <f t="array" ref="AD94">SUM(IF(BPrevACCT=T94,IF(BPREVPROD=S90,BPrev6)))</f>
        <v>1085006</v>
      </c>
      <c r="AE94" s="1458">
        <f t="array" ref="AE94">SUM(IF(BPrevACCT=T94,IF(BPREVPROD=S90,BPrev7)))</f>
        <v>1163115</v>
      </c>
      <c r="AF94" s="1458">
        <f t="array" ref="AF94">SUM(IF(BPrevACCT=T94,IF(BPREVPROD=S90,BPrev8)))</f>
        <v>1185460</v>
      </c>
      <c r="AG94" s="1458">
        <f t="array" ref="AG94">SUM(IF(BPrevACCT=T94,IF(BPREVPROD=S90,BPrev9)))</f>
        <v>1217617</v>
      </c>
      <c r="AH94" s="1458">
        <f t="array" ref="AH94">SUM(IF(BPrevACCT=T94,IF(BPREVPROD=S90,BPrev10)))</f>
        <v>1252877</v>
      </c>
      <c r="AI94" s="1458">
        <f t="array" ref="AI94">SUM(IF(BPrevACCT=T94,IF(BPREVPROD=S90,BPrev11)))</f>
        <v>1149944</v>
      </c>
      <c r="AJ94" s="1458">
        <f t="array" ref="AJ94">SUM(IF(BPrevACCT=T94,IF(BPREVPROD=S90,BPrev12)))</f>
        <v>1109478</v>
      </c>
      <c r="AK94" s="306">
        <f t="shared" si="2"/>
        <v>13578861</v>
      </c>
      <c r="AL94" s="1571"/>
      <c r="AM94" s="1458"/>
      <c r="AN94" s="1571"/>
      <c r="AO94" s="1571"/>
      <c r="AP94" s="1571"/>
      <c r="AQ94" s="1571"/>
      <c r="AR94" s="1571"/>
      <c r="AS94" s="1571"/>
      <c r="AT94" s="1571"/>
      <c r="AU94" s="1571"/>
      <c r="AV94" s="1571"/>
      <c r="AW94" s="1571"/>
      <c r="AX94" s="1571"/>
      <c r="AY94" s="1571"/>
      <c r="AZ94" s="1571"/>
      <c r="BA94" s="1571"/>
      <c r="BB94" s="1571"/>
      <c r="BC94" s="1571"/>
    </row>
    <row r="95" spans="1:55">
      <c r="A95" s="1571"/>
      <c r="B95" s="1571"/>
      <c r="C95" s="1571"/>
      <c r="D95" s="1571"/>
      <c r="E95" s="1571"/>
      <c r="F95" s="1571"/>
      <c r="G95" s="1571"/>
      <c r="H95" s="1571"/>
      <c r="I95" s="1571"/>
      <c r="J95" s="1571"/>
      <c r="K95" s="1571"/>
      <c r="L95" s="1571"/>
      <c r="M95" s="234"/>
      <c r="N95" s="234"/>
      <c r="O95" s="404"/>
      <c r="P95" s="404"/>
      <c r="Q95" s="404"/>
      <c r="R95" s="234"/>
      <c r="S95" s="411"/>
      <c r="T95" s="412">
        <v>448000</v>
      </c>
      <c r="U95" s="2741">
        <v>7</v>
      </c>
      <c r="V95" s="1571"/>
      <c r="W95" s="413" t="s">
        <v>938</v>
      </c>
      <c r="X95" s="1571"/>
      <c r="Y95" s="1458">
        <f>VLOOKUP(T95,BasePeriod,6,FALSE)-Y110-Y118</f>
        <v>2670</v>
      </c>
      <c r="Z95" s="1458">
        <f>VLOOKUP(T95,BasePeriod,7,FALSE)-Z110-Z118</f>
        <v>9775</v>
      </c>
      <c r="AA95" s="1458">
        <f>VLOOKUP(T95,BasePeriod,8,FALSE)-AA110-AA118</f>
        <v>12725</v>
      </c>
      <c r="AB95" s="1458">
        <f>VLOOKUP(T95,BasePeriod,9,FALSE)-AB110-AB118</f>
        <v>36612</v>
      </c>
      <c r="AC95" s="1458">
        <f>VLOOKUP(T95,BasePeriod,10,FALSE)-AC110-AC118</f>
        <v>-29163</v>
      </c>
      <c r="AD95" s="1458">
        <f>VLOOKUP(T95,BasePeriod,11,FALSE)-AD110-AD118</f>
        <v>2342</v>
      </c>
      <c r="AE95" s="1458">
        <f>VLOOKUP(T95,BasePeriod,12,FALSE)-AE110-AE118</f>
        <v>2017</v>
      </c>
      <c r="AF95" s="1458">
        <f>VLOOKUP(T95,BasePeriod,13,FALSE)-AF110-AF118</f>
        <v>2838</v>
      </c>
      <c r="AG95" s="1458">
        <f>VLOOKUP(T95,BasePeriod,14,FALSE)-AG110-AG118</f>
        <v>2592</v>
      </c>
      <c r="AH95" s="1458">
        <f>VLOOKUP(T95,BasePeriod,15,FALSE)-AH110-AH118</f>
        <v>1174</v>
      </c>
      <c r="AI95" s="1458">
        <f>VLOOKUP(T95,BasePeriod,16,FALSE)-AI110-AI118</f>
        <v>1304</v>
      </c>
      <c r="AJ95" s="1458">
        <f>VLOOKUP(T95,BasePeriod,17,FALSE)-AJ110-AJ118</f>
        <v>2872</v>
      </c>
      <c r="AK95" s="306">
        <f t="shared" si="2"/>
        <v>47758</v>
      </c>
      <c r="AL95" s="1571"/>
      <c r="AM95" s="1458"/>
      <c r="AN95" s="1571"/>
      <c r="AO95" s="1571"/>
      <c r="AP95" s="1571"/>
      <c r="AQ95" s="1571"/>
      <c r="AR95" s="1571"/>
      <c r="AS95" s="1571"/>
      <c r="AT95" s="1571"/>
      <c r="AU95" s="1571"/>
      <c r="AV95" s="1571"/>
      <c r="AW95" s="1571"/>
      <c r="AX95" s="1571"/>
      <c r="AY95" s="1571"/>
      <c r="AZ95" s="1571"/>
      <c r="BA95" s="1571"/>
      <c r="BB95" s="1571"/>
      <c r="BC95" s="1571"/>
    </row>
    <row r="96" spans="1:55">
      <c r="A96" s="1571"/>
      <c r="B96" s="1571"/>
      <c r="C96" s="1571"/>
      <c r="D96" s="1571"/>
      <c r="E96" s="1571"/>
      <c r="F96" s="1571"/>
      <c r="G96" s="1571"/>
      <c r="H96" s="1571"/>
      <c r="I96" s="1571"/>
      <c r="J96" s="1571"/>
      <c r="K96" s="1571"/>
      <c r="L96" s="1571"/>
      <c r="M96" s="234"/>
      <c r="N96" s="234"/>
      <c r="O96" s="404"/>
      <c r="P96" s="404"/>
      <c r="Q96" s="404"/>
      <c r="R96" s="234"/>
      <c r="S96" s="411"/>
      <c r="T96" s="412"/>
      <c r="U96" s="2741">
        <v>8</v>
      </c>
      <c r="V96" s="1571"/>
      <c r="W96" s="1571"/>
      <c r="X96" s="1571"/>
      <c r="Y96" s="414"/>
      <c r="Z96" s="414"/>
      <c r="AA96" s="414"/>
      <c r="AB96" s="414"/>
      <c r="AC96" s="414"/>
      <c r="AD96" s="414"/>
      <c r="AE96" s="414"/>
      <c r="AF96" s="414"/>
      <c r="AG96" s="414"/>
      <c r="AH96" s="414"/>
      <c r="AI96" s="414"/>
      <c r="AJ96" s="414"/>
      <c r="AK96" s="306"/>
      <c r="AL96" s="1571"/>
      <c r="AM96" s="1571"/>
      <c r="AN96" s="1571"/>
      <c r="AO96" s="1571"/>
      <c r="AP96" s="1571"/>
      <c r="AQ96" s="1571"/>
      <c r="AR96" s="1571"/>
      <c r="AS96" s="1571"/>
      <c r="AT96" s="1571"/>
      <c r="AU96" s="1571"/>
      <c r="AV96" s="1571"/>
      <c r="AW96" s="1571"/>
      <c r="AX96" s="1571"/>
      <c r="AY96" s="1571"/>
      <c r="AZ96" s="1571"/>
      <c r="BA96" s="1571"/>
      <c r="BB96" s="1571"/>
      <c r="BC96" s="1571"/>
    </row>
    <row r="97" spans="1:55">
      <c r="A97" s="1571"/>
      <c r="B97" s="1571"/>
      <c r="C97" s="1571"/>
      <c r="D97" s="1571"/>
      <c r="E97" s="1571"/>
      <c r="F97" s="1571"/>
      <c r="G97" s="1571"/>
      <c r="H97" s="1571"/>
      <c r="I97" s="1571"/>
      <c r="J97" s="1571"/>
      <c r="K97" s="1571"/>
      <c r="L97" s="1571"/>
      <c r="M97" s="234"/>
      <c r="N97" s="234"/>
      <c r="O97" s="234"/>
      <c r="P97" s="234"/>
      <c r="Q97" s="234"/>
      <c r="R97" s="234"/>
      <c r="S97" s="411"/>
      <c r="T97" s="412"/>
      <c r="U97" s="2741">
        <v>9</v>
      </c>
      <c r="V97" s="1571"/>
      <c r="W97" s="233" t="s">
        <v>715</v>
      </c>
      <c r="X97" s="1571"/>
      <c r="Y97" s="414"/>
      <c r="Z97" s="414"/>
      <c r="AA97" s="414"/>
      <c r="AB97" s="414"/>
      <c r="AC97" s="414"/>
      <c r="AD97" s="414"/>
      <c r="AE97" s="414"/>
      <c r="AF97" s="414"/>
      <c r="AG97" s="414"/>
      <c r="AH97" s="414"/>
      <c r="AI97" s="414"/>
      <c r="AJ97" s="414"/>
      <c r="AK97" s="306"/>
      <c r="AL97" s="1571"/>
      <c r="AM97" s="1571"/>
      <c r="AN97" s="1571"/>
      <c r="AO97" s="1571"/>
      <c r="AP97" s="1571"/>
      <c r="AQ97" s="1571"/>
      <c r="AR97" s="1571"/>
      <c r="AS97" s="1571"/>
      <c r="AT97" s="1571"/>
      <c r="AU97" s="1571"/>
      <c r="AV97" s="1571"/>
      <c r="AW97" s="1571"/>
      <c r="AX97" s="1571"/>
      <c r="AY97" s="1571"/>
      <c r="AZ97" s="1571"/>
      <c r="BA97" s="1571"/>
      <c r="BB97" s="1571"/>
      <c r="BC97" s="1571"/>
    </row>
    <row r="98" spans="1:55">
      <c r="A98" s="1571"/>
      <c r="B98" s="1571"/>
      <c r="C98" s="1571"/>
      <c r="D98" s="1571"/>
      <c r="E98" s="1571"/>
      <c r="F98" s="1571"/>
      <c r="G98" s="1571"/>
      <c r="H98" s="1571"/>
      <c r="I98" s="1571"/>
      <c r="J98" s="1571"/>
      <c r="K98" s="1571"/>
      <c r="L98" s="1571"/>
      <c r="M98" s="234"/>
      <c r="N98" s="234"/>
      <c r="O98" s="234"/>
      <c r="P98" s="234"/>
      <c r="Q98" s="234"/>
      <c r="R98" s="234"/>
      <c r="S98" s="411"/>
      <c r="T98" s="412">
        <v>440990</v>
      </c>
      <c r="U98" s="2741">
        <v>10</v>
      </c>
      <c r="V98" s="1571"/>
      <c r="W98" s="413" t="s">
        <v>947</v>
      </c>
      <c r="X98" s="1571"/>
      <c r="Y98" s="1458">
        <f>VLOOKUP(T98,BasePeriod,6,FALSE)</f>
        <v>1212394</v>
      </c>
      <c r="Z98" s="1458">
        <f>VLOOKUP(T98,BasePeriod,7,FALSE)</f>
        <v>-1263731</v>
      </c>
      <c r="AA98" s="1458">
        <f>VLOOKUP(T98,BasePeriod,8,FALSE)</f>
        <v>-836672</v>
      </c>
      <c r="AB98" s="1458">
        <f>VLOOKUP(T98,BasePeriod,9,FALSE)</f>
        <v>-528078</v>
      </c>
      <c r="AC98" s="1458">
        <f>VLOOKUP(T98,BasePeriod,10,FALSE)</f>
        <v>-339258</v>
      </c>
      <c r="AD98" s="1458">
        <f>VLOOKUP(T98,BasePeriod,11,FALSE)</f>
        <v>784453</v>
      </c>
      <c r="AE98" s="1458">
        <f>VLOOKUP(T98,BasePeriod,12,FALSE)</f>
        <v>1101729</v>
      </c>
      <c r="AF98" s="1458">
        <f>VLOOKUP(T98,BasePeriod,13,FALSE)</f>
        <v>234596</v>
      </c>
      <c r="AG98" s="1458">
        <f>VLOOKUP(T98,BasePeriod,14,FALSE)</f>
        <v>-851777</v>
      </c>
      <c r="AH98" s="1458">
        <f>VLOOKUP(T98,BasePeriod,15,FALSE)</f>
        <v>-2926539</v>
      </c>
      <c r="AI98" s="1458">
        <f>VLOOKUP(T98,BasePeriod,16,FALSE)</f>
        <v>-67129</v>
      </c>
      <c r="AJ98" s="1458">
        <f>VLOOKUP(T98,BasePeriod,17,FALSE)</f>
        <v>1082282</v>
      </c>
      <c r="AK98" s="306">
        <f>SUM(Y98:AJ98)</f>
        <v>-2397730</v>
      </c>
      <c r="AL98" s="1571"/>
      <c r="AM98" s="1571"/>
      <c r="AN98" s="1571"/>
      <c r="AO98" s="1571"/>
      <c r="AP98" s="1571"/>
      <c r="AQ98" s="1571"/>
      <c r="AR98" s="1571"/>
      <c r="AS98" s="1571"/>
      <c r="AT98" s="1571"/>
      <c r="AU98" s="1571"/>
      <c r="AV98" s="1571"/>
      <c r="AW98" s="1571"/>
      <c r="AX98" s="1571"/>
      <c r="AY98" s="1571"/>
      <c r="AZ98" s="1571"/>
      <c r="BA98" s="1571"/>
      <c r="BB98" s="1571"/>
      <c r="BC98" s="1571"/>
    </row>
    <row r="99" spans="1:55">
      <c r="A99" s="1571"/>
      <c r="B99" s="1571"/>
      <c r="C99" s="1571"/>
      <c r="D99" s="1571"/>
      <c r="E99" s="1571"/>
      <c r="F99" s="1571"/>
      <c r="G99" s="1571"/>
      <c r="H99" s="1571"/>
      <c r="I99" s="1571"/>
      <c r="J99" s="1571"/>
      <c r="K99" s="1571"/>
      <c r="L99" s="1571"/>
      <c r="M99" s="234"/>
      <c r="N99" s="234"/>
      <c r="O99" s="234"/>
      <c r="P99" s="234"/>
      <c r="Q99" s="234"/>
      <c r="R99" s="234"/>
      <c r="S99" s="411"/>
      <c r="T99" s="412">
        <v>442190</v>
      </c>
      <c r="U99" s="2741">
        <v>11</v>
      </c>
      <c r="V99" s="1571"/>
      <c r="W99" s="413" t="s">
        <v>948</v>
      </c>
      <c r="X99" s="1571"/>
      <c r="Y99" s="1458">
        <f>VLOOKUP(T99,BasePeriod,6,FALSE)</f>
        <v>-134486</v>
      </c>
      <c r="Z99" s="1458">
        <f>VLOOKUP(T99,BasePeriod,7,FALSE)</f>
        <v>-235686</v>
      </c>
      <c r="AA99" s="1458">
        <f>VLOOKUP(T99,BasePeriod,8,FALSE)</f>
        <v>-289852</v>
      </c>
      <c r="AB99" s="1458">
        <f>VLOOKUP(T99,BasePeriod,9,FALSE)</f>
        <v>106074</v>
      </c>
      <c r="AC99" s="1458">
        <f>VLOOKUP(T99,BasePeriod,10,FALSE)</f>
        <v>-21272</v>
      </c>
      <c r="AD99" s="1458">
        <f>VLOOKUP(T99,BasePeriod,11,FALSE)</f>
        <v>223617</v>
      </c>
      <c r="AE99" s="1458">
        <f>VLOOKUP(T99,BasePeriod,12,FALSE)</f>
        <v>588408</v>
      </c>
      <c r="AF99" s="1458">
        <f>VLOOKUP(T99,BasePeriod,13,FALSE)</f>
        <v>375156</v>
      </c>
      <c r="AG99" s="1458">
        <f>VLOOKUP(T99,BasePeriod,14,FALSE)</f>
        <v>-108433</v>
      </c>
      <c r="AH99" s="1458">
        <f>VLOOKUP(T99,BasePeriod,15,FALSE)</f>
        <v>-370491</v>
      </c>
      <c r="AI99" s="1458">
        <f>VLOOKUP(T99,BasePeriod,16,FALSE)</f>
        <v>201645</v>
      </c>
      <c r="AJ99" s="1458">
        <f>VLOOKUP(T99,BasePeriod,17,FALSE)</f>
        <v>-211025</v>
      </c>
      <c r="AK99" s="306">
        <f>SUM(Y99:AJ99)</f>
        <v>123655</v>
      </c>
      <c r="AL99" s="1571"/>
      <c r="AM99" s="1571"/>
      <c r="AN99" s="1571"/>
      <c r="AO99" s="1571"/>
      <c r="AP99" s="1571"/>
      <c r="AQ99" s="1571"/>
      <c r="AR99" s="1571"/>
      <c r="AS99" s="1571"/>
      <c r="AT99" s="1571"/>
      <c r="AU99" s="1571"/>
      <c r="AV99" s="1571"/>
      <c r="AW99" s="1571"/>
      <c r="AX99" s="1571"/>
      <c r="AY99" s="1571"/>
      <c r="AZ99" s="1571"/>
      <c r="BA99" s="1571"/>
      <c r="BB99" s="1571"/>
      <c r="BC99" s="1571"/>
    </row>
    <row r="100" spans="1:55">
      <c r="A100" s="1571"/>
      <c r="B100" s="1571"/>
      <c r="C100" s="1571"/>
      <c r="D100" s="1571"/>
      <c r="E100" s="1571"/>
      <c r="F100" s="1571"/>
      <c r="G100" s="1571"/>
      <c r="H100" s="1571"/>
      <c r="I100" s="1571"/>
      <c r="J100" s="1571"/>
      <c r="K100" s="1571"/>
      <c r="L100" s="1571"/>
      <c r="M100" s="1571"/>
      <c r="N100" s="1571"/>
      <c r="O100" s="1571"/>
      <c r="P100" s="1571"/>
      <c r="Q100" s="1571"/>
      <c r="R100" s="1571"/>
      <c r="S100" s="412"/>
      <c r="T100" s="412">
        <v>442290</v>
      </c>
      <c r="U100" s="2741">
        <v>12</v>
      </c>
      <c r="V100" s="1571"/>
      <c r="W100" s="413" t="s">
        <v>949</v>
      </c>
      <c r="X100" s="1571"/>
      <c r="Y100" s="1458">
        <f>VLOOKUP(T100,BasePeriod,6,FALSE)</f>
        <v>-153749</v>
      </c>
      <c r="Z100" s="1458">
        <f>VLOOKUP(T100,BasePeriod,7,FALSE)</f>
        <v>15961</v>
      </c>
      <c r="AA100" s="1458">
        <f>VLOOKUP(T100,BasePeriod,8,FALSE)</f>
        <v>-218848</v>
      </c>
      <c r="AB100" s="1458">
        <f>VLOOKUP(T100,BasePeriod,9,FALSE)</f>
        <v>136596</v>
      </c>
      <c r="AC100" s="1458">
        <f>VLOOKUP(T100,BasePeriod,10,FALSE)</f>
        <v>-102759</v>
      </c>
      <c r="AD100" s="1458">
        <f>VLOOKUP(T100,BasePeriod,11,FALSE)</f>
        <v>162141</v>
      </c>
      <c r="AE100" s="1458">
        <f>VLOOKUP(T100,BasePeriod,12,FALSE)</f>
        <v>94679</v>
      </c>
      <c r="AF100" s="1458">
        <f>VLOOKUP(T100,BasePeriod,13,FALSE)</f>
        <v>9994</v>
      </c>
      <c r="AG100" s="1458">
        <f>VLOOKUP(T100,BasePeriod,14,FALSE)</f>
        <v>15835</v>
      </c>
      <c r="AH100" s="1458">
        <f>VLOOKUP(T100,BasePeriod,15,FALSE)</f>
        <v>70916</v>
      </c>
      <c r="AI100" s="1458">
        <f>VLOOKUP(T100,BasePeriod,16,FALSE)</f>
        <v>-20930</v>
      </c>
      <c r="AJ100" s="1458">
        <f>VLOOKUP(T100,BasePeriod,17,FALSE)</f>
        <v>-17901</v>
      </c>
      <c r="AK100" s="306">
        <f>SUM(Y100:AJ100)</f>
        <v>-8065</v>
      </c>
      <c r="AL100" s="1571"/>
      <c r="AM100" s="1571"/>
      <c r="AN100" s="1571"/>
      <c r="AO100" s="1571"/>
      <c r="AP100" s="1571"/>
      <c r="AQ100" s="1571"/>
      <c r="AR100" s="1571"/>
      <c r="AS100" s="1571"/>
      <c r="AT100" s="1571"/>
      <c r="AU100" s="1571"/>
      <c r="AV100" s="1571"/>
      <c r="AW100" s="1571"/>
      <c r="AX100" s="1571"/>
      <c r="AY100" s="1571"/>
      <c r="AZ100" s="1571"/>
      <c r="BA100" s="1571"/>
      <c r="BB100" s="1571"/>
      <c r="BC100" s="1571"/>
    </row>
    <row r="101" spans="1:55">
      <c r="A101" s="1571"/>
      <c r="B101" s="1571"/>
      <c r="C101" s="1571"/>
      <c r="D101" s="1571"/>
      <c r="E101" s="1571"/>
      <c r="F101" s="1571"/>
      <c r="G101" s="1571"/>
      <c r="H101" s="1571"/>
      <c r="I101" s="1571"/>
      <c r="J101" s="1571"/>
      <c r="K101" s="1571"/>
      <c r="L101" s="1571"/>
      <c r="M101" s="1571"/>
      <c r="N101" s="1571"/>
      <c r="O101" s="1571"/>
      <c r="P101" s="1571"/>
      <c r="Q101" s="1571"/>
      <c r="R101" s="1571"/>
      <c r="S101" s="412"/>
      <c r="T101" s="412"/>
      <c r="U101" s="2741">
        <v>13</v>
      </c>
      <c r="V101" s="1571"/>
      <c r="W101" s="413" t="s">
        <v>718</v>
      </c>
      <c r="X101" s="1571"/>
      <c r="Y101" s="415">
        <v>0</v>
      </c>
      <c r="Z101" s="415">
        <v>0</v>
      </c>
      <c r="AA101" s="415">
        <v>0</v>
      </c>
      <c r="AB101" s="415">
        <v>0</v>
      </c>
      <c r="AC101" s="415">
        <v>0</v>
      </c>
      <c r="AD101" s="415">
        <v>0</v>
      </c>
      <c r="AE101" s="415">
        <v>0</v>
      </c>
      <c r="AF101" s="415">
        <v>0</v>
      </c>
      <c r="AG101" s="415">
        <v>0</v>
      </c>
      <c r="AH101" s="415">
        <v>0</v>
      </c>
      <c r="AI101" s="415">
        <v>0</v>
      </c>
      <c r="AJ101" s="415">
        <v>0</v>
      </c>
      <c r="AK101" s="306">
        <f>SUM(Y101:AJ101)</f>
        <v>0</v>
      </c>
      <c r="AL101" s="1571"/>
      <c r="AM101" s="1571"/>
      <c r="AN101" s="1571"/>
      <c r="AO101" s="1571"/>
      <c r="AP101" s="1571"/>
      <c r="AQ101" s="1571"/>
      <c r="AR101" s="1571"/>
      <c r="AS101" s="1571"/>
      <c r="AT101" s="1571"/>
      <c r="AU101" s="1571"/>
      <c r="AV101" s="1571"/>
      <c r="AW101" s="1571"/>
      <c r="AX101" s="1571"/>
      <c r="AY101" s="1571"/>
      <c r="AZ101" s="1571"/>
      <c r="BA101" s="1571"/>
      <c r="BB101" s="1571"/>
      <c r="BC101" s="1571"/>
    </row>
    <row r="102" spans="1:55">
      <c r="A102" s="1571"/>
      <c r="B102" s="1571"/>
      <c r="C102" s="1571"/>
      <c r="D102" s="1571"/>
      <c r="E102" s="1571"/>
      <c r="F102" s="1571"/>
      <c r="G102" s="1571"/>
      <c r="H102" s="1571"/>
      <c r="I102" s="1571"/>
      <c r="J102" s="1571"/>
      <c r="K102" s="1571"/>
      <c r="L102" s="1571"/>
      <c r="M102" s="1571"/>
      <c r="N102" s="1571"/>
      <c r="O102" s="1571"/>
      <c r="P102" s="1571"/>
      <c r="Q102" s="1571"/>
      <c r="R102" s="1571"/>
      <c r="S102" s="412"/>
      <c r="T102" s="412">
        <v>445090</v>
      </c>
      <c r="U102" s="2741">
        <v>14</v>
      </c>
      <c r="V102" s="1571"/>
      <c r="W102" s="413" t="s">
        <v>950</v>
      </c>
      <c r="X102" s="1571"/>
      <c r="Y102" s="1458">
        <f>VLOOKUP(T102,BasePeriod,6,FALSE)</f>
        <v>-61084</v>
      </c>
      <c r="Z102" s="1458">
        <f>VLOOKUP(T102,BasePeriod,7,FALSE)</f>
        <v>-10057</v>
      </c>
      <c r="AA102" s="1458">
        <f>VLOOKUP(T102,BasePeriod,8,FALSE)</f>
        <v>-114799</v>
      </c>
      <c r="AB102" s="1458">
        <f>VLOOKUP(T102,BasePeriod,9,FALSE)</f>
        <v>44432</v>
      </c>
      <c r="AC102" s="1458">
        <f>VLOOKUP(T102,BasePeriod,10,FALSE)</f>
        <v>-50026</v>
      </c>
      <c r="AD102" s="1458">
        <f>VLOOKUP(T102,BasePeriod,11,FALSE)</f>
        <v>63810</v>
      </c>
      <c r="AE102" s="1458">
        <f>VLOOKUP(T102,BasePeriod,12,FALSE)</f>
        <v>108023</v>
      </c>
      <c r="AF102" s="1458">
        <f>VLOOKUP(T102,BasePeriod,13,FALSE)</f>
        <v>65849</v>
      </c>
      <c r="AG102" s="1458">
        <f>VLOOKUP(T102,BasePeriod,14,FALSE)</f>
        <v>49795</v>
      </c>
      <c r="AH102" s="1458">
        <f>VLOOKUP(T102,BasePeriod,15,FALSE)</f>
        <v>-89899</v>
      </c>
      <c r="AI102" s="1458">
        <f>VLOOKUP(T102,BasePeriod,16,FALSE)</f>
        <v>24909</v>
      </c>
      <c r="AJ102" s="1458">
        <f>VLOOKUP(T102,BasePeriod,17,FALSE)</f>
        <v>-63736</v>
      </c>
      <c r="AK102" s="306">
        <f>SUM(Y102:AJ102)</f>
        <v>-32783</v>
      </c>
      <c r="AL102" s="1571"/>
      <c r="AM102" s="1571"/>
      <c r="AN102" s="1571"/>
      <c r="AO102" s="1571"/>
      <c r="AP102" s="1571"/>
      <c r="AQ102" s="1571"/>
      <c r="AR102" s="1571"/>
      <c r="AS102" s="1571"/>
      <c r="AT102" s="1571"/>
      <c r="AU102" s="1571"/>
      <c r="AV102" s="1571"/>
      <c r="AW102" s="1571"/>
      <c r="AX102" s="1571"/>
      <c r="AY102" s="1571"/>
      <c r="AZ102" s="1571"/>
      <c r="BA102" s="1571"/>
      <c r="BB102" s="1571"/>
      <c r="BC102" s="1571"/>
    </row>
    <row r="103" spans="1:55">
      <c r="A103" s="1571"/>
      <c r="B103" s="1571"/>
      <c r="C103" s="1571"/>
      <c r="D103" s="1571"/>
      <c r="E103" s="1571"/>
      <c r="F103" s="1571"/>
      <c r="G103" s="1571"/>
      <c r="H103" s="1571"/>
      <c r="I103" s="1571"/>
      <c r="J103" s="1571"/>
      <c r="K103" s="1571"/>
      <c r="L103" s="1571"/>
      <c r="M103" s="1571"/>
      <c r="N103" s="1571"/>
      <c r="O103" s="1571"/>
      <c r="P103" s="1571"/>
      <c r="Q103" s="1571"/>
      <c r="R103" s="1571"/>
      <c r="S103" s="412"/>
      <c r="T103" s="412"/>
      <c r="U103" s="2741">
        <v>15</v>
      </c>
      <c r="V103" s="1571"/>
      <c r="W103" s="1571"/>
      <c r="X103" s="1571"/>
      <c r="Y103" s="306"/>
      <c r="Z103" s="306"/>
      <c r="AA103" s="306"/>
      <c r="AB103" s="306"/>
      <c r="AC103" s="306"/>
      <c r="AD103" s="306"/>
      <c r="AE103" s="306"/>
      <c r="AF103" s="306"/>
      <c r="AG103" s="306"/>
      <c r="AH103" s="306"/>
      <c r="AI103" s="306"/>
      <c r="AJ103" s="306"/>
      <c r="AK103" s="306"/>
      <c r="AL103" s="234"/>
      <c r="AM103" s="1571"/>
      <c r="AN103" s="1571"/>
      <c r="AO103" s="1571"/>
      <c r="AP103" s="1571"/>
      <c r="AQ103" s="1571"/>
      <c r="AR103" s="1571"/>
      <c r="AS103" s="1571"/>
      <c r="AT103" s="1571"/>
      <c r="AU103" s="1571"/>
      <c r="AV103" s="1571"/>
      <c r="AW103" s="1571"/>
      <c r="AX103" s="1571"/>
      <c r="AY103" s="1571"/>
      <c r="AZ103" s="1571"/>
      <c r="BA103" s="1571"/>
      <c r="BB103" s="1571"/>
      <c r="BC103" s="1571"/>
    </row>
    <row r="104" spans="1:55">
      <c r="A104" s="1571"/>
      <c r="B104" s="1571"/>
      <c r="C104" s="1571"/>
      <c r="D104" s="1571"/>
      <c r="E104" s="1571"/>
      <c r="F104" s="1571"/>
      <c r="G104" s="1571"/>
      <c r="H104" s="1571"/>
      <c r="I104" s="1571"/>
      <c r="J104" s="1571"/>
      <c r="K104" s="1571"/>
      <c r="L104" s="1571"/>
      <c r="M104" s="1571"/>
      <c r="N104" s="1571"/>
      <c r="O104" s="1571"/>
      <c r="P104" s="1571"/>
      <c r="Q104" s="1571"/>
      <c r="R104" s="1571"/>
      <c r="S104" s="412" t="s">
        <v>2213</v>
      </c>
      <c r="T104" s="412"/>
      <c r="U104" s="2741">
        <v>16</v>
      </c>
      <c r="V104" s="1571"/>
      <c r="W104" s="233" t="s">
        <v>716</v>
      </c>
      <c r="X104" s="1571"/>
      <c r="Y104" s="1458"/>
      <c r="Z104" s="1458"/>
      <c r="AA104" s="1458"/>
      <c r="AB104" s="1458"/>
      <c r="AC104" s="1458"/>
      <c r="AD104" s="1458"/>
      <c r="AE104" s="1458"/>
      <c r="AF104" s="1458"/>
      <c r="AG104" s="1458"/>
      <c r="AH104" s="1458"/>
      <c r="AI104" s="1458"/>
      <c r="AJ104" s="1458"/>
      <c r="AK104" s="306"/>
      <c r="AL104" s="1571"/>
      <c r="AM104" s="1571"/>
      <c r="AN104" s="1571"/>
      <c r="AO104" s="1571"/>
      <c r="AP104" s="1571"/>
      <c r="AQ104" s="1571"/>
      <c r="AR104" s="1571"/>
      <c r="AS104" s="1571"/>
      <c r="AT104" s="1571"/>
      <c r="AU104" s="1571"/>
      <c r="AV104" s="1571"/>
      <c r="AW104" s="1571"/>
      <c r="AX104" s="1571"/>
      <c r="AY104" s="1571"/>
      <c r="AZ104" s="1571"/>
      <c r="BA104" s="1571"/>
      <c r="BB104" s="1571"/>
      <c r="BC104" s="1571"/>
    </row>
    <row r="105" spans="1:55">
      <c r="A105" s="1571"/>
      <c r="B105" s="1571"/>
      <c r="C105" s="1571"/>
      <c r="D105" s="1571"/>
      <c r="E105" s="1571"/>
      <c r="F105" s="1571"/>
      <c r="G105" s="1571"/>
      <c r="H105" s="1571"/>
      <c r="I105" s="1571"/>
      <c r="J105" s="1571"/>
      <c r="K105" s="1571"/>
      <c r="L105" s="1571"/>
      <c r="M105" s="1571"/>
      <c r="N105" s="1571"/>
      <c r="O105" s="1571"/>
      <c r="P105" s="1571"/>
      <c r="Q105" s="1571"/>
      <c r="R105" s="1571"/>
      <c r="S105" s="412"/>
      <c r="T105" s="412">
        <v>440000</v>
      </c>
      <c r="U105" s="2741">
        <v>17</v>
      </c>
      <c r="V105" s="1571"/>
      <c r="W105" s="413" t="s">
        <v>947</v>
      </c>
      <c r="X105" s="1571"/>
      <c r="Y105" s="1458">
        <f t="array" ref="Y105">SUM(IF(BPrevACCT=T105,IF(BPREVPROD=S104,BPrev1)))</f>
        <v>3677306</v>
      </c>
      <c r="Z105" s="1458">
        <f t="array" ref="Z105">SUM(IF(BPrevACCT=T105,IF(BPREVPROD=S104,BPrev2)))</f>
        <v>4433371</v>
      </c>
      <c r="AA105" s="1458">
        <f t="array" ref="AA105">SUM(IF(BPrevACCT=T105,IF(BPREVPROD=S104,BPrev3)))</f>
        <v>3402539</v>
      </c>
      <c r="AB105" s="1458">
        <f t="array" ref="AB105">SUM(IF(BPrevACCT=T105,IF(BPREVPROD=S104,BPrev4)))</f>
        <v>3069717</v>
      </c>
      <c r="AC105" s="1458">
        <f t="array" ref="AC105">SUM(IF(BPrevACCT=T105,IF(BPREVPROD=S104,BPrev5)))</f>
        <v>2686524</v>
      </c>
      <c r="AD105" s="1458">
        <f t="array" ref="AD105">SUM(IF(BPrevACCT=T105,IF(BPREVPROD=S104,BPrev6)))</f>
        <v>2588234</v>
      </c>
      <c r="AE105" s="1458">
        <f t="array" ref="AE105">SUM(IF(BPrevACCT=T105,IF(BPREVPROD=S104,BPrev7)))</f>
        <v>2825321</v>
      </c>
      <c r="AF105" s="1458">
        <f t="array" ref="AF105">SUM(IF(BPrevACCT=T105,IF(BPREVPROD=S104,BPrev8)))</f>
        <v>3758779</v>
      </c>
      <c r="AG105" s="1458">
        <f t="array" ref="AG105">SUM(IF(BPrevACCT=T105,IF(BPREVPROD=S104,BPrev9)))</f>
        <v>3871602</v>
      </c>
      <c r="AH105" s="1458">
        <f t="array" ref="AH105">SUM(IF(BPrevACCT=T105,IF(BPREVPROD=S104,BPrev10)))</f>
        <v>3451334</v>
      </c>
      <c r="AI105" s="1458">
        <f t="array" ref="AI105">SUM(IF(BPrevACCT=T105,IF(BPREVPROD=S104,BPrev11)))</f>
        <v>2353199</v>
      </c>
      <c r="AJ105" s="1458">
        <f t="array" ref="AJ105">SUM(IF(BPrevACCT=T105,IF(BPREVPROD=S104,BPrev12)))</f>
        <v>2411155</v>
      </c>
      <c r="AK105" s="306">
        <f t="shared" ref="AK105:AK110" si="3">SUM(Y105:AJ105)</f>
        <v>38529081</v>
      </c>
      <c r="AL105" s="1571"/>
      <c r="AM105" s="1571"/>
      <c r="AN105" s="1571"/>
      <c r="AO105" s="1571"/>
      <c r="AP105" s="1571"/>
      <c r="AQ105" s="1571"/>
      <c r="AR105" s="1571"/>
      <c r="AS105" s="1571"/>
      <c r="AT105" s="1571"/>
      <c r="AU105" s="1571"/>
      <c r="AV105" s="1571"/>
      <c r="AW105" s="1571"/>
      <c r="AX105" s="1571"/>
      <c r="AY105" s="1571"/>
      <c r="AZ105" s="1571"/>
      <c r="BA105" s="1571"/>
      <c r="BB105" s="1571"/>
      <c r="BC105" s="1571"/>
    </row>
    <row r="106" spans="1:55">
      <c r="A106" s="1571"/>
      <c r="B106" s="1571"/>
      <c r="C106" s="1571"/>
      <c r="D106" s="1571"/>
      <c r="E106" s="1571"/>
      <c r="F106" s="1571"/>
      <c r="G106" s="1571"/>
      <c r="H106" s="1571"/>
      <c r="I106" s="1571"/>
      <c r="J106" s="1571"/>
      <c r="K106" s="1571"/>
      <c r="L106" s="1571"/>
      <c r="M106" s="1571"/>
      <c r="N106" s="1571"/>
      <c r="O106" s="1571"/>
      <c r="P106" s="1571"/>
      <c r="Q106" s="1571"/>
      <c r="R106" s="1571"/>
      <c r="S106" s="412"/>
      <c r="T106" s="412">
        <v>442100</v>
      </c>
      <c r="U106" s="2741">
        <v>18</v>
      </c>
      <c r="V106" s="1571"/>
      <c r="W106" s="413" t="s">
        <v>948</v>
      </c>
      <c r="X106" s="1571"/>
      <c r="Y106" s="1458">
        <f t="array" ref="Y106">SUM(IF(BPrevACCT=T106,IF(BPREVPROD=S104,BPrev1)))</f>
        <v>3604659</v>
      </c>
      <c r="Z106" s="1458">
        <f t="array" ref="Z106">SUM(IF(BPrevACCT=T106,IF(BPREVPROD=S104,BPrev2)))</f>
        <v>3662188</v>
      </c>
      <c r="AA106" s="1458">
        <f t="array" ref="AA106">SUM(IF(BPrevACCT=T106,IF(BPREVPROD=S104,BPrev3)))</f>
        <v>3305795</v>
      </c>
      <c r="AB106" s="1458">
        <f t="array" ref="AB106">SUM(IF(BPrevACCT=T106,IF(BPREVPROD=S104,BPrev4)))</f>
        <v>3246319</v>
      </c>
      <c r="AC106" s="1458">
        <f t="array" ref="AC106">SUM(IF(BPrevACCT=T106,IF(BPREVPROD=S104,BPrev5)))</f>
        <v>3273734</v>
      </c>
      <c r="AD106" s="1458">
        <f t="array" ref="AD106">SUM(IF(BPrevACCT=T106,IF(BPREVPROD=S104,BPrev6)))</f>
        <v>3344724</v>
      </c>
      <c r="AE106" s="1458">
        <f t="array" ref="AE106">SUM(IF(BPrevACCT=T106,IF(BPREVPROD=S104,BPrev7)))</f>
        <v>3264205</v>
      </c>
      <c r="AF106" s="1458">
        <f t="array" ref="AF106">SUM(IF(BPrevACCT=T106,IF(BPREVPROD=S104,BPrev8)))</f>
        <v>3559523</v>
      </c>
      <c r="AG106" s="1458">
        <f t="array" ref="AG106">SUM(IF(BPrevACCT=T106,IF(BPREVPROD=S104,BPrev9)))</f>
        <v>3522576</v>
      </c>
      <c r="AH106" s="1458">
        <f t="array" ref="AH106">SUM(IF(BPrevACCT=T106,IF(BPREVPROD=S104,BPrev10)))</f>
        <v>3436864</v>
      </c>
      <c r="AI106" s="1458">
        <f t="array" ref="AI106">SUM(IF(BPrevACCT=T106,IF(BPREVPROD=S104,BPrev11)))</f>
        <v>3005937</v>
      </c>
      <c r="AJ106" s="1458">
        <f t="array" ref="AJ106">SUM(IF(BPrevACCT=T106,IF(BPREVPROD=S104,BPrev12)))</f>
        <v>2930961</v>
      </c>
      <c r="AK106" s="306">
        <f t="shared" si="3"/>
        <v>40157485</v>
      </c>
      <c r="AL106" s="1571"/>
      <c r="AM106" s="1571"/>
      <c r="AN106" s="1571"/>
      <c r="AO106" s="1571"/>
      <c r="AP106" s="1571"/>
      <c r="AQ106" s="1571"/>
      <c r="AR106" s="1571"/>
      <c r="AS106" s="1571"/>
      <c r="AT106" s="1571"/>
      <c r="AU106" s="1571"/>
      <c r="AV106" s="1571"/>
      <c r="AW106" s="1571"/>
      <c r="AX106" s="1571"/>
      <c r="AY106" s="1571"/>
      <c r="AZ106" s="1571"/>
      <c r="BA106" s="1571"/>
      <c r="BB106" s="1571"/>
      <c r="BC106" s="1571"/>
    </row>
    <row r="107" spans="1:55">
      <c r="A107" s="1571"/>
      <c r="B107" s="1571"/>
      <c r="C107" s="1571"/>
      <c r="D107" s="1571"/>
      <c r="E107" s="1571"/>
      <c r="F107" s="1571"/>
      <c r="G107" s="1571"/>
      <c r="H107" s="1571"/>
      <c r="I107" s="1571"/>
      <c r="J107" s="1571"/>
      <c r="K107" s="1571"/>
      <c r="L107" s="1571"/>
      <c r="M107" s="1571"/>
      <c r="N107" s="1571"/>
      <c r="O107" s="1571"/>
      <c r="P107" s="1571"/>
      <c r="Q107" s="1571"/>
      <c r="R107" s="1571"/>
      <c r="S107" s="412"/>
      <c r="T107" s="412">
        <v>442200</v>
      </c>
      <c r="U107" s="2741">
        <v>19</v>
      </c>
      <c r="V107" s="1571"/>
      <c r="W107" s="413" t="s">
        <v>949</v>
      </c>
      <c r="X107" s="1571"/>
      <c r="Y107" s="1458">
        <f t="array" ref="Y107">SUM(IF(BPrevACCT=T107,IF(BPREVPROD=S104,BPrev1)))</f>
        <v>1996008</v>
      </c>
      <c r="Z107" s="1458">
        <f t="array" ref="Z107">SUM(IF(BPrevACCT=T107,IF(BPREVPROD=S104,BPrev2)))</f>
        <v>1844696</v>
      </c>
      <c r="AA107" s="1458">
        <f t="array" ref="AA107">SUM(IF(BPrevACCT=T107,IF(BPREVPROD=S104,BPrev3)))</f>
        <v>1844642</v>
      </c>
      <c r="AB107" s="1458">
        <f t="array" ref="AB107">SUM(IF(BPrevACCT=T107,IF(BPREVPROD=S104,BPrev4)))</f>
        <v>1801964</v>
      </c>
      <c r="AC107" s="1458">
        <f t="array" ref="AC107">SUM(IF(BPrevACCT=T107,IF(BPREVPROD=S104,BPrev5)))</f>
        <v>1856644</v>
      </c>
      <c r="AD107" s="1458">
        <f t="array" ref="AD107">SUM(IF(BPrevACCT=T107,IF(BPREVPROD=S104,BPrev6)))</f>
        <v>1932761</v>
      </c>
      <c r="AE107" s="1458">
        <f t="array" ref="AE107">SUM(IF(BPrevACCT=T107,IF(BPREVPROD=S104,BPrev7)))</f>
        <v>1759936</v>
      </c>
      <c r="AF107" s="1458">
        <f t="array" ref="AF107">SUM(IF(BPrevACCT=T107,IF(BPREVPROD=S104,BPrev8)))</f>
        <v>1777933</v>
      </c>
      <c r="AG107" s="1458">
        <f t="array" ref="AG107">SUM(IF(BPrevACCT=T107,IF(BPREVPROD=S104,BPrev9)))</f>
        <v>1769849</v>
      </c>
      <c r="AH107" s="1458">
        <f t="array" ref="AH107">SUM(IF(BPrevACCT=T107,IF(BPREVPROD=S104,BPrev10)))</f>
        <v>1748376</v>
      </c>
      <c r="AI107" s="1458">
        <f t="array" ref="AI107">SUM(IF(BPrevACCT=T107,IF(BPREVPROD=S104,BPrev11)))</f>
        <v>1765498</v>
      </c>
      <c r="AJ107" s="1458">
        <f t="array" ref="AJ107">SUM(IF(BPrevACCT=T107,IF(BPREVPROD=S104,BPrev12)))</f>
        <v>1755765</v>
      </c>
      <c r="AK107" s="306">
        <f t="shared" si="3"/>
        <v>21854072</v>
      </c>
      <c r="AL107" s="1571"/>
      <c r="AM107" s="1571"/>
      <c r="AN107" s="1571"/>
      <c r="AO107" s="1571"/>
      <c r="AP107" s="1571"/>
      <c r="AQ107" s="1571"/>
      <c r="AR107" s="1571"/>
      <c r="AS107" s="1571"/>
      <c r="AT107" s="1571"/>
      <c r="AU107" s="1571"/>
      <c r="AV107" s="1571"/>
      <c r="AW107" s="1571"/>
      <c r="AX107" s="1571"/>
      <c r="AY107" s="1571"/>
      <c r="AZ107" s="1571"/>
      <c r="BA107" s="1571"/>
      <c r="BB107" s="1571"/>
      <c r="BC107" s="1571"/>
    </row>
    <row r="108" spans="1:55">
      <c r="A108" s="1571"/>
      <c r="B108" s="1571"/>
      <c r="C108" s="1571"/>
      <c r="D108" s="1571"/>
      <c r="E108" s="1571"/>
      <c r="F108" s="1571"/>
      <c r="G108" s="1571"/>
      <c r="H108" s="1571"/>
      <c r="I108" s="1571"/>
      <c r="J108" s="1571"/>
      <c r="K108" s="1571"/>
      <c r="L108" s="1571"/>
      <c r="M108" s="1571"/>
      <c r="N108" s="1571"/>
      <c r="O108" s="1571"/>
      <c r="P108" s="1571"/>
      <c r="Q108" s="1571"/>
      <c r="R108" s="1571"/>
      <c r="S108" s="412"/>
      <c r="T108" s="412">
        <v>444000</v>
      </c>
      <c r="U108" s="2741">
        <v>20</v>
      </c>
      <c r="V108" s="1571"/>
      <c r="W108" s="413" t="s">
        <v>718</v>
      </c>
      <c r="X108" s="1571"/>
      <c r="Y108" s="1458">
        <f t="array" ref="Y108">SUM(IF(BPrevACCT=T108,IF(BPREVPROD=S104,BPrev1)))</f>
        <v>38253</v>
      </c>
      <c r="Z108" s="1458">
        <f t="array" ref="Z108">SUM(IF(BPrevACCT=T108,IF(BPREVPROD=S104,BPrev2)))</f>
        <v>37418</v>
      </c>
      <c r="AA108" s="1458">
        <f t="array" ref="AA108">SUM(IF(BPrevACCT=T108,IF(BPREVPROD=S104,BPrev3)))</f>
        <v>37369</v>
      </c>
      <c r="AB108" s="1458">
        <f t="array" ref="AB108">SUM(IF(BPrevACCT=T108,IF(BPREVPROD=S104,BPrev4)))</f>
        <v>36007</v>
      </c>
      <c r="AC108" s="1458">
        <f t="array" ref="AC108">SUM(IF(BPrevACCT=T108,IF(BPREVPROD=S104,BPrev5)))</f>
        <v>36699</v>
      </c>
      <c r="AD108" s="1458">
        <f t="array" ref="AD108">SUM(IF(BPrevACCT=T108,IF(BPREVPROD=S104,BPrev6)))</f>
        <v>36136</v>
      </c>
      <c r="AE108" s="1458">
        <f t="array" ref="AE108">SUM(IF(BPrevACCT=T108,IF(BPREVPROD=S104,BPrev7)))</f>
        <v>32518</v>
      </c>
      <c r="AF108" s="1458">
        <f t="array" ref="AF108">SUM(IF(BPrevACCT=T108,IF(BPREVPROD=S104,BPrev8)))</f>
        <v>32621</v>
      </c>
      <c r="AG108" s="1458">
        <f t="array" ref="AG108">SUM(IF(BPrevACCT=T108,IF(BPREVPROD=S104,BPrev9)))</f>
        <v>32544</v>
      </c>
      <c r="AH108" s="1458">
        <f t="array" ref="AH108">SUM(IF(BPrevACCT=T108,IF(BPREVPROD=S104,BPrev10)))</f>
        <v>32621</v>
      </c>
      <c r="AI108" s="1458">
        <f t="array" ref="AI108">SUM(IF(BPrevACCT=T108,IF(BPREVPROD=S104,BPrev11)))</f>
        <v>32621</v>
      </c>
      <c r="AJ108" s="1458">
        <f t="array" ref="AJ108">SUM(IF(BPrevACCT=T108,IF(BPREVPROD=S104,BPrev12)))</f>
        <v>33677</v>
      </c>
      <c r="AK108" s="306">
        <f t="shared" si="3"/>
        <v>418484</v>
      </c>
      <c r="AL108" s="1571"/>
      <c r="AM108" s="1571"/>
      <c r="AN108" s="1571"/>
      <c r="AO108" s="1571"/>
      <c r="AP108" s="1571"/>
      <c r="AQ108" s="1571"/>
      <c r="AR108" s="1571"/>
      <c r="AS108" s="1571"/>
      <c r="AT108" s="1571"/>
      <c r="AU108" s="1571"/>
      <c r="AV108" s="1571"/>
      <c r="AW108" s="1571"/>
      <c r="AX108" s="1571"/>
      <c r="AY108" s="1571"/>
      <c r="AZ108" s="1571"/>
      <c r="BA108" s="1571"/>
      <c r="BB108" s="1571"/>
      <c r="BC108" s="1571"/>
    </row>
    <row r="109" spans="1:55">
      <c r="A109" s="1571"/>
      <c r="B109" s="1571"/>
      <c r="C109" s="1571"/>
      <c r="D109" s="1571"/>
      <c r="E109" s="1571"/>
      <c r="F109" s="1571"/>
      <c r="G109" s="1571"/>
      <c r="H109" s="1571"/>
      <c r="I109" s="1571"/>
      <c r="J109" s="1571"/>
      <c r="K109" s="1571"/>
      <c r="L109" s="1571"/>
      <c r="M109" s="1571"/>
      <c r="N109" s="1571"/>
      <c r="O109" s="1571"/>
      <c r="P109" s="1571"/>
      <c r="Q109" s="1571"/>
      <c r="R109" s="1571"/>
      <c r="S109" s="412"/>
      <c r="T109" s="412">
        <v>445000</v>
      </c>
      <c r="U109" s="2741">
        <v>21</v>
      </c>
      <c r="V109" s="1571"/>
      <c r="W109" s="413" t="s">
        <v>950</v>
      </c>
      <c r="X109" s="1571"/>
      <c r="Y109" s="1458">
        <f t="array" ref="Y109">SUM(IF(BPrevACCT=T109,IF(BPREVPROD=S104,BPrev1)))</f>
        <v>707669</v>
      </c>
      <c r="Z109" s="1458">
        <f t="array" ref="Z109">SUM(IF(BPrevACCT=T109,IF(BPREVPROD=S104,BPrev2)))</f>
        <v>716058</v>
      </c>
      <c r="AA109" s="1458">
        <f t="array" ref="AA109">SUM(IF(BPrevACCT=T109,IF(BPREVPROD=S104,BPrev3)))</f>
        <v>622983</v>
      </c>
      <c r="AB109" s="1458">
        <f t="array" ref="AB109">SUM(IF(BPrevACCT=T109,IF(BPREVPROD=S104,BPrev4)))</f>
        <v>646954</v>
      </c>
      <c r="AC109" s="1458">
        <f t="array" ref="AC109">SUM(IF(BPrevACCT=T109,IF(BPREVPROD=S104,BPrev5)))</f>
        <v>622060</v>
      </c>
      <c r="AD109" s="1458">
        <f t="array" ref="AD109">SUM(IF(BPrevACCT=T109,IF(BPREVPROD=S104,BPrev6)))</f>
        <v>665147</v>
      </c>
      <c r="AE109" s="1458">
        <f t="array" ref="AE109">SUM(IF(BPrevACCT=T109,IF(BPREVPROD=S104,BPrev7)))</f>
        <v>618211</v>
      </c>
      <c r="AF109" s="1458">
        <f t="array" ref="AF109">SUM(IF(BPrevACCT=T109,IF(BPREVPROD=S104,BPrev8)))</f>
        <v>638835</v>
      </c>
      <c r="AG109" s="1458">
        <f t="array" ref="AG109">SUM(IF(BPrevACCT=T109,IF(BPREVPROD=S104,BPrev9)))</f>
        <v>663320</v>
      </c>
      <c r="AH109" s="1458">
        <f t="array" ref="AH109">SUM(IF(BPrevACCT=T109,IF(BPREVPROD=S104,BPrev10)))</f>
        <v>702739</v>
      </c>
      <c r="AI109" s="1458">
        <f t="array" ref="AI109">SUM(IF(BPrevACCT=T109,IF(BPREVPROD=S104,BPrev11)))</f>
        <v>627738</v>
      </c>
      <c r="AJ109" s="1458">
        <f t="array" ref="AJ109">SUM(IF(BPrevACCT=T109,IF(BPREVPROD=S104,BPrev12)))</f>
        <v>588010</v>
      </c>
      <c r="AK109" s="306">
        <f t="shared" si="3"/>
        <v>7819724</v>
      </c>
      <c r="AL109" s="1571"/>
      <c r="AM109" s="1571"/>
      <c r="AN109" s="1571"/>
      <c r="AO109" s="1571"/>
      <c r="AP109" s="1571"/>
      <c r="AQ109" s="1571"/>
      <c r="AR109" s="1571"/>
      <c r="AS109" s="1571"/>
      <c r="AT109" s="1571"/>
      <c r="AU109" s="1571"/>
      <c r="AV109" s="1571"/>
      <c r="AW109" s="1571"/>
      <c r="AX109" s="1571"/>
      <c r="AY109" s="1571"/>
      <c r="AZ109" s="1571"/>
      <c r="BA109" s="1571"/>
      <c r="BB109" s="1571"/>
      <c r="BC109" s="1571"/>
    </row>
    <row r="110" spans="1:55">
      <c r="A110" s="1571"/>
      <c r="B110" s="1571"/>
      <c r="C110" s="1571"/>
      <c r="D110" s="1571"/>
      <c r="E110" s="1571"/>
      <c r="F110" s="1571"/>
      <c r="G110" s="1571"/>
      <c r="H110" s="1571"/>
      <c r="I110" s="1571"/>
      <c r="J110" s="1571"/>
      <c r="K110" s="1571"/>
      <c r="L110" s="1571"/>
      <c r="M110" s="1571"/>
      <c r="N110" s="1571"/>
      <c r="O110" s="1571"/>
      <c r="P110" s="1571"/>
      <c r="Q110" s="1571"/>
      <c r="R110" s="1571"/>
      <c r="S110" s="412"/>
      <c r="T110" s="412"/>
      <c r="U110" s="2741">
        <v>22</v>
      </c>
      <c r="V110" s="1571"/>
      <c r="W110" s="413" t="s">
        <v>938</v>
      </c>
      <c r="X110" s="1571"/>
      <c r="Y110" s="65">
        <v>0</v>
      </c>
      <c r="Z110" s="65">
        <v>0</v>
      </c>
      <c r="AA110" s="65">
        <v>0</v>
      </c>
      <c r="AB110" s="65">
        <v>0</v>
      </c>
      <c r="AC110" s="65">
        <v>0</v>
      </c>
      <c r="AD110" s="65">
        <v>0</v>
      </c>
      <c r="AE110" s="65">
        <v>1056</v>
      </c>
      <c r="AF110" s="65">
        <v>1519</v>
      </c>
      <c r="AG110" s="65">
        <v>1365</v>
      </c>
      <c r="AH110" s="65">
        <v>618</v>
      </c>
      <c r="AI110" s="65">
        <v>669</v>
      </c>
      <c r="AJ110" s="65">
        <v>1468</v>
      </c>
      <c r="AK110" s="306">
        <f t="shared" si="3"/>
        <v>6695</v>
      </c>
      <c r="AL110" s="1571"/>
      <c r="AM110" s="1571"/>
      <c r="AN110" s="1571"/>
      <c r="AO110" s="1571"/>
      <c r="AP110" s="1571"/>
      <c r="AQ110" s="1571"/>
      <c r="AR110" s="1571"/>
      <c r="AS110" s="1571"/>
      <c r="AT110" s="1571"/>
      <c r="AU110" s="1571"/>
      <c r="AV110" s="1571"/>
      <c r="AW110" s="1571"/>
      <c r="AX110" s="1571"/>
      <c r="AY110" s="1571"/>
      <c r="AZ110" s="1571"/>
      <c r="BA110" s="1571"/>
      <c r="BB110" s="1571"/>
      <c r="BC110" s="1571"/>
    </row>
    <row r="111" spans="1:55">
      <c r="A111" s="1571"/>
      <c r="B111" s="1571"/>
      <c r="C111" s="1571"/>
      <c r="D111" s="1571"/>
      <c r="E111" s="1571"/>
      <c r="F111" s="1571"/>
      <c r="G111" s="1571"/>
      <c r="H111" s="1571"/>
      <c r="I111" s="1571"/>
      <c r="J111" s="1571"/>
      <c r="K111" s="1571"/>
      <c r="L111" s="1571"/>
      <c r="M111" s="1571"/>
      <c r="N111" s="1571"/>
      <c r="O111" s="1571"/>
      <c r="P111" s="1571"/>
      <c r="Q111" s="1571"/>
      <c r="R111" s="1571"/>
      <c r="S111" s="412"/>
      <c r="T111" s="412"/>
      <c r="U111" s="2741">
        <v>23</v>
      </c>
      <c r="V111" s="1571"/>
      <c r="W111" s="1571"/>
      <c r="X111" s="1571"/>
      <c r="Y111" s="1458"/>
      <c r="Z111" s="1458"/>
      <c r="AA111" s="1458"/>
      <c r="AB111" s="1458"/>
      <c r="AC111" s="1458"/>
      <c r="AD111" s="1458"/>
      <c r="AE111" s="1458"/>
      <c r="AF111" s="1458"/>
      <c r="AG111" s="1458"/>
      <c r="AH111" s="1458"/>
      <c r="AI111" s="1458"/>
      <c r="AJ111" s="1458"/>
      <c r="AK111" s="306"/>
      <c r="AL111" s="1571"/>
      <c r="AM111" s="1571"/>
      <c r="AN111" s="1571"/>
      <c r="AO111" s="1571"/>
      <c r="AP111" s="1571"/>
      <c r="AQ111" s="1571"/>
      <c r="AR111" s="1571"/>
      <c r="AS111" s="1571"/>
      <c r="AT111" s="1571"/>
      <c r="AU111" s="1571"/>
      <c r="AV111" s="1571"/>
      <c r="AW111" s="1571"/>
      <c r="AX111" s="1571"/>
      <c r="AY111" s="1571"/>
      <c r="AZ111" s="1571"/>
      <c r="BA111" s="1571"/>
      <c r="BB111" s="1571"/>
      <c r="BC111" s="1571"/>
    </row>
    <row r="112" spans="1:55">
      <c r="A112" s="1571"/>
      <c r="B112" s="1571"/>
      <c r="C112" s="1571"/>
      <c r="D112" s="1571"/>
      <c r="E112" s="1571"/>
      <c r="F112" s="1571"/>
      <c r="G112" s="1571"/>
      <c r="H112" s="1571"/>
      <c r="I112" s="1571"/>
      <c r="J112" s="1571"/>
      <c r="K112" s="1571"/>
      <c r="L112" s="1571"/>
      <c r="M112" s="1571"/>
      <c r="N112" s="1571"/>
      <c r="O112" s="1571"/>
      <c r="P112" s="1571"/>
      <c r="Q112" s="1571"/>
      <c r="R112" s="1571"/>
      <c r="S112" s="412" t="s">
        <v>2217</v>
      </c>
      <c r="T112" s="412"/>
      <c r="U112" s="2741">
        <v>24</v>
      </c>
      <c r="V112" s="1571"/>
      <c r="W112" s="233" t="s">
        <v>717</v>
      </c>
      <c r="X112" s="1571"/>
      <c r="Y112" s="1458"/>
      <c r="Z112" s="1458"/>
      <c r="AA112" s="1458"/>
      <c r="AB112" s="1458"/>
      <c r="AC112" s="1458"/>
      <c r="AD112" s="1458"/>
      <c r="AE112" s="1458"/>
      <c r="AF112" s="1458"/>
      <c r="AG112" s="1458"/>
      <c r="AH112" s="1458"/>
      <c r="AI112" s="1458"/>
      <c r="AJ112" s="1458"/>
      <c r="AK112" s="306"/>
      <c r="AL112" s="1571"/>
      <c r="AM112" s="1571"/>
      <c r="AN112" s="1571"/>
      <c r="AO112" s="1571"/>
      <c r="AP112" s="1571"/>
      <c r="AQ112" s="1571"/>
      <c r="AR112" s="1571"/>
      <c r="AS112" s="1571"/>
      <c r="AT112" s="1571"/>
      <c r="AU112" s="1571"/>
      <c r="AV112" s="1571"/>
      <c r="AW112" s="1571"/>
      <c r="AX112" s="1571"/>
      <c r="AY112" s="1571"/>
      <c r="AZ112" s="1571"/>
      <c r="BA112" s="1571"/>
      <c r="BB112" s="1571"/>
      <c r="BC112" s="1571"/>
    </row>
    <row r="113" spans="1:55">
      <c r="A113" s="1571"/>
      <c r="B113" s="1571"/>
      <c r="C113" s="1571"/>
      <c r="D113" s="1571"/>
      <c r="E113" s="1571"/>
      <c r="F113" s="1571"/>
      <c r="G113" s="1571"/>
      <c r="H113" s="1571"/>
      <c r="I113" s="1571"/>
      <c r="J113" s="1571"/>
      <c r="K113" s="1571"/>
      <c r="L113" s="1571"/>
      <c r="M113" s="1571"/>
      <c r="N113" s="1571"/>
      <c r="O113" s="1571"/>
      <c r="P113" s="1571"/>
      <c r="Q113" s="1571"/>
      <c r="R113" s="1571"/>
      <c r="S113" s="412"/>
      <c r="T113" s="412">
        <v>440000</v>
      </c>
      <c r="U113" s="2741">
        <v>25</v>
      </c>
      <c r="V113" s="1571"/>
      <c r="W113" s="413" t="s">
        <v>947</v>
      </c>
      <c r="X113" s="1571"/>
      <c r="Y113" s="1458">
        <f t="array" ref="Y113">SUM(IF(BPrevACCT=T113,IF(BPREVPROD=S112,BPrev1)))</f>
        <v>-750364</v>
      </c>
      <c r="Z113" s="1458">
        <f t="array" ref="Z113">SUM(IF(BPrevACCT=T113,IF(BPREVPROD=S112,BPrev2)))</f>
        <v>-884134</v>
      </c>
      <c r="AA113" s="1458">
        <f t="array" ref="AA113">SUM(IF(BPrevACCT=T113,IF(BPREVPROD=S112,BPrev3)))</f>
        <v>-586923</v>
      </c>
      <c r="AB113" s="1458">
        <f t="array" ref="AB113">SUM(IF(BPrevACCT=T113,IF(BPREVPROD=S112,BPrev4)))</f>
        <v>-609415</v>
      </c>
      <c r="AC113" s="1458">
        <f t="array" ref="AC113">SUM(IF(BPrevACCT=T113,IF(BPREVPROD=S112,BPrev5)))</f>
        <v>-696576</v>
      </c>
      <c r="AD113" s="1458">
        <f t="array" ref="AD113">SUM(IF(BPrevACCT=T113,IF(BPREVPROD=S112,BPrev6)))</f>
        <v>-801494</v>
      </c>
      <c r="AE113" s="1458">
        <f t="array" ref="AE113">SUM(IF(BPrevACCT=T113,IF(BPREVPROD=S112,BPrev7)))</f>
        <v>-225036</v>
      </c>
      <c r="AF113" s="1458">
        <f t="array" ref="AF113">SUM(IF(BPrevACCT=T113,IF(BPREVPROD=S112,BPrev8)))</f>
        <v>-164761</v>
      </c>
      <c r="AG113" s="1458">
        <f t="array" ref="AG113">SUM(IF(BPrevACCT=T113,IF(BPREVPROD=S112,BPrev9)))</f>
        <v>-188004</v>
      </c>
      <c r="AH113" s="1458">
        <f t="array" ref="AH113">SUM(IF(BPrevACCT=T113,IF(BPREVPROD=S112,BPrev10)))</f>
        <v>-12536</v>
      </c>
      <c r="AI113" s="1458">
        <f t="array" ref="AI113">SUM(IF(BPrevACCT=T113,IF(BPREVPROD=S112,BPrev11)))</f>
        <v>-135122</v>
      </c>
      <c r="AJ113" s="1458">
        <f t="array" ref="AJ113">SUM(IF(BPrevACCT=T113,IF(BPREVPROD=S112,BPrev12)))</f>
        <v>-197678</v>
      </c>
      <c r="AK113" s="306">
        <f t="shared" ref="AK113:AK120" si="4">SUM(Y113:AJ113)</f>
        <v>-5252043</v>
      </c>
      <c r="AL113" s="1571"/>
      <c r="AM113" s="1571"/>
      <c r="AN113" s="1571"/>
      <c r="AO113" s="1571"/>
      <c r="AP113" s="1571"/>
      <c r="AQ113" s="1571"/>
      <c r="AR113" s="1571"/>
      <c r="AS113" s="1571"/>
      <c r="AT113" s="1571"/>
      <c r="AU113" s="1571"/>
      <c r="AV113" s="1571"/>
      <c r="AW113" s="1571"/>
      <c r="AX113" s="1571"/>
      <c r="AY113" s="1571"/>
      <c r="AZ113" s="1571"/>
      <c r="BA113" s="1571"/>
      <c r="BB113" s="1571"/>
      <c r="BC113" s="1571"/>
    </row>
    <row r="114" spans="1:55">
      <c r="A114" s="1571"/>
      <c r="B114" s="1571"/>
      <c r="C114" s="1571"/>
      <c r="D114" s="1571"/>
      <c r="E114" s="1571"/>
      <c r="F114" s="1571"/>
      <c r="G114" s="1571"/>
      <c r="H114" s="1571"/>
      <c r="I114" s="1571"/>
      <c r="J114" s="1571"/>
      <c r="K114" s="1571"/>
      <c r="L114" s="1571"/>
      <c r="M114" s="1571"/>
      <c r="N114" s="1571"/>
      <c r="O114" s="1571"/>
      <c r="P114" s="1571"/>
      <c r="Q114" s="1571"/>
      <c r="R114" s="1571"/>
      <c r="S114" s="412"/>
      <c r="T114" s="412">
        <v>442100</v>
      </c>
      <c r="U114" s="2741">
        <v>26</v>
      </c>
      <c r="V114" s="1571"/>
      <c r="W114" s="413" t="s">
        <v>948</v>
      </c>
      <c r="X114" s="1571"/>
      <c r="Y114" s="1458">
        <f t="array" ref="Y114">SUM(IF(BPrevACCT=T114,IF(BPREVPROD=S112,BPrev1)))</f>
        <v>-734229</v>
      </c>
      <c r="Z114" s="1458">
        <f t="array" ref="Z114">SUM(IF(BPrevACCT=T114,IF(BPREVPROD=S112,BPrev2)))</f>
        <v>-729349</v>
      </c>
      <c r="AA114" s="1458">
        <f t="array" ref="AA114">SUM(IF(BPrevACCT=T114,IF(BPREVPROD=S112,BPrev3)))</f>
        <v>-572122</v>
      </c>
      <c r="AB114" s="1458">
        <f t="array" ref="AB114">SUM(IF(BPrevACCT=T114,IF(BPREVPROD=S112,BPrev4)))</f>
        <v>-644370</v>
      </c>
      <c r="AC114" s="1458">
        <f t="array" ref="AC114">SUM(IF(BPrevACCT=T114,IF(BPREVPROD=S112,BPrev5)))</f>
        <v>-847186</v>
      </c>
      <c r="AD114" s="1458">
        <f t="array" ref="AD114">SUM(IF(BPrevACCT=T114,IF(BPREVPROD=S112,BPrev6)))</f>
        <v>-1037055</v>
      </c>
      <c r="AE114" s="1458">
        <f t="array" ref="AE114">SUM(IF(BPrevACCT=T114,IF(BPREVPROD=S112,BPrev7)))</f>
        <v>-259993</v>
      </c>
      <c r="AF114" s="1458">
        <f t="array" ref="AF114">SUM(IF(BPrevACCT=T114,IF(BPREVPROD=S112,BPrev8)))</f>
        <v>-156027</v>
      </c>
      <c r="AG114" s="1458">
        <f t="array" ref="AG114">SUM(IF(BPrevACCT=T114,IF(BPREVPROD=S112,BPrev9)))</f>
        <v>-171055</v>
      </c>
      <c r="AH114" s="1458">
        <f t="array" ref="AH114">SUM(IF(BPrevACCT=T114,IF(BPREVPROD=S112,BPrev10)))</f>
        <v>-12484</v>
      </c>
      <c r="AI114" s="1458">
        <f t="array" ref="AI114">SUM(IF(BPrevACCT=T114,IF(BPREVPROD=S112,BPrev11)))</f>
        <v>-172603</v>
      </c>
      <c r="AJ114" s="1458">
        <f t="array" ref="AJ114">SUM(IF(BPrevACCT=T114,IF(BPREVPROD=S112,BPrev12)))</f>
        <v>-240295</v>
      </c>
      <c r="AK114" s="306">
        <f t="shared" si="4"/>
        <v>-5576768</v>
      </c>
      <c r="AL114" s="1571"/>
      <c r="AM114" s="1571"/>
      <c r="AN114" s="1571"/>
      <c r="AO114" s="1571"/>
      <c r="AP114" s="1571"/>
      <c r="AQ114" s="1571"/>
      <c r="AR114" s="1571"/>
      <c r="AS114" s="1571"/>
      <c r="AT114" s="1571"/>
      <c r="AU114" s="1571"/>
      <c r="AV114" s="1571"/>
      <c r="AW114" s="1571"/>
      <c r="AX114" s="1571"/>
      <c r="AY114" s="1571"/>
      <c r="AZ114" s="1571"/>
      <c r="BA114" s="1571"/>
      <c r="BB114" s="1571"/>
      <c r="BC114" s="1571"/>
    </row>
    <row r="115" spans="1:55">
      <c r="A115" s="1571"/>
      <c r="B115" s="1571"/>
      <c r="C115" s="1571"/>
      <c r="D115" s="1571"/>
      <c r="E115" s="1571"/>
      <c r="F115" s="1571"/>
      <c r="G115" s="1571"/>
      <c r="H115" s="1571"/>
      <c r="I115" s="1571"/>
      <c r="J115" s="1571"/>
      <c r="K115" s="1571"/>
      <c r="L115" s="1571"/>
      <c r="M115" s="1571"/>
      <c r="N115" s="1571"/>
      <c r="O115" s="1571"/>
      <c r="P115" s="1571"/>
      <c r="Q115" s="1571"/>
      <c r="R115" s="1571"/>
      <c r="S115" s="412"/>
      <c r="T115" s="412">
        <v>442200</v>
      </c>
      <c r="U115" s="2741">
        <v>27</v>
      </c>
      <c r="V115" s="1571"/>
      <c r="W115" s="413" t="s">
        <v>949</v>
      </c>
      <c r="X115" s="1571"/>
      <c r="Y115" s="1458">
        <f t="array" ref="Y115">SUM(IF(BPrevACCT=T115,IF(BPREVPROD=S112,BPrev1)))</f>
        <v>-398464</v>
      </c>
      <c r="Z115" s="1458">
        <f t="array" ref="Z115">SUM(IF(BPrevACCT=T115,IF(BPREVPROD=S112,BPrev2)))</f>
        <v>-360517</v>
      </c>
      <c r="AA115" s="1458">
        <f t="array" ref="AA115">SUM(IF(BPrevACCT=T115,IF(BPREVPROD=S112,BPrev3)))</f>
        <v>-311505</v>
      </c>
      <c r="AB115" s="1458">
        <f t="array" ref="AB115">SUM(IF(BPrevACCT=T115,IF(BPREVPROD=S112,BPrev4)))</f>
        <v>-351977</v>
      </c>
      <c r="AC115" s="1458">
        <f t="array" ref="AC115">SUM(IF(BPrevACCT=T115,IF(BPREVPROD=S112,BPrev5)))</f>
        <v>-473997</v>
      </c>
      <c r="AD115" s="1458">
        <f t="array" ref="AD115">SUM(IF(BPrevACCT=T115,IF(BPREVPROD=S112,BPrev6)))</f>
        <v>-590393</v>
      </c>
      <c r="AE115" s="1458">
        <f t="array" ref="AE115">SUM(IF(BPrevACCT=T115,IF(BPREVPROD=S112,BPrev7)))</f>
        <v>-140179</v>
      </c>
      <c r="AF115" s="1458">
        <f t="array" ref="AF115">SUM(IF(BPrevACCT=T115,IF(BPREVPROD=S112,BPrev8)))</f>
        <v>-77933</v>
      </c>
      <c r="AG115" s="1458">
        <f t="array" ref="AG115">SUM(IF(BPrevACCT=T115,IF(BPREVPROD=S112,BPrev9)))</f>
        <v>-85943</v>
      </c>
      <c r="AH115" s="1458">
        <f t="array" ref="AH115">SUM(IF(BPrevACCT=T115,IF(BPREVPROD=S112,BPrev10)))</f>
        <v>-6351</v>
      </c>
      <c r="AI115" s="1458">
        <f t="array" ref="AI115">SUM(IF(BPrevACCT=T115,IF(BPREVPROD=S112,BPrev11)))</f>
        <v>-101376</v>
      </c>
      <c r="AJ115" s="1458">
        <f t="array" ref="AJ115">SUM(IF(BPrevACCT=T115,IF(BPREVPROD=S112,BPrev12)))</f>
        <v>-143946</v>
      </c>
      <c r="AK115" s="306">
        <f t="shared" si="4"/>
        <v>-3042581</v>
      </c>
      <c r="AL115" s="1571"/>
      <c r="AM115" s="1571"/>
      <c r="AN115" s="1571"/>
      <c r="AO115" s="1571"/>
      <c r="AP115" s="1571"/>
      <c r="AQ115" s="1571"/>
      <c r="AR115" s="1571"/>
      <c r="AS115" s="1571"/>
      <c r="AT115" s="1571"/>
      <c r="AU115" s="1571"/>
      <c r="AV115" s="1571"/>
      <c r="AW115" s="1571"/>
      <c r="AX115" s="1571"/>
      <c r="AY115" s="1571"/>
      <c r="AZ115" s="1571"/>
      <c r="BA115" s="1571"/>
      <c r="BB115" s="1571"/>
      <c r="BC115" s="1571"/>
    </row>
    <row r="116" spans="1:55">
      <c r="A116" s="1571"/>
      <c r="B116" s="1571"/>
      <c r="C116" s="1571"/>
      <c r="D116" s="1571"/>
      <c r="E116" s="1571"/>
      <c r="F116" s="1571"/>
      <c r="G116" s="1571"/>
      <c r="H116" s="1571"/>
      <c r="I116" s="1571"/>
      <c r="J116" s="1571"/>
      <c r="K116" s="1571"/>
      <c r="L116" s="1571"/>
      <c r="M116" s="1571"/>
      <c r="N116" s="1571"/>
      <c r="O116" s="1571"/>
      <c r="P116" s="1571"/>
      <c r="Q116" s="1571"/>
      <c r="R116" s="1571"/>
      <c r="S116" s="412"/>
      <c r="T116" s="412">
        <v>444000</v>
      </c>
      <c r="U116" s="2741">
        <v>28</v>
      </c>
      <c r="V116" s="1571"/>
      <c r="W116" s="413" t="s">
        <v>718</v>
      </c>
      <c r="X116" s="1571"/>
      <c r="Y116" s="1458">
        <f t="array" ref="Y116">SUM(IF(BPrevACCT=T116,IF(BPREVPROD=S112,BPrev1)))</f>
        <v>-7787</v>
      </c>
      <c r="Z116" s="1458">
        <f t="array" ref="Z116">SUM(IF(BPrevACCT=T116,IF(BPREVPROD=S112,BPrev2)))</f>
        <v>-7442</v>
      </c>
      <c r="AA116" s="1458">
        <f t="array" ref="AA116">SUM(IF(BPrevACCT=T116,IF(BPREVPROD=S112,BPrev3)))</f>
        <v>-6481</v>
      </c>
      <c r="AB116" s="1458">
        <f t="array" ref="AB116">SUM(IF(BPrevACCT=T116,IF(BPREVPROD=S112,BPrev4)))</f>
        <v>-7143</v>
      </c>
      <c r="AC116" s="1458">
        <f t="array" ref="AC116">SUM(IF(BPrevACCT=T116,IF(BPREVPROD=S112,BPrev5)))</f>
        <v>-9506</v>
      </c>
      <c r="AD116" s="1458">
        <f t="array" ref="AD116">SUM(IF(BPrevACCT=T116,IF(BPREVPROD=S112,BPrev6)))</f>
        <v>-11195</v>
      </c>
      <c r="AE116" s="1458">
        <f t="array" ref="AE116">SUM(IF(BPrevACCT=T116,IF(BPREVPROD=S112,BPrev7)))</f>
        <v>-2590</v>
      </c>
      <c r="AF116" s="1458">
        <f t="array" ref="AF116">SUM(IF(BPrevACCT=T116,IF(BPREVPROD=S112,BPrev8)))</f>
        <v>-1430</v>
      </c>
      <c r="AG116" s="1458">
        <f t="array" ref="AG116">SUM(IF(BPrevACCT=T116,IF(BPREVPROD=S112,BPrev9)))</f>
        <v>-1580</v>
      </c>
      <c r="AH116" s="1458">
        <f t="array" ref="AH116">SUM(IF(BPrevACCT=T116,IF(BPREVPROD=S112,BPrev10)))</f>
        <v>-118</v>
      </c>
      <c r="AI116" s="1458">
        <f t="array" ref="AI116">SUM(IF(BPrevACCT=T116,IF(BPREVPROD=S112,BPrev11)))</f>
        <v>-1873</v>
      </c>
      <c r="AJ116" s="1458">
        <f t="array" ref="AJ116">SUM(IF(BPrevACCT=T116,IF(BPREVPROD=S112,BPrev12)))</f>
        <v>-2761</v>
      </c>
      <c r="AK116" s="306">
        <f t="shared" si="4"/>
        <v>-59906</v>
      </c>
      <c r="AL116" s="1571"/>
      <c r="AM116" s="1571"/>
      <c r="AN116" s="1571"/>
      <c r="AO116" s="1571"/>
      <c r="AP116" s="1571"/>
      <c r="AQ116" s="1571"/>
      <c r="AR116" s="1571"/>
      <c r="AS116" s="1571"/>
      <c r="AT116" s="1571"/>
      <c r="AU116" s="1571"/>
      <c r="AV116" s="1571"/>
      <c r="AW116" s="1571"/>
      <c r="AX116" s="1571"/>
      <c r="AY116" s="1571"/>
      <c r="AZ116" s="1571"/>
      <c r="BA116" s="1571"/>
      <c r="BB116" s="1571"/>
      <c r="BC116" s="1571"/>
    </row>
    <row r="117" spans="1:55">
      <c r="A117" s="1571"/>
      <c r="B117" s="1571"/>
      <c r="C117" s="1571"/>
      <c r="D117" s="1571"/>
      <c r="E117" s="1571"/>
      <c r="F117" s="1571"/>
      <c r="G117" s="1571"/>
      <c r="H117" s="1571"/>
      <c r="I117" s="1571"/>
      <c r="J117" s="1571"/>
      <c r="K117" s="1571"/>
      <c r="L117" s="1571"/>
      <c r="M117" s="1571"/>
      <c r="N117" s="1571"/>
      <c r="O117" s="1571"/>
      <c r="P117" s="1571"/>
      <c r="Q117" s="1571"/>
      <c r="R117" s="1571"/>
      <c r="S117" s="412"/>
      <c r="T117" s="412">
        <v>445000</v>
      </c>
      <c r="U117" s="2741">
        <v>29</v>
      </c>
      <c r="V117" s="1571"/>
      <c r="W117" s="413" t="s">
        <v>950</v>
      </c>
      <c r="X117" s="1571"/>
      <c r="Y117" s="1458">
        <f t="array" ref="Y117">SUM(IF(BPrevACCT=T117,IF(BPREVPROD=S112,BPrev1)))</f>
        <v>-143158</v>
      </c>
      <c r="Z117" s="1458">
        <f t="array" ref="Z117">SUM(IF(BPrevACCT=T117,IF(BPREVPROD=S112,BPrev2)))</f>
        <v>-141833</v>
      </c>
      <c r="AA117" s="1458">
        <f t="array" ref="AA117">SUM(IF(BPrevACCT=T117,IF(BPREVPROD=S112,BPrev3)))</f>
        <v>-107225</v>
      </c>
      <c r="AB117" s="1458">
        <f t="array" ref="AB117">SUM(IF(BPrevACCT=T117,IF(BPREVPROD=S112,BPrev4)))</f>
        <v>-127474</v>
      </c>
      <c r="AC117" s="1458">
        <f t="array" ref="AC117">SUM(IF(BPrevACCT=T117,IF(BPREVPROD=S112,BPrev5)))</f>
        <v>-160621</v>
      </c>
      <c r="AD117" s="1458">
        <f t="array" ref="AD117">SUM(IF(BPrevACCT=T117,IF(BPREVPROD=S112,BPrev6)))</f>
        <v>-205394</v>
      </c>
      <c r="AE117" s="1458">
        <f t="array" ref="AE117">SUM(IF(BPrevACCT=T117,IF(BPREVPROD=S112,BPrev7)))</f>
        <v>-49240</v>
      </c>
      <c r="AF117" s="1458">
        <f t="array" ref="AF117">SUM(IF(BPrevACCT=T117,IF(BPREVPROD=S112,BPrev8)))</f>
        <v>-28002</v>
      </c>
      <c r="AG117" s="1458">
        <f t="array" ref="AG117">SUM(IF(BPrevACCT=T117,IF(BPREVPROD=S112,BPrev9)))</f>
        <v>-32211</v>
      </c>
      <c r="AH117" s="1458">
        <f t="array" ref="AH117">SUM(IF(BPrevACCT=T117,IF(BPREVPROD=S112,BPrev10)))</f>
        <v>-2553</v>
      </c>
      <c r="AI117" s="1458">
        <f t="array" ref="AI117">SUM(IF(BPrevACCT=T117,IF(BPREVPROD=S112,BPrev11)))</f>
        <v>-36045</v>
      </c>
      <c r="AJ117" s="1458">
        <f t="array" ref="AJ117">SUM(IF(BPrevACCT=T117,IF(BPREVPROD=S112,BPrev12)))</f>
        <v>-48208</v>
      </c>
      <c r="AK117" s="306">
        <f t="shared" si="4"/>
        <v>-1081964</v>
      </c>
      <c r="AL117" s="1571"/>
      <c r="AM117" s="1571"/>
      <c r="AN117" s="1571"/>
      <c r="AO117" s="1571"/>
      <c r="AP117" s="1571"/>
      <c r="AQ117" s="1571"/>
      <c r="AR117" s="1571"/>
      <c r="AS117" s="1571"/>
      <c r="AT117" s="1571"/>
      <c r="AU117" s="1571"/>
      <c r="AV117" s="1571"/>
      <c r="AW117" s="1571"/>
      <c r="AX117" s="1571"/>
      <c r="AY117" s="1571"/>
      <c r="AZ117" s="1571"/>
      <c r="BA117" s="1571"/>
      <c r="BB117" s="1571"/>
      <c r="BC117" s="1571"/>
    </row>
    <row r="118" spans="1:55">
      <c r="A118" s="1571"/>
      <c r="B118" s="1571"/>
      <c r="C118" s="1571"/>
      <c r="D118" s="1571"/>
      <c r="E118" s="1571"/>
      <c r="F118" s="1571"/>
      <c r="G118" s="1571"/>
      <c r="H118" s="1571"/>
      <c r="I118" s="1571"/>
      <c r="J118" s="1571"/>
      <c r="K118" s="1571"/>
      <c r="L118" s="1571"/>
      <c r="M118" s="1571"/>
      <c r="N118" s="1571"/>
      <c r="O118" s="1571"/>
      <c r="P118" s="1571"/>
      <c r="Q118" s="1571"/>
      <c r="R118" s="1571"/>
      <c r="S118" s="412"/>
      <c r="T118" s="412"/>
      <c r="U118" s="2741">
        <v>30</v>
      </c>
      <c r="V118" s="1571"/>
      <c r="W118" s="416" t="s">
        <v>938</v>
      </c>
      <c r="X118" s="234"/>
      <c r="Y118" s="415">
        <v>-203</v>
      </c>
      <c r="Z118" s="415">
        <v>-753</v>
      </c>
      <c r="AA118" s="415">
        <v>-845</v>
      </c>
      <c r="AB118" s="415">
        <v>-2741</v>
      </c>
      <c r="AC118" s="415">
        <v>2812</v>
      </c>
      <c r="AD118" s="415">
        <v>-272</v>
      </c>
      <c r="AE118" s="415">
        <v>-84</v>
      </c>
      <c r="AF118" s="415">
        <v>-67</v>
      </c>
      <c r="AG118" s="415">
        <v>-66</v>
      </c>
      <c r="AH118" s="415">
        <v>-2</v>
      </c>
      <c r="AI118" s="415">
        <v>-38</v>
      </c>
      <c r="AJ118" s="415">
        <v>-120</v>
      </c>
      <c r="AK118" s="306">
        <f t="shared" si="4"/>
        <v>-2379</v>
      </c>
      <c r="AL118" s="1571"/>
      <c r="AM118" s="1571"/>
      <c r="AN118" s="1571"/>
      <c r="AO118" s="1571"/>
      <c r="AP118" s="1571"/>
      <c r="AQ118" s="1571"/>
      <c r="AR118" s="1571"/>
      <c r="AS118" s="1571"/>
      <c r="AT118" s="1571"/>
      <c r="AU118" s="1571"/>
      <c r="AV118" s="1571"/>
      <c r="AW118" s="1571"/>
      <c r="AX118" s="1571"/>
      <c r="AY118" s="1571"/>
      <c r="AZ118" s="1571"/>
      <c r="BA118" s="1571"/>
      <c r="BB118" s="1571"/>
      <c r="BC118" s="1571"/>
    </row>
    <row r="119" spans="1:55">
      <c r="A119" s="1571"/>
      <c r="B119" s="1571"/>
      <c r="C119" s="1571"/>
      <c r="D119" s="1571"/>
      <c r="E119" s="1571"/>
      <c r="F119" s="1571"/>
      <c r="G119" s="1571"/>
      <c r="H119" s="1571"/>
      <c r="I119" s="1571"/>
      <c r="J119" s="1571"/>
      <c r="K119" s="1571"/>
      <c r="L119" s="1571"/>
      <c r="M119" s="1571"/>
      <c r="N119" s="1571"/>
      <c r="O119" s="1571"/>
      <c r="P119" s="1571"/>
      <c r="Q119" s="1571"/>
      <c r="R119" s="1571"/>
      <c r="S119" s="412"/>
      <c r="T119" s="412"/>
      <c r="U119" s="2741">
        <v>31</v>
      </c>
      <c r="V119" s="1571"/>
      <c r="W119" s="416"/>
      <c r="X119" s="234"/>
      <c r="Y119" s="415"/>
      <c r="Z119" s="415"/>
      <c r="AA119" s="415"/>
      <c r="AB119" s="415"/>
      <c r="AC119" s="415"/>
      <c r="AD119" s="415"/>
      <c r="AE119" s="415"/>
      <c r="AF119" s="415"/>
      <c r="AG119" s="415"/>
      <c r="AH119" s="415"/>
      <c r="AI119" s="415"/>
      <c r="AJ119" s="415"/>
      <c r="AK119" s="306"/>
      <c r="AL119" s="1571"/>
      <c r="AM119" s="1571"/>
      <c r="AN119" s="1571"/>
      <c r="AO119" s="1571"/>
      <c r="AP119" s="1571"/>
      <c r="AQ119" s="1571"/>
      <c r="AR119" s="1571"/>
      <c r="AS119" s="1571"/>
      <c r="AT119" s="1571"/>
      <c r="AU119" s="1571"/>
      <c r="AV119" s="1571"/>
      <c r="AW119" s="1571"/>
      <c r="AX119" s="1571"/>
      <c r="AY119" s="1571"/>
      <c r="AZ119" s="1571"/>
      <c r="BA119" s="1571"/>
      <c r="BB119" s="1571"/>
      <c r="BC119" s="1571"/>
    </row>
    <row r="120" spans="1:55">
      <c r="A120" s="1571"/>
      <c r="B120" s="1571"/>
      <c r="C120" s="1571"/>
      <c r="D120" s="1571"/>
      <c r="E120" s="1571"/>
      <c r="F120" s="1571"/>
      <c r="G120" s="1571"/>
      <c r="H120" s="1571"/>
      <c r="I120" s="1571"/>
      <c r="J120" s="1571"/>
      <c r="K120" s="1571"/>
      <c r="L120" s="1571"/>
      <c r="M120" s="1571"/>
      <c r="N120" s="1571"/>
      <c r="O120" s="1571"/>
      <c r="P120" s="1571"/>
      <c r="Q120" s="1571"/>
      <c r="R120" s="1571"/>
      <c r="S120" s="412"/>
      <c r="T120" s="412"/>
      <c r="U120" s="2741">
        <v>32</v>
      </c>
      <c r="V120" s="1571"/>
      <c r="W120" s="416" t="s">
        <v>719</v>
      </c>
      <c r="X120" s="234"/>
      <c r="Y120" s="306">
        <f t="shared" ref="Y120:AJ120" si="5">SUM(Y105:Y118)</f>
        <v>7989690</v>
      </c>
      <c r="Z120" s="306">
        <f t="shared" si="5"/>
        <v>8569703</v>
      </c>
      <c r="AA120" s="306">
        <f t="shared" si="5"/>
        <v>7628227</v>
      </c>
      <c r="AB120" s="306">
        <f t="shared" si="5"/>
        <v>7057841</v>
      </c>
      <c r="AC120" s="306">
        <f t="shared" si="5"/>
        <v>6290587</v>
      </c>
      <c r="AD120" s="306">
        <f t="shared" si="5"/>
        <v>5921199</v>
      </c>
      <c r="AE120" s="306">
        <f t="shared" si="5"/>
        <v>7824125</v>
      </c>
      <c r="AF120" s="306">
        <f t="shared" si="5"/>
        <v>9340990</v>
      </c>
      <c r="AG120" s="306">
        <f t="shared" si="5"/>
        <v>9382397</v>
      </c>
      <c r="AH120" s="306">
        <f t="shared" si="5"/>
        <v>9338508</v>
      </c>
      <c r="AI120" s="306">
        <f t="shared" si="5"/>
        <v>7338605</v>
      </c>
      <c r="AJ120" s="306">
        <f t="shared" si="5"/>
        <v>7088028</v>
      </c>
      <c r="AK120" s="306">
        <f t="shared" si="4"/>
        <v>93769900</v>
      </c>
      <c r="AL120" s="1571"/>
      <c r="AM120" s="1571"/>
      <c r="AN120" s="1571"/>
      <c r="AO120" s="1571"/>
      <c r="AP120" s="1571"/>
      <c r="AQ120" s="1571"/>
      <c r="AR120" s="1571"/>
      <c r="AS120" s="1571"/>
      <c r="AT120" s="1571"/>
      <c r="AU120" s="1571"/>
      <c r="AV120" s="1571"/>
      <c r="AW120" s="1571"/>
      <c r="AX120" s="1571"/>
      <c r="AY120" s="1571"/>
      <c r="AZ120" s="1571"/>
      <c r="BA120" s="1571"/>
      <c r="BB120" s="1571"/>
      <c r="BC120" s="1571"/>
    </row>
    <row r="121" spans="1:55">
      <c r="A121" s="1571"/>
      <c r="B121" s="1571"/>
      <c r="C121" s="1571"/>
      <c r="D121" s="1571"/>
      <c r="E121" s="1571"/>
      <c r="F121" s="1571"/>
      <c r="G121" s="1571"/>
      <c r="H121" s="1571"/>
      <c r="I121" s="1571"/>
      <c r="J121" s="1571"/>
      <c r="K121" s="1571"/>
      <c r="L121" s="1571"/>
      <c r="M121" s="1571"/>
      <c r="N121" s="1571"/>
      <c r="O121" s="1571"/>
      <c r="P121" s="1571"/>
      <c r="Q121" s="1571"/>
      <c r="R121" s="1571"/>
      <c r="S121" s="412"/>
      <c r="T121" s="412"/>
      <c r="U121" s="2741">
        <v>33</v>
      </c>
      <c r="V121" s="1571"/>
      <c r="W121" s="1571"/>
      <c r="X121" s="1571"/>
      <c r="Y121" s="1458"/>
      <c r="Z121" s="1458"/>
      <c r="AA121" s="1458"/>
      <c r="AB121" s="1458"/>
      <c r="AC121" s="1458"/>
      <c r="AD121" s="1458"/>
      <c r="AE121" s="1458"/>
      <c r="AF121" s="1458"/>
      <c r="AG121" s="1458"/>
      <c r="AH121" s="1458"/>
      <c r="AI121" s="1458"/>
      <c r="AJ121" s="1458"/>
      <c r="AK121" s="1458"/>
      <c r="AL121" s="1571"/>
      <c r="AM121" s="1571"/>
      <c r="AN121" s="1571"/>
      <c r="AO121" s="1571"/>
      <c r="AP121" s="1571"/>
      <c r="AQ121" s="1571"/>
      <c r="AR121" s="1571"/>
      <c r="AS121" s="1571"/>
      <c r="AT121" s="1571"/>
      <c r="AU121" s="1571"/>
      <c r="AV121" s="1571"/>
      <c r="AW121" s="1571"/>
      <c r="AX121" s="1571"/>
      <c r="AY121" s="1571"/>
      <c r="AZ121" s="1571"/>
      <c r="BA121" s="1571"/>
      <c r="BB121" s="1571"/>
      <c r="BC121" s="1571"/>
    </row>
    <row r="122" spans="1:55">
      <c r="A122" s="1571"/>
      <c r="B122" s="1571"/>
      <c r="C122" s="1571"/>
      <c r="D122" s="1571"/>
      <c r="E122" s="1571"/>
      <c r="F122" s="1571"/>
      <c r="G122" s="1571"/>
      <c r="H122" s="1571"/>
      <c r="I122" s="1571"/>
      <c r="J122" s="1571"/>
      <c r="K122" s="1571"/>
      <c r="L122" s="1571"/>
      <c r="M122" s="1571"/>
      <c r="N122" s="1571"/>
      <c r="O122" s="1571"/>
      <c r="P122" s="1571"/>
      <c r="Q122" s="1571"/>
      <c r="R122" s="1571"/>
      <c r="S122" s="412" t="s">
        <v>2215</v>
      </c>
      <c r="T122" s="412"/>
      <c r="U122" s="2741">
        <v>34</v>
      </c>
      <c r="V122" s="1571"/>
      <c r="W122" s="233" t="s">
        <v>1554</v>
      </c>
      <c r="X122" s="1571"/>
      <c r="Y122" s="1458"/>
      <c r="Z122" s="1458"/>
      <c r="AA122" s="1458"/>
      <c r="AB122" s="1458"/>
      <c r="AC122" s="1458"/>
      <c r="AD122" s="1458"/>
      <c r="AE122" s="1458"/>
      <c r="AF122" s="1458"/>
      <c r="AG122" s="1458"/>
      <c r="AH122" s="1458"/>
      <c r="AI122" s="1458"/>
      <c r="AJ122" s="1458"/>
      <c r="AK122" s="306"/>
      <c r="AL122" s="1571"/>
      <c r="AM122" s="1571"/>
      <c r="AN122" s="1571"/>
      <c r="AO122" s="1571"/>
      <c r="AP122" s="1571"/>
      <c r="AQ122" s="1571"/>
      <c r="AR122" s="1571"/>
      <c r="AS122" s="1571"/>
      <c r="AT122" s="1571"/>
      <c r="AU122" s="1571"/>
      <c r="AV122" s="1571"/>
      <c r="AW122" s="1571"/>
      <c r="AX122" s="1571"/>
      <c r="AY122" s="1571"/>
      <c r="AZ122" s="1571"/>
      <c r="BA122" s="1571"/>
      <c r="BB122" s="1571"/>
      <c r="BC122" s="1571"/>
    </row>
    <row r="123" spans="1:55">
      <c r="A123" s="1571"/>
      <c r="B123" s="1571"/>
      <c r="C123" s="1571"/>
      <c r="D123" s="1571"/>
      <c r="E123" s="1571"/>
      <c r="F123" s="1571"/>
      <c r="G123" s="1571"/>
      <c r="H123" s="1571"/>
      <c r="I123" s="1571"/>
      <c r="J123" s="1571"/>
      <c r="K123" s="1571"/>
      <c r="L123" s="1571"/>
      <c r="M123" s="1571"/>
      <c r="N123" s="1571"/>
      <c r="O123" s="1571"/>
      <c r="P123" s="1571"/>
      <c r="Q123" s="1571"/>
      <c r="R123" s="1571"/>
      <c r="S123" s="412"/>
      <c r="T123" s="412">
        <v>440000</v>
      </c>
      <c r="U123" s="2741">
        <v>35</v>
      </c>
      <c r="V123" s="1571"/>
      <c r="W123" s="413" t="s">
        <v>947</v>
      </c>
      <c r="X123" s="1571"/>
      <c r="Y123" s="1458">
        <f t="array" ref="Y123">SUM(IF(BPrevACCT=T123,IF(BPREVPROD=S122,BPrev1)))</f>
        <v>899172</v>
      </c>
      <c r="Z123" s="1458">
        <f t="array" ref="Z123">SUM(IF(BPrevACCT=T123,IF(BPREVPROD=S122,BPrev2)))</f>
        <v>1084950</v>
      </c>
      <c r="AA123" s="1458">
        <f t="array" ref="AA123">SUM(IF(BPrevACCT=T123,IF(BPREVPROD=S122,BPrev3)))</f>
        <v>857605</v>
      </c>
      <c r="AB123" s="1458">
        <f t="array" ref="AB123">SUM(IF(BPrevACCT=T123,IF(BPREVPROD=S122,BPrev4)))</f>
        <v>773465</v>
      </c>
      <c r="AC123" s="1458">
        <f t="array" ref="AC123">SUM(IF(BPrevACCT=T123,IF(BPREVPROD=S122,BPrev5)))</f>
        <v>734455</v>
      </c>
      <c r="AD123" s="1458">
        <f t="array" ref="AD123">SUM(IF(BPrevACCT=T123,IF(BPREVPROD=S122,BPrev6)))</f>
        <v>706329</v>
      </c>
      <c r="AE123" s="1458">
        <f t="array" ref="AE123">SUM(IF(BPrevACCT=T123,IF(BPREVPROD=S122,BPrev7)))</f>
        <v>680351</v>
      </c>
      <c r="AF123" s="1458">
        <f t="array" ref="AF123">SUM(IF(BPrevACCT=T123,IF(BPREVPROD=S122,BPrev8)))</f>
        <v>773742</v>
      </c>
      <c r="AG123" s="1458">
        <f t="array" ref="AG123">SUM(IF(BPrevACCT=T123,IF(BPREVPROD=S122,BPrev9)))</f>
        <v>691707</v>
      </c>
      <c r="AH123" s="1458">
        <f t="array" ref="AH123">SUM(IF(BPrevACCT=T123,IF(BPREVPROD=S122,BPrev10)))</f>
        <v>630026</v>
      </c>
      <c r="AI123" s="1458">
        <f t="array" ref="AI123">SUM(IF(BPrevACCT=T123,IF(BPREVPROD=S122,BPrev11)))</f>
        <v>685478</v>
      </c>
      <c r="AJ123" s="1458">
        <f t="array" ref="AJ123">SUM(IF(BPrevACCT=T123,IF(BPREVPROD=S122,BPrev12)))</f>
        <v>524429</v>
      </c>
      <c r="AK123" s="306">
        <f t="shared" ref="AK123:AK141" si="6">SUM(Y123:AJ123)</f>
        <v>9041709</v>
      </c>
      <c r="AL123" s="1571"/>
      <c r="AM123" s="1458"/>
      <c r="AN123" s="1571"/>
      <c r="AO123" s="1571"/>
      <c r="AP123" s="1571"/>
      <c r="AQ123" s="1571"/>
      <c r="AR123" s="1571"/>
      <c r="AS123" s="1571"/>
      <c r="AT123" s="1571"/>
      <c r="AU123" s="1571"/>
      <c r="AV123" s="1571"/>
      <c r="AW123" s="1571"/>
      <c r="AX123" s="1571"/>
      <c r="AY123" s="1571"/>
      <c r="AZ123" s="1571"/>
      <c r="BA123" s="1571"/>
      <c r="BB123" s="1571"/>
      <c r="BC123" s="1571"/>
    </row>
    <row r="124" spans="1:55">
      <c r="A124" s="1571"/>
      <c r="B124" s="1571"/>
      <c r="C124" s="1571"/>
      <c r="D124" s="1571"/>
      <c r="E124" s="1571"/>
      <c r="F124" s="1571"/>
      <c r="G124" s="1571"/>
      <c r="H124" s="1571"/>
      <c r="I124" s="1571"/>
      <c r="J124" s="1571"/>
      <c r="K124" s="1571"/>
      <c r="L124" s="1571"/>
      <c r="M124" s="1571"/>
      <c r="N124" s="1571"/>
      <c r="O124" s="1571"/>
      <c r="P124" s="1571"/>
      <c r="Q124" s="1571"/>
      <c r="R124" s="1571"/>
      <c r="S124" s="412"/>
      <c r="T124" s="412">
        <v>442100</v>
      </c>
      <c r="U124" s="2741">
        <v>36</v>
      </c>
      <c r="V124" s="1571"/>
      <c r="W124" s="413" t="s">
        <v>948</v>
      </c>
      <c r="X124" s="1571"/>
      <c r="Y124" s="1458">
        <f t="array" ref="Y124">SUM(IF(BPrevACCT=T124,IF(BPREVPROD=S122,BPrev1)))</f>
        <v>343586</v>
      </c>
      <c r="Z124" s="1458">
        <f t="array" ref="Z124">SUM(IF(BPrevACCT=T124,IF(BPREVPROD=S122,BPrev2)))</f>
        <v>349320</v>
      </c>
      <c r="AA124" s="1458">
        <f t="array" ref="AA124">SUM(IF(BPrevACCT=T124,IF(BPREVPROD=S122,BPrev3)))</f>
        <v>318513</v>
      </c>
      <c r="AB124" s="1458">
        <f t="array" ref="AB124">SUM(IF(BPrevACCT=T124,IF(BPREVPROD=S122,BPrev4)))</f>
        <v>310217</v>
      </c>
      <c r="AC124" s="1458">
        <f t="array" ref="AC124">SUM(IF(BPrevACCT=T124,IF(BPREVPROD=S122,BPrev5)))</f>
        <v>289750</v>
      </c>
      <c r="AD124" s="1458">
        <f t="array" ref="AD124">SUM(IF(BPrevACCT=T124,IF(BPREVPROD=S122,BPrev6)))</f>
        <v>295277</v>
      </c>
      <c r="AE124" s="1458">
        <f t="array" ref="AE124">SUM(IF(BPrevACCT=T124,IF(BPREVPROD=S122,BPrev7)))</f>
        <v>240882</v>
      </c>
      <c r="AF124" s="1458">
        <f t="array" ref="AF124">SUM(IF(BPrevACCT=T124,IF(BPREVPROD=S122,BPrev8)))</f>
        <v>276500</v>
      </c>
      <c r="AG124" s="1458">
        <f t="array" ref="AG124">SUM(IF(BPrevACCT=T124,IF(BPREVPROD=S122,BPrev9)))</f>
        <v>273630</v>
      </c>
      <c r="AH124" s="1458">
        <f t="array" ref="AH124">SUM(IF(BPrevACCT=T124,IF(BPREVPROD=S122,BPrev10)))</f>
        <v>253623</v>
      </c>
      <c r="AI124" s="1458">
        <f t="array" ref="AI124">SUM(IF(BPrevACCT=T124,IF(BPREVPROD=S122,BPrev11)))</f>
        <v>245173</v>
      </c>
      <c r="AJ124" s="1458">
        <f t="array" ref="AJ124">SUM(IF(BPrevACCT=T124,IF(BPREVPROD=S122,BPrev12)))</f>
        <v>193523</v>
      </c>
      <c r="AK124" s="306">
        <f t="shared" si="6"/>
        <v>3389994</v>
      </c>
      <c r="AL124" s="1571"/>
      <c r="AM124" s="1458"/>
      <c r="AN124" s="1571"/>
      <c r="AO124" s="1571"/>
      <c r="AP124" s="1571"/>
      <c r="AQ124" s="1571"/>
      <c r="AR124" s="1571"/>
      <c r="AS124" s="1571"/>
      <c r="AT124" s="1571"/>
      <c r="AU124" s="1571"/>
      <c r="AV124" s="1571"/>
      <c r="AW124" s="1571"/>
      <c r="AX124" s="1571"/>
      <c r="AY124" s="1571"/>
      <c r="AZ124" s="1571"/>
      <c r="BA124" s="1571"/>
      <c r="BB124" s="1571"/>
      <c r="BC124" s="1571"/>
    </row>
    <row r="125" spans="1:55">
      <c r="A125" s="1571"/>
      <c r="B125" s="1571"/>
      <c r="C125" s="1571"/>
      <c r="D125" s="1571"/>
      <c r="E125" s="1571"/>
      <c r="F125" s="1571"/>
      <c r="G125" s="1571"/>
      <c r="H125" s="1571"/>
      <c r="I125" s="1571"/>
      <c r="J125" s="1571"/>
      <c r="K125" s="1571"/>
      <c r="L125" s="1571"/>
      <c r="M125" s="1571"/>
      <c r="N125" s="1571"/>
      <c r="O125" s="1571"/>
      <c r="P125" s="1571"/>
      <c r="Q125" s="1571"/>
      <c r="R125" s="1571"/>
      <c r="S125" s="412"/>
      <c r="T125" s="412">
        <v>442200</v>
      </c>
      <c r="U125" s="2741">
        <v>37</v>
      </c>
      <c r="V125" s="1571"/>
      <c r="W125" s="413" t="s">
        <v>949</v>
      </c>
      <c r="X125" s="1571"/>
      <c r="Y125" s="1458">
        <f t="array" ref="Y125">SUM(IF(BPrevACCT=T125,IF(BPREVPROD=S122,BPrev1)))</f>
        <v>146100</v>
      </c>
      <c r="Z125" s="1458">
        <f t="array" ref="Z125">SUM(IF(BPrevACCT=T125,IF(BPREVPROD=S122,BPrev2)))</f>
        <v>136041</v>
      </c>
      <c r="AA125" s="1458">
        <f t="array" ref="AA125">SUM(IF(BPrevACCT=T125,IF(BPREVPROD=S122,BPrev3)))</f>
        <v>137528</v>
      </c>
      <c r="AB125" s="1458">
        <f t="array" ref="AB125">SUM(IF(BPrevACCT=T125,IF(BPREVPROD=S122,BPrev4)))</f>
        <v>133386</v>
      </c>
      <c r="AC125" s="1458">
        <f t="array" ref="AC125">SUM(IF(BPrevACCT=T125,IF(BPREVPROD=S122,BPrev5)))</f>
        <v>128403</v>
      </c>
      <c r="AD125" s="1458">
        <f t="array" ref="AD125">SUM(IF(BPrevACCT=T125,IF(BPREVPROD=S122,BPrev6)))</f>
        <v>132522</v>
      </c>
      <c r="AE125" s="1458">
        <f t="array" ref="AE125">SUM(IF(BPrevACCT=T125,IF(BPREVPROD=S122,BPrev7)))</f>
        <v>129875</v>
      </c>
      <c r="AF125" s="1458">
        <f t="array" ref="AF125">SUM(IF(BPrevACCT=T125,IF(BPREVPROD=S122,BPrev8)))</f>
        <v>138108</v>
      </c>
      <c r="AG125" s="1458">
        <f t="array" ref="AG125">SUM(IF(BPrevACCT=T125,IF(BPREVPROD=S122,BPrev9)))</f>
        <v>137480</v>
      </c>
      <c r="AH125" s="1458">
        <f t="array" ref="AH125">SUM(IF(BPrevACCT=T125,IF(BPREVPROD=S122,BPrev10)))</f>
        <v>129021</v>
      </c>
      <c r="AI125" s="1458">
        <f t="array" ref="AI125">SUM(IF(BPrevACCT=T125,IF(BPREVPROD=S122,BPrev11)))</f>
        <v>143999</v>
      </c>
      <c r="AJ125" s="1458">
        <f t="array" ref="AJ125">SUM(IF(BPrevACCT=T125,IF(BPREVPROD=S122,BPrev12)))</f>
        <v>115928</v>
      </c>
      <c r="AK125" s="306">
        <f t="shared" si="6"/>
        <v>1608391</v>
      </c>
      <c r="AL125" s="1571"/>
      <c r="AM125" s="1458"/>
      <c r="AN125" s="1571"/>
      <c r="AO125" s="1571"/>
      <c r="AP125" s="1571"/>
      <c r="AQ125" s="1571"/>
      <c r="AR125" s="1571"/>
      <c r="AS125" s="1571"/>
      <c r="AT125" s="1571"/>
      <c r="AU125" s="1571"/>
      <c r="AV125" s="1571"/>
      <c r="AW125" s="1571"/>
      <c r="AX125" s="1571"/>
      <c r="AY125" s="1571"/>
      <c r="AZ125" s="1571"/>
      <c r="BA125" s="1571"/>
      <c r="BB125" s="1571"/>
      <c r="BC125" s="1571"/>
    </row>
    <row r="126" spans="1:55">
      <c r="A126" s="1571"/>
      <c r="B126" s="1571"/>
      <c r="C126" s="1571"/>
      <c r="D126" s="1571"/>
      <c r="E126" s="1571"/>
      <c r="F126" s="1571"/>
      <c r="G126" s="1571"/>
      <c r="H126" s="1571"/>
      <c r="I126" s="1571"/>
      <c r="J126" s="1571"/>
      <c r="K126" s="1571"/>
      <c r="L126" s="1571"/>
      <c r="M126" s="1571"/>
      <c r="N126" s="1571"/>
      <c r="O126" s="1571"/>
      <c r="P126" s="1571"/>
      <c r="Q126" s="1571"/>
      <c r="R126" s="1571"/>
      <c r="S126" s="412"/>
      <c r="T126" s="412">
        <v>444000</v>
      </c>
      <c r="U126" s="2741">
        <v>38</v>
      </c>
      <c r="V126" s="1571"/>
      <c r="W126" s="413" t="s">
        <v>718</v>
      </c>
      <c r="X126" s="1571"/>
      <c r="Y126" s="1458">
        <f t="array" ref="Y126">SUM(IF(BPrevACCT=T126,IF(BPREVPROD=S122,BPrev1)))</f>
        <v>448</v>
      </c>
      <c r="Z126" s="1458">
        <f t="array" ref="Z126">SUM(IF(BPrevACCT=T126,IF(BPREVPROD=S122,BPrev2)))</f>
        <v>423</v>
      </c>
      <c r="AA126" s="1458">
        <f t="array" ref="AA126">SUM(IF(BPrevACCT=T126,IF(BPREVPROD=S122,BPrev3)))</f>
        <v>373</v>
      </c>
      <c r="AB126" s="1458">
        <f t="array" ref="AB126">SUM(IF(BPrevACCT=T126,IF(BPREVPROD=S122,BPrev4)))</f>
        <v>273</v>
      </c>
      <c r="AC126" s="1458">
        <f t="array" ref="AC126">SUM(IF(BPrevACCT=T126,IF(BPREVPROD=S122,BPrev5)))</f>
        <v>286</v>
      </c>
      <c r="AD126" s="1458">
        <f t="array" ref="AD126">SUM(IF(BPrevACCT=T126,IF(BPREVPROD=S122,BPrev6)))</f>
        <v>260</v>
      </c>
      <c r="AE126" s="1458">
        <f t="array" ref="AE126">SUM(IF(BPrevACCT=T126,IF(BPREVPROD=S122,BPrev7)))</f>
        <v>0</v>
      </c>
      <c r="AF126" s="1458">
        <f t="array" ref="AF126">SUM(IF(BPrevACCT=T126,IF(BPREVPROD=S122,BPrev8)))</f>
        <v>0</v>
      </c>
      <c r="AG126" s="1458">
        <f t="array" ref="AG126">SUM(IF(BPrevACCT=T126,IF(BPREVPROD=S122,BPrev9)))</f>
        <v>0</v>
      </c>
      <c r="AH126" s="1458">
        <f t="array" ref="AH126">SUM(IF(BPrevACCT=T126,IF(BPREVPROD=S122,BPrev10)))</f>
        <v>0</v>
      </c>
      <c r="AI126" s="1458">
        <f t="array" ref="AI126">SUM(IF(BPrevACCT=T126,IF(BPREVPROD=S122,BPrev11)))</f>
        <v>0</v>
      </c>
      <c r="AJ126" s="1458">
        <f t="array" ref="AJ126">SUM(IF(BPrevACCT=T126,IF(BPREVPROD=S122,BPrev12)))</f>
        <v>0</v>
      </c>
      <c r="AK126" s="306">
        <f t="shared" si="6"/>
        <v>2063</v>
      </c>
      <c r="AL126" s="1571"/>
      <c r="AM126" s="1458"/>
      <c r="AN126" s="1571"/>
      <c r="AO126" s="1571"/>
      <c r="AP126" s="1571"/>
      <c r="AQ126" s="1571"/>
      <c r="AR126" s="1571"/>
      <c r="AS126" s="1571"/>
      <c r="AT126" s="1571"/>
      <c r="AU126" s="1571"/>
      <c r="AV126" s="1571"/>
      <c r="AW126" s="1571"/>
      <c r="AX126" s="1571"/>
      <c r="AY126" s="1571"/>
      <c r="AZ126" s="1571"/>
      <c r="BA126" s="1571"/>
      <c r="BB126" s="1571"/>
      <c r="BC126" s="1571"/>
    </row>
    <row r="127" spans="1:55">
      <c r="A127" s="1571"/>
      <c r="B127" s="1571"/>
      <c r="C127" s="1571"/>
      <c r="D127" s="1571"/>
      <c r="E127" s="1571"/>
      <c r="F127" s="1571"/>
      <c r="G127" s="1571"/>
      <c r="H127" s="1571"/>
      <c r="I127" s="1571"/>
      <c r="J127" s="1571"/>
      <c r="K127" s="1571"/>
      <c r="L127" s="1571"/>
      <c r="M127" s="1571"/>
      <c r="N127" s="1571"/>
      <c r="O127" s="1571"/>
      <c r="P127" s="1571"/>
      <c r="Q127" s="1571"/>
      <c r="R127" s="1571"/>
      <c r="S127" s="412"/>
      <c r="T127" s="412">
        <v>445000</v>
      </c>
      <c r="U127" s="2741">
        <v>39</v>
      </c>
      <c r="V127" s="1571"/>
      <c r="W127" s="413" t="s">
        <v>950</v>
      </c>
      <c r="X127" s="1571"/>
      <c r="Y127" s="1458">
        <f t="array" ref="Y127">SUM(IF(BPrevACCT=T127,IF(BPREVPROD=S122,BPrev1)))</f>
        <v>56705</v>
      </c>
      <c r="Z127" s="1458">
        <f t="array" ref="Z127">SUM(IF(BPrevACCT=T127,IF(BPREVPROD=S122,BPrev2)))</f>
        <v>57121</v>
      </c>
      <c r="AA127" s="1458">
        <f t="array" ref="AA127">SUM(IF(BPrevACCT=T127,IF(BPREVPROD=S122,BPrev3)))</f>
        <v>50448</v>
      </c>
      <c r="AB127" s="1458">
        <f t="array" ref="AB127">SUM(IF(BPrevACCT=T127,IF(BPREVPROD=S122,BPrev4)))</f>
        <v>52430</v>
      </c>
      <c r="AC127" s="1458">
        <f t="array" ref="AC127">SUM(IF(BPrevACCT=T127,IF(BPREVPROD=S122,BPrev5)))</f>
        <v>46442</v>
      </c>
      <c r="AD127" s="1458">
        <f t="array" ref="AD127">SUM(IF(BPrevACCT=T127,IF(BPREVPROD=S122,BPrev6)))</f>
        <v>50452</v>
      </c>
      <c r="AE127" s="1458">
        <f t="array" ref="AE127">SUM(IF(BPrevACCT=T127,IF(BPREVPROD=S122,BPrev7)))</f>
        <v>45621</v>
      </c>
      <c r="AF127" s="1458">
        <f t="array" ref="AF127">SUM(IF(BPrevACCT=T127,IF(BPREVPROD=S122,BPrev8)))</f>
        <v>49624</v>
      </c>
      <c r="AG127" s="1458">
        <f t="array" ref="AG127">SUM(IF(BPrevACCT=T127,IF(BPREVPROD=S122,BPrev9)))</f>
        <v>51526</v>
      </c>
      <c r="AH127" s="1458">
        <f t="array" ref="AH127">SUM(IF(BPrevACCT=T127,IF(BPREVPROD=S122,BPrev10)))</f>
        <v>51859</v>
      </c>
      <c r="AI127" s="1458">
        <f t="array" ref="AI127">SUM(IF(BPrevACCT=T127,IF(BPREVPROD=S122,BPrev11)))</f>
        <v>51200</v>
      </c>
      <c r="AJ127" s="1458">
        <f t="array" ref="AJ127">SUM(IF(BPrevACCT=T127,IF(BPREVPROD=S122,BPrev12)))</f>
        <v>38825</v>
      </c>
      <c r="AK127" s="306">
        <f t="shared" si="6"/>
        <v>602253</v>
      </c>
      <c r="AL127" s="1571"/>
      <c r="AM127" s="1458"/>
      <c r="AN127" s="1571"/>
      <c r="AO127" s="1571"/>
      <c r="AP127" s="1571"/>
      <c r="AQ127" s="1571"/>
      <c r="AR127" s="1571"/>
      <c r="AS127" s="1571"/>
      <c r="AT127" s="1571"/>
      <c r="AU127" s="1571"/>
      <c r="AV127" s="1571"/>
      <c r="AW127" s="1571"/>
      <c r="AX127" s="1571"/>
      <c r="AY127" s="1571"/>
      <c r="AZ127" s="1571"/>
      <c r="BA127" s="1571"/>
      <c r="BB127" s="1571"/>
      <c r="BC127" s="1571"/>
    </row>
    <row r="128" spans="1:55">
      <c r="A128" s="1571"/>
      <c r="B128" s="1571"/>
      <c r="C128" s="1571"/>
      <c r="D128" s="1571"/>
      <c r="E128" s="1571"/>
      <c r="F128" s="1571"/>
      <c r="G128" s="1571"/>
      <c r="H128" s="1571"/>
      <c r="I128" s="1571"/>
      <c r="J128" s="1571"/>
      <c r="K128" s="1571"/>
      <c r="L128" s="1571"/>
      <c r="M128" s="1571"/>
      <c r="N128" s="1571"/>
      <c r="O128" s="1571"/>
      <c r="P128" s="1571"/>
      <c r="Q128" s="1571"/>
      <c r="R128" s="1571"/>
      <c r="S128" s="412"/>
      <c r="T128" s="412"/>
      <c r="U128" s="2741">
        <v>40</v>
      </c>
      <c r="V128" s="1571"/>
      <c r="W128" s="1571"/>
      <c r="X128" s="1571"/>
      <c r="Y128" s="1458"/>
      <c r="Z128" s="1458"/>
      <c r="AA128" s="1458"/>
      <c r="AB128" s="1458"/>
      <c r="AC128" s="1458"/>
      <c r="AD128" s="1458"/>
      <c r="AE128" s="1458"/>
      <c r="AF128" s="1458"/>
      <c r="AG128" s="1458"/>
      <c r="AH128" s="1458"/>
      <c r="AI128" s="1458"/>
      <c r="AJ128" s="1458"/>
      <c r="AK128" s="306"/>
      <c r="AL128" s="1571"/>
      <c r="AM128" s="1571"/>
      <c r="AN128" s="1571"/>
      <c r="AO128" s="1571"/>
      <c r="AP128" s="1571"/>
      <c r="AQ128" s="1571"/>
      <c r="AR128" s="1571"/>
      <c r="AS128" s="1571"/>
      <c r="AT128" s="1571"/>
      <c r="AU128" s="1571"/>
      <c r="AV128" s="1571"/>
      <c r="AW128" s="1571"/>
      <c r="AX128" s="1571"/>
      <c r="AY128" s="1571"/>
      <c r="AZ128" s="1571"/>
      <c r="BA128" s="1571"/>
      <c r="BB128" s="1571"/>
      <c r="BC128" s="1571"/>
    </row>
    <row r="129" spans="1:55">
      <c r="A129" s="1571"/>
      <c r="B129" s="1571"/>
      <c r="C129" s="1571"/>
      <c r="D129" s="1571"/>
      <c r="E129" s="1571"/>
      <c r="F129" s="1571"/>
      <c r="G129" s="1571"/>
      <c r="H129" s="1571"/>
      <c r="I129" s="1571"/>
      <c r="J129" s="1571"/>
      <c r="K129" s="1571"/>
      <c r="L129" s="1571"/>
      <c r="M129" s="1571"/>
      <c r="N129" s="1571"/>
      <c r="O129" s="1571"/>
      <c r="P129" s="1571"/>
      <c r="Q129" s="1571"/>
      <c r="R129" s="1571"/>
      <c r="S129" s="412" t="s">
        <v>2219</v>
      </c>
      <c r="T129" s="412"/>
      <c r="U129" s="2741">
        <v>41</v>
      </c>
      <c r="V129" s="1571"/>
      <c r="W129" s="233" t="s">
        <v>2247</v>
      </c>
      <c r="X129" s="1571"/>
      <c r="Y129" s="1458"/>
      <c r="Z129" s="1458"/>
      <c r="AA129" s="1458"/>
      <c r="AB129" s="1458"/>
      <c r="AC129" s="1458"/>
      <c r="AD129" s="1458"/>
      <c r="AE129" s="1458"/>
      <c r="AF129" s="1458"/>
      <c r="AG129" s="1458"/>
      <c r="AH129" s="1458"/>
      <c r="AI129" s="1458"/>
      <c r="AJ129" s="1458"/>
      <c r="AK129" s="306"/>
      <c r="AL129" s="1571"/>
      <c r="AM129" s="1571"/>
      <c r="AN129" s="1571"/>
      <c r="AO129" s="1571"/>
      <c r="AP129" s="1571"/>
      <c r="AQ129" s="1571"/>
      <c r="AR129" s="1571"/>
      <c r="AS129" s="1571"/>
      <c r="AT129" s="1571"/>
      <c r="AU129" s="1571"/>
      <c r="AV129" s="1571"/>
      <c r="AW129" s="1571"/>
      <c r="AX129" s="1571"/>
      <c r="AY129" s="1571"/>
      <c r="AZ129" s="1571"/>
      <c r="BA129" s="1571"/>
      <c r="BB129" s="1571"/>
      <c r="BC129" s="1571"/>
    </row>
    <row r="130" spans="1:55">
      <c r="A130" s="1571"/>
      <c r="B130" s="1571"/>
      <c r="C130" s="1571"/>
      <c r="D130" s="1571"/>
      <c r="E130" s="1571"/>
      <c r="F130" s="1571"/>
      <c r="G130" s="1571"/>
      <c r="H130" s="1571"/>
      <c r="I130" s="1571"/>
      <c r="J130" s="1571"/>
      <c r="K130" s="1571"/>
      <c r="L130" s="1571"/>
      <c r="M130" s="1571"/>
      <c r="N130" s="1571"/>
      <c r="O130" s="1571"/>
      <c r="P130" s="1571"/>
      <c r="Q130" s="1571"/>
      <c r="R130" s="1571"/>
      <c r="S130" s="412"/>
      <c r="T130" s="412">
        <v>440000</v>
      </c>
      <c r="U130" s="2741">
        <v>42</v>
      </c>
      <c r="V130" s="1571"/>
      <c r="W130" s="413" t="s">
        <v>947</v>
      </c>
      <c r="X130" s="1571"/>
      <c r="Y130" s="1458">
        <f t="array" ref="Y130">SUM(IF(BPrevACCT=T130,IF(BPREVPROD=S129,BPrev1)))</f>
        <v>-154829</v>
      </c>
      <c r="Z130" s="1458">
        <f t="array" ref="Z130">SUM(IF(BPrevACCT=T130,IF(BPREVPROD=S129,BPrev2)))</f>
        <v>-186883</v>
      </c>
      <c r="AA130" s="1458">
        <f t="array" ref="AA130">SUM(IF(BPrevACCT=T130,IF(BPREVPROD=S129,BPrev3)))</f>
        <v>-143052</v>
      </c>
      <c r="AB130" s="1458">
        <f t="array" ref="AB130">SUM(IF(BPrevACCT=T130,IF(BPREVPROD=S129,BPrev4)))</f>
        <v>-160744</v>
      </c>
      <c r="AC130" s="1458">
        <f t="array" ref="AC130">SUM(IF(BPrevACCT=T130,IF(BPREVPROD=S129,BPrev5)))</f>
        <v>-140723</v>
      </c>
      <c r="AD130" s="1458">
        <f t="array" ref="AD130">SUM(IF(BPrevACCT=T130,IF(BPREVPROD=S129,BPrev6)))</f>
        <v>-135356</v>
      </c>
      <c r="AE130" s="1458">
        <f t="array" ref="AE130">SUM(IF(BPrevACCT=T130,IF(BPREVPROD=S129,BPrev7)))</f>
        <v>-34919</v>
      </c>
      <c r="AF130" s="1458">
        <f t="array" ref="AF130">SUM(IF(BPrevACCT=T130,IF(BPREVPROD=S129,BPrev8)))</f>
        <v>-67941</v>
      </c>
      <c r="AG130" s="1458">
        <f t="array" ref="AG130">SUM(IF(BPrevACCT=T130,IF(BPREVPROD=S129,BPrev9)))</f>
        <v>5182</v>
      </c>
      <c r="AH130" s="1458">
        <f t="array" ref="AH130">SUM(IF(BPrevACCT=T130,IF(BPREVPROD=S129,BPrev10)))</f>
        <v>20875</v>
      </c>
      <c r="AI130" s="1458">
        <f t="array" ref="AI130">SUM(IF(BPrevACCT=T130,IF(BPREVPROD=S129,BPrev11)))</f>
        <v>3394</v>
      </c>
      <c r="AJ130" s="1458">
        <f t="array" ref="AJ130">SUM(IF(BPrevACCT=T130,IF(BPREVPROD=S129,BPrev12)))</f>
        <v>-23175</v>
      </c>
      <c r="AK130" s="306">
        <f t="shared" si="6"/>
        <v>-1018171</v>
      </c>
      <c r="AL130" s="1571"/>
      <c r="AM130" s="1571"/>
      <c r="AN130" s="1571"/>
      <c r="AO130" s="1571"/>
      <c r="AP130" s="1571"/>
      <c r="AQ130" s="1571"/>
      <c r="AR130" s="1571"/>
      <c r="AS130" s="1571"/>
      <c r="AT130" s="1571"/>
      <c r="AU130" s="1571"/>
      <c r="AV130" s="1571"/>
      <c r="AW130" s="1571"/>
      <c r="AX130" s="1571"/>
      <c r="AY130" s="1571"/>
      <c r="AZ130" s="1571"/>
      <c r="BA130" s="1571"/>
      <c r="BB130" s="1571"/>
      <c r="BC130" s="1571"/>
    </row>
    <row r="131" spans="1:55">
      <c r="A131" s="1571"/>
      <c r="B131" s="1571"/>
      <c r="C131" s="1571"/>
      <c r="D131" s="1571"/>
      <c r="E131" s="1571"/>
      <c r="F131" s="1571"/>
      <c r="G131" s="1571"/>
      <c r="H131" s="1571"/>
      <c r="I131" s="1571"/>
      <c r="J131" s="1571"/>
      <c r="K131" s="1571"/>
      <c r="L131" s="1571"/>
      <c r="M131" s="1571"/>
      <c r="N131" s="1571"/>
      <c r="O131" s="1571"/>
      <c r="P131" s="1571"/>
      <c r="Q131" s="1571"/>
      <c r="R131" s="1571"/>
      <c r="S131" s="412"/>
      <c r="T131" s="412">
        <v>442100</v>
      </c>
      <c r="U131" s="2741">
        <v>43</v>
      </c>
      <c r="V131" s="1571"/>
      <c r="W131" s="413" t="s">
        <v>948</v>
      </c>
      <c r="X131" s="1571"/>
      <c r="Y131" s="1458">
        <f t="array" ref="Y131">SUM(IF(BPrevACCT=T131,IF(BPREVPROD=S129,BPrev1)))</f>
        <v>-151524</v>
      </c>
      <c r="Z131" s="1458">
        <f t="array" ref="Z131">SUM(IF(BPrevACCT=T131,IF(BPREVPROD=S129,BPrev2)))</f>
        <v>-154193</v>
      </c>
      <c r="AA131" s="1458">
        <f t="array" ref="AA131">SUM(IF(BPrevACCT=T131,IF(BPREVPROD=S129,BPrev3)))</f>
        <v>-139199</v>
      </c>
      <c r="AB131" s="1458">
        <f t="array" ref="AB131">SUM(IF(BPrevACCT=T131,IF(BPREVPROD=S129,BPrev4)))</f>
        <v>-169994</v>
      </c>
      <c r="AC131" s="1458">
        <f t="array" ref="AC131">SUM(IF(BPrevACCT=T131,IF(BPREVPROD=S129,BPrev5)))</f>
        <v>-171356</v>
      </c>
      <c r="AD131" s="1458">
        <f t="array" ref="AD131">SUM(IF(BPrevACCT=T131,IF(BPREVPROD=S129,BPrev6)))</f>
        <v>-175342</v>
      </c>
      <c r="AE131" s="1458">
        <f t="array" ref="AE131">SUM(IF(BPrevACCT=T131,IF(BPREVPROD=S129,BPrev7)))</f>
        <v>-40343</v>
      </c>
      <c r="AF131" s="1458">
        <f t="array" ref="AF131">SUM(IF(BPrevACCT=T131,IF(BPREVPROD=S129,BPrev8)))</f>
        <v>-64339</v>
      </c>
      <c r="AG131" s="1458">
        <f t="array" ref="AG131">SUM(IF(BPrevACCT=T131,IF(BPREVPROD=S129,BPrev9)))</f>
        <v>4715</v>
      </c>
      <c r="AH131" s="1458">
        <f t="array" ref="AH131">SUM(IF(BPrevACCT=T131,IF(BPREVPROD=S129,BPrev10)))</f>
        <v>20788</v>
      </c>
      <c r="AI131" s="1458">
        <f t="array" ref="AI131">SUM(IF(BPrevACCT=T131,IF(BPREVPROD=S129,BPrev11)))</f>
        <v>4336</v>
      </c>
      <c r="AJ131" s="1458">
        <f t="array" ref="AJ131">SUM(IF(BPrevACCT=T131,IF(BPREVPROD=S129,BPrev12)))</f>
        <v>-28171</v>
      </c>
      <c r="AK131" s="306">
        <f t="shared" si="6"/>
        <v>-1064622</v>
      </c>
      <c r="AL131" s="1571"/>
      <c r="AM131" s="1571"/>
      <c r="AN131" s="1571"/>
      <c r="AO131" s="1571"/>
      <c r="AP131" s="1571"/>
      <c r="AQ131" s="1571"/>
      <c r="AR131" s="1571"/>
      <c r="AS131" s="1571"/>
      <c r="AT131" s="1571"/>
      <c r="AU131" s="1571"/>
      <c r="AV131" s="1571"/>
      <c r="AW131" s="1571"/>
      <c r="AX131" s="1571"/>
      <c r="AY131" s="1571"/>
      <c r="AZ131" s="1571"/>
      <c r="BA131" s="1571"/>
      <c r="BB131" s="1571"/>
      <c r="BC131" s="1571"/>
    </row>
    <row r="132" spans="1:55">
      <c r="A132" s="1571"/>
      <c r="B132" s="1571"/>
      <c r="C132" s="1571"/>
      <c r="D132" s="1571"/>
      <c r="E132" s="1571"/>
      <c r="F132" s="1571"/>
      <c r="G132" s="1571"/>
      <c r="H132" s="1571"/>
      <c r="I132" s="1571"/>
      <c r="J132" s="1571"/>
      <c r="K132" s="1571"/>
      <c r="L132" s="1571"/>
      <c r="M132" s="1571"/>
      <c r="N132" s="1571"/>
      <c r="O132" s="1571"/>
      <c r="P132" s="1571"/>
      <c r="Q132" s="1571"/>
      <c r="R132" s="1571"/>
      <c r="S132" s="412"/>
      <c r="T132" s="412">
        <v>442200</v>
      </c>
      <c r="U132" s="2741">
        <v>44</v>
      </c>
      <c r="V132" s="1571"/>
      <c r="W132" s="413" t="s">
        <v>949</v>
      </c>
      <c r="X132" s="1571"/>
      <c r="Y132" s="1458">
        <f t="array" ref="Y132">SUM(IF(BPrevACCT=T132,IF(BPREVPROD=S129,BPrev1)))</f>
        <v>-83839</v>
      </c>
      <c r="Z132" s="1458">
        <f t="array" ref="Z132">SUM(IF(BPrevACCT=T132,IF(BPREVPROD=S129,BPrev2)))</f>
        <v>-77491</v>
      </c>
      <c r="AA132" s="1458">
        <f t="array" ref="AA132">SUM(IF(BPrevACCT=T132,IF(BPREVPROD=S129,BPrev3)))</f>
        <v>-77482</v>
      </c>
      <c r="AB132" s="1458">
        <f t="array" ref="AB132">SUM(IF(BPrevACCT=T132,IF(BPREVPROD=S129,BPrev4)))</f>
        <v>-94265</v>
      </c>
      <c r="AC132" s="1458">
        <f t="array" ref="AC132">SUM(IF(BPrevACCT=T132,IF(BPREVPROD=S129,BPrev5)))</f>
        <v>-97127</v>
      </c>
      <c r="AD132" s="1458">
        <f t="array" ref="AD132">SUM(IF(BPrevACCT=T132,IF(BPREVPROD=S129,BPrev6)))</f>
        <v>-101113</v>
      </c>
      <c r="AE132" s="1458">
        <f t="array" ref="AE132">SUM(IF(BPrevACCT=T132,IF(BPREVPROD=S129,BPrev7)))</f>
        <v>-21752</v>
      </c>
      <c r="AF132" s="1458">
        <f t="array" ref="AF132">SUM(IF(BPrevACCT=T132,IF(BPREVPROD=S129,BPrev8)))</f>
        <v>-32136</v>
      </c>
      <c r="AG132" s="1458">
        <f t="array" ref="AG132">SUM(IF(BPrevACCT=T132,IF(BPREVPROD=S129,BPrev9)))</f>
        <v>2369</v>
      </c>
      <c r="AH132" s="1458">
        <f t="array" ref="AH132">SUM(IF(BPrevACCT=T132,IF(BPREVPROD=S129,BPrev10)))</f>
        <v>10575</v>
      </c>
      <c r="AI132" s="1458">
        <f t="array" ref="AI132">SUM(IF(BPrevACCT=T132,IF(BPREVPROD=S129,BPrev11)))</f>
        <v>2547</v>
      </c>
      <c r="AJ132" s="1458">
        <f t="array" ref="AJ132">SUM(IF(BPrevACCT=T132,IF(BPREVPROD=S129,BPrev12)))</f>
        <v>-16875</v>
      </c>
      <c r="AK132" s="306">
        <f t="shared" si="6"/>
        <v>-586589</v>
      </c>
      <c r="AL132" s="1571"/>
      <c r="AM132" s="1571"/>
      <c r="AN132" s="1571"/>
      <c r="AO132" s="1571"/>
      <c r="AP132" s="1571"/>
      <c r="AQ132" s="1571"/>
      <c r="AR132" s="1571"/>
      <c r="AS132" s="1571"/>
      <c r="AT132" s="1571"/>
      <c r="AU132" s="1571"/>
      <c r="AV132" s="1571"/>
      <c r="AW132" s="1571"/>
      <c r="AX132" s="1571"/>
      <c r="AY132" s="1571"/>
      <c r="AZ132" s="1571"/>
      <c r="BA132" s="1571"/>
      <c r="BB132" s="1571"/>
      <c r="BC132" s="1571"/>
    </row>
    <row r="133" spans="1:55">
      <c r="A133" s="1571"/>
      <c r="B133" s="1571"/>
      <c r="C133" s="1571"/>
      <c r="D133" s="1571"/>
      <c r="E133" s="1571"/>
      <c r="F133" s="1571"/>
      <c r="G133" s="1571"/>
      <c r="H133" s="1571"/>
      <c r="I133" s="1571"/>
      <c r="J133" s="1571"/>
      <c r="K133" s="1571"/>
      <c r="L133" s="1571"/>
      <c r="M133" s="1571"/>
      <c r="N133" s="1571"/>
      <c r="O133" s="1571"/>
      <c r="P133" s="1571"/>
      <c r="Q133" s="1571"/>
      <c r="R133" s="1571"/>
      <c r="S133" s="412"/>
      <c r="T133" s="412">
        <v>444000</v>
      </c>
      <c r="U133" s="2741">
        <v>45</v>
      </c>
      <c r="V133" s="1571"/>
      <c r="W133" s="413" t="s">
        <v>718</v>
      </c>
      <c r="X133" s="1571"/>
      <c r="Y133" s="1458">
        <f t="array" ref="Y133">SUM(IF(BPrevACCT=T133,IF(BPREVPROD=S129,BPrev1)))</f>
        <v>-1603</v>
      </c>
      <c r="Z133" s="1458">
        <f t="array" ref="Z133">SUM(IF(BPrevACCT=T133,IF(BPREVPROD=S129,BPrev2)))</f>
        <v>-1569</v>
      </c>
      <c r="AA133" s="1458">
        <f t="array" ref="AA133">SUM(IF(BPrevACCT=T133,IF(BPREVPROD=S129,BPrev3)))</f>
        <v>-1567</v>
      </c>
      <c r="AB133" s="1458">
        <f t="array" ref="AB133">SUM(IF(BPrevACCT=T133,IF(BPREVPROD=S129,BPrev4)))</f>
        <v>-1879</v>
      </c>
      <c r="AC133" s="1458">
        <f t="array" ref="AC133">SUM(IF(BPrevACCT=T133,IF(BPREVPROD=S129,BPrev5)))</f>
        <v>-1915</v>
      </c>
      <c r="AD133" s="1458">
        <f t="array" ref="AD133">SUM(IF(BPrevACCT=T133,IF(BPREVPROD=S129,BPrev6)))</f>
        <v>-1886</v>
      </c>
      <c r="AE133" s="1458">
        <f t="array" ref="AE133">SUM(IF(BPrevACCT=T133,IF(BPREVPROD=S129,BPrev7)))</f>
        <v>-402</v>
      </c>
      <c r="AF133" s="1458">
        <f t="array" ref="AF133">SUM(IF(BPrevACCT=T133,IF(BPREVPROD=S129,BPrev8)))</f>
        <v>-590</v>
      </c>
      <c r="AG133" s="1458">
        <f t="array" ref="AG133">SUM(IF(BPrevACCT=T133,IF(BPREVPROD=S129,BPrev9)))</f>
        <v>44</v>
      </c>
      <c r="AH133" s="1458">
        <f t="array" ref="AH133">SUM(IF(BPrevACCT=T133,IF(BPREVPROD=S129,BPrev10)))</f>
        <v>197</v>
      </c>
      <c r="AI133" s="1458">
        <f t="array" ref="AI133">SUM(IF(BPrevACCT=T133,IF(BPREVPROD=S129,BPrev11)))</f>
        <v>47</v>
      </c>
      <c r="AJ133" s="1458">
        <f t="array" ref="AJ133">SUM(IF(BPrevACCT=T133,IF(BPREVPROD=S129,BPrev12)))</f>
        <v>-324</v>
      </c>
      <c r="AK133" s="306">
        <f t="shared" si="6"/>
        <v>-11447</v>
      </c>
      <c r="AL133" s="1571"/>
      <c r="AM133" s="1571"/>
      <c r="AN133" s="1571"/>
      <c r="AO133" s="1571"/>
      <c r="AP133" s="1571"/>
      <c r="AQ133" s="1571"/>
      <c r="AR133" s="1571"/>
      <c r="AS133" s="1571"/>
      <c r="AT133" s="1571"/>
      <c r="AU133" s="1571"/>
      <c r="AV133" s="1571"/>
      <c r="AW133" s="1571"/>
      <c r="AX133" s="1571"/>
      <c r="AY133" s="1571"/>
      <c r="AZ133" s="1571"/>
      <c r="BA133" s="1571"/>
      <c r="BB133" s="1571"/>
      <c r="BC133" s="1571"/>
    </row>
    <row r="134" spans="1:55">
      <c r="A134" s="1571"/>
      <c r="B134" s="1571"/>
      <c r="C134" s="1571"/>
      <c r="D134" s="1571"/>
      <c r="E134" s="1571"/>
      <c r="F134" s="1571"/>
      <c r="G134" s="1571"/>
      <c r="H134" s="1571"/>
      <c r="I134" s="1571"/>
      <c r="J134" s="1571"/>
      <c r="K134" s="1571"/>
      <c r="L134" s="1571"/>
      <c r="M134" s="1571"/>
      <c r="N134" s="1571"/>
      <c r="O134" s="1571"/>
      <c r="P134" s="1571"/>
      <c r="Q134" s="1571"/>
      <c r="R134" s="1571"/>
      <c r="S134" s="412"/>
      <c r="T134" s="412">
        <v>445000</v>
      </c>
      <c r="U134" s="2741">
        <v>46</v>
      </c>
      <c r="V134" s="1571"/>
      <c r="W134" s="413" t="s">
        <v>950</v>
      </c>
      <c r="X134" s="1571"/>
      <c r="Y134" s="1458">
        <f t="array" ref="Y134">SUM(IF(BPrevACCT=T134,IF(BPREVPROD=S129,BPrev1)))</f>
        <v>-29555</v>
      </c>
      <c r="Z134" s="1458">
        <f t="array" ref="Z134">SUM(IF(BPrevACCT=T134,IF(BPREVPROD=S129,BPrev2)))</f>
        <v>-29975</v>
      </c>
      <c r="AA134" s="1458">
        <f t="array" ref="AA134">SUM(IF(BPrevACCT=T134,IF(BPREVPROD=S129,BPrev3)))</f>
        <v>-26128</v>
      </c>
      <c r="AB134" s="1458">
        <f t="array" ref="AB134">SUM(IF(BPrevACCT=T134,IF(BPREVPROD=S129,BPrev4)))</f>
        <v>-33548</v>
      </c>
      <c r="AC134" s="1458">
        <f t="array" ref="AC134">SUM(IF(BPrevACCT=T134,IF(BPREVPROD=S129,BPrev5)))</f>
        <v>-32466</v>
      </c>
      <c r="AD134" s="1458">
        <f t="array" ref="AD134">SUM(IF(BPrevACCT=T134,IF(BPREVPROD=S129,BPrev6)))</f>
        <v>-34716</v>
      </c>
      <c r="AE134" s="1458">
        <f t="array" ref="AE134">SUM(IF(BPrevACCT=T134,IF(BPREVPROD=S129,BPrev7)))</f>
        <v>-7641</v>
      </c>
      <c r="AF134" s="1458">
        <f t="array" ref="AF134">SUM(IF(BPrevACCT=T134,IF(BPREVPROD=S129,BPrev8)))</f>
        <v>-11547</v>
      </c>
      <c r="AG134" s="1458">
        <f t="array" ref="AG134">SUM(IF(BPrevACCT=T134,IF(BPREVPROD=S129,BPrev9)))</f>
        <v>888</v>
      </c>
      <c r="AH134" s="1458">
        <f t="array" ref="AH134">SUM(IF(BPrevACCT=T134,IF(BPREVPROD=S129,BPrev10)))</f>
        <v>4251</v>
      </c>
      <c r="AI134" s="1458">
        <f t="array" ref="AI134">SUM(IF(BPrevACCT=T134,IF(BPREVPROD=S129,BPrev11)))</f>
        <v>905</v>
      </c>
      <c r="AJ134" s="1458">
        <f t="array" ref="AJ134">SUM(IF(BPrevACCT=T134,IF(BPREVPROD=S129,BPrev12)))</f>
        <v>-5652</v>
      </c>
      <c r="AK134" s="306">
        <f t="shared" si="6"/>
        <v>-205184</v>
      </c>
      <c r="AL134" s="1571"/>
      <c r="AM134" s="1571"/>
      <c r="AN134" s="1571"/>
      <c r="AO134" s="1571"/>
      <c r="AP134" s="1571"/>
      <c r="AQ134" s="1571"/>
      <c r="AR134" s="1571"/>
      <c r="AS134" s="1571"/>
      <c r="AT134" s="1571"/>
      <c r="AU134" s="1571"/>
      <c r="AV134" s="1571"/>
      <c r="AW134" s="1571"/>
      <c r="AX134" s="1571"/>
      <c r="AY134" s="1571"/>
      <c r="AZ134" s="1571"/>
      <c r="BA134" s="1571"/>
      <c r="BB134" s="1571"/>
      <c r="BC134" s="1571"/>
    </row>
    <row r="135" spans="1:55">
      <c r="A135" s="1571"/>
      <c r="B135" s="1571"/>
      <c r="C135" s="1571"/>
      <c r="D135" s="1571"/>
      <c r="E135" s="1571"/>
      <c r="F135" s="1571"/>
      <c r="G135" s="1571"/>
      <c r="H135" s="1571"/>
      <c r="I135" s="1571"/>
      <c r="J135" s="1571"/>
      <c r="K135" s="1571"/>
      <c r="L135" s="1571"/>
      <c r="M135" s="1571"/>
      <c r="N135" s="1571"/>
      <c r="O135" s="1571"/>
      <c r="P135" s="1571"/>
      <c r="Q135" s="1571"/>
      <c r="R135" s="1571"/>
      <c r="S135" s="412"/>
      <c r="T135" s="412"/>
      <c r="U135" s="2741">
        <v>47</v>
      </c>
      <c r="V135" s="1571"/>
      <c r="W135" s="1571"/>
      <c r="X135" s="1571"/>
      <c r="Y135" s="1458"/>
      <c r="Z135" s="1458"/>
      <c r="AA135" s="1458"/>
      <c r="AB135" s="1458"/>
      <c r="AC135" s="1458"/>
      <c r="AD135" s="1458"/>
      <c r="AE135" s="1458"/>
      <c r="AF135" s="1458"/>
      <c r="AG135" s="1458"/>
      <c r="AH135" s="1458"/>
      <c r="AI135" s="1458"/>
      <c r="AJ135" s="1458"/>
      <c r="AK135" s="306"/>
      <c r="AL135" s="1571"/>
      <c r="AM135" s="1571"/>
      <c r="AN135" s="1571"/>
      <c r="AO135" s="1571"/>
      <c r="AP135" s="1571"/>
      <c r="AQ135" s="1571"/>
      <c r="AR135" s="1571"/>
      <c r="AS135" s="1571"/>
      <c r="AT135" s="1571"/>
      <c r="AU135" s="1571"/>
      <c r="AV135" s="1571"/>
      <c r="AW135" s="1571"/>
      <c r="AX135" s="1571"/>
      <c r="AY135" s="1571"/>
      <c r="AZ135" s="1571"/>
      <c r="BA135" s="1571"/>
      <c r="BB135" s="1571"/>
      <c r="BC135" s="1571"/>
    </row>
    <row r="136" spans="1:55">
      <c r="A136" s="1571"/>
      <c r="B136" s="1571"/>
      <c r="C136" s="1571"/>
      <c r="D136" s="1571"/>
      <c r="E136" s="1571"/>
      <c r="F136" s="1571"/>
      <c r="G136" s="1571"/>
      <c r="H136" s="1571"/>
      <c r="I136" s="1571"/>
      <c r="J136" s="1571"/>
      <c r="K136" s="1571"/>
      <c r="L136" s="1571"/>
      <c r="M136" s="1571"/>
      <c r="N136" s="1571"/>
      <c r="O136" s="1571"/>
      <c r="P136" s="1571"/>
      <c r="Q136" s="1571"/>
      <c r="R136" s="1571"/>
      <c r="S136" s="412"/>
      <c r="T136" s="412">
        <v>447</v>
      </c>
      <c r="U136" s="2741">
        <v>48</v>
      </c>
      <c r="V136" s="1571"/>
      <c r="W136" s="1571" t="s">
        <v>1388</v>
      </c>
      <c r="X136" s="1571"/>
      <c r="Y136" s="1462">
        <f t="array" ref="Y136">SUM(IF(FERCBP=T136,Base1))</f>
        <v>2931217</v>
      </c>
      <c r="Z136" s="1462">
        <f t="array" ref="Z136">SUM(IF(FERCBP=T136,Base2))</f>
        <v>1775211</v>
      </c>
      <c r="AA136" s="1462">
        <f t="array" ref="AA136">SUM(IF(FERCBP=T136,Base3))</f>
        <v>1608680</v>
      </c>
      <c r="AB136" s="1462">
        <f t="array" ref="AB136">SUM(IF(FERCBP=T136,Base4))</f>
        <v>3515082</v>
      </c>
      <c r="AC136" s="1462">
        <f t="array" ref="AC136">SUM(IF(FERCBP=T136,Base5))</f>
        <v>2495303</v>
      </c>
      <c r="AD136" s="1462">
        <f t="array" ref="AD136">SUM(IF(FERCBP=T136,Base6))</f>
        <v>1297999</v>
      </c>
      <c r="AE136" s="1462">
        <f t="array" ref="AE136">SUM(IF(FERCBP=T136,Base7))</f>
        <v>672000</v>
      </c>
      <c r="AF136" s="1462">
        <f t="array" ref="AF136">SUM(IF(FERCBP=T136,Base8))</f>
        <v>835000</v>
      </c>
      <c r="AG136" s="1462">
        <f t="array" ref="AG136">SUM(IF(FERCBP=T136,Base9))</f>
        <v>716000</v>
      </c>
      <c r="AH136" s="1462">
        <f t="array" ref="AH136">SUM(IF(FERCBP=T136,Base10))</f>
        <v>619000</v>
      </c>
      <c r="AI136" s="1462">
        <f t="array" ref="AI136">SUM(IF(FERCBP=T136,Base11))</f>
        <v>898000</v>
      </c>
      <c r="AJ136" s="1462">
        <f t="array" ref="AJ136">SUM(IF(FERCBP=T136,Base12))</f>
        <v>569000</v>
      </c>
      <c r="AK136" s="306">
        <f t="shared" si="6"/>
        <v>17932492</v>
      </c>
      <c r="AL136" s="1571"/>
      <c r="AM136" s="1571"/>
      <c r="AN136" s="1571"/>
      <c r="AO136" s="1571"/>
      <c r="AP136" s="1571"/>
      <c r="AQ136" s="1571"/>
      <c r="AR136" s="1571"/>
      <c r="AS136" s="1571"/>
      <c r="AT136" s="1571"/>
      <c r="AU136" s="1571"/>
      <c r="AV136" s="1571"/>
      <c r="AW136" s="1571"/>
      <c r="AX136" s="1571"/>
      <c r="AY136" s="1571"/>
      <c r="AZ136" s="1571"/>
      <c r="BA136" s="1571"/>
      <c r="BB136" s="1571"/>
      <c r="BC136" s="1571"/>
    </row>
    <row r="137" spans="1:55">
      <c r="A137" s="1571"/>
      <c r="B137" s="1571"/>
      <c r="C137" s="1571"/>
      <c r="D137" s="1571"/>
      <c r="E137" s="1571"/>
      <c r="F137" s="1571"/>
      <c r="G137" s="1571"/>
      <c r="H137" s="1571"/>
      <c r="I137" s="1571"/>
      <c r="J137" s="1571"/>
      <c r="K137" s="1571"/>
      <c r="L137" s="1571"/>
      <c r="M137" s="1571"/>
      <c r="N137" s="1571"/>
      <c r="O137" s="1571"/>
      <c r="P137" s="1571"/>
      <c r="Q137" s="1571"/>
      <c r="R137" s="1571"/>
      <c r="S137" s="412"/>
      <c r="T137" s="412"/>
      <c r="U137" s="2741">
        <v>49</v>
      </c>
      <c r="V137" s="1571"/>
      <c r="W137" s="1571"/>
      <c r="X137" s="1571"/>
      <c r="Y137" s="1458"/>
      <c r="Z137" s="1458"/>
      <c r="AA137" s="1458"/>
      <c r="AB137" s="1458"/>
      <c r="AC137" s="1458"/>
      <c r="AD137" s="1458"/>
      <c r="AE137" s="1458"/>
      <c r="AF137" s="1458"/>
      <c r="AG137" s="1458"/>
      <c r="AH137" s="1458"/>
      <c r="AI137" s="1458"/>
      <c r="AJ137" s="1458"/>
      <c r="AK137" s="306"/>
      <c r="AL137" s="1571"/>
      <c r="AM137" s="1571"/>
      <c r="AN137" s="1571"/>
      <c r="AO137" s="1571"/>
      <c r="AP137" s="1571"/>
      <c r="AQ137" s="1571"/>
      <c r="AR137" s="1571"/>
      <c r="AS137" s="1571"/>
      <c r="AT137" s="1571"/>
      <c r="AU137" s="1571"/>
      <c r="AV137" s="1571"/>
      <c r="AW137" s="1571"/>
      <c r="AX137" s="1571"/>
      <c r="AY137" s="1571"/>
      <c r="AZ137" s="1571"/>
      <c r="BA137" s="1571"/>
      <c r="BB137" s="1571"/>
      <c r="BC137" s="1571"/>
    </row>
    <row r="138" spans="1:55">
      <c r="A138" s="1571"/>
      <c r="B138" s="1571"/>
      <c r="C138" s="1571"/>
      <c r="D138" s="1571"/>
      <c r="E138" s="1571"/>
      <c r="F138" s="1571"/>
      <c r="G138" s="1571"/>
      <c r="H138" s="1571"/>
      <c r="I138" s="1571"/>
      <c r="J138" s="1571"/>
      <c r="K138" s="1571"/>
      <c r="L138" s="1571"/>
      <c r="M138" s="1571"/>
      <c r="N138" s="1571"/>
      <c r="O138" s="1571"/>
      <c r="P138" s="1571"/>
      <c r="Q138" s="1571"/>
      <c r="R138" s="1571"/>
      <c r="S138" s="412"/>
      <c r="T138" s="412">
        <v>449</v>
      </c>
      <c r="U138" s="2741">
        <v>50</v>
      </c>
      <c r="V138" s="1571"/>
      <c r="W138" s="1571" t="s">
        <v>2168</v>
      </c>
      <c r="X138" s="1571"/>
      <c r="Y138" s="1458">
        <f t="array" ref="Y138">SUM(IF(FERCBP=T138,Base1))</f>
        <v>-379172</v>
      </c>
      <c r="Z138" s="1458">
        <f t="array" ref="Z138">SUM(IF(FERCBP=T138,Base2))</f>
        <v>93347</v>
      </c>
      <c r="AA138" s="1458">
        <f t="array" ref="AA138">SUM(IF(FERCBP=T138,Base3))</f>
        <v>225359</v>
      </c>
      <c r="AB138" s="1458">
        <f t="array" ref="AB138">SUM(IF(FERCBP=T138,Base4))</f>
        <v>-308596</v>
      </c>
      <c r="AC138" s="1458">
        <f t="array" ref="AC138">SUM(IF(FERCBP=T138,Base5))</f>
        <v>257601</v>
      </c>
      <c r="AD138" s="1458">
        <f t="array" ref="AD138">SUM(IF(FERCBP=T138,Base6))</f>
        <v>684721</v>
      </c>
      <c r="AE138" s="1458">
        <f t="array" ref="AE138">SUM(IF(FERCBP=T138,Base7))</f>
        <v>0</v>
      </c>
      <c r="AF138" s="1458">
        <f t="array" ref="AF138">SUM(IF(FERCBP=T138,Base8))</f>
        <v>0</v>
      </c>
      <c r="AG138" s="1458">
        <f t="array" ref="AG138">SUM(IF(FERCBP=T138,Base9))</f>
        <v>0</v>
      </c>
      <c r="AH138" s="1458">
        <f t="array" ref="AH138">SUM(IF(FERCBP=T138,Base10))</f>
        <v>0</v>
      </c>
      <c r="AI138" s="1458">
        <f t="array" ref="AI138">SUM(IF(FERCBP=T138,Base11))</f>
        <v>0</v>
      </c>
      <c r="AJ138" s="1458">
        <f t="array" ref="AJ138">SUM(IF(FERCBP=T138,Base12))</f>
        <v>0</v>
      </c>
      <c r="AK138" s="306">
        <f t="shared" si="6"/>
        <v>573260</v>
      </c>
      <c r="AL138" s="1571"/>
      <c r="AM138" s="1571"/>
      <c r="AN138" s="1571"/>
      <c r="AO138" s="1571"/>
      <c r="AP138" s="1571"/>
      <c r="AQ138" s="1571"/>
      <c r="AR138" s="1571"/>
      <c r="AS138" s="1571"/>
      <c r="AT138" s="1571"/>
      <c r="AU138" s="1571"/>
      <c r="AV138" s="1571"/>
      <c r="AW138" s="1571"/>
      <c r="AX138" s="1571"/>
      <c r="AY138" s="1571"/>
      <c r="AZ138" s="1571"/>
      <c r="BA138" s="1571"/>
      <c r="BB138" s="1571"/>
      <c r="BC138" s="1571"/>
    </row>
    <row r="139" spans="1:55">
      <c r="A139" s="1571"/>
      <c r="B139" s="1571"/>
      <c r="C139" s="1571"/>
      <c r="D139" s="1571"/>
      <c r="E139" s="1571"/>
      <c r="F139" s="1571"/>
      <c r="G139" s="1571"/>
      <c r="H139" s="1571"/>
      <c r="I139" s="1571"/>
      <c r="J139" s="1571"/>
      <c r="K139" s="1571"/>
      <c r="L139" s="1571"/>
      <c r="M139" s="1571"/>
      <c r="N139" s="1571"/>
      <c r="O139" s="1571"/>
      <c r="P139" s="1571"/>
      <c r="Q139" s="1571"/>
      <c r="R139" s="1571"/>
      <c r="S139" s="412"/>
      <c r="T139" s="412">
        <v>451</v>
      </c>
      <c r="U139" s="2741">
        <v>51</v>
      </c>
      <c r="V139" s="1571"/>
      <c r="W139" s="1571" t="s">
        <v>1803</v>
      </c>
      <c r="X139" s="1571"/>
      <c r="Y139" s="1458">
        <f t="array" ref="Y139">SUM(IF(FERCBP=T139,Base1))</f>
        <v>26203</v>
      </c>
      <c r="Z139" s="1458">
        <f t="array" ref="Z139">SUM(IF(FERCBP=T139,Base2))</f>
        <v>19479</v>
      </c>
      <c r="AA139" s="1458">
        <f t="array" ref="AA139">SUM(IF(FERCBP=T139,Base3))</f>
        <v>18855</v>
      </c>
      <c r="AB139" s="1458">
        <f t="array" ref="AB139">SUM(IF(FERCBP=T139,Base4))</f>
        <v>18420</v>
      </c>
      <c r="AC139" s="1458">
        <f t="array" ref="AC139">SUM(IF(FERCBP=T139,Base5))</f>
        <v>23169</v>
      </c>
      <c r="AD139" s="1458">
        <f t="array" ref="AD139">SUM(IF(FERCBP=T139,Base6))</f>
        <v>29563</v>
      </c>
      <c r="AE139" s="1458">
        <f t="array" ref="AE139">SUM(IF(FERCBP=T139,Base7))</f>
        <v>24792</v>
      </c>
      <c r="AF139" s="1458">
        <f t="array" ref="AF139">SUM(IF(FERCBP=T139,Base8))</f>
        <v>24792</v>
      </c>
      <c r="AG139" s="1458">
        <f t="array" ref="AG139">SUM(IF(FERCBP=T139,Base9))</f>
        <v>24792</v>
      </c>
      <c r="AH139" s="1458">
        <f t="array" ref="AH139">SUM(IF(FERCBP=T139,Base10))</f>
        <v>24792</v>
      </c>
      <c r="AI139" s="1458">
        <f t="array" ref="AI139">SUM(IF(FERCBP=T139,Base11))</f>
        <v>24792</v>
      </c>
      <c r="AJ139" s="1458">
        <f t="array" ref="AJ139">SUM(IF(FERCBP=T139,Base12))</f>
        <v>24792</v>
      </c>
      <c r="AK139" s="306">
        <f t="shared" si="6"/>
        <v>284441</v>
      </c>
      <c r="AL139" s="1571"/>
      <c r="AM139" s="1571"/>
      <c r="AN139" s="1571"/>
      <c r="AO139" s="1571"/>
      <c r="AP139" s="1571"/>
      <c r="AQ139" s="1571"/>
      <c r="AR139" s="1571"/>
      <c r="AS139" s="1571"/>
      <c r="AT139" s="1571"/>
      <c r="AU139" s="1571"/>
      <c r="AV139" s="1571"/>
      <c r="AW139" s="1571"/>
      <c r="AX139" s="1571"/>
      <c r="AY139" s="1571"/>
      <c r="AZ139" s="1571"/>
      <c r="BA139" s="1571"/>
      <c r="BB139" s="1571"/>
      <c r="BC139" s="1571"/>
    </row>
    <row r="140" spans="1:55">
      <c r="A140" s="1571"/>
      <c r="B140" s="1571"/>
      <c r="C140" s="1571"/>
      <c r="D140" s="1571"/>
      <c r="E140" s="1571"/>
      <c r="F140" s="1571"/>
      <c r="G140" s="1571"/>
      <c r="H140" s="1571"/>
      <c r="I140" s="1571"/>
      <c r="J140" s="1571"/>
      <c r="K140" s="1571"/>
      <c r="L140" s="1571"/>
      <c r="M140" s="1571"/>
      <c r="N140" s="1571"/>
      <c r="O140" s="1571"/>
      <c r="P140" s="1571"/>
      <c r="Q140" s="1571"/>
      <c r="R140" s="1571"/>
      <c r="S140" s="412"/>
      <c r="T140" s="412">
        <v>453</v>
      </c>
      <c r="U140" s="2741">
        <v>52</v>
      </c>
      <c r="V140" s="1571"/>
      <c r="W140" s="1571" t="str">
        <f>'BASE PERIOD'!B65</f>
        <v>Intercompany Sales of Water</v>
      </c>
      <c r="X140" s="1571"/>
      <c r="Y140" s="1458">
        <f t="array" ref="Y140">SUM(IF(FERCBP=T140,Base1))</f>
        <v>85000</v>
      </c>
      <c r="Z140" s="1458">
        <f t="array" ref="Z140">SUM(IF(FERCBP=T140,Base2))</f>
        <v>9819</v>
      </c>
      <c r="AA140" s="1458">
        <f t="array" ref="AA140">SUM(IF(FERCBP=T140,Base3))</f>
        <v>9819</v>
      </c>
      <c r="AB140" s="1458">
        <f t="array" ref="AB140">SUM(IF(FERCBP=T140,Base4))</f>
        <v>9819</v>
      </c>
      <c r="AC140" s="1458">
        <f t="array" ref="AC140">SUM(IF(FERCBP=T140,Base5))</f>
        <v>0</v>
      </c>
      <c r="AD140" s="1458">
        <f t="array" ref="AD140">SUM(IF(FERCBP=T140,Base6))</f>
        <v>0</v>
      </c>
      <c r="AE140" s="1458">
        <f t="array" ref="AE140">SUM(IF(FERCBP=T140,Base7))</f>
        <v>0</v>
      </c>
      <c r="AF140" s="1458">
        <f t="array" ref="AF140">SUM(IF(FERCBP=T140,Base8))</f>
        <v>0</v>
      </c>
      <c r="AG140" s="1458">
        <f t="array" ref="AG140">SUM(IF(FERCBP=T140,Base9))</f>
        <v>0</v>
      </c>
      <c r="AH140" s="1458">
        <f t="array" ref="AH140">SUM(IF(FERCBP=T140,Base10))</f>
        <v>0</v>
      </c>
      <c r="AI140" s="1458">
        <f t="array" ref="AI140">SUM(IF(FERCBP=T140,Base11))</f>
        <v>0</v>
      </c>
      <c r="AJ140" s="1458">
        <f t="array" ref="AJ140">SUM(IF(FERCBP=T140,Base12))</f>
        <v>0</v>
      </c>
      <c r="AK140" s="306">
        <f>SUM(Y140:AJ140)</f>
        <v>114457</v>
      </c>
      <c r="AL140" s="1571"/>
      <c r="AM140" s="1571"/>
      <c r="AN140" s="1571"/>
      <c r="AO140" s="1571"/>
      <c r="AP140" s="1571"/>
      <c r="AQ140" s="1571"/>
      <c r="AR140" s="1571"/>
      <c r="AS140" s="1571"/>
      <c r="AT140" s="1571"/>
      <c r="AU140" s="1571"/>
      <c r="AV140" s="1571"/>
      <c r="AW140" s="1571"/>
      <c r="AX140" s="1571"/>
      <c r="AY140" s="1571"/>
      <c r="AZ140" s="1571"/>
      <c r="BA140" s="1571"/>
      <c r="BB140" s="1571"/>
      <c r="BC140" s="1571"/>
    </row>
    <row r="141" spans="1:55">
      <c r="A141" s="1571"/>
      <c r="B141" s="1571"/>
      <c r="C141" s="1571"/>
      <c r="D141" s="1571"/>
      <c r="E141" s="1571"/>
      <c r="F141" s="1571"/>
      <c r="G141" s="1571"/>
      <c r="H141" s="1571"/>
      <c r="I141" s="1571"/>
      <c r="J141" s="1571"/>
      <c r="K141" s="1571"/>
      <c r="L141" s="1571"/>
      <c r="M141" s="1571"/>
      <c r="N141" s="1571"/>
      <c r="O141" s="1571"/>
      <c r="P141" s="1571"/>
      <c r="Q141" s="1571"/>
      <c r="R141" s="1571"/>
      <c r="S141" s="412"/>
      <c r="T141" s="412">
        <v>454</v>
      </c>
      <c r="U141" s="2741">
        <v>53</v>
      </c>
      <c r="V141" s="1571"/>
      <c r="W141" s="1571" t="s">
        <v>2241</v>
      </c>
      <c r="X141" s="1571"/>
      <c r="Y141" s="1458">
        <f t="array" ref="Y141">SUM(IF(FERCBP=T141,Base1))</f>
        <v>32734</v>
      </c>
      <c r="Z141" s="1458">
        <f t="array" ref="Z141">SUM(IF(FERCBP=T141,Base2))</f>
        <v>113274</v>
      </c>
      <c r="AA141" s="1458">
        <f t="array" ref="AA141">SUM(IF(FERCBP=T141,Base3))</f>
        <v>66406</v>
      </c>
      <c r="AB141" s="1458">
        <f t="array" ref="AB141">SUM(IF(FERCBP=T141,Base4))</f>
        <v>73541</v>
      </c>
      <c r="AC141" s="1458">
        <f t="array" ref="AC141">SUM(IF(FERCBP=T141,Base5))</f>
        <v>73389</v>
      </c>
      <c r="AD141" s="1458">
        <f t="array" ref="AD141">SUM(IF(FERCBP=T141,Base6))</f>
        <v>75926</v>
      </c>
      <c r="AE141" s="1458">
        <f t="array" ref="AE141">SUM(IF(FERCBP=T141,Base7))</f>
        <v>102334</v>
      </c>
      <c r="AF141" s="1458">
        <f t="array" ref="AF141">SUM(IF(FERCBP=T141,Base8))</f>
        <v>102334</v>
      </c>
      <c r="AG141" s="1458">
        <f t="array" ref="AG141">SUM(IF(FERCBP=T141,Base9))</f>
        <v>102334</v>
      </c>
      <c r="AH141" s="1458">
        <f t="array" ref="AH141">SUM(IF(FERCBP=T141,Base10))</f>
        <v>102334</v>
      </c>
      <c r="AI141" s="1458">
        <f t="array" ref="AI141">SUM(IF(FERCBP=T141,Base11))</f>
        <v>102334</v>
      </c>
      <c r="AJ141" s="1458">
        <f t="array" ref="AJ141">SUM(IF(FERCBP=T141,Base12))</f>
        <v>102334</v>
      </c>
      <c r="AK141" s="306">
        <f t="shared" si="6"/>
        <v>1049274</v>
      </c>
      <c r="AL141" s="1571"/>
      <c r="AM141" s="1571"/>
      <c r="AN141" s="1571"/>
      <c r="AO141" s="1571"/>
      <c r="AP141" s="1571"/>
      <c r="AQ141" s="1571"/>
      <c r="AR141" s="1571"/>
      <c r="AS141" s="1571"/>
      <c r="AT141" s="1571"/>
      <c r="AU141" s="1571"/>
      <c r="AV141" s="1571"/>
      <c r="AW141" s="1571"/>
      <c r="AX141" s="1571"/>
      <c r="AY141" s="1571"/>
      <c r="AZ141" s="1571"/>
      <c r="BA141" s="1571"/>
      <c r="BB141" s="1571"/>
      <c r="BC141" s="1571"/>
    </row>
    <row r="142" spans="1:55">
      <c r="A142" s="1571"/>
      <c r="B142" s="1571"/>
      <c r="C142" s="1571"/>
      <c r="D142" s="1571"/>
      <c r="E142" s="1571"/>
      <c r="F142" s="1571"/>
      <c r="G142" s="1571"/>
      <c r="H142" s="1571"/>
      <c r="I142" s="1571"/>
      <c r="J142" s="1571"/>
      <c r="K142" s="1571"/>
      <c r="L142" s="1571"/>
      <c r="M142" s="1571"/>
      <c r="N142" s="1571"/>
      <c r="O142" s="1571"/>
      <c r="P142" s="1571"/>
      <c r="Q142" s="1571"/>
      <c r="R142" s="1571"/>
      <c r="S142" s="412"/>
      <c r="T142" s="412">
        <v>456</v>
      </c>
      <c r="U142" s="2741">
        <v>54</v>
      </c>
      <c r="V142" s="1571"/>
      <c r="W142" s="1571" t="s">
        <v>733</v>
      </c>
      <c r="X142" s="1571"/>
      <c r="Y142" s="306">
        <f t="array" ref="Y142">SUM(IF(FERCBP=T142,Base1))</f>
        <v>380606</v>
      </c>
      <c r="Z142" s="306">
        <f t="array" ref="Z142">SUM(IF(FERCBP=T142,Base2))</f>
        <v>259045</v>
      </c>
      <c r="AA142" s="306">
        <f t="array" ref="AA142">SUM(IF(FERCBP=T142,Base3))</f>
        <v>29777</v>
      </c>
      <c r="AB142" s="306">
        <f t="array" ref="AB142">SUM(IF(FERCBP=T142,Base4))</f>
        <v>232097</v>
      </c>
      <c r="AC142" s="306">
        <f t="array" ref="AC142">SUM(IF(FERCBP=T142,Base5))</f>
        <v>-34388</v>
      </c>
      <c r="AD142" s="306">
        <f t="array" ref="AD142">SUM(IF(FERCBP=T142,Base6))</f>
        <v>181933</v>
      </c>
      <c r="AE142" s="306">
        <f t="array" ref="AE142">SUM(IF(FERCBP=T142,Base7))</f>
        <v>241535</v>
      </c>
      <c r="AF142" s="306">
        <f t="array" ref="AF142">SUM(IF(FERCBP=T142,Base8))</f>
        <v>241535</v>
      </c>
      <c r="AG142" s="306">
        <f t="array" ref="AG142">SUM(IF(FERCBP=T142,Base9))</f>
        <v>241535</v>
      </c>
      <c r="AH142" s="306">
        <f t="array" ref="AH142">SUM(IF(FERCBP=T142,Base10))</f>
        <v>241535</v>
      </c>
      <c r="AI142" s="306">
        <f t="array" ref="AI142">SUM(IF(FERCBP=T142,Base11))</f>
        <v>241535</v>
      </c>
      <c r="AJ142" s="306">
        <f t="array" ref="AJ142">SUM(IF(FERCBP=T142,Base12))</f>
        <v>241535</v>
      </c>
      <c r="AK142" s="306">
        <f>SUM(Y142:AJ142)</f>
        <v>2498280</v>
      </c>
      <c r="AL142" s="1571"/>
      <c r="AM142" s="1571"/>
      <c r="AN142" s="1571"/>
      <c r="AO142" s="1571"/>
      <c r="AP142" s="1571"/>
      <c r="AQ142" s="1571"/>
      <c r="AR142" s="1571"/>
      <c r="AS142" s="1571"/>
      <c r="AT142" s="1571"/>
      <c r="AU142" s="1571"/>
      <c r="AV142" s="1571"/>
      <c r="AW142" s="1571"/>
      <c r="AX142" s="1571"/>
      <c r="AY142" s="1571"/>
      <c r="AZ142" s="1571"/>
      <c r="BA142" s="1571"/>
      <c r="BB142" s="1571"/>
      <c r="BC142" s="1571"/>
    </row>
    <row r="143" spans="1:55">
      <c r="A143" s="1571"/>
      <c r="B143" s="1571"/>
      <c r="C143" s="1571"/>
      <c r="D143" s="1571"/>
      <c r="E143" s="1571"/>
      <c r="F143" s="1571"/>
      <c r="G143" s="1571"/>
      <c r="H143" s="1571"/>
      <c r="I143" s="1571"/>
      <c r="J143" s="1571"/>
      <c r="K143" s="1571"/>
      <c r="L143" s="1571"/>
      <c r="M143" s="1571"/>
      <c r="N143" s="1571"/>
      <c r="O143" s="1571"/>
      <c r="P143" s="1571"/>
      <c r="Q143" s="1571"/>
      <c r="R143" s="1571"/>
      <c r="S143" s="412"/>
      <c r="T143" s="412">
        <v>457</v>
      </c>
      <c r="U143" s="2741">
        <v>55</v>
      </c>
      <c r="V143" s="1571"/>
      <c r="W143" s="1571" t="s">
        <v>3227</v>
      </c>
      <c r="X143" s="1571"/>
      <c r="Y143" s="317">
        <f t="array" ref="Y143">SUM(IF(FERCBP=T143,Base1))</f>
        <v>1100470</v>
      </c>
      <c r="Z143" s="317">
        <f t="array" ref="Z143">SUM(IF(FERCBP=T143,Base2))</f>
        <v>24057</v>
      </c>
      <c r="AA143" s="317">
        <f t="array" ref="AA143">SUM(IF(FERCBP=T143,Base3))</f>
        <v>20577</v>
      </c>
      <c r="AB143" s="317">
        <f t="array" ref="AB143">SUM(IF(FERCBP=T143,Base4))</f>
        <v>636104</v>
      </c>
      <c r="AC143" s="317">
        <f t="array" ref="AC143">SUM(IF(FERCBP=T143,Base5))</f>
        <v>177768</v>
      </c>
      <c r="AD143" s="317">
        <f t="array" ref="AD143">SUM(IF(FERCBP=T143,Base6))</f>
        <v>171847</v>
      </c>
      <c r="AE143" s="317">
        <f t="array" ref="AE143">SUM(IF(FERCBP=T143,Base7))</f>
        <v>0</v>
      </c>
      <c r="AF143" s="317">
        <f t="array" ref="AF143">SUM(IF(FERCBP=T143,Base8))</f>
        <v>0</v>
      </c>
      <c r="AG143" s="317">
        <f t="array" ref="AG143">SUM(IF(FERCBP=T143,Base9))</f>
        <v>0</v>
      </c>
      <c r="AH143" s="317">
        <f t="array" ref="AH143">SUM(IF(FERCBP=T143,Base10))</f>
        <v>0</v>
      </c>
      <c r="AI143" s="317">
        <f t="array" ref="AI143">SUM(IF(FERCBP=T143,Base11))</f>
        <v>0</v>
      </c>
      <c r="AJ143" s="317">
        <f t="array" ref="AJ143">SUM(IF(FERCBP=T143,Base12))</f>
        <v>0</v>
      </c>
      <c r="AK143" s="317">
        <f>SUM(Y143:AJ143)</f>
        <v>2130823</v>
      </c>
      <c r="AL143" s="1571"/>
      <c r="AM143" s="1571"/>
      <c r="AN143" s="1571"/>
      <c r="AO143" s="1571"/>
      <c r="AP143" s="1571"/>
      <c r="AQ143" s="1571"/>
      <c r="AR143" s="1571"/>
      <c r="AS143" s="1571"/>
      <c r="AT143" s="1571"/>
      <c r="AU143" s="1571"/>
      <c r="AV143" s="1571"/>
      <c r="AW143" s="1571"/>
      <c r="AX143" s="1571"/>
      <c r="AY143" s="1571"/>
      <c r="AZ143" s="1571"/>
      <c r="BA143" s="1571"/>
      <c r="BB143" s="1571"/>
      <c r="BC143" s="1571"/>
    </row>
    <row r="144" spans="1:55">
      <c r="A144" s="1571"/>
      <c r="B144" s="1571"/>
      <c r="C144" s="1571"/>
      <c r="D144" s="1571"/>
      <c r="E144" s="1571"/>
      <c r="F144" s="1571"/>
      <c r="G144" s="1571"/>
      <c r="H144" s="1571"/>
      <c r="I144" s="1571"/>
      <c r="J144" s="1571"/>
      <c r="K144" s="1571"/>
      <c r="L144" s="1571"/>
      <c r="M144" s="1571"/>
      <c r="N144" s="1571"/>
      <c r="O144" s="1571"/>
      <c r="P144" s="1571"/>
      <c r="Q144" s="1571"/>
      <c r="R144" s="1571"/>
      <c r="S144" s="1571"/>
      <c r="T144" s="1571"/>
      <c r="U144" s="2741">
        <v>56</v>
      </c>
      <c r="V144" s="1571"/>
      <c r="W144" s="1571"/>
      <c r="X144" s="1571"/>
      <c r="Y144" s="1458"/>
      <c r="Z144" s="1458"/>
      <c r="AA144" s="1458"/>
      <c r="AB144" s="1458"/>
      <c r="AC144" s="1458"/>
      <c r="AD144" s="1458"/>
      <c r="AE144" s="1458"/>
      <c r="AF144" s="1458"/>
      <c r="AG144" s="1458"/>
      <c r="AH144" s="1458"/>
      <c r="AI144" s="1458"/>
      <c r="AJ144" s="1458"/>
      <c r="AK144" s="306"/>
      <c r="AL144" s="1571"/>
      <c r="AM144" s="1571"/>
      <c r="AN144" s="1571"/>
      <c r="AO144" s="1571"/>
      <c r="AP144" s="1571"/>
      <c r="AQ144" s="1571"/>
      <c r="AR144" s="1571"/>
      <c r="AS144" s="1571"/>
      <c r="AT144" s="1571"/>
      <c r="AU144" s="1571"/>
      <c r="AV144" s="1571"/>
      <c r="AW144" s="1571"/>
      <c r="AX144" s="1571"/>
      <c r="AY144" s="1571"/>
      <c r="AZ144" s="1571"/>
      <c r="BA144" s="1571"/>
      <c r="BB144" s="1571"/>
      <c r="BC144" s="1571"/>
    </row>
    <row r="145" spans="1:55" ht="13.5" thickBot="1">
      <c r="A145" s="1571"/>
      <c r="B145" s="1571"/>
      <c r="C145" s="1571"/>
      <c r="D145" s="1571"/>
      <c r="E145" s="1571"/>
      <c r="F145" s="1571"/>
      <c r="G145" s="1571"/>
      <c r="H145" s="1571"/>
      <c r="I145" s="1571"/>
      <c r="J145" s="1571"/>
      <c r="K145" s="1571"/>
      <c r="L145" s="1571"/>
      <c r="M145" s="1571"/>
      <c r="N145" s="1571"/>
      <c r="O145" s="1571"/>
      <c r="P145" s="1571"/>
      <c r="Q145" s="1571"/>
      <c r="R145" s="1571"/>
      <c r="S145" s="1571"/>
      <c r="T145" s="1571"/>
      <c r="U145" s="2741">
        <v>57</v>
      </c>
      <c r="V145" s="1571"/>
      <c r="W145" s="1571" t="s">
        <v>1243</v>
      </c>
      <c r="X145" s="1571"/>
      <c r="Y145" s="417">
        <f t="shared" ref="Y145:AK145" si="7">SUM(Y90:Y95)+SUM(Y98:Y102)+Y120+SUM(Y123:Y127)+SUM(Y130:Y134)+Y136+SUM(Y138:Y143)</f>
        <v>30880645</v>
      </c>
      <c r="Z145" s="417">
        <f t="shared" si="7"/>
        <v>28730753</v>
      </c>
      <c r="AA145" s="417">
        <f t="shared" si="7"/>
        <v>25025715</v>
      </c>
      <c r="AB145" s="417">
        <f t="shared" si="7"/>
        <v>27158951</v>
      </c>
      <c r="AC145" s="417">
        <f t="shared" si="7"/>
        <v>24090861</v>
      </c>
      <c r="AD145" s="417">
        <f t="shared" si="7"/>
        <v>24941038</v>
      </c>
      <c r="AE145" s="417">
        <f t="shared" si="7"/>
        <v>28397227</v>
      </c>
      <c r="AF145" s="417">
        <f t="shared" si="7"/>
        <v>31283803</v>
      </c>
      <c r="AG145" s="417">
        <f t="shared" si="7"/>
        <v>29934902</v>
      </c>
      <c r="AH145" s="417">
        <f t="shared" si="7"/>
        <v>26273315</v>
      </c>
      <c r="AI145" s="417">
        <f t="shared" si="7"/>
        <v>24995821</v>
      </c>
      <c r="AJ145" s="417">
        <f t="shared" si="7"/>
        <v>24739307</v>
      </c>
      <c r="AK145" s="417">
        <f t="shared" si="7"/>
        <v>326452338</v>
      </c>
      <c r="AL145" s="1571"/>
      <c r="AM145" s="1571"/>
      <c r="AN145" s="1571"/>
      <c r="AO145" s="1571"/>
      <c r="AP145" s="1571"/>
      <c r="AQ145" s="1571"/>
      <c r="AR145" s="1571"/>
      <c r="AS145" s="1571"/>
      <c r="AT145" s="1571"/>
      <c r="AU145" s="1571"/>
      <c r="AV145" s="1571"/>
      <c r="AW145" s="1571"/>
      <c r="AX145" s="1571"/>
      <c r="AY145" s="1571"/>
      <c r="AZ145" s="1571"/>
      <c r="BA145" s="1571"/>
      <c r="BB145" s="1571"/>
      <c r="BC145" s="1571"/>
    </row>
    <row r="146" spans="1:55" ht="13.5" thickTop="1">
      <c r="A146" s="1571"/>
      <c r="B146" s="1571"/>
      <c r="C146" s="1571"/>
      <c r="D146" s="1571"/>
      <c r="E146" s="1571"/>
      <c r="F146" s="1571"/>
      <c r="G146" s="1571"/>
      <c r="H146" s="1571"/>
      <c r="I146" s="1571"/>
      <c r="J146" s="1571"/>
      <c r="K146" s="1571"/>
      <c r="L146" s="1571"/>
      <c r="M146" s="1571"/>
      <c r="N146" s="1571"/>
      <c r="O146" s="1571"/>
      <c r="P146" s="1571"/>
      <c r="Q146" s="1571"/>
      <c r="R146" s="1571"/>
      <c r="S146" s="1571"/>
      <c r="T146" s="1571"/>
      <c r="U146" s="2741"/>
      <c r="V146" s="1571"/>
      <c r="W146" s="1571"/>
      <c r="X146" s="1571"/>
      <c r="Y146" s="1571"/>
      <c r="Z146" s="1571"/>
      <c r="AA146" s="1571"/>
      <c r="AB146" s="1571"/>
      <c r="AC146" s="1571"/>
      <c r="AD146" s="1571"/>
      <c r="AE146" s="1571"/>
      <c r="AF146" s="1571"/>
      <c r="AG146" s="1571"/>
      <c r="AH146" s="1571"/>
      <c r="AI146" s="1571"/>
      <c r="AJ146" s="1571"/>
      <c r="AK146" s="1571"/>
      <c r="AL146" s="1571"/>
      <c r="AM146" s="1571"/>
      <c r="AN146" s="1571"/>
      <c r="AO146" s="1571"/>
      <c r="AP146" s="1571"/>
      <c r="AQ146" s="1571"/>
      <c r="AR146" s="1571"/>
      <c r="AS146" s="1571"/>
      <c r="AT146" s="1571"/>
      <c r="AU146" s="1571"/>
      <c r="AV146" s="1571"/>
      <c r="AW146" s="1571"/>
      <c r="AX146" s="1571"/>
      <c r="AY146" s="1571"/>
      <c r="AZ146" s="1571"/>
      <c r="BA146" s="1571"/>
      <c r="BB146" s="1571"/>
      <c r="BC146" s="1571"/>
    </row>
    <row r="147" spans="1:55">
      <c r="A147" s="1571"/>
      <c r="B147" s="1571"/>
      <c r="C147" s="1571"/>
      <c r="D147" s="1571"/>
      <c r="E147" s="1571"/>
      <c r="F147" s="1571"/>
      <c r="G147" s="1571"/>
      <c r="H147" s="1571"/>
      <c r="I147" s="1571"/>
      <c r="J147" s="1571"/>
      <c r="K147" s="1571"/>
      <c r="L147" s="1571"/>
      <c r="M147" s="1571"/>
      <c r="N147" s="1571"/>
      <c r="O147" s="1571"/>
      <c r="P147" s="1571"/>
      <c r="Q147" s="1571"/>
      <c r="R147" s="1571"/>
      <c r="S147" s="1571"/>
      <c r="T147" s="1571"/>
      <c r="U147" s="1571"/>
      <c r="V147" s="1571"/>
      <c r="W147" s="1571"/>
      <c r="X147" s="1571"/>
      <c r="Y147" s="1458">
        <f>'BASE PERIOD'!F225</f>
        <v>30880645</v>
      </c>
      <c r="Z147" s="1458">
        <f>'BASE PERIOD'!G225</f>
        <v>28730753</v>
      </c>
      <c r="AA147" s="1458">
        <f>'BASE PERIOD'!H225</f>
        <v>25025715</v>
      </c>
      <c r="AB147" s="1458">
        <f>'BASE PERIOD'!I225</f>
        <v>27158951</v>
      </c>
      <c r="AC147" s="1458">
        <f>'BASE PERIOD'!J225</f>
        <v>24090861</v>
      </c>
      <c r="AD147" s="1458">
        <f>'BASE PERIOD'!K225</f>
        <v>24941038</v>
      </c>
      <c r="AE147" s="1458">
        <f>'BASE PERIOD'!L225</f>
        <v>28397227</v>
      </c>
      <c r="AF147" s="1458">
        <f>'BASE PERIOD'!M225</f>
        <v>31283803</v>
      </c>
      <c r="AG147" s="1458">
        <f>'BASE PERIOD'!N225</f>
        <v>29934902</v>
      </c>
      <c r="AH147" s="1458">
        <f>'BASE PERIOD'!O225</f>
        <v>26273315</v>
      </c>
      <c r="AI147" s="1458">
        <f>'BASE PERIOD'!P225</f>
        <v>24995821</v>
      </c>
      <c r="AJ147" s="1458">
        <f>'BASE PERIOD'!Q225</f>
        <v>24739307</v>
      </c>
      <c r="AK147" s="306">
        <f>SUM(Y147:AJ147)</f>
        <v>326452338</v>
      </c>
      <c r="AL147" s="1571"/>
      <c r="AM147" s="1571"/>
      <c r="AN147" s="1571"/>
      <c r="AO147" s="1571"/>
      <c r="AP147" s="1571"/>
      <c r="AQ147" s="1571"/>
      <c r="AR147" s="1571"/>
      <c r="AS147" s="1571"/>
      <c r="AT147" s="1571"/>
      <c r="AU147" s="1571"/>
      <c r="AV147" s="1571"/>
      <c r="AW147" s="1571"/>
      <c r="AX147" s="1571"/>
      <c r="AY147" s="1571"/>
      <c r="AZ147" s="1571"/>
      <c r="BA147" s="1571"/>
      <c r="BB147" s="1571"/>
      <c r="BC147" s="1571"/>
    </row>
    <row r="148" spans="1:55">
      <c r="A148" s="1571"/>
      <c r="B148" s="1571"/>
      <c r="C148" s="1571"/>
      <c r="D148" s="1571"/>
      <c r="E148" s="1571"/>
      <c r="F148" s="1571"/>
      <c r="G148" s="1571"/>
      <c r="H148" s="1571"/>
      <c r="I148" s="1571"/>
      <c r="J148" s="1571"/>
      <c r="K148" s="1571"/>
      <c r="L148" s="1571"/>
      <c r="M148" s="1571"/>
      <c r="N148" s="1571"/>
      <c r="O148" s="1571"/>
      <c r="P148" s="1571"/>
      <c r="Q148" s="1571"/>
      <c r="R148" s="1571"/>
      <c r="S148" s="1571"/>
      <c r="T148" s="1571"/>
      <c r="U148" s="1571"/>
      <c r="V148" s="1571"/>
      <c r="W148" s="1571"/>
      <c r="X148" s="1571"/>
      <c r="Y148" s="1571"/>
      <c r="Z148" s="1571"/>
      <c r="AA148" s="1571"/>
      <c r="AB148" s="1571"/>
      <c r="AC148" s="1571"/>
      <c r="AD148" s="1571"/>
      <c r="AE148" s="1571"/>
      <c r="AF148" s="1571"/>
      <c r="AG148" s="1571"/>
      <c r="AH148" s="1571"/>
      <c r="AI148" s="1571"/>
      <c r="AJ148" s="1571"/>
      <c r="AK148" s="1571"/>
      <c r="AL148" s="1571"/>
      <c r="AM148" s="1571"/>
      <c r="AN148" s="1571"/>
      <c r="AO148" s="1571"/>
      <c r="AP148" s="1571"/>
      <c r="AQ148" s="1571"/>
      <c r="AR148" s="1571"/>
      <c r="AS148" s="1571"/>
      <c r="AT148" s="1571"/>
      <c r="AU148" s="1571"/>
      <c r="AV148" s="1571"/>
      <c r="AW148" s="1571"/>
      <c r="AX148" s="1571"/>
      <c r="AY148" s="1571"/>
      <c r="AZ148" s="1571"/>
      <c r="BA148" s="1571"/>
      <c r="BB148" s="1571"/>
      <c r="BC148" s="1571"/>
    </row>
    <row r="149" spans="1:55" ht="13.5" thickBot="1">
      <c r="A149" s="1571"/>
      <c r="B149" s="1571"/>
      <c r="C149" s="1571"/>
      <c r="D149" s="1571"/>
      <c r="E149" s="1571"/>
      <c r="F149" s="1571"/>
      <c r="G149" s="1571"/>
      <c r="H149" s="1571"/>
      <c r="I149" s="1571"/>
      <c r="J149" s="1571"/>
      <c r="K149" s="1571"/>
      <c r="L149" s="1571"/>
      <c r="M149" s="1571"/>
      <c r="N149" s="1571"/>
      <c r="O149" s="1571"/>
      <c r="P149" s="1571"/>
      <c r="Q149" s="1571"/>
      <c r="R149" s="1571"/>
      <c r="S149" s="1571"/>
      <c r="T149" s="1571"/>
      <c r="U149" s="1571"/>
      <c r="V149" s="1571"/>
      <c r="W149" s="1571"/>
      <c r="X149" s="1571"/>
      <c r="Y149" s="1458">
        <f t="shared" ref="Y149:AI149" si="8">Y145-Y147</f>
        <v>0</v>
      </c>
      <c r="Z149" s="1458">
        <f t="shared" si="8"/>
        <v>0</v>
      </c>
      <c r="AA149" s="1458">
        <f t="shared" si="8"/>
        <v>0</v>
      </c>
      <c r="AB149" s="1458">
        <f t="shared" si="8"/>
        <v>0</v>
      </c>
      <c r="AC149" s="1458">
        <f t="shared" si="8"/>
        <v>0</v>
      </c>
      <c r="AD149" s="1458">
        <f t="shared" si="8"/>
        <v>0</v>
      </c>
      <c r="AE149" s="1458">
        <f t="shared" si="8"/>
        <v>0</v>
      </c>
      <c r="AF149" s="1458">
        <f t="shared" si="8"/>
        <v>0</v>
      </c>
      <c r="AG149" s="1458">
        <f t="shared" si="8"/>
        <v>0</v>
      </c>
      <c r="AH149" s="1458">
        <f t="shared" si="8"/>
        <v>0</v>
      </c>
      <c r="AI149" s="1458">
        <f t="shared" si="8"/>
        <v>0</v>
      </c>
      <c r="AJ149" s="1458">
        <f>AJ145-AJ147</f>
        <v>0</v>
      </c>
      <c r="AK149" s="306">
        <f>SUM(Y149:AJ149)</f>
        <v>0</v>
      </c>
      <c r="AL149" s="1571"/>
      <c r="AM149" s="1571"/>
      <c r="AN149" s="1571"/>
      <c r="AO149" s="1571"/>
      <c r="AP149" s="1571"/>
      <c r="AQ149" s="1571"/>
      <c r="AR149" s="1571"/>
      <c r="AS149" s="1571"/>
      <c r="AT149" s="1571"/>
      <c r="AU149" s="1571"/>
      <c r="AV149" s="1571"/>
      <c r="AW149" s="1571"/>
      <c r="AX149" s="1571"/>
      <c r="AY149" s="1571"/>
      <c r="AZ149" s="1571"/>
      <c r="BA149" s="1571"/>
      <c r="BB149" s="1571"/>
      <c r="BC149" s="1571"/>
    </row>
    <row r="150" spans="1:55">
      <c r="A150" s="1571"/>
      <c r="B150" s="1571"/>
      <c r="C150" s="1571"/>
      <c r="D150" s="1571"/>
      <c r="E150" s="1571"/>
      <c r="F150" s="1571"/>
      <c r="G150" s="1571"/>
      <c r="H150" s="1571"/>
      <c r="I150" s="1571"/>
      <c r="J150" s="1571"/>
      <c r="K150" s="1571"/>
      <c r="L150" s="1571"/>
      <c r="M150" s="1571"/>
      <c r="N150" s="1571"/>
      <c r="O150" s="1571"/>
      <c r="P150" s="1571"/>
      <c r="Q150" s="1571"/>
      <c r="R150" s="1571"/>
      <c r="S150" s="1571"/>
      <c r="T150" s="1571"/>
      <c r="U150" s="1571"/>
      <c r="V150" s="1571"/>
      <c r="W150" s="418" t="s">
        <v>1385</v>
      </c>
      <c r="X150" s="419"/>
      <c r="Y150" s="420">
        <f>ROUND(SUM(Y113:Y118)/'KWH Sales'!H10,6)</f>
        <v>-5.9090000000000002E-3</v>
      </c>
      <c r="Z150" s="420">
        <f>ROUND(SUM(Z113:Z118)/'KWH Sales'!H11,6)</f>
        <v>-5.7829999999999999E-3</v>
      </c>
      <c r="AA150" s="420">
        <f>ROUND(SUM(AA113:AA118)/'KWH Sales'!H12,6)</f>
        <v>-5.0090000000000004E-3</v>
      </c>
      <c r="AB150" s="420">
        <f>ROUND(SUM(AB113:AB118)/'KWH Sales'!H13,6)</f>
        <v>-5.7670000000000004E-3</v>
      </c>
      <c r="AC150" s="420">
        <f>ROUND(SUM(AC113:AC118)/'KWH Sales'!H14,6)</f>
        <v>-7.5069999999999998E-3</v>
      </c>
      <c r="AD150" s="420">
        <f>ROUND(SUM(AD113:AD118)/'KWH Sales'!H15,6)</f>
        <v>-8.992E-3</v>
      </c>
      <c r="AE150" s="420">
        <f>ROUND(SUM(AE113:AE118)/'KWH Sales'!H16,6)</f>
        <v>-2.0509999999999999E-3</v>
      </c>
      <c r="AF150" s="420">
        <f>ROUND(SUM(AF113:AF118)/'KWH Sales'!H17,6)</f>
        <v>-1.129E-3</v>
      </c>
      <c r="AG150" s="420">
        <f>ROUND(SUM(AG113:AG118)/'KWH Sales'!H18,6)</f>
        <v>-1.25E-3</v>
      </c>
      <c r="AH150" s="420">
        <f>ROUND(SUM(AH113:AH118)/'KWH Sales'!H19,6)</f>
        <v>-9.3999999999999994E-5</v>
      </c>
      <c r="AI150" s="420">
        <f>ROUND(SUM(AI113:AI118)/'KWH Sales'!H20,6)</f>
        <v>-1.4790000000000001E-3</v>
      </c>
      <c r="AJ150" s="420">
        <f>ROUND(SUM(AJ113:AJ118)/'KWH Sales'!H21,6)</f>
        <v>-2.111E-3</v>
      </c>
      <c r="AK150" s="421">
        <f>ROUND(SUM(AK113:AK118)/'KWH Sales'!H23,6)</f>
        <v>-3.7780000000000001E-3</v>
      </c>
      <c r="AL150" s="1571"/>
      <c r="AM150" s="1571"/>
      <c r="AN150" s="1571"/>
      <c r="AO150" s="1571"/>
      <c r="AP150" s="1571"/>
      <c r="AQ150" s="1571"/>
      <c r="AR150" s="1571"/>
      <c r="AS150" s="1571"/>
      <c r="AT150" s="1571"/>
      <c r="AU150" s="1571"/>
      <c r="AV150" s="1571"/>
      <c r="AW150" s="1571"/>
      <c r="AX150" s="1571"/>
      <c r="AY150" s="1571"/>
      <c r="AZ150" s="1571"/>
      <c r="BA150" s="1571"/>
      <c r="BB150" s="1571"/>
      <c r="BC150" s="1571"/>
    </row>
    <row r="151" spans="1:55">
      <c r="A151" s="1571"/>
      <c r="B151" s="1571"/>
      <c r="C151" s="1571"/>
      <c r="D151" s="1571"/>
      <c r="E151" s="1571"/>
      <c r="F151" s="1571"/>
      <c r="G151" s="1571"/>
      <c r="H151" s="1571"/>
      <c r="I151" s="1571"/>
      <c r="J151" s="1571"/>
      <c r="K151" s="1571"/>
      <c r="L151" s="1571"/>
      <c r="M151" s="1571"/>
      <c r="N151" s="1571"/>
      <c r="O151" s="1571"/>
      <c r="P151" s="1571"/>
      <c r="Q151" s="1571"/>
      <c r="R151" s="1571"/>
      <c r="S151" s="1571"/>
      <c r="T151" s="1571"/>
      <c r="U151" s="1571"/>
      <c r="V151" s="1571"/>
      <c r="W151" s="422" t="s">
        <v>1386</v>
      </c>
      <c r="X151" s="234"/>
      <c r="Y151" s="423">
        <f>ROUND(SUM(Y105:Y110)/'KWH Sales'!H10,6)</f>
        <v>2.9117000000000001E-2</v>
      </c>
      <c r="Z151" s="423">
        <f>ROUND(SUM(Z105:Z110)/'KWH Sales'!H11,6)</f>
        <v>2.9117000000000001E-2</v>
      </c>
      <c r="AA151" s="423">
        <f>ROUND(SUM(AA105:AA110)/'KWH Sales'!H12,6)</f>
        <v>2.9117000000000001E-2</v>
      </c>
      <c r="AB151" s="423">
        <f>ROUND(SUM(AB105:AB110)/'KWH Sales'!H13,6)</f>
        <v>2.9117000000000001E-2</v>
      </c>
      <c r="AC151" s="423">
        <f>ROUND(SUM(AC105:AC110)/'KWH Sales'!H14,6)</f>
        <v>2.9117000000000001E-2</v>
      </c>
      <c r="AD151" s="423">
        <f>ROUND(SUM(AD105:AD110)/'KWH Sales'!H15,6)</f>
        <v>2.9117000000000001E-2</v>
      </c>
      <c r="AE151" s="423">
        <f>ROUND(SUM(AE105:AE110)/'KWH Sales'!J16,6)</f>
        <v>2.5746999999999999E-2</v>
      </c>
      <c r="AF151" s="423">
        <f>ROUND(SUM(AF105:AF110)/'KWH Sales'!J17,6)</f>
        <v>2.5746999999999999E-2</v>
      </c>
      <c r="AG151" s="423">
        <f>ROUND(SUM(AG105:AG110)/'KWH Sales'!J18,6)</f>
        <v>2.5746999999999999E-2</v>
      </c>
      <c r="AH151" s="423">
        <f>ROUND(SUM(AH105:AH110)/'KWH Sales'!J19,6)</f>
        <v>2.5746999999999999E-2</v>
      </c>
      <c r="AI151" s="423">
        <f>ROUND(SUM(AI105:AI110)/'KWH Sales'!J20,6)</f>
        <v>2.5746999999999999E-2</v>
      </c>
      <c r="AJ151" s="423">
        <f>ROUND(SUM(AJ105:AJ110)/'KWH Sales'!J21,6)</f>
        <v>2.5746999999999999E-2</v>
      </c>
      <c r="AK151" s="1455">
        <f>ROUND(SUM(AK105:AK110)/'KWH Sales'!H23,6)</f>
        <v>2.7373000000000001E-2</v>
      </c>
      <c r="AL151" s="1571"/>
      <c r="AM151" s="1571"/>
      <c r="AN151" s="1571"/>
      <c r="AO151" s="1571"/>
      <c r="AP151" s="1571"/>
      <c r="AQ151" s="1571"/>
      <c r="AR151" s="1571"/>
      <c r="AS151" s="1571"/>
      <c r="AT151" s="1571"/>
      <c r="AU151" s="1571"/>
      <c r="AV151" s="1571"/>
      <c r="AW151" s="1571"/>
      <c r="AX151" s="1571"/>
      <c r="AY151" s="1571"/>
      <c r="AZ151" s="1571"/>
      <c r="BA151" s="1571"/>
      <c r="BB151" s="1571"/>
      <c r="BC151" s="1571"/>
    </row>
    <row r="152" spans="1:55" ht="13.5" thickBot="1">
      <c r="A152" s="1571"/>
      <c r="B152" s="1571"/>
      <c r="C152" s="1571"/>
      <c r="D152" s="1571"/>
      <c r="E152" s="1571"/>
      <c r="F152" s="1571"/>
      <c r="G152" s="1571"/>
      <c r="H152" s="1571"/>
      <c r="I152" s="1571"/>
      <c r="J152" s="1571"/>
      <c r="K152" s="1571"/>
      <c r="L152" s="1571"/>
      <c r="M152" s="1571"/>
      <c r="N152" s="1571"/>
      <c r="O152" s="1571"/>
      <c r="P152" s="1571"/>
      <c r="Q152" s="1571"/>
      <c r="R152" s="1571"/>
      <c r="S152" s="1571"/>
      <c r="T152" s="1571"/>
      <c r="U152" s="1571"/>
      <c r="V152" s="1571"/>
      <c r="W152" s="424" t="s">
        <v>1384</v>
      </c>
      <c r="X152" s="425"/>
      <c r="Y152" s="426">
        <f>Y151+Y150</f>
        <v>2.3207999999999999E-2</v>
      </c>
      <c r="Z152" s="426">
        <f t="shared" ref="Z152:AK152" si="9">Z151+Z150</f>
        <v>2.3334000000000001E-2</v>
      </c>
      <c r="AA152" s="426">
        <f t="shared" si="9"/>
        <v>2.4108000000000001E-2</v>
      </c>
      <c r="AB152" s="426">
        <f t="shared" si="9"/>
        <v>2.3349999999999999E-2</v>
      </c>
      <c r="AC152" s="426">
        <f t="shared" si="9"/>
        <v>2.1610000000000001E-2</v>
      </c>
      <c r="AD152" s="426">
        <f t="shared" si="9"/>
        <v>2.0125000000000001E-2</v>
      </c>
      <c r="AE152" s="426">
        <f t="shared" si="9"/>
        <v>2.3695999999999998E-2</v>
      </c>
      <c r="AF152" s="426">
        <f t="shared" si="9"/>
        <v>2.4617999999999998E-2</v>
      </c>
      <c r="AG152" s="426">
        <f t="shared" si="9"/>
        <v>2.4496999999999998E-2</v>
      </c>
      <c r="AH152" s="426">
        <f t="shared" si="9"/>
        <v>2.5652999999999999E-2</v>
      </c>
      <c r="AI152" s="426">
        <f t="shared" si="9"/>
        <v>2.4267999999999998E-2</v>
      </c>
      <c r="AJ152" s="426">
        <f t="shared" si="9"/>
        <v>2.3635999999999997E-2</v>
      </c>
      <c r="AK152" s="427">
        <f t="shared" si="9"/>
        <v>2.3595000000000001E-2</v>
      </c>
      <c r="AL152" s="1571"/>
      <c r="AM152" s="1571"/>
      <c r="AN152" s="1571"/>
      <c r="AO152" s="1571"/>
      <c r="AP152" s="1571"/>
      <c r="AQ152" s="1571"/>
      <c r="AR152" s="1571"/>
      <c r="AS152" s="1571"/>
      <c r="AT152" s="1571"/>
      <c r="AU152" s="1571"/>
      <c r="AV152" s="1571"/>
      <c r="AW152" s="1571"/>
      <c r="AX152" s="1571"/>
      <c r="AY152" s="1571"/>
      <c r="AZ152" s="1571"/>
      <c r="BA152" s="1571"/>
      <c r="BB152" s="1571"/>
      <c r="BC152" s="1571"/>
    </row>
    <row r="153" spans="1:55">
      <c r="A153" s="1571"/>
      <c r="B153" s="1571"/>
      <c r="C153" s="1571"/>
      <c r="D153" s="1571"/>
      <c r="E153" s="1571"/>
      <c r="F153" s="1571"/>
      <c r="G153" s="1571"/>
      <c r="H153" s="1571"/>
      <c r="I153" s="1571"/>
      <c r="J153" s="1571"/>
      <c r="K153" s="1571"/>
      <c r="L153" s="1571"/>
      <c r="M153" s="1571"/>
      <c r="N153" s="1571"/>
      <c r="O153" s="1571"/>
      <c r="P153" s="1571"/>
      <c r="Q153" s="1571"/>
      <c r="R153" s="1571"/>
      <c r="S153" s="1571"/>
      <c r="T153" s="1571"/>
      <c r="U153" s="1571"/>
      <c r="V153" s="1571"/>
      <c r="W153" s="1571"/>
      <c r="X153" s="1571"/>
      <c r="Y153" s="1571"/>
      <c r="Z153" s="1571"/>
      <c r="AA153" s="1571"/>
      <c r="AB153" s="1571"/>
      <c r="AC153" s="1571"/>
      <c r="AD153" s="1571"/>
      <c r="AE153" s="1458"/>
      <c r="AF153" s="1458"/>
      <c r="AG153" s="1458"/>
      <c r="AH153" s="1458"/>
      <c r="AI153" s="1458"/>
      <c r="AJ153" s="1458"/>
      <c r="AK153" s="1571"/>
      <c r="AL153" s="1571"/>
      <c r="AM153" s="1571"/>
      <c r="AN153" s="1571"/>
      <c r="AO153" s="1571"/>
      <c r="AP153" s="1571"/>
      <c r="AQ153" s="1571"/>
      <c r="AR153" s="1571"/>
      <c r="AS153" s="1571"/>
      <c r="AT153" s="1571"/>
      <c r="AU153" s="1571"/>
      <c r="AV153" s="1571"/>
      <c r="AW153" s="1571"/>
      <c r="AX153" s="1571"/>
      <c r="AY153" s="1571"/>
      <c r="AZ153" s="1571"/>
      <c r="BA153" s="1571"/>
      <c r="BB153" s="1571"/>
      <c r="BC153" s="1571"/>
    </row>
    <row r="154" spans="1:55">
      <c r="A154" s="1571"/>
      <c r="B154" s="1571"/>
      <c r="C154" s="1571"/>
      <c r="D154" s="1571"/>
      <c r="E154" s="1571"/>
      <c r="F154" s="1571"/>
      <c r="G154" s="1571"/>
      <c r="H154" s="1571"/>
      <c r="I154" s="1571"/>
      <c r="J154" s="1571"/>
      <c r="K154" s="1571"/>
      <c r="L154" s="1571"/>
      <c r="M154" s="1571"/>
      <c r="N154" s="1571"/>
      <c r="O154" s="1571"/>
      <c r="P154" s="1571"/>
      <c r="Q154" s="1571"/>
      <c r="R154" s="1571"/>
      <c r="S154" s="1571"/>
      <c r="T154" s="1571"/>
      <c r="U154" s="1581" t="str">
        <f>COMPANY</f>
        <v>DUKE ENERGY KENTUCKY, INC.</v>
      </c>
      <c r="V154" s="1571"/>
      <c r="W154" s="1571"/>
      <c r="X154" s="1571"/>
      <c r="Y154" s="1571"/>
      <c r="Z154" s="1571"/>
      <c r="AA154" s="1571"/>
      <c r="AB154" s="1571"/>
      <c r="AC154" s="1571"/>
      <c r="AD154" s="1571"/>
      <c r="AJ154" s="1581" t="s">
        <v>1804</v>
      </c>
      <c r="AK154" s="1571"/>
      <c r="AL154" s="1571"/>
      <c r="AM154" s="1571"/>
      <c r="AN154" s="1571"/>
      <c r="AO154" s="1571"/>
      <c r="AP154" s="1571"/>
      <c r="AQ154" s="1571"/>
      <c r="AR154" s="1571"/>
      <c r="AS154" s="1571"/>
      <c r="AT154" s="1571"/>
      <c r="AU154" s="1571"/>
      <c r="AV154" s="1571"/>
      <c r="AW154" s="1571"/>
      <c r="AX154" s="1571"/>
      <c r="AY154" s="1571"/>
      <c r="AZ154" s="1571"/>
      <c r="BA154" s="1571"/>
      <c r="BB154" s="1571"/>
      <c r="BC154" s="1571"/>
    </row>
    <row r="155" spans="1:55">
      <c r="A155" s="1571"/>
      <c r="B155" s="1571"/>
      <c r="C155" s="1571"/>
      <c r="D155" s="1571"/>
      <c r="E155" s="1571"/>
      <c r="F155" s="1571"/>
      <c r="G155" s="1571"/>
      <c r="H155" s="1571"/>
      <c r="I155" s="1571"/>
      <c r="J155" s="1571"/>
      <c r="K155" s="1571"/>
      <c r="L155" s="1571"/>
      <c r="M155" s="1571"/>
      <c r="N155" s="1571"/>
      <c r="O155" s="1571"/>
      <c r="P155" s="1571"/>
      <c r="Q155" s="1571"/>
      <c r="R155" s="1571"/>
      <c r="S155" s="1571"/>
      <c r="T155" s="1571"/>
      <c r="U155" s="396" t="str">
        <f>CASE</f>
        <v>CASE NO. 2017-00321</v>
      </c>
      <c r="V155" s="1571"/>
      <c r="W155" s="1571"/>
      <c r="X155" s="1571"/>
      <c r="Y155" s="1571"/>
      <c r="Z155" s="1571"/>
      <c r="AA155" s="1571"/>
      <c r="AB155" s="1571"/>
      <c r="AC155" s="1571"/>
      <c r="AD155" s="1571"/>
      <c r="AE155" s="1571"/>
      <c r="AF155" s="1571"/>
      <c r="AG155" s="1571"/>
      <c r="AH155" s="1571"/>
      <c r="AI155" s="1571"/>
      <c r="AJ155" s="1581" t="s">
        <v>622</v>
      </c>
      <c r="AK155" s="1571"/>
      <c r="AL155" s="1571"/>
      <c r="AM155" s="1571"/>
      <c r="AN155" s="1571"/>
      <c r="AO155" s="1571"/>
      <c r="AP155" s="1571"/>
      <c r="AQ155" s="1571"/>
      <c r="AR155" s="1571"/>
      <c r="AS155" s="1571"/>
      <c r="AT155" s="1571"/>
      <c r="AU155" s="1571"/>
      <c r="AV155" s="1571"/>
      <c r="AW155" s="1571"/>
      <c r="AX155" s="1571"/>
      <c r="AY155" s="1571"/>
      <c r="AZ155" s="1571"/>
      <c r="BA155" s="1571"/>
      <c r="BB155" s="1571"/>
      <c r="BC155" s="1571"/>
    </row>
    <row r="156" spans="1:55">
      <c r="A156" s="1571"/>
      <c r="B156" s="1571"/>
      <c r="C156" s="1571"/>
      <c r="D156" s="1571"/>
      <c r="E156" s="1571"/>
      <c r="F156" s="1571"/>
      <c r="G156" s="1571"/>
      <c r="H156" s="1571"/>
      <c r="I156" s="1571"/>
      <c r="J156" s="1571"/>
      <c r="K156" s="1571"/>
      <c r="L156" s="1571"/>
      <c r="M156" s="1571"/>
      <c r="N156" s="1571"/>
      <c r="O156" s="1571"/>
      <c r="P156" s="1571"/>
      <c r="Q156" s="1571"/>
      <c r="R156" s="1571"/>
      <c r="S156" s="1571"/>
      <c r="T156" s="1571"/>
      <c r="U156" s="1581" t="str">
        <f>DEPT</f>
        <v>ELECTRIC DEPARTMENT</v>
      </c>
      <c r="V156" s="1571"/>
      <c r="W156" s="1571"/>
      <c r="X156" s="1571"/>
      <c r="Y156" s="1571"/>
      <c r="Z156" s="1571"/>
      <c r="AA156" s="1571"/>
      <c r="AB156" s="1571"/>
      <c r="AC156" s="1571"/>
      <c r="AD156" s="1571"/>
      <c r="AE156" s="1571"/>
      <c r="AF156" s="1571"/>
      <c r="AG156" s="1571"/>
      <c r="AH156" s="1571"/>
      <c r="AI156" s="1571"/>
      <c r="AJ156" s="1571" t="str">
        <f>_WIT1</f>
        <v>S. E. LAWLER</v>
      </c>
      <c r="AK156" s="1571"/>
      <c r="AL156" s="1571"/>
      <c r="AM156" s="1571"/>
      <c r="AN156" s="1571"/>
      <c r="AO156" s="1571"/>
      <c r="AP156" s="1571"/>
      <c r="AQ156" s="1571"/>
      <c r="AR156" s="1571"/>
      <c r="AS156" s="1571"/>
      <c r="AT156" s="1571"/>
      <c r="AU156" s="1571"/>
      <c r="AV156" s="1571"/>
      <c r="AW156" s="1571"/>
      <c r="AX156" s="1571"/>
      <c r="AY156" s="1571"/>
      <c r="AZ156" s="1571"/>
      <c r="BA156" s="1571"/>
      <c r="BB156" s="1571"/>
      <c r="BC156" s="1571"/>
    </row>
    <row r="157" spans="1:55">
      <c r="A157" s="1571"/>
      <c r="B157" s="1571"/>
      <c r="C157" s="1571"/>
      <c r="D157" s="1571"/>
      <c r="E157" s="1571"/>
      <c r="F157" s="1571"/>
      <c r="G157" s="1571"/>
      <c r="H157" s="1571"/>
      <c r="I157" s="1571"/>
      <c r="J157" s="1571"/>
      <c r="K157" s="1571"/>
      <c r="L157" s="1571"/>
      <c r="M157" s="1571"/>
      <c r="N157" s="1571"/>
      <c r="O157" s="1571"/>
      <c r="P157" s="1571"/>
      <c r="Q157" s="1571"/>
      <c r="R157" s="1571"/>
      <c r="S157" s="1571"/>
      <c r="T157" s="1571"/>
      <c r="U157" s="1581" t="s">
        <v>940</v>
      </c>
      <c r="V157" s="1571"/>
      <c r="W157" s="1571"/>
      <c r="X157" s="1571"/>
      <c r="Y157" s="1571"/>
      <c r="Z157" s="1571"/>
      <c r="AA157" s="1571"/>
      <c r="AB157" s="1571"/>
      <c r="AC157" s="1571"/>
      <c r="AD157" s="1571"/>
      <c r="AE157" s="1571"/>
      <c r="AF157" s="1571"/>
      <c r="AG157" s="1571"/>
      <c r="AH157" s="1571"/>
      <c r="AI157" s="1571"/>
      <c r="AJ157" s="1571"/>
      <c r="AK157" s="1571"/>
      <c r="AL157" s="1571"/>
      <c r="AM157" s="1571"/>
      <c r="AN157" s="1571"/>
      <c r="AO157" s="1571"/>
      <c r="AP157" s="1571"/>
      <c r="AQ157" s="1571"/>
      <c r="AR157" s="1571"/>
      <c r="AS157" s="1571"/>
      <c r="AT157" s="1571"/>
      <c r="AU157" s="1571"/>
      <c r="AV157" s="1571"/>
      <c r="AW157" s="1571"/>
      <c r="AX157" s="1571"/>
      <c r="AY157" s="1571"/>
      <c r="AZ157" s="1571"/>
      <c r="BA157" s="1571"/>
      <c r="BB157" s="1571"/>
      <c r="BC157" s="1571"/>
    </row>
    <row r="158" spans="1:55">
      <c r="A158" s="1571"/>
      <c r="B158" s="1571"/>
      <c r="C158" s="1571"/>
      <c r="D158" s="1571"/>
      <c r="E158" s="1571"/>
      <c r="F158" s="1571"/>
      <c r="G158" s="1571"/>
      <c r="H158" s="1571"/>
      <c r="I158" s="1571"/>
      <c r="J158" s="1571"/>
      <c r="K158" s="1571"/>
      <c r="L158" s="1571"/>
      <c r="M158" s="1571"/>
      <c r="N158" s="1571"/>
      <c r="O158" s="1571"/>
      <c r="P158" s="1571"/>
      <c r="Q158" s="1571"/>
      <c r="R158" s="1571"/>
      <c r="S158" s="1571"/>
      <c r="T158" s="1571"/>
      <c r="U158" s="1581" t="str">
        <f>PeriodF</f>
        <v>FOR THE TWELVE MONTHS ENDED MARCH 31, 2019</v>
      </c>
      <c r="V158" s="1571"/>
      <c r="W158" s="1571"/>
      <c r="X158" s="1571"/>
      <c r="Y158" s="1571"/>
      <c r="Z158" s="1571"/>
      <c r="AA158" s="1571"/>
      <c r="AB158" s="1571"/>
      <c r="AC158" s="1571"/>
      <c r="AD158" s="1571"/>
      <c r="AE158" s="1571"/>
      <c r="AF158" s="1571"/>
      <c r="AG158" s="1571"/>
      <c r="AH158" s="1571"/>
      <c r="AI158" s="1571"/>
      <c r="AJ158" s="1571"/>
      <c r="AK158" s="1571"/>
      <c r="AL158" s="1571"/>
      <c r="AM158" s="1571"/>
      <c r="AN158" s="1571"/>
      <c r="AO158" s="1571"/>
      <c r="AP158" s="1571"/>
      <c r="AQ158" s="1571"/>
      <c r="AR158" s="1571"/>
      <c r="AS158" s="1571"/>
      <c r="AT158" s="1571"/>
      <c r="AU158" s="1571"/>
      <c r="AV158" s="1571"/>
      <c r="AW158" s="1571"/>
      <c r="AX158" s="1571"/>
      <c r="AY158" s="1571"/>
      <c r="AZ158" s="1571"/>
      <c r="BA158" s="1571"/>
      <c r="BB158" s="1571"/>
      <c r="BC158" s="1571"/>
    </row>
    <row r="159" spans="1:55">
      <c r="A159" s="1571"/>
      <c r="B159" s="1571"/>
      <c r="C159" s="1571"/>
      <c r="D159" s="1571"/>
      <c r="E159" s="1571"/>
      <c r="F159" s="1571"/>
      <c r="G159" s="1571"/>
      <c r="H159" s="1571"/>
      <c r="I159" s="1571"/>
      <c r="J159" s="1571"/>
      <c r="K159" s="1571"/>
      <c r="L159" s="1571"/>
      <c r="M159" s="1571"/>
      <c r="N159" s="1571"/>
      <c r="O159" s="1571"/>
      <c r="P159" s="1571"/>
      <c r="Q159" s="1571"/>
      <c r="R159" s="1571"/>
      <c r="S159" s="1571"/>
      <c r="T159" s="1571"/>
      <c r="U159" s="1581" t="str">
        <f>DataF</f>
        <v>DATA:  BASE PERIOD  "X" FORECASTED PERIOD</v>
      </c>
      <c r="V159" s="1571"/>
      <c r="W159" s="1571"/>
      <c r="X159" s="1571"/>
      <c r="Y159" s="1571"/>
      <c r="Z159" s="1571"/>
      <c r="AA159" s="1571"/>
      <c r="AB159" s="1571"/>
      <c r="AC159" s="1571"/>
      <c r="AD159" s="1571"/>
      <c r="AE159" s="1571"/>
      <c r="AF159" s="1571"/>
      <c r="AG159" s="1571"/>
      <c r="AH159" s="1571"/>
      <c r="AI159" s="1571"/>
      <c r="AJ159" s="1571"/>
      <c r="AK159" s="1571"/>
      <c r="AL159" s="1571"/>
      <c r="AM159" s="1571"/>
      <c r="AN159" s="1571"/>
      <c r="AO159" s="1571"/>
      <c r="AP159" s="1571"/>
      <c r="AQ159" s="1571"/>
      <c r="AR159" s="1571"/>
      <c r="AS159" s="1571"/>
      <c r="AT159" s="1571"/>
      <c r="AU159" s="1571"/>
      <c r="AV159" s="1571"/>
      <c r="AW159" s="1571"/>
      <c r="AX159" s="1571"/>
      <c r="AY159" s="1571"/>
      <c r="AZ159" s="1571"/>
      <c r="BA159" s="1571"/>
      <c r="BB159" s="1571"/>
      <c r="BC159" s="1571"/>
    </row>
    <row r="160" spans="1:55">
      <c r="A160" s="1571"/>
      <c r="B160" s="1571"/>
      <c r="C160" s="1571"/>
      <c r="D160" s="1571"/>
      <c r="E160" s="1571"/>
      <c r="F160" s="1571"/>
      <c r="G160" s="1571"/>
      <c r="H160" s="1571"/>
      <c r="I160" s="1571"/>
      <c r="J160" s="1571"/>
      <c r="K160" s="1571"/>
      <c r="L160" s="1571"/>
      <c r="M160" s="1571"/>
      <c r="N160" s="1571"/>
      <c r="O160" s="1571"/>
      <c r="P160" s="1571"/>
      <c r="Q160" s="1571"/>
      <c r="R160" s="1571"/>
      <c r="S160" s="1571"/>
      <c r="T160" s="1571"/>
      <c r="U160" s="1581" t="str">
        <f>Type</f>
        <v xml:space="preserve">TYPE OF FILING:  "X" ORIGINAL   UPDATED    REVISED  </v>
      </c>
      <c r="V160" s="1571"/>
      <c r="W160" s="1571"/>
      <c r="X160" s="1571"/>
      <c r="Y160" s="1571"/>
      <c r="Z160" s="1571"/>
      <c r="AA160" s="1571"/>
      <c r="AB160" s="1571"/>
      <c r="AC160" s="1571"/>
      <c r="AD160" s="1571"/>
      <c r="AE160" s="1571"/>
      <c r="AF160" s="1571"/>
      <c r="AG160" s="1571"/>
      <c r="AH160" s="1571"/>
      <c r="AI160" s="1571"/>
      <c r="AJ160" s="1571"/>
      <c r="AK160" s="1571"/>
      <c r="AL160" s="1571"/>
      <c r="AM160" s="1571"/>
      <c r="AN160" s="1571"/>
      <c r="AO160" s="1571"/>
      <c r="AP160" s="1571"/>
      <c r="AQ160" s="1571"/>
      <c r="AR160" s="1571"/>
      <c r="AS160" s="1571"/>
      <c r="AT160" s="1571"/>
      <c r="AU160" s="1571"/>
      <c r="AV160" s="1571"/>
      <c r="AW160" s="1571"/>
      <c r="AX160" s="1571"/>
      <c r="AY160" s="1571"/>
      <c r="AZ160" s="1571"/>
      <c r="BA160" s="1571"/>
      <c r="BB160" s="1571"/>
      <c r="BC160" s="1571"/>
    </row>
    <row r="161" spans="1:55">
      <c r="A161" s="1571"/>
      <c r="B161" s="1571"/>
      <c r="C161" s="1571"/>
      <c r="D161" s="1571"/>
      <c r="E161" s="1571"/>
      <c r="F161" s="1571"/>
      <c r="G161" s="1571"/>
      <c r="H161" s="1571"/>
      <c r="I161" s="1571"/>
      <c r="J161" s="1571"/>
      <c r="K161" s="1571"/>
      <c r="L161" s="1571"/>
      <c r="M161" s="1571"/>
      <c r="N161" s="1571"/>
      <c r="O161" s="1571"/>
      <c r="P161" s="1571"/>
      <c r="Q161" s="1571"/>
      <c r="R161" s="1571"/>
      <c r="S161" s="1571"/>
      <c r="T161" s="1571"/>
      <c r="U161" s="1571"/>
      <c r="V161" s="1571"/>
      <c r="W161" s="1571"/>
      <c r="X161" s="1571"/>
      <c r="Y161" s="1571"/>
      <c r="Z161" s="1571"/>
      <c r="AA161" s="1571"/>
      <c r="AB161" s="1571"/>
      <c r="AC161" s="1571"/>
      <c r="AD161" s="1571"/>
      <c r="AE161" s="1571"/>
      <c r="AF161" s="1571"/>
      <c r="AG161" s="1571"/>
      <c r="AH161" s="1571"/>
      <c r="AI161" s="1571"/>
      <c r="AJ161" s="1571"/>
      <c r="AK161" s="1571"/>
      <c r="AL161" s="1571"/>
      <c r="AM161" s="1571"/>
      <c r="AN161" s="1571"/>
      <c r="AO161" s="1571"/>
      <c r="AP161" s="1571"/>
      <c r="AQ161" s="1571"/>
      <c r="AR161" s="1571"/>
      <c r="AS161" s="1571"/>
      <c r="AT161" s="1571"/>
      <c r="AU161" s="1571"/>
      <c r="AV161" s="1571"/>
      <c r="AW161" s="1571"/>
      <c r="AX161" s="1571"/>
      <c r="AY161" s="1571"/>
      <c r="AZ161" s="1571"/>
      <c r="BA161" s="1571"/>
      <c r="BB161" s="1571"/>
      <c r="BC161" s="1571"/>
    </row>
    <row r="162" spans="1:55">
      <c r="A162" s="1571"/>
      <c r="B162" s="1571"/>
      <c r="C162" s="1571"/>
      <c r="D162" s="1571"/>
      <c r="E162" s="1571"/>
      <c r="F162" s="1571"/>
      <c r="G162" s="1571"/>
      <c r="H162" s="1571"/>
      <c r="I162" s="1571"/>
      <c r="J162" s="1571"/>
      <c r="K162" s="1571"/>
      <c r="L162" s="1571"/>
      <c r="M162" s="1571"/>
      <c r="N162" s="1571"/>
      <c r="O162" s="1571"/>
      <c r="P162" s="1571"/>
      <c r="Q162" s="1571"/>
      <c r="R162" s="1571"/>
      <c r="S162" s="1571"/>
      <c r="T162" s="1571"/>
      <c r="U162" s="1571"/>
      <c r="V162" s="1571"/>
      <c r="W162" s="1571"/>
      <c r="X162" s="1571"/>
      <c r="Y162" s="1571"/>
      <c r="Z162" s="1571"/>
      <c r="AA162" s="1571"/>
      <c r="AB162" s="1571"/>
      <c r="AC162" s="1571"/>
      <c r="AD162" s="1571"/>
      <c r="AE162" s="1571"/>
      <c r="AF162" s="1571"/>
      <c r="AG162" s="1571"/>
      <c r="AH162" s="1571"/>
      <c r="AI162" s="1571"/>
      <c r="AJ162" s="1571"/>
      <c r="AK162" s="1571"/>
      <c r="AL162" s="1571"/>
      <c r="AM162" s="1571"/>
      <c r="AN162" s="1571"/>
      <c r="AO162" s="1571"/>
      <c r="AP162" s="1571"/>
      <c r="AQ162" s="1571"/>
      <c r="AR162" s="1571"/>
      <c r="AS162" s="1571"/>
      <c r="AT162" s="1571"/>
      <c r="AU162" s="1571"/>
      <c r="AV162" s="1571"/>
      <c r="AW162" s="1571"/>
      <c r="AX162" s="1571"/>
      <c r="AY162" s="1571"/>
      <c r="AZ162" s="1571"/>
      <c r="BA162" s="1571"/>
      <c r="BB162" s="1571"/>
      <c r="BC162" s="1571"/>
    </row>
    <row r="163" spans="1:55">
      <c r="A163" s="1571"/>
      <c r="B163" s="1571"/>
      <c r="C163" s="1571"/>
      <c r="D163" s="1571"/>
      <c r="E163" s="1571"/>
      <c r="F163" s="1571"/>
      <c r="G163" s="1571"/>
      <c r="H163" s="1571"/>
      <c r="I163" s="1571"/>
      <c r="J163" s="1571"/>
      <c r="K163" s="1571"/>
      <c r="L163" s="1571"/>
      <c r="M163" s="1571"/>
      <c r="N163" s="1571"/>
      <c r="O163" s="1571"/>
      <c r="P163" s="1571"/>
      <c r="Q163" s="1571"/>
      <c r="R163" s="1571"/>
      <c r="S163" s="1571"/>
      <c r="T163" s="1571"/>
      <c r="U163" s="2741" t="s">
        <v>1240</v>
      </c>
      <c r="V163" s="1571"/>
      <c r="W163" s="1571"/>
      <c r="X163" s="1571"/>
      <c r="Y163" s="1571"/>
      <c r="Z163" s="1571"/>
      <c r="AA163" s="1571"/>
      <c r="AB163" s="1571"/>
      <c r="AC163" s="1571"/>
      <c r="AD163" s="1571"/>
      <c r="AE163" s="1571"/>
      <c r="AF163" s="1571"/>
      <c r="AG163" s="1571"/>
      <c r="AH163" s="1571"/>
      <c r="AI163" s="1571"/>
      <c r="AJ163" s="1571"/>
      <c r="AK163" s="1571"/>
      <c r="AL163" s="1571"/>
      <c r="AM163" s="1571"/>
      <c r="AN163" s="1571"/>
      <c r="AO163" s="1571"/>
      <c r="AP163" s="1571"/>
      <c r="AQ163" s="1571"/>
      <c r="AR163" s="1571"/>
      <c r="AS163" s="1571"/>
      <c r="AT163" s="1571"/>
      <c r="AU163" s="1571"/>
      <c r="AV163" s="1571"/>
      <c r="AW163" s="1571"/>
      <c r="AX163" s="1571"/>
      <c r="AY163" s="1571"/>
      <c r="AZ163" s="1571"/>
      <c r="BA163" s="1571"/>
      <c r="BB163" s="1571"/>
      <c r="BC163" s="1571"/>
    </row>
    <row r="164" spans="1:55">
      <c r="A164" s="1571"/>
      <c r="B164" s="1571"/>
      <c r="C164" s="1571"/>
      <c r="D164" s="1571"/>
      <c r="E164" s="1571"/>
      <c r="F164" s="1571"/>
      <c r="G164" s="1571"/>
      <c r="H164" s="1571"/>
      <c r="I164" s="1571"/>
      <c r="J164" s="1571"/>
      <c r="K164" s="1571"/>
      <c r="L164" s="1571"/>
      <c r="M164" s="1571"/>
      <c r="N164" s="1571"/>
      <c r="O164" s="1571"/>
      <c r="P164" s="1571"/>
      <c r="Q164" s="1571"/>
      <c r="R164" s="1571"/>
      <c r="S164" s="1571"/>
      <c r="T164" s="1571"/>
      <c r="U164" s="231" t="s">
        <v>1241</v>
      </c>
      <c r="V164" s="1571"/>
      <c r="W164" s="178" t="s">
        <v>1119</v>
      </c>
      <c r="X164" s="1571"/>
      <c r="Y164" s="43">
        <f>LOGO!$J$7</f>
        <v>43220</v>
      </c>
      <c r="Z164" s="43">
        <f>LOGO!$J$8</f>
        <v>43251</v>
      </c>
      <c r="AA164" s="43">
        <f>LOGO!$J$9</f>
        <v>43281</v>
      </c>
      <c r="AB164" s="43">
        <f>LOGO!$J$10</f>
        <v>43312</v>
      </c>
      <c r="AC164" s="43">
        <f>LOGO!$J$11</f>
        <v>43343</v>
      </c>
      <c r="AD164" s="43">
        <f>LOGO!$J$12</f>
        <v>43373</v>
      </c>
      <c r="AE164" s="43">
        <f>LOGO!$J$13</f>
        <v>43404</v>
      </c>
      <c r="AF164" s="43">
        <f>LOGO!$J$14</f>
        <v>43434</v>
      </c>
      <c r="AG164" s="43">
        <f>LOGO!$J$15</f>
        <v>43465</v>
      </c>
      <c r="AH164" s="43">
        <f>LOGO!$J$16</f>
        <v>43496</v>
      </c>
      <c r="AI164" s="43">
        <f>LOGO!$J$17</f>
        <v>43524</v>
      </c>
      <c r="AJ164" s="43">
        <f>LOGO!$J$18</f>
        <v>43555</v>
      </c>
      <c r="AK164" s="178" t="s">
        <v>1929</v>
      </c>
      <c r="AL164" s="1571"/>
      <c r="AM164" s="1571"/>
      <c r="AN164" s="1571"/>
      <c r="AO164" s="1571"/>
      <c r="AP164" s="1571"/>
      <c r="AQ164" s="1571"/>
      <c r="AR164" s="1571"/>
      <c r="AS164" s="1571"/>
      <c r="AT164" s="1571"/>
      <c r="AU164" s="1571"/>
      <c r="AV164" s="1571"/>
      <c r="AW164" s="1571"/>
      <c r="AX164" s="1571"/>
      <c r="AY164" s="1571"/>
      <c r="AZ164" s="1571"/>
      <c r="BA164" s="1571"/>
      <c r="BB164" s="1571"/>
      <c r="BC164" s="1571"/>
    </row>
    <row r="165" spans="1:55">
      <c r="A165" s="1571"/>
      <c r="B165" s="1571"/>
      <c r="C165" s="1571"/>
      <c r="D165" s="1571"/>
      <c r="E165" s="1571"/>
      <c r="F165" s="1571"/>
      <c r="G165" s="1571"/>
      <c r="H165" s="1571"/>
      <c r="I165" s="1571"/>
      <c r="J165" s="1571"/>
      <c r="K165" s="1571"/>
      <c r="L165" s="1571"/>
      <c r="M165" s="1571"/>
      <c r="N165" s="1571"/>
      <c r="O165" s="1571"/>
      <c r="P165" s="1571"/>
      <c r="Q165" s="1571"/>
      <c r="R165" s="1571"/>
      <c r="S165" s="1571"/>
      <c r="T165" s="1571"/>
      <c r="U165" s="1571"/>
      <c r="V165" s="1571"/>
      <c r="W165" s="1571"/>
      <c r="X165" s="1571"/>
      <c r="Y165" s="1571"/>
      <c r="Z165" s="1571"/>
      <c r="AA165" s="1571"/>
      <c r="AB165" s="1571"/>
      <c r="AC165" s="1571"/>
      <c r="AD165" s="1571"/>
      <c r="AE165" s="1571"/>
      <c r="AF165" s="1571"/>
      <c r="AG165" s="1571"/>
      <c r="AH165" s="1571"/>
      <c r="AI165" s="1571"/>
      <c r="AJ165" s="1571"/>
      <c r="AK165" s="1571"/>
      <c r="AL165" s="1571"/>
      <c r="AM165" s="1571"/>
      <c r="AN165" s="1571"/>
      <c r="AO165" s="1571"/>
      <c r="AP165" s="1571"/>
      <c r="AQ165" s="1571"/>
      <c r="AR165" s="1571"/>
      <c r="AS165" s="1571"/>
      <c r="AT165" s="1571"/>
      <c r="AU165" s="1571"/>
      <c r="AV165" s="1571"/>
      <c r="AW165" s="1571"/>
      <c r="AX165" s="1571"/>
      <c r="AY165" s="1571"/>
      <c r="AZ165" s="1571"/>
      <c r="BA165" s="1571"/>
      <c r="BB165" s="1571"/>
      <c r="BC165" s="1571"/>
    </row>
    <row r="166" spans="1:55">
      <c r="A166" s="1571"/>
      <c r="B166" s="1571"/>
      <c r="C166" s="1571"/>
      <c r="D166" s="1571"/>
      <c r="E166" s="1571"/>
      <c r="F166" s="1571"/>
      <c r="G166" s="1571"/>
      <c r="H166" s="1571"/>
      <c r="I166" s="1571"/>
      <c r="J166" s="1571"/>
      <c r="K166" s="1571"/>
      <c r="L166" s="1571"/>
      <c r="M166" s="1571"/>
      <c r="N166" s="1571"/>
      <c r="O166" s="1571"/>
      <c r="P166" s="1571"/>
      <c r="Q166" s="178"/>
      <c r="R166" s="178"/>
      <c r="S166" s="410"/>
      <c r="T166" s="178"/>
      <c r="U166" s="2741">
        <v>1</v>
      </c>
      <c r="V166" s="1571"/>
      <c r="W166" s="233" t="s">
        <v>372</v>
      </c>
      <c r="X166" s="1571"/>
      <c r="Y166" s="1571"/>
      <c r="Z166" s="1571"/>
      <c r="AA166" s="1571"/>
      <c r="AB166" s="1571"/>
      <c r="AC166" s="1571"/>
      <c r="AD166" s="1571"/>
      <c r="AE166" s="1571"/>
      <c r="AF166" s="1571"/>
      <c r="AG166" s="1571"/>
      <c r="AH166" s="1571"/>
      <c r="AI166" s="1571"/>
      <c r="AJ166" s="1571"/>
      <c r="AK166" s="1571"/>
      <c r="AL166" s="1571"/>
      <c r="AM166" s="1571"/>
      <c r="AN166" s="1571"/>
      <c r="AO166" s="1571"/>
      <c r="AP166" s="1571"/>
      <c r="AQ166" s="1571"/>
      <c r="AR166" s="1571"/>
      <c r="AS166" s="1571"/>
      <c r="AT166" s="1571"/>
      <c r="AU166" s="1571"/>
      <c r="AV166" s="1571"/>
      <c r="AW166" s="1571"/>
      <c r="AX166" s="1571"/>
      <c r="AY166" s="1571"/>
      <c r="AZ166" s="1571"/>
      <c r="BA166" s="1571"/>
      <c r="BB166" s="1571"/>
      <c r="BC166" s="1571"/>
    </row>
    <row r="167" spans="1:55">
      <c r="A167" s="1571"/>
      <c r="B167" s="1571"/>
      <c r="C167" s="1571"/>
      <c r="D167" s="1571"/>
      <c r="E167" s="1571"/>
      <c r="F167" s="1571"/>
      <c r="G167" s="1571"/>
      <c r="H167" s="1571"/>
      <c r="I167" s="1571"/>
      <c r="J167" s="1571"/>
      <c r="K167" s="1571"/>
      <c r="L167" s="1571"/>
      <c r="M167" s="1571"/>
      <c r="N167" s="1571"/>
      <c r="O167" s="1571"/>
      <c r="P167" s="1571"/>
      <c r="Q167" s="1571"/>
      <c r="R167" s="1571"/>
      <c r="S167" s="234" t="str">
        <f>S90</f>
        <v>BBEREV</v>
      </c>
      <c r="T167" s="1571">
        <f>T90</f>
        <v>440000</v>
      </c>
      <c r="U167" s="2741">
        <v>2</v>
      </c>
      <c r="V167" s="1571"/>
      <c r="W167" s="413" t="s">
        <v>947</v>
      </c>
      <c r="X167" s="1571"/>
      <c r="Y167" s="1458">
        <f t="array" ref="Y167">SUM(IF(FPrevAcct=T167,IF(FPrevProd=S167,FPrev1)))</f>
        <v>6025932</v>
      </c>
      <c r="Z167" s="1458">
        <f t="array" ref="Z167">SUM(IF(FPrevAcct=T167,IF(FPrevProd=S167,FPrev2)))</f>
        <v>5016564</v>
      </c>
      <c r="AA167" s="1458">
        <f t="array" ref="AA167">SUM(IF(FPrevAcct=T167,IF(FPrevProd=S167,FPrev3)))</f>
        <v>6301086</v>
      </c>
      <c r="AB167" s="1458">
        <f t="array" ref="AB167">SUM(IF(FPrevAcct=T167,IF(FPrevProd=S167,FPrev4)))</f>
        <v>8139461</v>
      </c>
      <c r="AC167" s="1458">
        <f t="array" ref="AC167">SUM(IF(FPrevAcct=T167,IF(FPrevProd=S167,FPrev5)))</f>
        <v>8226670</v>
      </c>
      <c r="AD167" s="1458">
        <f t="array" ref="AD167">SUM(IF(FPrevAcct=T167,IF(FPrevProd=S167,FPrev6)))</f>
        <v>7360074</v>
      </c>
      <c r="AE167" s="1458">
        <f t="array" ref="AE167">SUM(IF(FPrevAcct=T167,IF(FPrevProd=S167,FPrev7)))</f>
        <v>5271760</v>
      </c>
      <c r="AF167" s="1458">
        <f t="array" ref="AF167">SUM(IF(FPrevAcct=T167,IF(FPrevProd=S167,FPrev8)))</f>
        <v>5460638</v>
      </c>
      <c r="AG167" s="1458">
        <f t="array" ref="AG167">SUM(IF(FPrevAcct=T167,IF(FPrevProd=S167,FPrev9)))</f>
        <v>7254700</v>
      </c>
      <c r="AH167" s="1458">
        <f t="array" ref="AH167">SUM(IF(FPrevAcct=T167,IF(FPrevProd=S167,FPrev10)))</f>
        <v>8843763</v>
      </c>
      <c r="AI167" s="1458">
        <f t="array" ref="AI167">SUM(IF(FPrevAcct=T167,IF(FPrevProd=S167,FPrev11)))</f>
        <v>8003151</v>
      </c>
      <c r="AJ167" s="1458">
        <f t="array" ref="AJ167">SUM(IF(FPrevAcct=T167,IF(FPrevProd=S167,FPrev12)))</f>
        <v>7106684</v>
      </c>
      <c r="AK167" s="306">
        <f t="shared" ref="AK167:AK172" si="10">SUM(Y167:AJ167)</f>
        <v>83010483</v>
      </c>
      <c r="AL167" s="1571"/>
      <c r="AM167" s="1571"/>
      <c r="AN167" s="1571"/>
      <c r="AO167" s="1571"/>
      <c r="AP167" s="1571"/>
      <c r="AQ167" s="1571"/>
      <c r="AR167" s="1571"/>
      <c r="AS167" s="1571"/>
      <c r="AT167" s="1571"/>
      <c r="AU167" s="1571"/>
      <c r="AV167" s="1571"/>
      <c r="AW167" s="1571"/>
      <c r="AX167" s="1571"/>
      <c r="AY167" s="1571"/>
      <c r="AZ167" s="1571"/>
      <c r="BA167" s="1571"/>
      <c r="BB167" s="1571"/>
      <c r="BC167" s="1571"/>
    </row>
    <row r="168" spans="1:55">
      <c r="A168" s="1571"/>
      <c r="B168" s="1571"/>
      <c r="C168" s="1571"/>
      <c r="D168" s="1571"/>
      <c r="E168" s="1571"/>
      <c r="F168" s="1571"/>
      <c r="G168" s="1571"/>
      <c r="H168" s="1571"/>
      <c r="I168" s="1571"/>
      <c r="J168" s="1571"/>
      <c r="K168" s="1571"/>
      <c r="L168" s="1571"/>
      <c r="M168" s="1571"/>
      <c r="N168" s="1571"/>
      <c r="O168" s="1571"/>
      <c r="P168" s="1571"/>
      <c r="Q168" s="1571"/>
      <c r="R168" s="1571"/>
      <c r="S168" s="234"/>
      <c r="T168" s="1571">
        <f>T91</f>
        <v>442100</v>
      </c>
      <c r="U168" s="2741">
        <v>3</v>
      </c>
      <c r="V168" s="1571"/>
      <c r="W168" s="413" t="s">
        <v>948</v>
      </c>
      <c r="X168" s="1571"/>
      <c r="Y168" s="1458">
        <f t="array" ref="Y168">SUM(IF(FPrevAcct=T168,IF(FPrevProd=S167,FPrev1)))</f>
        <v>5859291</v>
      </c>
      <c r="Z168" s="1458">
        <f t="array" ref="Z168">SUM(IF(FPrevAcct=T168,IF(FPrevProd=S167,FPrev2)))</f>
        <v>5664683</v>
      </c>
      <c r="AA168" s="1458">
        <f t="array" ref="AA168">SUM(IF(FPrevAcct=T168,IF(FPrevProd=S167,FPrev3)))</f>
        <v>6232429</v>
      </c>
      <c r="AB168" s="1458">
        <f t="array" ref="AB168">SUM(IF(FPrevAcct=T168,IF(FPrevProd=S167,FPrev4)))</f>
        <v>6678008</v>
      </c>
      <c r="AC168" s="1458">
        <f t="array" ref="AC168">SUM(IF(FPrevAcct=T168,IF(FPrevProd=S167,FPrev5)))</f>
        <v>6587364</v>
      </c>
      <c r="AD168" s="1458">
        <f t="array" ref="AD168">SUM(IF(FPrevAcct=T168,IF(FPrevProd=S167,FPrev6)))</f>
        <v>6430078</v>
      </c>
      <c r="AE168" s="1458">
        <f t="array" ref="AE168">SUM(IF(FPrevAcct=T168,IF(FPrevProd=S167,FPrev7)))</f>
        <v>5771407</v>
      </c>
      <c r="AF168" s="1458">
        <f t="array" ref="AF168">SUM(IF(FPrevAcct=T168,IF(FPrevProd=S167,FPrev8)))</f>
        <v>5744955</v>
      </c>
      <c r="AG168" s="1458">
        <f t="array" ref="AG168">SUM(IF(FPrevAcct=T168,IF(FPrevProd=S167,FPrev9)))</f>
        <v>5943978</v>
      </c>
      <c r="AH168" s="1458">
        <f t="array" ref="AH168">SUM(IF(FPrevAcct=T168,IF(FPrevProd=S167,FPrev10)))</f>
        <v>6209022</v>
      </c>
      <c r="AI168" s="1458">
        <f t="array" ref="AI168">SUM(IF(FPrevAcct=T168,IF(FPrevProd=S167,FPrev11)))</f>
        <v>5774270</v>
      </c>
      <c r="AJ168" s="1458">
        <f t="array" ref="AJ168">SUM(IF(FPrevAcct=T168,IF(FPrevProd=S167,FPrev12)))</f>
        <v>5777216</v>
      </c>
      <c r="AK168" s="306">
        <f t="shared" si="10"/>
        <v>72672701</v>
      </c>
      <c r="AL168" s="1571"/>
      <c r="AM168" s="1571"/>
      <c r="AN168" s="1571"/>
      <c r="AO168" s="1571"/>
      <c r="AP168" s="1571"/>
      <c r="AQ168" s="1571"/>
      <c r="AR168" s="1571"/>
      <c r="AS168" s="1571"/>
      <c r="AT168" s="1571"/>
      <c r="AU168" s="1571"/>
      <c r="AV168" s="1571"/>
      <c r="AW168" s="1571"/>
      <c r="AX168" s="1571"/>
      <c r="AY168" s="1571"/>
      <c r="AZ168" s="1571"/>
      <c r="BA168" s="1571"/>
      <c r="BB168" s="1571"/>
      <c r="BC168" s="1571"/>
    </row>
    <row r="169" spans="1:55">
      <c r="A169" s="1571"/>
      <c r="B169" s="1571"/>
      <c r="C169" s="1571"/>
      <c r="D169" s="1571"/>
      <c r="E169" s="1571"/>
      <c r="F169" s="1571"/>
      <c r="G169" s="1571"/>
      <c r="H169" s="1571"/>
      <c r="I169" s="1571"/>
      <c r="J169" s="1571"/>
      <c r="K169" s="1571"/>
      <c r="L169" s="1571"/>
      <c r="M169" s="1571"/>
      <c r="N169" s="1571"/>
      <c r="O169" s="1571"/>
      <c r="P169" s="1571"/>
      <c r="Q169" s="1571"/>
      <c r="R169" s="1571"/>
      <c r="S169" s="234"/>
      <c r="T169" s="1571">
        <f>T92</f>
        <v>442200</v>
      </c>
      <c r="U169" s="2741">
        <v>4</v>
      </c>
      <c r="V169" s="1571"/>
      <c r="W169" s="413" t="s">
        <v>949</v>
      </c>
      <c r="X169" s="1571"/>
      <c r="Y169" s="1458">
        <f t="array" ref="Y169">SUM(IF(FPrevAcct=T169,IF(FPrevProd=S167,FPrev1)))</f>
        <v>2763325</v>
      </c>
      <c r="Z169" s="1458">
        <f t="array" ref="Z169">SUM(IF(FPrevAcct=T169,IF(FPrevProd=S167,FPrev2)))</f>
        <v>2788821</v>
      </c>
      <c r="AA169" s="1458">
        <f t="array" ref="AA169">SUM(IF(FPrevAcct=T169,IF(FPrevProd=S167,FPrev3)))</f>
        <v>2920569</v>
      </c>
      <c r="AB169" s="1458">
        <f t="array" ref="AB169">SUM(IF(FPrevAcct=T169,IF(FPrevProd=S167,FPrev4)))</f>
        <v>2948987</v>
      </c>
      <c r="AC169" s="1458">
        <f t="array" ref="AC169">SUM(IF(FPrevAcct=T169,IF(FPrevProd=S167,FPrev5)))</f>
        <v>2913852</v>
      </c>
      <c r="AD169" s="1458">
        <f t="array" ref="AD169">SUM(IF(FPrevAcct=T169,IF(FPrevProd=S167,FPrev6)))</f>
        <v>2758045</v>
      </c>
      <c r="AE169" s="1458">
        <f t="array" ref="AE169">SUM(IF(FPrevAcct=T169,IF(FPrevProd=S167,FPrev7)))</f>
        <v>2650628</v>
      </c>
      <c r="AF169" s="1458">
        <f t="array" ref="AF169">SUM(IF(FPrevAcct=T169,IF(FPrevProd=S167,FPrev8)))</f>
        <v>2667077</v>
      </c>
      <c r="AG169" s="1458">
        <f t="array" ref="AG169">SUM(IF(FPrevAcct=T169,IF(FPrevProd=S167,FPrev9)))</f>
        <v>2569688</v>
      </c>
      <c r="AH169" s="1458">
        <f t="array" ref="AH169">SUM(IF(FPrevAcct=T169,IF(FPrevProd=S167,FPrev10)))</f>
        <v>2643601</v>
      </c>
      <c r="AI169" s="1458">
        <f t="array" ref="AI169">SUM(IF(FPrevAcct=T169,IF(FPrevProd=S167,FPrev11)))</f>
        <v>2756110</v>
      </c>
      <c r="AJ169" s="1458">
        <f t="array" ref="AJ169">SUM(IF(FPrevAcct=T169,IF(FPrevProd=S167,FPrev12)))</f>
        <v>2744515</v>
      </c>
      <c r="AK169" s="306">
        <f t="shared" si="10"/>
        <v>33125218</v>
      </c>
      <c r="AL169" s="1571"/>
      <c r="AM169" s="1571"/>
      <c r="AN169" s="1571"/>
      <c r="AO169" s="1571"/>
      <c r="AP169" s="1571"/>
      <c r="AQ169" s="1571"/>
      <c r="AR169" s="1571"/>
      <c r="AS169" s="1571"/>
      <c r="AT169" s="1571"/>
      <c r="AU169" s="1571"/>
      <c r="AV169" s="1571"/>
      <c r="AW169" s="1571"/>
      <c r="AX169" s="1571"/>
      <c r="AY169" s="1571"/>
      <c r="AZ169" s="1571"/>
      <c r="BA169" s="1571"/>
      <c r="BB169" s="1571"/>
      <c r="BC169" s="1571"/>
    </row>
    <row r="170" spans="1:55">
      <c r="A170" s="1571"/>
      <c r="B170" s="1571"/>
      <c r="C170" s="1571"/>
      <c r="D170" s="1571"/>
      <c r="E170" s="1571"/>
      <c r="F170" s="1571"/>
      <c r="G170" s="1571"/>
      <c r="H170" s="1571"/>
      <c r="I170" s="1571"/>
      <c r="J170" s="1571"/>
      <c r="K170" s="1571"/>
      <c r="L170" s="1571"/>
      <c r="M170" s="1571"/>
      <c r="N170" s="1571"/>
      <c r="O170" s="1571"/>
      <c r="P170" s="1571"/>
      <c r="Q170" s="1571"/>
      <c r="R170" s="1571"/>
      <c r="S170" s="234"/>
      <c r="T170" s="1571">
        <f>T93</f>
        <v>444000</v>
      </c>
      <c r="U170" s="2741">
        <v>5</v>
      </c>
      <c r="V170" s="1571"/>
      <c r="W170" s="413" t="s">
        <v>718</v>
      </c>
      <c r="X170" s="1571"/>
      <c r="Y170" s="1458">
        <f t="array" ref="Y170">SUM(IF(FPrevAcct=T170,IF(FPrevProd=S167,FPrev1)))</f>
        <v>105743</v>
      </c>
      <c r="Z170" s="1458">
        <f t="array" ref="Z170">SUM(IF(FPrevAcct=T170,IF(FPrevProd=S167,FPrev2)))</f>
        <v>109067</v>
      </c>
      <c r="AA170" s="1458">
        <f t="array" ref="AA170">SUM(IF(FPrevAcct=T170,IF(FPrevProd=S167,FPrev3)))</f>
        <v>104674</v>
      </c>
      <c r="AB170" s="1458">
        <f t="array" ref="AB170">SUM(IF(FPrevAcct=T170,IF(FPrevProd=S167,FPrev4)))</f>
        <v>107191</v>
      </c>
      <c r="AC170" s="1458">
        <f t="array" ref="AC170">SUM(IF(FPrevAcct=T170,IF(FPrevProd=S167,FPrev5)))</f>
        <v>106568</v>
      </c>
      <c r="AD170" s="1458">
        <f t="array" ref="AD170">SUM(IF(FPrevAcct=T170,IF(FPrevProd=S167,FPrev6)))</f>
        <v>105965</v>
      </c>
      <c r="AE170" s="1458">
        <f t="array" ref="AE170">SUM(IF(FPrevAcct=T170,IF(FPrevProd=S167,FPrev7)))</f>
        <v>105676</v>
      </c>
      <c r="AF170" s="1458">
        <f t="array" ref="AF170">SUM(IF(FPrevAcct=T170,IF(FPrevProd=S167,FPrev8)))</f>
        <v>107346</v>
      </c>
      <c r="AG170" s="1458">
        <f t="array" ref="AG170">SUM(IF(FPrevAcct=T170,IF(FPrevProd=S167,FPrev9)))</f>
        <v>104172</v>
      </c>
      <c r="AH170" s="1458">
        <f t="array" ref="AH170">SUM(IF(FPrevAcct=T170,IF(FPrevProd=S167,FPrev10)))</f>
        <v>109033</v>
      </c>
      <c r="AI170" s="1458">
        <f t="array" ref="AI170">SUM(IF(FPrevAcct=T170,IF(FPrevProd=S167,FPrev11)))</f>
        <v>109626</v>
      </c>
      <c r="AJ170" s="1458">
        <f t="array" ref="AJ170">SUM(IF(FPrevAcct=T170,IF(FPrevProd=S167,FPrev12)))</f>
        <v>105966</v>
      </c>
      <c r="AK170" s="306">
        <f t="shared" si="10"/>
        <v>1281027</v>
      </c>
      <c r="AL170" s="1571"/>
      <c r="AM170" s="1571"/>
      <c r="AN170" s="1571"/>
      <c r="AO170" s="1571"/>
      <c r="AP170" s="1571"/>
      <c r="AQ170" s="1571"/>
      <c r="AR170" s="1571"/>
      <c r="AS170" s="1571"/>
      <c r="AT170" s="1571"/>
      <c r="AU170" s="1571"/>
      <c r="AV170" s="1571"/>
      <c r="AW170" s="1571"/>
      <c r="AX170" s="1571"/>
      <c r="AY170" s="1571"/>
      <c r="AZ170" s="1571"/>
      <c r="BA170" s="1571"/>
      <c r="BB170" s="1571"/>
      <c r="BC170" s="1571"/>
    </row>
    <row r="171" spans="1:55">
      <c r="A171" s="1571"/>
      <c r="B171" s="1571"/>
      <c r="C171" s="1571"/>
      <c r="D171" s="1571"/>
      <c r="E171" s="1571"/>
      <c r="F171" s="1571"/>
      <c r="G171" s="1571"/>
      <c r="H171" s="1571"/>
      <c r="I171" s="1571"/>
      <c r="J171" s="1571"/>
      <c r="K171" s="1571"/>
      <c r="L171" s="1571"/>
      <c r="M171" s="1571"/>
      <c r="N171" s="1571"/>
      <c r="O171" s="1571"/>
      <c r="P171" s="1571"/>
      <c r="Q171" s="1571"/>
      <c r="R171" s="1571"/>
      <c r="S171" s="234"/>
      <c r="T171" s="1571">
        <f>T94</f>
        <v>445000</v>
      </c>
      <c r="U171" s="2741">
        <v>6</v>
      </c>
      <c r="V171" s="1571"/>
      <c r="W171" s="413" t="s">
        <v>950</v>
      </c>
      <c r="X171" s="1571"/>
      <c r="Y171" s="1458">
        <f t="array" ref="Y171">SUM(IF(FPrevAcct=T171,IF(FPrevProd=S167,FPrev1)))</f>
        <v>991173</v>
      </c>
      <c r="Z171" s="1458">
        <f t="array" ref="Z171">SUM(IF(FPrevAcct=T171,IF(FPrevProd=S167,FPrev2)))</f>
        <v>1009941</v>
      </c>
      <c r="AA171" s="1458">
        <f t="array" ref="AA171">SUM(IF(FPrevAcct=T171,IF(FPrevProd=S167,FPrev3)))</f>
        <v>1103775</v>
      </c>
      <c r="AB171" s="1458">
        <f t="array" ref="AB171">SUM(IF(FPrevAcct=T171,IF(FPrevProd=S167,FPrev4)))</f>
        <v>1122059</v>
      </c>
      <c r="AC171" s="1458">
        <f t="array" ref="AC171">SUM(IF(FPrevAcct=T171,IF(FPrevProd=S167,FPrev5)))</f>
        <v>1143273</v>
      </c>
      <c r="AD171" s="1458">
        <f t="array" ref="AD171">SUM(IF(FPrevAcct=T171,IF(FPrevProd=S167,FPrev6)))</f>
        <v>1180581</v>
      </c>
      <c r="AE171" s="1458">
        <f t="array" ref="AE171">SUM(IF(FPrevAcct=T171,IF(FPrevProd=S167,FPrev7)))</f>
        <v>1068866</v>
      </c>
      <c r="AF171" s="1458">
        <f t="array" ref="AF171">SUM(IF(FPrevAcct=T171,IF(FPrevProd=S167,FPrev8)))</f>
        <v>1033402</v>
      </c>
      <c r="AG171" s="1458">
        <f t="array" ref="AG171">SUM(IF(FPrevAcct=T171,IF(FPrevProd=S167,FPrev9)))</f>
        <v>1033078</v>
      </c>
      <c r="AH171" s="1458">
        <f t="array" ref="AH171">SUM(IF(FPrevAcct=T171,IF(FPrevProd=S167,FPrev10)))</f>
        <v>1035281</v>
      </c>
      <c r="AI171" s="1458">
        <f t="array" ref="AI171">SUM(IF(FPrevAcct=T171,IF(FPrevProd=S167,FPrev11)))</f>
        <v>1066855</v>
      </c>
      <c r="AJ171" s="1458">
        <f t="array" ref="AJ171">SUM(IF(FPrevAcct=T171,IF(FPrevProd=S167,FPrev12)))</f>
        <v>1090133</v>
      </c>
      <c r="AK171" s="306">
        <f t="shared" si="10"/>
        <v>12878417</v>
      </c>
      <c r="AL171" s="1571"/>
      <c r="AM171" s="1571"/>
      <c r="AN171" s="1571"/>
      <c r="AO171" s="1571"/>
      <c r="AP171" s="1571"/>
      <c r="AQ171" s="1571"/>
      <c r="AR171" s="1571"/>
      <c r="AS171" s="1571"/>
      <c r="AT171" s="1571"/>
      <c r="AU171" s="1571"/>
      <c r="AV171" s="1571"/>
      <c r="AW171" s="1571"/>
      <c r="AX171" s="1571"/>
      <c r="AY171" s="1571"/>
      <c r="AZ171" s="1571"/>
      <c r="BA171" s="1571"/>
      <c r="BB171" s="1571"/>
      <c r="BC171" s="1571"/>
    </row>
    <row r="172" spans="1:55">
      <c r="A172" s="1571"/>
      <c r="B172" s="1571"/>
      <c r="C172" s="1571"/>
      <c r="D172" s="1571"/>
      <c r="E172" s="1571"/>
      <c r="F172" s="1571"/>
      <c r="G172" s="1571"/>
      <c r="H172" s="1571"/>
      <c r="I172" s="1571"/>
      <c r="J172" s="1571"/>
      <c r="K172" s="1571"/>
      <c r="L172" s="1571"/>
      <c r="M172" s="1571"/>
      <c r="N172" s="1571"/>
      <c r="O172" s="1571"/>
      <c r="P172" s="1571"/>
      <c r="Q172" s="1571"/>
      <c r="R172" s="1571"/>
      <c r="S172" s="234"/>
      <c r="T172" s="1571">
        <f>T95</f>
        <v>448000</v>
      </c>
      <c r="U172" s="2741">
        <v>7</v>
      </c>
      <c r="V172" s="1571"/>
      <c r="W172" s="413" t="s">
        <v>938</v>
      </c>
      <c r="X172" s="1571"/>
      <c r="Y172" s="1458">
        <f>VLOOKUP($T$172,FPERIOD,6,FALSE)-Y187-Y195</f>
        <v>1411</v>
      </c>
      <c r="Z172" s="1458">
        <f>VLOOKUP(T172,FPERIOD,7,FALSE)-Z187-Z195</f>
        <v>1004</v>
      </c>
      <c r="AA172" s="1458">
        <f>VLOOKUP(T172,FPERIOD,8,FALSE)-AA187-AA195</f>
        <v>2017</v>
      </c>
      <c r="AB172" s="1458">
        <f>VLOOKUP(T172,FPERIOD,9,FALSE)-AB187-AB195</f>
        <v>2821</v>
      </c>
      <c r="AC172" s="1458">
        <f>VLOOKUP(T172,FPERIOD,10,FALSE)-AC187-AC195</f>
        <v>2587</v>
      </c>
      <c r="AD172" s="1458">
        <f>VLOOKUP(T172,FPERIOD,11,FALSE)-AD187-AD195</f>
        <v>1166</v>
      </c>
      <c r="AE172" s="1458">
        <f>VLOOKUP(T172,FPERIOD,12,FALSE)-AE187-AE195</f>
        <v>1290</v>
      </c>
      <c r="AF172" s="1458">
        <f>VLOOKUP(T172,FPERIOD,13,FALSE)-AF187-AF195</f>
        <v>2856</v>
      </c>
      <c r="AG172" s="1458">
        <f>VLOOKUP(T172,FPERIOD,14,FALSE)-AG187-AG195</f>
        <v>4693</v>
      </c>
      <c r="AH172" s="1458">
        <f>VLOOKUP(T172,FPERIOD,15,FALSE)-AH187-AH195</f>
        <v>6973</v>
      </c>
      <c r="AI172" s="1458">
        <f>VLOOKUP(T172,FPERIOD,16,FALSE)-AI187-AI195</f>
        <v>5057</v>
      </c>
      <c r="AJ172" s="1458">
        <f>VLOOKUP(T172,FPERIOD,17,FALSE)-AJ187-AJ195</f>
        <v>3254</v>
      </c>
      <c r="AK172" s="306">
        <f t="shared" si="10"/>
        <v>35129</v>
      </c>
      <c r="AL172" s="1571"/>
      <c r="AM172" s="1571"/>
      <c r="AN172" s="1571"/>
      <c r="AO172" s="1571"/>
      <c r="AP172" s="1571"/>
      <c r="AQ172" s="1571"/>
      <c r="AR172" s="1571"/>
      <c r="AS172" s="1571"/>
      <c r="AT172" s="1571"/>
      <c r="AU172" s="1571"/>
      <c r="AV172" s="1571"/>
      <c r="AW172" s="1571"/>
      <c r="AX172" s="1571"/>
      <c r="AY172" s="1571"/>
      <c r="AZ172" s="1571"/>
      <c r="BA172" s="1571"/>
      <c r="BB172" s="1571"/>
      <c r="BC172" s="1571"/>
    </row>
    <row r="173" spans="1:55">
      <c r="A173" s="1571"/>
      <c r="B173" s="1571"/>
      <c r="C173" s="1571"/>
      <c r="D173" s="1571"/>
      <c r="E173" s="1571"/>
      <c r="F173" s="1571"/>
      <c r="G173" s="1571"/>
      <c r="H173" s="1571"/>
      <c r="I173" s="1571"/>
      <c r="J173" s="1571"/>
      <c r="K173" s="1571"/>
      <c r="L173" s="1571"/>
      <c r="M173" s="1571"/>
      <c r="N173" s="1571"/>
      <c r="O173" s="1571"/>
      <c r="P173" s="1571"/>
      <c r="Q173" s="1571"/>
      <c r="R173" s="1571"/>
      <c r="S173" s="234"/>
      <c r="T173" s="1571"/>
      <c r="U173" s="2741">
        <v>8</v>
      </c>
      <c r="V173" s="1571"/>
      <c r="W173" s="1571"/>
      <c r="X173" s="1571"/>
      <c r="Y173" s="414"/>
      <c r="Z173" s="414"/>
      <c r="AA173" s="414"/>
      <c r="AB173" s="414"/>
      <c r="AC173" s="414"/>
      <c r="AD173" s="414"/>
      <c r="AE173" s="414"/>
      <c r="AF173" s="414"/>
      <c r="AG173" s="414"/>
      <c r="AH173" s="414"/>
      <c r="AI173" s="414"/>
      <c r="AJ173" s="414"/>
      <c r="AK173" s="306"/>
      <c r="AL173" s="1571"/>
      <c r="AM173" s="1571"/>
      <c r="AN173" s="1571"/>
      <c r="AO173" s="1571"/>
      <c r="AP173" s="1571"/>
      <c r="AQ173" s="1571"/>
      <c r="AR173" s="1571"/>
      <c r="AS173" s="1571"/>
      <c r="AT173" s="1571"/>
      <c r="AU173" s="1571"/>
      <c r="AV173" s="1571"/>
      <c r="AW173" s="1571"/>
      <c r="AX173" s="1571"/>
      <c r="AY173" s="1571"/>
      <c r="AZ173" s="1571"/>
      <c r="BA173" s="1571"/>
      <c r="BB173" s="1571"/>
      <c r="BC173" s="1571"/>
    </row>
    <row r="174" spans="1:55">
      <c r="A174" s="1571"/>
      <c r="B174" s="1571"/>
      <c r="C174" s="1571"/>
      <c r="D174" s="1571"/>
      <c r="E174" s="1571"/>
      <c r="F174" s="1571"/>
      <c r="G174" s="1571"/>
      <c r="H174" s="1571"/>
      <c r="I174" s="1571"/>
      <c r="J174" s="1571"/>
      <c r="K174" s="1571"/>
      <c r="L174" s="1571"/>
      <c r="M174" s="1571"/>
      <c r="N174" s="1571"/>
      <c r="O174" s="1571"/>
      <c r="P174" s="1571"/>
      <c r="Q174" s="1571"/>
      <c r="R174" s="1571"/>
      <c r="S174" s="234"/>
      <c r="T174" s="1571"/>
      <c r="U174" s="2741">
        <v>9</v>
      </c>
      <c r="V174" s="1571"/>
      <c r="W174" s="233" t="s">
        <v>715</v>
      </c>
      <c r="X174" s="1571"/>
      <c r="Y174" s="414"/>
      <c r="Z174" s="414"/>
      <c r="AA174" s="414"/>
      <c r="AB174" s="414"/>
      <c r="AC174" s="414"/>
      <c r="AD174" s="414"/>
      <c r="AE174" s="414"/>
      <c r="AF174" s="414"/>
      <c r="AG174" s="414"/>
      <c r="AH174" s="414"/>
      <c r="AI174" s="414"/>
      <c r="AJ174" s="414"/>
      <c r="AK174" s="306"/>
      <c r="AL174" s="1571"/>
      <c r="AM174" s="1571"/>
      <c r="AN174" s="1571"/>
      <c r="AO174" s="1571"/>
      <c r="AP174" s="1571"/>
      <c r="AQ174" s="1571"/>
      <c r="AR174" s="1571"/>
      <c r="AS174" s="1571"/>
      <c r="AT174" s="1571"/>
      <c r="AU174" s="1571"/>
      <c r="AV174" s="1571"/>
      <c r="AW174" s="1571"/>
      <c r="AX174" s="1571"/>
      <c r="AY174" s="1571"/>
      <c r="AZ174" s="1571"/>
      <c r="BA174" s="1571"/>
      <c r="BB174" s="1571"/>
      <c r="BC174" s="1571"/>
    </row>
    <row r="175" spans="1:55">
      <c r="A175" s="1571"/>
      <c r="B175" s="1571"/>
      <c r="C175" s="1571"/>
      <c r="D175" s="1571"/>
      <c r="E175" s="1571"/>
      <c r="F175" s="1571"/>
      <c r="G175" s="1571"/>
      <c r="H175" s="1571"/>
      <c r="I175" s="1571"/>
      <c r="J175" s="1571"/>
      <c r="K175" s="1571"/>
      <c r="L175" s="1571"/>
      <c r="M175" s="1571"/>
      <c r="N175" s="1571"/>
      <c r="O175" s="1571"/>
      <c r="P175" s="1571"/>
      <c r="Q175" s="1571"/>
      <c r="R175" s="1571"/>
      <c r="S175" s="234"/>
      <c r="T175" s="1571">
        <f>T98</f>
        <v>440990</v>
      </c>
      <c r="U175" s="2741">
        <v>10</v>
      </c>
      <c r="V175" s="1571"/>
      <c r="W175" s="413" t="s">
        <v>947</v>
      </c>
      <c r="X175" s="1571"/>
      <c r="Y175" s="1458">
        <f>VLOOKUP(T175,FPERIOD,6,FALSE)</f>
        <v>-1198901</v>
      </c>
      <c r="Z175" s="1458">
        <f>VLOOKUP(T175,FPERIOD,7,FALSE)</f>
        <v>936109</v>
      </c>
      <c r="AA175" s="1458">
        <f>VLOOKUP(T175,FPERIOD,8,FALSE)</f>
        <v>1074090</v>
      </c>
      <c r="AB175" s="1458">
        <f>VLOOKUP(T175,FPERIOD,9,FALSE)</f>
        <v>20891</v>
      </c>
      <c r="AC175" s="1458">
        <f>VLOOKUP(T175,FPERIOD,10,FALSE)</f>
        <v>-847995</v>
      </c>
      <c r="AD175" s="1458">
        <f>VLOOKUP(T175,FPERIOD,11,FALSE)</f>
        <v>-2877714</v>
      </c>
      <c r="AE175" s="1458">
        <f>VLOOKUP(T175,FPERIOD,12,FALSE)</f>
        <v>-111853</v>
      </c>
      <c r="AF175" s="1458">
        <f>VLOOKUP(T175,FPERIOD,13,FALSE)</f>
        <v>1089319</v>
      </c>
      <c r="AG175" s="1458">
        <f>VLOOKUP(T175,FPERIOD,14,FALSE)</f>
        <v>776017</v>
      </c>
      <c r="AH175" s="1458">
        <f>VLOOKUP(T175,FPERIOD,15,FALSE)</f>
        <v>-504025</v>
      </c>
      <c r="AI175" s="1458">
        <f>VLOOKUP(T175,FPERIOD,16,FALSE)</f>
        <v>-1136573</v>
      </c>
      <c r="AJ175" s="1458">
        <f>VLOOKUP(T175,FPERIOD,17,FALSE)</f>
        <v>-566534</v>
      </c>
      <c r="AK175" s="306">
        <f>SUM(Y175:AJ175)</f>
        <v>-3347169</v>
      </c>
      <c r="AL175" s="1571"/>
      <c r="AM175" s="1571"/>
      <c r="AN175" s="1571"/>
      <c r="AO175" s="1571"/>
      <c r="AP175" s="1571"/>
      <c r="AQ175" s="1571"/>
      <c r="AR175" s="1571"/>
      <c r="AS175" s="1571"/>
      <c r="AT175" s="1571"/>
      <c r="AU175" s="1571"/>
      <c r="AV175" s="1571"/>
      <c r="AW175" s="1571"/>
      <c r="AX175" s="1571"/>
      <c r="AY175" s="1571"/>
      <c r="AZ175" s="1571"/>
      <c r="BA175" s="1571"/>
      <c r="BB175" s="1571"/>
      <c r="BC175" s="1571"/>
    </row>
    <row r="176" spans="1:55">
      <c r="A176" s="1571"/>
      <c r="B176" s="1571"/>
      <c r="C176" s="1571"/>
      <c r="D176" s="1571"/>
      <c r="E176" s="1571"/>
      <c r="F176" s="1571"/>
      <c r="G176" s="1571"/>
      <c r="H176" s="1571"/>
      <c r="I176" s="1571"/>
      <c r="J176" s="1571"/>
      <c r="K176" s="1571"/>
      <c r="L176" s="1571"/>
      <c r="M176" s="1571"/>
      <c r="N176" s="1571"/>
      <c r="O176" s="1571"/>
      <c r="P176" s="1571"/>
      <c r="Q176" s="1571"/>
      <c r="R176" s="1571"/>
      <c r="S176" s="234"/>
      <c r="T176" s="1571">
        <f>T99</f>
        <v>442190</v>
      </c>
      <c r="U176" s="2741">
        <v>11</v>
      </c>
      <c r="V176" s="1571"/>
      <c r="W176" s="413" t="s">
        <v>948</v>
      </c>
      <c r="X176" s="1571"/>
      <c r="Y176" s="1458">
        <f>VLOOKUP(T176,FPERIOD,6,FALSE)</f>
        <v>-433197</v>
      </c>
      <c r="Z176" s="1458">
        <f>VLOOKUP(T176,FPERIOD,7,FALSE)</f>
        <v>874003</v>
      </c>
      <c r="AA176" s="1458">
        <f>VLOOKUP(T176,FPERIOD,8,FALSE)</f>
        <v>599173</v>
      </c>
      <c r="AB176" s="1458">
        <f>VLOOKUP(T176,FPERIOD,9,FALSE)</f>
        <v>5613</v>
      </c>
      <c r="AC176" s="1458">
        <f>VLOOKUP(T176,FPERIOD,10,FALSE)</f>
        <v>-192897</v>
      </c>
      <c r="AD176" s="1458">
        <f>VLOOKUP(T176,FPERIOD,11,FALSE)</f>
        <v>-425194</v>
      </c>
      <c r="AE176" s="1458">
        <f>VLOOKUP(T176,FPERIOD,12,FALSE)</f>
        <v>357223</v>
      </c>
      <c r="AF176" s="1458">
        <f>VLOOKUP(T176,FPERIOD,13,FALSE)</f>
        <v>-261365</v>
      </c>
      <c r="AG176" s="1458">
        <f>VLOOKUP(T176,FPERIOD,14,FALSE)</f>
        <v>-515542</v>
      </c>
      <c r="AH176" s="1458">
        <f>VLOOKUP(T176,FPERIOD,15,FALSE)</f>
        <v>-638601</v>
      </c>
      <c r="AI176" s="1458">
        <f>VLOOKUP(T176,FPERIOD,16,FALSE)</f>
        <v>129963</v>
      </c>
      <c r="AJ176" s="1458">
        <f>VLOOKUP(T176,FPERIOD,17,FALSE)</f>
        <v>321221</v>
      </c>
      <c r="AK176" s="306">
        <f>SUM(Y176:AJ176)</f>
        <v>-179600</v>
      </c>
      <c r="AL176" s="1571"/>
      <c r="AM176" s="1571"/>
      <c r="AN176" s="1571"/>
      <c r="AO176" s="1571"/>
      <c r="AP176" s="1571"/>
      <c r="AQ176" s="1571"/>
      <c r="AR176" s="1571"/>
      <c r="AS176" s="1571"/>
      <c r="AT176" s="1571"/>
      <c r="AU176" s="1571"/>
      <c r="AV176" s="1571"/>
      <c r="AW176" s="1571"/>
      <c r="AX176" s="1571"/>
      <c r="AY176" s="1571"/>
      <c r="AZ176" s="1571"/>
      <c r="BA176" s="1571"/>
      <c r="BB176" s="1571"/>
      <c r="BC176" s="1571"/>
    </row>
    <row r="177" spans="1:55">
      <c r="A177" s="1571"/>
      <c r="B177" s="1571"/>
      <c r="C177" s="1571"/>
      <c r="D177" s="1571"/>
      <c r="E177" s="1571"/>
      <c r="F177" s="1571"/>
      <c r="G177" s="1571"/>
      <c r="H177" s="1571"/>
      <c r="I177" s="1571"/>
      <c r="J177" s="1571"/>
      <c r="K177" s="1571"/>
      <c r="L177" s="1571"/>
      <c r="M177" s="1571"/>
      <c r="N177" s="1571"/>
      <c r="O177" s="1571"/>
      <c r="P177" s="1571"/>
      <c r="Q177" s="1571"/>
      <c r="R177" s="1571"/>
      <c r="S177" s="1571"/>
      <c r="T177" s="1571">
        <f>T100</f>
        <v>442290</v>
      </c>
      <c r="U177" s="2741">
        <v>12</v>
      </c>
      <c r="V177" s="1571"/>
      <c r="W177" s="413" t="s">
        <v>949</v>
      </c>
      <c r="X177" s="1571"/>
      <c r="Y177" s="1458">
        <f>VLOOKUP(T177,FPERIOD,6,FALSE)</f>
        <v>45430</v>
      </c>
      <c r="Z177" s="1458">
        <f>VLOOKUP(T177,FPERIOD,7,FALSE)</f>
        <v>448945</v>
      </c>
      <c r="AA177" s="1458">
        <f>VLOOKUP(T177,FPERIOD,8,FALSE)</f>
        <v>218822</v>
      </c>
      <c r="AB177" s="1458">
        <f>VLOOKUP(T177,FPERIOD,9,FALSE)</f>
        <v>-433087</v>
      </c>
      <c r="AC177" s="1458">
        <f>VLOOKUP(T177,FPERIOD,10,FALSE)</f>
        <v>-305179</v>
      </c>
      <c r="AD177" s="1458">
        <f>VLOOKUP(T177,FPERIOD,11,FALSE)</f>
        <v>-42039</v>
      </c>
      <c r="AE177" s="1458">
        <f>VLOOKUP(T177,FPERIOD,12,FALSE)</f>
        <v>-121766</v>
      </c>
      <c r="AF177" s="1458">
        <f>VLOOKUP(T177,FPERIOD,13,FALSE)</f>
        <v>-69322</v>
      </c>
      <c r="AG177" s="1458">
        <f>VLOOKUP(T177,FPERIOD,14,FALSE)</f>
        <v>-55052</v>
      </c>
      <c r="AH177" s="1458">
        <f>VLOOKUP(T177,FPERIOD,15,FALSE)</f>
        <v>55959</v>
      </c>
      <c r="AI177" s="1458">
        <f>VLOOKUP(T177,FPERIOD,16,FALSE)</f>
        <v>102788</v>
      </c>
      <c r="AJ177" s="1458">
        <f>VLOOKUP(T177,FPERIOD,17,FALSE)</f>
        <v>98036</v>
      </c>
      <c r="AK177" s="306">
        <f>SUM(Y177:AJ177)</f>
        <v>-56465</v>
      </c>
      <c r="AL177" s="1571"/>
      <c r="AM177" s="1571"/>
      <c r="AN177" s="1571"/>
      <c r="AO177" s="1571"/>
      <c r="AP177" s="1571"/>
      <c r="AQ177" s="1571"/>
      <c r="AR177" s="1571"/>
      <c r="AS177" s="1571"/>
      <c r="AT177" s="1571"/>
      <c r="AU177" s="1571"/>
      <c r="AV177" s="1571"/>
      <c r="AW177" s="1571"/>
      <c r="AX177" s="1571"/>
      <c r="AY177" s="1571"/>
      <c r="AZ177" s="1571"/>
      <c r="BA177" s="1571"/>
      <c r="BB177" s="1571"/>
      <c r="BC177" s="1571"/>
    </row>
    <row r="178" spans="1:55">
      <c r="A178" s="1571"/>
      <c r="B178" s="1571"/>
      <c r="C178" s="1571"/>
      <c r="D178" s="1571"/>
      <c r="E178" s="1571"/>
      <c r="F178" s="1571"/>
      <c r="G178" s="1571"/>
      <c r="H178" s="1571"/>
      <c r="I178" s="1571"/>
      <c r="J178" s="1571"/>
      <c r="K178" s="1571"/>
      <c r="L178" s="1571"/>
      <c r="M178" s="1571"/>
      <c r="N178" s="1571"/>
      <c r="O178" s="1571"/>
      <c r="P178" s="1571"/>
      <c r="Q178" s="1571"/>
      <c r="R178" s="1571"/>
      <c r="S178" s="1571"/>
      <c r="T178" s="1571"/>
      <c r="U178" s="2741">
        <v>13</v>
      </c>
      <c r="V178" s="1571"/>
      <c r="W178" s="413" t="s">
        <v>718</v>
      </c>
      <c r="X178" s="1571"/>
      <c r="Y178" s="415">
        <v>0</v>
      </c>
      <c r="Z178" s="415">
        <v>0</v>
      </c>
      <c r="AA178" s="415">
        <v>0</v>
      </c>
      <c r="AB178" s="415">
        <v>0</v>
      </c>
      <c r="AC178" s="415">
        <v>0</v>
      </c>
      <c r="AD178" s="415">
        <v>0</v>
      </c>
      <c r="AE178" s="415">
        <v>0</v>
      </c>
      <c r="AF178" s="415">
        <v>0</v>
      </c>
      <c r="AG178" s="415">
        <v>0</v>
      </c>
      <c r="AH178" s="415">
        <v>0</v>
      </c>
      <c r="AI178" s="415">
        <v>0</v>
      </c>
      <c r="AJ178" s="415">
        <v>0</v>
      </c>
      <c r="AK178" s="306">
        <f>SUM(Y178:AJ178)</f>
        <v>0</v>
      </c>
      <c r="AL178" s="1571"/>
      <c r="AM178" s="1571"/>
      <c r="AN178" s="1571"/>
      <c r="AO178" s="1571"/>
      <c r="AP178" s="1571"/>
      <c r="AQ178" s="1571"/>
      <c r="AR178" s="1571"/>
      <c r="AS178" s="1571"/>
      <c r="AT178" s="1571"/>
      <c r="AU178" s="1571"/>
      <c r="AV178" s="1571"/>
      <c r="AW178" s="1571"/>
      <c r="AX178" s="1571"/>
      <c r="AY178" s="1571"/>
      <c r="AZ178" s="1571"/>
      <c r="BA178" s="1571"/>
      <c r="BB178" s="1571"/>
      <c r="BC178" s="1571"/>
    </row>
    <row r="179" spans="1:55">
      <c r="A179" s="1571"/>
      <c r="B179" s="1571"/>
      <c r="C179" s="1571"/>
      <c r="D179" s="1571"/>
      <c r="E179" s="1571"/>
      <c r="F179" s="1571"/>
      <c r="G179" s="1571"/>
      <c r="H179" s="1571"/>
      <c r="I179" s="1571"/>
      <c r="J179" s="1571"/>
      <c r="K179" s="1571"/>
      <c r="L179" s="1571"/>
      <c r="M179" s="1571"/>
      <c r="N179" s="1571"/>
      <c r="O179" s="1571"/>
      <c r="P179" s="1571"/>
      <c r="Q179" s="1571"/>
      <c r="R179" s="1571"/>
      <c r="S179" s="1571"/>
      <c r="T179" s="1571">
        <f>T102</f>
        <v>445090</v>
      </c>
      <c r="U179" s="2741">
        <v>14</v>
      </c>
      <c r="V179" s="1571"/>
      <c r="W179" s="413" t="s">
        <v>950</v>
      </c>
      <c r="X179" s="1571"/>
      <c r="Y179" s="1458">
        <f>VLOOKUP(T179,FPERIOD,6,FALSE)</f>
        <v>-15962</v>
      </c>
      <c r="Z179" s="1458">
        <f>VLOOKUP(T179,FPERIOD,7,FALSE)</f>
        <v>248175</v>
      </c>
      <c r="AA179" s="1458">
        <f>VLOOKUP(T179,FPERIOD,8,FALSE)</f>
        <v>161545</v>
      </c>
      <c r="AB179" s="1458">
        <f>VLOOKUP(T179,FPERIOD,9,FALSE)</f>
        <v>1733</v>
      </c>
      <c r="AC179" s="1458">
        <f>VLOOKUP(T179,FPERIOD,10,FALSE)</f>
        <v>26614</v>
      </c>
      <c r="AD179" s="1458">
        <f>VLOOKUP(T179,FPERIOD,11,FALSE)</f>
        <v>-103873</v>
      </c>
      <c r="AE179" s="1458">
        <f>VLOOKUP(T179,FPERIOD,12,FALSE)</f>
        <v>88882</v>
      </c>
      <c r="AF179" s="1458">
        <f>VLOOKUP(T179,FPERIOD,13,FALSE)</f>
        <v>-19247</v>
      </c>
      <c r="AG179" s="1458">
        <f>VLOOKUP(T179,FPERIOD,14,FALSE)</f>
        <v>-135902</v>
      </c>
      <c r="AH179" s="1458">
        <f>VLOOKUP(T179,FPERIOD,15,FALSE)</f>
        <v>-4048</v>
      </c>
      <c r="AI179" s="1458">
        <f>VLOOKUP(T179,FPERIOD,16,FALSE)</f>
        <v>-25637</v>
      </c>
      <c r="AJ179" s="1458">
        <f>VLOOKUP(T179,FPERIOD,17,FALSE)</f>
        <v>102481</v>
      </c>
      <c r="AK179" s="306">
        <f>SUM(Y179:AJ179)</f>
        <v>324761</v>
      </c>
      <c r="AL179" s="1571"/>
      <c r="AM179" s="1571"/>
      <c r="AN179" s="1571"/>
      <c r="AO179" s="1571"/>
      <c r="AP179" s="1571"/>
      <c r="AQ179" s="1571"/>
      <c r="AR179" s="1571"/>
      <c r="AS179" s="1571"/>
      <c r="AT179" s="1571"/>
      <c r="AU179" s="1571"/>
      <c r="AV179" s="1571"/>
      <c r="AW179" s="1571"/>
      <c r="AX179" s="1571"/>
      <c r="AY179" s="1571"/>
      <c r="AZ179" s="1571"/>
      <c r="BA179" s="1571"/>
      <c r="BB179" s="1571"/>
      <c r="BC179" s="1571"/>
    </row>
    <row r="180" spans="1:55">
      <c r="A180" s="1571"/>
      <c r="B180" s="1571"/>
      <c r="C180" s="1571"/>
      <c r="D180" s="1571"/>
      <c r="E180" s="1571"/>
      <c r="F180" s="1571"/>
      <c r="G180" s="1571"/>
      <c r="H180" s="1571"/>
      <c r="I180" s="1571"/>
      <c r="J180" s="1571"/>
      <c r="K180" s="1571"/>
      <c r="L180" s="1571"/>
      <c r="M180" s="1571"/>
      <c r="N180" s="1571"/>
      <c r="O180" s="1571"/>
      <c r="P180" s="1571"/>
      <c r="Q180" s="1571"/>
      <c r="R180" s="1571"/>
      <c r="S180" s="1571"/>
      <c r="T180" s="1571"/>
      <c r="U180" s="2741">
        <v>15</v>
      </c>
      <c r="V180" s="1571"/>
      <c r="W180" s="1571"/>
      <c r="X180" s="1571"/>
      <c r="Y180" s="306"/>
      <c r="Z180" s="306"/>
      <c r="AA180" s="306"/>
      <c r="AB180" s="306"/>
      <c r="AC180" s="306"/>
      <c r="AD180" s="306"/>
      <c r="AE180" s="306"/>
      <c r="AF180" s="306"/>
      <c r="AG180" s="306"/>
      <c r="AH180" s="306"/>
      <c r="AI180" s="306"/>
      <c r="AJ180" s="306"/>
      <c r="AK180" s="306"/>
      <c r="AL180" s="1571"/>
      <c r="AM180" s="1571"/>
      <c r="AN180" s="1571"/>
      <c r="AO180" s="1571"/>
      <c r="AP180" s="1571"/>
      <c r="AQ180" s="1571"/>
      <c r="AR180" s="1571"/>
      <c r="AS180" s="1571"/>
      <c r="AT180" s="1571"/>
      <c r="AU180" s="1571"/>
      <c r="AV180" s="1571"/>
      <c r="AW180" s="1571"/>
      <c r="AX180" s="1571"/>
      <c r="AY180" s="1571"/>
      <c r="AZ180" s="1571"/>
      <c r="BA180" s="1571"/>
      <c r="BB180" s="1571"/>
      <c r="BC180" s="1571"/>
    </row>
    <row r="181" spans="1:55">
      <c r="A181" s="1571"/>
      <c r="B181" s="1571"/>
      <c r="C181" s="1571"/>
      <c r="D181" s="1571"/>
      <c r="E181" s="1571"/>
      <c r="F181" s="1571"/>
      <c r="G181" s="1571"/>
      <c r="H181" s="1571"/>
      <c r="I181" s="1571"/>
      <c r="J181" s="1571"/>
      <c r="K181" s="1571"/>
      <c r="L181" s="1571"/>
      <c r="M181" s="1571"/>
      <c r="N181" s="1571"/>
      <c r="O181" s="1571"/>
      <c r="P181" s="1571"/>
      <c r="Q181" s="1571"/>
      <c r="R181" s="1571"/>
      <c r="S181" s="234" t="str">
        <f>S104</f>
        <v>BEFREV</v>
      </c>
      <c r="T181" s="1571"/>
      <c r="U181" s="2741">
        <v>16</v>
      </c>
      <c r="V181" s="1571"/>
      <c r="W181" s="233" t="s">
        <v>716</v>
      </c>
      <c r="X181" s="1571"/>
      <c r="Y181" s="1458"/>
      <c r="Z181" s="1458"/>
      <c r="AA181" s="1458"/>
      <c r="AB181" s="1458"/>
      <c r="AC181" s="1458"/>
      <c r="AD181" s="1458"/>
      <c r="AE181" s="1458"/>
      <c r="AF181" s="1458"/>
      <c r="AG181" s="1458"/>
      <c r="AH181" s="1458"/>
      <c r="AI181" s="1458"/>
      <c r="AJ181" s="1458"/>
      <c r="AK181" s="306"/>
      <c r="AL181" s="1571"/>
      <c r="AM181" s="1571"/>
      <c r="AN181" s="1571"/>
      <c r="AO181" s="1571"/>
      <c r="AP181" s="1571"/>
      <c r="AQ181" s="1571"/>
      <c r="AR181" s="1571"/>
      <c r="AS181" s="1571"/>
      <c r="AT181" s="1571"/>
      <c r="AU181" s="1571"/>
      <c r="AV181" s="1571"/>
      <c r="AW181" s="1571"/>
      <c r="AX181" s="1571"/>
      <c r="AY181" s="1571"/>
      <c r="AZ181" s="1571"/>
      <c r="BA181" s="1571"/>
      <c r="BB181" s="1571"/>
      <c r="BC181" s="1571"/>
    </row>
    <row r="182" spans="1:55">
      <c r="A182" s="1571"/>
      <c r="B182" s="1571"/>
      <c r="C182" s="1571"/>
      <c r="D182" s="1571"/>
      <c r="E182" s="1571"/>
      <c r="F182" s="1571"/>
      <c r="G182" s="1571"/>
      <c r="H182" s="1571"/>
      <c r="I182" s="1571"/>
      <c r="J182" s="1571"/>
      <c r="K182" s="1571"/>
      <c r="L182" s="1571"/>
      <c r="M182" s="1571"/>
      <c r="N182" s="1571"/>
      <c r="O182" s="1571"/>
      <c r="P182" s="1571"/>
      <c r="Q182" s="1571"/>
      <c r="R182" s="1571"/>
      <c r="S182" s="1571"/>
      <c r="T182" s="1571">
        <f>T105</f>
        <v>440000</v>
      </c>
      <c r="U182" s="2741">
        <v>17</v>
      </c>
      <c r="V182" s="1571"/>
      <c r="W182" s="413" t="s">
        <v>947</v>
      </c>
      <c r="X182" s="1571"/>
      <c r="Y182" s="1458">
        <f t="array" ref="Y182">SUM(IF(FPrevAcct=T182,IF(FPrevProd=S181,FPrev1)))</f>
        <v>2725062</v>
      </c>
      <c r="Z182" s="1458">
        <f t="array" ref="Z182">SUM(IF(FPrevAcct=T182,IF(FPrevProd=S181,FPrev2)))</f>
        <v>2221863</v>
      </c>
      <c r="AA182" s="1458">
        <f t="array" ref="AA182">SUM(IF(FPrevAcct=T182,IF(FPrevProd=S181,FPrev3)))</f>
        <v>2862938</v>
      </c>
      <c r="AB182" s="1458">
        <f t="array" ref="AB182">SUM(IF(FPrevAcct=T182,IF(FPrevProd=S181,FPrev4)))</f>
        <v>3779531</v>
      </c>
      <c r="AC182" s="1458">
        <f t="array" ref="AC182">SUM(IF(FPrevAcct=T182,IF(FPrevProd=S181,FPrev5)))</f>
        <v>3823095</v>
      </c>
      <c r="AD182" s="1458">
        <f t="array" ref="AD182">SUM(IF(FPrevAcct=T182,IF(FPrevProd=S181,FPrev6)))</f>
        <v>3390494</v>
      </c>
      <c r="AE182" s="1458">
        <f t="array" ref="AE182">SUM(IF(FPrevAcct=T182,IF(FPrevProd=S181,FPrev7)))</f>
        <v>2348616</v>
      </c>
      <c r="AF182" s="1458">
        <f t="array" ref="AF182">SUM(IF(FPrevAcct=T182,IF(FPrevProd=S181,FPrev8)))</f>
        <v>2442566</v>
      </c>
      <c r="AG182" s="1458">
        <f t="array" ref="AG182">SUM(IF(FPrevAcct=T182,IF(FPrevProd=S181,FPrev9)))</f>
        <v>3336554</v>
      </c>
      <c r="AH182" s="1458">
        <f t="array" ref="AH182">SUM(IF(FPrevAcct=T182,IF(FPrevProd=S181,FPrev10)))</f>
        <v>4128737</v>
      </c>
      <c r="AI182" s="1458">
        <f t="array" ref="AI182">SUM(IF(FPrevAcct=T182,IF(FPrevProd=S181,FPrev11)))</f>
        <v>3709654</v>
      </c>
      <c r="AJ182" s="1458">
        <f t="array" ref="AJ182">SUM(IF(FPrevAcct=T182,IF(FPrevProd=S181,FPrev12)))</f>
        <v>3261887</v>
      </c>
      <c r="AK182" s="306">
        <f t="shared" ref="AK182:AK187" si="11">SUM(Y182:AJ182)</f>
        <v>38030997</v>
      </c>
      <c r="AL182" s="1571"/>
      <c r="AM182" s="1571"/>
      <c r="AN182" s="1571"/>
      <c r="AO182" s="1571"/>
      <c r="AP182" s="1571"/>
      <c r="AQ182" s="1571"/>
      <c r="AR182" s="1571"/>
      <c r="AS182" s="1571"/>
      <c r="AT182" s="1571"/>
      <c r="AU182" s="1571"/>
      <c r="AV182" s="1571"/>
      <c r="AW182" s="1571"/>
      <c r="AX182" s="1571"/>
      <c r="AY182" s="1571"/>
      <c r="AZ182" s="1571"/>
      <c r="BA182" s="1571"/>
      <c r="BB182" s="1571"/>
      <c r="BC182" s="1571"/>
    </row>
    <row r="183" spans="1:55">
      <c r="A183" s="1571"/>
      <c r="B183" s="1571"/>
      <c r="C183" s="1571"/>
      <c r="D183" s="1571"/>
      <c r="E183" s="1571"/>
      <c r="F183" s="1571"/>
      <c r="G183" s="1571"/>
      <c r="H183" s="1571"/>
      <c r="I183" s="1571"/>
      <c r="J183" s="1571"/>
      <c r="K183" s="1571"/>
      <c r="L183" s="1571"/>
      <c r="M183" s="1571"/>
      <c r="N183" s="1571"/>
      <c r="O183" s="1571"/>
      <c r="P183" s="1571"/>
      <c r="Q183" s="1571"/>
      <c r="R183" s="1571"/>
      <c r="S183" s="1571"/>
      <c r="T183" s="1571">
        <f>T106</f>
        <v>442100</v>
      </c>
      <c r="U183" s="2741">
        <v>18</v>
      </c>
      <c r="V183" s="1571"/>
      <c r="W183" s="413" t="s">
        <v>948</v>
      </c>
      <c r="X183" s="1571"/>
      <c r="Y183" s="1458">
        <f t="array" ref="Y183">SUM(IF(FPrevAcct=T183,IF(FPrevProd=S181,FPrev1)))</f>
        <v>3013171</v>
      </c>
      <c r="Z183" s="1458">
        <f t="array" ref="Z183">SUM(IF(FPrevAcct=T183,IF(FPrevProd=S181,FPrev2)))</f>
        <v>2890487</v>
      </c>
      <c r="AA183" s="1458">
        <f t="array" ref="AA183">SUM(IF(FPrevAcct=T183,IF(FPrevProd=S181,FPrev3)))</f>
        <v>3244663</v>
      </c>
      <c r="AB183" s="1458">
        <f t="array" ref="AB183">SUM(IF(FPrevAcct=T183,IF(FPrevProd=S181,FPrev4)))</f>
        <v>3543534</v>
      </c>
      <c r="AC183" s="1458">
        <f t="array" ref="AC183">SUM(IF(FPrevAcct=T183,IF(FPrevProd=S181,FPrev5)))</f>
        <v>3471417</v>
      </c>
      <c r="AD183" s="1458">
        <f t="array" ref="AD183">SUM(IF(FPrevAcct=T183,IF(FPrevProd=S181,FPrev6)))</f>
        <v>3398913</v>
      </c>
      <c r="AE183" s="1458">
        <f t="array" ref="AE183">SUM(IF(FPrevAcct=T183,IF(FPrevProd=S181,FPrev7)))</f>
        <v>2958974</v>
      </c>
      <c r="AF183" s="1458">
        <f t="array" ref="AF183">SUM(IF(FPrevAcct=T183,IF(FPrevProd=S181,FPrev8)))</f>
        <v>2913942</v>
      </c>
      <c r="AG183" s="1458">
        <f t="array" ref="AG183">SUM(IF(FPrevAcct=T183,IF(FPrevProd=S181,FPrev9)))</f>
        <v>3173446</v>
      </c>
      <c r="AH183" s="1458">
        <f t="array" ref="AH183">SUM(IF(FPrevAcct=T183,IF(FPrevProd=S181,FPrev10)))</f>
        <v>3307717</v>
      </c>
      <c r="AI183" s="1458">
        <f t="array" ref="AI183">SUM(IF(FPrevAcct=T183,IF(FPrevProd=S181,FPrev11)))</f>
        <v>2936420</v>
      </c>
      <c r="AJ183" s="1458">
        <f t="array" ref="AJ183">SUM(IF(FPrevAcct=T183,IF(FPrevProd=S181,FPrev12)))</f>
        <v>2892881</v>
      </c>
      <c r="AK183" s="306">
        <f t="shared" si="11"/>
        <v>37745565</v>
      </c>
      <c r="AL183" s="1571"/>
      <c r="AM183" s="1571"/>
      <c r="AN183" s="1571"/>
      <c r="AO183" s="1571"/>
      <c r="AP183" s="1571"/>
      <c r="AQ183" s="1571"/>
      <c r="AR183" s="1571"/>
      <c r="AS183" s="1571"/>
      <c r="AT183" s="1571"/>
      <c r="AU183" s="1571"/>
      <c r="AV183" s="1571"/>
      <c r="AW183" s="1571"/>
      <c r="AX183" s="1571"/>
      <c r="AY183" s="1571"/>
      <c r="AZ183" s="1571"/>
      <c r="BA183" s="1571"/>
      <c r="BB183" s="1571"/>
      <c r="BC183" s="1571"/>
    </row>
    <row r="184" spans="1:55">
      <c r="A184" s="1571"/>
      <c r="B184" s="1571"/>
      <c r="C184" s="1571"/>
      <c r="D184" s="1571"/>
      <c r="E184" s="1571"/>
      <c r="F184" s="1571"/>
      <c r="G184" s="1571"/>
      <c r="H184" s="1571"/>
      <c r="I184" s="1571"/>
      <c r="J184" s="1571"/>
      <c r="K184" s="1571"/>
      <c r="L184" s="1571"/>
      <c r="M184" s="1571"/>
      <c r="N184" s="1571"/>
      <c r="O184" s="1571"/>
      <c r="P184" s="1571"/>
      <c r="Q184" s="1571"/>
      <c r="R184" s="1571"/>
      <c r="S184" s="1571"/>
      <c r="T184" s="1571">
        <f>T107</f>
        <v>442200</v>
      </c>
      <c r="U184" s="2741">
        <v>19</v>
      </c>
      <c r="V184" s="1571"/>
      <c r="W184" s="413" t="s">
        <v>949</v>
      </c>
      <c r="X184" s="1571"/>
      <c r="Y184" s="1458">
        <f t="array" ref="Y184">SUM(IF(FPrevAcct=T184,IF(FPrevProd=S181,FPrev1)))</f>
        <v>1780148</v>
      </c>
      <c r="Z184" s="1458">
        <f t="array" ref="Z184">SUM(IF(FPrevAcct=T184,IF(FPrevProd=S181,FPrev2)))</f>
        <v>1775745</v>
      </c>
      <c r="AA184" s="1458">
        <f t="array" ref="AA184">SUM(IF(FPrevAcct=T184,IF(FPrevProd=S181,FPrev3)))</f>
        <v>1781667</v>
      </c>
      <c r="AB184" s="1458">
        <f t="array" ref="AB184">SUM(IF(FPrevAcct=T184,IF(FPrevProd=S181,FPrev4)))</f>
        <v>1812331</v>
      </c>
      <c r="AC184" s="1458">
        <f t="array" ref="AC184">SUM(IF(FPrevAcct=T184,IF(FPrevProd=S181,FPrev5)))</f>
        <v>1801698</v>
      </c>
      <c r="AD184" s="1458">
        <f t="array" ref="AD184">SUM(IF(FPrevAcct=T184,IF(FPrevProd=S181,FPrev6)))</f>
        <v>1721882</v>
      </c>
      <c r="AE184" s="1458">
        <f t="array" ref="AE184">SUM(IF(FPrevAcct=T184,IF(FPrevProd=S181,FPrev7)))</f>
        <v>1722552</v>
      </c>
      <c r="AF184" s="1458">
        <f t="array" ref="AF184">SUM(IF(FPrevAcct=T184,IF(FPrevProd=S181,FPrev8)))</f>
        <v>1713875</v>
      </c>
      <c r="AG184" s="1458">
        <f t="array" ref="AG184">SUM(IF(FPrevAcct=T184,IF(FPrevProd=S181,FPrev9)))</f>
        <v>1711403</v>
      </c>
      <c r="AH184" s="1458">
        <f t="array" ref="AH184">SUM(IF(FPrevAcct=T184,IF(FPrevProd=S181,FPrev10)))</f>
        <v>1737923</v>
      </c>
      <c r="AI184" s="1458">
        <f t="array" ref="AI184">SUM(IF(FPrevAcct=T184,IF(FPrevProd=S181,FPrev11)))</f>
        <v>1760065</v>
      </c>
      <c r="AJ184" s="1458">
        <f t="array" ref="AJ184">SUM(IF(FPrevAcct=T184,IF(FPrevProd=S181,FPrev12)))</f>
        <v>1758211</v>
      </c>
      <c r="AK184" s="306">
        <f t="shared" si="11"/>
        <v>21077500</v>
      </c>
      <c r="AL184" s="1571"/>
      <c r="AM184" s="1571"/>
      <c r="AN184" s="1571"/>
      <c r="AO184" s="1571"/>
      <c r="AP184" s="1571"/>
      <c r="AQ184" s="1571"/>
      <c r="AR184" s="1571"/>
      <c r="AS184" s="1571"/>
      <c r="AT184" s="1571"/>
      <c r="AU184" s="1571"/>
      <c r="AV184" s="1571"/>
      <c r="AW184" s="1571"/>
      <c r="AX184" s="1571"/>
      <c r="AY184" s="1571"/>
      <c r="AZ184" s="1571"/>
      <c r="BA184" s="1571"/>
      <c r="BB184" s="1571"/>
      <c r="BC184" s="1571"/>
    </row>
    <row r="185" spans="1:55">
      <c r="A185" s="1571"/>
      <c r="B185" s="1571"/>
      <c r="C185" s="1571"/>
      <c r="D185" s="1571"/>
      <c r="E185" s="1571"/>
      <c r="F185" s="1571"/>
      <c r="G185" s="1571"/>
      <c r="H185" s="1571"/>
      <c r="I185" s="1571"/>
      <c r="J185" s="1571"/>
      <c r="K185" s="1571"/>
      <c r="L185" s="1571"/>
      <c r="M185" s="1571"/>
      <c r="N185" s="1571"/>
      <c r="O185" s="1571"/>
      <c r="P185" s="1571"/>
      <c r="Q185" s="1571"/>
      <c r="R185" s="1571"/>
      <c r="S185" s="1571"/>
      <c r="T185" s="1571">
        <f>T108</f>
        <v>444000</v>
      </c>
      <c r="U185" s="2741">
        <v>20</v>
      </c>
      <c r="V185" s="1571"/>
      <c r="W185" s="413" t="s">
        <v>718</v>
      </c>
      <c r="X185" s="1571"/>
      <c r="Y185" s="1458">
        <f t="array" ref="Y185">SUM(IF(FPrevAcct=T185,IF(FPrevProd=S181,FPrev1)))</f>
        <v>32699</v>
      </c>
      <c r="Z185" s="1458">
        <f t="array" ref="Z185">SUM(IF(FPrevAcct=T185,IF(FPrevProd=S181,FPrev2)))</f>
        <v>32647</v>
      </c>
      <c r="AA185" s="1458">
        <f t="array" ref="AA185">SUM(IF(FPrevAcct=T185,IF(FPrevProd=S181,FPrev3)))</f>
        <v>32596</v>
      </c>
      <c r="AB185" s="1458">
        <f t="array" ref="AB185">SUM(IF(FPrevAcct=T185,IF(FPrevProd=S181,FPrev4)))</f>
        <v>32647</v>
      </c>
      <c r="AC185" s="1458">
        <f t="array" ref="AC185">SUM(IF(FPrevAcct=T185,IF(FPrevProd=S181,FPrev5)))</f>
        <v>32621</v>
      </c>
      <c r="AD185" s="1458">
        <f t="array" ref="AD185">SUM(IF(FPrevAcct=T185,IF(FPrevProd=S181,FPrev6)))</f>
        <v>32647</v>
      </c>
      <c r="AE185" s="1458">
        <f t="array" ref="AE185">SUM(IF(FPrevAcct=T185,IF(FPrevProd=S181,FPrev7)))</f>
        <v>32673</v>
      </c>
      <c r="AF185" s="1458">
        <f t="array" ref="AF185">SUM(IF(FPrevAcct=T185,IF(FPrevProd=S181,FPrev8)))</f>
        <v>33729</v>
      </c>
      <c r="AG185" s="1458">
        <f t="array" ref="AG185">SUM(IF(FPrevAcct=T185,IF(FPrevProd=S181,FPrev9)))</f>
        <v>32802</v>
      </c>
      <c r="AH185" s="1458">
        <f t="array" ref="AH185">SUM(IF(FPrevAcct=T185,IF(FPrevProd=S181,FPrev10)))</f>
        <v>34707</v>
      </c>
      <c r="AI185" s="1458">
        <f t="array" ref="AI185">SUM(IF(FPrevAcct=T185,IF(FPrevProd=S181,FPrev11)))</f>
        <v>33986</v>
      </c>
      <c r="AJ185" s="1458">
        <f t="array" ref="AJ185">SUM(IF(FPrevAcct=T185,IF(FPrevProd=S181,FPrev12)))</f>
        <v>32879</v>
      </c>
      <c r="AK185" s="306">
        <f t="shared" si="11"/>
        <v>396633</v>
      </c>
      <c r="AL185" s="1571"/>
      <c r="AM185" s="1571"/>
      <c r="AN185" s="1571"/>
      <c r="AO185" s="1571"/>
      <c r="AP185" s="1571"/>
      <c r="AQ185" s="1571"/>
      <c r="AR185" s="1571"/>
      <c r="AS185" s="1571"/>
      <c r="AT185" s="1571"/>
      <c r="AU185" s="1571"/>
      <c r="AV185" s="1571"/>
      <c r="AW185" s="1571"/>
      <c r="AX185" s="1571"/>
      <c r="AY185" s="1571"/>
      <c r="AZ185" s="1571"/>
      <c r="BA185" s="1571"/>
      <c r="BB185" s="1571"/>
      <c r="BC185" s="1571"/>
    </row>
    <row r="186" spans="1:55">
      <c r="A186" s="1571"/>
      <c r="B186" s="1571"/>
      <c r="C186" s="1571"/>
      <c r="D186" s="1571"/>
      <c r="E186" s="1571"/>
      <c r="F186" s="1571"/>
      <c r="G186" s="1571"/>
      <c r="H186" s="1571"/>
      <c r="I186" s="1571"/>
      <c r="J186" s="1571"/>
      <c r="K186" s="1571"/>
      <c r="L186" s="1571"/>
      <c r="M186" s="1571"/>
      <c r="N186" s="1571"/>
      <c r="O186" s="1571"/>
      <c r="P186" s="1571"/>
      <c r="Q186" s="1571"/>
      <c r="R186" s="1571"/>
      <c r="S186" s="1571"/>
      <c r="T186" s="1571">
        <f>T109</f>
        <v>445000</v>
      </c>
      <c r="U186" s="2741">
        <v>21</v>
      </c>
      <c r="V186" s="1571"/>
      <c r="W186" s="413" t="s">
        <v>950</v>
      </c>
      <c r="X186" s="1571"/>
      <c r="Y186" s="1458">
        <f t="array" ref="Y186">SUM(IF(FPrevAcct=T186,IF(FPrevProd=S181,FPrev1)))</f>
        <v>536748</v>
      </c>
      <c r="Z186" s="1458">
        <f t="array" ref="Z186">SUM(IF(FPrevAcct=T186,IF(FPrevProd=S181,FPrev2)))</f>
        <v>544884</v>
      </c>
      <c r="AA186" s="1458">
        <f t="array" ref="AA186">SUM(IF(FPrevAcct=T186,IF(FPrevProd=S181,FPrev3)))</f>
        <v>586671</v>
      </c>
      <c r="AB186" s="1458">
        <f t="array" ref="AB186">SUM(IF(FPrevAcct=T186,IF(FPrevProd=S181,FPrev4)))</f>
        <v>604668</v>
      </c>
      <c r="AC186" s="1458">
        <f t="array" ref="AC186">SUM(IF(FPrevAcct=T186,IF(FPrevProd=S181,FPrev5)))</f>
        <v>622820</v>
      </c>
      <c r="AD186" s="1458">
        <f t="array" ref="AD186">SUM(IF(FPrevAcct=T186,IF(FPrevProd=S181,FPrev6)))</f>
        <v>662187</v>
      </c>
      <c r="AE186" s="1458">
        <f t="array" ref="AE186">SUM(IF(FPrevAcct=T186,IF(FPrevProd=S181,FPrev7)))</f>
        <v>583479</v>
      </c>
      <c r="AF186" s="1458">
        <f t="array" ref="AF186">SUM(IF(FPrevAcct=T186,IF(FPrevProd=S181,FPrev8)))</f>
        <v>547690</v>
      </c>
      <c r="AG186" s="1458">
        <f t="array" ref="AG186">SUM(IF(FPrevAcct=T186,IF(FPrevProd=S181,FPrev9)))</f>
        <v>578381</v>
      </c>
      <c r="AH186" s="1458">
        <f t="array" ref="AH186">SUM(IF(FPrevAcct=T186,IF(FPrevProd=S181,FPrev10)))</f>
        <v>584225</v>
      </c>
      <c r="AI186" s="1458">
        <f t="array" ref="AI186">SUM(IF(FPrevAcct=T186,IF(FPrevProd=S181,FPrev11)))</f>
        <v>592825</v>
      </c>
      <c r="AJ186" s="1458">
        <f t="array" ref="AJ186">SUM(IF(FPrevAcct=T186,IF(FPrevProd=S181,FPrev12)))</f>
        <v>578715</v>
      </c>
      <c r="AK186" s="306">
        <f t="shared" si="11"/>
        <v>7023293</v>
      </c>
      <c r="AL186" s="1571"/>
      <c r="AM186" s="1571"/>
      <c r="AN186" s="1571"/>
      <c r="AO186" s="1571"/>
      <c r="AP186" s="1571"/>
      <c r="AQ186" s="1571"/>
      <c r="AR186" s="1571"/>
      <c r="AS186" s="1571"/>
      <c r="AT186" s="1571"/>
      <c r="AU186" s="1571"/>
      <c r="AV186" s="1571"/>
      <c r="AW186" s="1571"/>
      <c r="AX186" s="1571"/>
      <c r="AY186" s="1571"/>
      <c r="AZ186" s="1571"/>
      <c r="BA186" s="1571"/>
      <c r="BB186" s="1571"/>
      <c r="BC186" s="1571"/>
    </row>
    <row r="187" spans="1:55">
      <c r="A187" s="1571"/>
      <c r="B187" s="1571"/>
      <c r="C187" s="1571"/>
      <c r="D187" s="1571"/>
      <c r="E187" s="1571"/>
      <c r="F187" s="1571"/>
      <c r="G187" s="1571"/>
      <c r="H187" s="1571"/>
      <c r="I187" s="1571"/>
      <c r="J187" s="1571"/>
      <c r="K187" s="1571"/>
      <c r="L187" s="1571"/>
      <c r="M187" s="1571"/>
      <c r="N187" s="1571"/>
      <c r="O187" s="1571"/>
      <c r="P187" s="1571"/>
      <c r="Q187" s="1571"/>
      <c r="R187" s="1571"/>
      <c r="S187" s="1571"/>
      <c r="T187" s="1571"/>
      <c r="U187" s="2741">
        <v>22</v>
      </c>
      <c r="V187" s="1571"/>
      <c r="W187" s="413" t="s">
        <v>938</v>
      </c>
      <c r="X187" s="1571"/>
      <c r="Y187" s="415">
        <v>721</v>
      </c>
      <c r="Z187" s="415">
        <v>515</v>
      </c>
      <c r="AA187" s="415">
        <v>1056</v>
      </c>
      <c r="AB187" s="415">
        <v>1519</v>
      </c>
      <c r="AC187" s="415">
        <v>1365</v>
      </c>
      <c r="AD187" s="415">
        <v>618</v>
      </c>
      <c r="AE187" s="415">
        <v>669</v>
      </c>
      <c r="AF187" s="415">
        <v>1468</v>
      </c>
      <c r="AG187" s="415">
        <v>2523</v>
      </c>
      <c r="AH187" s="415">
        <v>3888</v>
      </c>
      <c r="AI187" s="415">
        <v>2626</v>
      </c>
      <c r="AJ187" s="415">
        <v>1674</v>
      </c>
      <c r="AK187" s="306">
        <f t="shared" si="11"/>
        <v>18642</v>
      </c>
      <c r="AL187" s="1571"/>
      <c r="AM187" s="1571"/>
      <c r="AN187" s="1571"/>
      <c r="AO187" s="1571"/>
      <c r="AP187" s="1571"/>
      <c r="AQ187" s="1571"/>
      <c r="AR187" s="1571"/>
      <c r="AS187" s="1571"/>
      <c r="AT187" s="1571"/>
      <c r="AU187" s="1571"/>
      <c r="AV187" s="1571"/>
      <c r="AW187" s="1571"/>
      <c r="AX187" s="1571"/>
      <c r="AY187" s="1571"/>
      <c r="AZ187" s="1571"/>
      <c r="BA187" s="1571"/>
      <c r="BB187" s="1571"/>
      <c r="BC187" s="1571"/>
    </row>
    <row r="188" spans="1:55">
      <c r="A188" s="1571"/>
      <c r="B188" s="1571"/>
      <c r="C188" s="1571"/>
      <c r="D188" s="1571"/>
      <c r="E188" s="1571"/>
      <c r="F188" s="1571"/>
      <c r="G188" s="1571"/>
      <c r="H188" s="1571"/>
      <c r="I188" s="1571"/>
      <c r="J188" s="1571"/>
      <c r="K188" s="1571"/>
      <c r="L188" s="1571"/>
      <c r="M188" s="1571"/>
      <c r="N188" s="1571"/>
      <c r="O188" s="1571"/>
      <c r="P188" s="1571"/>
      <c r="Q188" s="1571"/>
      <c r="R188" s="1571"/>
      <c r="S188" s="1571"/>
      <c r="T188" s="1571"/>
      <c r="U188" s="2741">
        <v>23</v>
      </c>
      <c r="V188" s="1571"/>
      <c r="W188" s="1571"/>
      <c r="X188" s="1571"/>
      <c r="Y188" s="1458"/>
      <c r="Z188" s="1458"/>
      <c r="AA188" s="1458"/>
      <c r="AB188" s="1458"/>
      <c r="AC188" s="1458"/>
      <c r="AD188" s="1458"/>
      <c r="AE188" s="1458"/>
      <c r="AF188" s="1458"/>
      <c r="AG188" s="1458"/>
      <c r="AH188" s="1458"/>
      <c r="AI188" s="1458"/>
      <c r="AJ188" s="1458"/>
      <c r="AK188" s="306"/>
      <c r="AL188" s="1571"/>
      <c r="AM188" s="1571"/>
      <c r="AN188" s="1571"/>
      <c r="AO188" s="1571"/>
      <c r="AP188" s="1571"/>
      <c r="AQ188" s="1571"/>
      <c r="AR188" s="1571"/>
      <c r="AS188" s="1571"/>
      <c r="AT188" s="1571"/>
      <c r="AU188" s="1571"/>
      <c r="AV188" s="1571"/>
      <c r="AW188" s="1571"/>
      <c r="AX188" s="1571"/>
      <c r="AY188" s="1571"/>
      <c r="AZ188" s="1571"/>
      <c r="BA188" s="1571"/>
      <c r="BB188" s="1571"/>
      <c r="BC188" s="1571"/>
    </row>
    <row r="189" spans="1:55">
      <c r="A189" s="1571"/>
      <c r="B189" s="1571"/>
      <c r="C189" s="1571"/>
      <c r="D189" s="1571"/>
      <c r="E189" s="1571"/>
      <c r="F189" s="1571"/>
      <c r="G189" s="1571"/>
      <c r="H189" s="1571"/>
      <c r="I189" s="1571"/>
      <c r="J189" s="1571"/>
      <c r="K189" s="1571"/>
      <c r="L189" s="1571"/>
      <c r="M189" s="1571"/>
      <c r="N189" s="1571"/>
      <c r="O189" s="1571"/>
      <c r="P189" s="1571"/>
      <c r="Q189" s="1571"/>
      <c r="R189" s="1571"/>
      <c r="S189" s="234" t="str">
        <f>S112</f>
        <v>REFC</v>
      </c>
      <c r="T189" s="1571"/>
      <c r="U189" s="2741">
        <v>24</v>
      </c>
      <c r="V189" s="1571"/>
      <c r="W189" s="233" t="s">
        <v>717</v>
      </c>
      <c r="X189" s="1571"/>
      <c r="Y189" s="1458"/>
      <c r="Z189" s="1458"/>
      <c r="AA189" s="1458"/>
      <c r="AB189" s="1458"/>
      <c r="AC189" s="1458"/>
      <c r="AD189" s="1458"/>
      <c r="AE189" s="1458"/>
      <c r="AF189" s="1458"/>
      <c r="AG189" s="1458"/>
      <c r="AH189" s="1458"/>
      <c r="AI189" s="1458"/>
      <c r="AJ189" s="1458"/>
      <c r="AK189" s="306"/>
      <c r="AL189" s="1571"/>
      <c r="AM189" s="1571"/>
      <c r="AN189" s="1571"/>
      <c r="AO189" s="1571"/>
      <c r="AP189" s="1571"/>
      <c r="AQ189" s="1571"/>
      <c r="AR189" s="1571"/>
      <c r="AS189" s="1571"/>
      <c r="AT189" s="1571"/>
      <c r="AU189" s="1571"/>
      <c r="AV189" s="1571"/>
      <c r="AW189" s="1571"/>
      <c r="AX189" s="1571"/>
      <c r="AY189" s="1571"/>
      <c r="AZ189" s="1571"/>
      <c r="BA189" s="1571"/>
      <c r="BB189" s="1571"/>
      <c r="BC189" s="1571"/>
    </row>
    <row r="190" spans="1:55">
      <c r="A190" s="1571"/>
      <c r="B190" s="1571"/>
      <c r="C190" s="1571"/>
      <c r="D190" s="1571"/>
      <c r="E190" s="1571"/>
      <c r="F190" s="1571"/>
      <c r="G190" s="1571"/>
      <c r="H190" s="1571"/>
      <c r="I190" s="1571"/>
      <c r="J190" s="1571"/>
      <c r="K190" s="1571"/>
      <c r="L190" s="1571"/>
      <c r="M190" s="1571"/>
      <c r="N190" s="1571"/>
      <c r="O190" s="1571"/>
      <c r="P190" s="1571"/>
      <c r="Q190" s="1571"/>
      <c r="R190" s="1571"/>
      <c r="S190" s="1571"/>
      <c r="T190" s="1571">
        <f>T113</f>
        <v>440000</v>
      </c>
      <c r="U190" s="2741">
        <v>25</v>
      </c>
      <c r="V190" s="1571"/>
      <c r="W190" s="413" t="s">
        <v>947</v>
      </c>
      <c r="X190" s="1571"/>
      <c r="Y190" s="1458">
        <f t="array" ref="Y190">SUM(IF(FPrevAcct=T190,IF(FPrevProd=S189,FPrev1)))</f>
        <v>-239619</v>
      </c>
      <c r="Z190" s="1458">
        <f t="array" ref="Z190">SUM(IF(FPrevAcct=T190,IF(FPrevProd=S189,FPrev2)))</f>
        <v>280395</v>
      </c>
      <c r="AA190" s="1458">
        <f t="array" ref="AA190">SUM(IF(FPrevAcct=T190,IF(FPrevProd=S189,FPrev3)))</f>
        <v>385821</v>
      </c>
      <c r="AB190" s="1458">
        <f t="array" ref="AB190">SUM(IF(FPrevAcct=T190,IF(FPrevProd=S189,FPrev4)))</f>
        <v>21036</v>
      </c>
      <c r="AC190" s="1458">
        <f t="array" ref="AC190">SUM(IF(FPrevAcct=T190,IF(FPrevProd=S189,FPrev5)))</f>
        <v>-377512</v>
      </c>
      <c r="AD190" s="1458">
        <f t="array" ref="AD190">SUM(IF(FPrevAcct=T190,IF(FPrevProd=S189,FPrev6)))</f>
        <v>-320681</v>
      </c>
      <c r="AE190" s="1458">
        <f t="array" ref="AE190">SUM(IF(FPrevAcct=T190,IF(FPrevProd=S189,FPrev7)))</f>
        <v>-260639</v>
      </c>
      <c r="AF190" s="1458">
        <f t="array" ref="AF190">SUM(IF(FPrevAcct=T190,IF(FPrevProd=S189,FPrev8)))</f>
        <v>-389517</v>
      </c>
      <c r="AG190" s="1458">
        <f t="array" ref="AG190">SUM(IF(FPrevAcct=T190,IF(FPrevProd=S189,FPrev9)))</f>
        <v>-637900</v>
      </c>
      <c r="AH190" s="1458">
        <f t="array" ref="AH190">SUM(IF(FPrevAcct=T190,IF(FPrevProd=S189,FPrev10)))</f>
        <v>-704069</v>
      </c>
      <c r="AI190" s="1458">
        <f t="array" ref="AI190">SUM(IF(FPrevAcct=T190,IF(FPrevProd=S189,FPrev11)))</f>
        <v>-572880</v>
      </c>
      <c r="AJ190" s="1458">
        <f t="array" ref="AJ190">SUM(IF(FPrevAcct=T190,IF(FPrevProd=S189,FPrev12)))</f>
        <v>-190531</v>
      </c>
      <c r="AK190" s="306">
        <f t="shared" ref="AK190:AK195" si="12">SUM(Y190:AJ190)</f>
        <v>-3006096</v>
      </c>
      <c r="AL190" s="1571"/>
      <c r="AM190" s="1571"/>
      <c r="AN190" s="1571"/>
      <c r="AO190" s="1571"/>
      <c r="AP190" s="1571"/>
      <c r="AQ190" s="1571"/>
      <c r="AR190" s="1571"/>
      <c r="AS190" s="1571"/>
      <c r="AT190" s="1571"/>
      <c r="AU190" s="1571"/>
      <c r="AV190" s="1571"/>
      <c r="AW190" s="1571"/>
      <c r="AX190" s="1571"/>
      <c r="AY190" s="1571"/>
      <c r="AZ190" s="1571"/>
      <c r="BA190" s="1571"/>
      <c r="BB190" s="1571"/>
      <c r="BC190" s="1571"/>
    </row>
    <row r="191" spans="1:55">
      <c r="A191" s="1571"/>
      <c r="B191" s="1571"/>
      <c r="C191" s="1571"/>
      <c r="D191" s="1571"/>
      <c r="E191" s="1571"/>
      <c r="F191" s="1571"/>
      <c r="G191" s="1571"/>
      <c r="H191" s="1571"/>
      <c r="I191" s="1571"/>
      <c r="J191" s="1571"/>
      <c r="K191" s="1571"/>
      <c r="L191" s="1571"/>
      <c r="M191" s="1571"/>
      <c r="N191" s="1571"/>
      <c r="O191" s="1571"/>
      <c r="P191" s="1571"/>
      <c r="Q191" s="1571"/>
      <c r="R191" s="1571"/>
      <c r="S191" s="1571"/>
      <c r="T191" s="1571">
        <f>T114</f>
        <v>442100</v>
      </c>
      <c r="U191" s="2741">
        <v>26</v>
      </c>
      <c r="V191" s="1571"/>
      <c r="W191" s="413" t="s">
        <v>948</v>
      </c>
      <c r="X191" s="1571"/>
      <c r="Y191" s="1458">
        <f t="array" ref="Y191">SUM(IF(FPrevAcct=T191,IF(FPrevProd=S189,FPrev1)))</f>
        <v>-264953</v>
      </c>
      <c r="Z191" s="1458">
        <f t="array" ref="Z191">SUM(IF(FPrevAcct=T191,IF(FPrevProd=S189,FPrev2)))</f>
        <v>364774</v>
      </c>
      <c r="AA191" s="1458">
        <f t="array" ref="AA191">SUM(IF(FPrevAcct=T191,IF(FPrevProd=S189,FPrev3)))</f>
        <v>437264</v>
      </c>
      <c r="AB191" s="1458">
        <f t="array" ref="AB191">SUM(IF(FPrevAcct=T191,IF(FPrevProd=S189,FPrev4)))</f>
        <v>19723</v>
      </c>
      <c r="AC191" s="1458">
        <f t="array" ref="AC191">SUM(IF(FPrevAcct=T191,IF(FPrevProd=S189,FPrev5)))</f>
        <v>-342786</v>
      </c>
      <c r="AD191" s="1458">
        <f t="array" ref="AD191">SUM(IF(FPrevAcct=T191,IF(FPrevProd=S189,FPrev6)))</f>
        <v>-321478</v>
      </c>
      <c r="AE191" s="1458">
        <f t="array" ref="AE191">SUM(IF(FPrevAcct=T191,IF(FPrevProd=S189,FPrev7)))</f>
        <v>-328374</v>
      </c>
      <c r="AF191" s="1458">
        <f t="array" ref="AF191">SUM(IF(FPrevAcct=T191,IF(FPrevProd=S189,FPrev8)))</f>
        <v>-464687</v>
      </c>
      <c r="AG191" s="1458">
        <f t="array" ref="AG191">SUM(IF(FPrevAcct=T191,IF(FPrevProd=S189,FPrev9)))</f>
        <v>-606716</v>
      </c>
      <c r="AH191" s="1458">
        <f t="array" ref="AH191">SUM(IF(FPrevAcct=T191,IF(FPrevProd=S189,FPrev10)))</f>
        <v>-564061</v>
      </c>
      <c r="AI191" s="1458">
        <f t="array" ref="AI191">SUM(IF(FPrevAcct=T191,IF(FPrevProd=S189,FPrev11)))</f>
        <v>-453470</v>
      </c>
      <c r="AJ191" s="1458">
        <f t="array" ref="AJ191">SUM(IF(FPrevAcct=T191,IF(FPrevProd=S189,FPrev12)))</f>
        <v>-168977</v>
      </c>
      <c r="AK191" s="306">
        <f t="shared" si="12"/>
        <v>-2693741</v>
      </c>
      <c r="AL191" s="1571"/>
      <c r="AM191" s="1571"/>
      <c r="AN191" s="1571"/>
      <c r="AO191" s="1571"/>
      <c r="AP191" s="1571"/>
      <c r="AQ191" s="1571"/>
      <c r="AR191" s="1571"/>
      <c r="AS191" s="1571"/>
      <c r="AT191" s="1571"/>
      <c r="AU191" s="1571"/>
      <c r="AV191" s="1571"/>
      <c r="AW191" s="1571"/>
      <c r="AX191" s="1571"/>
      <c r="AY191" s="1571"/>
      <c r="AZ191" s="1571"/>
      <c r="BA191" s="1571"/>
      <c r="BB191" s="1571"/>
      <c r="BC191" s="1571"/>
    </row>
    <row r="192" spans="1:55">
      <c r="A192" s="1571"/>
      <c r="B192" s="1571"/>
      <c r="C192" s="1571"/>
      <c r="D192" s="1571"/>
      <c r="E192" s="1571"/>
      <c r="F192" s="1571"/>
      <c r="G192" s="1571"/>
      <c r="H192" s="1571"/>
      <c r="I192" s="1571"/>
      <c r="J192" s="1571"/>
      <c r="K192" s="1571"/>
      <c r="L192" s="1571"/>
      <c r="M192" s="1571"/>
      <c r="N192" s="1571"/>
      <c r="O192" s="1571"/>
      <c r="P192" s="1571"/>
      <c r="Q192" s="1571"/>
      <c r="R192" s="1571"/>
      <c r="S192" s="1571"/>
      <c r="T192" s="1571">
        <f>T115</f>
        <v>442200</v>
      </c>
      <c r="U192" s="2741">
        <v>27</v>
      </c>
      <c r="V192" s="1571"/>
      <c r="W192" s="413" t="s">
        <v>949</v>
      </c>
      <c r="X192" s="1571"/>
      <c r="Y192" s="1458">
        <f t="array" ref="Y192">SUM(IF(FPrevAcct=T192,IF(FPrevProd=S189,FPrev1)))</f>
        <v>-156531</v>
      </c>
      <c r="Z192" s="1458">
        <f t="array" ref="Z192">SUM(IF(FPrevAcct=T192,IF(FPrevProd=S189,FPrev2)))</f>
        <v>224096</v>
      </c>
      <c r="AA192" s="1458">
        <f t="array" ref="AA192">SUM(IF(FPrevAcct=T192,IF(FPrevProd=S189,FPrev3)))</f>
        <v>240105</v>
      </c>
      <c r="AB192" s="1458">
        <f t="array" ref="AB192">SUM(IF(FPrevAcct=T192,IF(FPrevProd=S189,FPrev4)))</f>
        <v>10087</v>
      </c>
      <c r="AC192" s="1458">
        <f t="array" ref="AC192">SUM(IF(FPrevAcct=T192,IF(FPrevProd=S189,FPrev5)))</f>
        <v>-177909</v>
      </c>
      <c r="AD192" s="1458">
        <f t="array" ref="AD192">SUM(IF(FPrevAcct=T192,IF(FPrevProd=S189,FPrev6)))</f>
        <v>-162860</v>
      </c>
      <c r="AE192" s="1458">
        <f t="array" ref="AE192">SUM(IF(FPrevAcct=T192,IF(FPrevProd=S189,FPrev7)))</f>
        <v>-191161</v>
      </c>
      <c r="AF192" s="1458">
        <f t="array" ref="AF192">SUM(IF(FPrevAcct=T192,IF(FPrevProd=S189,FPrev8)))</f>
        <v>-273312</v>
      </c>
      <c r="AG192" s="1458">
        <f t="array" ref="AG192">SUM(IF(FPrevAcct=T192,IF(FPrevProd=S189,FPrev9)))</f>
        <v>-327195</v>
      </c>
      <c r="AH192" s="1458">
        <f t="array" ref="AH192">SUM(IF(FPrevAcct=T192,IF(FPrevProd=S189,FPrev10)))</f>
        <v>-296366</v>
      </c>
      <c r="AI192" s="1458">
        <f t="array" ref="AI192">SUM(IF(FPrevAcct=T192,IF(FPrevProd=S189,FPrev11)))</f>
        <v>-271806</v>
      </c>
      <c r="AJ192" s="1458">
        <f t="array" ref="AJ192">SUM(IF(FPrevAcct=T192,IF(FPrevProd=S189,FPrev12)))</f>
        <v>-102699</v>
      </c>
      <c r="AK192" s="306">
        <f t="shared" si="12"/>
        <v>-1485551</v>
      </c>
      <c r="AL192" s="1571"/>
      <c r="AM192" s="1571"/>
      <c r="AN192" s="1571"/>
      <c r="AO192" s="1571"/>
      <c r="AP192" s="1571"/>
      <c r="AQ192" s="1571"/>
      <c r="AR192" s="1571"/>
      <c r="AS192" s="1571"/>
      <c r="AT192" s="1571"/>
      <c r="AU192" s="1571"/>
      <c r="AV192" s="1571"/>
      <c r="AW192" s="1571"/>
      <c r="AX192" s="1571"/>
      <c r="AY192" s="1571"/>
      <c r="AZ192" s="1571"/>
      <c r="BA192" s="1571"/>
      <c r="BB192" s="1571"/>
      <c r="BC192" s="1571"/>
    </row>
    <row r="193" spans="1:55">
      <c r="A193" s="1571"/>
      <c r="B193" s="1571"/>
      <c r="C193" s="1571"/>
      <c r="D193" s="1571"/>
      <c r="E193" s="1571"/>
      <c r="F193" s="1571"/>
      <c r="G193" s="1571"/>
      <c r="H193" s="1571"/>
      <c r="I193" s="1571"/>
      <c r="J193" s="1571"/>
      <c r="K193" s="1571"/>
      <c r="L193" s="1571"/>
      <c r="M193" s="1571"/>
      <c r="N193" s="1571"/>
      <c r="O193" s="1571"/>
      <c r="P193" s="1571"/>
      <c r="Q193" s="1571"/>
      <c r="R193" s="1571"/>
      <c r="S193" s="1571"/>
      <c r="T193" s="1571">
        <f>T116</f>
        <v>444000</v>
      </c>
      <c r="U193" s="2741">
        <v>28</v>
      </c>
      <c r="V193" s="1571"/>
      <c r="W193" s="413" t="s">
        <v>718</v>
      </c>
      <c r="X193" s="1571"/>
      <c r="Y193" s="1458">
        <f t="array" ref="Y193">SUM(IF(FPrevAcct=T193,IF(FPrevProd=S189,FPrev1)))</f>
        <v>-2875</v>
      </c>
      <c r="Z193" s="1458">
        <f t="array" ref="Z193">SUM(IF(FPrevAcct=T193,IF(FPrevProd=S189,FPrev2)))</f>
        <v>4120</v>
      </c>
      <c r="AA193" s="1458">
        <f t="array" ref="AA193">SUM(IF(FPrevAcct=T193,IF(FPrevProd=S189,FPrev3)))</f>
        <v>4393</v>
      </c>
      <c r="AB193" s="1458">
        <f t="array" ref="AB193">SUM(IF(FPrevAcct=T193,IF(FPrevProd=S189,FPrev4)))</f>
        <v>182</v>
      </c>
      <c r="AC193" s="1458">
        <f t="array" ref="AC193">SUM(IF(FPrevAcct=T193,IF(FPrevProd=S189,FPrev5)))</f>
        <v>-3221</v>
      </c>
      <c r="AD193" s="1458">
        <f t="array" ref="AD193">SUM(IF(FPrevAcct=T193,IF(FPrevProd=S189,FPrev6)))</f>
        <v>-3088</v>
      </c>
      <c r="AE193" s="1458">
        <f t="array" ref="AE193">SUM(IF(FPrevAcct=T193,IF(FPrevProd=S189,FPrev7)))</f>
        <v>-3626</v>
      </c>
      <c r="AF193" s="1458">
        <f t="array" ref="AF193">SUM(IF(FPrevAcct=T193,IF(FPrevProd=S189,FPrev8)))</f>
        <v>-5379</v>
      </c>
      <c r="AG193" s="1458">
        <f t="array" ref="AG193">SUM(IF(FPrevAcct=T193,IF(FPrevProd=S189,FPrev9)))</f>
        <v>-6271</v>
      </c>
      <c r="AH193" s="1458">
        <f t="array" ref="AH193">SUM(IF(FPrevAcct=T193,IF(FPrevProd=S189,FPrev10)))</f>
        <v>-5919</v>
      </c>
      <c r="AI193" s="1458">
        <f t="array" ref="AI193">SUM(IF(FPrevAcct=T193,IF(FPrevProd=S189,FPrev11)))</f>
        <v>-5248</v>
      </c>
      <c r="AJ193" s="1458">
        <f t="array" ref="AJ193">SUM(IF(FPrevAcct=T193,IF(FPrevProd=S189,FPrev12)))</f>
        <v>-1920</v>
      </c>
      <c r="AK193" s="306">
        <f t="shared" si="12"/>
        <v>-28852</v>
      </c>
      <c r="AL193" s="1571"/>
      <c r="AM193" s="1571"/>
      <c r="AN193" s="1571"/>
      <c r="AO193" s="1571"/>
      <c r="AP193" s="1571"/>
      <c r="AQ193" s="1571"/>
      <c r="AR193" s="1571"/>
      <c r="AS193" s="1571"/>
      <c r="AT193" s="1571"/>
      <c r="AU193" s="1571"/>
      <c r="AV193" s="1571"/>
      <c r="AW193" s="1571"/>
      <c r="AX193" s="1571"/>
      <c r="AY193" s="1571"/>
      <c r="AZ193" s="1571"/>
      <c r="BA193" s="1571"/>
      <c r="BB193" s="1571"/>
      <c r="BC193" s="1571"/>
    </row>
    <row r="194" spans="1:55">
      <c r="A194" s="1571"/>
      <c r="B194" s="1571"/>
      <c r="C194" s="1571"/>
      <c r="D194" s="1571"/>
      <c r="E194" s="1571"/>
      <c r="F194" s="1571"/>
      <c r="G194" s="1571"/>
      <c r="H194" s="1571"/>
      <c r="I194" s="1571"/>
      <c r="J194" s="1571"/>
      <c r="K194" s="1571"/>
      <c r="L194" s="1571"/>
      <c r="M194" s="1571"/>
      <c r="N194" s="1571"/>
      <c r="O194" s="1571"/>
      <c r="P194" s="1571"/>
      <c r="Q194" s="1571"/>
      <c r="R194" s="1571"/>
      <c r="S194" s="1571"/>
      <c r="T194" s="1571">
        <f>T117</f>
        <v>445000</v>
      </c>
      <c r="U194" s="2741">
        <v>29</v>
      </c>
      <c r="V194" s="1571"/>
      <c r="W194" s="413" t="s">
        <v>950</v>
      </c>
      <c r="X194" s="1571"/>
      <c r="Y194" s="1458">
        <f t="array" ref="Y194">SUM(IF(FPrevAcct=T194,IF(FPrevProd=S189,FPrev1)))</f>
        <v>-47197</v>
      </c>
      <c r="Z194" s="1458">
        <f t="array" ref="Z194">SUM(IF(FPrevAcct=T194,IF(FPrevProd=S189,FPrev2)))</f>
        <v>68763</v>
      </c>
      <c r="AA194" s="1458">
        <f t="array" ref="AA194">SUM(IF(FPrevAcct=T194,IF(FPrevProd=S189,FPrev3)))</f>
        <v>79062</v>
      </c>
      <c r="AB194" s="1458">
        <f t="array" ref="AB194">SUM(IF(FPrevAcct=T194,IF(FPrevProd=S189,FPrev4)))</f>
        <v>3365</v>
      </c>
      <c r="AC194" s="1458">
        <f t="array" ref="AC194">SUM(IF(FPrevAcct=T194,IF(FPrevProd=S189,FPrev5)))</f>
        <v>-61500</v>
      </c>
      <c r="AD194" s="1458">
        <f t="array" ref="AD194">SUM(IF(FPrevAcct=T194,IF(FPrevProd=S189,FPrev6)))</f>
        <v>-62631</v>
      </c>
      <c r="AE194" s="1458">
        <f t="array" ref="AE194">SUM(IF(FPrevAcct=T194,IF(FPrevProd=S189,FPrev7)))</f>
        <v>-64752</v>
      </c>
      <c r="AF194" s="1458">
        <f t="array" ref="AF194">SUM(IF(FPrevAcct=T194,IF(FPrevProd=S189,FPrev8)))</f>
        <v>-87340</v>
      </c>
      <c r="AG194" s="1458">
        <f t="array" ref="AG194">SUM(IF(FPrevAcct=T194,IF(FPrevProd=S189,FPrev9)))</f>
        <v>-110578</v>
      </c>
      <c r="AH194" s="1458">
        <f t="array" ref="AH194">SUM(IF(FPrevAcct=T194,IF(FPrevProd=S189,FPrev10)))</f>
        <v>-99627</v>
      </c>
      <c r="AI194" s="1458">
        <f t="array" ref="AI194">SUM(IF(FPrevAcct=T194,IF(FPrevProd=S189,FPrev11)))</f>
        <v>-91550</v>
      </c>
      <c r="AJ194" s="1458">
        <f t="array" ref="AJ194">SUM(IF(FPrevAcct=T194,IF(FPrevProd=S189,FPrev12)))</f>
        <v>-33803</v>
      </c>
      <c r="AK194" s="306">
        <f t="shared" si="12"/>
        <v>-507788</v>
      </c>
      <c r="AL194" s="1571"/>
      <c r="AM194" s="1571"/>
      <c r="AN194" s="1571"/>
      <c r="AO194" s="1571"/>
      <c r="AP194" s="1571"/>
      <c r="AQ194" s="1571"/>
      <c r="AR194" s="1571"/>
      <c r="AS194" s="1571"/>
      <c r="AT194" s="1571"/>
      <c r="AU194" s="1571"/>
      <c r="AV194" s="1571"/>
      <c r="AW194" s="1571"/>
      <c r="AX194" s="1571"/>
      <c r="AY194" s="1571"/>
      <c r="AZ194" s="1571"/>
      <c r="BA194" s="1571"/>
      <c r="BB194" s="1571"/>
      <c r="BC194" s="1571"/>
    </row>
    <row r="195" spans="1:55">
      <c r="A195" s="1571"/>
      <c r="B195" s="1571"/>
      <c r="C195" s="1571"/>
      <c r="D195" s="1571"/>
      <c r="E195" s="1571"/>
      <c r="F195" s="1571"/>
      <c r="G195" s="1571"/>
      <c r="H195" s="1571"/>
      <c r="I195" s="1571"/>
      <c r="J195" s="1571"/>
      <c r="K195" s="1571"/>
      <c r="L195" s="1571"/>
      <c r="M195" s="1571"/>
      <c r="N195" s="1571"/>
      <c r="O195" s="1571"/>
      <c r="P195" s="1571"/>
      <c r="Q195" s="1571"/>
      <c r="R195" s="1571"/>
      <c r="S195" s="1571"/>
      <c r="T195" s="1571"/>
      <c r="U195" s="2741">
        <v>30</v>
      </c>
      <c r="V195" s="1571"/>
      <c r="W195" s="413" t="s">
        <v>938</v>
      </c>
      <c r="X195" s="1571"/>
      <c r="Y195" s="415">
        <v>-63</v>
      </c>
      <c r="Z195" s="415">
        <v>65</v>
      </c>
      <c r="AA195" s="415">
        <v>142</v>
      </c>
      <c r="AB195" s="415">
        <v>8</v>
      </c>
      <c r="AC195" s="415">
        <v>-135</v>
      </c>
      <c r="AD195" s="415">
        <v>-58</v>
      </c>
      <c r="AE195" s="415">
        <v>-74</v>
      </c>
      <c r="AF195" s="415">
        <v>-234</v>
      </c>
      <c r="AG195" s="415">
        <v>-482</v>
      </c>
      <c r="AH195" s="415">
        <v>-663</v>
      </c>
      <c r="AI195" s="415">
        <v>-406</v>
      </c>
      <c r="AJ195" s="415">
        <v>-98</v>
      </c>
      <c r="AK195" s="306">
        <f t="shared" si="12"/>
        <v>-1998</v>
      </c>
      <c r="AL195" s="1571"/>
      <c r="AM195" s="1571"/>
      <c r="AN195" s="1571"/>
      <c r="AO195" s="1571"/>
      <c r="AP195" s="1571"/>
      <c r="AQ195" s="1571"/>
      <c r="AR195" s="1571"/>
      <c r="AS195" s="1571"/>
      <c r="AT195" s="1571"/>
      <c r="AU195" s="1571"/>
      <c r="AV195" s="1571"/>
      <c r="AW195" s="1571"/>
      <c r="AX195" s="1571"/>
      <c r="AY195" s="1571"/>
      <c r="AZ195" s="1571"/>
      <c r="BA195" s="1571"/>
      <c r="BB195" s="1571"/>
      <c r="BC195" s="1571"/>
    </row>
    <row r="196" spans="1:55">
      <c r="A196" s="1571"/>
      <c r="B196" s="1571"/>
      <c r="C196" s="1571"/>
      <c r="D196" s="1571"/>
      <c r="E196" s="1571"/>
      <c r="F196" s="1571"/>
      <c r="G196" s="1571"/>
      <c r="H196" s="1571"/>
      <c r="I196" s="1571"/>
      <c r="J196" s="1571"/>
      <c r="K196" s="1571"/>
      <c r="L196" s="1571"/>
      <c r="M196" s="1571"/>
      <c r="N196" s="1571"/>
      <c r="O196" s="1571"/>
      <c r="P196" s="1571"/>
      <c r="Q196" s="1571"/>
      <c r="R196" s="1571"/>
      <c r="S196" s="1571"/>
      <c r="T196" s="1571"/>
      <c r="U196" s="2741">
        <v>31</v>
      </c>
      <c r="V196" s="1571"/>
      <c r="W196" s="416"/>
      <c r="X196" s="234"/>
      <c r="Y196" s="415"/>
      <c r="Z196" s="415"/>
      <c r="AA196" s="415"/>
      <c r="AB196" s="415"/>
      <c r="AC196" s="415"/>
      <c r="AD196" s="415"/>
      <c r="AE196" s="415"/>
      <c r="AF196" s="415"/>
      <c r="AG196" s="415"/>
      <c r="AH196" s="415"/>
      <c r="AI196" s="415"/>
      <c r="AJ196" s="415"/>
      <c r="AK196" s="306"/>
      <c r="AL196" s="1571"/>
      <c r="AM196" s="1571"/>
      <c r="AN196" s="1571"/>
      <c r="AO196" s="1571"/>
      <c r="AP196" s="1571"/>
      <c r="AQ196" s="1571"/>
      <c r="AR196" s="1571"/>
      <c r="AS196" s="1571"/>
      <c r="AT196" s="1571"/>
      <c r="AU196" s="1571"/>
      <c r="AV196" s="1571"/>
      <c r="AW196" s="1571"/>
      <c r="AX196" s="1571"/>
      <c r="AY196" s="1571"/>
      <c r="AZ196" s="1571"/>
      <c r="BA196" s="1571"/>
      <c r="BB196" s="1571"/>
      <c r="BC196" s="1571"/>
    </row>
    <row r="197" spans="1:55">
      <c r="A197" s="1571"/>
      <c r="B197" s="1571"/>
      <c r="C197" s="1571"/>
      <c r="D197" s="1571"/>
      <c r="E197" s="1571"/>
      <c r="F197" s="1571"/>
      <c r="G197" s="1571"/>
      <c r="H197" s="1571"/>
      <c r="I197" s="1571"/>
      <c r="J197" s="1571"/>
      <c r="K197" s="1571"/>
      <c r="L197" s="1571"/>
      <c r="M197" s="1571"/>
      <c r="N197" s="1571"/>
      <c r="O197" s="1571"/>
      <c r="P197" s="1571"/>
      <c r="Q197" s="1571"/>
      <c r="R197" s="1571"/>
      <c r="S197" s="1571"/>
      <c r="T197" s="1571"/>
      <c r="U197" s="2741">
        <v>32</v>
      </c>
      <c r="V197" s="1571"/>
      <c r="W197" s="416" t="s">
        <v>719</v>
      </c>
      <c r="X197" s="234"/>
      <c r="Y197" s="306">
        <f t="shared" ref="Y197:AJ197" si="13">SUM(Y182:Y195)</f>
        <v>7377311</v>
      </c>
      <c r="Z197" s="306">
        <f t="shared" si="13"/>
        <v>8408354</v>
      </c>
      <c r="AA197" s="306">
        <f t="shared" si="13"/>
        <v>9656378</v>
      </c>
      <c r="AB197" s="306">
        <f t="shared" si="13"/>
        <v>9828631</v>
      </c>
      <c r="AC197" s="306">
        <f t="shared" si="13"/>
        <v>8789953</v>
      </c>
      <c r="AD197" s="306">
        <f t="shared" si="13"/>
        <v>8335945</v>
      </c>
      <c r="AE197" s="306">
        <f t="shared" si="13"/>
        <v>6798337</v>
      </c>
      <c r="AF197" s="306">
        <f t="shared" si="13"/>
        <v>6432801</v>
      </c>
      <c r="AG197" s="306">
        <f t="shared" si="13"/>
        <v>7145967</v>
      </c>
      <c r="AH197" s="306">
        <f t="shared" si="13"/>
        <v>8126492</v>
      </c>
      <c r="AI197" s="306">
        <f t="shared" si="13"/>
        <v>7640216</v>
      </c>
      <c r="AJ197" s="306">
        <f t="shared" si="13"/>
        <v>8028219</v>
      </c>
      <c r="AK197" s="306">
        <f>SUM(Y197:AJ197)</f>
        <v>96568604</v>
      </c>
      <c r="AL197" s="1571"/>
      <c r="AM197" s="1571"/>
      <c r="AN197" s="1571"/>
      <c r="AO197" s="1571"/>
      <c r="AP197" s="1571"/>
      <c r="AQ197" s="1571"/>
      <c r="AR197" s="1571"/>
      <c r="AS197" s="1571"/>
      <c r="AT197" s="1571"/>
      <c r="AU197" s="1571"/>
      <c r="AV197" s="1571"/>
      <c r="AW197" s="1571"/>
      <c r="AX197" s="1571"/>
      <c r="AY197" s="1571"/>
      <c r="AZ197" s="1571"/>
      <c r="BA197" s="1571"/>
      <c r="BB197" s="1571"/>
      <c r="BC197" s="1571"/>
    </row>
    <row r="198" spans="1:55">
      <c r="A198" s="1571"/>
      <c r="B198" s="1571"/>
      <c r="C198" s="1571"/>
      <c r="D198" s="1571"/>
      <c r="E198" s="1571"/>
      <c r="F198" s="1571"/>
      <c r="G198" s="1571"/>
      <c r="H198" s="1571"/>
      <c r="I198" s="1571"/>
      <c r="J198" s="1571"/>
      <c r="K198" s="1571"/>
      <c r="L198" s="1571"/>
      <c r="M198" s="1571"/>
      <c r="N198" s="1571"/>
      <c r="O198" s="1571"/>
      <c r="P198" s="1571"/>
      <c r="Q198" s="1571"/>
      <c r="R198" s="1571"/>
      <c r="S198" s="1571"/>
      <c r="T198" s="1571"/>
      <c r="U198" s="2741">
        <v>33</v>
      </c>
      <c r="V198" s="1571"/>
      <c r="W198" s="1571"/>
      <c r="X198" s="1571"/>
      <c r="Y198" s="1458"/>
      <c r="Z198" s="1458"/>
      <c r="AA198" s="1458"/>
      <c r="AB198" s="1458"/>
      <c r="AC198" s="1458"/>
      <c r="AD198" s="1458"/>
      <c r="AE198" s="1458"/>
      <c r="AF198" s="1458"/>
      <c r="AG198" s="1458"/>
      <c r="AH198" s="1458"/>
      <c r="AI198" s="1458"/>
      <c r="AJ198" s="1458"/>
      <c r="AK198" s="1458"/>
      <c r="AL198" s="1571"/>
      <c r="AM198" s="1571"/>
      <c r="AN198" s="1571"/>
      <c r="AO198" s="1571"/>
      <c r="AP198" s="1571"/>
      <c r="AQ198" s="1571"/>
      <c r="AR198" s="1571"/>
      <c r="AS198" s="1571"/>
      <c r="AT198" s="1571"/>
      <c r="AU198" s="1571"/>
      <c r="AV198" s="1571"/>
      <c r="AW198" s="1571"/>
      <c r="AX198" s="1571"/>
      <c r="AY198" s="1571"/>
      <c r="AZ198" s="1571"/>
      <c r="BA198" s="1571"/>
      <c r="BB198" s="1571"/>
      <c r="BC198" s="1571"/>
    </row>
    <row r="199" spans="1:55">
      <c r="A199" s="1571"/>
      <c r="B199" s="1571"/>
      <c r="C199" s="1571"/>
      <c r="D199" s="1571"/>
      <c r="E199" s="1571"/>
      <c r="F199" s="1571"/>
      <c r="G199" s="1571"/>
      <c r="H199" s="1571"/>
      <c r="I199" s="1571"/>
      <c r="J199" s="1571"/>
      <c r="K199" s="1571"/>
      <c r="L199" s="1571"/>
      <c r="M199" s="1571"/>
      <c r="N199" s="1571"/>
      <c r="O199" s="1571"/>
      <c r="P199" s="1571"/>
      <c r="Q199" s="1571"/>
      <c r="R199" s="1571"/>
      <c r="S199" s="234" t="str">
        <f>S122</f>
        <v>REDSM</v>
      </c>
      <c r="T199" s="1571"/>
      <c r="U199" s="2741">
        <v>34</v>
      </c>
      <c r="V199" s="1571"/>
      <c r="W199" s="233" t="s">
        <v>1554</v>
      </c>
      <c r="X199" s="1571"/>
      <c r="Y199" s="1458"/>
      <c r="Z199" s="1458"/>
      <c r="AA199" s="1458"/>
      <c r="AB199" s="1458"/>
      <c r="AC199" s="1458"/>
      <c r="AD199" s="1458"/>
      <c r="AE199" s="1458"/>
      <c r="AF199" s="1458"/>
      <c r="AG199" s="1458"/>
      <c r="AH199" s="1458"/>
      <c r="AI199" s="1458"/>
      <c r="AJ199" s="1458"/>
      <c r="AK199" s="306"/>
      <c r="AL199" s="1571"/>
      <c r="AM199" s="1571"/>
      <c r="AN199" s="1571"/>
      <c r="AO199" s="1571"/>
      <c r="AP199" s="1571"/>
      <c r="AQ199" s="1571"/>
      <c r="AR199" s="1571"/>
      <c r="AS199" s="1571"/>
      <c r="AT199" s="1571"/>
      <c r="AU199" s="1571"/>
      <c r="AV199" s="1571"/>
      <c r="AW199" s="1571"/>
      <c r="AX199" s="1571"/>
      <c r="AY199" s="1571"/>
      <c r="AZ199" s="1571"/>
      <c r="BA199" s="1571"/>
      <c r="BB199" s="1571"/>
      <c r="BC199" s="1571"/>
    </row>
    <row r="200" spans="1:55">
      <c r="A200" s="1571"/>
      <c r="B200" s="1571"/>
      <c r="C200" s="1571"/>
      <c r="D200" s="1571"/>
      <c r="E200" s="1571"/>
      <c r="F200" s="1571"/>
      <c r="G200" s="1571"/>
      <c r="H200" s="1571"/>
      <c r="I200" s="1571"/>
      <c r="J200" s="1571"/>
      <c r="K200" s="1571"/>
      <c r="L200" s="1571"/>
      <c r="M200" s="1571"/>
      <c r="N200" s="1571"/>
      <c r="O200" s="1571"/>
      <c r="P200" s="1571"/>
      <c r="Q200" s="1571"/>
      <c r="R200" s="1571"/>
      <c r="S200" s="1571"/>
      <c r="T200" s="1571">
        <f>T123</f>
        <v>440000</v>
      </c>
      <c r="U200" s="2741">
        <v>35</v>
      </c>
      <c r="V200" s="1571"/>
      <c r="W200" s="413" t="s">
        <v>947</v>
      </c>
      <c r="X200" s="1571"/>
      <c r="Y200" s="1458">
        <f t="array" ref="Y200">SUM(IF(FPrevAcct=T200,IF(FPrevProd=S199,FPrev1)))</f>
        <v>423360</v>
      </c>
      <c r="Z200" s="1458">
        <f t="array" ref="Z200">SUM(IF(FPrevAcct=T200,IF(FPrevProd=S199,FPrev2)))</f>
        <v>422850</v>
      </c>
      <c r="AA200" s="1458">
        <f t="array" ref="AA200">SUM(IF(FPrevAcct=T200,IF(FPrevProd=S199,FPrev3)))</f>
        <v>500378</v>
      </c>
      <c r="AB200" s="1458">
        <f t="array" ref="AB200">SUM(IF(FPrevAcct=T200,IF(FPrevProd=S199,FPrev4)))</f>
        <v>689937</v>
      </c>
      <c r="AC200" s="1458">
        <f t="array" ref="AC200">SUM(IF(FPrevAcct=T200,IF(FPrevProd=S199,FPrev5)))</f>
        <v>608797</v>
      </c>
      <c r="AD200" s="1458">
        <f t="array" ref="AD200">SUM(IF(FPrevAcct=T200,IF(FPrevProd=S199,FPrev6)))</f>
        <v>513572</v>
      </c>
      <c r="AE200" s="1458">
        <f t="array" ref="AE200">SUM(IF(FPrevAcct=T200,IF(FPrevProd=S199,FPrev7)))</f>
        <v>583802</v>
      </c>
      <c r="AF200" s="1458">
        <f t="array" ref="AF200">SUM(IF(FPrevAcct=T200,IF(FPrevProd=S199,FPrev8)))</f>
        <v>426906</v>
      </c>
      <c r="AG200" s="1458">
        <f t="array" ref="AG200">SUM(IF(FPrevAcct=T200,IF(FPrevProd=S199,FPrev9)))</f>
        <v>440606</v>
      </c>
      <c r="AH200" s="1458">
        <f t="array" ref="AH200">SUM(IF(FPrevAcct=T200,IF(FPrevProd=S199,FPrev10)))</f>
        <v>352788</v>
      </c>
      <c r="AI200" s="1458">
        <f t="array" ref="AI200">SUM(IF(FPrevAcct=T200,IF(FPrevProd=S199,FPrev11)))</f>
        <v>345794</v>
      </c>
      <c r="AJ200" s="1458">
        <f t="array" ref="AJ200">SUM(IF(FPrevAcct=T200,IF(FPrevProd=S199,FPrev12)))</f>
        <v>367401</v>
      </c>
      <c r="AK200" s="306">
        <f>SUM(Y200:AJ200)</f>
        <v>5676191</v>
      </c>
      <c r="AL200" s="1571"/>
      <c r="AM200" s="1571"/>
      <c r="AN200" s="1571"/>
      <c r="AO200" s="1571"/>
      <c r="AP200" s="1571"/>
      <c r="AQ200" s="1571"/>
      <c r="AR200" s="1571"/>
      <c r="AS200" s="1571"/>
      <c r="AT200" s="1571"/>
      <c r="AU200" s="1571"/>
      <c r="AV200" s="1571"/>
      <c r="AW200" s="1571"/>
      <c r="AX200" s="1571"/>
      <c r="AY200" s="1571"/>
      <c r="AZ200" s="1571"/>
      <c r="BA200" s="1571"/>
      <c r="BB200" s="1571"/>
      <c r="BC200" s="1571"/>
    </row>
    <row r="201" spans="1:55">
      <c r="A201" s="1571"/>
      <c r="B201" s="1571"/>
      <c r="C201" s="1571"/>
      <c r="D201" s="1571"/>
      <c r="E201" s="1571"/>
      <c r="F201" s="1571"/>
      <c r="G201" s="1571"/>
      <c r="H201" s="1571"/>
      <c r="I201" s="1571"/>
      <c r="J201" s="1571"/>
      <c r="K201" s="1571"/>
      <c r="L201" s="1571"/>
      <c r="M201" s="1571"/>
      <c r="N201" s="1571"/>
      <c r="O201" s="1571"/>
      <c r="P201" s="1571"/>
      <c r="Q201" s="1571"/>
      <c r="R201" s="1571"/>
      <c r="S201" s="1571"/>
      <c r="T201" s="1571">
        <f>T124</f>
        <v>442100</v>
      </c>
      <c r="U201" s="2741">
        <v>36</v>
      </c>
      <c r="V201" s="1571"/>
      <c r="W201" s="413" t="s">
        <v>948</v>
      </c>
      <c r="X201" s="1571"/>
      <c r="Y201" s="1458">
        <f t="array" ref="Y201">SUM(IF(FPrevAcct=T201,IF(FPrevProd=S199,FPrev1)))</f>
        <v>163842</v>
      </c>
      <c r="Z201" s="1458">
        <f t="array" ref="Z201">SUM(IF(FPrevAcct=T201,IF(FPrevProd=S199,FPrev2)))</f>
        <v>168398</v>
      </c>
      <c r="AA201" s="1458">
        <f t="array" ref="AA201">SUM(IF(FPrevAcct=T201,IF(FPrevProd=S199,FPrev3)))</f>
        <v>189032</v>
      </c>
      <c r="AB201" s="1458">
        <f t="array" ref="AB201">SUM(IF(FPrevAcct=T201,IF(FPrevProd=S199,FPrev4)))</f>
        <v>220206</v>
      </c>
      <c r="AC201" s="1458">
        <f t="array" ref="AC201">SUM(IF(FPrevAcct=T201,IF(FPrevProd=S199,FPrev5)))</f>
        <v>215725</v>
      </c>
      <c r="AD201" s="1458">
        <f t="array" ref="AD201">SUM(IF(FPrevAcct=T201,IF(FPrevProd=S199,FPrev6)))</f>
        <v>211219</v>
      </c>
      <c r="AE201" s="1458">
        <f t="array" ref="AE201">SUM(IF(FPrevAcct=T201,IF(FPrevProd=S199,FPrev7)))</f>
        <v>195373</v>
      </c>
      <c r="AF201" s="1458">
        <f t="array" ref="AF201">SUM(IF(FPrevAcct=T201,IF(FPrevProd=S199,FPrev8)))</f>
        <v>147129</v>
      </c>
      <c r="AG201" s="1458">
        <f t="array" ref="AG201">SUM(IF(FPrevAcct=T201,IF(FPrevProd=S199,FPrev9)))</f>
        <v>147906</v>
      </c>
      <c r="AH201" s="1458">
        <f t="array" ref="AH201">SUM(IF(FPrevAcct=T201,IF(FPrevProd=S199,FPrev10)))</f>
        <v>128470</v>
      </c>
      <c r="AI201" s="1458">
        <f t="array" ref="AI201">SUM(IF(FPrevAcct=T201,IF(FPrevProd=S199,FPrev11)))</f>
        <v>114049</v>
      </c>
      <c r="AJ201" s="1458">
        <f t="array" ref="AJ201">SUM(IF(FPrevAcct=T201,IF(FPrevProd=S199,FPrev12)))</f>
        <v>123594</v>
      </c>
      <c r="AK201" s="306">
        <f>SUM(Y201:AJ201)</f>
        <v>2024943</v>
      </c>
      <c r="AL201" s="1571"/>
      <c r="AM201" s="1571"/>
      <c r="AN201" s="1571"/>
      <c r="AO201" s="1571"/>
      <c r="AP201" s="1571"/>
      <c r="AQ201" s="1571"/>
      <c r="AR201" s="1571"/>
      <c r="AS201" s="1571"/>
      <c r="AT201" s="1571"/>
      <c r="AU201" s="1571"/>
      <c r="AV201" s="1571"/>
      <c r="AW201" s="1571"/>
      <c r="AX201" s="1571"/>
      <c r="AY201" s="1571"/>
      <c r="AZ201" s="1571"/>
      <c r="BA201" s="1571"/>
      <c r="BB201" s="1571"/>
      <c r="BC201" s="1571"/>
    </row>
    <row r="202" spans="1:55">
      <c r="A202" s="1571"/>
      <c r="B202" s="1571"/>
      <c r="C202" s="1571"/>
      <c r="D202" s="1571"/>
      <c r="E202" s="1571"/>
      <c r="F202" s="1571"/>
      <c r="G202" s="1571"/>
      <c r="H202" s="1571"/>
      <c r="I202" s="1571"/>
      <c r="J202" s="1571"/>
      <c r="K202" s="1571"/>
      <c r="L202" s="1571"/>
      <c r="M202" s="1571"/>
      <c r="N202" s="1571"/>
      <c r="O202" s="1571"/>
      <c r="P202" s="1571"/>
      <c r="Q202" s="1571"/>
      <c r="R202" s="1571"/>
      <c r="S202" s="1571"/>
      <c r="T202" s="1571">
        <f>T125</f>
        <v>442200</v>
      </c>
      <c r="U202" s="2741">
        <v>37</v>
      </c>
      <c r="V202" s="1571"/>
      <c r="W202" s="413" t="s">
        <v>949</v>
      </c>
      <c r="X202" s="1571"/>
      <c r="Y202" s="1458">
        <f t="array" ref="Y202">SUM(IF(FPrevAcct=T202,IF(FPrevProd=S199,FPrev1)))</f>
        <v>96796</v>
      </c>
      <c r="Z202" s="1458">
        <f t="array" ref="Z202">SUM(IF(FPrevAcct=T202,IF(FPrevProd=S199,FPrev2)))</f>
        <v>103454</v>
      </c>
      <c r="AA202" s="1458">
        <f t="array" ref="AA202">SUM(IF(FPrevAcct=T202,IF(FPrevProd=S199,FPrev3)))</f>
        <v>103799</v>
      </c>
      <c r="AB202" s="1458">
        <f t="array" ref="AB202">SUM(IF(FPrevAcct=T202,IF(FPrevProd=S199,FPrev4)))</f>
        <v>112624</v>
      </c>
      <c r="AC202" s="1458">
        <f t="array" ref="AC202">SUM(IF(FPrevAcct=T202,IF(FPrevProd=S199,FPrev5)))</f>
        <v>111963</v>
      </c>
      <c r="AD202" s="1458">
        <f t="array" ref="AD202">SUM(IF(FPrevAcct=T202,IF(FPrevProd=S199,FPrev6)))</f>
        <v>107003</v>
      </c>
      <c r="AE202" s="1458">
        <f t="array" ref="AE202">SUM(IF(FPrevAcct=T202,IF(FPrevProd=S199,FPrev7)))</f>
        <v>113735</v>
      </c>
      <c r="AF202" s="1458">
        <f t="array" ref="AF202">SUM(IF(FPrevAcct=T202,IF(FPrevProd=S199,FPrev8)))</f>
        <v>86536</v>
      </c>
      <c r="AG202" s="1458">
        <f t="array" ref="AG202">SUM(IF(FPrevAcct=T202,IF(FPrevProd=S199,FPrev9)))</f>
        <v>79764</v>
      </c>
      <c r="AH202" s="1458">
        <f t="array" ref="AH202">SUM(IF(FPrevAcct=T202,IF(FPrevProd=S199,FPrev10)))</f>
        <v>67500</v>
      </c>
      <c r="AI202" s="1458">
        <f t="array" ref="AI202">SUM(IF(FPrevAcct=T202,IF(FPrevProd=S199,FPrev11)))</f>
        <v>68360</v>
      </c>
      <c r="AJ202" s="1458">
        <f t="array" ref="AJ202">SUM(IF(FPrevAcct=T202,IF(FPrevProd=S199,FPrev12)))</f>
        <v>75117</v>
      </c>
      <c r="AK202" s="306">
        <f>SUM(Y202:AJ202)</f>
        <v>1126651</v>
      </c>
      <c r="AL202" s="1571"/>
      <c r="AM202" s="1571"/>
      <c r="AN202" s="1571"/>
      <c r="AO202" s="1571"/>
      <c r="AP202" s="1571"/>
      <c r="AQ202" s="1571"/>
      <c r="AR202" s="1571"/>
      <c r="AS202" s="1571"/>
      <c r="AT202" s="1571"/>
      <c r="AU202" s="1571"/>
      <c r="AV202" s="1571"/>
      <c r="AW202" s="1571"/>
      <c r="AX202" s="1571"/>
      <c r="AY202" s="1571"/>
      <c r="AZ202" s="1571"/>
      <c r="BA202" s="1571"/>
      <c r="BB202" s="1571"/>
      <c r="BC202" s="1571"/>
    </row>
    <row r="203" spans="1:55">
      <c r="A203" s="1571"/>
      <c r="B203" s="1571"/>
      <c r="C203" s="1571"/>
      <c r="D203" s="1571"/>
      <c r="E203" s="1571"/>
      <c r="F203" s="1571"/>
      <c r="G203" s="1571"/>
      <c r="H203" s="1571"/>
      <c r="I203" s="1571"/>
      <c r="J203" s="1571"/>
      <c r="K203" s="1571"/>
      <c r="L203" s="1571"/>
      <c r="M203" s="1571"/>
      <c r="N203" s="1571"/>
      <c r="O203" s="1571"/>
      <c r="P203" s="1571"/>
      <c r="Q203" s="1571"/>
      <c r="R203" s="1571"/>
      <c r="S203" s="1571"/>
      <c r="T203" s="1571">
        <f>T126</f>
        <v>444000</v>
      </c>
      <c r="U203" s="2741">
        <v>38</v>
      </c>
      <c r="V203" s="1571"/>
      <c r="W203" s="413" t="s">
        <v>718</v>
      </c>
      <c r="X203" s="1571"/>
      <c r="Y203" s="1458">
        <f t="array" ref="Y203">SUM(IF(FPrevAcct=T203,IF(FPrevProd=S199,FPrev1)))</f>
        <v>0</v>
      </c>
      <c r="Z203" s="1458">
        <f t="array" ref="Z203">SUM(IF(FPrevAcct=T203,IF(FPrevProd=S199,FPrev2)))</f>
        <v>0</v>
      </c>
      <c r="AA203" s="1458">
        <f t="array" ref="AA203">SUM(IF(FPrevAcct=T203,IF(FPrevProd=S199,FPrev3)))</f>
        <v>0</v>
      </c>
      <c r="AB203" s="1458">
        <f t="array" ref="AB203">SUM(IF(FPrevAcct=T203,IF(FPrevProd=S199,FPrev4)))</f>
        <v>0</v>
      </c>
      <c r="AC203" s="1458">
        <f t="array" ref="AC203">SUM(IF(FPrevAcct=T203,IF(FPrevProd=S199,FPrev5)))</f>
        <v>0</v>
      </c>
      <c r="AD203" s="1458">
        <f t="array" ref="AD203">SUM(IF(FPrevAcct=T203,IF(FPrevProd=S199,FPrev6)))</f>
        <v>0</v>
      </c>
      <c r="AE203" s="1458">
        <f t="array" ref="AE203">SUM(IF(FPrevAcct=T203,IF(FPrevProd=S199,FPrev7)))</f>
        <v>0</v>
      </c>
      <c r="AF203" s="1458">
        <f t="array" ref="AF203">SUM(IF(FPrevAcct=T203,IF(FPrevProd=S199,FPrev8)))</f>
        <v>0</v>
      </c>
      <c r="AG203" s="1458">
        <f t="array" ref="AG203">SUM(IF(FPrevAcct=T203,IF(FPrevProd=S199,FPrev9)))</f>
        <v>0</v>
      </c>
      <c r="AH203" s="1458">
        <f t="array" ref="AH203">SUM(IF(FPrevAcct=T203,IF(FPrevProd=S199,FPrev10)))</f>
        <v>0</v>
      </c>
      <c r="AI203" s="1458">
        <f t="array" ref="AI203">SUM(IF(FPrevAcct=T203,IF(FPrevProd=S199,FPrev11)))</f>
        <v>0</v>
      </c>
      <c r="AJ203" s="1458">
        <f t="array" ref="AJ203">SUM(IF(FPrevAcct=T203,IF(FPrevProd=S199,FPrev12)))</f>
        <v>0</v>
      </c>
      <c r="AK203" s="306">
        <f>SUM(Y203:AJ203)</f>
        <v>0</v>
      </c>
      <c r="AL203" s="1571"/>
      <c r="AM203" s="1571"/>
      <c r="AN203" s="1571"/>
      <c r="AO203" s="1571"/>
      <c r="AP203" s="1571"/>
      <c r="AQ203" s="1571"/>
      <c r="AR203" s="1571"/>
      <c r="AS203" s="1571"/>
      <c r="AT203" s="1571"/>
      <c r="AU203" s="1571"/>
      <c r="AV203" s="1571"/>
      <c r="AW203" s="1571"/>
      <c r="AX203" s="1571"/>
      <c r="AY203" s="1571"/>
      <c r="AZ203" s="1571"/>
      <c r="BA203" s="1571"/>
      <c r="BB203" s="1571"/>
      <c r="BC203" s="1571"/>
    </row>
    <row r="204" spans="1:55">
      <c r="A204" s="1571"/>
      <c r="B204" s="1571"/>
      <c r="C204" s="1571"/>
      <c r="D204" s="1571"/>
      <c r="E204" s="1571"/>
      <c r="F204" s="1571"/>
      <c r="G204" s="1571"/>
      <c r="H204" s="1571"/>
      <c r="I204" s="1571"/>
      <c r="J204" s="1571"/>
      <c r="K204" s="1571"/>
      <c r="L204" s="1571"/>
      <c r="M204" s="1571"/>
      <c r="N204" s="1571"/>
      <c r="O204" s="1571"/>
      <c r="P204" s="1571"/>
      <c r="Q204" s="1571"/>
      <c r="R204" s="1571"/>
      <c r="S204" s="1571"/>
      <c r="T204" s="1571">
        <f>T127</f>
        <v>445000</v>
      </c>
      <c r="U204" s="2741">
        <v>39</v>
      </c>
      <c r="V204" s="1571"/>
      <c r="W204" s="413" t="s">
        <v>950</v>
      </c>
      <c r="X204" s="1571"/>
      <c r="Y204" s="1458">
        <f t="array" ref="Y204">SUM(IF(FPrevAcct=T204,IF(FPrevProd=S199,FPrev1)))</f>
        <v>29186</v>
      </c>
      <c r="Z204" s="1458">
        <f t="array" ref="Z204">SUM(IF(FPrevAcct=T204,IF(FPrevProd=S199,FPrev2)))</f>
        <v>31745</v>
      </c>
      <c r="AA204" s="1458">
        <f t="array" ref="AA204">SUM(IF(FPrevAcct=T204,IF(FPrevProd=S199,FPrev3)))</f>
        <v>34179</v>
      </c>
      <c r="AB204" s="1458">
        <f t="array" ref="AB204">SUM(IF(FPrevAcct=T204,IF(FPrevProd=S199,FPrev4)))</f>
        <v>37576</v>
      </c>
      <c r="AC204" s="1458">
        <f t="array" ref="AC204">SUM(IF(FPrevAcct=T204,IF(FPrevProd=S199,FPrev5)))</f>
        <v>38704</v>
      </c>
      <c r="AD204" s="1458">
        <f t="array" ref="AD204">SUM(IF(FPrevAcct=T204,IF(FPrevProd=S199,FPrev6)))</f>
        <v>41150</v>
      </c>
      <c r="AE204" s="1458">
        <f t="array" ref="AE204">SUM(IF(FPrevAcct=T204,IF(FPrevProd=S199,FPrev7)))</f>
        <v>38525</v>
      </c>
      <c r="AF204" s="1458">
        <f t="array" ref="AF204">SUM(IF(FPrevAcct=T204,IF(FPrevProd=S199,FPrev8)))</f>
        <v>27654</v>
      </c>
      <c r="AG204" s="1458">
        <f t="array" ref="AG204">SUM(IF(FPrevAcct=T204,IF(FPrevProd=S199,FPrev9)))</f>
        <v>26957</v>
      </c>
      <c r="AH204" s="1458">
        <f t="array" ref="AH204">SUM(IF(FPrevAcct=T204,IF(FPrevProd=S199,FPrev10)))</f>
        <v>22691</v>
      </c>
      <c r="AI204" s="1458">
        <f t="array" ref="AI204">SUM(IF(FPrevAcct=T204,IF(FPrevProd=S199,FPrev11)))</f>
        <v>23025</v>
      </c>
      <c r="AJ204" s="1458">
        <f t="array" ref="AJ204">SUM(IF(FPrevAcct=T204,IF(FPrevProd=S199,FPrev12)))</f>
        <v>24725</v>
      </c>
      <c r="AK204" s="306">
        <f>SUM(Y204:AJ204)</f>
        <v>376117</v>
      </c>
      <c r="AL204" s="1571"/>
      <c r="AM204" s="1571"/>
      <c r="AN204" s="1571"/>
      <c r="AO204" s="1571"/>
      <c r="AP204" s="1571"/>
      <c r="AQ204" s="1571"/>
      <c r="AR204" s="1571"/>
      <c r="AS204" s="1571"/>
      <c r="AT204" s="1571"/>
      <c r="AU204" s="1571"/>
      <c r="AV204" s="1571"/>
      <c r="AW204" s="1571"/>
      <c r="AX204" s="1571"/>
      <c r="AY204" s="1571"/>
      <c r="AZ204" s="1571"/>
      <c r="BA204" s="1571"/>
      <c r="BB204" s="1571"/>
      <c r="BC204" s="1571"/>
    </row>
    <row r="205" spans="1:55">
      <c r="A205" s="1571"/>
      <c r="B205" s="1571"/>
      <c r="C205" s="1571"/>
      <c r="D205" s="1571"/>
      <c r="E205" s="1571"/>
      <c r="F205" s="1571"/>
      <c r="G205" s="1571"/>
      <c r="H205" s="1571"/>
      <c r="I205" s="1571"/>
      <c r="J205" s="1571"/>
      <c r="K205" s="1571"/>
      <c r="L205" s="1571"/>
      <c r="M205" s="1571"/>
      <c r="N205" s="1571"/>
      <c r="O205" s="1571"/>
      <c r="P205" s="1571"/>
      <c r="Q205" s="1571"/>
      <c r="R205" s="1571"/>
      <c r="S205" s="1571"/>
      <c r="T205" s="1571"/>
      <c r="U205" s="2741">
        <v>40</v>
      </c>
      <c r="V205" s="1571"/>
      <c r="W205" s="1571"/>
      <c r="X205" s="1571"/>
      <c r="Y205" s="1458"/>
      <c r="Z205" s="1458"/>
      <c r="AA205" s="1458"/>
      <c r="AB205" s="1458"/>
      <c r="AC205" s="1458"/>
      <c r="AD205" s="1458"/>
      <c r="AE205" s="1458"/>
      <c r="AF205" s="1458"/>
      <c r="AG205" s="1458"/>
      <c r="AH205" s="1458"/>
      <c r="AI205" s="1458"/>
      <c r="AJ205" s="1458"/>
      <c r="AK205" s="306"/>
      <c r="AL205" s="1571"/>
      <c r="AM205" s="1571"/>
      <c r="AN205" s="1571"/>
      <c r="AO205" s="1571"/>
      <c r="AP205" s="1571"/>
      <c r="AQ205" s="1571"/>
      <c r="AR205" s="1571"/>
      <c r="AS205" s="1571"/>
      <c r="AT205" s="1571"/>
      <c r="AU205" s="1571"/>
      <c r="AV205" s="1571"/>
      <c r="AW205" s="1571"/>
      <c r="AX205" s="1571"/>
      <c r="AY205" s="1571"/>
      <c r="AZ205" s="1571"/>
      <c r="BA205" s="1571"/>
      <c r="BB205" s="1571"/>
      <c r="BC205" s="1571"/>
    </row>
    <row r="206" spans="1:55">
      <c r="A206" s="1571"/>
      <c r="B206" s="1571"/>
      <c r="C206" s="1571"/>
      <c r="D206" s="1571"/>
      <c r="E206" s="1571"/>
      <c r="F206" s="1571"/>
      <c r="G206" s="1571"/>
      <c r="H206" s="1571"/>
      <c r="I206" s="1571"/>
      <c r="J206" s="1571"/>
      <c r="K206" s="1571"/>
      <c r="L206" s="1571"/>
      <c r="M206" s="1571"/>
      <c r="N206" s="1571"/>
      <c r="O206" s="1571"/>
      <c r="P206" s="1571"/>
      <c r="Q206" s="1571"/>
      <c r="R206" s="1571"/>
      <c r="S206" s="234" t="str">
        <f>S129</f>
        <v>RKEPSM</v>
      </c>
      <c r="T206" s="1571"/>
      <c r="U206" s="2741">
        <v>41</v>
      </c>
      <c r="V206" s="1571"/>
      <c r="W206" s="233" t="s">
        <v>2247</v>
      </c>
      <c r="X206" s="1571"/>
      <c r="Y206" s="1458"/>
      <c r="Z206" s="1458"/>
      <c r="AA206" s="1458"/>
      <c r="AB206" s="1458"/>
      <c r="AC206" s="1458"/>
      <c r="AD206" s="1458"/>
      <c r="AE206" s="1458"/>
      <c r="AF206" s="1458"/>
      <c r="AG206" s="1458"/>
      <c r="AH206" s="1458"/>
      <c r="AI206" s="1458"/>
      <c r="AJ206" s="1458"/>
      <c r="AK206" s="306"/>
      <c r="AL206" s="1571"/>
      <c r="AM206" s="1571"/>
      <c r="AN206" s="1571"/>
      <c r="AO206" s="1571"/>
      <c r="AP206" s="1571"/>
      <c r="AQ206" s="1571"/>
      <c r="AR206" s="1571"/>
      <c r="AS206" s="1571"/>
      <c r="AT206" s="1571"/>
      <c r="AU206" s="1571"/>
      <c r="AV206" s="1571"/>
      <c r="AW206" s="1571"/>
      <c r="AX206" s="1571"/>
      <c r="AY206" s="1571"/>
      <c r="AZ206" s="1571"/>
      <c r="BA206" s="1571"/>
      <c r="BB206" s="1571"/>
      <c r="BC206" s="1571"/>
    </row>
    <row r="207" spans="1:55">
      <c r="A207" s="1571"/>
      <c r="B207" s="1571"/>
      <c r="C207" s="1571"/>
      <c r="D207" s="1571"/>
      <c r="E207" s="1571"/>
      <c r="F207" s="1571"/>
      <c r="G207" s="1571"/>
      <c r="H207" s="1571"/>
      <c r="I207" s="1571"/>
      <c r="J207" s="1571"/>
      <c r="K207" s="1571"/>
      <c r="L207" s="1571"/>
      <c r="M207" s="1571"/>
      <c r="N207" s="1571"/>
      <c r="O207" s="1571"/>
      <c r="P207" s="1571"/>
      <c r="Q207" s="1571"/>
      <c r="R207" s="1571"/>
      <c r="S207" s="1571"/>
      <c r="T207" s="1571">
        <f>T130</f>
        <v>440000</v>
      </c>
      <c r="U207" s="2741">
        <v>42</v>
      </c>
      <c r="V207" s="1571"/>
      <c r="W207" s="413" t="s">
        <v>947</v>
      </c>
      <c r="X207" s="1571"/>
      <c r="Y207" s="1458">
        <f t="array" ref="Y207">SUM(IF(FPrevAcct=T207,IF(FPrevProd=S206,FPrev1)))</f>
        <v>0</v>
      </c>
      <c r="Z207" s="1458">
        <f t="array" ref="Z207">SUM(IF(FPrevAcct=T207,IF(FPrevProd=S206,FPrev2)))</f>
        <v>-16543</v>
      </c>
      <c r="AA207" s="1458">
        <f t="array" ref="AA207">SUM(IF(FPrevAcct=T207,IF(FPrevProd=S206,FPrev3)))</f>
        <v>-36537</v>
      </c>
      <c r="AB207" s="1458">
        <f t="array" ref="AB207">SUM(IF(FPrevAcct=T207,IF(FPrevProd=S206,FPrev4)))</f>
        <v>-109806</v>
      </c>
      <c r="AC207" s="1458">
        <f t="array" ref="AC207">SUM(IF(FPrevAcct=T207,IF(FPrevProd=S206,FPrev5)))</f>
        <v>-8275</v>
      </c>
      <c r="AD207" s="1458">
        <f t="array" ref="AD207">SUM(IF(FPrevAcct=T207,IF(FPrevProd=S206,FPrev6)))</f>
        <v>-23462</v>
      </c>
      <c r="AE207" s="1458">
        <f t="array" ref="AE207">SUM(IF(FPrevAcct=T207,IF(FPrevProd=S206,FPrev7)))</f>
        <v>-46936</v>
      </c>
      <c r="AF207" s="1458">
        <f t="array" ref="AF207">SUM(IF(FPrevAcct=T207,IF(FPrevProd=S206,FPrev8)))</f>
        <v>-50758</v>
      </c>
      <c r="AG207" s="1458">
        <f t="array" ref="AG207">SUM(IF(FPrevAcct=T207,IF(FPrevProd=S206,FPrev9)))</f>
        <v>-34947</v>
      </c>
      <c r="AH207" s="1458">
        <f t="array" ref="AH207">SUM(IF(FPrevAcct=T207,IF(FPrevProd=S206,FPrev10)))</f>
        <v>-338826</v>
      </c>
      <c r="AI207" s="1458">
        <f t="array" ref="AI207">SUM(IF(FPrevAcct=T207,IF(FPrevProd=S206,FPrev11)))</f>
        <v>-156362</v>
      </c>
      <c r="AJ207" s="1458">
        <f t="array" ref="AJ207">SUM(IF(FPrevAcct=T207,IF(FPrevProd=S206,FPrev12)))</f>
        <v>-106902</v>
      </c>
      <c r="AK207" s="306">
        <f>SUM(Y207:AJ207)</f>
        <v>-929354</v>
      </c>
      <c r="AL207" s="1571"/>
      <c r="AM207" s="1571"/>
      <c r="AN207" s="1571"/>
      <c r="AO207" s="1571"/>
      <c r="AP207" s="1571"/>
      <c r="AQ207" s="1571"/>
      <c r="AR207" s="1571"/>
      <c r="AS207" s="1571"/>
      <c r="AT207" s="1571"/>
      <c r="AU207" s="1571"/>
      <c r="AV207" s="1571"/>
      <c r="AW207" s="1571"/>
      <c r="AX207" s="1571"/>
      <c r="AY207" s="1571"/>
      <c r="AZ207" s="1571"/>
      <c r="BA207" s="1571"/>
      <c r="BB207" s="1571"/>
      <c r="BC207" s="1571"/>
    </row>
    <row r="208" spans="1:55">
      <c r="A208" s="1571"/>
      <c r="B208" s="1571"/>
      <c r="C208" s="1571"/>
      <c r="D208" s="1571"/>
      <c r="E208" s="1571"/>
      <c r="F208" s="1571"/>
      <c r="G208" s="1571"/>
      <c r="H208" s="1571"/>
      <c r="I208" s="1571"/>
      <c r="J208" s="1571"/>
      <c r="K208" s="1571"/>
      <c r="L208" s="1571"/>
      <c r="M208" s="1571"/>
      <c r="N208" s="1571"/>
      <c r="O208" s="1571"/>
      <c r="P208" s="1571"/>
      <c r="Q208" s="1571"/>
      <c r="R208" s="1571"/>
      <c r="S208" s="1571"/>
      <c r="T208" s="1571">
        <f>T131</f>
        <v>442100</v>
      </c>
      <c r="U208" s="2741">
        <v>43</v>
      </c>
      <c r="V208" s="1571"/>
      <c r="W208" s="413" t="s">
        <v>948</v>
      </c>
      <c r="X208" s="1571"/>
      <c r="Y208" s="1458">
        <f t="array" ref="Y208">SUM(IF(FPrevAcct=T208,IF(FPrevProd=S206,FPrev1)))</f>
        <v>0</v>
      </c>
      <c r="Z208" s="1458">
        <f t="array" ref="Z208">SUM(IF(FPrevAcct=T208,IF(FPrevProd=S206,FPrev2)))</f>
        <v>-21521</v>
      </c>
      <c r="AA208" s="1458">
        <f t="array" ref="AA208">SUM(IF(FPrevAcct=T208,IF(FPrevProd=S206,FPrev3)))</f>
        <v>-41409</v>
      </c>
      <c r="AB208" s="1458">
        <f t="array" ref="AB208">SUM(IF(FPrevAcct=T208,IF(FPrevProd=S206,FPrev4)))</f>
        <v>-102950</v>
      </c>
      <c r="AC208" s="1458">
        <f t="array" ref="AC208">SUM(IF(FPrevAcct=T208,IF(FPrevProd=S206,FPrev5)))</f>
        <v>-7514</v>
      </c>
      <c r="AD208" s="1458">
        <f t="array" ref="AD208">SUM(IF(FPrevAcct=T208,IF(FPrevProd=S206,FPrev6)))</f>
        <v>-23520</v>
      </c>
      <c r="AE208" s="1458">
        <f t="array" ref="AE208">SUM(IF(FPrevAcct=T208,IF(FPrevProd=S206,FPrev7)))</f>
        <v>-59133</v>
      </c>
      <c r="AF208" s="1458">
        <f t="array" ref="AF208">SUM(IF(FPrevAcct=T208,IF(FPrevProd=S206,FPrev8)))</f>
        <v>-60554</v>
      </c>
      <c r="AG208" s="1458">
        <f t="array" ref="AG208">SUM(IF(FPrevAcct=T208,IF(FPrevProd=S206,FPrev9)))</f>
        <v>-33239</v>
      </c>
      <c r="AH208" s="1458">
        <f t="array" ref="AH208">SUM(IF(FPrevAcct=T208,IF(FPrevProd=S206,FPrev10)))</f>
        <v>-271449</v>
      </c>
      <c r="AI208" s="1458">
        <f t="array" ref="AI208">SUM(IF(FPrevAcct=T208,IF(FPrevProd=S206,FPrev11)))</f>
        <v>-123770</v>
      </c>
      <c r="AJ208" s="1458">
        <f t="array" ref="AJ208">SUM(IF(FPrevAcct=T208,IF(FPrevProd=S206,FPrev12)))</f>
        <v>-94808</v>
      </c>
      <c r="AK208" s="306">
        <f>SUM(Y208:AJ208)</f>
        <v>-839867</v>
      </c>
      <c r="AL208" s="1571"/>
      <c r="AM208" s="1571"/>
      <c r="AN208" s="1571"/>
      <c r="AO208" s="1571"/>
      <c r="AP208" s="1571"/>
      <c r="AQ208" s="1571"/>
      <c r="AR208" s="1571"/>
      <c r="AS208" s="1571"/>
      <c r="AT208" s="1571"/>
      <c r="AU208" s="1571"/>
      <c r="AV208" s="1571"/>
      <c r="AW208" s="1571"/>
      <c r="AX208" s="1571"/>
      <c r="AY208" s="1571"/>
      <c r="AZ208" s="1571"/>
      <c r="BA208" s="1571"/>
      <c r="BB208" s="1571"/>
      <c r="BC208" s="1571"/>
    </row>
    <row r="209" spans="1:55">
      <c r="A209" s="1571"/>
      <c r="B209" s="1571"/>
      <c r="C209" s="1571"/>
      <c r="D209" s="1571"/>
      <c r="E209" s="1571"/>
      <c r="F209" s="1571"/>
      <c r="G209" s="1571"/>
      <c r="H209" s="1571"/>
      <c r="I209" s="1571"/>
      <c r="J209" s="1571"/>
      <c r="K209" s="1571"/>
      <c r="L209" s="1571"/>
      <c r="M209" s="1571"/>
      <c r="N209" s="1571"/>
      <c r="O209" s="1571"/>
      <c r="P209" s="1571"/>
      <c r="Q209" s="1571"/>
      <c r="R209" s="1571"/>
      <c r="S209" s="1571"/>
      <c r="T209" s="1571">
        <f>T132</f>
        <v>442200</v>
      </c>
      <c r="U209" s="2741">
        <v>44</v>
      </c>
      <c r="V209" s="1571"/>
      <c r="W209" s="413" t="s">
        <v>949</v>
      </c>
      <c r="X209" s="1571"/>
      <c r="Y209" s="1458">
        <f t="array" ref="Y209">SUM(IF(FPrevAcct=T209,IF(FPrevProd=S206,FPrev1)))</f>
        <v>0</v>
      </c>
      <c r="Z209" s="1458">
        <f t="array" ref="Z209">SUM(IF(FPrevAcct=T209,IF(FPrevProd=S206,FPrev2)))</f>
        <v>-13222</v>
      </c>
      <c r="AA209" s="1458">
        <f t="array" ref="AA209">SUM(IF(FPrevAcct=T209,IF(FPrevProd=S206,FPrev3)))</f>
        <v>-22738</v>
      </c>
      <c r="AB209" s="1458">
        <f t="array" ref="AB209">SUM(IF(FPrevAcct=T209,IF(FPrevProd=S206,FPrev4)))</f>
        <v>-52654</v>
      </c>
      <c r="AC209" s="1458">
        <f t="array" ref="AC209">SUM(IF(FPrevAcct=T209,IF(FPrevProd=S206,FPrev5)))</f>
        <v>-3900</v>
      </c>
      <c r="AD209" s="1458">
        <f t="array" ref="AD209">SUM(IF(FPrevAcct=T209,IF(FPrevProd=S206,FPrev6)))</f>
        <v>-11915</v>
      </c>
      <c r="AE209" s="1458">
        <f t="array" ref="AE209">SUM(IF(FPrevAcct=T209,IF(FPrevProd=S206,FPrev7)))</f>
        <v>-34424</v>
      </c>
      <c r="AF209" s="1458">
        <f t="array" ref="AF209">SUM(IF(FPrevAcct=T209,IF(FPrevProd=S206,FPrev8)))</f>
        <v>-35615</v>
      </c>
      <c r="AG209" s="1458">
        <f t="array" ref="AG209">SUM(IF(FPrevAcct=T209,IF(FPrevProd=S206,FPrev9)))</f>
        <v>-17925</v>
      </c>
      <c r="AH209" s="1458">
        <f t="array" ref="AH209">SUM(IF(FPrevAcct=T209,IF(FPrevProd=S206,FPrev10)))</f>
        <v>-142623</v>
      </c>
      <c r="AI209" s="1458">
        <f t="array" ref="AI209">SUM(IF(FPrevAcct=T209,IF(FPrevProd=S206,FPrev11)))</f>
        <v>-74187</v>
      </c>
      <c r="AJ209" s="1458">
        <f t="array" ref="AJ209">SUM(IF(FPrevAcct=T209,IF(FPrevProd=S206,FPrev12)))</f>
        <v>-57622</v>
      </c>
      <c r="AK209" s="306">
        <f>SUM(Y209:AJ209)</f>
        <v>-466825</v>
      </c>
      <c r="AL209" s="1571"/>
      <c r="AM209" s="1571"/>
      <c r="AN209" s="1571"/>
      <c r="AO209" s="1571"/>
      <c r="AP209" s="1571"/>
      <c r="AQ209" s="1571"/>
      <c r="AR209" s="1571"/>
      <c r="AS209" s="1571"/>
      <c r="AT209" s="1571"/>
      <c r="AU209" s="1571"/>
      <c r="AV209" s="1571"/>
      <c r="AW209" s="1571"/>
      <c r="AX209" s="1571"/>
      <c r="AY209" s="1571"/>
      <c r="AZ209" s="1571"/>
      <c r="BA209" s="1571"/>
      <c r="BB209" s="1571"/>
      <c r="BC209" s="1571"/>
    </row>
    <row r="210" spans="1:55">
      <c r="A210" s="1571"/>
      <c r="B210" s="1571"/>
      <c r="C210" s="1571"/>
      <c r="D210" s="1571"/>
      <c r="E210" s="1571"/>
      <c r="F210" s="1571"/>
      <c r="G210" s="1571"/>
      <c r="H210" s="1571"/>
      <c r="I210" s="1571"/>
      <c r="J210" s="1571"/>
      <c r="K210" s="1571"/>
      <c r="L210" s="1571"/>
      <c r="M210" s="1571"/>
      <c r="N210" s="1571"/>
      <c r="O210" s="1571"/>
      <c r="P210" s="1571"/>
      <c r="Q210" s="1571"/>
      <c r="R210" s="1571"/>
      <c r="S210" s="1571"/>
      <c r="T210" s="1571">
        <f>T133</f>
        <v>444000</v>
      </c>
      <c r="U210" s="2741">
        <v>45</v>
      </c>
      <c r="V210" s="1571"/>
      <c r="W210" s="413" t="s">
        <v>718</v>
      </c>
      <c r="X210" s="1571"/>
      <c r="Y210" s="1458">
        <f t="array" ref="Y210">SUM(IF(FPrevAcct=T210,IF(FPrevProd=S206,FPrev1)))</f>
        <v>0</v>
      </c>
      <c r="Z210" s="1458">
        <f t="array" ref="Z210">SUM(IF(FPrevAcct=T210,IF(FPrevProd=S206,FPrev2)))</f>
        <v>-243</v>
      </c>
      <c r="AA210" s="1458">
        <f t="array" ref="AA210">SUM(IF(FPrevAcct=T210,IF(FPrevProd=S206,FPrev3)))</f>
        <v>-416</v>
      </c>
      <c r="AB210" s="1458">
        <f t="array" ref="AB210">SUM(IF(FPrevAcct=T210,IF(FPrevProd=S206,FPrev4)))</f>
        <v>-948</v>
      </c>
      <c r="AC210" s="1458">
        <f t="array" ref="AC210">SUM(IF(FPrevAcct=T210,IF(FPrevProd=S206,FPrev5)))</f>
        <v>-71</v>
      </c>
      <c r="AD210" s="1458">
        <f t="array" ref="AD210">SUM(IF(FPrevAcct=T210,IF(FPrevProd=S206,FPrev6)))</f>
        <v>-226</v>
      </c>
      <c r="AE210" s="1458">
        <f t="array" ref="AE210">SUM(IF(FPrevAcct=T210,IF(FPrevProd=S206,FPrev7)))</f>
        <v>-653</v>
      </c>
      <c r="AF210" s="1458">
        <f t="array" ref="AF210">SUM(IF(FPrevAcct=T210,IF(FPrevProd=S206,FPrev8)))</f>
        <v>-701</v>
      </c>
      <c r="AG210" s="1458">
        <f t="array" ref="AG210">SUM(IF(FPrevAcct=T210,IF(FPrevProd=S206,FPrev9)))</f>
        <v>-344</v>
      </c>
      <c r="AH210" s="1458">
        <f t="array" ref="AH210">SUM(IF(FPrevAcct=T210,IF(FPrevProd=S206,FPrev10)))</f>
        <v>-2848</v>
      </c>
      <c r="AI210" s="1458">
        <f t="array" ref="AI210">SUM(IF(FPrevAcct=T210,IF(FPrevProd=S206,FPrev11)))</f>
        <v>-1433</v>
      </c>
      <c r="AJ210" s="1458">
        <f t="array" ref="AJ210">SUM(IF(FPrevAcct=T210,IF(FPrevProd=S206,FPrev12)))</f>
        <v>-1078</v>
      </c>
      <c r="AK210" s="306">
        <f>SUM(Y210:AJ210)</f>
        <v>-8961</v>
      </c>
      <c r="AL210" s="1571"/>
      <c r="AM210" s="1571"/>
      <c r="AN210" s="1571"/>
      <c r="AO210" s="1571"/>
      <c r="AP210" s="1571"/>
      <c r="AQ210" s="1571"/>
      <c r="AR210" s="1571"/>
      <c r="AS210" s="1571"/>
      <c r="AT210" s="1571"/>
      <c r="AU210" s="1571"/>
      <c r="AV210" s="1571"/>
      <c r="AW210" s="1571"/>
      <c r="AX210" s="1571"/>
      <c r="AY210" s="1571"/>
      <c r="AZ210" s="1571"/>
      <c r="BA210" s="1571"/>
      <c r="BB210" s="1571"/>
      <c r="BC210" s="1571"/>
    </row>
    <row r="211" spans="1:55">
      <c r="A211" s="1571"/>
      <c r="B211" s="1571"/>
      <c r="C211" s="1571"/>
      <c r="D211" s="1571"/>
      <c r="E211" s="1571"/>
      <c r="F211" s="1571"/>
      <c r="G211" s="1571"/>
      <c r="H211" s="1571"/>
      <c r="I211" s="1571"/>
      <c r="J211" s="1571"/>
      <c r="K211" s="1571"/>
      <c r="L211" s="1571"/>
      <c r="M211" s="1571"/>
      <c r="N211" s="1571"/>
      <c r="O211" s="1571"/>
      <c r="P211" s="1571"/>
      <c r="Q211" s="1571"/>
      <c r="R211" s="1571"/>
      <c r="S211" s="1571"/>
      <c r="T211" s="1571">
        <f>T134</f>
        <v>445000</v>
      </c>
      <c r="U211" s="2741">
        <v>46</v>
      </c>
      <c r="V211" s="1571"/>
      <c r="W211" s="413" t="s">
        <v>950</v>
      </c>
      <c r="X211" s="1571"/>
      <c r="Y211" s="1458">
        <f t="array" ref="Y211">SUM(IF(FPrevAcct=T211,IF(FPrevProd=S206,FPrev1)))</f>
        <v>0</v>
      </c>
      <c r="Z211" s="1458">
        <f t="array" ref="Z211">SUM(IF(FPrevAcct=T211,IF(FPrevProd=S206,FPrev2)))</f>
        <v>-4057</v>
      </c>
      <c r="AA211" s="1458">
        <f t="array" ref="AA211">SUM(IF(FPrevAcct=T211,IF(FPrevProd=S206,FPrev3)))</f>
        <v>-7487</v>
      </c>
      <c r="AB211" s="1458">
        <f t="array" ref="AB211">SUM(IF(FPrevAcct=T211,IF(FPrevProd=S206,FPrev4)))</f>
        <v>-17567</v>
      </c>
      <c r="AC211" s="1458">
        <f t="array" ref="AC211">SUM(IF(FPrevAcct=T211,IF(FPrevProd=S206,FPrev5)))</f>
        <v>-1348</v>
      </c>
      <c r="AD211" s="1458">
        <f t="array" ref="AD211">SUM(IF(FPrevAcct=T211,IF(FPrevProd=S206,FPrev6)))</f>
        <v>-4582</v>
      </c>
      <c r="AE211" s="1458">
        <f t="array" ref="AE211">SUM(IF(FPrevAcct=T211,IF(FPrevProd=S206,FPrev7)))</f>
        <v>-11660</v>
      </c>
      <c r="AF211" s="1458">
        <f t="array" ref="AF211">SUM(IF(FPrevAcct=T211,IF(FPrevProd=S206,FPrev8)))</f>
        <v>-11381</v>
      </c>
      <c r="AG211" s="1458">
        <f t="array" ref="AG211">SUM(IF(FPrevAcct=T211,IF(FPrevProd=S206,FPrev9)))</f>
        <v>-6058</v>
      </c>
      <c r="AH211" s="1458">
        <f t="array" ref="AH211">SUM(IF(FPrevAcct=T211,IF(FPrevProd=S206,FPrev10)))</f>
        <v>-47945</v>
      </c>
      <c r="AI211" s="1458">
        <f t="array" ref="AI211">SUM(IF(FPrevAcct=T211,IF(FPrevProd=S206,FPrev11)))</f>
        <v>-24988</v>
      </c>
      <c r="AJ211" s="1458">
        <f t="array" ref="AJ211">SUM(IF(FPrevAcct=T211,IF(FPrevProd=S206,FPrev12)))</f>
        <v>-18966</v>
      </c>
      <c r="AK211" s="306">
        <f>SUM(Y211:AJ211)</f>
        <v>-156039</v>
      </c>
      <c r="AL211" s="1571"/>
      <c r="AM211" s="1571"/>
      <c r="AN211" s="1571"/>
      <c r="AO211" s="1571"/>
      <c r="AP211" s="1571"/>
      <c r="AQ211" s="1571"/>
      <c r="AR211" s="1571"/>
      <c r="AS211" s="1571"/>
      <c r="AT211" s="1571"/>
      <c r="AU211" s="1571"/>
      <c r="AV211" s="1571"/>
      <c r="AW211" s="1571"/>
      <c r="AX211" s="1571"/>
      <c r="AY211" s="1571"/>
      <c r="AZ211" s="1571"/>
      <c r="BA211" s="1571"/>
      <c r="BB211" s="1571"/>
      <c r="BC211" s="1571"/>
    </row>
    <row r="212" spans="1:55">
      <c r="A212" s="1571"/>
      <c r="B212" s="1571"/>
      <c r="C212" s="1571"/>
      <c r="D212" s="1571"/>
      <c r="E212" s="1571"/>
      <c r="F212" s="1571"/>
      <c r="G212" s="1571"/>
      <c r="H212" s="1571"/>
      <c r="I212" s="1571"/>
      <c r="J212" s="1571"/>
      <c r="K212" s="1571"/>
      <c r="L212" s="1571"/>
      <c r="M212" s="1571"/>
      <c r="N212" s="1571"/>
      <c r="O212" s="1571"/>
      <c r="P212" s="1571"/>
      <c r="Q212" s="1571"/>
      <c r="R212" s="1571"/>
      <c r="S212" s="1571"/>
      <c r="T212" s="1571"/>
      <c r="U212" s="2741">
        <v>47</v>
      </c>
      <c r="V212" s="1571"/>
      <c r="W212" s="1571"/>
      <c r="X212" s="1571"/>
      <c r="Y212" s="1458"/>
      <c r="Z212" s="1458"/>
      <c r="AA212" s="1458"/>
      <c r="AB212" s="1458"/>
      <c r="AC212" s="1458"/>
      <c r="AD212" s="1458"/>
      <c r="AE212" s="1458"/>
      <c r="AF212" s="1458"/>
      <c r="AG212" s="1458"/>
      <c r="AH212" s="1458"/>
      <c r="AI212" s="1458"/>
      <c r="AJ212" s="1458"/>
      <c r="AK212" s="306"/>
      <c r="AL212" s="1571"/>
      <c r="AM212" s="1571"/>
      <c r="AN212" s="1571"/>
      <c r="AO212" s="1571"/>
      <c r="AP212" s="1571"/>
      <c r="AQ212" s="1571"/>
      <c r="AR212" s="1571"/>
      <c r="AS212" s="1571"/>
      <c r="AT212" s="1571"/>
      <c r="AU212" s="1571"/>
      <c r="AV212" s="1571"/>
      <c r="AW212" s="1571"/>
      <c r="AX212" s="1571"/>
      <c r="AY212" s="1571"/>
      <c r="AZ212" s="1571"/>
      <c r="BA212" s="1571"/>
      <c r="BB212" s="1571"/>
      <c r="BC212" s="1571"/>
    </row>
    <row r="213" spans="1:55">
      <c r="A213" s="1571"/>
      <c r="B213" s="1571"/>
      <c r="C213" s="1571"/>
      <c r="D213" s="1571"/>
      <c r="E213" s="1571"/>
      <c r="F213" s="1571"/>
      <c r="G213" s="1571"/>
      <c r="H213" s="1571"/>
      <c r="I213" s="1571"/>
      <c r="J213" s="1571"/>
      <c r="K213" s="1571"/>
      <c r="L213" s="1571"/>
      <c r="M213" s="1571"/>
      <c r="N213" s="1571"/>
      <c r="O213" s="1571"/>
      <c r="P213" s="1571"/>
      <c r="Q213" s="1571"/>
      <c r="R213" s="1571"/>
      <c r="S213" s="1571"/>
      <c r="T213" s="1571">
        <f>T136</f>
        <v>447</v>
      </c>
      <c r="U213" s="2741">
        <v>48</v>
      </c>
      <c r="V213" s="1571"/>
      <c r="W213" s="1571" t="s">
        <v>1388</v>
      </c>
      <c r="X213" s="1571"/>
      <c r="Y213" s="1462">
        <f t="array" aca="1" ref="Y213" ca="1">SUM(IF(FERCFP=T213,Forecast1))</f>
        <v>0</v>
      </c>
      <c r="Z213" s="1462">
        <f t="array" aca="1" ref="Z213" ca="1">SUM(IF(FERCFP=T213,Forecast2))</f>
        <v>403000</v>
      </c>
      <c r="AA213" s="1462">
        <f t="array" aca="1" ref="AA213" ca="1">SUM(IF(FERCFP=T213,Forecast3))</f>
        <v>536000</v>
      </c>
      <c r="AB213" s="1462">
        <f t="array" aca="1" ref="AB213" ca="1">SUM(IF(FERCFP=T213,forecast4))</f>
        <v>981000</v>
      </c>
      <c r="AC213" s="1462">
        <f t="array" aca="1" ref="AC213" ca="1">SUM(IF(FERCFP=T213,Forecast5))</f>
        <v>345000</v>
      </c>
      <c r="AD213" s="1462">
        <f t="array" aca="1" ref="AD213" ca="1">SUM(IF(FERCFP=T213,Forecast6))</f>
        <v>774000</v>
      </c>
      <c r="AE213" s="1462">
        <f t="array" aca="1" ref="AE213" ca="1">SUM(IF(FERCFP=T213,Forecast7))</f>
        <v>1242000</v>
      </c>
      <c r="AF213" s="1462">
        <f t="array" aca="1" ref="AF213" ca="1">SUM(IF(FERCFP=T213,Forecast8))</f>
        <v>683000</v>
      </c>
      <c r="AG213" s="1462">
        <f t="array" aca="1" ref="AG213" ca="1">SUM(IF(FERCFP=T213,Forecast9))</f>
        <v>436000</v>
      </c>
      <c r="AH213" s="1462">
        <f t="array" aca="1" ref="AH213" ca="1">SUM(IF(FERCFP=T213,Forecast10))</f>
        <v>3588000</v>
      </c>
      <c r="AI213" s="1462">
        <f t="array" aca="1" ref="AI213" ca="1">SUM(IF(FERCFP=T213,Forecast11))</f>
        <v>1603000</v>
      </c>
      <c r="AJ213" s="1462">
        <f t="array" aca="1" ref="AJ213" ca="1">SUM(IF(FERCFP=T213,Forecast12))</f>
        <v>1368000</v>
      </c>
      <c r="AK213" s="306">
        <f ca="1">SUM(Y213:AJ213)</f>
        <v>11959000</v>
      </c>
      <c r="AL213" s="1571"/>
      <c r="AM213" s="1571"/>
      <c r="AN213" s="1571"/>
      <c r="AO213" s="1571"/>
      <c r="AP213" s="1571"/>
      <c r="AQ213" s="1571"/>
      <c r="AR213" s="1571"/>
      <c r="AS213" s="1571"/>
      <c r="AT213" s="1571"/>
      <c r="AU213" s="1571"/>
      <c r="AV213" s="1571"/>
      <c r="AW213" s="1571"/>
      <c r="AX213" s="1571"/>
      <c r="AY213" s="1571"/>
      <c r="AZ213" s="1571"/>
      <c r="BA213" s="1571"/>
      <c r="BB213" s="1571"/>
      <c r="BC213" s="1571"/>
    </row>
    <row r="214" spans="1:55">
      <c r="A214" s="1571"/>
      <c r="B214" s="1571"/>
      <c r="C214" s="1571"/>
      <c r="D214" s="1571"/>
      <c r="E214" s="1571"/>
      <c r="F214" s="1571"/>
      <c r="G214" s="1571"/>
      <c r="H214" s="1571"/>
      <c r="I214" s="1571"/>
      <c r="J214" s="1571"/>
      <c r="K214" s="1571"/>
      <c r="L214" s="1571"/>
      <c r="M214" s="1571"/>
      <c r="N214" s="1571"/>
      <c r="O214" s="1571"/>
      <c r="P214" s="1571"/>
      <c r="Q214" s="1571"/>
      <c r="R214" s="1571"/>
      <c r="S214" s="1571"/>
      <c r="T214" s="1571"/>
      <c r="U214" s="2741">
        <v>49</v>
      </c>
      <c r="V214" s="1571"/>
      <c r="W214" s="1571"/>
      <c r="X214" s="1571"/>
      <c r="Y214" s="1458"/>
      <c r="Z214" s="1458"/>
      <c r="AA214" s="1458"/>
      <c r="AB214" s="1458"/>
      <c r="AC214" s="1458"/>
      <c r="AD214" s="1458"/>
      <c r="AE214" s="1458"/>
      <c r="AF214" s="1458"/>
      <c r="AG214" s="1458"/>
      <c r="AH214" s="1458"/>
      <c r="AI214" s="1458"/>
      <c r="AJ214" s="1458"/>
      <c r="AK214" s="306"/>
      <c r="AL214" s="1571"/>
      <c r="AM214" s="1571"/>
      <c r="AN214" s="1571"/>
      <c r="AO214" s="1571"/>
      <c r="AP214" s="1571"/>
      <c r="AQ214" s="1571"/>
      <c r="AR214" s="1571"/>
      <c r="AS214" s="1571"/>
      <c r="AT214" s="1571"/>
      <c r="AU214" s="1571"/>
      <c r="AV214" s="1571"/>
      <c r="AW214" s="1571"/>
      <c r="AX214" s="1571"/>
      <c r="AY214" s="1571"/>
      <c r="AZ214" s="1571"/>
      <c r="BA214" s="1571"/>
      <c r="BB214" s="1571"/>
      <c r="BC214" s="1571"/>
    </row>
    <row r="215" spans="1:55">
      <c r="A215" s="1571"/>
      <c r="B215" s="1571"/>
      <c r="C215" s="1571"/>
      <c r="D215" s="1571"/>
      <c r="E215" s="1571"/>
      <c r="F215" s="1571"/>
      <c r="G215" s="1571"/>
      <c r="H215" s="1571"/>
      <c r="I215" s="1571"/>
      <c r="J215" s="1571"/>
      <c r="K215" s="1571"/>
      <c r="L215" s="1571"/>
      <c r="M215" s="1571"/>
      <c r="N215" s="1571"/>
      <c r="O215" s="1571"/>
      <c r="P215" s="1571"/>
      <c r="Q215" s="1571"/>
      <c r="R215" s="1571"/>
      <c r="S215" s="1571"/>
      <c r="T215" s="1571">
        <f>T138</f>
        <v>449</v>
      </c>
      <c r="U215" s="2741">
        <v>50</v>
      </c>
      <c r="V215" s="1571"/>
      <c r="W215" s="1571" t="s">
        <v>2168</v>
      </c>
      <c r="X215" s="1571"/>
      <c r="Y215" s="1458">
        <f t="array" aca="1" ref="Y215" ca="1">SUM(IF(FERCFP=T215,Forecast1))</f>
        <v>0</v>
      </c>
      <c r="Z215" s="1458">
        <f t="array" aca="1" ref="Z215" ca="1">SUM(IF(FERCFP=T215,Forecast2))</f>
        <v>0</v>
      </c>
      <c r="AA215" s="1458">
        <f t="array" aca="1" ref="AA215" ca="1">SUM(IF(FERCFP=T215,Forecast3))</f>
        <v>0</v>
      </c>
      <c r="AB215" s="1458">
        <f t="array" aca="1" ref="AB215" ca="1">SUM(IF(FERCFP=T215,forecast4))</f>
        <v>0</v>
      </c>
      <c r="AC215" s="1458">
        <f t="array" aca="1" ref="AC215" ca="1">SUM(IF(FERCFP=T215,Forecast5))</f>
        <v>0</v>
      </c>
      <c r="AD215" s="1458">
        <f t="array" aca="1" ref="AD215" ca="1">SUM(IF(FERCFP=T215,Forecast6))</f>
        <v>0</v>
      </c>
      <c r="AE215" s="1458">
        <f t="array" aca="1" ref="AE215" ca="1">SUM(IF(FERCFP=T215,Forecast7))</f>
        <v>0</v>
      </c>
      <c r="AF215" s="1458">
        <f t="array" aca="1" ref="AF215" ca="1">SUM(IF(FERCFP=T215,Forecast8))</f>
        <v>0</v>
      </c>
      <c r="AG215" s="1458">
        <f t="array" aca="1" ref="AG215" ca="1">SUM(IF(FERCFP=T215,Forecast9))</f>
        <v>0</v>
      </c>
      <c r="AH215" s="1458">
        <f t="array" aca="1" ref="AH215" ca="1">SUM(IF(FERCFP=T215,Forecast10))</f>
        <v>0</v>
      </c>
      <c r="AI215" s="1458">
        <f t="array" aca="1" ref="AI215" ca="1">SUM(IF(FERCFP=T215,Forecast11))</f>
        <v>0</v>
      </c>
      <c r="AJ215" s="1458">
        <f t="array" aca="1" ref="AJ215" ca="1">SUM(IF(FERCFP=T215,Forecast12))</f>
        <v>0</v>
      </c>
      <c r="AK215" s="306">
        <f t="shared" ref="AK215:AK219" ca="1" si="14">SUM(Y215:AJ215)</f>
        <v>0</v>
      </c>
      <c r="AL215" s="1571"/>
      <c r="AM215" s="1571"/>
      <c r="AN215" s="1571"/>
      <c r="AO215" s="1571"/>
      <c r="AP215" s="1571"/>
      <c r="AQ215" s="1571"/>
      <c r="AR215" s="1571"/>
      <c r="AS215" s="1571"/>
      <c r="AT215" s="1571"/>
      <c r="AU215" s="1571"/>
      <c r="AV215" s="1571"/>
      <c r="AW215" s="1571"/>
      <c r="AX215" s="1571"/>
      <c r="AY215" s="1571"/>
      <c r="AZ215" s="1571"/>
      <c r="BA215" s="1571"/>
      <c r="BB215" s="1571"/>
      <c r="BC215" s="1571"/>
    </row>
    <row r="216" spans="1:55">
      <c r="A216" s="1571"/>
      <c r="B216" s="1571"/>
      <c r="C216" s="1571"/>
      <c r="D216" s="1571"/>
      <c r="E216" s="1571"/>
      <c r="F216" s="1571"/>
      <c r="G216" s="1571"/>
      <c r="H216" s="1571"/>
      <c r="I216" s="1571"/>
      <c r="J216" s="1571"/>
      <c r="K216" s="1571"/>
      <c r="L216" s="1571"/>
      <c r="M216" s="1571"/>
      <c r="N216" s="1571"/>
      <c r="O216" s="1571"/>
      <c r="P216" s="1571"/>
      <c r="Q216" s="1571"/>
      <c r="R216" s="1571"/>
      <c r="S216" s="1571"/>
      <c r="T216" s="1571">
        <f>T139</f>
        <v>451</v>
      </c>
      <c r="U216" s="2741">
        <v>51</v>
      </c>
      <c r="V216" s="1571"/>
      <c r="W216" s="1571" t="s">
        <v>1803</v>
      </c>
      <c r="X216" s="1571"/>
      <c r="Y216" s="1458">
        <f t="array" aca="1" ref="Y216" ca="1">SUM(IF(FERCFP=T216,Forecast1))</f>
        <v>24792</v>
      </c>
      <c r="Z216" s="1458">
        <f t="array" aca="1" ref="Z216" ca="1">SUM(IF(FERCFP=T216,Forecast2))</f>
        <v>24792</v>
      </c>
      <c r="AA216" s="1458">
        <f t="array" aca="1" ref="AA216" ca="1">SUM(IF(FERCFP=T216,Forecast3))</f>
        <v>24792</v>
      </c>
      <c r="AB216" s="1458">
        <f t="array" aca="1" ref="AB216" ca="1">SUM(IF(FERCFP=T216,forecast4))</f>
        <v>24792</v>
      </c>
      <c r="AC216" s="1458">
        <f t="array" aca="1" ref="AC216" ca="1">SUM(IF(FERCFP=T216,Forecast5))</f>
        <v>24792</v>
      </c>
      <c r="AD216" s="1458">
        <f t="array" aca="1" ref="AD216" ca="1">SUM(IF(FERCFP=T216,Forecast6))</f>
        <v>24792</v>
      </c>
      <c r="AE216" s="1458">
        <f t="array" aca="1" ref="AE216" ca="1">SUM(IF(FERCFP=T216,Forecast7))</f>
        <v>24792</v>
      </c>
      <c r="AF216" s="1458">
        <f t="array" aca="1" ref="AF216" ca="1">SUM(IF(FERCFP=T216,Forecast8))</f>
        <v>24792</v>
      </c>
      <c r="AG216" s="1458">
        <f t="array" aca="1" ref="AG216" ca="1">SUM(IF(FERCFP=T216,Forecast9))</f>
        <v>24792</v>
      </c>
      <c r="AH216" s="1458">
        <f t="array" aca="1" ref="AH216" ca="1">SUM(IF(FERCFP=T216,Forecast10))</f>
        <v>24792</v>
      </c>
      <c r="AI216" s="1458">
        <f t="array" aca="1" ref="AI216" ca="1">SUM(IF(FERCFP=T216,Forecast11))</f>
        <v>24792</v>
      </c>
      <c r="AJ216" s="1458">
        <f t="array" aca="1" ref="AJ216" ca="1">SUM(IF(FERCFP=T216,Forecast12))</f>
        <v>24792</v>
      </c>
      <c r="AK216" s="306">
        <f t="shared" ca="1" si="14"/>
        <v>297504</v>
      </c>
      <c r="AL216" s="1571"/>
      <c r="AM216" s="1571"/>
      <c r="AN216" s="1571"/>
      <c r="AO216" s="1571"/>
      <c r="AP216" s="1571"/>
      <c r="AQ216" s="1571"/>
      <c r="AR216" s="1571"/>
      <c r="AS216" s="1571"/>
      <c r="AT216" s="1571"/>
      <c r="AU216" s="1571"/>
      <c r="AV216" s="1571"/>
      <c r="AW216" s="1571"/>
      <c r="AX216" s="1571"/>
      <c r="AY216" s="1571"/>
      <c r="AZ216" s="1571"/>
      <c r="BA216" s="1571"/>
      <c r="BB216" s="1571"/>
      <c r="BC216" s="1571"/>
    </row>
    <row r="217" spans="1:55">
      <c r="A217" s="1571"/>
      <c r="B217" s="1571"/>
      <c r="C217" s="1571"/>
      <c r="D217" s="1571"/>
      <c r="E217" s="1571"/>
      <c r="F217" s="1571"/>
      <c r="G217" s="1571"/>
      <c r="H217" s="1571"/>
      <c r="I217" s="1571"/>
      <c r="J217" s="1571"/>
      <c r="K217" s="1571"/>
      <c r="L217" s="1571"/>
      <c r="M217" s="1571"/>
      <c r="N217" s="1571"/>
      <c r="O217" s="1571"/>
      <c r="P217" s="1571"/>
      <c r="Q217" s="1571"/>
      <c r="R217" s="1571"/>
      <c r="S217" s="1571"/>
      <c r="T217" s="1571">
        <f>T141</f>
        <v>454</v>
      </c>
      <c r="U217" s="2741">
        <v>52</v>
      </c>
      <c r="V217" s="1571"/>
      <c r="W217" s="1571" t="s">
        <v>2241</v>
      </c>
      <c r="X217" s="1571"/>
      <c r="Y217" s="1458">
        <f t="array" aca="1" ref="Y217" ca="1">SUM(IF(FERCFP=T217,Forecast1))</f>
        <v>102334</v>
      </c>
      <c r="Z217" s="1458">
        <f t="array" aca="1" ref="Z217" ca="1">SUM(IF(FERCFP=T217,Forecast2))</f>
        <v>102334</v>
      </c>
      <c r="AA217" s="1458">
        <f t="array" aca="1" ref="AA217" ca="1">SUM(IF(FERCFP=T217,Forecast3))</f>
        <v>102334</v>
      </c>
      <c r="AB217" s="1458">
        <f t="array" aca="1" ref="AB217" ca="1">SUM(IF(FERCFP=T217,forecast4))</f>
        <v>102334</v>
      </c>
      <c r="AC217" s="1458">
        <f t="array" aca="1" ref="AC217" ca="1">SUM(IF(FERCFP=T217,Forecast5))</f>
        <v>102334</v>
      </c>
      <c r="AD217" s="1458">
        <f t="array" aca="1" ref="AD217" ca="1">SUM(IF(FERCFP=T217,Forecast6))</f>
        <v>102334</v>
      </c>
      <c r="AE217" s="1458">
        <f t="array" aca="1" ref="AE217" ca="1">SUM(IF(FERCFP=T217,Forecast7))</f>
        <v>102334</v>
      </c>
      <c r="AF217" s="1458">
        <f t="array" aca="1" ref="AF217" ca="1">SUM(IF(FERCFP=T217,Forecast8))</f>
        <v>102334</v>
      </c>
      <c r="AG217" s="1458">
        <f t="array" aca="1" ref="AG217" ca="1">SUM(IF(FERCFP=T217,Forecast9))</f>
        <v>102334</v>
      </c>
      <c r="AH217" s="1458">
        <f t="array" aca="1" ref="AH217" ca="1">SUM(IF(FERCFP=T217,Forecast10))</f>
        <v>102334</v>
      </c>
      <c r="AI217" s="1458">
        <f t="array" aca="1" ref="AI217" ca="1">SUM(IF(FERCFP=T217,Forecast11))</f>
        <v>102334</v>
      </c>
      <c r="AJ217" s="1458">
        <f t="array" aca="1" ref="AJ217" ca="1">SUM(IF(FERCFP=T217,Forecast12))</f>
        <v>102334</v>
      </c>
      <c r="AK217" s="306">
        <f t="shared" ca="1" si="14"/>
        <v>1228008</v>
      </c>
      <c r="AL217" s="1571"/>
      <c r="AM217" s="1571"/>
      <c r="AN217" s="1571"/>
      <c r="AO217" s="1571"/>
      <c r="AP217" s="1571"/>
      <c r="AQ217" s="1571"/>
      <c r="AR217" s="1571"/>
      <c r="AS217" s="1571"/>
      <c r="AT217" s="1571"/>
      <c r="AU217" s="1571"/>
      <c r="AV217" s="1571"/>
      <c r="AW217" s="1571"/>
      <c r="AX217" s="1571"/>
      <c r="AY217" s="1571"/>
      <c r="AZ217" s="1571"/>
      <c r="BA217" s="1571"/>
      <c r="BB217" s="1571"/>
      <c r="BC217" s="1571"/>
    </row>
    <row r="218" spans="1:55">
      <c r="A218" s="1571"/>
      <c r="B218" s="1571"/>
      <c r="C218" s="1571"/>
      <c r="D218" s="1571"/>
      <c r="E218" s="1571"/>
      <c r="F218" s="1571"/>
      <c r="G218" s="1571"/>
      <c r="H218" s="1571"/>
      <c r="I218" s="1571"/>
      <c r="J218" s="1571"/>
      <c r="K218" s="1571"/>
      <c r="L218" s="1571"/>
      <c r="M218" s="1571"/>
      <c r="N218" s="1571"/>
      <c r="O218" s="1571"/>
      <c r="P218" s="1571"/>
      <c r="Q218" s="1571"/>
      <c r="R218" s="1571"/>
      <c r="S218" s="1571"/>
      <c r="T218" s="1571">
        <f>T142</f>
        <v>456</v>
      </c>
      <c r="U218" s="2741">
        <v>53</v>
      </c>
      <c r="V218" s="1571"/>
      <c r="W218" s="1571" t="s">
        <v>733</v>
      </c>
      <c r="X218" s="1571"/>
      <c r="Y218" s="306">
        <f t="array" aca="1" ref="Y218" ca="1">SUM(IF(FERCFP=T218,Forecast1))</f>
        <v>238705</v>
      </c>
      <c r="Z218" s="306">
        <f t="array" aca="1" ref="Z218" ca="1">SUM(IF(FERCFP=T218,Forecast2))</f>
        <v>238705</v>
      </c>
      <c r="AA218" s="306">
        <f t="array" aca="1" ref="AA218" ca="1">SUM(IF(FERCFP=T218,Forecast3))</f>
        <v>238705</v>
      </c>
      <c r="AB218" s="306">
        <f t="array" aca="1" ref="AB218" ca="1">SUM(IF(FERCFP=T218,forecast4))</f>
        <v>238705</v>
      </c>
      <c r="AC218" s="306">
        <f t="array" aca="1" ref="AC218" ca="1">SUM(IF(FERCFP=T218,Forecast5))</f>
        <v>238705</v>
      </c>
      <c r="AD218" s="306">
        <f t="array" aca="1" ref="AD218" ca="1">SUM(IF(FERCFP=T218,Forecast6))</f>
        <v>238705</v>
      </c>
      <c r="AE218" s="306">
        <f t="array" aca="1" ref="AE218" ca="1">SUM(IF(FERCFP=T218,Forecast7))</f>
        <v>238705</v>
      </c>
      <c r="AF218" s="306">
        <f t="array" aca="1" ref="AF218" ca="1">SUM(IF(FERCFP=T218,Forecast8))</f>
        <v>238705</v>
      </c>
      <c r="AG218" s="306">
        <f t="array" aca="1" ref="AG218" ca="1">SUM(IF(FERCFP=T218,Forecast9))</f>
        <v>238705</v>
      </c>
      <c r="AH218" s="306">
        <f t="array" aca="1" ref="AH218" ca="1">SUM(IF(FERCFP=T218,Forecast10))</f>
        <v>229635</v>
      </c>
      <c r="AI218" s="306">
        <f t="array" aca="1" ref="AI218" ca="1">SUM(IF(FERCFP=T218,Forecast11))</f>
        <v>229635</v>
      </c>
      <c r="AJ218" s="306">
        <f t="array" aca="1" ref="AJ218" ca="1">SUM(IF(FERCFP=T218,Forecast12))</f>
        <v>229635</v>
      </c>
      <c r="AK218" s="306">
        <f t="shared" ca="1" si="14"/>
        <v>2837250</v>
      </c>
      <c r="AL218" s="1571"/>
      <c r="AM218" s="1571"/>
      <c r="AN218" s="1571"/>
      <c r="AO218" s="1571"/>
      <c r="AP218" s="1571"/>
      <c r="AQ218" s="1571"/>
      <c r="AR218" s="1571"/>
      <c r="AS218" s="1571"/>
      <c r="AT218" s="1571"/>
      <c r="AU218" s="1571"/>
      <c r="AV218" s="1571"/>
      <c r="AW218" s="1571"/>
      <c r="AX218" s="1571"/>
      <c r="AY218" s="1571"/>
      <c r="AZ218" s="1571"/>
      <c r="BA218" s="1571"/>
      <c r="BB218" s="1571"/>
      <c r="BC218" s="1571"/>
    </row>
    <row r="219" spans="1:55">
      <c r="A219" s="1571"/>
      <c r="B219" s="1571"/>
      <c r="C219" s="1571"/>
      <c r="D219" s="1571"/>
      <c r="E219" s="1571"/>
      <c r="F219" s="1571"/>
      <c r="G219" s="1571"/>
      <c r="H219" s="1571"/>
      <c r="I219" s="1571"/>
      <c r="J219" s="1571"/>
      <c r="K219" s="1571"/>
      <c r="L219" s="1571"/>
      <c r="M219" s="1571"/>
      <c r="N219" s="1571"/>
      <c r="O219" s="1571"/>
      <c r="P219" s="1571"/>
      <c r="Q219" s="1571"/>
      <c r="R219" s="1571"/>
      <c r="S219" s="1571"/>
      <c r="T219" s="1571">
        <f>T143</f>
        <v>457</v>
      </c>
      <c r="U219" s="2741">
        <v>54</v>
      </c>
      <c r="V219" s="1571"/>
      <c r="W219" s="1571" t="s">
        <v>3227</v>
      </c>
      <c r="X219" s="1571"/>
      <c r="Y219" s="317">
        <f t="array" aca="1" ref="Y219" ca="1">SUM(IF(FERCFP=T219,Forecast1))</f>
        <v>145608</v>
      </c>
      <c r="Z219" s="317">
        <f t="array" aca="1" ref="Z219" ca="1">SUM(IF(FERCFP=T219,Forecast2))</f>
        <v>134405</v>
      </c>
      <c r="AA219" s="317">
        <f t="array" aca="1" ref="AA219" ca="1">SUM(IF(FERCFP=T219,Forecast3))</f>
        <v>153188</v>
      </c>
      <c r="AB219" s="317">
        <f t="array" aca="1" ref="AB219" ca="1">SUM(IF(FERCFP=T219,forecast4))</f>
        <v>175953</v>
      </c>
      <c r="AC219" s="317">
        <f t="array" aca="1" ref="AC219" ca="1">SUM(IF(FERCFP=T219,Forecast5))</f>
        <v>175572</v>
      </c>
      <c r="AD219" s="317">
        <f t="array" aca="1" ref="AD219" ca="1">SUM(IF(FERCFP=T219,Forecast6))</f>
        <v>165738</v>
      </c>
      <c r="AE219" s="317">
        <f t="array" aca="1" ref="AE219" ca="1">SUM(IF(FERCFP=T219,Forecast7))</f>
        <v>137659</v>
      </c>
      <c r="AF219" s="317">
        <f t="array" aca="1" ref="AF219" ca="1">SUM(IF(FERCFP=T219,Forecast8))</f>
        <v>137773</v>
      </c>
      <c r="AG219" s="317">
        <f t="array" aca="1" ref="AG219" ca="1">SUM(IF(FERCFP=T219,Forecast9))</f>
        <v>159048</v>
      </c>
      <c r="AH219" s="317">
        <f t="array" aca="1" ref="AH219" ca="1">SUM(IF(FERCFP=T219,Forecast10))</f>
        <v>177993</v>
      </c>
      <c r="AI219" s="317">
        <f t="array" aca="1" ref="AI219" ca="1">SUM(IF(FERCFP=T219,Forecast11))</f>
        <v>163703</v>
      </c>
      <c r="AJ219" s="317">
        <f t="array" aca="1" ref="AJ219" ca="1">SUM(IF(FERCFP=T219,Forecast12))</f>
        <v>154590</v>
      </c>
      <c r="AK219" s="317">
        <f t="shared" ca="1" si="14"/>
        <v>1881230</v>
      </c>
      <c r="AL219" s="1571"/>
      <c r="AM219" s="1571"/>
      <c r="AN219" s="1571"/>
      <c r="AO219" s="1571"/>
      <c r="AP219" s="1571"/>
      <c r="AQ219" s="1571"/>
      <c r="AR219" s="1571"/>
      <c r="AS219" s="1571"/>
      <c r="AT219" s="1571"/>
      <c r="AU219" s="1571"/>
      <c r="AV219" s="1571"/>
      <c r="AW219" s="1571"/>
      <c r="AX219" s="1571"/>
      <c r="AY219" s="1571"/>
      <c r="AZ219" s="1571"/>
      <c r="BA219" s="1571"/>
      <c r="BB219" s="1571"/>
      <c r="BC219" s="1571"/>
    </row>
    <row r="220" spans="1:55">
      <c r="A220" s="1571"/>
      <c r="B220" s="1571"/>
      <c r="C220" s="1571"/>
      <c r="D220" s="1571"/>
      <c r="E220" s="1571"/>
      <c r="F220" s="1571"/>
      <c r="G220" s="1571"/>
      <c r="H220" s="1571"/>
      <c r="I220" s="1571"/>
      <c r="J220" s="1571"/>
      <c r="K220" s="1571"/>
      <c r="L220" s="1571"/>
      <c r="M220" s="1571"/>
      <c r="N220" s="1571"/>
      <c r="O220" s="1571"/>
      <c r="P220" s="1571"/>
      <c r="Q220" s="1571"/>
      <c r="R220" s="1571"/>
      <c r="S220" s="1571"/>
      <c r="T220" s="1571"/>
      <c r="U220" s="2741">
        <v>55</v>
      </c>
      <c r="V220" s="1571"/>
      <c r="W220" s="1571"/>
      <c r="X220" s="1571"/>
      <c r="Y220" s="1458"/>
      <c r="Z220" s="1458"/>
      <c r="AA220" s="1458"/>
      <c r="AB220" s="1458"/>
      <c r="AC220" s="1458"/>
      <c r="AD220" s="1458"/>
      <c r="AE220" s="1458"/>
      <c r="AF220" s="1458"/>
      <c r="AG220" s="1458"/>
      <c r="AH220" s="1458"/>
      <c r="AI220" s="1458"/>
      <c r="AJ220" s="1458"/>
      <c r="AK220" s="306"/>
      <c r="AL220" s="1571"/>
      <c r="AM220" s="1571"/>
      <c r="AN220" s="1571"/>
      <c r="AO220" s="1571"/>
      <c r="AP220" s="1571"/>
      <c r="AQ220" s="1571"/>
      <c r="AR220" s="1571"/>
      <c r="AS220" s="1571"/>
      <c r="AT220" s="1571"/>
      <c r="AU220" s="1571"/>
      <c r="AV220" s="1571"/>
      <c r="AW220" s="1571"/>
      <c r="AX220" s="1571"/>
      <c r="AY220" s="1571"/>
      <c r="AZ220" s="1571"/>
      <c r="BA220" s="1571"/>
      <c r="BB220" s="1571"/>
      <c r="BC220" s="1571"/>
    </row>
    <row r="221" spans="1:55" ht="13.5" thickBot="1">
      <c r="A221" s="1571"/>
      <c r="B221" s="1571"/>
      <c r="C221" s="1571"/>
      <c r="D221" s="1571"/>
      <c r="E221" s="1571"/>
      <c r="F221" s="1571"/>
      <c r="G221" s="1571"/>
      <c r="H221" s="1571"/>
      <c r="I221" s="1571"/>
      <c r="J221" s="1571"/>
      <c r="K221" s="1571"/>
      <c r="L221" s="1571"/>
      <c r="M221" s="1571"/>
      <c r="N221" s="1571"/>
      <c r="O221" s="1571"/>
      <c r="P221" s="1571"/>
      <c r="Q221" s="1571"/>
      <c r="R221" s="1571"/>
      <c r="S221" s="1571"/>
      <c r="T221" s="1571"/>
      <c r="U221" s="2741">
        <v>56</v>
      </c>
      <c r="V221" s="1571"/>
      <c r="W221" s="1571" t="s">
        <v>1243</v>
      </c>
      <c r="X221" s="1571"/>
      <c r="Y221" s="417">
        <f t="shared" ref="Y221:AK221" ca="1" si="15">SUM(Y167:Y172)+SUM(Y175:Y179)+Y197+SUM(Y200:Y204)+SUM(Y207:Y211)+Y213+SUM(Y215:Y219)</f>
        <v>22746179</v>
      </c>
      <c r="Z221" s="417">
        <f t="shared" ca="1" si="15"/>
        <v>27079763</v>
      </c>
      <c r="AA221" s="417">
        <f t="shared" ca="1" si="15"/>
        <v>30148378</v>
      </c>
      <c r="AB221" s="417">
        <f t="shared" ca="1" si="15"/>
        <v>30721510</v>
      </c>
      <c r="AC221" s="417">
        <f t="shared" ca="1" si="15"/>
        <v>28291294</v>
      </c>
      <c r="AD221" s="417">
        <f t="shared" ca="1" si="15"/>
        <v>24837842</v>
      </c>
      <c r="AE221" s="417">
        <f t="shared" ca="1" si="15"/>
        <v>24404569</v>
      </c>
      <c r="AF221" s="417">
        <f t="shared" ca="1" si="15"/>
        <v>23904280</v>
      </c>
      <c r="AG221" s="417">
        <f t="shared" ca="1" si="15"/>
        <v>25689396</v>
      </c>
      <c r="AH221" s="417">
        <f t="shared" ca="1" si="15"/>
        <v>29773962</v>
      </c>
      <c r="AI221" s="417">
        <f t="shared" ca="1" si="15"/>
        <v>26719778</v>
      </c>
      <c r="AJ221" s="417">
        <f t="shared" ca="1" si="15"/>
        <v>27002003</v>
      </c>
      <c r="AK221" s="417">
        <f t="shared" ca="1" si="15"/>
        <v>321318954</v>
      </c>
      <c r="AL221" s="1571"/>
      <c r="AM221" s="1571"/>
      <c r="AN221" s="1571"/>
      <c r="AO221" s="1571"/>
      <c r="AP221" s="1571"/>
      <c r="AQ221" s="1571"/>
      <c r="AR221" s="1571"/>
      <c r="AS221" s="1571"/>
      <c r="AT221" s="1571"/>
      <c r="AU221" s="1571"/>
      <c r="AV221" s="1571"/>
      <c r="AW221" s="1571"/>
      <c r="AX221" s="1571"/>
      <c r="AY221" s="1571"/>
      <c r="AZ221" s="1571"/>
      <c r="BA221" s="1571"/>
      <c r="BB221" s="1571"/>
      <c r="BC221" s="1571"/>
    </row>
    <row r="222" spans="1:55" ht="13.5" thickTop="1">
      <c r="A222" s="1571"/>
      <c r="B222" s="1571"/>
      <c r="C222" s="1571"/>
      <c r="D222" s="1571"/>
      <c r="E222" s="1571"/>
      <c r="F222" s="1571"/>
      <c r="G222" s="1571"/>
      <c r="H222" s="1571"/>
      <c r="I222" s="1571"/>
      <c r="J222" s="1571"/>
      <c r="K222" s="1571"/>
      <c r="L222" s="1571"/>
      <c r="M222" s="1571"/>
      <c r="N222" s="1571"/>
      <c r="O222" s="1571"/>
      <c r="P222" s="1571"/>
      <c r="Q222" s="1571"/>
      <c r="R222" s="1571"/>
      <c r="S222" s="1571"/>
      <c r="T222" s="1571"/>
      <c r="U222" s="2741"/>
      <c r="V222" s="1571"/>
      <c r="W222" s="1571"/>
      <c r="X222" s="1571"/>
      <c r="Y222" s="1571"/>
      <c r="Z222" s="1458"/>
      <c r="AA222" s="1571"/>
      <c r="AB222" s="1571"/>
      <c r="AC222" s="1571"/>
      <c r="AD222" s="1571"/>
      <c r="AE222" s="1571"/>
      <c r="AF222" s="1571"/>
      <c r="AG222" s="1571"/>
      <c r="AH222" s="1571"/>
      <c r="AI222" s="1571"/>
      <c r="AJ222" s="1571"/>
      <c r="AK222" s="1571"/>
      <c r="AL222" s="1571"/>
      <c r="AM222" s="1571"/>
      <c r="AN222" s="1571"/>
      <c r="AO222" s="1571"/>
      <c r="AP222" s="1571"/>
      <c r="AQ222" s="1571"/>
      <c r="AR222" s="1571"/>
      <c r="AS222" s="1571"/>
      <c r="AT222" s="1571"/>
      <c r="AU222" s="1571"/>
      <c r="AV222" s="1571"/>
      <c r="AW222" s="1571"/>
      <c r="AX222" s="1571"/>
      <c r="AY222" s="1571"/>
      <c r="AZ222" s="1571"/>
      <c r="BA222" s="1571"/>
      <c r="BB222" s="1571"/>
      <c r="BC222" s="1571"/>
    </row>
    <row r="223" spans="1:55">
      <c r="A223" s="1571"/>
      <c r="B223" s="1571"/>
      <c r="C223" s="1571"/>
      <c r="D223" s="1571"/>
      <c r="E223" s="1571"/>
      <c r="F223" s="1571"/>
      <c r="G223" s="1571"/>
      <c r="H223" s="1571"/>
      <c r="I223" s="1571"/>
      <c r="J223" s="1571"/>
      <c r="K223" s="1571"/>
      <c r="L223" s="1571"/>
      <c r="M223" s="1571"/>
      <c r="N223" s="1571"/>
      <c r="O223" s="1571"/>
      <c r="P223" s="1571"/>
      <c r="Q223" s="1571"/>
      <c r="R223" s="1571"/>
      <c r="S223" s="1571"/>
      <c r="T223" s="1571"/>
      <c r="U223" s="1571"/>
      <c r="V223" s="1571"/>
      <c r="W223" s="1571"/>
      <c r="X223" s="1571"/>
      <c r="Y223" s="1458">
        <f>'FORECASTED PERIOD'!F225</f>
        <v>22746179</v>
      </c>
      <c r="Z223" s="1458">
        <f>'FORECASTED PERIOD'!G225</f>
        <v>27079763</v>
      </c>
      <c r="AA223" s="1458">
        <f>'FORECASTED PERIOD'!H225</f>
        <v>30148378</v>
      </c>
      <c r="AB223" s="1458">
        <f>'FORECASTED PERIOD'!I225</f>
        <v>30721510</v>
      </c>
      <c r="AC223" s="1458">
        <f>'FORECASTED PERIOD'!J225</f>
        <v>28291294</v>
      </c>
      <c r="AD223" s="1458">
        <f>'FORECASTED PERIOD'!K225</f>
        <v>24837842</v>
      </c>
      <c r="AE223" s="1458">
        <f>'FORECASTED PERIOD'!L225</f>
        <v>24404569</v>
      </c>
      <c r="AF223" s="1458">
        <f>'FORECASTED PERIOD'!M225</f>
        <v>23904280</v>
      </c>
      <c r="AG223" s="1458">
        <f>'FORECASTED PERIOD'!N225</f>
        <v>25689396</v>
      </c>
      <c r="AH223" s="1458">
        <f>'FORECASTED PERIOD'!O225</f>
        <v>29773962</v>
      </c>
      <c r="AI223" s="1458">
        <f>'FORECASTED PERIOD'!P225</f>
        <v>26719778</v>
      </c>
      <c r="AJ223" s="1458">
        <f>'FORECASTED PERIOD'!Q225</f>
        <v>27002003</v>
      </c>
      <c r="AK223" s="306">
        <f>SUM(Y223:AJ223)</f>
        <v>321318954</v>
      </c>
      <c r="AL223" s="1571"/>
      <c r="AM223" s="1571"/>
      <c r="AN223" s="1571"/>
      <c r="AO223" s="1571"/>
      <c r="AP223" s="1571"/>
      <c r="AQ223" s="1571"/>
      <c r="AR223" s="1571"/>
      <c r="AS223" s="1571"/>
      <c r="AT223" s="1571"/>
      <c r="AU223" s="1571"/>
      <c r="AV223" s="1571"/>
      <c r="AW223" s="1571"/>
      <c r="AX223" s="1571"/>
      <c r="AY223" s="1571"/>
      <c r="AZ223" s="1571"/>
      <c r="BA223" s="1571"/>
      <c r="BB223" s="1571"/>
      <c r="BC223" s="1571"/>
    </row>
    <row r="224" spans="1:55">
      <c r="A224" s="1571"/>
      <c r="B224" s="1571"/>
      <c r="C224" s="1571"/>
      <c r="D224" s="1571"/>
      <c r="E224" s="1571"/>
      <c r="F224" s="1571"/>
      <c r="G224" s="1571"/>
      <c r="H224" s="1571"/>
      <c r="I224" s="1571"/>
      <c r="J224" s="1571"/>
      <c r="K224" s="1571"/>
      <c r="L224" s="1571"/>
      <c r="M224" s="1571"/>
      <c r="N224" s="1571"/>
      <c r="O224" s="1571"/>
      <c r="P224" s="1571"/>
      <c r="Q224" s="1571"/>
      <c r="R224" s="1571"/>
      <c r="S224" s="1571"/>
      <c r="T224" s="1571"/>
      <c r="U224" s="1571"/>
      <c r="V224" s="1571"/>
      <c r="W224" s="1571"/>
      <c r="X224" s="1571"/>
      <c r="Y224" s="1571"/>
      <c r="Z224" s="1458"/>
      <c r="AA224" s="1571"/>
      <c r="AB224" s="1571"/>
      <c r="AC224" s="1571"/>
      <c r="AD224" s="1571"/>
      <c r="AE224" s="1571"/>
      <c r="AF224" s="1571"/>
      <c r="AG224" s="1571"/>
      <c r="AH224" s="1571"/>
      <c r="AI224" s="1571"/>
      <c r="AJ224" s="1571"/>
      <c r="AK224" s="1571"/>
      <c r="AL224" s="1571"/>
      <c r="AM224" s="1571"/>
      <c r="AN224" s="1571"/>
      <c r="AO224" s="1571"/>
      <c r="AP224" s="1571"/>
      <c r="AQ224" s="1571"/>
      <c r="AR224" s="1571"/>
      <c r="AS224" s="1571"/>
      <c r="AT224" s="1571"/>
      <c r="AU224" s="1571"/>
      <c r="AV224" s="1571"/>
      <c r="AW224" s="1571"/>
      <c r="AX224" s="1571"/>
      <c r="AY224" s="1571"/>
      <c r="AZ224" s="1571"/>
      <c r="BA224" s="1571"/>
      <c r="BB224" s="1571"/>
      <c r="BC224" s="1571"/>
    </row>
    <row r="225" spans="1:55" ht="13.5" thickBot="1">
      <c r="A225" s="1571"/>
      <c r="B225" s="1571"/>
      <c r="C225" s="1571"/>
      <c r="D225" s="1571"/>
      <c r="E225" s="1571"/>
      <c r="F225" s="1571"/>
      <c r="G225" s="1571"/>
      <c r="H225" s="1571"/>
      <c r="I225" s="1571"/>
      <c r="J225" s="1571"/>
      <c r="K225" s="1571"/>
      <c r="L225" s="1571"/>
      <c r="M225" s="1571"/>
      <c r="N225" s="1571"/>
      <c r="O225" s="1571"/>
      <c r="P225" s="1571"/>
      <c r="Q225" s="1571"/>
      <c r="R225" s="1571"/>
      <c r="S225" s="1571"/>
      <c r="T225" s="1571"/>
      <c r="U225" s="1571"/>
      <c r="V225" s="1571"/>
      <c r="W225" s="1571"/>
      <c r="X225" s="1571"/>
      <c r="Y225" s="1458">
        <f t="shared" ref="Y225:AI225" ca="1" si="16">Y221-Y223</f>
        <v>0</v>
      </c>
      <c r="Z225" s="1458">
        <f t="shared" ca="1" si="16"/>
        <v>0</v>
      </c>
      <c r="AA225" s="1458">
        <f t="shared" ca="1" si="16"/>
        <v>0</v>
      </c>
      <c r="AB225" s="1458">
        <f t="shared" ca="1" si="16"/>
        <v>0</v>
      </c>
      <c r="AC225" s="1458">
        <f t="shared" ca="1" si="16"/>
        <v>0</v>
      </c>
      <c r="AD225" s="1458">
        <f t="shared" ca="1" si="16"/>
        <v>0</v>
      </c>
      <c r="AE225" s="1458">
        <f t="shared" ca="1" si="16"/>
        <v>0</v>
      </c>
      <c r="AF225" s="1458">
        <f t="shared" ca="1" si="16"/>
        <v>0</v>
      </c>
      <c r="AG225" s="1458">
        <f t="shared" ca="1" si="16"/>
        <v>0</v>
      </c>
      <c r="AH225" s="1458">
        <f t="shared" ca="1" si="16"/>
        <v>0</v>
      </c>
      <c r="AI225" s="1458">
        <f t="shared" ca="1" si="16"/>
        <v>0</v>
      </c>
      <c r="AJ225" s="1458">
        <f ca="1">AJ221-AJ223</f>
        <v>0</v>
      </c>
      <c r="AK225" s="306">
        <f ca="1">SUM(Y225:AJ225)</f>
        <v>0</v>
      </c>
      <c r="AL225" s="1571"/>
      <c r="AM225" s="1571"/>
      <c r="AN225" s="1571"/>
      <c r="AO225" s="1571"/>
      <c r="AP225" s="1571"/>
      <c r="AQ225" s="1571"/>
      <c r="AR225" s="1571"/>
      <c r="AS225" s="1571"/>
      <c r="AT225" s="1571"/>
      <c r="AU225" s="1571"/>
      <c r="AV225" s="1571"/>
      <c r="AW225" s="1571"/>
      <c r="AX225" s="1571"/>
      <c r="AY225" s="1571"/>
      <c r="AZ225" s="1571"/>
      <c r="BA225" s="1571"/>
      <c r="BB225" s="1571"/>
      <c r="BC225" s="1571"/>
    </row>
    <row r="226" spans="1:55">
      <c r="A226" s="1571"/>
      <c r="B226" s="1571"/>
      <c r="C226" s="1571"/>
      <c r="D226" s="1571"/>
      <c r="E226" s="1571"/>
      <c r="F226" s="1571"/>
      <c r="G226" s="1571"/>
      <c r="H226" s="1571"/>
      <c r="I226" s="1571"/>
      <c r="J226" s="1571"/>
      <c r="K226" s="1571"/>
      <c r="L226" s="1571"/>
      <c r="M226" s="1571"/>
      <c r="N226" s="1571"/>
      <c r="O226" s="1571"/>
      <c r="P226" s="1571"/>
      <c r="Q226" s="1571"/>
      <c r="R226" s="1571"/>
      <c r="S226" s="1571"/>
      <c r="T226" s="1571"/>
      <c r="U226" s="1571"/>
      <c r="V226" s="1571"/>
      <c r="W226" s="418" t="s">
        <v>1385</v>
      </c>
      <c r="X226" s="419"/>
      <c r="Y226" s="420">
        <f>ROUND(SUM(Y190:Y194)/'KWH Sales'!$H$27,6)</f>
        <v>-2.4910000000000002E-3</v>
      </c>
      <c r="Z226" s="420">
        <f>ROUND(SUM(Z190:Z194)/'KWH Sales'!H28,6)</f>
        <v>3.2729999999999999E-3</v>
      </c>
      <c r="AA226" s="420">
        <f>ROUND(SUM(AA190:AA194)/'KWH Sales'!H29,6)</f>
        <v>3.2490000000000002E-3</v>
      </c>
      <c r="AB226" s="420">
        <f>ROUND(SUM(AB190:AB194)/'KWH Sales'!H30,6)</f>
        <v>1.35E-4</v>
      </c>
      <c r="AC226" s="420">
        <f>ROUND(SUM(AC190:AC194)/'KWH Sales'!H31,6)</f>
        <v>-2.6480000000000002E-3</v>
      </c>
      <c r="AD226" s="420">
        <f>ROUND(SUM(AD190:AD194)/'KWH Sales'!H32,6)</f>
        <v>-2.32E-3</v>
      </c>
      <c r="AE226" s="420">
        <f>ROUND(SUM(AE190:AE194)/'KWH Sales'!H33,6)</f>
        <v>-2.5860000000000002E-3</v>
      </c>
      <c r="AF226" s="420">
        <f>ROUND(SUM(AF190:AF194)/'KWH Sales'!H34,6)</f>
        <v>-4.084E-3</v>
      </c>
      <c r="AG226" s="420">
        <f>ROUND(SUM(AG190:AG194)/'KWH Sales'!H35,6)</f>
        <v>-4.5909999999999996E-3</v>
      </c>
      <c r="AH226" s="420">
        <f>ROUND(SUM(AH190:AH194)/'KWH Sales'!H36,6)</f>
        <v>-4.4039999999999999E-3</v>
      </c>
      <c r="AI226" s="420">
        <f>ROUND(SUM(AI190:AI194)/'KWH Sales'!H37,6)</f>
        <v>-3.921E-3</v>
      </c>
      <c r="AJ226" s="420">
        <f>ROUND(SUM(AJ190:AJ194)/'KWH Sales'!H38,6)</f>
        <v>-1.7279999999999999E-3</v>
      </c>
      <c r="AK226" s="421">
        <f>ROUND(SUM(AK190:AK194)/'KWH Sales'!H40,6)</f>
        <v>-1.8890000000000001E-3</v>
      </c>
      <c r="AL226" s="1571"/>
      <c r="AM226" s="1571"/>
      <c r="AN226" s="1571"/>
      <c r="AO226" s="1571"/>
      <c r="AP226" s="1571"/>
      <c r="AQ226" s="1571"/>
      <c r="AR226" s="1571"/>
      <c r="AS226" s="1571"/>
      <c r="AT226" s="1571"/>
      <c r="AU226" s="1571"/>
      <c r="AV226" s="1571"/>
      <c r="AW226" s="1571"/>
      <c r="AX226" s="1571"/>
      <c r="AY226" s="1571"/>
      <c r="AZ226" s="1571"/>
      <c r="BA226" s="1571"/>
      <c r="BB226" s="1571"/>
      <c r="BC226" s="1571"/>
    </row>
    <row r="227" spans="1:55">
      <c r="A227" s="1571"/>
      <c r="B227" s="1571"/>
      <c r="C227" s="1571"/>
      <c r="D227" s="1571"/>
      <c r="E227" s="1571"/>
      <c r="F227" s="1571"/>
      <c r="G227" s="1571"/>
      <c r="H227" s="1571"/>
      <c r="I227" s="1571"/>
      <c r="J227" s="1571"/>
      <c r="K227" s="1571"/>
      <c r="L227" s="1571"/>
      <c r="M227" s="1571"/>
      <c r="N227" s="1571"/>
      <c r="O227" s="1571"/>
      <c r="P227" s="1571"/>
      <c r="Q227" s="1571"/>
      <c r="R227" s="1571"/>
      <c r="S227" s="1571"/>
      <c r="T227" s="1571"/>
      <c r="U227" s="1571"/>
      <c r="V227" s="1571"/>
      <c r="W227" s="422" t="s">
        <v>1386</v>
      </c>
      <c r="X227" s="234"/>
      <c r="Y227" s="423">
        <f>ROUND(SUM(Y182:Y186)/'KWH Sales'!$H$27,6)</f>
        <v>2.8334000000000002E-2</v>
      </c>
      <c r="Z227" s="423">
        <f>ROUND(SUM(Z182:Z186)/'KWH Sales'!H28,6)</f>
        <v>2.5937999999999999E-2</v>
      </c>
      <c r="AA227" s="423">
        <f>ROUND(SUM(AA182:AA186)/'KWH Sales'!H29,6)</f>
        <v>2.4107E-2</v>
      </c>
      <c r="AB227" s="423">
        <f>ROUND(SUM(AB182:AB186)/'KWH Sales'!H30,6)</f>
        <v>2.4185000000000002E-2</v>
      </c>
      <c r="AC227" s="423">
        <f>ROUND(SUM(AC182:AC186)/'KWH Sales'!H31,6)</f>
        <v>2.6816E-2</v>
      </c>
      <c r="AD227" s="423">
        <f>ROUND(SUM(AD182:AD186)/'KWH Sales'!H32,6)</f>
        <v>2.453E-2</v>
      </c>
      <c r="AE227" s="423">
        <f>ROUND(SUM(AE182:AE186)/'KWH Sales'!H33,6)</f>
        <v>2.3303000000000001E-2</v>
      </c>
      <c r="AF227" s="423">
        <f>ROUND(SUM(AF182:AF186)/'KWH Sales'!H34,6)</f>
        <v>2.5610999999999998E-2</v>
      </c>
      <c r="AG227" s="423">
        <f>ROUND(SUM(AG182:AG186)/'KWH Sales'!H35,6)</f>
        <v>2.4014000000000001E-2</v>
      </c>
      <c r="AH227" s="423">
        <f>ROUND(SUM(AH182:AH186)/'KWH Sales'!H36,6)</f>
        <v>2.5828E-2</v>
      </c>
      <c r="AI227" s="423">
        <f>ROUND(SUM(AI182:AI186)/'KWH Sales'!H37,6)</f>
        <v>2.5387E-2</v>
      </c>
      <c r="AJ227" s="423">
        <f>ROUND(SUM(AJ182:AJ186)/'KWH Sales'!H38,6)</f>
        <v>2.9585E-2</v>
      </c>
      <c r="AK227" s="1455">
        <f>ROUND(SUM(AK182:AK186)/'KWH Sales'!H40,6)</f>
        <v>2.5513000000000001E-2</v>
      </c>
      <c r="AL227" s="1571"/>
      <c r="AM227" s="1571"/>
      <c r="AN227" s="1571"/>
      <c r="AO227" s="1571"/>
      <c r="AP227" s="1571"/>
      <c r="AQ227" s="1571"/>
      <c r="AR227" s="1571"/>
      <c r="AS227" s="1571"/>
      <c r="AT227" s="1571"/>
      <c r="AU227" s="1571"/>
      <c r="AV227" s="1571"/>
      <c r="AW227" s="1571"/>
      <c r="AX227" s="1571"/>
      <c r="AY227" s="1571"/>
      <c r="AZ227" s="1571"/>
      <c r="BA227" s="1571"/>
      <c r="BB227" s="1571"/>
      <c r="BC227" s="1571"/>
    </row>
    <row r="228" spans="1:55" ht="13.5" thickBot="1">
      <c r="A228" s="1571"/>
      <c r="B228" s="1571"/>
      <c r="C228" s="1571"/>
      <c r="D228" s="1571"/>
      <c r="E228" s="1571"/>
      <c r="F228" s="1571"/>
      <c r="G228" s="1571"/>
      <c r="H228" s="1571"/>
      <c r="I228" s="1571"/>
      <c r="J228" s="1571"/>
      <c r="K228" s="1571"/>
      <c r="L228" s="1571"/>
      <c r="M228" s="1571"/>
      <c r="N228" s="1571"/>
      <c r="O228" s="1571"/>
      <c r="P228" s="1571"/>
      <c r="Q228" s="1571"/>
      <c r="R228" s="1571"/>
      <c r="S228" s="1571"/>
      <c r="T228" s="1571"/>
      <c r="U228" s="1571"/>
      <c r="V228" s="1571"/>
      <c r="W228" s="424" t="s">
        <v>1384</v>
      </c>
      <c r="X228" s="425"/>
      <c r="Y228" s="426">
        <f>Y226+Y227</f>
        <v>2.5843000000000001E-2</v>
      </c>
      <c r="Z228" s="426">
        <f t="shared" ref="Z228:AK228" si="17">Z226+Z227</f>
        <v>2.9211000000000001E-2</v>
      </c>
      <c r="AA228" s="426">
        <f t="shared" si="17"/>
        <v>2.7355999999999998E-2</v>
      </c>
      <c r="AB228" s="426">
        <f t="shared" si="17"/>
        <v>2.4320000000000001E-2</v>
      </c>
      <c r="AC228" s="426">
        <f t="shared" si="17"/>
        <v>2.4167999999999999E-2</v>
      </c>
      <c r="AD228" s="426">
        <f t="shared" si="17"/>
        <v>2.2210000000000001E-2</v>
      </c>
      <c r="AE228" s="426">
        <f t="shared" si="17"/>
        <v>2.0716999999999999E-2</v>
      </c>
      <c r="AF228" s="426">
        <f t="shared" si="17"/>
        <v>2.1526999999999998E-2</v>
      </c>
      <c r="AG228" s="426">
        <f t="shared" si="17"/>
        <v>1.9423000000000003E-2</v>
      </c>
      <c r="AH228" s="426">
        <f t="shared" si="17"/>
        <v>2.1423999999999999E-2</v>
      </c>
      <c r="AI228" s="426">
        <f t="shared" si="17"/>
        <v>2.1465999999999999E-2</v>
      </c>
      <c r="AJ228" s="426">
        <f t="shared" si="17"/>
        <v>2.7857E-2</v>
      </c>
      <c r="AK228" s="427">
        <f t="shared" si="17"/>
        <v>2.3623999999999999E-2</v>
      </c>
      <c r="AL228" s="1571"/>
      <c r="AM228" s="1571"/>
      <c r="AN228" s="1571"/>
      <c r="AO228" s="1571"/>
      <c r="AP228" s="1571"/>
      <c r="AQ228" s="1571"/>
      <c r="AR228" s="1571"/>
      <c r="AS228" s="1571"/>
      <c r="AT228" s="1571"/>
      <c r="AU228" s="1571"/>
      <c r="AV228" s="1571"/>
      <c r="AW228" s="1571"/>
      <c r="AX228" s="1571"/>
      <c r="AY228" s="1571"/>
      <c r="AZ228" s="1571"/>
      <c r="BA228" s="1571"/>
      <c r="BB228" s="1571"/>
      <c r="BC228" s="1571"/>
    </row>
    <row r="229" spans="1:55">
      <c r="A229" s="1571"/>
      <c r="B229" s="1571"/>
      <c r="C229" s="1571"/>
      <c r="D229" s="1571"/>
      <c r="E229" s="1571"/>
      <c r="F229" s="1571"/>
      <c r="G229" s="1571"/>
      <c r="H229" s="1571"/>
      <c r="I229" s="1571"/>
      <c r="J229" s="1571"/>
      <c r="K229" s="1571"/>
      <c r="L229" s="1571"/>
      <c r="M229" s="1571"/>
      <c r="N229" s="1571"/>
      <c r="O229" s="1571"/>
      <c r="P229" s="1571"/>
      <c r="Q229" s="1571"/>
      <c r="R229" s="1571"/>
      <c r="S229" s="1571"/>
      <c r="T229" s="1571"/>
      <c r="U229" s="1571"/>
      <c r="V229" s="1571"/>
      <c r="W229" s="1571"/>
      <c r="X229" s="1571"/>
      <c r="Y229" s="1571"/>
      <c r="Z229" s="1571"/>
      <c r="AA229" s="1571"/>
      <c r="AB229" s="1571"/>
      <c r="AC229" s="1571"/>
      <c r="AD229" s="1571"/>
      <c r="AE229" s="1571"/>
      <c r="AF229" s="1571"/>
      <c r="AG229" s="1571"/>
      <c r="AH229" s="1571"/>
      <c r="AI229" s="1571"/>
      <c r="AJ229" s="1571"/>
      <c r="AK229" s="1571"/>
      <c r="AL229" s="1571"/>
      <c r="AM229" s="1571"/>
      <c r="AN229" s="1571"/>
      <c r="AO229" s="1571"/>
      <c r="AP229" s="1571"/>
      <c r="AQ229" s="1571"/>
      <c r="AR229" s="1571"/>
      <c r="AS229" s="1571"/>
      <c r="AT229" s="1571"/>
      <c r="AU229" s="1571"/>
      <c r="AV229" s="1571"/>
      <c r="AW229" s="1571"/>
      <c r="AX229" s="1571"/>
      <c r="AY229" s="1571"/>
      <c r="AZ229" s="1571"/>
      <c r="BA229" s="1571"/>
      <c r="BB229" s="1571"/>
      <c r="BC229" s="1571"/>
    </row>
    <row r="230" spans="1:55">
      <c r="A230" s="1571"/>
      <c r="B230" s="1571"/>
      <c r="C230" s="1571"/>
      <c r="D230" s="1571"/>
      <c r="E230" s="1571"/>
      <c r="F230" s="1571"/>
      <c r="G230" s="1571"/>
      <c r="H230" s="1571"/>
      <c r="I230" s="1571"/>
      <c r="J230" s="1571"/>
      <c r="K230" s="1571"/>
      <c r="L230" s="1571"/>
      <c r="M230" s="1571"/>
      <c r="N230" s="1571"/>
      <c r="O230" s="1571"/>
      <c r="P230" s="1571"/>
      <c r="Q230" s="1571"/>
      <c r="R230" s="1571"/>
      <c r="S230" s="1571"/>
      <c r="T230" s="1571"/>
      <c r="U230" s="1571"/>
      <c r="V230" s="1571"/>
      <c r="W230" s="1571"/>
      <c r="X230" s="1571"/>
      <c r="Y230" s="1458"/>
      <c r="Z230" s="1458"/>
      <c r="AA230" s="1458"/>
      <c r="AB230" s="1458"/>
      <c r="AC230" s="1458"/>
      <c r="AD230" s="1458"/>
      <c r="AE230" s="1458"/>
      <c r="AF230" s="1458"/>
      <c r="AG230" s="1458"/>
      <c r="AH230" s="1458"/>
      <c r="AI230" s="1458"/>
      <c r="AJ230" s="1458"/>
      <c r="AK230" s="1458"/>
      <c r="AL230" s="1571"/>
      <c r="AM230" s="1571"/>
      <c r="AN230" s="1571"/>
      <c r="AO230" s="1571"/>
      <c r="AP230" s="1571"/>
      <c r="AQ230" s="1571"/>
      <c r="AR230" s="1571"/>
      <c r="AS230" s="1571"/>
      <c r="AT230" s="1571"/>
      <c r="AU230" s="1571"/>
      <c r="AV230" s="1571"/>
      <c r="AW230" s="1571"/>
      <c r="AX230" s="1571"/>
      <c r="AY230" s="1571"/>
      <c r="AZ230" s="1571"/>
      <c r="BA230" s="1571"/>
      <c r="BB230" s="1571"/>
      <c r="BC230" s="1571"/>
    </row>
    <row r="231" spans="1:55">
      <c r="A231" s="1571"/>
      <c r="B231" s="1571"/>
      <c r="C231" s="1571"/>
      <c r="D231" s="1571"/>
      <c r="E231" s="1571"/>
      <c r="F231" s="1571"/>
      <c r="G231" s="1571"/>
      <c r="H231" s="1571"/>
      <c r="I231" s="1571"/>
      <c r="J231" s="1571"/>
      <c r="K231" s="1571"/>
      <c r="L231" s="1571"/>
      <c r="M231" s="1571"/>
      <c r="N231" s="1571"/>
      <c r="O231" s="1571"/>
      <c r="P231" s="1571"/>
      <c r="Q231" s="1571"/>
      <c r="R231" s="1571"/>
      <c r="S231" s="1571"/>
      <c r="T231" s="1571"/>
      <c r="U231" s="1571"/>
      <c r="V231" s="1571"/>
      <c r="W231" s="413"/>
      <c r="X231" s="1571"/>
      <c r="Y231" s="1458"/>
      <c r="Z231" s="1458"/>
      <c r="AA231" s="1458"/>
      <c r="AB231" s="1458"/>
      <c r="AC231" s="1458"/>
      <c r="AD231" s="1458"/>
      <c r="AE231" s="1458"/>
      <c r="AF231" s="1458"/>
      <c r="AG231" s="1458"/>
      <c r="AH231" s="1458"/>
      <c r="AI231" s="1458"/>
      <c r="AJ231" s="1458"/>
      <c r="AK231" s="1458"/>
      <c r="AL231" s="1571"/>
      <c r="AM231" s="1571"/>
      <c r="AN231" s="1571"/>
      <c r="AO231" s="1571"/>
      <c r="AP231" s="1571"/>
      <c r="AQ231" s="1571"/>
      <c r="AR231" s="1571"/>
      <c r="AS231" s="1571"/>
      <c r="AT231" s="1571"/>
      <c r="AU231" s="1571"/>
      <c r="AV231" s="1571"/>
      <c r="AW231" s="1571"/>
      <c r="AX231" s="1571"/>
      <c r="AY231" s="1571"/>
      <c r="AZ231" s="1571"/>
      <c r="BA231" s="1571"/>
      <c r="BB231" s="1571"/>
      <c r="BC231" s="1571"/>
    </row>
    <row r="232" spans="1:55">
      <c r="A232" s="1571"/>
      <c r="B232" s="1571"/>
      <c r="C232" s="1571"/>
      <c r="D232" s="1571"/>
      <c r="E232" s="1571"/>
      <c r="F232" s="1571"/>
      <c r="G232" s="1571"/>
      <c r="H232" s="1571"/>
      <c r="I232" s="1571"/>
      <c r="J232" s="1571"/>
      <c r="K232" s="1571"/>
      <c r="L232" s="1571"/>
      <c r="M232" s="1571"/>
      <c r="N232" s="1571"/>
      <c r="O232" s="1571"/>
      <c r="P232" s="1571"/>
      <c r="Q232" s="1571"/>
      <c r="R232" s="1571"/>
      <c r="S232" s="1571"/>
      <c r="T232" s="1571"/>
      <c r="U232" s="1571"/>
      <c r="V232" s="1571"/>
      <c r="W232" s="413"/>
      <c r="X232" s="1571"/>
      <c r="Y232" s="1458"/>
      <c r="Z232" s="1458"/>
      <c r="AA232" s="1458"/>
      <c r="AB232" s="1458"/>
      <c r="AC232" s="1458"/>
      <c r="AD232" s="1458"/>
      <c r="AE232" s="1458"/>
      <c r="AF232" s="1458"/>
      <c r="AG232" s="1458"/>
      <c r="AH232" s="1458"/>
      <c r="AI232" s="1458"/>
      <c r="AJ232" s="1458"/>
      <c r="AK232" s="1458"/>
      <c r="AL232" s="1571"/>
      <c r="AM232" s="1571"/>
      <c r="AN232" s="1571"/>
      <c r="AO232" s="1571"/>
      <c r="AP232" s="1571"/>
      <c r="AQ232" s="1571"/>
      <c r="AR232" s="1571"/>
      <c r="AS232" s="1571"/>
      <c r="AT232" s="1571"/>
      <c r="AU232" s="1571"/>
      <c r="AV232" s="1571"/>
      <c r="AW232" s="1571"/>
      <c r="AX232" s="1571"/>
      <c r="AY232" s="1571"/>
      <c r="AZ232" s="1571"/>
      <c r="BA232" s="1571"/>
      <c r="BB232" s="1571"/>
      <c r="BC232" s="1571"/>
    </row>
    <row r="233" spans="1:55">
      <c r="A233" s="1571"/>
      <c r="B233" s="1571"/>
      <c r="C233" s="1571"/>
      <c r="D233" s="1571"/>
      <c r="E233" s="1571"/>
      <c r="F233" s="1571"/>
      <c r="G233" s="1571"/>
      <c r="H233" s="1571"/>
      <c r="I233" s="1571"/>
      <c r="J233" s="1571"/>
      <c r="K233" s="1571"/>
      <c r="L233" s="1571"/>
      <c r="M233" s="1571"/>
      <c r="N233" s="1571"/>
      <c r="O233" s="1571"/>
      <c r="P233" s="1571"/>
      <c r="Q233" s="1571"/>
      <c r="R233" s="1571"/>
      <c r="S233" s="1571"/>
      <c r="T233" s="1571"/>
      <c r="U233" s="1571"/>
      <c r="V233" s="1571"/>
      <c r="W233" s="413"/>
      <c r="X233" s="1571"/>
      <c r="Y233" s="1571"/>
      <c r="Z233" s="1571"/>
      <c r="AA233" s="1571"/>
      <c r="AB233" s="1571"/>
      <c r="AC233" s="1571"/>
      <c r="AD233" s="1571"/>
      <c r="AE233" s="1458"/>
      <c r="AF233" s="1571"/>
      <c r="AG233" s="1571"/>
      <c r="AH233" s="1571"/>
      <c r="AI233" s="1571"/>
      <c r="AJ233" s="1571"/>
      <c r="AK233" s="1571"/>
      <c r="AL233" s="1571"/>
      <c r="AM233" s="1571"/>
      <c r="AN233" s="1571"/>
      <c r="AO233" s="1571"/>
      <c r="AP233" s="1571"/>
      <c r="AQ233" s="1571"/>
      <c r="AR233" s="1571"/>
      <c r="AS233" s="1571"/>
      <c r="AT233" s="1571"/>
      <c r="AU233" s="1571"/>
      <c r="AV233" s="1571"/>
      <c r="AW233" s="1571"/>
      <c r="AX233" s="1571"/>
      <c r="AY233" s="1571"/>
      <c r="AZ233" s="1571"/>
      <c r="BA233" s="1571"/>
      <c r="BB233" s="1571"/>
      <c r="BC233" s="1571"/>
    </row>
    <row r="234" spans="1:55">
      <c r="A234" s="1571"/>
      <c r="B234" s="1571"/>
      <c r="C234" s="1571"/>
      <c r="D234" s="1571"/>
      <c r="E234" s="1571"/>
      <c r="F234" s="1571"/>
      <c r="G234" s="1571"/>
      <c r="H234" s="1571"/>
      <c r="I234" s="1571"/>
      <c r="J234" s="1571"/>
      <c r="K234" s="1571"/>
      <c r="L234" s="1571"/>
      <c r="M234" s="1571"/>
      <c r="N234" s="1571"/>
      <c r="O234" s="1571"/>
      <c r="P234" s="1571"/>
      <c r="Q234" s="1571"/>
      <c r="R234" s="1571"/>
      <c r="S234" s="1571"/>
      <c r="T234" s="1571"/>
      <c r="U234" s="1571"/>
      <c r="V234" s="1571"/>
      <c r="W234" s="413"/>
      <c r="X234" s="1571"/>
      <c r="Y234" s="1571"/>
      <c r="Z234" s="1571"/>
      <c r="AA234" s="1571"/>
      <c r="AB234" s="1571"/>
      <c r="AC234" s="1571"/>
      <c r="AD234" s="1571"/>
      <c r="AE234" s="1458"/>
      <c r="AF234" s="1571"/>
      <c r="AG234" s="1571"/>
      <c r="AH234" s="1571"/>
      <c r="AI234" s="1571"/>
      <c r="AJ234" s="1571"/>
      <c r="AK234" s="1571"/>
      <c r="AL234" s="1571"/>
      <c r="AM234" s="1571"/>
      <c r="AN234" s="1571"/>
      <c r="AO234" s="1571"/>
      <c r="AP234" s="1571"/>
      <c r="AQ234" s="1571"/>
      <c r="AR234" s="1571"/>
      <c r="AS234" s="1571"/>
      <c r="AT234" s="1571"/>
      <c r="AU234" s="1571"/>
      <c r="AV234" s="1571"/>
      <c r="AW234" s="1571"/>
      <c r="AX234" s="1571"/>
      <c r="AY234" s="1571"/>
      <c r="AZ234" s="1571"/>
      <c r="BA234" s="1571"/>
      <c r="BB234" s="1571"/>
      <c r="BC234" s="1571"/>
    </row>
    <row r="235" spans="1:55">
      <c r="A235" s="1571"/>
      <c r="B235" s="1571"/>
      <c r="C235" s="1571"/>
      <c r="D235" s="1571"/>
      <c r="E235" s="1571"/>
      <c r="F235" s="1571"/>
      <c r="G235" s="1571"/>
      <c r="H235" s="1571"/>
      <c r="I235" s="1571"/>
      <c r="J235" s="1571"/>
      <c r="K235" s="1571"/>
      <c r="L235" s="1571"/>
      <c r="M235" s="1571"/>
      <c r="N235" s="1571"/>
      <c r="O235" s="1571"/>
      <c r="P235" s="1571"/>
      <c r="Q235" s="1571"/>
      <c r="R235" s="1571"/>
      <c r="S235" s="1571"/>
      <c r="T235" s="1571"/>
      <c r="U235" s="1571"/>
      <c r="V235" s="1571"/>
      <c r="W235" s="413"/>
      <c r="X235" s="1571"/>
      <c r="Y235" s="1571"/>
      <c r="Z235" s="1571"/>
      <c r="AA235" s="1571"/>
      <c r="AB235" s="1571"/>
      <c r="AC235" s="1571"/>
      <c r="AD235" s="1571"/>
      <c r="AE235" s="1458"/>
      <c r="AF235" s="1571"/>
      <c r="AG235" s="1571"/>
      <c r="AH235" s="1571"/>
      <c r="AI235" s="1571"/>
      <c r="AJ235" s="1571"/>
      <c r="AK235" s="1571"/>
      <c r="AL235" s="1571"/>
      <c r="AM235" s="1571"/>
      <c r="AN235" s="1571"/>
      <c r="AO235" s="1571"/>
      <c r="AP235" s="1571"/>
      <c r="AQ235" s="1571"/>
      <c r="AR235" s="1571"/>
      <c r="AS235" s="1571"/>
      <c r="AT235" s="1571"/>
      <c r="AU235" s="1571"/>
      <c r="AV235" s="1571"/>
      <c r="AW235" s="1571"/>
      <c r="AX235" s="1571"/>
      <c r="AY235" s="1571"/>
      <c r="AZ235" s="1571"/>
      <c r="BA235" s="1571"/>
      <c r="BB235" s="1571"/>
      <c r="BC235" s="1571"/>
    </row>
    <row r="236" spans="1:55">
      <c r="A236" s="1571"/>
      <c r="B236" s="1571"/>
      <c r="C236" s="1571"/>
      <c r="D236" s="1571"/>
      <c r="E236" s="1571"/>
      <c r="F236" s="1571"/>
      <c r="G236" s="1571"/>
      <c r="H236" s="1571"/>
      <c r="I236" s="1571"/>
      <c r="J236" s="1571"/>
      <c r="K236" s="1571"/>
      <c r="L236" s="1571"/>
      <c r="M236" s="1571"/>
      <c r="N236" s="1571"/>
      <c r="O236" s="1571"/>
      <c r="P236" s="1571"/>
      <c r="Q236" s="1571"/>
      <c r="R236" s="1571"/>
      <c r="S236" s="1571"/>
      <c r="T236" s="1571"/>
      <c r="U236" s="1571"/>
      <c r="V236" s="1571"/>
      <c r="W236" s="413"/>
      <c r="X236" s="1571"/>
      <c r="Y236" s="1458"/>
      <c r="Z236" s="1458"/>
      <c r="AA236" s="1458"/>
      <c r="AB236" s="1458"/>
      <c r="AC236" s="1458"/>
      <c r="AD236" s="1458"/>
      <c r="AE236" s="1458"/>
      <c r="AF236" s="1458"/>
      <c r="AG236" s="1458"/>
      <c r="AH236" s="1458"/>
      <c r="AI236" s="1458"/>
      <c r="AJ236" s="1458"/>
      <c r="AK236" s="1458"/>
      <c r="AL236" s="1571"/>
      <c r="AM236" s="1571"/>
      <c r="AN236" s="1571"/>
      <c r="AO236" s="1571"/>
      <c r="AP236" s="1571"/>
      <c r="AQ236" s="1571"/>
      <c r="AR236" s="1571"/>
      <c r="AS236" s="1571"/>
      <c r="AT236" s="1571"/>
      <c r="AU236" s="1571"/>
      <c r="AV236" s="1571"/>
      <c r="AW236" s="1571"/>
      <c r="AX236" s="1571"/>
      <c r="AY236" s="1571"/>
      <c r="AZ236" s="1571"/>
      <c r="BA236" s="1571"/>
      <c r="BB236" s="1571"/>
      <c r="BC236" s="1571"/>
    </row>
    <row r="237" spans="1:55">
      <c r="A237" s="1571"/>
      <c r="B237" s="1571"/>
      <c r="C237" s="1571"/>
      <c r="D237" s="1571"/>
      <c r="E237" s="1571"/>
      <c r="F237" s="1571"/>
      <c r="G237" s="1571"/>
      <c r="H237" s="1571"/>
      <c r="I237" s="1571"/>
      <c r="J237" s="1571"/>
      <c r="K237" s="1571"/>
      <c r="L237" s="1571"/>
      <c r="M237" s="1571"/>
      <c r="N237" s="1571"/>
      <c r="O237" s="1571"/>
      <c r="P237" s="1571"/>
      <c r="Q237" s="1571"/>
      <c r="R237" s="1571"/>
      <c r="S237" s="1571"/>
      <c r="T237" s="1571"/>
      <c r="U237" s="1571"/>
      <c r="V237" s="1571"/>
      <c r="W237" s="413"/>
      <c r="X237" s="1571"/>
      <c r="Y237" s="1458"/>
      <c r="Z237" s="1458"/>
      <c r="AA237" s="1458"/>
      <c r="AB237" s="1458"/>
      <c r="AC237" s="1458"/>
      <c r="AD237" s="1458"/>
      <c r="AE237" s="1458"/>
      <c r="AF237" s="1458"/>
      <c r="AG237" s="1458"/>
      <c r="AH237" s="1458"/>
      <c r="AI237" s="1458"/>
      <c r="AJ237" s="1458"/>
      <c r="AK237" s="1458"/>
      <c r="AL237" s="1571"/>
      <c r="AM237" s="1571"/>
      <c r="AN237" s="1571"/>
      <c r="AO237" s="1571"/>
      <c r="AP237" s="1571"/>
      <c r="AQ237" s="1571"/>
      <c r="AR237" s="1571"/>
      <c r="AS237" s="1571"/>
      <c r="AT237" s="1571"/>
      <c r="AU237" s="1571"/>
      <c r="AV237" s="1571"/>
      <c r="AW237" s="1571"/>
      <c r="AX237" s="1571"/>
      <c r="AY237" s="1571"/>
      <c r="AZ237" s="1571"/>
      <c r="BA237" s="1571"/>
      <c r="BB237" s="1571"/>
      <c r="BC237" s="1571"/>
    </row>
    <row r="238" spans="1:55">
      <c r="A238" s="1571"/>
      <c r="B238" s="1571"/>
      <c r="C238" s="1571"/>
      <c r="D238" s="1571"/>
      <c r="E238" s="1571"/>
      <c r="F238" s="1571"/>
      <c r="G238" s="1571"/>
      <c r="H238" s="1571"/>
      <c r="I238" s="1571"/>
      <c r="J238" s="1571"/>
      <c r="K238" s="1571"/>
      <c r="L238" s="1571"/>
      <c r="M238" s="1571"/>
      <c r="N238" s="1571"/>
      <c r="O238" s="1571"/>
      <c r="P238" s="1571"/>
      <c r="Q238" s="1571"/>
      <c r="R238" s="1571"/>
      <c r="S238" s="1571"/>
      <c r="T238" s="1571"/>
      <c r="U238" s="1571"/>
      <c r="V238" s="1571"/>
      <c r="W238" s="413"/>
      <c r="X238" s="1571"/>
      <c r="Y238" s="1458"/>
      <c r="Z238" s="1458"/>
      <c r="AA238" s="1458"/>
      <c r="AB238" s="1458"/>
      <c r="AC238" s="1458"/>
      <c r="AD238" s="1458"/>
      <c r="AE238" s="1458"/>
      <c r="AF238" s="1458"/>
      <c r="AG238" s="1458"/>
      <c r="AH238" s="1458"/>
      <c r="AI238" s="1458"/>
      <c r="AJ238" s="1458"/>
      <c r="AK238" s="1458"/>
      <c r="AL238" s="1571"/>
      <c r="AM238" s="1571"/>
      <c r="AN238" s="1571"/>
      <c r="AO238" s="1571"/>
      <c r="AP238" s="1571"/>
      <c r="AQ238" s="1571"/>
      <c r="AR238" s="1571"/>
      <c r="AS238" s="1571"/>
      <c r="AT238" s="1571"/>
      <c r="AU238" s="1571"/>
      <c r="AV238" s="1571"/>
      <c r="AW238" s="1571"/>
      <c r="AX238" s="1571"/>
      <c r="AY238" s="1571"/>
      <c r="AZ238" s="1571"/>
      <c r="BA238" s="1571"/>
      <c r="BB238" s="1571"/>
      <c r="BC238" s="1571"/>
    </row>
    <row r="239" spans="1:55">
      <c r="A239" s="1571"/>
      <c r="B239" s="1571"/>
      <c r="C239" s="1571"/>
      <c r="D239" s="1571"/>
      <c r="E239" s="1571"/>
      <c r="F239" s="1571"/>
      <c r="G239" s="1571"/>
      <c r="H239" s="1571"/>
      <c r="I239" s="1571"/>
      <c r="J239" s="1571"/>
      <c r="K239" s="1571"/>
      <c r="L239" s="1571"/>
      <c r="M239" s="1571"/>
      <c r="N239" s="1571"/>
      <c r="O239" s="1571"/>
      <c r="P239" s="1571"/>
      <c r="Q239" s="1571"/>
      <c r="R239" s="1571"/>
      <c r="S239" s="1571"/>
      <c r="T239" s="1571"/>
      <c r="U239" s="1571"/>
      <c r="V239" s="1571"/>
      <c r="W239" s="413"/>
      <c r="X239" s="1571"/>
      <c r="Y239" s="1458"/>
      <c r="Z239" s="1458"/>
      <c r="AA239" s="1458"/>
      <c r="AB239" s="1458"/>
      <c r="AC239" s="1458"/>
      <c r="AD239" s="1458"/>
      <c r="AE239" s="1458"/>
      <c r="AF239" s="1458"/>
      <c r="AG239" s="1458"/>
      <c r="AH239" s="1458"/>
      <c r="AI239" s="1458"/>
      <c r="AJ239" s="1458"/>
      <c r="AK239" s="1458"/>
      <c r="AL239" s="1571"/>
      <c r="AM239" s="1571"/>
      <c r="AN239" s="1571"/>
      <c r="AO239" s="1571"/>
      <c r="AP239" s="1571"/>
      <c r="AQ239" s="1571"/>
      <c r="AR239" s="1571"/>
      <c r="AS239" s="1571"/>
      <c r="AT239" s="1571"/>
      <c r="AU239" s="1571"/>
      <c r="AV239" s="1571"/>
      <c r="AW239" s="1571"/>
      <c r="AX239" s="1571"/>
      <c r="AY239" s="1571"/>
      <c r="AZ239" s="1571"/>
      <c r="BA239" s="1571"/>
      <c r="BB239" s="1571"/>
      <c r="BC239" s="1571"/>
    </row>
    <row r="240" spans="1:55">
      <c r="A240" s="1571"/>
      <c r="B240" s="1571"/>
      <c r="C240" s="1571"/>
      <c r="D240" s="1571"/>
      <c r="E240" s="1571"/>
      <c r="F240" s="1571"/>
      <c r="G240" s="1571"/>
      <c r="H240" s="1571"/>
      <c r="I240" s="1571"/>
      <c r="J240" s="1571"/>
      <c r="K240" s="1571"/>
      <c r="L240" s="1571"/>
      <c r="M240" s="1571"/>
      <c r="N240" s="1571"/>
      <c r="O240" s="1571"/>
      <c r="P240" s="1571"/>
      <c r="Q240" s="1571"/>
      <c r="R240" s="1571"/>
      <c r="S240" s="1571"/>
      <c r="T240" s="1571"/>
      <c r="U240" s="1571"/>
      <c r="V240" s="1571"/>
      <c r="W240" s="413"/>
      <c r="X240" s="1571"/>
      <c r="Y240" s="1458"/>
      <c r="Z240" s="1458"/>
      <c r="AA240" s="1458"/>
      <c r="AB240" s="1458"/>
      <c r="AC240" s="1458"/>
      <c r="AD240" s="1458"/>
      <c r="AE240" s="1458"/>
      <c r="AF240" s="1458"/>
      <c r="AG240" s="1458"/>
      <c r="AH240" s="1458"/>
      <c r="AI240" s="1458"/>
      <c r="AJ240" s="1458"/>
      <c r="AK240" s="1458"/>
      <c r="AL240" s="1571"/>
      <c r="AM240" s="1571"/>
      <c r="AN240" s="1571"/>
      <c r="AO240" s="1571"/>
      <c r="AP240" s="1571"/>
      <c r="AQ240" s="1571"/>
      <c r="AR240" s="1571"/>
      <c r="AS240" s="1571"/>
      <c r="AT240" s="1571"/>
      <c r="AU240" s="1571"/>
      <c r="AV240" s="1571"/>
      <c r="AW240" s="1571"/>
      <c r="AX240" s="1571"/>
      <c r="AY240" s="1571"/>
      <c r="AZ240" s="1571"/>
      <c r="BA240" s="1571"/>
      <c r="BB240" s="1571"/>
      <c r="BC240" s="1571"/>
    </row>
    <row r="241" spans="1:55">
      <c r="A241" s="1571"/>
      <c r="B241" s="1571"/>
      <c r="C241" s="1571"/>
      <c r="D241" s="1571"/>
      <c r="E241" s="1571"/>
      <c r="F241" s="1571"/>
      <c r="G241" s="1571"/>
      <c r="H241" s="1571"/>
      <c r="I241" s="1571"/>
      <c r="J241" s="1571"/>
      <c r="K241" s="1571"/>
      <c r="L241" s="1571"/>
      <c r="M241" s="1571"/>
      <c r="N241" s="1571"/>
      <c r="O241" s="1571"/>
      <c r="P241" s="1571"/>
      <c r="Q241" s="1571"/>
      <c r="R241" s="1571"/>
      <c r="S241" s="1571"/>
      <c r="T241" s="1571"/>
      <c r="U241" s="1571"/>
      <c r="V241" s="1571"/>
      <c r="W241" s="413"/>
      <c r="X241" s="1571"/>
      <c r="Y241" s="1458"/>
      <c r="Z241" s="1458"/>
      <c r="AA241" s="1458"/>
      <c r="AB241" s="1458"/>
      <c r="AC241" s="1458"/>
      <c r="AD241" s="1458"/>
      <c r="AE241" s="1458"/>
      <c r="AF241" s="1458"/>
      <c r="AG241" s="1458"/>
      <c r="AH241" s="1458"/>
      <c r="AI241" s="1458"/>
      <c r="AJ241" s="1458"/>
      <c r="AK241" s="1458"/>
      <c r="AL241" s="1571"/>
      <c r="AM241" s="1571"/>
      <c r="AN241" s="1571"/>
      <c r="AO241" s="1571"/>
      <c r="AP241" s="1571"/>
      <c r="AQ241" s="1571"/>
      <c r="AR241" s="1571"/>
      <c r="AS241" s="1571"/>
      <c r="AT241" s="1571"/>
      <c r="AU241" s="1571"/>
      <c r="AV241" s="1571"/>
      <c r="AW241" s="1571"/>
      <c r="AX241" s="1571"/>
      <c r="AY241" s="1571"/>
      <c r="AZ241" s="1571"/>
      <c r="BA241" s="1571"/>
      <c r="BB241" s="1571"/>
      <c r="BC241" s="1571"/>
    </row>
    <row r="242" spans="1:55">
      <c r="A242" s="1571"/>
      <c r="B242" s="1571"/>
      <c r="C242" s="1571"/>
      <c r="D242" s="1571"/>
      <c r="E242" s="1571"/>
      <c r="F242" s="1571"/>
      <c r="G242" s="1571"/>
      <c r="H242" s="1571"/>
      <c r="I242" s="1571"/>
      <c r="J242" s="1571"/>
      <c r="K242" s="1571"/>
      <c r="L242" s="1571"/>
      <c r="M242" s="1571"/>
      <c r="N242" s="1571"/>
      <c r="O242" s="1571"/>
      <c r="P242" s="1571"/>
      <c r="Q242" s="1571"/>
      <c r="R242" s="1571"/>
      <c r="S242" s="1571"/>
      <c r="T242" s="1571"/>
      <c r="U242" s="1571"/>
      <c r="V242" s="1571"/>
      <c r="W242" s="1571"/>
      <c r="X242" s="1571"/>
      <c r="Y242" s="1458"/>
      <c r="Z242" s="1458"/>
      <c r="AA242" s="1458"/>
      <c r="AB242" s="1458"/>
      <c r="AC242" s="1458"/>
      <c r="AD242" s="1458"/>
      <c r="AE242" s="1458"/>
      <c r="AF242" s="1458"/>
      <c r="AG242" s="1458"/>
      <c r="AH242" s="1458"/>
      <c r="AI242" s="1458"/>
      <c r="AJ242" s="1458"/>
      <c r="AK242" s="1458"/>
      <c r="AL242" s="1571"/>
      <c r="AM242" s="1571"/>
      <c r="AN242" s="1571"/>
      <c r="AO242" s="1571"/>
      <c r="AP242" s="1571"/>
      <c r="AQ242" s="1571"/>
      <c r="AR242" s="1571"/>
      <c r="AS242" s="1571"/>
      <c r="AT242" s="1571"/>
      <c r="AU242" s="1571"/>
      <c r="AV242" s="1571"/>
      <c r="AW242" s="1571"/>
      <c r="AX242" s="1571"/>
      <c r="AY242" s="1571"/>
      <c r="AZ242" s="1571"/>
      <c r="BA242" s="1571"/>
      <c r="BB242" s="1571"/>
      <c r="BC242" s="1571"/>
    </row>
    <row r="243" spans="1:55">
      <c r="A243" s="1571"/>
      <c r="B243" s="1571"/>
      <c r="C243" s="1571"/>
      <c r="D243" s="1571"/>
      <c r="E243" s="1571"/>
      <c r="F243" s="1571"/>
      <c r="G243" s="1571"/>
      <c r="H243" s="1571"/>
      <c r="I243" s="1571"/>
      <c r="J243" s="1571"/>
      <c r="K243" s="1571"/>
      <c r="L243" s="1571"/>
      <c r="M243" s="1571"/>
      <c r="N243" s="1571"/>
      <c r="O243" s="1571"/>
      <c r="P243" s="1571"/>
      <c r="Q243" s="1571"/>
      <c r="R243" s="1571"/>
      <c r="S243" s="1571"/>
      <c r="T243" s="1571"/>
      <c r="U243" s="1571"/>
      <c r="V243" s="1571"/>
      <c r="W243" s="1571"/>
      <c r="X243" s="1571"/>
      <c r="Y243" s="1571"/>
      <c r="Z243" s="1571"/>
      <c r="AA243" s="1571"/>
      <c r="AB243" s="1571"/>
      <c r="AC243" s="1571"/>
      <c r="AD243" s="1571"/>
      <c r="AE243" s="1571"/>
      <c r="AF243" s="1571"/>
      <c r="AG243" s="1571"/>
      <c r="AH243" s="1571"/>
      <c r="AI243" s="1571"/>
      <c r="AJ243" s="1571"/>
      <c r="AK243" s="1571"/>
      <c r="AL243" s="1571"/>
      <c r="AM243" s="1571"/>
      <c r="AN243" s="1571"/>
      <c r="AO243" s="1571"/>
      <c r="AP243" s="1571"/>
      <c r="AQ243" s="1571"/>
      <c r="AR243" s="1571"/>
      <c r="AS243" s="1571"/>
      <c r="AT243" s="1571"/>
      <c r="AU243" s="1571"/>
      <c r="AV243" s="1571"/>
      <c r="AW243" s="1571"/>
      <c r="AX243" s="1571"/>
      <c r="AY243" s="1571"/>
      <c r="AZ243" s="1571"/>
      <c r="BA243" s="1571"/>
      <c r="BB243" s="1571"/>
      <c r="BC243" s="1571"/>
    </row>
    <row r="244" spans="1:55">
      <c r="A244" s="1571"/>
      <c r="B244" s="1571"/>
      <c r="C244" s="1571"/>
      <c r="D244" s="1571"/>
      <c r="E244" s="1571"/>
      <c r="F244" s="1571"/>
      <c r="G244" s="1571"/>
      <c r="H244" s="1571"/>
      <c r="I244" s="1571"/>
      <c r="J244" s="1571"/>
      <c r="K244" s="1571"/>
      <c r="L244" s="1571"/>
      <c r="M244" s="1571"/>
      <c r="N244" s="1571"/>
      <c r="O244" s="1571"/>
      <c r="P244" s="1571"/>
      <c r="Q244" s="1571"/>
      <c r="R244" s="1571"/>
      <c r="S244" s="1571"/>
      <c r="T244" s="1571"/>
      <c r="U244" s="1571"/>
      <c r="V244" s="1571"/>
      <c r="W244" s="1571"/>
      <c r="X244" s="1571"/>
      <c r="Y244" s="1571"/>
      <c r="Z244" s="1571"/>
      <c r="AA244" s="1571"/>
      <c r="AB244" s="1571"/>
      <c r="AC244" s="1571"/>
      <c r="AD244" s="1571"/>
      <c r="AE244" s="1571"/>
      <c r="AF244" s="1571"/>
      <c r="AG244" s="1571"/>
      <c r="AH244" s="1571"/>
      <c r="AI244" s="1571"/>
      <c r="AJ244" s="1571"/>
      <c r="AK244" s="1571"/>
      <c r="AL244" s="1571"/>
      <c r="AM244" s="1571"/>
      <c r="AN244" s="1571"/>
      <c r="AO244" s="1571"/>
      <c r="AP244" s="1571"/>
      <c r="AQ244" s="1571"/>
      <c r="AR244" s="1571"/>
      <c r="AS244" s="1571"/>
      <c r="AT244" s="1571"/>
      <c r="AU244" s="1571"/>
      <c r="AV244" s="1571"/>
      <c r="AW244" s="1571"/>
      <c r="AX244" s="1571"/>
      <c r="AY244" s="1571"/>
      <c r="AZ244" s="1571"/>
      <c r="BA244" s="1571"/>
      <c r="BB244" s="1571"/>
      <c r="BC244" s="1571"/>
    </row>
    <row r="245" spans="1:55">
      <c r="A245" s="1571"/>
      <c r="B245" s="1571"/>
      <c r="C245" s="1571"/>
      <c r="D245" s="1571"/>
      <c r="E245" s="1571"/>
      <c r="F245" s="1571"/>
      <c r="G245" s="1571"/>
      <c r="H245" s="1571"/>
      <c r="I245" s="1571"/>
      <c r="J245" s="1571"/>
      <c r="K245" s="1571"/>
      <c r="L245" s="1571"/>
      <c r="M245" s="1571"/>
      <c r="N245" s="1571"/>
      <c r="O245" s="1571"/>
      <c r="P245" s="1571"/>
      <c r="Q245" s="1571"/>
      <c r="R245" s="1571"/>
      <c r="S245" s="1571"/>
      <c r="T245" s="1571"/>
      <c r="U245" s="1571"/>
      <c r="V245" s="1571"/>
      <c r="W245" s="1571"/>
      <c r="X245" s="1571"/>
      <c r="Y245" s="1571"/>
      <c r="Z245" s="1571"/>
      <c r="AA245" s="1571"/>
      <c r="AB245" s="1571"/>
      <c r="AC245" s="1571"/>
      <c r="AD245" s="1571"/>
      <c r="AE245" s="1571"/>
      <c r="AF245" s="1571"/>
      <c r="AG245" s="1571"/>
      <c r="AH245" s="1571"/>
      <c r="AI245" s="1571"/>
      <c r="AJ245" s="1571"/>
      <c r="AK245" s="1571"/>
      <c r="AL245" s="1571"/>
      <c r="AM245" s="1571"/>
      <c r="AN245" s="1571"/>
      <c r="AO245" s="1571"/>
      <c r="AP245" s="1571"/>
      <c r="AQ245" s="1571"/>
      <c r="AR245" s="1571"/>
      <c r="AS245" s="1571"/>
      <c r="AT245" s="1571"/>
      <c r="AU245" s="1571"/>
      <c r="AV245" s="1571"/>
      <c r="AW245" s="1571"/>
      <c r="AX245" s="1571"/>
      <c r="AY245" s="1571"/>
      <c r="AZ245" s="1571"/>
      <c r="BA245" s="1571"/>
      <c r="BB245" s="1571"/>
      <c r="BC245" s="1571"/>
    </row>
    <row r="246" spans="1:55">
      <c r="A246" s="1571"/>
      <c r="B246" s="1571"/>
      <c r="C246" s="1571"/>
      <c r="D246" s="1571"/>
      <c r="E246" s="1571"/>
      <c r="F246" s="1571"/>
      <c r="G246" s="1571"/>
      <c r="H246" s="1571"/>
      <c r="I246" s="1571"/>
      <c r="J246" s="1571"/>
      <c r="K246" s="1571"/>
      <c r="L246" s="1571"/>
      <c r="M246" s="1571"/>
      <c r="N246" s="1571"/>
      <c r="O246" s="1571"/>
      <c r="P246" s="1571"/>
      <c r="Q246" s="1571"/>
      <c r="R246" s="1571"/>
      <c r="S246" s="1571"/>
      <c r="T246" s="1571"/>
      <c r="U246" s="1571"/>
      <c r="V246" s="1571"/>
      <c r="W246" s="1571"/>
      <c r="X246" s="1571"/>
      <c r="Y246" s="1571"/>
      <c r="Z246" s="1571"/>
      <c r="AA246" s="1571"/>
      <c r="AB246" s="1571"/>
      <c r="AC246" s="1571"/>
      <c r="AD246" s="1571"/>
      <c r="AE246" s="1571"/>
      <c r="AF246" s="1571"/>
      <c r="AG246" s="1571"/>
      <c r="AH246" s="1571"/>
      <c r="AI246" s="1571"/>
      <c r="AJ246" s="1571"/>
      <c r="AK246" s="1571"/>
      <c r="AL246" s="1571"/>
      <c r="AM246" s="1571"/>
      <c r="AN246" s="1571"/>
      <c r="AO246" s="1571"/>
      <c r="AP246" s="1571"/>
      <c r="AQ246" s="1571"/>
      <c r="AR246" s="1571"/>
      <c r="AS246" s="1571"/>
      <c r="AT246" s="1571"/>
      <c r="AU246" s="1571"/>
      <c r="AV246" s="1571"/>
      <c r="AW246" s="1571"/>
      <c r="AX246" s="1571"/>
      <c r="AY246" s="1571"/>
      <c r="AZ246" s="1571"/>
      <c r="BA246" s="1571"/>
      <c r="BB246" s="1571"/>
      <c r="BC246" s="1571"/>
    </row>
    <row r="247" spans="1:55">
      <c r="A247" s="1571"/>
      <c r="B247" s="1571"/>
      <c r="C247" s="1571"/>
      <c r="D247" s="1571"/>
      <c r="E247" s="1571"/>
      <c r="F247" s="1571"/>
      <c r="G247" s="1571"/>
      <c r="H247" s="1571"/>
      <c r="I247" s="1571"/>
      <c r="J247" s="1571"/>
      <c r="K247" s="1571"/>
      <c r="L247" s="1571"/>
      <c r="M247" s="1571"/>
      <c r="N247" s="1571"/>
      <c r="O247" s="1571"/>
      <c r="P247" s="1571"/>
      <c r="Q247" s="1571"/>
      <c r="R247" s="1571"/>
      <c r="S247" s="1571"/>
      <c r="T247" s="1571"/>
      <c r="U247" s="1571"/>
      <c r="V247" s="1571"/>
      <c r="W247" s="1571"/>
      <c r="X247" s="1571"/>
      <c r="Y247" s="1571"/>
      <c r="Z247" s="1571"/>
      <c r="AA247" s="1571"/>
      <c r="AB247" s="1571"/>
      <c r="AC247" s="1571"/>
      <c r="AD247" s="1571"/>
      <c r="AE247" s="1571"/>
      <c r="AF247" s="1571"/>
      <c r="AG247" s="1571"/>
      <c r="AH247" s="1571"/>
      <c r="AI247" s="1571"/>
      <c r="AJ247" s="1571"/>
      <c r="AK247" s="1571"/>
      <c r="AL247" s="1571"/>
      <c r="BB247" s="1571"/>
      <c r="BC247" s="1571"/>
    </row>
    <row r="248" spans="1:55">
      <c r="A248" s="1571"/>
      <c r="B248" s="1571"/>
      <c r="C248" s="1571"/>
      <c r="D248" s="1571"/>
      <c r="E248" s="1571"/>
      <c r="F248" s="1571"/>
      <c r="G248" s="1571"/>
      <c r="H248" s="1571"/>
      <c r="I248" s="1571"/>
      <c r="J248" s="1571"/>
      <c r="K248" s="1571"/>
      <c r="L248" s="1571"/>
      <c r="M248" s="1571"/>
      <c r="N248" s="1571"/>
      <c r="O248" s="1571"/>
      <c r="P248" s="1571"/>
      <c r="Q248" s="1571"/>
      <c r="R248" s="1571"/>
      <c r="S248" s="1571"/>
      <c r="T248" s="1571"/>
      <c r="U248" s="1571"/>
      <c r="V248" s="1571"/>
      <c r="W248" s="1571"/>
      <c r="X248" s="1571"/>
      <c r="Y248" s="1571"/>
      <c r="Z248" s="1571"/>
      <c r="AA248" s="1571"/>
      <c r="AB248" s="1571"/>
      <c r="AC248" s="1571"/>
      <c r="AD248" s="1571"/>
      <c r="AE248" s="1571"/>
      <c r="AF248" s="1571"/>
      <c r="AG248" s="1571"/>
      <c r="AH248" s="1571"/>
      <c r="AI248" s="1571"/>
      <c r="AJ248" s="1571"/>
      <c r="AK248" s="1571"/>
      <c r="AL248" s="1571"/>
      <c r="BB248" s="1571"/>
      <c r="BC248" s="1571"/>
    </row>
    <row r="249" spans="1:55">
      <c r="A249" s="1571"/>
      <c r="B249" s="1571"/>
      <c r="C249" s="1571"/>
      <c r="D249" s="1571"/>
      <c r="E249" s="1571"/>
      <c r="F249" s="1571"/>
      <c r="G249" s="1571"/>
      <c r="H249" s="1571"/>
      <c r="I249" s="1571"/>
      <c r="J249" s="1571"/>
      <c r="K249" s="1571"/>
      <c r="L249" s="1571"/>
      <c r="M249" s="1571"/>
      <c r="N249" s="1571"/>
      <c r="O249" s="1571"/>
      <c r="P249" s="1571"/>
      <c r="Q249" s="1571"/>
      <c r="R249" s="1571"/>
      <c r="S249" s="1571"/>
      <c r="T249" s="1571"/>
      <c r="U249" s="1571"/>
      <c r="V249" s="1571"/>
      <c r="W249" s="1571"/>
      <c r="X249" s="1571"/>
      <c r="Y249" s="1571"/>
      <c r="Z249" s="1571"/>
      <c r="AA249" s="1571"/>
      <c r="AB249" s="1571"/>
      <c r="AC249" s="1571"/>
      <c r="AD249" s="1571"/>
      <c r="AE249" s="1571"/>
      <c r="AF249" s="1571"/>
      <c r="AG249" s="1571"/>
      <c r="AH249" s="1571"/>
      <c r="AI249" s="1571"/>
      <c r="AJ249" s="1571"/>
      <c r="AK249" s="1571"/>
      <c r="AL249" s="1571"/>
      <c r="BB249" s="1571"/>
      <c r="BC249" s="1571"/>
    </row>
    <row r="250" spans="1:55">
      <c r="A250" s="1571"/>
      <c r="B250" s="1571"/>
      <c r="C250" s="1571"/>
      <c r="D250" s="1571"/>
      <c r="E250" s="1571"/>
      <c r="F250" s="1571"/>
      <c r="G250" s="1571"/>
      <c r="H250" s="1571"/>
      <c r="I250" s="1571"/>
      <c r="J250" s="1571"/>
      <c r="K250" s="1571"/>
      <c r="L250" s="1571"/>
      <c r="M250" s="1571"/>
      <c r="N250" s="1571"/>
      <c r="O250" s="1571"/>
      <c r="P250" s="1571"/>
      <c r="Q250" s="1571"/>
      <c r="R250" s="1571"/>
      <c r="S250" s="1571"/>
      <c r="T250" s="1571"/>
      <c r="U250" s="1571"/>
      <c r="V250" s="1571"/>
      <c r="W250" s="1571"/>
      <c r="X250" s="1571"/>
      <c r="Y250" s="1571"/>
      <c r="Z250" s="1571"/>
      <c r="AA250" s="1571"/>
      <c r="AB250" s="1571"/>
      <c r="AC250" s="1571"/>
      <c r="AD250" s="1571"/>
      <c r="AE250" s="1571"/>
      <c r="AF250" s="1571"/>
      <c r="AG250" s="1571"/>
      <c r="AH250" s="1571"/>
      <c r="AI250" s="1571"/>
      <c r="AJ250" s="1571"/>
      <c r="AK250" s="1571"/>
      <c r="AL250" s="1571"/>
      <c r="BB250" s="1571"/>
      <c r="BC250" s="1571"/>
    </row>
    <row r="251" spans="1:55">
      <c r="A251" s="1571"/>
      <c r="B251" s="1571"/>
      <c r="C251" s="1571"/>
      <c r="D251" s="1571"/>
      <c r="E251" s="1571"/>
      <c r="F251" s="1571"/>
      <c r="G251" s="1571"/>
      <c r="H251" s="1571"/>
      <c r="I251" s="1571"/>
      <c r="J251" s="1571"/>
      <c r="K251" s="1571"/>
      <c r="L251" s="1571"/>
      <c r="M251" s="1571"/>
      <c r="N251" s="1571"/>
      <c r="O251" s="1571"/>
      <c r="P251" s="1571"/>
      <c r="Q251" s="1571"/>
      <c r="R251" s="1571"/>
      <c r="S251" s="1571"/>
      <c r="T251" s="1571"/>
      <c r="U251" s="1571"/>
      <c r="V251" s="1571"/>
      <c r="W251" s="1571"/>
      <c r="X251" s="1571"/>
      <c r="Y251" s="1571"/>
      <c r="Z251" s="1571"/>
      <c r="AA251" s="1571"/>
      <c r="AB251" s="1571"/>
      <c r="AC251" s="1571"/>
      <c r="AD251" s="1571"/>
      <c r="AE251" s="1571"/>
      <c r="AF251" s="1571"/>
      <c r="AG251" s="1571"/>
      <c r="AH251" s="1571"/>
      <c r="AI251" s="1571"/>
      <c r="AJ251" s="1571"/>
      <c r="AK251" s="1571"/>
      <c r="AL251" s="1571"/>
      <c r="BB251" s="1571"/>
      <c r="BC251" s="1571"/>
    </row>
    <row r="252" spans="1:55">
      <c r="A252" s="1571"/>
      <c r="B252" s="1571"/>
      <c r="C252" s="1571"/>
      <c r="D252" s="1571"/>
      <c r="E252" s="1571"/>
      <c r="F252" s="1571"/>
      <c r="G252" s="1571"/>
      <c r="H252" s="1571"/>
      <c r="I252" s="1571"/>
      <c r="J252" s="1571"/>
      <c r="K252" s="1571"/>
      <c r="L252" s="1571"/>
      <c r="M252" s="1571"/>
      <c r="N252" s="1571"/>
      <c r="O252" s="1571"/>
      <c r="P252" s="1571"/>
      <c r="Q252" s="1571"/>
      <c r="R252" s="1571"/>
      <c r="S252" s="1571"/>
      <c r="T252" s="1571"/>
      <c r="U252" s="1571"/>
      <c r="V252" s="1571"/>
      <c r="W252" s="1571"/>
      <c r="X252" s="1571"/>
      <c r="Y252" s="1571"/>
      <c r="Z252" s="1571"/>
      <c r="AA252" s="1571"/>
      <c r="AB252" s="1571"/>
      <c r="AC252" s="1571"/>
      <c r="AD252" s="1571"/>
      <c r="AE252" s="1571"/>
      <c r="AF252" s="1571"/>
      <c r="AG252" s="1571"/>
      <c r="AH252" s="1571"/>
      <c r="AI252" s="1571"/>
      <c r="AJ252" s="1571"/>
      <c r="AK252" s="1571"/>
      <c r="AL252" s="1571"/>
      <c r="BB252" s="1571"/>
      <c r="BC252" s="1571"/>
    </row>
    <row r="253" spans="1:55">
      <c r="A253" s="1571"/>
      <c r="B253" s="1571"/>
      <c r="C253" s="1571"/>
      <c r="D253" s="1571"/>
      <c r="E253" s="1571"/>
      <c r="F253" s="1571"/>
      <c r="G253" s="1571"/>
      <c r="H253" s="1571"/>
      <c r="I253" s="1571"/>
      <c r="J253" s="1571"/>
      <c r="K253" s="1571"/>
      <c r="L253" s="1571"/>
      <c r="M253" s="1571"/>
      <c r="N253" s="1571"/>
      <c r="O253" s="1571"/>
      <c r="P253" s="1571"/>
      <c r="Q253" s="1571"/>
      <c r="R253" s="1571"/>
      <c r="S253" s="1571"/>
      <c r="T253" s="1571"/>
      <c r="U253" s="1571"/>
      <c r="V253" s="1571"/>
      <c r="W253" s="1571"/>
      <c r="X253" s="1571"/>
      <c r="Y253" s="1571"/>
      <c r="Z253" s="1571"/>
      <c r="AA253" s="1571"/>
      <c r="AB253" s="1571"/>
      <c r="AC253" s="1571"/>
      <c r="AD253" s="1571"/>
      <c r="AE253" s="1571"/>
      <c r="AF253" s="1571"/>
      <c r="AG253" s="1571"/>
      <c r="AH253" s="1571"/>
      <c r="AI253" s="1571"/>
      <c r="AJ253" s="1571"/>
      <c r="AK253" s="1571"/>
      <c r="AL253" s="1571"/>
      <c r="BB253" s="1571"/>
      <c r="BC253" s="1571"/>
    </row>
    <row r="254" spans="1:55">
      <c r="A254" s="1571"/>
      <c r="B254" s="1571"/>
      <c r="C254" s="1571"/>
      <c r="D254" s="1571"/>
      <c r="E254" s="1571"/>
      <c r="F254" s="1571"/>
      <c r="G254" s="1571"/>
      <c r="H254" s="1571"/>
      <c r="I254" s="1571"/>
      <c r="J254" s="1571"/>
      <c r="K254" s="1571"/>
      <c r="L254" s="1571"/>
      <c r="M254" s="1571"/>
      <c r="N254" s="1571"/>
      <c r="O254" s="1571"/>
      <c r="P254" s="1571"/>
      <c r="Q254" s="1571"/>
      <c r="R254" s="1571"/>
      <c r="S254" s="1571"/>
      <c r="T254" s="1571"/>
      <c r="U254" s="1571"/>
      <c r="V254" s="1571"/>
      <c r="W254" s="1571"/>
      <c r="X254" s="1571"/>
      <c r="Y254" s="1571"/>
      <c r="Z254" s="1571"/>
      <c r="AA254" s="1571"/>
      <c r="AB254" s="1571"/>
      <c r="AC254" s="1571"/>
      <c r="AD254" s="1571"/>
      <c r="AE254" s="1571"/>
      <c r="AF254" s="1571"/>
      <c r="AG254" s="1571"/>
      <c r="AH254" s="1571"/>
      <c r="AI254" s="1571"/>
      <c r="AJ254" s="1571"/>
      <c r="AK254" s="1571"/>
      <c r="AL254" s="1571"/>
      <c r="BB254" s="1571"/>
      <c r="BC254" s="1571"/>
    </row>
    <row r="255" spans="1:55">
      <c r="A255" s="1571"/>
      <c r="B255" s="1571"/>
      <c r="C255" s="1571"/>
      <c r="D255" s="1571"/>
      <c r="E255" s="1571"/>
      <c r="F255" s="1571"/>
      <c r="G255" s="1571"/>
      <c r="H255" s="1571"/>
      <c r="I255" s="1571"/>
      <c r="J255" s="1571"/>
      <c r="K255" s="1571"/>
      <c r="L255" s="1571"/>
      <c r="M255" s="1571"/>
      <c r="N255" s="1571"/>
      <c r="O255" s="1571"/>
      <c r="P255" s="1571"/>
      <c r="Q255" s="1571"/>
      <c r="R255" s="1571"/>
      <c r="S255" s="1571"/>
      <c r="T255" s="1571"/>
      <c r="U255" s="1571"/>
      <c r="V255" s="1571"/>
      <c r="W255" s="1571"/>
      <c r="X255" s="1571"/>
      <c r="Y255" s="1571"/>
      <c r="Z255" s="1571"/>
      <c r="AA255" s="1571"/>
      <c r="AB255" s="1571"/>
      <c r="AC255" s="1571"/>
      <c r="AD255" s="1571"/>
      <c r="AE255" s="1571"/>
      <c r="AF255" s="1571"/>
      <c r="AG255" s="1571"/>
      <c r="AH255" s="1571"/>
      <c r="AI255" s="1571"/>
      <c r="AJ255" s="1571"/>
      <c r="AK255" s="1571"/>
      <c r="AL255" s="1571"/>
      <c r="BB255" s="1571"/>
      <c r="BC255" s="1571"/>
    </row>
    <row r="256" spans="1:55">
      <c r="A256" s="1571"/>
      <c r="B256" s="1571"/>
      <c r="C256" s="1571"/>
      <c r="D256" s="1571"/>
      <c r="E256" s="1571"/>
      <c r="F256" s="1571"/>
      <c r="G256" s="1571"/>
      <c r="H256" s="1571"/>
      <c r="I256" s="1571"/>
      <c r="J256" s="1571"/>
      <c r="K256" s="1571"/>
      <c r="L256" s="1571"/>
      <c r="M256" s="1571"/>
      <c r="N256" s="1571"/>
      <c r="O256" s="1571"/>
      <c r="P256" s="1571"/>
      <c r="Q256" s="1571"/>
      <c r="R256" s="1571"/>
      <c r="S256" s="1571"/>
      <c r="T256" s="1571"/>
      <c r="U256" s="1571"/>
      <c r="V256" s="1571"/>
      <c r="W256" s="1571"/>
      <c r="X256" s="1571"/>
      <c r="Y256" s="1571"/>
      <c r="Z256" s="1571"/>
      <c r="AA256" s="1571"/>
      <c r="AB256" s="1571"/>
      <c r="AC256" s="1571"/>
      <c r="AD256" s="1571"/>
      <c r="AE256" s="1571"/>
      <c r="AF256" s="1571"/>
      <c r="AG256" s="1571"/>
      <c r="AH256" s="1571"/>
      <c r="AI256" s="1571"/>
      <c r="AJ256" s="1571"/>
      <c r="AK256" s="1571"/>
      <c r="AL256" s="1571"/>
      <c r="BB256" s="1571"/>
      <c r="BC256" s="1571"/>
    </row>
    <row r="257" spans="1:55">
      <c r="A257" s="1571"/>
      <c r="B257" s="1571"/>
      <c r="C257" s="1571"/>
      <c r="D257" s="1571"/>
      <c r="E257" s="1571"/>
      <c r="F257" s="1571"/>
      <c r="G257" s="1571"/>
      <c r="H257" s="1571"/>
      <c r="I257" s="1571"/>
      <c r="J257" s="1571"/>
      <c r="K257" s="1571"/>
      <c r="L257" s="1571"/>
      <c r="M257" s="1571"/>
      <c r="N257" s="1571"/>
      <c r="O257" s="1571"/>
      <c r="P257" s="1571"/>
      <c r="Q257" s="1571"/>
      <c r="R257" s="1571"/>
      <c r="S257" s="1571"/>
      <c r="T257" s="1571"/>
      <c r="U257" s="1571"/>
      <c r="V257" s="1571"/>
      <c r="W257" s="1571"/>
      <c r="X257" s="1571"/>
      <c r="Y257" s="1571"/>
      <c r="Z257" s="1571"/>
      <c r="AA257" s="1571"/>
      <c r="AB257" s="1571"/>
      <c r="AC257" s="1571"/>
      <c r="AD257" s="1571"/>
      <c r="AE257" s="1571"/>
      <c r="AF257" s="1571"/>
      <c r="AG257" s="1571"/>
      <c r="AH257" s="1571"/>
      <c r="AI257" s="1571"/>
      <c r="AJ257" s="1571"/>
      <c r="AK257" s="1571"/>
      <c r="AL257" s="1571"/>
      <c r="BB257" s="1571"/>
      <c r="BC257" s="1571"/>
    </row>
    <row r="258" spans="1:55">
      <c r="A258" s="1571"/>
      <c r="B258" s="1571"/>
      <c r="C258" s="1571"/>
      <c r="D258" s="1571"/>
      <c r="E258" s="1571"/>
      <c r="F258" s="1571"/>
      <c r="G258" s="1571"/>
      <c r="H258" s="1571"/>
      <c r="I258" s="1571"/>
      <c r="J258" s="1571"/>
      <c r="K258" s="1571"/>
      <c r="L258" s="1571"/>
      <c r="M258" s="1571"/>
      <c r="N258" s="1571"/>
      <c r="O258" s="1571"/>
      <c r="P258" s="1571"/>
      <c r="Q258" s="1571"/>
      <c r="R258" s="1571"/>
      <c r="S258" s="1571"/>
      <c r="T258" s="1571"/>
      <c r="U258" s="1571"/>
      <c r="V258" s="1571"/>
      <c r="W258" s="1571"/>
      <c r="X258" s="1571"/>
      <c r="Y258" s="1571"/>
      <c r="Z258" s="1571"/>
      <c r="AA258" s="1571"/>
      <c r="AB258" s="1571"/>
      <c r="AC258" s="1571"/>
      <c r="AD258" s="1571"/>
      <c r="AE258" s="1571"/>
      <c r="AF258" s="1571"/>
      <c r="AG258" s="1571"/>
      <c r="AH258" s="1571"/>
      <c r="AI258" s="1571"/>
      <c r="AJ258" s="1571"/>
      <c r="AK258" s="1571"/>
      <c r="AL258" s="1571"/>
      <c r="BB258" s="1571"/>
      <c r="BC258" s="1571"/>
    </row>
    <row r="259" spans="1:55">
      <c r="A259" s="1571"/>
      <c r="B259" s="1571"/>
      <c r="C259" s="1571"/>
      <c r="D259" s="1571"/>
      <c r="E259" s="1571"/>
      <c r="F259" s="1571"/>
      <c r="G259" s="1571"/>
      <c r="H259" s="1571"/>
      <c r="I259" s="1571"/>
      <c r="J259" s="1571"/>
      <c r="K259" s="1571"/>
      <c r="L259" s="1571"/>
      <c r="M259" s="1571"/>
      <c r="N259" s="1571"/>
      <c r="O259" s="1571"/>
      <c r="P259" s="1571"/>
      <c r="Q259" s="1571"/>
      <c r="R259" s="1571"/>
      <c r="S259" s="1571"/>
      <c r="T259" s="1571"/>
      <c r="U259" s="1571"/>
      <c r="V259" s="1571"/>
      <c r="W259" s="1571"/>
      <c r="X259" s="1571"/>
      <c r="Y259" s="1571"/>
      <c r="Z259" s="1571"/>
      <c r="AA259" s="1571"/>
      <c r="AB259" s="1571"/>
      <c r="AC259" s="1571"/>
      <c r="AD259" s="1571"/>
      <c r="AE259" s="1571"/>
      <c r="AF259" s="1571"/>
      <c r="AG259" s="1571"/>
      <c r="AH259" s="1571"/>
      <c r="AI259" s="1571"/>
      <c r="AJ259" s="1571"/>
      <c r="AK259" s="1571"/>
      <c r="AL259" s="1571"/>
      <c r="BB259" s="1571"/>
      <c r="BC259" s="1571"/>
    </row>
    <row r="260" spans="1:55">
      <c r="A260" s="1571"/>
      <c r="B260" s="1571"/>
      <c r="C260" s="1571"/>
      <c r="D260" s="1571"/>
      <c r="E260" s="1571"/>
      <c r="F260" s="1571"/>
      <c r="G260" s="1571"/>
      <c r="H260" s="1571"/>
      <c r="I260" s="1571"/>
      <c r="J260" s="1571"/>
      <c r="K260" s="1571"/>
      <c r="L260" s="1571"/>
      <c r="M260" s="1571"/>
      <c r="N260" s="1571"/>
      <c r="O260" s="1571"/>
      <c r="P260" s="1571"/>
      <c r="Q260" s="1571"/>
      <c r="R260" s="1571"/>
      <c r="S260" s="1571"/>
      <c r="T260" s="1571"/>
      <c r="U260" s="1571"/>
      <c r="V260" s="1571"/>
      <c r="W260" s="1571"/>
      <c r="X260" s="1571"/>
      <c r="Y260" s="1571"/>
      <c r="Z260" s="1571"/>
      <c r="AA260" s="1571"/>
      <c r="AB260" s="1571"/>
      <c r="AC260" s="1571"/>
      <c r="AD260" s="1571"/>
      <c r="AE260" s="1571"/>
      <c r="AF260" s="1571"/>
      <c r="AG260" s="1571"/>
      <c r="AH260" s="1571"/>
      <c r="AI260" s="1571"/>
      <c r="AJ260" s="1571"/>
      <c r="AK260" s="1571"/>
      <c r="AL260" s="1571"/>
      <c r="BB260" s="1571"/>
      <c r="BC260" s="1571"/>
    </row>
    <row r="261" spans="1:55">
      <c r="A261" s="1571"/>
      <c r="B261" s="1571"/>
      <c r="C261" s="1571"/>
      <c r="D261" s="1571"/>
      <c r="E261" s="1571"/>
      <c r="F261" s="1571"/>
      <c r="G261" s="1571"/>
      <c r="H261" s="1571"/>
      <c r="I261" s="1571"/>
      <c r="J261" s="1571"/>
      <c r="K261" s="1571"/>
      <c r="L261" s="1571"/>
      <c r="M261" s="1571"/>
      <c r="N261" s="1571"/>
      <c r="O261" s="1571"/>
      <c r="P261" s="1571"/>
      <c r="Q261" s="1571"/>
      <c r="R261" s="1571"/>
      <c r="S261" s="1571"/>
      <c r="T261" s="1571"/>
      <c r="U261" s="1571"/>
      <c r="V261" s="1571"/>
      <c r="W261" s="1571"/>
      <c r="X261" s="1571"/>
      <c r="Y261" s="1571"/>
      <c r="Z261" s="1571"/>
      <c r="AA261" s="1571"/>
      <c r="AB261" s="1571"/>
      <c r="AC261" s="1571"/>
      <c r="AD261" s="1571"/>
      <c r="AE261" s="1571"/>
      <c r="AF261" s="1571"/>
      <c r="AG261" s="1571"/>
      <c r="AH261" s="1571"/>
      <c r="AI261" s="1571"/>
      <c r="AJ261" s="1571"/>
      <c r="AK261" s="1571"/>
      <c r="AL261" s="1571"/>
      <c r="BB261" s="1571"/>
      <c r="BC261" s="1571"/>
    </row>
    <row r="262" spans="1:55">
      <c r="A262" s="1571"/>
      <c r="B262" s="1571"/>
      <c r="C262" s="1571"/>
      <c r="D262" s="1571"/>
      <c r="E262" s="1571"/>
      <c r="F262" s="1571"/>
      <c r="G262" s="1571"/>
      <c r="H262" s="1571"/>
      <c r="I262" s="1571"/>
      <c r="J262" s="1571"/>
      <c r="K262" s="1571"/>
      <c r="L262" s="1571"/>
      <c r="M262" s="1571"/>
      <c r="N262" s="1571"/>
      <c r="O262" s="1571"/>
      <c r="P262" s="1571"/>
      <c r="Q262" s="1571"/>
      <c r="R262" s="1571"/>
      <c r="S262" s="1571"/>
      <c r="T262" s="1571"/>
      <c r="U262" s="1571"/>
      <c r="V262" s="1571"/>
      <c r="W262" s="1571"/>
      <c r="X262" s="1571"/>
      <c r="Y262" s="1571"/>
      <c r="Z262" s="1571"/>
      <c r="AA262" s="1571"/>
      <c r="AB262" s="1571"/>
      <c r="AC262" s="1571"/>
      <c r="AD262" s="1571"/>
      <c r="AE262" s="1571"/>
      <c r="AF262" s="1571"/>
      <c r="AG262" s="1571"/>
      <c r="AH262" s="1571"/>
      <c r="AI262" s="1571"/>
      <c r="AJ262" s="1571"/>
      <c r="AK262" s="1571"/>
      <c r="AL262" s="1571"/>
      <c r="BB262" s="1571"/>
      <c r="BC262" s="1571"/>
    </row>
    <row r="263" spans="1:55">
      <c r="A263" s="1571"/>
      <c r="B263" s="1571"/>
      <c r="C263" s="1571"/>
      <c r="D263" s="1571"/>
      <c r="E263" s="1571"/>
      <c r="F263" s="1571"/>
      <c r="G263" s="1571"/>
      <c r="H263" s="1571"/>
      <c r="I263" s="1571"/>
      <c r="J263" s="1571"/>
      <c r="K263" s="1571"/>
      <c r="L263" s="1571"/>
      <c r="M263" s="1571"/>
      <c r="N263" s="1571"/>
      <c r="O263" s="1571"/>
      <c r="P263" s="1571"/>
      <c r="Q263" s="1571"/>
      <c r="R263" s="1571"/>
      <c r="S263" s="1571"/>
      <c r="T263" s="1571"/>
      <c r="U263" s="1571"/>
      <c r="V263" s="1571"/>
      <c r="W263" s="1571"/>
      <c r="X263" s="1571"/>
      <c r="Y263" s="1571"/>
      <c r="Z263" s="1571"/>
      <c r="AA263" s="1571"/>
      <c r="AB263" s="1571"/>
      <c r="AC263" s="1571"/>
      <c r="AD263" s="1571"/>
      <c r="AE263" s="1571"/>
      <c r="AF263" s="1571"/>
      <c r="AG263" s="1571"/>
      <c r="AH263" s="1571"/>
      <c r="AI263" s="1571"/>
      <c r="AJ263" s="1571"/>
      <c r="AK263" s="1571"/>
      <c r="AL263" s="1571"/>
      <c r="BB263" s="1571"/>
      <c r="BC263" s="1571"/>
    </row>
    <row r="264" spans="1:55">
      <c r="A264" s="1571"/>
      <c r="B264" s="1571"/>
      <c r="C264" s="1571"/>
      <c r="D264" s="1571"/>
      <c r="E264" s="1571"/>
      <c r="F264" s="1571"/>
      <c r="G264" s="1571"/>
      <c r="H264" s="1571"/>
      <c r="I264" s="1571"/>
      <c r="J264" s="1571"/>
      <c r="K264" s="1571"/>
      <c r="L264" s="1571"/>
      <c r="M264" s="1571"/>
      <c r="N264" s="1571"/>
      <c r="O264" s="1571"/>
      <c r="P264" s="1571"/>
      <c r="Q264" s="1571"/>
      <c r="R264" s="1571"/>
      <c r="S264" s="1571"/>
      <c r="T264" s="1571"/>
      <c r="U264" s="1571"/>
      <c r="V264" s="1571"/>
      <c r="W264" s="1571"/>
      <c r="X264" s="1571"/>
      <c r="Y264" s="1571"/>
      <c r="Z264" s="1571"/>
      <c r="AA264" s="1571"/>
      <c r="AB264" s="1571"/>
      <c r="AC264" s="1571"/>
      <c r="AD264" s="1571"/>
      <c r="AE264" s="1571"/>
      <c r="AF264" s="1571"/>
      <c r="AG264" s="1571"/>
      <c r="AH264" s="1571"/>
      <c r="AI264" s="1571"/>
      <c r="AJ264" s="1571"/>
      <c r="AK264" s="1571"/>
      <c r="AL264" s="1571"/>
      <c r="BB264" s="1571"/>
      <c r="BC264" s="1571"/>
    </row>
    <row r="265" spans="1:55">
      <c r="A265" s="1571"/>
      <c r="B265" s="1571"/>
      <c r="C265" s="1571"/>
      <c r="D265" s="1571"/>
      <c r="E265" s="1571"/>
      <c r="F265" s="1571"/>
      <c r="G265" s="1571"/>
      <c r="H265" s="1571"/>
      <c r="I265" s="1571"/>
      <c r="J265" s="1571"/>
      <c r="K265" s="1571"/>
      <c r="L265" s="1571"/>
      <c r="M265" s="1571"/>
      <c r="N265" s="1571"/>
      <c r="O265" s="1571"/>
      <c r="P265" s="1571"/>
      <c r="Q265" s="1571"/>
      <c r="R265" s="1571"/>
      <c r="S265" s="1571"/>
      <c r="T265" s="1571"/>
      <c r="U265" s="1571"/>
      <c r="V265" s="1571"/>
      <c r="W265" s="1571"/>
      <c r="X265" s="1571"/>
      <c r="Y265" s="1571"/>
      <c r="Z265" s="1571"/>
      <c r="AA265" s="1571"/>
      <c r="AB265" s="1571"/>
      <c r="AC265" s="1571"/>
      <c r="AD265" s="1571"/>
      <c r="AE265" s="1571"/>
      <c r="AF265" s="1571"/>
      <c r="AG265" s="1571"/>
      <c r="AH265" s="1571"/>
      <c r="AI265" s="1571"/>
      <c r="AJ265" s="1571"/>
      <c r="AK265" s="1571"/>
      <c r="AL265" s="1571"/>
      <c r="BB265" s="1571"/>
      <c r="BC265" s="1571"/>
    </row>
    <row r="266" spans="1:55">
      <c r="A266" s="1571"/>
      <c r="B266" s="1571"/>
      <c r="C266" s="1571"/>
      <c r="D266" s="1571"/>
      <c r="E266" s="1571"/>
      <c r="F266" s="1571"/>
      <c r="G266" s="1571"/>
      <c r="H266" s="1571"/>
      <c r="I266" s="1571"/>
      <c r="J266" s="1571"/>
      <c r="K266" s="1571"/>
      <c r="L266" s="1571"/>
      <c r="M266" s="1571"/>
      <c r="N266" s="1571"/>
      <c r="O266" s="1571"/>
      <c r="P266" s="1571"/>
      <c r="Q266" s="1571"/>
      <c r="R266" s="1571"/>
      <c r="S266" s="1571"/>
      <c r="T266" s="1571"/>
      <c r="U266" s="1571"/>
      <c r="V266" s="1571"/>
      <c r="W266" s="1571"/>
      <c r="X266" s="1571"/>
      <c r="Y266" s="1571"/>
      <c r="Z266" s="1571"/>
      <c r="AA266" s="1571"/>
      <c r="AB266" s="1571"/>
      <c r="AC266" s="1571"/>
      <c r="AD266" s="1571"/>
      <c r="AE266" s="1571"/>
      <c r="AF266" s="1571"/>
      <c r="AG266" s="1571"/>
      <c r="AH266" s="1571"/>
      <c r="AI266" s="1571"/>
      <c r="AJ266" s="1571"/>
      <c r="AK266" s="1571"/>
      <c r="AL266" s="1571"/>
      <c r="BB266" s="1571"/>
      <c r="BC266" s="1571"/>
    </row>
    <row r="267" spans="1:55">
      <c r="A267" s="1571"/>
      <c r="B267" s="1571"/>
      <c r="C267" s="1571"/>
      <c r="D267" s="1571"/>
      <c r="E267" s="1571"/>
      <c r="F267" s="1571"/>
      <c r="G267" s="1571"/>
      <c r="H267" s="1571"/>
      <c r="I267" s="1571"/>
      <c r="J267" s="1571"/>
      <c r="K267" s="1571"/>
      <c r="L267" s="1571"/>
      <c r="M267" s="1571"/>
      <c r="N267" s="1571"/>
      <c r="O267" s="1571"/>
      <c r="P267" s="1571"/>
      <c r="Q267" s="1571"/>
      <c r="R267" s="1571"/>
      <c r="S267" s="1571"/>
      <c r="T267" s="1571"/>
      <c r="U267" s="1571"/>
      <c r="V267" s="1571"/>
      <c r="W267" s="1571"/>
      <c r="X267" s="1571"/>
      <c r="Y267" s="1571"/>
      <c r="Z267" s="1571"/>
      <c r="AA267" s="1571"/>
      <c r="AB267" s="1571"/>
      <c r="AC267" s="1571"/>
      <c r="AD267" s="1571"/>
      <c r="AE267" s="1571"/>
      <c r="AF267" s="1571"/>
      <c r="AG267" s="1571"/>
      <c r="AH267" s="1571"/>
      <c r="AI267" s="1571"/>
      <c r="AJ267" s="1571"/>
      <c r="AK267" s="1571"/>
      <c r="AL267" s="1571"/>
      <c r="BB267" s="1571"/>
      <c r="BC267" s="1571"/>
    </row>
    <row r="268" spans="1:55">
      <c r="A268" s="1571"/>
      <c r="B268" s="1571"/>
      <c r="C268" s="1571"/>
      <c r="D268" s="1571"/>
      <c r="E268" s="1571"/>
      <c r="F268" s="1571"/>
      <c r="G268" s="1571"/>
      <c r="H268" s="1571"/>
      <c r="I268" s="1571"/>
      <c r="J268" s="1571"/>
      <c r="K268" s="1571"/>
      <c r="L268" s="1571"/>
      <c r="M268" s="1571"/>
      <c r="N268" s="1571"/>
      <c r="O268" s="1571"/>
      <c r="P268" s="1571"/>
      <c r="Q268" s="1571"/>
      <c r="R268" s="1571"/>
      <c r="S268" s="1571"/>
      <c r="T268" s="1571"/>
      <c r="U268" s="1571"/>
      <c r="V268" s="1571"/>
      <c r="W268" s="1571"/>
      <c r="X268" s="1571"/>
      <c r="Y268" s="1571"/>
      <c r="Z268" s="1571"/>
      <c r="AA268" s="1571"/>
      <c r="AB268" s="1571"/>
      <c r="AC268" s="1571"/>
      <c r="AD268" s="1571"/>
      <c r="AE268" s="1571"/>
      <c r="AF268" s="1571"/>
      <c r="AG268" s="1571"/>
      <c r="AH268" s="1571"/>
      <c r="AI268" s="1571"/>
      <c r="AJ268" s="1571"/>
      <c r="AK268" s="1571"/>
      <c r="AL268" s="1571"/>
      <c r="BB268" s="1571"/>
      <c r="BC268" s="1571"/>
    </row>
    <row r="269" spans="1:55">
      <c r="A269" s="1571"/>
      <c r="B269" s="1571"/>
      <c r="C269" s="1571"/>
      <c r="D269" s="1571"/>
      <c r="E269" s="1571"/>
      <c r="F269" s="1571"/>
      <c r="G269" s="1571"/>
      <c r="H269" s="1571"/>
      <c r="I269" s="1571"/>
      <c r="J269" s="1571"/>
      <c r="K269" s="1571"/>
      <c r="L269" s="1571"/>
      <c r="M269" s="1571"/>
      <c r="N269" s="1571"/>
      <c r="O269" s="1571"/>
      <c r="P269" s="1571"/>
      <c r="Q269" s="1571"/>
      <c r="R269" s="1571"/>
      <c r="S269" s="1571"/>
      <c r="T269" s="1571"/>
      <c r="U269" s="1571"/>
      <c r="V269" s="1571"/>
      <c r="W269" s="1571"/>
      <c r="X269" s="1571"/>
      <c r="Y269" s="1571"/>
      <c r="Z269" s="1571"/>
      <c r="AA269" s="1571"/>
      <c r="AB269" s="1571"/>
      <c r="AC269" s="1571"/>
      <c r="AD269" s="1571"/>
      <c r="AE269" s="1571"/>
      <c r="AF269" s="1571"/>
      <c r="AG269" s="1571"/>
      <c r="AH269" s="1571"/>
      <c r="AI269" s="1571"/>
      <c r="AJ269" s="1571"/>
      <c r="AK269" s="1571"/>
      <c r="AL269" s="1571"/>
      <c r="BB269" s="1571"/>
      <c r="BC269" s="1571"/>
    </row>
    <row r="270" spans="1:55">
      <c r="A270" s="1571"/>
      <c r="B270" s="1571"/>
      <c r="C270" s="1571"/>
      <c r="D270" s="1571"/>
      <c r="E270" s="1571"/>
      <c r="F270" s="1571"/>
      <c r="G270" s="1571"/>
      <c r="H270" s="1571"/>
      <c r="I270" s="1571"/>
      <c r="J270" s="1571"/>
      <c r="K270" s="1571"/>
      <c r="L270" s="1571"/>
      <c r="M270" s="1571"/>
      <c r="N270" s="1571"/>
      <c r="O270" s="1571"/>
      <c r="P270" s="1571"/>
      <c r="Q270" s="1571"/>
      <c r="R270" s="1571"/>
      <c r="S270" s="1571"/>
      <c r="T270" s="1571"/>
      <c r="U270" s="1571"/>
      <c r="V270" s="1571"/>
      <c r="W270" s="1571"/>
      <c r="X270" s="1571"/>
      <c r="Y270" s="1571"/>
      <c r="Z270" s="1571"/>
      <c r="AA270" s="1571"/>
      <c r="AB270" s="1571"/>
      <c r="AC270" s="1571"/>
      <c r="AD270" s="1571"/>
      <c r="AE270" s="1571"/>
      <c r="AF270" s="1571"/>
      <c r="AG270" s="1571"/>
      <c r="AH270" s="1571"/>
      <c r="AI270" s="1571"/>
      <c r="AJ270" s="1571"/>
      <c r="AK270" s="1571"/>
      <c r="AL270" s="1571"/>
      <c r="BB270" s="1571"/>
      <c r="BC270" s="1571"/>
    </row>
    <row r="271" spans="1:55">
      <c r="A271" s="1571"/>
      <c r="B271" s="1571"/>
      <c r="C271" s="1571"/>
      <c r="D271" s="1571"/>
      <c r="E271" s="1571"/>
      <c r="F271" s="1571"/>
      <c r="G271" s="1571"/>
      <c r="H271" s="1571"/>
      <c r="I271" s="1571"/>
      <c r="J271" s="1571"/>
      <c r="K271" s="1571"/>
      <c r="L271" s="1571"/>
      <c r="M271" s="1571"/>
      <c r="N271" s="1571"/>
      <c r="O271" s="1571"/>
      <c r="P271" s="1571"/>
      <c r="Q271" s="1571"/>
      <c r="R271" s="1571"/>
      <c r="S271" s="1571"/>
      <c r="T271" s="1571"/>
      <c r="U271" s="1571"/>
      <c r="V271" s="1571"/>
      <c r="W271" s="1571"/>
      <c r="X271" s="1571"/>
      <c r="Y271" s="1571"/>
      <c r="Z271" s="1571"/>
      <c r="AA271" s="1571"/>
      <c r="AB271" s="1571"/>
      <c r="AC271" s="1571"/>
      <c r="AD271" s="1571"/>
      <c r="AE271" s="1571"/>
      <c r="AF271" s="1571"/>
      <c r="AG271" s="1571"/>
      <c r="AH271" s="1571"/>
      <c r="AI271" s="1571"/>
      <c r="AJ271" s="1571"/>
      <c r="AK271" s="1571"/>
      <c r="AL271" s="1571"/>
      <c r="BB271" s="1571"/>
      <c r="BC271" s="1571"/>
    </row>
    <row r="272" spans="1:55">
      <c r="A272" s="1571"/>
      <c r="B272" s="1571"/>
      <c r="C272" s="1571"/>
      <c r="D272" s="1571"/>
      <c r="E272" s="1571"/>
      <c r="F272" s="1571"/>
      <c r="G272" s="1571"/>
      <c r="H272" s="1571"/>
      <c r="I272" s="1571"/>
      <c r="J272" s="1571"/>
      <c r="K272" s="1571"/>
      <c r="L272" s="1571"/>
      <c r="M272" s="1571"/>
      <c r="N272" s="1571"/>
      <c r="O272" s="1571"/>
      <c r="P272" s="1571"/>
      <c r="Q272" s="1571"/>
      <c r="R272" s="1571"/>
      <c r="S272" s="1571"/>
      <c r="T272" s="1571"/>
      <c r="U272" s="1571"/>
      <c r="V272" s="1571"/>
      <c r="W272" s="1571"/>
      <c r="X272" s="1571"/>
      <c r="Y272" s="1571"/>
      <c r="Z272" s="1571"/>
      <c r="AA272" s="1571"/>
      <c r="AB272" s="1571"/>
      <c r="AC272" s="1571"/>
      <c r="AD272" s="1571"/>
      <c r="AE272" s="1571"/>
      <c r="AF272" s="1571"/>
      <c r="AG272" s="1571"/>
      <c r="AH272" s="1571"/>
      <c r="AI272" s="1571"/>
      <c r="AJ272" s="1571"/>
      <c r="AK272" s="1571"/>
      <c r="AL272" s="1571"/>
      <c r="BB272" s="1571"/>
      <c r="BC272" s="1571"/>
    </row>
    <row r="273" spans="1:55">
      <c r="A273" s="1571"/>
      <c r="B273" s="1571"/>
      <c r="C273" s="1571"/>
      <c r="D273" s="1571"/>
      <c r="E273" s="1571"/>
      <c r="F273" s="1571"/>
      <c r="G273" s="1571"/>
      <c r="H273" s="1571"/>
      <c r="I273" s="1571"/>
      <c r="J273" s="1571"/>
      <c r="K273" s="1571"/>
      <c r="L273" s="1571"/>
      <c r="M273" s="1571"/>
      <c r="N273" s="1571"/>
      <c r="O273" s="1571"/>
      <c r="P273" s="1571"/>
      <c r="Q273" s="1571"/>
      <c r="R273" s="1571"/>
      <c r="S273" s="1571"/>
      <c r="T273" s="1571"/>
      <c r="U273" s="1571"/>
      <c r="V273" s="1571"/>
      <c r="W273" s="1571"/>
      <c r="X273" s="1571"/>
      <c r="Y273" s="1571"/>
      <c r="Z273" s="1571"/>
      <c r="AA273" s="1571"/>
      <c r="AB273" s="1571"/>
      <c r="AC273" s="1571"/>
      <c r="AD273" s="1571"/>
      <c r="AE273" s="1571"/>
      <c r="AF273" s="1571"/>
      <c r="AG273" s="1571"/>
      <c r="AH273" s="1571"/>
      <c r="AI273" s="1571"/>
      <c r="AJ273" s="1571"/>
      <c r="AK273" s="1571"/>
      <c r="AL273" s="1571"/>
      <c r="BB273" s="1571"/>
      <c r="BC273" s="1571"/>
    </row>
    <row r="274" spans="1:55">
      <c r="A274" s="1571"/>
      <c r="B274" s="1571"/>
      <c r="C274" s="1571"/>
      <c r="D274" s="1571"/>
      <c r="E274" s="1571"/>
      <c r="F274" s="1571"/>
      <c r="G274" s="1571"/>
      <c r="H274" s="1571"/>
      <c r="I274" s="1571"/>
      <c r="J274" s="1571"/>
      <c r="K274" s="1571"/>
      <c r="L274" s="1571"/>
      <c r="M274" s="1571"/>
      <c r="N274" s="1571"/>
      <c r="O274" s="1571"/>
      <c r="P274" s="1571"/>
      <c r="Q274" s="1571"/>
      <c r="R274" s="1571"/>
      <c r="S274" s="1571"/>
      <c r="T274" s="1571"/>
      <c r="U274" s="1571"/>
      <c r="V274" s="1571"/>
      <c r="W274" s="1571"/>
      <c r="X274" s="1571"/>
      <c r="Y274" s="1571"/>
      <c r="Z274" s="1571"/>
      <c r="AA274" s="1571"/>
      <c r="AB274" s="1571"/>
      <c r="AC274" s="1571"/>
      <c r="AD274" s="1571"/>
      <c r="AE274" s="1571"/>
      <c r="AF274" s="1571"/>
      <c r="AG274" s="1571"/>
      <c r="AH274" s="1571"/>
      <c r="AI274" s="1571"/>
      <c r="AJ274" s="1571"/>
      <c r="AK274" s="1571"/>
      <c r="AL274" s="1571"/>
      <c r="BB274" s="1571"/>
      <c r="BC274" s="1571"/>
    </row>
    <row r="275" spans="1:55">
      <c r="A275" s="1571"/>
      <c r="B275" s="1571"/>
      <c r="C275" s="1571"/>
      <c r="D275" s="1571"/>
      <c r="E275" s="1571"/>
      <c r="F275" s="1571"/>
      <c r="G275" s="1571"/>
      <c r="H275" s="1571"/>
      <c r="I275" s="1571"/>
      <c r="J275" s="1571"/>
      <c r="K275" s="1571"/>
      <c r="L275" s="1571"/>
      <c r="M275" s="1571"/>
      <c r="N275" s="1571"/>
      <c r="O275" s="1571"/>
      <c r="P275" s="1571"/>
      <c r="Q275" s="1571"/>
      <c r="R275" s="1571"/>
      <c r="S275" s="1571"/>
      <c r="T275" s="1571"/>
      <c r="U275" s="1571"/>
      <c r="V275" s="1571"/>
      <c r="W275" s="1571"/>
      <c r="X275" s="1571"/>
      <c r="Y275" s="1571"/>
      <c r="Z275" s="1571"/>
      <c r="AA275" s="1571"/>
      <c r="AB275" s="1571"/>
      <c r="AC275" s="1571"/>
      <c r="AD275" s="1571"/>
      <c r="AE275" s="1571"/>
      <c r="AF275" s="1571"/>
      <c r="AG275" s="1571"/>
      <c r="AH275" s="1571"/>
      <c r="AI275" s="1571"/>
      <c r="AJ275" s="1571"/>
      <c r="AK275" s="1571"/>
      <c r="AL275" s="1571"/>
      <c r="BB275" s="1571"/>
      <c r="BC275" s="1571"/>
    </row>
    <row r="276" spans="1:55">
      <c r="A276" s="1571"/>
      <c r="B276" s="1571"/>
      <c r="C276" s="1571"/>
      <c r="D276" s="1571"/>
      <c r="E276" s="1571"/>
      <c r="F276" s="1571"/>
      <c r="G276" s="1571"/>
      <c r="H276" s="1571"/>
      <c r="I276" s="1571"/>
      <c r="J276" s="1571"/>
      <c r="K276" s="1571"/>
      <c r="L276" s="1571"/>
      <c r="M276" s="1571"/>
      <c r="N276" s="1571"/>
      <c r="O276" s="1571"/>
      <c r="P276" s="1571"/>
      <c r="Q276" s="1571"/>
      <c r="R276" s="1571"/>
      <c r="S276" s="1571"/>
      <c r="T276" s="1571"/>
      <c r="U276" s="1571"/>
      <c r="V276" s="1571"/>
      <c r="W276" s="1571"/>
      <c r="X276" s="1571"/>
      <c r="Y276" s="1571"/>
      <c r="Z276" s="1571"/>
      <c r="AA276" s="1571"/>
      <c r="AB276" s="1571"/>
      <c r="AC276" s="1571"/>
      <c r="AD276" s="1571"/>
      <c r="AE276" s="1571"/>
      <c r="AF276" s="1571"/>
      <c r="AG276" s="1571"/>
      <c r="AH276" s="1571"/>
      <c r="AI276" s="1571"/>
      <c r="AJ276" s="1571"/>
      <c r="AK276" s="1571"/>
      <c r="AL276" s="1571"/>
      <c r="BB276" s="1571"/>
      <c r="BC276" s="1571"/>
    </row>
    <row r="277" spans="1:55">
      <c r="A277" s="1571"/>
      <c r="B277" s="1571"/>
      <c r="C277" s="1571"/>
      <c r="D277" s="1571"/>
      <c r="E277" s="1571"/>
      <c r="F277" s="1571"/>
      <c r="G277" s="1571"/>
      <c r="H277" s="1571"/>
      <c r="I277" s="1571"/>
      <c r="J277" s="1571"/>
      <c r="K277" s="1571"/>
      <c r="L277" s="1571"/>
      <c r="M277" s="1571"/>
      <c r="N277" s="1571"/>
      <c r="O277" s="1571"/>
      <c r="P277" s="1571"/>
      <c r="Q277" s="1571"/>
      <c r="R277" s="1571"/>
      <c r="S277" s="1571"/>
      <c r="T277" s="1571"/>
      <c r="U277" s="1571"/>
      <c r="V277" s="1571"/>
      <c r="W277" s="1571"/>
      <c r="X277" s="1571"/>
      <c r="Y277" s="1571"/>
      <c r="Z277" s="1571"/>
      <c r="AA277" s="1571"/>
      <c r="AB277" s="1571"/>
      <c r="AC277" s="1571"/>
      <c r="AD277" s="1571"/>
      <c r="AE277" s="1571"/>
      <c r="AF277" s="1571"/>
      <c r="AG277" s="1571"/>
      <c r="AH277" s="1571"/>
      <c r="AI277" s="1571"/>
      <c r="AJ277" s="1571"/>
      <c r="AK277" s="1571"/>
      <c r="AL277" s="1571"/>
      <c r="BB277" s="1571"/>
      <c r="BC277" s="1571"/>
    </row>
    <row r="278" spans="1:55">
      <c r="A278" s="1571"/>
      <c r="B278" s="1571"/>
      <c r="C278" s="1571"/>
      <c r="D278" s="1571"/>
      <c r="E278" s="1571"/>
      <c r="F278" s="1571"/>
      <c r="G278" s="1571"/>
      <c r="H278" s="1571"/>
      <c r="I278" s="1571"/>
      <c r="J278" s="1571"/>
      <c r="K278" s="1571"/>
      <c r="L278" s="1571"/>
      <c r="M278" s="1571"/>
      <c r="N278" s="1571"/>
      <c r="O278" s="1571"/>
      <c r="P278" s="1571"/>
      <c r="Q278" s="1571"/>
      <c r="R278" s="1571"/>
      <c r="S278" s="1571"/>
      <c r="T278" s="1571"/>
      <c r="U278" s="1571"/>
      <c r="V278" s="1571"/>
      <c r="W278" s="1571"/>
      <c r="X278" s="1571"/>
      <c r="Y278" s="1571"/>
      <c r="Z278" s="1571"/>
      <c r="AA278" s="1571"/>
      <c r="AB278" s="1571"/>
      <c r="AC278" s="1571"/>
      <c r="AD278" s="1571"/>
      <c r="AE278" s="1571"/>
      <c r="AF278" s="1571"/>
      <c r="AG278" s="1571"/>
      <c r="AH278" s="1571"/>
      <c r="AI278" s="1571"/>
      <c r="AJ278" s="1571"/>
      <c r="AK278" s="1571"/>
      <c r="AL278" s="1571"/>
      <c r="BB278" s="1571"/>
      <c r="BC278" s="1571"/>
    </row>
    <row r="279" spans="1:55">
      <c r="A279" s="1571"/>
      <c r="B279" s="1571"/>
      <c r="C279" s="1571"/>
      <c r="D279" s="1571"/>
      <c r="E279" s="1571"/>
      <c r="F279" s="1571"/>
      <c r="G279" s="1571"/>
      <c r="H279" s="1571"/>
      <c r="I279" s="1571"/>
      <c r="J279" s="1571"/>
      <c r="K279" s="1571"/>
      <c r="L279" s="1571"/>
      <c r="M279" s="1571"/>
      <c r="N279" s="1571"/>
      <c r="O279" s="1571"/>
      <c r="P279" s="1571"/>
      <c r="Q279" s="1571"/>
      <c r="R279" s="1571"/>
      <c r="S279" s="1571"/>
      <c r="T279" s="1571"/>
      <c r="U279" s="1571"/>
      <c r="V279" s="1571"/>
      <c r="W279" s="1571"/>
      <c r="X279" s="1571"/>
      <c r="Y279" s="1571"/>
      <c r="Z279" s="1571"/>
      <c r="AA279" s="1571"/>
      <c r="AB279" s="1571"/>
      <c r="AC279" s="1571"/>
      <c r="AD279" s="1571"/>
      <c r="AE279" s="1571"/>
      <c r="AF279" s="1571"/>
      <c r="AG279" s="1571"/>
      <c r="AH279" s="1571"/>
      <c r="AI279" s="1571"/>
      <c r="AJ279" s="1571"/>
      <c r="AK279" s="1571"/>
      <c r="AL279" s="1571"/>
      <c r="BB279" s="1571"/>
      <c r="BC279" s="1571"/>
    </row>
    <row r="280" spans="1:55">
      <c r="A280" s="1571"/>
      <c r="B280" s="1571"/>
      <c r="C280" s="1571"/>
      <c r="D280" s="1571"/>
      <c r="E280" s="1571"/>
      <c r="F280" s="1571"/>
      <c r="G280" s="1571"/>
      <c r="H280" s="1571"/>
      <c r="I280" s="1571"/>
      <c r="J280" s="1571"/>
      <c r="K280" s="1571"/>
      <c r="L280" s="1571"/>
      <c r="M280" s="1571"/>
      <c r="N280" s="1571"/>
      <c r="O280" s="1571"/>
      <c r="P280" s="1571"/>
      <c r="Q280" s="1571"/>
      <c r="R280" s="1571"/>
      <c r="S280" s="1571"/>
      <c r="T280" s="1571"/>
      <c r="U280" s="1571"/>
      <c r="V280" s="1571"/>
      <c r="W280" s="1571"/>
      <c r="X280" s="1571"/>
      <c r="Y280" s="1571"/>
      <c r="Z280" s="1571"/>
      <c r="AA280" s="1571"/>
      <c r="AB280" s="1571"/>
      <c r="AC280" s="1571"/>
      <c r="AD280" s="1571"/>
      <c r="AE280" s="1571"/>
      <c r="AF280" s="1571"/>
      <c r="AG280" s="1571"/>
      <c r="AH280" s="1571"/>
      <c r="AI280" s="1571"/>
      <c r="AJ280" s="1571"/>
      <c r="AK280" s="1571"/>
      <c r="AL280" s="1571"/>
      <c r="BB280" s="1571"/>
      <c r="BC280" s="1571"/>
    </row>
    <row r="281" spans="1:55">
      <c r="A281" s="1571"/>
      <c r="B281" s="1571"/>
      <c r="C281" s="1571"/>
      <c r="D281" s="1571"/>
      <c r="E281" s="1571"/>
      <c r="F281" s="1571"/>
      <c r="G281" s="1571"/>
      <c r="H281" s="1571"/>
      <c r="I281" s="1571"/>
      <c r="J281" s="1571"/>
      <c r="K281" s="1571"/>
      <c r="L281" s="1571"/>
      <c r="M281" s="1571"/>
      <c r="N281" s="1571"/>
      <c r="O281" s="1571"/>
      <c r="P281" s="1571"/>
      <c r="Q281" s="1571"/>
      <c r="R281" s="1571"/>
      <c r="S281" s="1571"/>
      <c r="T281" s="1571"/>
      <c r="U281" s="1571"/>
      <c r="V281" s="1571"/>
      <c r="W281" s="1571"/>
      <c r="X281" s="1571"/>
      <c r="Y281" s="1571"/>
      <c r="Z281" s="1571"/>
      <c r="AA281" s="1571"/>
      <c r="AB281" s="1571"/>
      <c r="AC281" s="1571"/>
      <c r="AD281" s="1571"/>
      <c r="AE281" s="1571"/>
      <c r="AF281" s="1571"/>
      <c r="AG281" s="1571"/>
      <c r="AH281" s="1571"/>
      <c r="AI281" s="1571"/>
      <c r="AJ281" s="1571"/>
      <c r="AK281" s="1571"/>
      <c r="AL281" s="1571"/>
      <c r="AM281" s="1571"/>
      <c r="AN281" s="1571"/>
      <c r="AO281" s="1571"/>
      <c r="AP281" s="1571"/>
      <c r="AQ281" s="1571"/>
      <c r="AR281" s="1571"/>
      <c r="AS281" s="1571"/>
      <c r="AT281" s="1571"/>
      <c r="AU281" s="1571"/>
      <c r="AV281" s="1571"/>
      <c r="AW281" s="1571"/>
      <c r="AX281" s="1571"/>
      <c r="AY281" s="1571"/>
      <c r="AZ281" s="1571"/>
      <c r="BA281" s="1571"/>
      <c r="BB281" s="1571"/>
      <c r="BC281" s="1571"/>
    </row>
    <row r="282" spans="1:55">
      <c r="A282" s="1571"/>
      <c r="B282" s="1571"/>
      <c r="C282" s="1571"/>
      <c r="D282" s="1571"/>
      <c r="E282" s="1571"/>
      <c r="F282" s="1571"/>
      <c r="G282" s="1571"/>
      <c r="H282" s="1571"/>
      <c r="I282" s="1571"/>
      <c r="J282" s="1571"/>
      <c r="K282" s="1571"/>
      <c r="L282" s="1571"/>
      <c r="M282" s="1571"/>
      <c r="N282" s="1571"/>
      <c r="O282" s="1571"/>
      <c r="P282" s="1571"/>
      <c r="Q282" s="1571"/>
      <c r="R282" s="1571"/>
      <c r="S282" s="1571"/>
      <c r="T282" s="1571"/>
      <c r="U282" s="1571"/>
      <c r="V282" s="1571"/>
      <c r="W282" s="1571"/>
      <c r="X282" s="1571"/>
      <c r="Y282" s="1571"/>
      <c r="Z282" s="1571"/>
      <c r="AA282" s="1571"/>
      <c r="AB282" s="1571"/>
      <c r="AC282" s="1571"/>
      <c r="AD282" s="1571"/>
      <c r="AE282" s="1571"/>
      <c r="AF282" s="1571"/>
      <c r="AG282" s="1571"/>
      <c r="AH282" s="1571"/>
      <c r="AI282" s="1571"/>
      <c r="AJ282" s="1571"/>
      <c r="AK282" s="1571"/>
      <c r="AL282" s="1571"/>
      <c r="AM282" s="1571"/>
      <c r="AN282" s="1571"/>
      <c r="AO282" s="1571"/>
      <c r="AP282" s="1571"/>
      <c r="AQ282" s="1571"/>
      <c r="AR282" s="1571"/>
      <c r="AS282" s="1571"/>
      <c r="AT282" s="1571"/>
      <c r="AU282" s="1571"/>
      <c r="AV282" s="1571"/>
      <c r="AW282" s="1571"/>
      <c r="AX282" s="1571"/>
      <c r="AY282" s="1571"/>
      <c r="AZ282" s="1571"/>
      <c r="BA282" s="1571"/>
      <c r="BB282" s="1571"/>
      <c r="BC282" s="1571"/>
    </row>
    <row r="283" spans="1:55">
      <c r="A283" s="1571"/>
      <c r="B283" s="1571"/>
      <c r="C283" s="1571"/>
      <c r="D283" s="1571"/>
      <c r="E283" s="1571"/>
      <c r="F283" s="1571"/>
      <c r="G283" s="1571"/>
      <c r="H283" s="1571"/>
      <c r="I283" s="1571"/>
      <c r="J283" s="1571"/>
      <c r="K283" s="1571"/>
      <c r="L283" s="1571"/>
      <c r="M283" s="1571"/>
      <c r="N283" s="1571"/>
      <c r="O283" s="1571"/>
      <c r="P283" s="1571"/>
      <c r="Q283" s="1571"/>
      <c r="R283" s="1571"/>
      <c r="S283" s="1571"/>
      <c r="T283" s="1571"/>
      <c r="U283" s="1571"/>
      <c r="V283" s="1571"/>
      <c r="W283" s="1571"/>
      <c r="X283" s="1571"/>
      <c r="Y283" s="1571"/>
      <c r="Z283" s="1571"/>
      <c r="AA283" s="1571"/>
      <c r="AB283" s="1571"/>
      <c r="AC283" s="1571"/>
      <c r="AD283" s="1571"/>
      <c r="AE283" s="1571"/>
      <c r="AF283" s="1571"/>
      <c r="AG283" s="1571"/>
      <c r="AH283" s="1571"/>
      <c r="AI283" s="1571"/>
      <c r="AJ283" s="1571"/>
      <c r="AK283" s="1571"/>
      <c r="AL283" s="1571"/>
      <c r="AM283" s="1571"/>
      <c r="AN283" s="1571"/>
      <c r="AO283" s="1571"/>
      <c r="AP283" s="1571"/>
      <c r="AQ283" s="1571"/>
      <c r="AR283" s="1571"/>
      <c r="AS283" s="1571"/>
      <c r="AT283" s="1571"/>
      <c r="AU283" s="1571"/>
      <c r="AV283" s="1571"/>
      <c r="AW283" s="1571"/>
      <c r="AX283" s="1571"/>
      <c r="AY283" s="1571"/>
      <c r="AZ283" s="1571"/>
      <c r="BA283" s="1571"/>
      <c r="BB283" s="1571"/>
      <c r="BC283" s="1571"/>
    </row>
  </sheetData>
  <phoneticPr fontId="19" type="noConversion"/>
  <pageMargins left="0.75" right="0.75" top="1" bottom="1" header="0.5" footer="0.5"/>
  <pageSetup paperSize="17"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499984740745262"/>
  </sheetPr>
  <dimension ref="A1:R35"/>
  <sheetViews>
    <sheetView tabSelected="1" view="pageLayout" zoomScaleNormal="70" workbookViewId="0">
      <selection activeCell="G1" sqref="G1"/>
    </sheetView>
  </sheetViews>
  <sheetFormatPr defaultColWidth="8.85546875" defaultRowHeight="12.75"/>
  <cols>
    <col min="1" max="1" width="6.7109375" style="18" customWidth="1"/>
    <col min="2" max="2" width="12.7109375" style="18" customWidth="1"/>
    <col min="3" max="3" width="37.5703125" style="18" customWidth="1"/>
    <col min="4" max="9" width="13.28515625" style="18" customWidth="1"/>
    <col min="10" max="11" width="12.85546875" style="18" hidden="1" customWidth="1"/>
    <col min="12" max="12" width="13.28515625" style="18" customWidth="1"/>
    <col min="13" max="13" width="13.28515625" style="18" hidden="1" customWidth="1"/>
    <col min="14" max="18" width="13.28515625" style="18" customWidth="1"/>
    <col min="19" max="16384" width="8.85546875" style="18"/>
  </cols>
  <sheetData>
    <row r="1" spans="1:18">
      <c r="A1" s="45" t="str">
        <f>COMPANY</f>
        <v>DUKE ENERGY KENTUCKY, INC.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 t="s">
        <v>135</v>
      </c>
      <c r="R1" s="1571"/>
    </row>
    <row r="2" spans="1:18">
      <c r="A2" s="45" t="str">
        <f>CASE</f>
        <v>CASE NO. 2017-00321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 t="s">
        <v>622</v>
      </c>
      <c r="R2" s="1571"/>
    </row>
    <row r="3" spans="1:18">
      <c r="A3" s="45" t="s">
        <v>3325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 t="str">
        <f>_WIT1</f>
        <v>S. E. LAWLER</v>
      </c>
      <c r="R3" s="1571"/>
    </row>
    <row r="4" spans="1:18">
      <c r="A4" s="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</row>
    <row r="5" spans="1:18">
      <c r="A5" s="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</row>
    <row r="6" spans="1:18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52" t="s">
        <v>1193</v>
      </c>
      <c r="N6" s="45"/>
      <c r="O6" s="45"/>
      <c r="P6" s="52"/>
      <c r="Q6" s="45"/>
      <c r="R6" s="52" t="s">
        <v>17</v>
      </c>
    </row>
    <row r="7" spans="1:18">
      <c r="A7" s="45"/>
      <c r="B7" s="52"/>
      <c r="C7" s="52"/>
      <c r="D7" s="52"/>
      <c r="E7" s="52"/>
      <c r="F7" s="52"/>
      <c r="G7" s="52"/>
      <c r="H7" s="52"/>
      <c r="I7" s="52"/>
      <c r="J7" s="52" t="s">
        <v>2586</v>
      </c>
      <c r="K7" s="45"/>
      <c r="L7" s="52" t="s">
        <v>1193</v>
      </c>
      <c r="M7" s="52" t="s">
        <v>1510</v>
      </c>
      <c r="N7" s="52"/>
      <c r="O7" s="52"/>
      <c r="P7" s="428"/>
      <c r="Q7" s="52"/>
      <c r="R7" s="52" t="s">
        <v>1746</v>
      </c>
    </row>
    <row r="8" spans="1:18">
      <c r="A8" s="52" t="s">
        <v>1240</v>
      </c>
      <c r="B8" s="52"/>
      <c r="C8" s="52"/>
      <c r="D8" s="52" t="s">
        <v>1117</v>
      </c>
      <c r="E8" s="52" t="s">
        <v>1028</v>
      </c>
      <c r="F8" s="52" t="s">
        <v>1623</v>
      </c>
      <c r="G8" s="52" t="s">
        <v>1623</v>
      </c>
      <c r="H8" s="52" t="s">
        <v>1028</v>
      </c>
      <c r="I8" s="52" t="s">
        <v>1176</v>
      </c>
      <c r="J8" s="52" t="s">
        <v>2587</v>
      </c>
      <c r="K8" s="52" t="s">
        <v>1178</v>
      </c>
      <c r="L8" s="52" t="s">
        <v>580</v>
      </c>
      <c r="M8" s="52" t="s">
        <v>1511</v>
      </c>
      <c r="N8" s="52" t="s">
        <v>714</v>
      </c>
      <c r="O8" s="52" t="s">
        <v>248</v>
      </c>
      <c r="P8" s="52" t="s">
        <v>1028</v>
      </c>
      <c r="Q8" s="52" t="s">
        <v>329</v>
      </c>
      <c r="R8" s="429" t="s">
        <v>1404</v>
      </c>
    </row>
    <row r="9" spans="1:18">
      <c r="A9" s="430" t="s">
        <v>1241</v>
      </c>
      <c r="B9" s="430" t="s">
        <v>1242</v>
      </c>
      <c r="C9" s="430" t="s">
        <v>1119</v>
      </c>
      <c r="D9" s="430" t="s">
        <v>1416</v>
      </c>
      <c r="E9" s="430" t="s">
        <v>1416</v>
      </c>
      <c r="F9" s="430" t="s">
        <v>1416</v>
      </c>
      <c r="G9" s="430" t="s">
        <v>478</v>
      </c>
      <c r="H9" s="430" t="s">
        <v>1194</v>
      </c>
      <c r="I9" s="430" t="s">
        <v>478</v>
      </c>
      <c r="J9" s="430" t="s">
        <v>478</v>
      </c>
      <c r="K9" s="430" t="s">
        <v>478</v>
      </c>
      <c r="L9" s="430" t="s">
        <v>478</v>
      </c>
      <c r="M9" s="430" t="s">
        <v>478</v>
      </c>
      <c r="N9" s="430" t="s">
        <v>478</v>
      </c>
      <c r="O9" s="430" t="s">
        <v>478</v>
      </c>
      <c r="P9" s="430" t="s">
        <v>478</v>
      </c>
      <c r="Q9" s="430" t="s">
        <v>478</v>
      </c>
      <c r="R9" s="430" t="s">
        <v>1861</v>
      </c>
    </row>
    <row r="10" spans="1:18">
      <c r="A10" s="52">
        <v>1</v>
      </c>
      <c r="B10" s="52" t="s">
        <v>814</v>
      </c>
      <c r="C10" s="45" t="s">
        <v>3095</v>
      </c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>
        <f>SCH_D1!W223</f>
        <v>463931</v>
      </c>
      <c r="Q10" s="47"/>
      <c r="R10" s="47"/>
    </row>
    <row r="11" spans="1:18">
      <c r="A11" s="52">
        <v>2</v>
      </c>
      <c r="B11" s="52" t="s">
        <v>1309</v>
      </c>
      <c r="C11" s="45" t="s">
        <v>136</v>
      </c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>
        <f>SCH_D1!Y223</f>
        <v>120538</v>
      </c>
      <c r="Q11" s="47"/>
      <c r="R11" s="47"/>
    </row>
    <row r="12" spans="1:18">
      <c r="A12" s="52">
        <v>3</v>
      </c>
      <c r="B12" s="52" t="s">
        <v>815</v>
      </c>
      <c r="C12" s="45" t="s">
        <v>3096</v>
      </c>
      <c r="D12" s="47"/>
      <c r="E12" s="47"/>
      <c r="F12" s="47"/>
      <c r="G12" s="47"/>
      <c r="H12" s="47">
        <f>SCH_D1!AA213</f>
        <v>-12398573</v>
      </c>
      <c r="I12" s="47"/>
      <c r="J12" s="47"/>
      <c r="K12" s="47"/>
      <c r="L12" s="47"/>
      <c r="M12" s="47"/>
      <c r="N12" s="47"/>
      <c r="O12" s="47"/>
      <c r="P12" s="47"/>
      <c r="Q12" s="47"/>
      <c r="R12" s="47"/>
    </row>
    <row r="13" spans="1:18">
      <c r="A13" s="52">
        <v>4</v>
      </c>
      <c r="B13" s="52" t="s">
        <v>816</v>
      </c>
      <c r="C13" s="45" t="s">
        <v>3303</v>
      </c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</row>
    <row r="14" spans="1:18">
      <c r="A14" s="52">
        <v>5</v>
      </c>
      <c r="B14" s="52" t="s">
        <v>817</v>
      </c>
      <c r="C14" s="45" t="s">
        <v>1402</v>
      </c>
      <c r="D14" s="47">
        <f>SCH_D1!AE204</f>
        <v>2401046</v>
      </c>
      <c r="E14" s="47">
        <f>SCH_D1!AE206</f>
        <v>-13840230</v>
      </c>
      <c r="F14" s="47"/>
      <c r="G14" s="47">
        <f>SCH_D1!AE212</f>
        <v>-8553307</v>
      </c>
      <c r="H14" s="47">
        <f>SCH_D1!AE213</f>
        <v>-241</v>
      </c>
      <c r="I14" s="47">
        <f>SCH_D1!AE216</f>
        <v>-1062000</v>
      </c>
      <c r="J14" s="47"/>
      <c r="K14" s="47"/>
      <c r="L14" s="47"/>
      <c r="M14" s="47"/>
      <c r="N14" s="47"/>
      <c r="O14" s="47"/>
      <c r="P14" s="47"/>
      <c r="Q14" s="47"/>
      <c r="R14" s="47"/>
    </row>
    <row r="15" spans="1:18">
      <c r="A15" s="52">
        <v>6</v>
      </c>
      <c r="B15" s="52" t="s">
        <v>818</v>
      </c>
      <c r="C15" s="45" t="s">
        <v>3158</v>
      </c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>
        <f>SCH_D1!U288</f>
        <v>490618</v>
      </c>
      <c r="R15" s="47"/>
    </row>
    <row r="16" spans="1:18">
      <c r="A16" s="52">
        <v>7</v>
      </c>
      <c r="B16" s="52" t="s">
        <v>819</v>
      </c>
      <c r="C16" s="45" t="s">
        <v>137</v>
      </c>
      <c r="D16" s="47">
        <f>SCH_D1!W266</f>
        <v>-9203902</v>
      </c>
      <c r="E16" s="47"/>
      <c r="F16" s="47"/>
      <c r="G16" s="47"/>
      <c r="H16" s="47">
        <f>SCH_D1!W275</f>
        <v>-8833523</v>
      </c>
      <c r="I16" s="47"/>
      <c r="J16" s="47"/>
      <c r="K16" s="47"/>
      <c r="L16" s="47">
        <f>SCH_D1!W281</f>
        <v>-3838</v>
      </c>
      <c r="M16" s="47"/>
      <c r="N16" s="47"/>
      <c r="O16" s="47">
        <f>SCH_D1!W284</f>
        <v>-106483</v>
      </c>
      <c r="P16" s="47"/>
      <c r="Q16" s="47"/>
      <c r="R16" s="47">
        <f>SCH_D1!W292</f>
        <v>-34680</v>
      </c>
    </row>
    <row r="17" spans="1:18">
      <c r="A17" s="52">
        <v>8</v>
      </c>
      <c r="B17" s="52" t="s">
        <v>820</v>
      </c>
      <c r="C17" s="45" t="s">
        <v>138</v>
      </c>
      <c r="D17" s="47"/>
      <c r="E17" s="47"/>
      <c r="F17" s="47"/>
      <c r="G17" s="47"/>
      <c r="H17" s="47">
        <f>SCH_D1!Y275</f>
        <v>-1777</v>
      </c>
      <c r="I17" s="47"/>
      <c r="J17" s="47"/>
      <c r="K17" s="47"/>
      <c r="L17" s="47">
        <f>SCH_D1!Y281</f>
        <v>-18293</v>
      </c>
      <c r="M17" s="47"/>
      <c r="N17" s="47">
        <f>SCH_D1!Y283</f>
        <v>-122062</v>
      </c>
      <c r="O17" s="47">
        <f>SCH_D1!Y284</f>
        <v>-380881</v>
      </c>
      <c r="P17" s="47"/>
      <c r="Q17" s="47"/>
      <c r="R17" s="47">
        <f>SCH_D1!Y291+SCH_D1!Y292</f>
        <v>-16879</v>
      </c>
    </row>
    <row r="18" spans="1:18">
      <c r="A18" s="52">
        <v>9</v>
      </c>
      <c r="B18" s="52" t="s">
        <v>1315</v>
      </c>
      <c r="C18" s="45" t="s">
        <v>1512</v>
      </c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>
        <f ca="1">SCH_D1!AA288</f>
        <v>5936434</v>
      </c>
      <c r="R18" s="47"/>
    </row>
    <row r="19" spans="1:18">
      <c r="A19" s="52">
        <v>10</v>
      </c>
      <c r="B19" s="52" t="s">
        <v>1303</v>
      </c>
      <c r="C19" s="45" t="s">
        <v>139</v>
      </c>
      <c r="D19" s="47">
        <f>SCH_D1!AC266</f>
        <v>3258473</v>
      </c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</row>
    <row r="20" spans="1:18">
      <c r="A20" s="52">
        <v>11</v>
      </c>
      <c r="B20" s="52" t="s">
        <v>821</v>
      </c>
      <c r="C20" s="45" t="s">
        <v>3304</v>
      </c>
      <c r="D20" s="47"/>
      <c r="E20" s="47"/>
      <c r="F20" s="47"/>
      <c r="G20" s="47"/>
      <c r="I20" s="47"/>
      <c r="J20" s="47"/>
      <c r="K20" s="47"/>
      <c r="L20" s="47">
        <f>SCH_D1!AE281</f>
        <v>-2321137</v>
      </c>
      <c r="M20" s="47"/>
      <c r="N20" s="47"/>
      <c r="O20" s="47"/>
      <c r="P20" s="47"/>
      <c r="Q20" s="47"/>
      <c r="R20" s="47"/>
    </row>
    <row r="21" spans="1:18">
      <c r="A21" s="52">
        <v>12</v>
      </c>
      <c r="B21" s="52" t="s">
        <v>822</v>
      </c>
      <c r="C21" s="45" t="s">
        <v>2706</v>
      </c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>
        <f>SCH_D1!U346</f>
        <v>-237780</v>
      </c>
      <c r="P21" s="47"/>
      <c r="Q21" s="47"/>
      <c r="R21" s="47"/>
    </row>
    <row r="22" spans="1:18">
      <c r="A22" s="52">
        <v>13</v>
      </c>
      <c r="B22" s="52" t="s">
        <v>823</v>
      </c>
      <c r="C22" s="45" t="s">
        <v>3157</v>
      </c>
      <c r="D22" s="47"/>
      <c r="E22" s="47"/>
      <c r="F22" s="47"/>
      <c r="G22" s="47">
        <f>SCH_D1!W336</f>
        <v>774947.4</v>
      </c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</row>
    <row r="23" spans="1:18">
      <c r="A23" s="52">
        <v>14</v>
      </c>
      <c r="B23" s="52" t="s">
        <v>824</v>
      </c>
      <c r="C23" s="45" t="s">
        <v>2737</v>
      </c>
      <c r="E23" s="47">
        <f>SCH_D1!Y330</f>
        <v>122230</v>
      </c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</row>
    <row r="24" spans="1:18">
      <c r="A24" s="52">
        <v>15</v>
      </c>
      <c r="B24" s="52" t="s">
        <v>42</v>
      </c>
      <c r="C24" s="45" t="s">
        <v>3302</v>
      </c>
      <c r="D24" s="47"/>
      <c r="E24" s="47"/>
      <c r="F24" s="47"/>
      <c r="G24" s="47"/>
      <c r="H24" s="47">
        <f>SCH_D1!AA337</f>
        <v>4777142.6000000006</v>
      </c>
      <c r="I24" s="47"/>
      <c r="J24" s="47"/>
      <c r="K24" s="47"/>
      <c r="L24" s="47"/>
      <c r="M24" s="47"/>
      <c r="N24" s="47"/>
      <c r="O24" s="47"/>
      <c r="P24" s="47"/>
      <c r="Q24" s="47"/>
      <c r="R24" s="47"/>
    </row>
    <row r="25" spans="1:18">
      <c r="A25" s="52">
        <v>16</v>
      </c>
      <c r="B25" s="52" t="s">
        <v>43</v>
      </c>
      <c r="C25" s="45" t="s">
        <v>1187</v>
      </c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>
        <f>SCH_D1!AC347</f>
        <v>6247623</v>
      </c>
      <c r="Q25" s="47"/>
      <c r="R25" s="47"/>
    </row>
    <row r="26" spans="1:18">
      <c r="A26" s="52">
        <v>17</v>
      </c>
      <c r="B26" s="52" t="s">
        <v>276</v>
      </c>
      <c r="C26" s="45" t="s">
        <v>1403</v>
      </c>
      <c r="D26" s="47"/>
      <c r="E26" s="47"/>
      <c r="F26" s="47"/>
      <c r="G26" s="47"/>
      <c r="H26" s="47"/>
      <c r="I26" s="47"/>
      <c r="J26" s="47"/>
      <c r="K26" s="47"/>
      <c r="L26" s="47">
        <f ca="1">SCH_D1!AE343</f>
        <v>-1418703</v>
      </c>
      <c r="M26" s="47"/>
      <c r="N26" s="47"/>
      <c r="O26" s="47"/>
      <c r="P26" s="47"/>
      <c r="Q26" s="47"/>
      <c r="R26" s="47"/>
    </row>
    <row r="27" spans="1:18">
      <c r="A27" s="52">
        <v>18</v>
      </c>
      <c r="B27" s="52" t="s">
        <v>277</v>
      </c>
      <c r="C27" s="45" t="s">
        <v>2588</v>
      </c>
      <c r="D27" s="47"/>
      <c r="E27" s="47"/>
      <c r="F27" s="47"/>
      <c r="G27" s="47"/>
      <c r="H27" s="47">
        <f>SCH_D1!U399</f>
        <v>1005775</v>
      </c>
      <c r="I27" s="47"/>
      <c r="J27" s="47"/>
      <c r="K27" s="47"/>
      <c r="L27" s="47"/>
      <c r="M27" s="47"/>
      <c r="N27" s="47"/>
      <c r="O27" s="47"/>
      <c r="P27" s="47"/>
      <c r="Q27" s="47"/>
      <c r="R27" s="47"/>
    </row>
    <row r="28" spans="1:18">
      <c r="A28" s="52">
        <v>19</v>
      </c>
      <c r="B28" s="52" t="s">
        <v>278</v>
      </c>
      <c r="C28" s="45" t="s">
        <v>3097</v>
      </c>
      <c r="D28" s="47"/>
      <c r="E28" s="47"/>
      <c r="F28" s="47"/>
      <c r="G28" s="47"/>
      <c r="H28" s="47"/>
      <c r="I28" s="47">
        <f>SCH_D1!W402</f>
        <v>1979833</v>
      </c>
      <c r="J28" s="47"/>
      <c r="K28" s="47"/>
      <c r="L28" s="47"/>
      <c r="M28" s="47"/>
      <c r="N28" s="47"/>
      <c r="O28" s="47"/>
      <c r="P28" s="47"/>
      <c r="Q28" s="47"/>
      <c r="R28" s="47"/>
    </row>
    <row r="29" spans="1:18">
      <c r="A29" s="52">
        <v>20</v>
      </c>
      <c r="B29" s="52" t="s">
        <v>279</v>
      </c>
      <c r="C29" s="45" t="s">
        <v>3305</v>
      </c>
      <c r="D29" s="47">
        <f>SCH_D1!Y390</f>
        <v>105586</v>
      </c>
      <c r="E29" s="47">
        <f>SCH_D1!Y392</f>
        <v>60176</v>
      </c>
      <c r="F29" s="47">
        <f>SCH_D1!Y391</f>
        <v>4635613</v>
      </c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</row>
    <row r="30" spans="1:18" ht="13.5" thickBot="1">
      <c r="A30" s="52">
        <v>21</v>
      </c>
      <c r="B30" s="45"/>
      <c r="C30" s="45"/>
      <c r="D30" s="431">
        <f t="shared" ref="D30:R30" si="0">SUM(D10:D29)</f>
        <v>-3438797</v>
      </c>
      <c r="E30" s="431">
        <f t="shared" si="0"/>
        <v>-13657824</v>
      </c>
      <c r="F30" s="431">
        <f t="shared" si="0"/>
        <v>4635613</v>
      </c>
      <c r="G30" s="431">
        <f t="shared" si="0"/>
        <v>-7778359.5999999996</v>
      </c>
      <c r="H30" s="431">
        <f t="shared" si="0"/>
        <v>-15451196.399999999</v>
      </c>
      <c r="I30" s="431">
        <f t="shared" si="0"/>
        <v>917833</v>
      </c>
      <c r="J30" s="431">
        <f t="shared" si="0"/>
        <v>0</v>
      </c>
      <c r="K30" s="431">
        <f t="shared" si="0"/>
        <v>0</v>
      </c>
      <c r="L30" s="431">
        <f t="shared" ca="1" si="0"/>
        <v>-3761971</v>
      </c>
      <c r="M30" s="431">
        <f t="shared" si="0"/>
        <v>0</v>
      </c>
      <c r="N30" s="431">
        <f t="shared" si="0"/>
        <v>-122062</v>
      </c>
      <c r="O30" s="431">
        <f t="shared" si="0"/>
        <v>-725144</v>
      </c>
      <c r="P30" s="431">
        <f t="shared" si="0"/>
        <v>6832092</v>
      </c>
      <c r="Q30" s="431">
        <f t="shared" ca="1" si="0"/>
        <v>6427052</v>
      </c>
      <c r="R30" s="431">
        <f t="shared" si="0"/>
        <v>-51559</v>
      </c>
    </row>
    <row r="31" spans="1:18" ht="13.5" thickTop="1"/>
    <row r="33" spans="3:18">
      <c r="C33" s="45"/>
      <c r="D33" s="1347"/>
      <c r="E33" s="1347"/>
      <c r="F33" s="1347"/>
      <c r="G33" s="1347"/>
      <c r="H33" s="1347"/>
      <c r="I33" s="1347"/>
      <c r="J33" s="1347"/>
      <c r="K33" s="1347"/>
      <c r="L33" s="1347"/>
      <c r="M33" s="1347"/>
      <c r="N33" s="1347"/>
      <c r="O33" s="1347"/>
      <c r="P33" s="1347"/>
      <c r="Q33" s="1347"/>
      <c r="R33" s="1347"/>
    </row>
    <row r="35" spans="3:18">
      <c r="D35" s="1347"/>
      <c r="E35" s="1347"/>
      <c r="F35" s="1347"/>
      <c r="G35" s="1347"/>
      <c r="H35" s="1347"/>
      <c r="I35" s="1347"/>
      <c r="J35" s="1347"/>
      <c r="K35" s="1347"/>
      <c r="L35" s="1347"/>
      <c r="M35" s="1347"/>
      <c r="N35" s="1347"/>
      <c r="O35" s="1347"/>
      <c r="P35" s="1347"/>
      <c r="Q35" s="1347"/>
      <c r="R35" s="1347"/>
    </row>
  </sheetData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2" tint="-0.499984740745262"/>
  </sheetPr>
  <dimension ref="A1:M376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10.5703125" style="18" customWidth="1"/>
    <col min="2" max="2" width="13.85546875" style="18" customWidth="1"/>
    <col min="3" max="3" width="6.5703125" style="18" customWidth="1"/>
    <col min="4" max="4" width="14.140625" style="18" customWidth="1"/>
    <col min="5" max="5" width="2.140625" style="18" customWidth="1"/>
    <col min="6" max="6" width="49.28515625" style="18" customWidth="1"/>
    <col min="7" max="7" width="17.85546875" style="18" customWidth="1"/>
    <col min="8" max="8" width="15.5703125" style="18" customWidth="1"/>
    <col min="9" max="9" width="1.140625" style="18" customWidth="1"/>
    <col min="10" max="10" width="20" style="18" customWidth="1"/>
    <col min="11" max="11" width="21" style="18" customWidth="1"/>
    <col min="12" max="16384" width="8" style="18"/>
  </cols>
  <sheetData>
    <row r="1" spans="1:12">
      <c r="A1" s="432"/>
      <c r="B1" s="432"/>
      <c r="C1" s="1463"/>
      <c r="D1" s="1463"/>
      <c r="E1" s="1463"/>
      <c r="F1" s="1463"/>
      <c r="G1" s="1463"/>
      <c r="H1" s="1463"/>
      <c r="I1" s="1463"/>
      <c r="J1" s="1463"/>
      <c r="K1" s="1463"/>
      <c r="L1" s="1463"/>
    </row>
    <row r="2" spans="1:12">
      <c r="A2" s="432"/>
      <c r="B2" s="432"/>
      <c r="C2" s="1463"/>
      <c r="D2" s="1463"/>
      <c r="E2" s="1463"/>
      <c r="F2" s="1463"/>
      <c r="G2" s="1463"/>
      <c r="H2" s="1463"/>
      <c r="I2" s="1463"/>
      <c r="J2" s="1463"/>
      <c r="K2" s="1463"/>
      <c r="L2" s="1463"/>
    </row>
    <row r="3" spans="1:12">
      <c r="A3" s="433"/>
      <c r="B3" s="433"/>
      <c r="C3" s="434" t="str">
        <f>COMPANY</f>
        <v>DUKE ENERGY KENTUCKY, INC.</v>
      </c>
      <c r="D3" s="435"/>
      <c r="E3" s="435"/>
      <c r="F3" s="434"/>
      <c r="G3" s="435"/>
      <c r="H3" s="435"/>
      <c r="I3" s="435"/>
      <c r="J3" s="435"/>
      <c r="K3" s="435"/>
      <c r="L3" s="1463"/>
    </row>
    <row r="4" spans="1:12">
      <c r="A4" s="433"/>
      <c r="B4" s="433"/>
      <c r="C4" s="434" t="str">
        <f>CASE</f>
        <v>CASE NO. 2017-00321</v>
      </c>
      <c r="D4" s="435"/>
      <c r="E4" s="435"/>
      <c r="F4" s="434"/>
      <c r="G4" s="435"/>
      <c r="H4" s="435"/>
      <c r="I4" s="435"/>
      <c r="J4" s="435"/>
      <c r="K4" s="435"/>
      <c r="L4" s="1463"/>
    </row>
    <row r="5" spans="1:12">
      <c r="A5" s="433"/>
      <c r="B5" s="433"/>
      <c r="C5" s="434" t="s">
        <v>1949</v>
      </c>
      <c r="D5" s="435"/>
      <c r="E5" s="434"/>
      <c r="F5" s="435"/>
      <c r="G5" s="435"/>
      <c r="H5" s="435"/>
      <c r="I5" s="435"/>
      <c r="J5" s="435"/>
      <c r="K5" s="435"/>
      <c r="L5" s="1463"/>
    </row>
    <row r="6" spans="1:12">
      <c r="A6" s="433"/>
      <c r="B6" s="433"/>
      <c r="C6" s="434" t="str">
        <f>PERIOD</f>
        <v>FOR THE TWELVE MONTHS ENDED NOVEMBER 30, 2017</v>
      </c>
      <c r="D6" s="435"/>
      <c r="E6" s="435"/>
      <c r="F6" s="434"/>
      <c r="G6" s="435"/>
      <c r="H6" s="435"/>
      <c r="I6" s="435"/>
      <c r="J6" s="435"/>
      <c r="K6" s="435"/>
      <c r="L6" s="1463"/>
    </row>
    <row r="7" spans="1:12">
      <c r="A7" s="433"/>
      <c r="B7" s="433"/>
      <c r="C7" s="435"/>
      <c r="D7" s="435"/>
      <c r="E7" s="435"/>
      <c r="F7" s="435"/>
      <c r="G7" s="435"/>
      <c r="H7" s="435"/>
      <c r="I7" s="435"/>
      <c r="J7" s="1463"/>
      <c r="K7" s="1463"/>
      <c r="L7" s="1463"/>
    </row>
    <row r="8" spans="1:12">
      <c r="A8" s="433"/>
      <c r="B8" s="433"/>
      <c r="C8" s="1463"/>
      <c r="D8" s="1463"/>
      <c r="E8" s="1463"/>
      <c r="F8" s="1463"/>
      <c r="G8" s="1463"/>
      <c r="H8" s="1463"/>
      <c r="I8" s="1463"/>
      <c r="J8" s="1318" t="str">
        <f>"                "&amp;"SCHEDULE C-2.1"</f>
        <v xml:space="preserve">                SCHEDULE C-2.1</v>
      </c>
      <c r="K8" s="1463"/>
      <c r="L8" s="1463"/>
    </row>
    <row r="9" spans="1:12">
      <c r="A9" s="433"/>
      <c r="B9" s="433"/>
      <c r="C9" s="436" t="str">
        <f>Data</f>
        <v>DATA: "X" BASE PERIOD   FORECASTED PERIOD</v>
      </c>
      <c r="D9" s="1463"/>
      <c r="E9" s="1463"/>
      <c r="F9" s="1463"/>
      <c r="G9" s="1463"/>
      <c r="H9" s="1463"/>
      <c r="I9" s="1463"/>
      <c r="J9" s="1318" t="str">
        <f>"                "&amp;"PAGE  1  OF  14"</f>
        <v xml:space="preserve">                PAGE  1  OF  14</v>
      </c>
      <c r="K9" s="1463"/>
      <c r="L9" s="1463"/>
    </row>
    <row r="10" spans="1:12">
      <c r="A10" s="433"/>
      <c r="B10" s="433"/>
      <c r="C10" s="436" t="str">
        <f>Type</f>
        <v xml:space="preserve">TYPE OF FILING:  "X" ORIGINAL   UPDATED    REVISED  </v>
      </c>
      <c r="D10" s="1463"/>
      <c r="E10" s="1463"/>
      <c r="F10" s="1463"/>
      <c r="G10" s="1463"/>
      <c r="H10" s="1463"/>
      <c r="I10" s="1463"/>
      <c r="J10" s="1318" t="str">
        <f>"                "&amp;"WITNESS RESPONSIBLE:"</f>
        <v xml:space="preserve">                WITNESS RESPONSIBLE:</v>
      </c>
      <c r="K10" s="1463"/>
      <c r="L10" s="1463"/>
    </row>
    <row r="11" spans="1:12">
      <c r="A11" s="433"/>
      <c r="B11" s="433"/>
      <c r="C11" s="1318" t="s">
        <v>2393</v>
      </c>
      <c r="D11" s="1463"/>
      <c r="E11" s="1463"/>
      <c r="F11" s="1463"/>
      <c r="G11" s="1463"/>
      <c r="H11" s="1463"/>
      <c r="I11" s="1463"/>
      <c r="J11" s="1318" t="str">
        <f>"                "&amp;_WIT1</f>
        <v xml:space="preserve">                S. E. LAWLER</v>
      </c>
      <c r="K11" s="1463"/>
      <c r="L11" s="1463"/>
    </row>
    <row r="12" spans="1:12">
      <c r="A12" s="433"/>
      <c r="B12" s="433"/>
      <c r="C12" s="437"/>
      <c r="D12" s="438"/>
      <c r="E12" s="438"/>
      <c r="F12" s="438"/>
      <c r="G12" s="438"/>
      <c r="H12" s="438"/>
      <c r="I12" s="438"/>
      <c r="J12" s="438"/>
      <c r="K12" s="438"/>
      <c r="L12" s="1463"/>
    </row>
    <row r="13" spans="1:12">
      <c r="A13" s="433"/>
      <c r="B13" s="433"/>
      <c r="C13" s="1463"/>
      <c r="D13" s="1463"/>
      <c r="E13" s="1463"/>
      <c r="F13" s="1463"/>
      <c r="G13" s="1464" t="s">
        <v>238</v>
      </c>
      <c r="H13" s="1465" t="s">
        <v>360</v>
      </c>
      <c r="I13" s="1463"/>
      <c r="J13" s="1463"/>
      <c r="K13" s="1464" t="s">
        <v>1461</v>
      </c>
      <c r="L13" s="1463"/>
    </row>
    <row r="14" spans="1:12">
      <c r="A14" s="433"/>
      <c r="B14" s="433"/>
      <c r="C14" s="1464" t="s">
        <v>1961</v>
      </c>
      <c r="D14" s="1464" t="s">
        <v>1080</v>
      </c>
      <c r="E14" s="1463"/>
      <c r="F14" s="1463"/>
      <c r="G14" s="1464" t="s">
        <v>1035</v>
      </c>
      <c r="H14" s="1464" t="s">
        <v>362</v>
      </c>
      <c r="I14" s="1463"/>
      <c r="J14" s="1464" t="s">
        <v>238</v>
      </c>
      <c r="K14" s="1464" t="s">
        <v>239</v>
      </c>
      <c r="L14" s="1463"/>
    </row>
    <row r="15" spans="1:12">
      <c r="A15" s="433"/>
      <c r="B15" s="433"/>
      <c r="C15" s="1464" t="s">
        <v>1854</v>
      </c>
      <c r="D15" s="1464" t="s">
        <v>90</v>
      </c>
      <c r="E15" s="1463"/>
      <c r="F15" s="434" t="s">
        <v>240</v>
      </c>
      <c r="G15" s="1464" t="s">
        <v>1872</v>
      </c>
      <c r="H15" s="1464" t="s">
        <v>363</v>
      </c>
      <c r="I15" s="1463"/>
      <c r="J15" s="1464" t="s">
        <v>241</v>
      </c>
      <c r="K15" s="1464" t="s">
        <v>566</v>
      </c>
      <c r="L15" s="1463"/>
    </row>
    <row r="16" spans="1:12">
      <c r="A16" s="433"/>
      <c r="B16" s="433"/>
      <c r="C16" s="439"/>
      <c r="D16" s="439"/>
      <c r="E16" s="439"/>
      <c r="F16" s="439"/>
      <c r="G16" s="440" t="s">
        <v>365</v>
      </c>
      <c r="H16" s="440" t="s">
        <v>318</v>
      </c>
      <c r="I16" s="439"/>
      <c r="J16" s="440" t="s">
        <v>319</v>
      </c>
      <c r="K16" s="440" t="s">
        <v>320</v>
      </c>
      <c r="L16" s="1463"/>
    </row>
    <row r="17" spans="1:12">
      <c r="A17" s="433"/>
      <c r="B17" s="433"/>
      <c r="C17" s="1463"/>
      <c r="D17" s="1465"/>
      <c r="E17" s="1463"/>
      <c r="F17" s="1463"/>
      <c r="G17" s="1463"/>
      <c r="H17" s="1463"/>
      <c r="I17" s="1463"/>
      <c r="J17" s="1463"/>
      <c r="K17" s="1463"/>
      <c r="L17" s="1463"/>
    </row>
    <row r="18" spans="1:12">
      <c r="A18" s="433"/>
      <c r="B18" s="433"/>
      <c r="C18" s="1464">
        <v>1</v>
      </c>
      <c r="D18" s="1465"/>
      <c r="E18" s="1463"/>
      <c r="F18" s="441" t="s">
        <v>1462</v>
      </c>
      <c r="G18" s="1463"/>
      <c r="H18" s="1463"/>
      <c r="I18" s="1463"/>
      <c r="J18" s="1463"/>
      <c r="K18" s="1463"/>
      <c r="L18" s="1463"/>
    </row>
    <row r="19" spans="1:12">
      <c r="A19" s="433"/>
      <c r="B19" s="433"/>
      <c r="C19" s="1465">
        <v>2</v>
      </c>
      <c r="D19" s="1465"/>
      <c r="E19" s="1463"/>
      <c r="F19" s="1463"/>
      <c r="G19" s="1463"/>
      <c r="H19" s="1463"/>
      <c r="I19" s="1463"/>
      <c r="J19" s="1463"/>
      <c r="K19" s="1463"/>
      <c r="L19" s="1463"/>
    </row>
    <row r="20" spans="1:12">
      <c r="A20" s="433"/>
      <c r="B20" s="433"/>
      <c r="C20" s="1464">
        <v>3</v>
      </c>
      <c r="D20" s="1465"/>
      <c r="E20" s="1463"/>
      <c r="F20" s="441" t="s">
        <v>242</v>
      </c>
      <c r="G20" s="1463"/>
      <c r="H20" s="1463"/>
      <c r="I20" s="1463"/>
      <c r="J20" s="1463"/>
      <c r="K20" s="1463"/>
      <c r="L20" s="1463"/>
    </row>
    <row r="21" spans="1:12">
      <c r="A21" s="432"/>
      <c r="B21" s="432">
        <v>440</v>
      </c>
      <c r="C21" s="1464">
        <v>4</v>
      </c>
      <c r="D21" s="1464">
        <v>440</v>
      </c>
      <c r="E21" s="1463"/>
      <c r="F21" s="1318" t="s">
        <v>947</v>
      </c>
      <c r="G21" s="1462">
        <f t="array" ref="G21">SUM(IF(FERCBP=B21,AmountBP))</f>
        <v>118309532</v>
      </c>
      <c r="H21" s="1466">
        <f t="shared" ref="H21:H26" si="0">VLOOKUP(K21,ALLOCTABLE,2)</f>
        <v>100</v>
      </c>
      <c r="I21" s="1463"/>
      <c r="J21" s="1462">
        <f t="shared" ref="J21:J26" si="1">ROUND(G21*(H21/100),0)</f>
        <v>118309532</v>
      </c>
      <c r="K21" s="1464" t="s">
        <v>593</v>
      </c>
      <c r="L21" s="1463"/>
    </row>
    <row r="22" spans="1:12">
      <c r="A22" s="432">
        <v>442100</v>
      </c>
      <c r="B22" s="432">
        <v>442190</v>
      </c>
      <c r="C22" s="1464">
        <v>5</v>
      </c>
      <c r="D22" s="1464">
        <v>442</v>
      </c>
      <c r="E22" s="1463"/>
      <c r="F22" s="1318" t="s">
        <v>948</v>
      </c>
      <c r="G22" s="1462">
        <f>ROUND(VLOOKUP(A22,BasePeriod,5,FALSE)+VLOOKUP(B22,BasePeriod,5,FALSE),0)</f>
        <v>109652999</v>
      </c>
      <c r="H22" s="1466">
        <f t="shared" si="0"/>
        <v>100</v>
      </c>
      <c r="I22" s="1463"/>
      <c r="J22" s="1462">
        <f t="shared" si="1"/>
        <v>109652999</v>
      </c>
      <c r="K22" s="1464" t="s">
        <v>593</v>
      </c>
      <c r="L22" s="1463"/>
    </row>
    <row r="23" spans="1:12">
      <c r="A23" s="432">
        <v>442200</v>
      </c>
      <c r="B23" s="432">
        <v>442290</v>
      </c>
      <c r="C23" s="1465">
        <v>6</v>
      </c>
      <c r="D23" s="1464">
        <v>442</v>
      </c>
      <c r="E23" s="1463"/>
      <c r="F23" s="1318" t="s">
        <v>949</v>
      </c>
      <c r="G23" s="1462">
        <f>ROUND(VLOOKUP(A23,BasePeriod,5,FALSE)+VLOOKUP(B23,BasePeriod,5,FALSE),0)</f>
        <v>51575814</v>
      </c>
      <c r="H23" s="1466">
        <f t="shared" si="0"/>
        <v>100</v>
      </c>
      <c r="I23" s="1463"/>
      <c r="J23" s="1462">
        <f t="shared" si="1"/>
        <v>51575814</v>
      </c>
      <c r="K23" s="1464" t="s">
        <v>593</v>
      </c>
      <c r="L23" s="1463"/>
    </row>
    <row r="24" spans="1:12">
      <c r="A24" s="432"/>
      <c r="B24" s="432">
        <v>444</v>
      </c>
      <c r="C24" s="1464">
        <v>7</v>
      </c>
      <c r="D24" s="1464">
        <v>444</v>
      </c>
      <c r="E24" s="1463"/>
      <c r="F24" s="1318" t="s">
        <v>2449</v>
      </c>
      <c r="G24" s="1462">
        <f t="array" ref="G24">SUM(IF(FERCBP=B24,AmountBP))</f>
        <v>1597984</v>
      </c>
      <c r="H24" s="1466">
        <f t="shared" si="0"/>
        <v>100</v>
      </c>
      <c r="I24" s="1463"/>
      <c r="J24" s="1462">
        <f t="shared" si="1"/>
        <v>1597984</v>
      </c>
      <c r="K24" s="1464" t="s">
        <v>593</v>
      </c>
      <c r="L24" s="1463"/>
    </row>
    <row r="25" spans="1:12">
      <c r="A25" s="432"/>
      <c r="B25" s="432">
        <v>445</v>
      </c>
      <c r="C25" s="1464">
        <v>8</v>
      </c>
      <c r="D25" s="1464">
        <v>445</v>
      </c>
      <c r="E25" s="1463"/>
      <c r="F25" s="1318" t="s">
        <v>2450</v>
      </c>
      <c r="G25" s="1462">
        <f t="array" ref="G25">SUM(IF(FERCBP=B25,AmountBP))</f>
        <v>20680908</v>
      </c>
      <c r="H25" s="1466">
        <f t="shared" si="0"/>
        <v>100</v>
      </c>
      <c r="I25" s="1463"/>
      <c r="J25" s="1462">
        <f t="shared" si="1"/>
        <v>20680908</v>
      </c>
      <c r="K25" s="1464" t="s">
        <v>593</v>
      </c>
      <c r="L25" s="1463"/>
    </row>
    <row r="26" spans="1:12">
      <c r="A26" s="433">
        <v>448000</v>
      </c>
      <c r="B26" s="432"/>
      <c r="C26" s="1464">
        <v>9</v>
      </c>
      <c r="D26" s="442">
        <v>448</v>
      </c>
      <c r="E26" s="1463"/>
      <c r="F26" s="1318" t="s">
        <v>2451</v>
      </c>
      <c r="G26" s="1462">
        <f>ROUND(VLOOKUP(A26,BasePeriod,5,FALSE),0)</f>
        <v>52074</v>
      </c>
      <c r="H26" s="1466">
        <f t="shared" si="0"/>
        <v>100</v>
      </c>
      <c r="I26" s="1463"/>
      <c r="J26" s="1462">
        <f t="shared" si="1"/>
        <v>52074</v>
      </c>
      <c r="K26" s="1464" t="s">
        <v>593</v>
      </c>
      <c r="L26" s="1463"/>
    </row>
    <row r="27" spans="1:12">
      <c r="A27" s="433"/>
      <c r="B27" s="1463"/>
      <c r="C27" s="1465">
        <v>10</v>
      </c>
      <c r="D27" s="1465"/>
      <c r="E27" s="1463"/>
      <c r="F27" s="1318" t="s">
        <v>1933</v>
      </c>
      <c r="G27" s="1319">
        <f>SUM(G20:G26)</f>
        <v>301869311</v>
      </c>
      <c r="H27" s="1462"/>
      <c r="I27" s="1463"/>
      <c r="J27" s="1319">
        <f>SUM(J20:J26)</f>
        <v>301869311</v>
      </c>
      <c r="K27" s="1463"/>
      <c r="L27" s="1463"/>
    </row>
    <row r="28" spans="1:12">
      <c r="A28" s="433"/>
      <c r="B28" s="432"/>
      <c r="C28" s="1464">
        <v>11</v>
      </c>
      <c r="D28" s="1465"/>
      <c r="E28" s="1463"/>
      <c r="F28" s="1463"/>
      <c r="G28" s="443"/>
      <c r="H28" s="1463"/>
      <c r="I28" s="1463"/>
      <c r="J28" s="443"/>
      <c r="K28" s="1463"/>
      <c r="L28" s="1463"/>
    </row>
    <row r="29" spans="1:12">
      <c r="A29" s="433"/>
      <c r="B29" s="432">
        <v>447</v>
      </c>
      <c r="C29" s="1464">
        <v>12</v>
      </c>
      <c r="D29" s="1465" t="s">
        <v>1209</v>
      </c>
      <c r="E29" s="1463"/>
      <c r="F29" s="444" t="s">
        <v>1388</v>
      </c>
      <c r="G29" s="1319">
        <f t="array" ref="G29">SUM(IF(FERCBP=B29,AmountBP))</f>
        <v>17932492</v>
      </c>
      <c r="H29" s="1466">
        <f>VLOOKUP(K29,ALLOCTABLE,2)</f>
        <v>100</v>
      </c>
      <c r="I29" s="1463"/>
      <c r="J29" s="1319">
        <f>ROUND(G29*(H29/100),0)</f>
        <v>17932492</v>
      </c>
      <c r="K29" s="1464" t="s">
        <v>593</v>
      </c>
      <c r="L29" s="1463"/>
    </row>
    <row r="30" spans="1:12">
      <c r="A30" s="433"/>
      <c r="B30" s="432"/>
      <c r="C30" s="1464">
        <v>13</v>
      </c>
      <c r="D30" s="1465"/>
      <c r="E30" s="1463"/>
      <c r="F30" s="1463"/>
      <c r="G30" s="443"/>
      <c r="H30" s="1463"/>
      <c r="I30" s="1463"/>
      <c r="J30" s="443"/>
      <c r="K30" s="1463"/>
      <c r="L30" s="1463"/>
    </row>
    <row r="31" spans="1:12">
      <c r="A31" s="433"/>
      <c r="B31" s="433"/>
      <c r="C31" s="1465">
        <v>14</v>
      </c>
      <c r="D31" s="1465"/>
      <c r="E31" s="1463"/>
      <c r="F31" s="441" t="s">
        <v>1235</v>
      </c>
      <c r="G31" s="1463"/>
      <c r="H31" s="1466"/>
      <c r="I31" s="1463"/>
      <c r="J31" s="1462"/>
      <c r="K31" s="1463"/>
      <c r="L31" s="1463"/>
    </row>
    <row r="32" spans="1:12">
      <c r="A32" s="445"/>
      <c r="B32" s="445">
        <v>449</v>
      </c>
      <c r="C32" s="1464">
        <v>15</v>
      </c>
      <c r="D32" s="1465">
        <v>449</v>
      </c>
      <c r="E32" s="1463"/>
      <c r="F32" s="1318" t="s">
        <v>2168</v>
      </c>
      <c r="G32" s="1462">
        <f t="array" ref="G32">SUM(IF(FERCBP=B32,AmountBP))</f>
        <v>573260</v>
      </c>
      <c r="H32" s="1466">
        <f>VLOOKUP(K32,ALLOCTABLE,2)</f>
        <v>100</v>
      </c>
      <c r="I32" s="1463"/>
      <c r="J32" s="1462">
        <f t="shared" ref="J32:J48" si="2">ROUND(G32*(H32/100),0)</f>
        <v>573260</v>
      </c>
      <c r="K32" s="1464" t="s">
        <v>593</v>
      </c>
      <c r="L32" s="1463"/>
    </row>
    <row r="33" spans="1:12">
      <c r="A33" s="1467"/>
      <c r="B33" s="1467">
        <v>450100</v>
      </c>
      <c r="C33" s="1464">
        <v>16</v>
      </c>
      <c r="D33" s="1467">
        <v>450</v>
      </c>
      <c r="E33" s="1463"/>
      <c r="F33" s="1318" t="s">
        <v>2452</v>
      </c>
      <c r="G33" s="1462">
        <f>ROUND(VLOOKUP(B33,BasePeriod,5,FALSE),0)</f>
        <v>0</v>
      </c>
      <c r="H33" s="1466">
        <f t="shared" ref="H33:H43" si="3">VLOOKUP(K33,ALLOCTABLE,2)</f>
        <v>100</v>
      </c>
      <c r="I33" s="1463"/>
      <c r="J33" s="1462">
        <f t="shared" si="2"/>
        <v>0</v>
      </c>
      <c r="K33" s="1464" t="s">
        <v>593</v>
      </c>
      <c r="L33" s="1463"/>
    </row>
    <row r="34" spans="1:12">
      <c r="A34" s="1467"/>
      <c r="B34" s="1467">
        <v>451100</v>
      </c>
      <c r="C34" s="1464">
        <v>17</v>
      </c>
      <c r="D34" s="1464">
        <v>451</v>
      </c>
      <c r="E34" s="1463"/>
      <c r="F34" s="1318" t="s">
        <v>732</v>
      </c>
      <c r="G34" s="1462">
        <f>ROUND(VLOOKUP(B34,BasePeriod,5,FALSE),0)</f>
        <v>284441</v>
      </c>
      <c r="H34" s="1466">
        <f>VLOOKUP(K34,ALLOCTABLE,2)</f>
        <v>100</v>
      </c>
      <c r="I34" s="1463"/>
      <c r="J34" s="1462">
        <f t="shared" si="2"/>
        <v>284441</v>
      </c>
      <c r="K34" s="1464" t="s">
        <v>593</v>
      </c>
      <c r="L34" s="1463"/>
    </row>
    <row r="35" spans="1:12">
      <c r="A35" s="1467"/>
      <c r="B35" s="1467">
        <v>453625</v>
      </c>
      <c r="C35" s="1465">
        <v>18</v>
      </c>
      <c r="D35" s="1464">
        <v>453</v>
      </c>
      <c r="E35" s="1463"/>
      <c r="F35" s="1318" t="s">
        <v>2591</v>
      </c>
      <c r="G35" s="1462">
        <f>ROUND(VLOOKUP(B35,BasePeriod,5,FALSE),0)</f>
        <v>114457</v>
      </c>
      <c r="H35" s="1466">
        <f>VLOOKUP(K35,ALLOCTABLE,2)</f>
        <v>100</v>
      </c>
      <c r="I35" s="1463"/>
      <c r="J35" s="1462">
        <f>ROUND(G35*(H35/100),0)</f>
        <v>114457</v>
      </c>
      <c r="K35" s="1464" t="s">
        <v>593</v>
      </c>
      <c r="L35" s="1463"/>
    </row>
    <row r="36" spans="1:12">
      <c r="A36" s="1467"/>
      <c r="B36" s="1467">
        <v>454200</v>
      </c>
      <c r="C36" s="1464">
        <v>19</v>
      </c>
      <c r="D36" s="1467">
        <v>454200</v>
      </c>
      <c r="E36" s="1463"/>
      <c r="F36" s="1318" t="str">
        <f t="shared" ref="F36:F48" si="4">VLOOKUP(D36,BasePeriod,2,FALSE)</f>
        <v>Pole &amp; Line Attachments</v>
      </c>
      <c r="G36" s="1462">
        <f t="shared" ref="G36:G43" si="5">ROUND(VLOOKUP(B36,BasePeriod,5,FALSE),0)</f>
        <v>117775</v>
      </c>
      <c r="H36" s="1466">
        <f t="shared" si="3"/>
        <v>100</v>
      </c>
      <c r="I36" s="1463"/>
      <c r="J36" s="1462">
        <f t="shared" si="2"/>
        <v>117775</v>
      </c>
      <c r="K36" s="1464" t="s">
        <v>593</v>
      </c>
      <c r="L36" s="1463"/>
    </row>
    <row r="37" spans="1:12">
      <c r="A37" s="1467"/>
      <c r="B37" s="1467">
        <v>454300</v>
      </c>
      <c r="C37" s="1464">
        <v>20</v>
      </c>
      <c r="D37" s="1467">
        <v>454300</v>
      </c>
      <c r="E37" s="1463"/>
      <c r="F37" s="1318" t="str">
        <f t="shared" si="4"/>
        <v>Tower Lease Revenues</v>
      </c>
      <c r="G37" s="1462">
        <f t="shared" si="5"/>
        <v>1155</v>
      </c>
      <c r="H37" s="1466">
        <f t="shared" si="3"/>
        <v>100</v>
      </c>
      <c r="I37" s="1463"/>
      <c r="J37" s="1462">
        <f t="shared" si="2"/>
        <v>1155</v>
      </c>
      <c r="K37" s="1464" t="s">
        <v>593</v>
      </c>
      <c r="L37" s="1463"/>
    </row>
    <row r="38" spans="1:12">
      <c r="A38" s="1467"/>
      <c r="B38" s="1467">
        <v>454400</v>
      </c>
      <c r="C38" s="1464">
        <v>21</v>
      </c>
      <c r="D38" s="1467">
        <v>454400</v>
      </c>
      <c r="E38" s="1463"/>
      <c r="F38" s="1318" t="str">
        <f t="shared" si="4"/>
        <v>Other Electric Rents</v>
      </c>
      <c r="G38" s="1462">
        <f t="shared" si="5"/>
        <v>930344</v>
      </c>
      <c r="H38" s="1466">
        <f t="shared" si="3"/>
        <v>100</v>
      </c>
      <c r="I38" s="1463"/>
      <c r="J38" s="1462">
        <f t="shared" si="2"/>
        <v>930344</v>
      </c>
      <c r="K38" s="1464" t="s">
        <v>593</v>
      </c>
      <c r="L38" s="1463"/>
    </row>
    <row r="39" spans="1:12">
      <c r="A39" s="1467"/>
      <c r="B39" s="1467">
        <v>454601</v>
      </c>
      <c r="C39" s="1465">
        <v>22</v>
      </c>
      <c r="D39" s="1467">
        <v>454601</v>
      </c>
      <c r="E39" s="1463"/>
      <c r="F39" s="1318" t="str">
        <f>VLOOKUP(D39,BasePeriod,2,FALSE)</f>
        <v>Other Miscellaneous</v>
      </c>
      <c r="G39" s="1462">
        <f>ROUND(VLOOKUP(B39,BasePeriod,5,FALSE),0)</f>
        <v>0</v>
      </c>
      <c r="H39" s="1466">
        <f>VLOOKUP(K39,ALLOCTABLE,2)</f>
        <v>100</v>
      </c>
      <c r="I39" s="1463"/>
      <c r="J39" s="1462">
        <f>ROUND(G39*(H39/100),0)</f>
        <v>0</v>
      </c>
      <c r="K39" s="1464" t="s">
        <v>593</v>
      </c>
      <c r="L39" s="1463"/>
    </row>
    <row r="40" spans="1:12">
      <c r="A40" s="1467"/>
      <c r="B40" s="1467">
        <v>456025</v>
      </c>
      <c r="C40" s="1464">
        <v>23</v>
      </c>
      <c r="D40" s="1467">
        <v>456025</v>
      </c>
      <c r="E40" s="1463"/>
      <c r="F40" s="1318" t="str">
        <f t="shared" si="4"/>
        <v>RSG Rev - MISO Make Whole</v>
      </c>
      <c r="G40" s="1462">
        <f t="shared" si="5"/>
        <v>534671</v>
      </c>
      <c r="H40" s="1466">
        <f t="shared" si="3"/>
        <v>100</v>
      </c>
      <c r="I40" s="1463"/>
      <c r="J40" s="1462">
        <f t="shared" si="2"/>
        <v>534671</v>
      </c>
      <c r="K40" s="1464" t="s">
        <v>593</v>
      </c>
      <c r="L40" s="1463"/>
    </row>
    <row r="41" spans="1:12">
      <c r="A41" s="1467"/>
      <c r="B41" s="1467">
        <v>456040</v>
      </c>
      <c r="C41" s="1464">
        <v>24</v>
      </c>
      <c r="D41" s="1467">
        <v>456040</v>
      </c>
      <c r="E41" s="1463"/>
      <c r="F41" s="1318" t="str">
        <f t="shared" si="4"/>
        <v>Sales Use Tax Coll Fee</v>
      </c>
      <c r="G41" s="1462">
        <f t="shared" si="5"/>
        <v>300</v>
      </c>
      <c r="H41" s="1466">
        <f t="shared" si="3"/>
        <v>100</v>
      </c>
      <c r="I41" s="1463"/>
      <c r="J41" s="1462">
        <f t="shared" si="2"/>
        <v>300</v>
      </c>
      <c r="K41" s="1464" t="s">
        <v>593</v>
      </c>
      <c r="L41" s="1463"/>
    </row>
    <row r="42" spans="1:12">
      <c r="A42" s="433"/>
      <c r="B42" s="1467">
        <v>456110</v>
      </c>
      <c r="C42" s="1464">
        <v>25</v>
      </c>
      <c r="D42" s="1467">
        <v>456110</v>
      </c>
      <c r="E42" s="1463"/>
      <c r="F42" s="1318" t="str">
        <f t="shared" si="4"/>
        <v>Transmission Charge PTP</v>
      </c>
      <c r="G42" s="1462">
        <f t="shared" si="5"/>
        <v>102595</v>
      </c>
      <c r="H42" s="1466">
        <f t="shared" si="3"/>
        <v>100</v>
      </c>
      <c r="I42" s="1463"/>
      <c r="J42" s="1462">
        <f t="shared" si="2"/>
        <v>102595</v>
      </c>
      <c r="K42" s="1464" t="s">
        <v>593</v>
      </c>
      <c r="L42" s="1463"/>
    </row>
    <row r="43" spans="1:12">
      <c r="A43" s="433"/>
      <c r="B43" s="1467">
        <v>456111</v>
      </c>
      <c r="C43" s="1465">
        <v>26</v>
      </c>
      <c r="D43" s="1467">
        <v>456111</v>
      </c>
      <c r="E43" s="1463"/>
      <c r="F43" s="1318" t="str">
        <f t="shared" si="4"/>
        <v>Other Transmission Revenues</v>
      </c>
      <c r="G43" s="1462">
        <f t="shared" si="5"/>
        <v>1802840</v>
      </c>
      <c r="H43" s="1466">
        <f t="shared" si="3"/>
        <v>100</v>
      </c>
      <c r="I43" s="1463"/>
      <c r="J43" s="1462">
        <f t="shared" si="2"/>
        <v>1802840</v>
      </c>
      <c r="K43" s="1464" t="s">
        <v>593</v>
      </c>
      <c r="L43" s="1463"/>
    </row>
    <row r="44" spans="1:12">
      <c r="A44" s="433"/>
      <c r="B44" s="1467">
        <v>456610</v>
      </c>
      <c r="C44" s="1464">
        <v>27</v>
      </c>
      <c r="D44" s="1467">
        <v>456610</v>
      </c>
      <c r="E44" s="1463"/>
      <c r="F44" s="1318" t="str">
        <f>VLOOKUP(D44,BasePeriod,2,FALSE)</f>
        <v>Other Electric Revenues</v>
      </c>
      <c r="G44" s="1462">
        <f>ROUND(VLOOKUP(B44,BasePeriod,5,FALSE),0)</f>
        <v>15633</v>
      </c>
      <c r="H44" s="1466">
        <f>VLOOKUP(K44,ALLOCTABLE,2)</f>
        <v>100</v>
      </c>
      <c r="I44" s="1463"/>
      <c r="J44" s="1462">
        <f>ROUND(G44*(H44/100),0)</f>
        <v>15633</v>
      </c>
      <c r="K44" s="1464" t="s">
        <v>593</v>
      </c>
      <c r="L44" s="1463"/>
    </row>
    <row r="45" spans="1:12">
      <c r="A45" s="433"/>
      <c r="B45" s="1467">
        <v>456970</v>
      </c>
      <c r="C45" s="1464">
        <v>28</v>
      </c>
      <c r="D45" s="1467">
        <v>456970</v>
      </c>
      <c r="E45" s="1463"/>
      <c r="F45" s="1318" t="str">
        <f t="shared" si="4"/>
        <v>Wheel Transmission Rev - ED</v>
      </c>
      <c r="G45" s="1462">
        <f>ROUND(VLOOKUP(B45,BasePeriod,5,FALSE),0)</f>
        <v>42241</v>
      </c>
      <c r="H45" s="1466">
        <f>VLOOKUP(K45,ALLOCTABLE,2)</f>
        <v>100</v>
      </c>
      <c r="I45" s="1463"/>
      <c r="J45" s="1462">
        <f>ROUND(G45*(H45/100),0)</f>
        <v>42241</v>
      </c>
      <c r="K45" s="1464" t="s">
        <v>593</v>
      </c>
      <c r="L45" s="1463"/>
    </row>
    <row r="46" spans="1:12">
      <c r="A46" s="433"/>
      <c r="B46" s="1467">
        <v>457100</v>
      </c>
      <c r="C46" s="1464">
        <v>29</v>
      </c>
      <c r="D46" s="1467">
        <v>457100</v>
      </c>
      <c r="E46" s="1463"/>
      <c r="F46" s="1318" t="str">
        <f>VLOOKUP(D46,BasePeriod,2,FALSE)</f>
        <v>Regional Transmission Service</v>
      </c>
      <c r="G46" s="1462">
        <f>ROUND(VLOOKUP(B46,BasePeriod,5,FALSE),0)</f>
        <v>0</v>
      </c>
      <c r="H46" s="1466">
        <f>VLOOKUP(K46,ALLOCTABLE,2)</f>
        <v>100</v>
      </c>
      <c r="I46" s="1463"/>
      <c r="J46" s="1462">
        <f>ROUND(G46*(H46/100),0)</f>
        <v>0</v>
      </c>
      <c r="K46" s="1464" t="s">
        <v>593</v>
      </c>
      <c r="L46" s="1463"/>
    </row>
    <row r="47" spans="1:12">
      <c r="A47" s="433"/>
      <c r="B47" s="1467">
        <v>457105</v>
      </c>
      <c r="C47" s="1465">
        <v>30</v>
      </c>
      <c r="D47" s="1467">
        <v>457105</v>
      </c>
      <c r="E47" s="1463"/>
      <c r="F47" s="1318" t="str">
        <f>VLOOKUP(D47,BasePeriod,2,FALSE)</f>
        <v>Scheduling &amp; Dispatch Revenues</v>
      </c>
      <c r="G47" s="1462">
        <f>ROUND(VLOOKUP(B47,BasePeriod,5,FALSE),0)</f>
        <v>94013</v>
      </c>
      <c r="H47" s="1466">
        <f>VLOOKUP(K47,ALLOCTABLE,2)</f>
        <v>100</v>
      </c>
      <c r="I47" s="1463"/>
      <c r="J47" s="1462">
        <f>ROUND(G47*(H47/100),0)</f>
        <v>94013</v>
      </c>
      <c r="K47" s="1464" t="s">
        <v>593</v>
      </c>
      <c r="L47" s="1463"/>
    </row>
    <row r="48" spans="1:12">
      <c r="A48" s="433"/>
      <c r="B48" s="1467">
        <v>457204</v>
      </c>
      <c r="C48" s="1464">
        <v>31</v>
      </c>
      <c r="D48" s="1467">
        <v>457204</v>
      </c>
      <c r="E48" s="1463"/>
      <c r="F48" s="1318" t="str">
        <f t="shared" si="4"/>
        <v>PJM Reactive Rev</v>
      </c>
      <c r="G48" s="1462">
        <f>ROUND(VLOOKUP(B48,BasePeriod,5,FALSE),0)</f>
        <v>2036810</v>
      </c>
      <c r="H48" s="1466">
        <f>VLOOKUP(K48,ALLOCTABLE,2)</f>
        <v>100</v>
      </c>
      <c r="I48" s="1463"/>
      <c r="J48" s="1462">
        <f t="shared" si="2"/>
        <v>2036810</v>
      </c>
      <c r="K48" s="1464" t="s">
        <v>593</v>
      </c>
      <c r="L48" s="1463"/>
    </row>
    <row r="49" spans="1:13">
      <c r="A49" s="433"/>
      <c r="B49" s="433"/>
      <c r="C49" s="1464">
        <v>32</v>
      </c>
      <c r="D49" s="1465"/>
      <c r="E49" s="1463"/>
      <c r="F49" s="1318" t="s">
        <v>1366</v>
      </c>
      <c r="G49" s="1319">
        <f>SUM(G32:G48)</f>
        <v>6650535</v>
      </c>
      <c r="H49" s="1466"/>
      <c r="I49" s="1463"/>
      <c r="J49" s="1319">
        <f>SUM(J32:J48)</f>
        <v>6650535</v>
      </c>
      <c r="K49" s="1463"/>
      <c r="L49" s="1463"/>
    </row>
    <row r="50" spans="1:13">
      <c r="A50" s="433"/>
      <c r="B50" s="433"/>
      <c r="C50" s="1464">
        <v>33</v>
      </c>
      <c r="D50" s="446"/>
      <c r="E50" s="1463"/>
      <c r="F50" s="1463"/>
      <c r="G50" s="447"/>
      <c r="H50" s="1466"/>
      <c r="I50" s="1463"/>
      <c r="J50" s="447"/>
      <c r="K50" s="1463"/>
      <c r="L50" s="1463"/>
    </row>
    <row r="51" spans="1:13" ht="13.5" thickBot="1">
      <c r="A51" s="433"/>
      <c r="B51" s="433"/>
      <c r="C51" s="1465">
        <v>34</v>
      </c>
      <c r="D51" s="1465"/>
      <c r="E51" s="1463"/>
      <c r="F51" s="1318" t="s">
        <v>1100</v>
      </c>
      <c r="G51" s="448">
        <f>G27+G29+G49</f>
        <v>326452338</v>
      </c>
      <c r="H51" s="1462"/>
      <c r="I51" s="1463"/>
      <c r="J51" s="448">
        <f>J27+J29+J49</f>
        <v>326452338</v>
      </c>
      <c r="K51" s="1463"/>
      <c r="L51" s="1463"/>
      <c r="M51" s="1347"/>
    </row>
    <row r="52" spans="1:13" ht="13.5" thickTop="1">
      <c r="A52" s="433"/>
      <c r="B52" s="433"/>
      <c r="C52" s="1465"/>
      <c r="D52" s="1463"/>
      <c r="E52" s="1463"/>
      <c r="F52" s="1463"/>
      <c r="G52" s="447"/>
      <c r="H52" s="1466"/>
      <c r="I52" s="1463"/>
      <c r="J52" s="447"/>
      <c r="K52" s="1463"/>
      <c r="L52" s="1463"/>
    </row>
    <row r="53" spans="1:13">
      <c r="A53" s="433"/>
      <c r="B53" s="433"/>
      <c r="C53" s="434" t="str">
        <f>COMPANY</f>
        <v>DUKE ENERGY KENTUCKY, INC.</v>
      </c>
      <c r="D53" s="435"/>
      <c r="E53" s="435"/>
      <c r="F53" s="434"/>
      <c r="G53" s="435"/>
      <c r="H53" s="435"/>
      <c r="I53" s="435"/>
      <c r="J53" s="435"/>
      <c r="K53" s="435"/>
      <c r="L53" s="1463"/>
    </row>
    <row r="54" spans="1:13">
      <c r="A54" s="433"/>
      <c r="B54" s="433"/>
      <c r="C54" s="434" t="str">
        <f>CASE</f>
        <v>CASE NO. 2017-00321</v>
      </c>
      <c r="D54" s="435"/>
      <c r="E54" s="435"/>
      <c r="F54" s="434"/>
      <c r="G54" s="435"/>
      <c r="H54" s="435"/>
      <c r="I54" s="435"/>
      <c r="J54" s="435"/>
      <c r="K54" s="435"/>
      <c r="L54" s="1463"/>
    </row>
    <row r="55" spans="1:13">
      <c r="A55" s="433"/>
      <c r="B55" s="433"/>
      <c r="C55" s="434" t="s">
        <v>1949</v>
      </c>
      <c r="D55" s="435"/>
      <c r="E55" s="434"/>
      <c r="F55" s="435"/>
      <c r="G55" s="435"/>
      <c r="H55" s="435"/>
      <c r="I55" s="435"/>
      <c r="J55" s="435"/>
      <c r="K55" s="435"/>
      <c r="L55" s="1463"/>
    </row>
    <row r="56" spans="1:13">
      <c r="A56" s="433"/>
      <c r="B56" s="433"/>
      <c r="C56" s="434" t="str">
        <f>PERIOD</f>
        <v>FOR THE TWELVE MONTHS ENDED NOVEMBER 30, 2017</v>
      </c>
      <c r="D56" s="435"/>
      <c r="E56" s="435"/>
      <c r="F56" s="434"/>
      <c r="G56" s="435"/>
      <c r="H56" s="435"/>
      <c r="I56" s="435"/>
      <c r="J56" s="435"/>
      <c r="K56" s="435"/>
      <c r="L56" s="1463"/>
    </row>
    <row r="57" spans="1:13">
      <c r="A57" s="433"/>
      <c r="B57" s="433"/>
      <c r="C57" s="435"/>
      <c r="D57" s="435"/>
      <c r="E57" s="435"/>
      <c r="F57" s="435"/>
      <c r="G57" s="435"/>
      <c r="H57" s="435"/>
      <c r="I57" s="435"/>
      <c r="J57" s="1463"/>
      <c r="K57" s="1463"/>
      <c r="L57" s="1463"/>
    </row>
    <row r="58" spans="1:13">
      <c r="A58" s="433"/>
      <c r="B58" s="433"/>
      <c r="C58" s="1463"/>
      <c r="D58" s="1463"/>
      <c r="E58" s="1463"/>
      <c r="F58" s="1463"/>
      <c r="G58" s="1463"/>
      <c r="H58" s="1463"/>
      <c r="I58" s="1463"/>
      <c r="J58" s="1318" t="str">
        <f>"                "&amp;"SCHEDULE C-2.1"</f>
        <v xml:space="preserve">                SCHEDULE C-2.1</v>
      </c>
      <c r="K58" s="1463"/>
      <c r="L58" s="1463"/>
    </row>
    <row r="59" spans="1:13">
      <c r="A59" s="433"/>
      <c r="B59" s="433"/>
      <c r="C59" s="436" t="str">
        <f>Data</f>
        <v>DATA: "X" BASE PERIOD   FORECASTED PERIOD</v>
      </c>
      <c r="D59" s="1463"/>
      <c r="E59" s="1463"/>
      <c r="F59" s="1463"/>
      <c r="G59" s="1463"/>
      <c r="H59" s="1463"/>
      <c r="I59" s="1463"/>
      <c r="J59" s="1318" t="str">
        <f>"                "&amp;"PAGE  2  OF  14"</f>
        <v xml:space="preserve">                PAGE  2  OF  14</v>
      </c>
      <c r="K59" s="1463"/>
      <c r="L59" s="1463"/>
    </row>
    <row r="60" spans="1:13">
      <c r="A60" s="433"/>
      <c r="B60" s="433"/>
      <c r="C60" s="436" t="str">
        <f>Type</f>
        <v xml:space="preserve">TYPE OF FILING:  "X" ORIGINAL   UPDATED    REVISED  </v>
      </c>
      <c r="D60" s="1463"/>
      <c r="E60" s="1463"/>
      <c r="F60" s="1463"/>
      <c r="G60" s="1463"/>
      <c r="H60" s="1463"/>
      <c r="I60" s="1463"/>
      <c r="J60" s="1318" t="str">
        <f>"                "&amp;"WITNESS RESPONSIBLE:"</f>
        <v xml:space="preserve">                WITNESS RESPONSIBLE:</v>
      </c>
      <c r="K60" s="1463"/>
      <c r="L60" s="1463"/>
    </row>
    <row r="61" spans="1:13">
      <c r="A61" s="433"/>
      <c r="B61" s="433"/>
      <c r="C61" s="1318" t="str">
        <f>$C$11</f>
        <v>WORK PAPER REFERENCE NO(S).: WPC-2.1a_BP</v>
      </c>
      <c r="D61" s="1463"/>
      <c r="E61" s="1463"/>
      <c r="F61" s="1463"/>
      <c r="G61" s="1463"/>
      <c r="H61" s="1463"/>
      <c r="I61" s="1463"/>
      <c r="J61" s="1318" t="str">
        <f>"                "&amp;_WIT1</f>
        <v xml:space="preserve">                S. E. LAWLER</v>
      </c>
      <c r="K61" s="1463"/>
      <c r="L61" s="1463"/>
    </row>
    <row r="62" spans="1:13">
      <c r="A62" s="433"/>
      <c r="B62" s="433"/>
      <c r="C62" s="437"/>
      <c r="D62" s="438"/>
      <c r="E62" s="438"/>
      <c r="F62" s="438"/>
      <c r="G62" s="438"/>
      <c r="H62" s="438"/>
      <c r="I62" s="438"/>
      <c r="J62" s="438"/>
      <c r="K62" s="438"/>
      <c r="L62" s="1463"/>
    </row>
    <row r="63" spans="1:13">
      <c r="A63" s="433"/>
      <c r="B63" s="433"/>
      <c r="C63" s="1463"/>
      <c r="D63" s="1463"/>
      <c r="E63" s="1463"/>
      <c r="F63" s="1463"/>
      <c r="G63" s="1464" t="s">
        <v>238</v>
      </c>
      <c r="H63" s="1465" t="s">
        <v>360</v>
      </c>
      <c r="I63" s="1463"/>
      <c r="J63" s="1463"/>
      <c r="K63" s="1464" t="s">
        <v>1461</v>
      </c>
      <c r="L63" s="1463"/>
    </row>
    <row r="64" spans="1:13">
      <c r="A64" s="433"/>
      <c r="B64" s="433"/>
      <c r="C64" s="1464" t="s">
        <v>1961</v>
      </c>
      <c r="D64" s="1464" t="s">
        <v>1080</v>
      </c>
      <c r="E64" s="1463"/>
      <c r="F64" s="1463"/>
      <c r="G64" s="1464" t="s">
        <v>1035</v>
      </c>
      <c r="H64" s="1464" t="s">
        <v>362</v>
      </c>
      <c r="I64" s="1463"/>
      <c r="J64" s="1464" t="s">
        <v>238</v>
      </c>
      <c r="K64" s="1464" t="s">
        <v>239</v>
      </c>
      <c r="L64" s="1463"/>
    </row>
    <row r="65" spans="1:12" ht="13.9" customHeight="1">
      <c r="A65" s="433"/>
      <c r="B65" s="433"/>
      <c r="C65" s="1464" t="s">
        <v>1854</v>
      </c>
      <c r="D65" s="1464" t="s">
        <v>90</v>
      </c>
      <c r="E65" s="1463"/>
      <c r="F65" s="434" t="s">
        <v>240</v>
      </c>
      <c r="G65" s="1464" t="s">
        <v>1872</v>
      </c>
      <c r="H65" s="1464" t="s">
        <v>363</v>
      </c>
      <c r="I65" s="1463"/>
      <c r="J65" s="1464" t="s">
        <v>241</v>
      </c>
      <c r="K65" s="1464" t="s">
        <v>566</v>
      </c>
      <c r="L65" s="1463"/>
    </row>
    <row r="66" spans="1:12">
      <c r="A66" s="433"/>
      <c r="B66" s="433"/>
      <c r="C66" s="439"/>
      <c r="D66" s="439"/>
      <c r="E66" s="439"/>
      <c r="F66" s="439"/>
      <c r="G66" s="440" t="s">
        <v>365</v>
      </c>
      <c r="H66" s="440" t="s">
        <v>318</v>
      </c>
      <c r="I66" s="439"/>
      <c r="J66" s="440" t="s">
        <v>319</v>
      </c>
      <c r="K66" s="440" t="s">
        <v>320</v>
      </c>
      <c r="L66" s="1463"/>
    </row>
    <row r="67" spans="1:12">
      <c r="A67" s="433"/>
      <c r="B67" s="433"/>
      <c r="C67" s="1463"/>
      <c r="D67" s="1463"/>
      <c r="E67" s="1463"/>
      <c r="F67" s="1463"/>
      <c r="G67" s="1463"/>
      <c r="H67" s="1463"/>
      <c r="I67" s="1463"/>
      <c r="J67" s="1463"/>
      <c r="K67" s="1463"/>
      <c r="L67" s="1463"/>
    </row>
    <row r="68" spans="1:12">
      <c r="A68" s="433"/>
      <c r="B68" s="433"/>
      <c r="C68" s="1464">
        <v>1</v>
      </c>
      <c r="D68" s="1463"/>
      <c r="E68" s="1463"/>
      <c r="F68" s="441" t="s">
        <v>1694</v>
      </c>
      <c r="G68" s="1463"/>
      <c r="H68" s="1463"/>
      <c r="I68" s="1463"/>
      <c r="J68" s="1463"/>
      <c r="K68" s="1463"/>
      <c r="L68" s="1463"/>
    </row>
    <row r="69" spans="1:12">
      <c r="A69" s="433"/>
      <c r="B69" s="433"/>
      <c r="C69" s="1464">
        <v>2</v>
      </c>
      <c r="D69" s="1463"/>
      <c r="E69" s="1463"/>
      <c r="F69" s="1318"/>
      <c r="G69" s="1463"/>
      <c r="H69" s="1463"/>
      <c r="I69" s="1463"/>
      <c r="J69" s="1463"/>
      <c r="K69" s="1463"/>
      <c r="L69" s="1463"/>
    </row>
    <row r="70" spans="1:12">
      <c r="A70" s="433"/>
      <c r="B70" s="433"/>
      <c r="C70" s="1464">
        <v>3</v>
      </c>
      <c r="D70" s="1463"/>
      <c r="E70" s="1463"/>
      <c r="F70" s="441" t="s">
        <v>648</v>
      </c>
      <c r="G70" s="1463"/>
      <c r="H70" s="1463"/>
      <c r="I70" s="1463"/>
      <c r="J70" s="1463"/>
      <c r="K70" s="1463"/>
      <c r="L70" s="1463"/>
    </row>
    <row r="71" spans="1:12">
      <c r="A71" s="433"/>
      <c r="B71" s="433"/>
      <c r="C71" s="1464">
        <v>4</v>
      </c>
      <c r="D71" s="1463"/>
      <c r="E71" s="1463"/>
      <c r="F71" s="441"/>
      <c r="G71" s="1463"/>
      <c r="H71" s="1463"/>
      <c r="I71" s="1463"/>
      <c r="J71" s="1463"/>
      <c r="K71" s="1463"/>
      <c r="L71" s="1463"/>
    </row>
    <row r="72" spans="1:12">
      <c r="A72" s="433"/>
      <c r="B72" s="433"/>
      <c r="C72" s="1464">
        <v>5</v>
      </c>
      <c r="D72" s="1463"/>
      <c r="E72" s="1463"/>
      <c r="F72" s="441" t="s">
        <v>154</v>
      </c>
      <c r="G72" s="64"/>
      <c r="H72" s="1463"/>
      <c r="I72" s="1463"/>
      <c r="J72" s="1463"/>
      <c r="K72" s="1463"/>
      <c r="L72" s="1463"/>
    </row>
    <row r="73" spans="1:12">
      <c r="A73" s="433"/>
      <c r="B73" s="433"/>
      <c r="C73" s="1464">
        <v>6</v>
      </c>
      <c r="D73" s="1463"/>
      <c r="E73" s="1463"/>
      <c r="F73" s="441" t="s">
        <v>1101</v>
      </c>
      <c r="G73" s="1463"/>
      <c r="H73" s="1463"/>
      <c r="I73" s="1463"/>
      <c r="J73" s="1463"/>
      <c r="K73" s="1463"/>
      <c r="L73" s="1463"/>
    </row>
    <row r="74" spans="1:12">
      <c r="A74" s="433"/>
      <c r="B74" s="433">
        <v>500000</v>
      </c>
      <c r="C74" s="1464">
        <v>7</v>
      </c>
      <c r="D74" s="1464">
        <v>500</v>
      </c>
      <c r="E74" s="1463"/>
      <c r="F74" s="1318" t="s">
        <v>731</v>
      </c>
      <c r="G74" s="1462">
        <f>ROUND(VLOOKUP(B74,BasePeriod,5,FALSE),0)</f>
        <v>2208619</v>
      </c>
      <c r="H74" s="1466">
        <f t="shared" ref="H74:H80" si="6">VLOOKUP(K74,ALLOCTABLE,2)</f>
        <v>100</v>
      </c>
      <c r="I74" s="1463"/>
      <c r="J74" s="1462">
        <f t="shared" ref="J74:J80" si="7">ROUND(G74*(H74/100),0)</f>
        <v>2208619</v>
      </c>
      <c r="K74" s="1464" t="s">
        <v>593</v>
      </c>
      <c r="L74" s="1463"/>
    </row>
    <row r="75" spans="1:12">
      <c r="A75" s="433"/>
      <c r="B75" s="449" t="s">
        <v>1623</v>
      </c>
      <c r="C75" s="1464">
        <v>8</v>
      </c>
      <c r="D75" s="1464">
        <v>501</v>
      </c>
      <c r="E75" s="1463"/>
      <c r="F75" s="1318" t="s">
        <v>2176</v>
      </c>
      <c r="G75" s="1462">
        <f t="array" ref="G75">SUM(IF(CODE=B75,IF(FERCBP=D75,AmountBP)))</f>
        <v>91712004</v>
      </c>
      <c r="H75" s="1466">
        <f t="shared" si="6"/>
        <v>100</v>
      </c>
      <c r="I75" s="1463"/>
      <c r="J75" s="1462">
        <f t="shared" si="7"/>
        <v>91712004</v>
      </c>
      <c r="K75" s="1464" t="s">
        <v>593</v>
      </c>
      <c r="L75" s="1463"/>
    </row>
    <row r="76" spans="1:12">
      <c r="A76" s="433"/>
      <c r="B76" s="433">
        <v>501</v>
      </c>
      <c r="C76" s="1464">
        <v>9</v>
      </c>
      <c r="D76" s="1464">
        <v>501</v>
      </c>
      <c r="E76" s="1463"/>
      <c r="F76" s="1318" t="s">
        <v>2177</v>
      </c>
      <c r="G76" s="1462">
        <f t="array" ref="G76">SUM(IF(FERCBP=B76,AmountBP))-G75</f>
        <v>3340948</v>
      </c>
      <c r="H76" s="1466">
        <f>VLOOKUP(K76,ALLOCTABLE,2)</f>
        <v>100</v>
      </c>
      <c r="I76" s="1463"/>
      <c r="J76" s="1462">
        <f t="shared" si="7"/>
        <v>3340948</v>
      </c>
      <c r="K76" s="1464" t="s">
        <v>593</v>
      </c>
      <c r="L76" s="1463"/>
    </row>
    <row r="77" spans="1:12">
      <c r="A77" s="433"/>
      <c r="B77" s="433">
        <v>502</v>
      </c>
      <c r="C77" s="1464">
        <v>10</v>
      </c>
      <c r="D77" s="1464">
        <v>502</v>
      </c>
      <c r="E77" s="1463"/>
      <c r="F77" s="1318" t="s">
        <v>1030</v>
      </c>
      <c r="G77" s="1462">
        <f t="array" ref="G77">SUM(IF(FERCBP=B77,AmountBP))</f>
        <v>11297505</v>
      </c>
      <c r="H77" s="1466">
        <f t="shared" si="6"/>
        <v>100</v>
      </c>
      <c r="I77" s="1463"/>
      <c r="J77" s="1462">
        <f t="shared" si="7"/>
        <v>11297505</v>
      </c>
      <c r="K77" s="1464" t="s">
        <v>593</v>
      </c>
      <c r="L77" s="1463"/>
    </row>
    <row r="78" spans="1:12">
      <c r="A78" s="433"/>
      <c r="B78" s="450">
        <v>505000</v>
      </c>
      <c r="C78" s="1464">
        <v>11</v>
      </c>
      <c r="D78" s="1464">
        <v>505</v>
      </c>
      <c r="E78" s="1463"/>
      <c r="F78" s="1318" t="s">
        <v>700</v>
      </c>
      <c r="G78" s="1462">
        <f>ROUND(VLOOKUP(B78,BasePeriod,5,FALSE),0)</f>
        <v>688681</v>
      </c>
      <c r="H78" s="1466">
        <f t="shared" si="6"/>
        <v>100</v>
      </c>
      <c r="I78" s="1463"/>
      <c r="J78" s="1462">
        <f t="shared" si="7"/>
        <v>688681</v>
      </c>
      <c r="K78" s="1464" t="s">
        <v>593</v>
      </c>
      <c r="L78" s="1463"/>
    </row>
    <row r="79" spans="1:12">
      <c r="A79" s="433"/>
      <c r="B79" s="433">
        <v>506000</v>
      </c>
      <c r="C79" s="1464">
        <v>12</v>
      </c>
      <c r="D79" s="1464">
        <v>506</v>
      </c>
      <c r="E79" s="1463"/>
      <c r="F79" s="1318" t="s">
        <v>1825</v>
      </c>
      <c r="G79" s="1462">
        <f>ROUND(VLOOKUP(B79,BasePeriod,5,FALSE),0)</f>
        <v>1837781</v>
      </c>
      <c r="H79" s="1466">
        <f t="shared" si="6"/>
        <v>100</v>
      </c>
      <c r="I79" s="1463"/>
      <c r="J79" s="1462">
        <f t="shared" si="7"/>
        <v>1837781</v>
      </c>
      <c r="K79" s="1464" t="s">
        <v>593</v>
      </c>
      <c r="L79" s="1463"/>
    </row>
    <row r="80" spans="1:12">
      <c r="A80" s="433"/>
      <c r="B80" s="433">
        <v>509</v>
      </c>
      <c r="C80" s="1464">
        <v>13</v>
      </c>
      <c r="D80" s="1464" t="s">
        <v>1209</v>
      </c>
      <c r="E80" s="1463"/>
      <c r="F80" s="1318" t="s">
        <v>1389</v>
      </c>
      <c r="G80" s="1462">
        <f t="array" ref="G80">SUM(IF(FERCBP=B80,AmountBP))</f>
        <v>18563</v>
      </c>
      <c r="H80" s="1466">
        <f t="shared" si="6"/>
        <v>100</v>
      </c>
      <c r="I80" s="1463"/>
      <c r="J80" s="1462">
        <f t="shared" si="7"/>
        <v>18563</v>
      </c>
      <c r="K80" s="1464" t="s">
        <v>593</v>
      </c>
      <c r="L80" s="1463"/>
    </row>
    <row r="81" spans="1:12">
      <c r="A81" s="433"/>
      <c r="B81" s="433"/>
      <c r="C81" s="1464">
        <v>14</v>
      </c>
      <c r="D81" s="1463"/>
      <c r="E81" s="1463"/>
      <c r="F81" s="1318" t="s">
        <v>1102</v>
      </c>
      <c r="G81" s="1319">
        <f>SUM(G74:G80)</f>
        <v>111104101</v>
      </c>
      <c r="H81" s="1463"/>
      <c r="I81" s="1463"/>
      <c r="J81" s="1319">
        <f>SUM(J74:J80)</f>
        <v>111104101</v>
      </c>
      <c r="K81" s="1463"/>
      <c r="L81" s="1463"/>
    </row>
    <row r="82" spans="1:12">
      <c r="A82" s="433"/>
      <c r="B82" s="433"/>
      <c r="C82" s="1464">
        <v>15</v>
      </c>
      <c r="D82" s="1463"/>
      <c r="E82" s="1463"/>
      <c r="F82" s="1318"/>
      <c r="G82" s="1463"/>
      <c r="H82" s="1463"/>
      <c r="I82" s="1463"/>
      <c r="J82" s="1463"/>
      <c r="K82" s="1463"/>
      <c r="L82" s="1463"/>
    </row>
    <row r="83" spans="1:12">
      <c r="A83" s="433"/>
      <c r="B83" s="433"/>
      <c r="C83" s="1464">
        <v>16</v>
      </c>
      <c r="D83" s="1463"/>
      <c r="E83" s="1463"/>
      <c r="F83" s="441" t="s">
        <v>1103</v>
      </c>
      <c r="G83" s="1463"/>
      <c r="H83" s="1463"/>
      <c r="I83" s="1463"/>
      <c r="J83" s="1463"/>
      <c r="K83" s="1463"/>
      <c r="L83" s="1463"/>
    </row>
    <row r="84" spans="1:12">
      <c r="A84" s="433"/>
      <c r="B84" s="433">
        <v>510</v>
      </c>
      <c r="C84" s="1464">
        <v>17</v>
      </c>
      <c r="D84" s="445">
        <v>510</v>
      </c>
      <c r="E84" s="1463"/>
      <c r="F84" s="1318" t="s">
        <v>731</v>
      </c>
      <c r="G84" s="1462">
        <f t="array" ref="G84">SUM(IF(FERCBP=B84,AmountBP))</f>
        <v>2059563</v>
      </c>
      <c r="H84" s="1466">
        <f>VLOOKUP(K84,ALLOCTABLE,2)</f>
        <v>100</v>
      </c>
      <c r="I84" s="1463"/>
      <c r="J84" s="1462">
        <f>ROUND(G84*(H84/100),0)</f>
        <v>2059563</v>
      </c>
      <c r="K84" s="1464" t="s">
        <v>593</v>
      </c>
      <c r="L84" s="1463"/>
    </row>
    <row r="85" spans="1:12">
      <c r="A85" s="433"/>
      <c r="B85" s="433">
        <v>511</v>
      </c>
      <c r="C85" s="1464">
        <v>18</v>
      </c>
      <c r="D85" s="1464">
        <v>511</v>
      </c>
      <c r="E85" s="1463"/>
      <c r="F85" s="1318" t="s">
        <v>1367</v>
      </c>
      <c r="G85" s="1462">
        <f t="array" ref="G85">SUM(IF(FERCBP=B85,AmountBP))</f>
        <v>3490323</v>
      </c>
      <c r="H85" s="1466">
        <f>VLOOKUP(K85,ALLOCTABLE,2)</f>
        <v>100</v>
      </c>
      <c r="I85" s="1463"/>
      <c r="J85" s="1462">
        <f>ROUND(G85*(H85/100),0)</f>
        <v>3490323</v>
      </c>
      <c r="K85" s="1464" t="s">
        <v>593</v>
      </c>
      <c r="L85" s="1463"/>
    </row>
    <row r="86" spans="1:12">
      <c r="A86" s="433"/>
      <c r="B86" s="433">
        <v>512</v>
      </c>
      <c r="C86" s="1464">
        <v>19</v>
      </c>
      <c r="D86" s="1464">
        <v>512</v>
      </c>
      <c r="E86" s="1463"/>
      <c r="F86" s="1318" t="s">
        <v>1031</v>
      </c>
      <c r="G86" s="1462">
        <f t="array" ref="G86">SUM(IF(FERCBP=B86,AmountBP))</f>
        <v>5517662</v>
      </c>
      <c r="H86" s="1466">
        <f>VLOOKUP(K86,ALLOCTABLE,2)</f>
        <v>100</v>
      </c>
      <c r="I86" s="1463"/>
      <c r="J86" s="1462">
        <f>ROUND(G86*(H86/100),0)</f>
        <v>5517662</v>
      </c>
      <c r="K86" s="1464" t="s">
        <v>593</v>
      </c>
      <c r="L86" s="1463"/>
    </row>
    <row r="87" spans="1:12">
      <c r="A87" s="433"/>
      <c r="B87" s="433">
        <v>513</v>
      </c>
      <c r="C87" s="1464">
        <v>20</v>
      </c>
      <c r="D87" s="1464">
        <v>513</v>
      </c>
      <c r="E87" s="1463"/>
      <c r="F87" s="1318" t="s">
        <v>736</v>
      </c>
      <c r="G87" s="1462">
        <f t="array" ref="G87">SUM(IF(FERCBP=B87,AmountBP))</f>
        <v>820620</v>
      </c>
      <c r="H87" s="1466">
        <f>VLOOKUP(K87,ALLOCTABLE,2)</f>
        <v>100</v>
      </c>
      <c r="I87" s="1463"/>
      <c r="J87" s="1462">
        <f>ROUND(G87*(H87/100),0)</f>
        <v>820620</v>
      </c>
      <c r="K87" s="1464" t="s">
        <v>593</v>
      </c>
      <c r="L87" s="1463"/>
    </row>
    <row r="88" spans="1:12">
      <c r="A88" s="433"/>
      <c r="B88" s="433">
        <v>514</v>
      </c>
      <c r="C88" s="1464">
        <v>21</v>
      </c>
      <c r="D88" s="1464">
        <v>514</v>
      </c>
      <c r="E88" s="1463"/>
      <c r="F88" s="1318" t="s">
        <v>152</v>
      </c>
      <c r="G88" s="1462">
        <f t="array" ref="G88">SUM(IF(FERCBP=B88,AmountBP))</f>
        <v>1948167</v>
      </c>
      <c r="H88" s="1466">
        <f>VLOOKUP(K88,ALLOCTABLE,2)</f>
        <v>100</v>
      </c>
      <c r="I88" s="1463"/>
      <c r="J88" s="1462">
        <f>ROUND(G88*(H88/100),0)</f>
        <v>1948167</v>
      </c>
      <c r="K88" s="1464" t="s">
        <v>593</v>
      </c>
      <c r="L88" s="1463"/>
    </row>
    <row r="89" spans="1:12">
      <c r="A89" s="433"/>
      <c r="B89" s="433"/>
      <c r="C89" s="1464">
        <v>22</v>
      </c>
      <c r="D89" s="1463"/>
      <c r="E89" s="1463"/>
      <c r="F89" s="1318" t="s">
        <v>1104</v>
      </c>
      <c r="G89" s="1319">
        <f>SUM(G84:G88)</f>
        <v>13836335</v>
      </c>
      <c r="H89" s="1463"/>
      <c r="I89" s="1463"/>
      <c r="J89" s="1319">
        <f>SUM(J84:J88)</f>
        <v>13836335</v>
      </c>
      <c r="K89" s="1463"/>
      <c r="L89" s="1463"/>
    </row>
    <row r="90" spans="1:12">
      <c r="A90" s="433"/>
      <c r="B90" s="433"/>
      <c r="C90" s="1464">
        <v>23</v>
      </c>
      <c r="D90" s="1463"/>
      <c r="E90" s="1463"/>
      <c r="F90" s="1318" t="s">
        <v>155</v>
      </c>
      <c r="G90" s="451">
        <f>G81+G89</f>
        <v>124940436</v>
      </c>
      <c r="H90" s="1463"/>
      <c r="I90" s="1463"/>
      <c r="J90" s="451">
        <f>J81+J89</f>
        <v>124940436</v>
      </c>
      <c r="K90" s="1463"/>
      <c r="L90" s="1463"/>
    </row>
    <row r="91" spans="1:12">
      <c r="A91" s="433"/>
      <c r="B91" s="433"/>
      <c r="C91" s="1464">
        <v>24</v>
      </c>
      <c r="D91" s="1463"/>
      <c r="E91" s="1463"/>
      <c r="F91" s="1463"/>
      <c r="G91" s="1463"/>
      <c r="H91" s="1463"/>
      <c r="I91" s="1463"/>
      <c r="J91" s="1463"/>
      <c r="K91" s="1463"/>
      <c r="L91" s="1463"/>
    </row>
    <row r="92" spans="1:12">
      <c r="A92" s="433"/>
      <c r="B92" s="433"/>
      <c r="C92" s="1464">
        <v>25</v>
      </c>
      <c r="D92" s="1463"/>
      <c r="E92" s="1463"/>
      <c r="F92" s="444" t="s">
        <v>1952</v>
      </c>
      <c r="G92" s="1463"/>
      <c r="H92" s="1463"/>
      <c r="I92" s="1463"/>
      <c r="J92" s="1463"/>
      <c r="K92" s="1463"/>
      <c r="L92" s="1463"/>
    </row>
    <row r="93" spans="1:12">
      <c r="A93" s="433"/>
      <c r="B93" s="1463"/>
      <c r="C93" s="1464">
        <v>26</v>
      </c>
      <c r="D93" s="1463"/>
      <c r="E93" s="1463"/>
      <c r="F93" s="441" t="s">
        <v>1101</v>
      </c>
      <c r="G93" s="1463"/>
      <c r="H93" s="1463"/>
      <c r="I93" s="1463"/>
      <c r="J93" s="1463"/>
      <c r="K93" s="1463"/>
      <c r="L93" s="1463"/>
    </row>
    <row r="94" spans="1:12">
      <c r="A94" s="433"/>
      <c r="B94" s="433">
        <v>546000</v>
      </c>
      <c r="C94" s="1464">
        <v>27</v>
      </c>
      <c r="D94" s="1465">
        <v>546</v>
      </c>
      <c r="E94" s="1463"/>
      <c r="F94" s="1318" t="s">
        <v>731</v>
      </c>
      <c r="G94" s="1462">
        <f>ROUND(VLOOKUP(B94,BasePeriod,5,FALSE),0)</f>
        <v>348132</v>
      </c>
      <c r="H94" s="1466">
        <f>VLOOKUP(K94,ALLOCTABLE,2)</f>
        <v>100</v>
      </c>
      <c r="I94" s="1463"/>
      <c r="J94" s="1462">
        <f>ROUND(G94*(H94/100),0)</f>
        <v>348132</v>
      </c>
      <c r="K94" s="1464" t="s">
        <v>593</v>
      </c>
      <c r="L94" s="1463"/>
    </row>
    <row r="95" spans="1:12">
      <c r="A95" s="433"/>
      <c r="B95" s="433">
        <v>547</v>
      </c>
      <c r="C95" s="1464">
        <v>28</v>
      </c>
      <c r="D95" s="1465">
        <v>547</v>
      </c>
      <c r="E95" s="1463"/>
      <c r="F95" s="1318" t="s">
        <v>151</v>
      </c>
      <c r="G95" s="1462">
        <f t="array" ref="G95">SUM(IF(FERCBP=B95,AmountBP))-G96</f>
        <v>700075</v>
      </c>
      <c r="H95" s="1466">
        <f>VLOOKUP(K95,ALLOCTABLE,2)</f>
        <v>100</v>
      </c>
      <c r="I95" s="1463"/>
      <c r="J95" s="1462">
        <f>ROUND(G95*(H95/100),0)</f>
        <v>700075</v>
      </c>
      <c r="K95" s="1464" t="s">
        <v>593</v>
      </c>
      <c r="L95" s="1463"/>
    </row>
    <row r="96" spans="1:12">
      <c r="A96" s="433"/>
      <c r="B96" s="433">
        <v>547150</v>
      </c>
      <c r="C96" s="1464">
        <v>29</v>
      </c>
      <c r="D96" s="1465">
        <v>547</v>
      </c>
      <c r="E96" s="1463"/>
      <c r="F96" s="1318" t="s">
        <v>2177</v>
      </c>
      <c r="G96" s="1462">
        <f>ROUND(VLOOKUP(B96,BasePeriod,5,FALSE),0)</f>
        <v>11682</v>
      </c>
      <c r="H96" s="1466">
        <f>VLOOKUP(K96,ALLOCTABLE,2)</f>
        <v>100</v>
      </c>
      <c r="I96" s="1463"/>
      <c r="J96" s="1462">
        <f>ROUND(G96*(H96/100),0)</f>
        <v>11682</v>
      </c>
      <c r="K96" s="1464" t="s">
        <v>593</v>
      </c>
      <c r="L96" s="1463"/>
    </row>
    <row r="97" spans="1:12">
      <c r="A97" s="433"/>
      <c r="B97" s="433">
        <v>548</v>
      </c>
      <c r="C97" s="1464">
        <v>30</v>
      </c>
      <c r="D97" s="1465">
        <v>548</v>
      </c>
      <c r="E97" s="1463"/>
      <c r="F97" s="1463" t="s">
        <v>1953</v>
      </c>
      <c r="G97" s="1462">
        <f t="array" ref="G97">SUM(IF(FERCBP=B97,AmountBP))</f>
        <v>337339</v>
      </c>
      <c r="H97" s="1466">
        <f>VLOOKUP(K97,ALLOCTABLE,2)</f>
        <v>100</v>
      </c>
      <c r="I97" s="1463"/>
      <c r="J97" s="1462">
        <f>ROUND(G97*(H97/100),0)</f>
        <v>337339</v>
      </c>
      <c r="K97" s="1464" t="s">
        <v>593</v>
      </c>
      <c r="L97" s="1463"/>
    </row>
    <row r="98" spans="1:12">
      <c r="A98" s="433"/>
      <c r="B98" s="433">
        <v>549</v>
      </c>
      <c r="C98" s="1464">
        <v>31</v>
      </c>
      <c r="D98" s="1465">
        <v>549</v>
      </c>
      <c r="E98" s="1463"/>
      <c r="F98" s="1463" t="s">
        <v>1954</v>
      </c>
      <c r="G98" s="1462">
        <f t="array" ref="G98">SUM(IF(FERCBP=B98,AmountBP))</f>
        <v>867295</v>
      </c>
      <c r="H98" s="1466">
        <f>VLOOKUP(K98,ALLOCTABLE,2)</f>
        <v>100</v>
      </c>
      <c r="I98" s="1463"/>
      <c r="J98" s="1462">
        <f>ROUND(G98*(H98/100),0)</f>
        <v>867295</v>
      </c>
      <c r="K98" s="1464" t="s">
        <v>593</v>
      </c>
      <c r="L98" s="1463"/>
    </row>
    <row r="99" spans="1:12">
      <c r="A99" s="433"/>
      <c r="B99" s="433"/>
      <c r="C99" s="1464">
        <v>32</v>
      </c>
      <c r="D99" s="1465"/>
      <c r="E99" s="1463"/>
      <c r="F99" s="1318" t="s">
        <v>1102</v>
      </c>
      <c r="G99" s="1319">
        <f>SUM(G94:G98)</f>
        <v>2264523</v>
      </c>
      <c r="H99" s="1463"/>
      <c r="I99" s="1463"/>
      <c r="J99" s="1319">
        <f>SUM(J94:J98)</f>
        <v>2264523</v>
      </c>
      <c r="K99" s="1463"/>
      <c r="L99" s="1463"/>
    </row>
    <row r="100" spans="1:12">
      <c r="A100" s="433"/>
      <c r="B100" s="433"/>
      <c r="C100" s="1464">
        <v>33</v>
      </c>
      <c r="D100" s="1465"/>
      <c r="E100" s="1463"/>
      <c r="F100" s="1463"/>
      <c r="G100" s="1463"/>
      <c r="H100" s="1463"/>
      <c r="I100" s="1463"/>
      <c r="J100" s="1463"/>
      <c r="K100" s="1463"/>
      <c r="L100" s="1463"/>
    </row>
    <row r="101" spans="1:12">
      <c r="A101" s="433"/>
      <c r="B101" s="433"/>
      <c r="C101" s="1464">
        <v>34</v>
      </c>
      <c r="D101" s="1465"/>
      <c r="E101" s="1463"/>
      <c r="F101" s="441" t="s">
        <v>1103</v>
      </c>
      <c r="G101" s="1463"/>
      <c r="H101" s="1463"/>
      <c r="I101" s="1463"/>
      <c r="J101" s="1463"/>
      <c r="K101" s="1463"/>
      <c r="L101" s="1463"/>
    </row>
    <row r="102" spans="1:12">
      <c r="A102" s="433"/>
      <c r="B102" s="433">
        <v>551000</v>
      </c>
      <c r="C102" s="1464">
        <v>35</v>
      </c>
      <c r="D102" s="1465">
        <v>551</v>
      </c>
      <c r="E102" s="1463"/>
      <c r="F102" s="1318" t="s">
        <v>731</v>
      </c>
      <c r="G102" s="1462">
        <f>ROUND(VLOOKUP(B102,BasePeriod,5,FALSE),0)</f>
        <v>211253</v>
      </c>
      <c r="H102" s="1466">
        <f>VLOOKUP(K102,ALLOCTABLE,2)</f>
        <v>100</v>
      </c>
      <c r="I102" s="1463"/>
      <c r="J102" s="1462">
        <f>ROUND(G102*(H102/100),0)</f>
        <v>211253</v>
      </c>
      <c r="K102" s="1464" t="s">
        <v>593</v>
      </c>
      <c r="L102" s="1463"/>
    </row>
    <row r="103" spans="1:12">
      <c r="A103" s="433"/>
      <c r="B103" s="433">
        <v>552000</v>
      </c>
      <c r="C103" s="1464">
        <v>36</v>
      </c>
      <c r="D103" s="1465">
        <v>552</v>
      </c>
      <c r="E103" s="1463"/>
      <c r="F103" s="1463" t="s">
        <v>1955</v>
      </c>
      <c r="G103" s="1462">
        <f>ROUND(VLOOKUP(B103,BasePeriod,5,FALSE),0)</f>
        <v>368286</v>
      </c>
      <c r="H103" s="1466">
        <f>VLOOKUP(K103,ALLOCTABLE,2)</f>
        <v>100</v>
      </c>
      <c r="I103" s="1463"/>
      <c r="J103" s="1462">
        <f>ROUND(G103*(H103/100),0)</f>
        <v>368286</v>
      </c>
      <c r="K103" s="1464" t="s">
        <v>593</v>
      </c>
      <c r="L103" s="1463"/>
    </row>
    <row r="104" spans="1:12">
      <c r="A104" s="433"/>
      <c r="B104" s="433">
        <v>553000</v>
      </c>
      <c r="C104" s="1464">
        <v>37</v>
      </c>
      <c r="D104" s="1465">
        <v>553</v>
      </c>
      <c r="E104" s="1463"/>
      <c r="F104" s="1463" t="s">
        <v>1956</v>
      </c>
      <c r="G104" s="1462">
        <f>ROUND(VLOOKUP(B104,BasePeriod,5,FALSE),0)</f>
        <v>3654976</v>
      </c>
      <c r="H104" s="1466">
        <f>VLOOKUP(K104,ALLOCTABLE,2)</f>
        <v>100</v>
      </c>
      <c r="I104" s="1463"/>
      <c r="J104" s="1462">
        <f>ROUND(G104*(H104/100),0)</f>
        <v>3654976</v>
      </c>
      <c r="K104" s="1464" t="s">
        <v>593</v>
      </c>
      <c r="L104" s="1463"/>
    </row>
    <row r="105" spans="1:12">
      <c r="A105" s="433"/>
      <c r="B105" s="433">
        <v>554</v>
      </c>
      <c r="C105" s="1464">
        <v>38</v>
      </c>
      <c r="D105" s="1465">
        <v>554</v>
      </c>
      <c r="E105" s="1463"/>
      <c r="F105" s="1463" t="s">
        <v>1957</v>
      </c>
      <c r="G105" s="1462">
        <f t="array" ref="G105">SUM(IF(FERCBP=B105,AmountBP))</f>
        <v>207250</v>
      </c>
      <c r="H105" s="1466">
        <f>VLOOKUP(K105,ALLOCTABLE,2)</f>
        <v>100</v>
      </c>
      <c r="I105" s="1463"/>
      <c r="J105" s="1462">
        <f>ROUND(G105*(H105/100),0)</f>
        <v>207250</v>
      </c>
      <c r="K105" s="1464" t="s">
        <v>593</v>
      </c>
      <c r="L105" s="1463"/>
    </row>
    <row r="106" spans="1:12">
      <c r="A106" s="433"/>
      <c r="B106" s="433"/>
      <c r="C106" s="1464">
        <v>39</v>
      </c>
      <c r="D106" s="1465"/>
      <c r="E106" s="1463"/>
      <c r="F106" s="1318" t="s">
        <v>1104</v>
      </c>
      <c r="G106" s="1319">
        <f>SUM(G102:G105)</f>
        <v>4441765</v>
      </c>
      <c r="H106" s="1463"/>
      <c r="I106" s="1463"/>
      <c r="J106" s="1319">
        <f>SUM(J102:J105)</f>
        <v>4441765</v>
      </c>
      <c r="K106" s="1463"/>
      <c r="L106" s="1463"/>
    </row>
    <row r="107" spans="1:12">
      <c r="A107" s="433"/>
      <c r="B107" s="433"/>
      <c r="C107" s="1464">
        <v>40</v>
      </c>
      <c r="D107" s="1465"/>
      <c r="E107" s="1463"/>
      <c r="F107" s="1463" t="s">
        <v>1958</v>
      </c>
      <c r="G107" s="451">
        <f>G106+G99</f>
        <v>6706288</v>
      </c>
      <c r="H107" s="1463"/>
      <c r="I107" s="1463"/>
      <c r="J107" s="451">
        <f>J106+J99</f>
        <v>6706288</v>
      </c>
      <c r="K107" s="1463"/>
      <c r="L107" s="1463"/>
    </row>
    <row r="108" spans="1:12">
      <c r="A108" s="433"/>
      <c r="B108" s="433"/>
      <c r="C108" s="1464">
        <v>41</v>
      </c>
      <c r="D108" s="1465"/>
      <c r="E108" s="1463"/>
      <c r="F108" s="1463"/>
      <c r="G108" s="1463"/>
      <c r="H108" s="1463"/>
      <c r="I108" s="1463"/>
      <c r="J108" s="1463"/>
      <c r="K108" s="1463"/>
      <c r="L108" s="1463"/>
    </row>
    <row r="109" spans="1:12">
      <c r="A109" s="433"/>
      <c r="B109" s="432"/>
      <c r="C109" s="1464">
        <v>42</v>
      </c>
      <c r="D109" s="1465"/>
      <c r="E109" s="1463"/>
      <c r="F109" s="441" t="s">
        <v>153</v>
      </c>
      <c r="G109" s="1463"/>
      <c r="H109" s="1463"/>
      <c r="I109" s="1463"/>
      <c r="J109" s="1463"/>
      <c r="K109" s="1463"/>
      <c r="L109" s="1463"/>
    </row>
    <row r="110" spans="1:12">
      <c r="A110" s="433"/>
      <c r="B110" s="432"/>
      <c r="C110" s="1464">
        <v>43</v>
      </c>
      <c r="D110" s="1463"/>
      <c r="E110" s="1463"/>
      <c r="F110" s="441"/>
      <c r="G110" s="1463"/>
      <c r="H110" s="1463"/>
      <c r="I110" s="1463"/>
      <c r="J110" s="1463"/>
      <c r="K110" s="1463"/>
      <c r="L110" s="1463"/>
    </row>
    <row r="111" spans="1:12">
      <c r="A111" s="433"/>
      <c r="B111" s="432"/>
      <c r="C111" s="1464">
        <v>44</v>
      </c>
      <c r="D111" s="1463"/>
      <c r="E111" s="1463"/>
      <c r="F111" s="441" t="s">
        <v>1101</v>
      </c>
      <c r="G111" s="1463"/>
      <c r="H111" s="1463"/>
      <c r="I111" s="1463"/>
      <c r="J111" s="1463"/>
      <c r="K111" s="1463"/>
      <c r="L111" s="1463"/>
    </row>
    <row r="112" spans="1:12">
      <c r="A112" s="1463"/>
      <c r="B112" s="432">
        <v>555</v>
      </c>
      <c r="C112" s="1464">
        <v>45</v>
      </c>
      <c r="D112" s="1464">
        <v>555</v>
      </c>
      <c r="E112" s="1463"/>
      <c r="F112" s="1318" t="s">
        <v>649</v>
      </c>
      <c r="G112" s="1463"/>
      <c r="H112" s="452"/>
      <c r="I112" s="1463"/>
      <c r="J112" s="453"/>
      <c r="K112" s="1463"/>
      <c r="L112" s="1463"/>
    </row>
    <row r="113" spans="1:12">
      <c r="A113" s="433"/>
      <c r="B113" s="433">
        <v>555190</v>
      </c>
      <c r="C113" s="1464">
        <v>46</v>
      </c>
      <c r="D113" s="1464"/>
      <c r="E113" s="1463"/>
      <c r="F113" s="1318" t="s">
        <v>650</v>
      </c>
      <c r="G113" s="1462">
        <f>ROUND(VLOOKUP(B113,BasePeriod,5,FALSE),0)</f>
        <v>0</v>
      </c>
      <c r="H113" s="1466">
        <f>VLOOKUP(K113,ALLOCTABLE,2)</f>
        <v>100</v>
      </c>
      <c r="I113" s="1463"/>
      <c r="J113" s="1462">
        <f>ROUND(G113*(H113/100),0)</f>
        <v>0</v>
      </c>
      <c r="K113" s="1464" t="s">
        <v>593</v>
      </c>
      <c r="L113" s="1463"/>
    </row>
    <row r="114" spans="1:12">
      <c r="A114" s="433"/>
      <c r="B114" s="432"/>
      <c r="C114" s="1464">
        <v>47</v>
      </c>
      <c r="D114" s="1464"/>
      <c r="E114" s="1463"/>
      <c r="F114" s="1318" t="s">
        <v>651</v>
      </c>
      <c r="G114" s="1462">
        <f t="array" ref="G114">SUM(IF(FERCBP=B112,AmountBP))-G113</f>
        <v>27256100</v>
      </c>
      <c r="H114" s="1466">
        <f>VLOOKUP(K114,ALLOCTABLE,2)</f>
        <v>100</v>
      </c>
      <c r="I114" s="1463"/>
      <c r="J114" s="1462">
        <f>ROUND(G114*(H114/100),0)</f>
        <v>27256100</v>
      </c>
      <c r="K114" s="1464" t="s">
        <v>593</v>
      </c>
      <c r="L114" s="1463"/>
    </row>
    <row r="115" spans="1:12">
      <c r="A115" s="433"/>
      <c r="B115" s="432">
        <v>556</v>
      </c>
      <c r="C115" s="1464">
        <v>48</v>
      </c>
      <c r="D115" s="1464">
        <v>556</v>
      </c>
      <c r="E115" s="1463"/>
      <c r="F115" s="1318" t="s">
        <v>652</v>
      </c>
      <c r="G115" s="1462">
        <f t="array" ref="G115">SUM(IF(FERCBP=B115,AmountBP))</f>
        <v>814</v>
      </c>
      <c r="H115" s="1466">
        <f>VLOOKUP(K115,ALLOCTABLE,2)</f>
        <v>100</v>
      </c>
      <c r="I115" s="1463"/>
      <c r="J115" s="1462">
        <f>ROUND(G115*(H115/100),0)</f>
        <v>814</v>
      </c>
      <c r="K115" s="1464" t="s">
        <v>593</v>
      </c>
      <c r="L115" s="1463"/>
    </row>
    <row r="116" spans="1:12">
      <c r="A116" s="433"/>
      <c r="B116" s="432">
        <v>557</v>
      </c>
      <c r="C116" s="1464">
        <v>49</v>
      </c>
      <c r="D116" s="442">
        <v>557</v>
      </c>
      <c r="E116" s="1463"/>
      <c r="F116" s="1318" t="s">
        <v>653</v>
      </c>
      <c r="G116" s="1462">
        <f t="array" ref="G116">SUM(IF(FERCBP=B116,AmountBP))-G117</f>
        <v>11813435</v>
      </c>
      <c r="H116" s="1466">
        <f>VLOOKUP(K116,ALLOCTABLE,2)</f>
        <v>100</v>
      </c>
      <c r="I116" s="1463"/>
      <c r="J116" s="1462">
        <f>ROUND(G116*(H116/100),0)</f>
        <v>11813435</v>
      </c>
      <c r="K116" s="1464" t="s">
        <v>593</v>
      </c>
      <c r="L116" s="1463"/>
    </row>
    <row r="117" spans="1:12">
      <c r="A117" s="433"/>
      <c r="B117" s="432">
        <v>557980</v>
      </c>
      <c r="C117" s="1464">
        <v>50</v>
      </c>
      <c r="D117" s="442">
        <v>557</v>
      </c>
      <c r="E117" s="1463"/>
      <c r="F117" s="1318" t="s">
        <v>2600</v>
      </c>
      <c r="G117" s="1462">
        <f>ROUND(VLOOKUP(B117,BasePeriod,5,FALSE),0)</f>
        <v>-3712734</v>
      </c>
      <c r="H117" s="1466">
        <f>VLOOKUP(K117,ALLOCTABLE,2)</f>
        <v>100</v>
      </c>
      <c r="I117" s="1463"/>
      <c r="J117" s="1462">
        <f>ROUND(G117*(H117/100),0)</f>
        <v>-3712734</v>
      </c>
      <c r="K117" s="1464" t="s">
        <v>593</v>
      </c>
      <c r="L117" s="1463"/>
    </row>
    <row r="118" spans="1:12">
      <c r="A118" s="433"/>
      <c r="B118" s="432"/>
      <c r="C118" s="1464">
        <v>51</v>
      </c>
      <c r="D118" s="454"/>
      <c r="E118" s="1463"/>
      <c r="F118" s="1318" t="s">
        <v>1959</v>
      </c>
      <c r="G118" s="1319">
        <f>SUM(G113:G117)</f>
        <v>35357615</v>
      </c>
      <c r="H118" s="1463"/>
      <c r="I118" s="1463"/>
      <c r="J118" s="1319">
        <f>SUM(J113:J117)</f>
        <v>35357615</v>
      </c>
      <c r="K118" s="1463"/>
      <c r="L118" s="1463"/>
    </row>
    <row r="119" spans="1:12">
      <c r="A119" s="433"/>
      <c r="B119" s="432"/>
      <c r="C119" s="1464">
        <v>52</v>
      </c>
      <c r="D119" s="454"/>
      <c r="E119" s="1463"/>
      <c r="F119" s="1318"/>
      <c r="G119" s="455"/>
      <c r="H119" s="1463"/>
      <c r="I119" s="1463"/>
      <c r="J119" s="455"/>
      <c r="K119" s="1463"/>
      <c r="L119" s="1463"/>
    </row>
    <row r="120" spans="1:12">
      <c r="A120" s="433"/>
      <c r="B120" s="432"/>
      <c r="C120" s="1464">
        <v>53</v>
      </c>
      <c r="D120" s="454"/>
      <c r="E120" s="1463"/>
      <c r="F120" s="1318" t="s">
        <v>1826</v>
      </c>
      <c r="G120" s="1319">
        <f>G118+G107+G90</f>
        <v>167004339</v>
      </c>
      <c r="H120" s="1463"/>
      <c r="I120" s="1463"/>
      <c r="J120" s="1319">
        <f>J118+J107+J90</f>
        <v>167004339</v>
      </c>
      <c r="K120" s="1463"/>
      <c r="L120" s="1463"/>
    </row>
    <row r="121" spans="1:12">
      <c r="A121" s="433"/>
      <c r="B121" s="432"/>
      <c r="C121" s="436"/>
      <c r="D121" s="454"/>
      <c r="E121" s="1463"/>
      <c r="F121" s="1463"/>
      <c r="G121" s="443"/>
      <c r="H121" s="1463"/>
      <c r="I121" s="1463"/>
      <c r="J121" s="443"/>
      <c r="K121" s="1463"/>
      <c r="L121" s="1463"/>
    </row>
    <row r="122" spans="1:12">
      <c r="A122" s="433"/>
      <c r="B122" s="433"/>
      <c r="C122" s="434" t="str">
        <f>COMPANY</f>
        <v>DUKE ENERGY KENTUCKY, INC.</v>
      </c>
      <c r="D122" s="435"/>
      <c r="E122" s="435"/>
      <c r="F122" s="434"/>
      <c r="G122" s="435"/>
      <c r="H122" s="435"/>
      <c r="I122" s="435"/>
      <c r="J122" s="435"/>
      <c r="K122" s="435"/>
      <c r="L122" s="1463"/>
    </row>
    <row r="123" spans="1:12">
      <c r="A123" s="433"/>
      <c r="B123" s="433"/>
      <c r="C123" s="434" t="str">
        <f>CASE</f>
        <v>CASE NO. 2017-00321</v>
      </c>
      <c r="D123" s="435"/>
      <c r="E123" s="435"/>
      <c r="F123" s="434"/>
      <c r="G123" s="435"/>
      <c r="H123" s="435"/>
      <c r="I123" s="435"/>
      <c r="J123" s="435"/>
      <c r="K123" s="435"/>
      <c r="L123" s="1463"/>
    </row>
    <row r="124" spans="1:12">
      <c r="A124" s="433"/>
      <c r="B124" s="433"/>
      <c r="C124" s="434" t="s">
        <v>1949</v>
      </c>
      <c r="D124" s="435"/>
      <c r="E124" s="434"/>
      <c r="F124" s="435"/>
      <c r="G124" s="435"/>
      <c r="H124" s="435"/>
      <c r="I124" s="435"/>
      <c r="J124" s="435"/>
      <c r="K124" s="435"/>
      <c r="L124" s="1463"/>
    </row>
    <row r="125" spans="1:12">
      <c r="A125" s="433"/>
      <c r="B125" s="433"/>
      <c r="C125" s="434" t="str">
        <f>PERIOD</f>
        <v>FOR THE TWELVE MONTHS ENDED NOVEMBER 30, 2017</v>
      </c>
      <c r="D125" s="435"/>
      <c r="E125" s="435"/>
      <c r="F125" s="434"/>
      <c r="G125" s="435"/>
      <c r="H125" s="435"/>
      <c r="I125" s="435"/>
      <c r="J125" s="435"/>
      <c r="K125" s="435"/>
      <c r="L125" s="1463"/>
    </row>
    <row r="126" spans="1:12">
      <c r="A126" s="433"/>
      <c r="B126" s="433"/>
      <c r="C126" s="435"/>
      <c r="D126" s="435"/>
      <c r="E126" s="435"/>
      <c r="F126" s="435"/>
      <c r="G126" s="435"/>
      <c r="H126" s="435"/>
      <c r="I126" s="435"/>
      <c r="J126" s="1463"/>
      <c r="K126" s="1463"/>
      <c r="L126" s="1463"/>
    </row>
    <row r="127" spans="1:12">
      <c r="A127" s="433"/>
      <c r="B127" s="433"/>
      <c r="C127" s="1463"/>
      <c r="D127" s="1463"/>
      <c r="E127" s="1463"/>
      <c r="F127" s="1463"/>
      <c r="G127" s="1463"/>
      <c r="H127" s="1463"/>
      <c r="I127" s="1463"/>
      <c r="J127" s="1318" t="str">
        <f>"                "&amp;"SCHEDULE C-2.1"</f>
        <v xml:space="preserve">                SCHEDULE C-2.1</v>
      </c>
      <c r="K127" s="1463"/>
      <c r="L127" s="1463"/>
    </row>
    <row r="128" spans="1:12">
      <c r="A128" s="433"/>
      <c r="B128" s="433"/>
      <c r="C128" s="436" t="str">
        <f>Data</f>
        <v>DATA: "X" BASE PERIOD   FORECASTED PERIOD</v>
      </c>
      <c r="D128" s="1463"/>
      <c r="E128" s="1463"/>
      <c r="F128" s="1463"/>
      <c r="G128" s="1463"/>
      <c r="H128" s="1463"/>
      <c r="I128" s="1463"/>
      <c r="J128" s="1318" t="str">
        <f>"                "&amp;"PAGE  3  OF  14"</f>
        <v xml:space="preserve">                PAGE  3  OF  14</v>
      </c>
      <c r="K128" s="1463"/>
      <c r="L128" s="1463"/>
    </row>
    <row r="129" spans="1:12">
      <c r="A129" s="433"/>
      <c r="B129" s="433"/>
      <c r="C129" s="436" t="str">
        <f>Type</f>
        <v xml:space="preserve">TYPE OF FILING:  "X" ORIGINAL   UPDATED    REVISED  </v>
      </c>
      <c r="D129" s="1463"/>
      <c r="E129" s="1463"/>
      <c r="F129" s="1463"/>
      <c r="G129" s="1463"/>
      <c r="H129" s="1463"/>
      <c r="I129" s="1463"/>
      <c r="J129" s="1318" t="str">
        <f>"                "&amp;"WITNESS RESPONSIBLE:"</f>
        <v xml:space="preserve">                WITNESS RESPONSIBLE:</v>
      </c>
      <c r="K129" s="1463"/>
      <c r="L129" s="1463"/>
    </row>
    <row r="130" spans="1:12">
      <c r="A130" s="433"/>
      <c r="B130" s="433"/>
      <c r="C130" s="1318" t="str">
        <f>$C$11</f>
        <v>WORK PAPER REFERENCE NO(S).: WPC-2.1a_BP</v>
      </c>
      <c r="D130" s="1463"/>
      <c r="E130" s="1463"/>
      <c r="F130" s="1463"/>
      <c r="G130" s="1463"/>
      <c r="H130" s="1463"/>
      <c r="I130" s="1463"/>
      <c r="J130" s="1318" t="str">
        <f>"                "&amp;_WIT1</f>
        <v xml:space="preserve">                S. E. LAWLER</v>
      </c>
      <c r="K130" s="1463"/>
      <c r="L130" s="1463"/>
    </row>
    <row r="131" spans="1:12">
      <c r="A131" s="433"/>
      <c r="B131" s="433"/>
      <c r="C131" s="437"/>
      <c r="D131" s="438"/>
      <c r="E131" s="438"/>
      <c r="F131" s="438"/>
      <c r="G131" s="438"/>
      <c r="H131" s="438"/>
      <c r="I131" s="438"/>
      <c r="J131" s="438"/>
      <c r="K131" s="438"/>
      <c r="L131" s="1463"/>
    </row>
    <row r="132" spans="1:12">
      <c r="A132" s="433"/>
      <c r="B132" s="433"/>
      <c r="C132" s="1463"/>
      <c r="D132" s="1463"/>
      <c r="E132" s="1463"/>
      <c r="F132" s="1463"/>
      <c r="G132" s="1464" t="s">
        <v>238</v>
      </c>
      <c r="H132" s="1465" t="s">
        <v>360</v>
      </c>
      <c r="I132" s="1463"/>
      <c r="J132" s="1463"/>
      <c r="K132" s="1464" t="s">
        <v>1461</v>
      </c>
      <c r="L132" s="1463"/>
    </row>
    <row r="133" spans="1:12">
      <c r="A133" s="433"/>
      <c r="B133" s="433"/>
      <c r="C133" s="1464" t="s">
        <v>1961</v>
      </c>
      <c r="D133" s="1464" t="s">
        <v>1080</v>
      </c>
      <c r="E133" s="1463"/>
      <c r="F133" s="1463"/>
      <c r="G133" s="1464" t="s">
        <v>1035</v>
      </c>
      <c r="H133" s="1464" t="s">
        <v>362</v>
      </c>
      <c r="I133" s="1463"/>
      <c r="J133" s="1464" t="s">
        <v>238</v>
      </c>
      <c r="K133" s="1464" t="s">
        <v>239</v>
      </c>
      <c r="L133" s="1463"/>
    </row>
    <row r="134" spans="1:12">
      <c r="A134" s="433"/>
      <c r="B134" s="433"/>
      <c r="C134" s="1464" t="s">
        <v>1854</v>
      </c>
      <c r="D134" s="1464" t="s">
        <v>90</v>
      </c>
      <c r="E134" s="1463"/>
      <c r="F134" s="434" t="s">
        <v>240</v>
      </c>
      <c r="G134" s="1464" t="s">
        <v>1872</v>
      </c>
      <c r="H134" s="1464" t="s">
        <v>363</v>
      </c>
      <c r="I134" s="1463"/>
      <c r="J134" s="1464" t="s">
        <v>241</v>
      </c>
      <c r="K134" s="1464" t="s">
        <v>566</v>
      </c>
      <c r="L134" s="1463"/>
    </row>
    <row r="135" spans="1:12">
      <c r="A135" s="433"/>
      <c r="B135" s="433"/>
      <c r="C135" s="439"/>
      <c r="D135" s="439"/>
      <c r="E135" s="439"/>
      <c r="F135" s="439"/>
      <c r="G135" s="440" t="s">
        <v>365</v>
      </c>
      <c r="H135" s="440" t="s">
        <v>318</v>
      </c>
      <c r="I135" s="439"/>
      <c r="J135" s="440" t="s">
        <v>319</v>
      </c>
      <c r="K135" s="440" t="s">
        <v>320</v>
      </c>
      <c r="L135" s="1463"/>
    </row>
    <row r="136" spans="1:12">
      <c r="A136" s="433"/>
      <c r="B136" s="433"/>
      <c r="C136" s="1463"/>
      <c r="D136" s="1463"/>
      <c r="E136" s="1463"/>
      <c r="F136" s="1463"/>
      <c r="G136" s="1463"/>
      <c r="H136" s="1463"/>
      <c r="I136" s="1463"/>
      <c r="J136" s="1463"/>
      <c r="K136" s="1463"/>
      <c r="L136" s="1463"/>
    </row>
    <row r="137" spans="1:12">
      <c r="A137" s="433"/>
      <c r="B137" s="433"/>
      <c r="C137" s="1464">
        <v>1</v>
      </c>
      <c r="D137" s="454"/>
      <c r="E137" s="1463"/>
      <c r="F137" s="441" t="s">
        <v>897</v>
      </c>
      <c r="G137" s="1463"/>
      <c r="H137" s="1463"/>
      <c r="I137" s="1463"/>
      <c r="J137" s="1463"/>
      <c r="K137" s="1463"/>
      <c r="L137" s="1463"/>
    </row>
    <row r="138" spans="1:12">
      <c r="A138" s="433"/>
      <c r="B138" s="433"/>
      <c r="C138" s="1464">
        <v>2</v>
      </c>
      <c r="D138" s="454"/>
      <c r="E138" s="1463"/>
      <c r="F138" s="441"/>
      <c r="G138" s="1463"/>
      <c r="H138" s="1463"/>
      <c r="I138" s="1463"/>
      <c r="J138" s="1463"/>
      <c r="K138" s="1463"/>
      <c r="L138" s="1463"/>
    </row>
    <row r="139" spans="1:12">
      <c r="A139" s="433"/>
      <c r="B139" s="433"/>
      <c r="C139" s="1464">
        <v>3</v>
      </c>
      <c r="D139" s="454"/>
      <c r="E139" s="1463"/>
      <c r="F139" s="441" t="s">
        <v>1101</v>
      </c>
      <c r="G139" s="1463"/>
      <c r="H139" s="1463"/>
      <c r="I139" s="1463"/>
      <c r="J139" s="1463"/>
      <c r="K139" s="1463"/>
      <c r="L139" s="1463"/>
    </row>
    <row r="140" spans="1:12">
      <c r="A140" s="433"/>
      <c r="B140" s="432">
        <v>560</v>
      </c>
      <c r="C140" s="1464">
        <v>4</v>
      </c>
      <c r="D140" s="1464">
        <v>560</v>
      </c>
      <c r="E140" s="1463"/>
      <c r="F140" s="1318" t="s">
        <v>1816</v>
      </c>
      <c r="G140" s="1462">
        <f t="array" ref="G140">SUM(IF(FERCBP=B140,AmountBP))</f>
        <v>46986</v>
      </c>
      <c r="H140" s="1466">
        <f t="shared" ref="H140:H146" si="8">VLOOKUP(K140,ALLOCTABLE,2)</f>
        <v>100</v>
      </c>
      <c r="I140" s="1463"/>
      <c r="J140" s="1462">
        <f t="shared" ref="J140:J146" si="9">ROUND(G140*(H140/100),0)</f>
        <v>46986</v>
      </c>
      <c r="K140" s="1464" t="s">
        <v>593</v>
      </c>
      <c r="L140" s="1463"/>
    </row>
    <row r="141" spans="1:12">
      <c r="A141" s="433"/>
      <c r="B141" s="432">
        <v>561</v>
      </c>
      <c r="C141" s="1464">
        <v>5</v>
      </c>
      <c r="D141" s="1467">
        <v>561</v>
      </c>
      <c r="E141" s="1463"/>
      <c r="F141" s="1318" t="s">
        <v>654</v>
      </c>
      <c r="G141" s="1462">
        <f t="array" ref="G141">SUM(IF(FERCBP=B141,AmountBP))</f>
        <v>3874010</v>
      </c>
      <c r="H141" s="1466">
        <f t="shared" si="8"/>
        <v>100</v>
      </c>
      <c r="I141" s="1463"/>
      <c r="J141" s="1462">
        <f t="shared" si="9"/>
        <v>3874010</v>
      </c>
      <c r="K141" s="1464" t="s">
        <v>593</v>
      </c>
      <c r="L141" s="1463"/>
    </row>
    <row r="142" spans="1:12">
      <c r="A142" s="433"/>
      <c r="B142" s="432">
        <v>562</v>
      </c>
      <c r="C142" s="1464">
        <v>6</v>
      </c>
      <c r="D142" s="1467">
        <v>562</v>
      </c>
      <c r="E142" s="1463"/>
      <c r="F142" s="1318" t="s">
        <v>655</v>
      </c>
      <c r="G142" s="1462">
        <f t="array" ref="G142">SUM(IF(FERCBP=B142,AmountBP))</f>
        <v>120170</v>
      </c>
      <c r="H142" s="1466">
        <f t="shared" si="8"/>
        <v>100</v>
      </c>
      <c r="I142" s="1463"/>
      <c r="J142" s="1462">
        <f t="shared" si="9"/>
        <v>120170</v>
      </c>
      <c r="K142" s="1464" t="s">
        <v>593</v>
      </c>
      <c r="L142" s="1463"/>
    </row>
    <row r="143" spans="1:12">
      <c r="A143" s="433"/>
      <c r="B143" s="432">
        <v>563</v>
      </c>
      <c r="C143" s="1464">
        <v>7</v>
      </c>
      <c r="D143" s="1467">
        <v>563</v>
      </c>
      <c r="E143" s="1463"/>
      <c r="F143" s="1318" t="s">
        <v>656</v>
      </c>
      <c r="G143" s="1462">
        <f t="array" ref="G143">SUM(IF(FERCBP=B143,AmountBP))</f>
        <v>49540</v>
      </c>
      <c r="H143" s="1466">
        <f t="shared" si="8"/>
        <v>100</v>
      </c>
      <c r="I143" s="1463"/>
      <c r="J143" s="1462">
        <f t="shared" si="9"/>
        <v>49540</v>
      </c>
      <c r="K143" s="1464" t="s">
        <v>593</v>
      </c>
      <c r="L143" s="1463"/>
    </row>
    <row r="144" spans="1:12">
      <c r="A144" s="433"/>
      <c r="B144" s="432">
        <v>565</v>
      </c>
      <c r="C144" s="1464">
        <v>8</v>
      </c>
      <c r="D144" s="1467">
        <v>565</v>
      </c>
      <c r="E144" s="1463"/>
      <c r="F144" s="1318" t="s">
        <v>1008</v>
      </c>
      <c r="G144" s="1462">
        <f t="array" ref="G144">SUM(IF(FERCBP=B144,AmountBP))</f>
        <v>12940025</v>
      </c>
      <c r="H144" s="1466">
        <f t="shared" si="8"/>
        <v>100</v>
      </c>
      <c r="I144" s="1463"/>
      <c r="J144" s="1462">
        <f t="shared" si="9"/>
        <v>12940025</v>
      </c>
      <c r="K144" s="1464" t="s">
        <v>593</v>
      </c>
      <c r="L144" s="1463"/>
    </row>
    <row r="145" spans="1:12">
      <c r="A145" s="433"/>
      <c r="B145" s="432">
        <v>566</v>
      </c>
      <c r="C145" s="1464">
        <v>9</v>
      </c>
      <c r="D145" s="1467">
        <v>566</v>
      </c>
      <c r="E145" s="1463"/>
      <c r="F145" s="1318" t="s">
        <v>657</v>
      </c>
      <c r="G145" s="1462">
        <f t="array" ref="G145">SUM(IF(FERCBP=B145,AmountBP))</f>
        <v>379382</v>
      </c>
      <c r="H145" s="1466">
        <f t="shared" si="8"/>
        <v>100</v>
      </c>
      <c r="I145" s="1463"/>
      <c r="J145" s="1462">
        <f t="shared" si="9"/>
        <v>379382</v>
      </c>
      <c r="K145" s="1464" t="s">
        <v>593</v>
      </c>
      <c r="L145" s="1463"/>
    </row>
    <row r="146" spans="1:12">
      <c r="A146" s="433"/>
      <c r="B146" s="432">
        <v>567</v>
      </c>
      <c r="C146" s="1464">
        <v>10</v>
      </c>
      <c r="D146" s="1467">
        <v>567</v>
      </c>
      <c r="E146" s="1463"/>
      <c r="F146" s="1318" t="s">
        <v>658</v>
      </c>
      <c r="G146" s="1462">
        <f t="array" ref="G146">SUM(IF(FERCBP=B146,AmountBP))</f>
        <v>0</v>
      </c>
      <c r="H146" s="1466">
        <f t="shared" si="8"/>
        <v>100</v>
      </c>
      <c r="I146" s="1463"/>
      <c r="J146" s="1462">
        <f t="shared" si="9"/>
        <v>0</v>
      </c>
      <c r="K146" s="1464" t="s">
        <v>593</v>
      </c>
      <c r="L146" s="1463"/>
    </row>
    <row r="147" spans="1:12">
      <c r="A147" s="433"/>
      <c r="B147" s="433"/>
      <c r="C147" s="1464">
        <v>11</v>
      </c>
      <c r="D147" s="1463"/>
      <c r="E147" s="1463"/>
      <c r="F147" s="1318" t="s">
        <v>1102</v>
      </c>
      <c r="G147" s="1319">
        <f>SUM(G140:G146)</f>
        <v>17410113</v>
      </c>
      <c r="H147" s="1463"/>
      <c r="I147" s="1463"/>
      <c r="J147" s="1319">
        <f>SUM(J140:J146)</f>
        <v>17410113</v>
      </c>
      <c r="K147" s="1463"/>
      <c r="L147" s="1463"/>
    </row>
    <row r="148" spans="1:12">
      <c r="A148" s="433"/>
      <c r="B148" s="433"/>
      <c r="C148" s="1464">
        <v>12</v>
      </c>
      <c r="D148" s="1463"/>
      <c r="E148" s="1463"/>
      <c r="F148" s="1463"/>
      <c r="G148" s="443"/>
      <c r="H148" s="1463"/>
      <c r="I148" s="1463"/>
      <c r="J148" s="443"/>
      <c r="K148" s="1463"/>
      <c r="L148" s="1463"/>
    </row>
    <row r="149" spans="1:12">
      <c r="A149" s="433"/>
      <c r="B149" s="433"/>
      <c r="C149" s="1464">
        <v>13</v>
      </c>
      <c r="D149" s="1463"/>
      <c r="E149" s="1463"/>
      <c r="F149" s="1463"/>
      <c r="G149" s="1463"/>
      <c r="H149" s="1463"/>
      <c r="I149" s="1463"/>
      <c r="J149" s="1463"/>
      <c r="K149" s="1463"/>
      <c r="L149" s="1463"/>
    </row>
    <row r="150" spans="1:12">
      <c r="A150" s="433"/>
      <c r="B150" s="433"/>
      <c r="C150" s="1464">
        <v>14</v>
      </c>
      <c r="D150" s="1463"/>
      <c r="E150" s="1463"/>
      <c r="F150" s="441" t="s">
        <v>1103</v>
      </c>
      <c r="G150" s="1463"/>
      <c r="H150" s="1463"/>
      <c r="I150" s="1463"/>
      <c r="J150" s="1463"/>
      <c r="K150" s="1463"/>
      <c r="L150" s="1463"/>
    </row>
    <row r="151" spans="1:12">
      <c r="A151" s="433"/>
      <c r="B151" s="432">
        <v>568</v>
      </c>
      <c r="C151" s="1464">
        <v>15</v>
      </c>
      <c r="D151" s="1467">
        <v>568</v>
      </c>
      <c r="E151" s="1463"/>
      <c r="F151" s="1318" t="s">
        <v>1816</v>
      </c>
      <c r="G151" s="1462">
        <f t="array" ref="G151">SUM(IF(FERCBP=B151,AmountBP))</f>
        <v>0</v>
      </c>
      <c r="H151" s="1466">
        <f t="shared" ref="H151:H156" si="10">VLOOKUP(K151,ALLOCTABLE,2)</f>
        <v>100</v>
      </c>
      <c r="I151" s="1463"/>
      <c r="J151" s="1462">
        <f t="shared" ref="J151:J156" si="11">ROUND(G151*(H151/100),0)</f>
        <v>0</v>
      </c>
      <c r="K151" s="1464" t="s">
        <v>593</v>
      </c>
      <c r="L151" s="1463"/>
    </row>
    <row r="152" spans="1:12">
      <c r="A152" s="433"/>
      <c r="B152" s="432">
        <v>569</v>
      </c>
      <c r="C152" s="1464">
        <v>16</v>
      </c>
      <c r="D152" s="1467">
        <v>569</v>
      </c>
      <c r="E152" s="1463"/>
      <c r="F152" s="1318" t="s">
        <v>659</v>
      </c>
      <c r="G152" s="1462">
        <f t="array" ref="G152">SUM(IF(FERCBP=B152,AmountBP))</f>
        <v>137941</v>
      </c>
      <c r="H152" s="1466">
        <f t="shared" si="10"/>
        <v>100</v>
      </c>
      <c r="I152" s="1463"/>
      <c r="J152" s="1462">
        <f t="shared" si="11"/>
        <v>137941</v>
      </c>
      <c r="K152" s="1464" t="s">
        <v>593</v>
      </c>
      <c r="L152" s="1463"/>
    </row>
    <row r="153" spans="1:12">
      <c r="A153" s="433"/>
      <c r="B153" s="432">
        <v>570</v>
      </c>
      <c r="C153" s="1464">
        <v>17</v>
      </c>
      <c r="D153" s="1467">
        <v>570</v>
      </c>
      <c r="E153" s="1463"/>
      <c r="F153" s="1318" t="s">
        <v>660</v>
      </c>
      <c r="G153" s="1462">
        <f t="array" ref="G153">SUM(IF(FERCBP=B153,AmountBP))</f>
        <v>247802</v>
      </c>
      <c r="H153" s="1466">
        <f t="shared" si="10"/>
        <v>100</v>
      </c>
      <c r="I153" s="1463"/>
      <c r="J153" s="1462">
        <f t="shared" si="11"/>
        <v>247802</v>
      </c>
      <c r="K153" s="1464" t="s">
        <v>593</v>
      </c>
      <c r="L153" s="1463"/>
    </row>
    <row r="154" spans="1:12">
      <c r="A154" s="433"/>
      <c r="B154" s="432">
        <v>571</v>
      </c>
      <c r="C154" s="1464">
        <v>18</v>
      </c>
      <c r="D154" s="1467">
        <v>571</v>
      </c>
      <c r="E154" s="1463"/>
      <c r="F154" s="1318" t="s">
        <v>656</v>
      </c>
      <c r="G154" s="1462">
        <f t="array" ref="G154">SUM(IF(FERCBP=B154,AmountBP))</f>
        <v>299537</v>
      </c>
      <c r="H154" s="1466">
        <f t="shared" si="10"/>
        <v>100</v>
      </c>
      <c r="I154" s="1463"/>
      <c r="J154" s="1462">
        <f t="shared" si="11"/>
        <v>299537</v>
      </c>
      <c r="K154" s="1464" t="s">
        <v>593</v>
      </c>
      <c r="L154" s="1463"/>
    </row>
    <row r="155" spans="1:12">
      <c r="A155" s="433"/>
      <c r="B155" s="432">
        <v>572</v>
      </c>
      <c r="C155" s="1464">
        <v>19</v>
      </c>
      <c r="D155" s="1467">
        <v>572</v>
      </c>
      <c r="E155" s="1463"/>
      <c r="F155" s="1318" t="s">
        <v>1539</v>
      </c>
      <c r="G155" s="1462">
        <f t="array" ref="G155">SUM(IF(FERCBP=B155,AmountBP))</f>
        <v>0</v>
      </c>
      <c r="H155" s="1466">
        <f t="shared" si="10"/>
        <v>100</v>
      </c>
      <c r="I155" s="1463"/>
      <c r="J155" s="1462">
        <f t="shared" si="11"/>
        <v>0</v>
      </c>
      <c r="K155" s="1464" t="s">
        <v>593</v>
      </c>
      <c r="L155" s="1463"/>
    </row>
    <row r="156" spans="1:12">
      <c r="A156" s="433"/>
      <c r="B156" s="432">
        <v>573</v>
      </c>
      <c r="C156" s="1464">
        <v>20</v>
      </c>
      <c r="D156" s="1467">
        <v>573</v>
      </c>
      <c r="E156" s="1463"/>
      <c r="F156" s="1318" t="s">
        <v>661</v>
      </c>
      <c r="G156" s="1462">
        <f t="array" ref="G156">SUM(IF(FERCBP=B156,AmountBP))</f>
        <v>0</v>
      </c>
      <c r="H156" s="1466">
        <f t="shared" si="10"/>
        <v>100</v>
      </c>
      <c r="I156" s="1463"/>
      <c r="J156" s="1462">
        <f t="shared" si="11"/>
        <v>0</v>
      </c>
      <c r="K156" s="1464" t="s">
        <v>593</v>
      </c>
      <c r="L156" s="1463"/>
    </row>
    <row r="157" spans="1:12">
      <c r="A157" s="433"/>
      <c r="B157" s="432"/>
      <c r="C157" s="1464">
        <v>21</v>
      </c>
      <c r="D157" s="1463"/>
      <c r="E157" s="1463"/>
      <c r="F157" s="1318" t="s">
        <v>1104</v>
      </c>
      <c r="G157" s="1319">
        <f>SUM(G151:G156)</f>
        <v>685280</v>
      </c>
      <c r="H157" s="1463"/>
      <c r="I157" s="1463"/>
      <c r="J157" s="1319">
        <f>SUM(J151:J156)</f>
        <v>685280</v>
      </c>
      <c r="K157" s="1464" t="s">
        <v>593</v>
      </c>
      <c r="L157" s="1463"/>
    </row>
    <row r="158" spans="1:12">
      <c r="A158" s="433"/>
      <c r="B158" s="432"/>
      <c r="C158" s="1464">
        <v>22</v>
      </c>
      <c r="D158" s="454"/>
      <c r="E158" s="1463"/>
      <c r="F158" s="1318" t="s">
        <v>662</v>
      </c>
      <c r="G158" s="1319">
        <f>G147+G157</f>
        <v>18095393</v>
      </c>
      <c r="H158" s="1463"/>
      <c r="I158" s="1463"/>
      <c r="J158" s="1319">
        <f>J147+J157</f>
        <v>18095393</v>
      </c>
      <c r="K158" s="1463"/>
      <c r="L158" s="1463"/>
    </row>
    <row r="159" spans="1:12">
      <c r="A159" s="433"/>
      <c r="B159" s="433"/>
      <c r="C159" s="1464">
        <v>23</v>
      </c>
      <c r="D159" s="1463"/>
      <c r="E159" s="1463"/>
      <c r="F159" s="1463"/>
      <c r="G159" s="1463"/>
      <c r="H159" s="1463"/>
      <c r="I159" s="1463"/>
      <c r="J159" s="1463"/>
      <c r="K159" s="1463"/>
      <c r="L159" s="1463"/>
    </row>
    <row r="160" spans="1:12">
      <c r="A160" s="433"/>
      <c r="B160" s="433"/>
      <c r="C160" s="1464">
        <v>24</v>
      </c>
      <c r="D160" s="1463"/>
      <c r="E160" s="1463"/>
      <c r="F160" s="441" t="s">
        <v>2179</v>
      </c>
      <c r="G160" s="1463"/>
      <c r="H160" s="1463"/>
      <c r="I160" s="1463"/>
      <c r="J160" s="1463"/>
      <c r="K160" s="1463"/>
      <c r="L160" s="1463"/>
    </row>
    <row r="161" spans="1:12">
      <c r="A161" s="433"/>
      <c r="B161" s="433"/>
      <c r="C161" s="1464">
        <v>25</v>
      </c>
      <c r="D161" s="1463"/>
      <c r="E161" s="1463"/>
      <c r="F161" s="1463"/>
      <c r="G161" s="1463"/>
      <c r="H161" s="1463"/>
      <c r="I161" s="1463"/>
      <c r="J161" s="1463"/>
      <c r="K161" s="1463"/>
      <c r="L161" s="1463"/>
    </row>
    <row r="162" spans="1:12">
      <c r="A162" s="433"/>
      <c r="B162" s="433"/>
      <c r="C162" s="1464">
        <v>26</v>
      </c>
      <c r="D162" s="1463"/>
      <c r="E162" s="1463"/>
      <c r="F162" s="441" t="s">
        <v>1101</v>
      </c>
      <c r="G162" s="1463"/>
      <c r="H162" s="1463"/>
      <c r="I162" s="1463"/>
      <c r="J162" s="1463"/>
      <c r="K162" s="1463"/>
      <c r="L162" s="1463"/>
    </row>
    <row r="163" spans="1:12">
      <c r="A163" s="433"/>
      <c r="B163" s="433">
        <v>575</v>
      </c>
      <c r="C163" s="1464">
        <v>27</v>
      </c>
      <c r="D163" s="1465">
        <v>575</v>
      </c>
      <c r="E163" s="1463"/>
      <c r="F163" s="1318" t="s">
        <v>2756</v>
      </c>
      <c r="G163" s="1462">
        <f t="array" ref="G163">SUM(IF(FERCBP=B163,AmountBP))</f>
        <v>1637210</v>
      </c>
      <c r="H163" s="1466">
        <f>VLOOKUP(K163,ALLOCTABLE,2)</f>
        <v>100</v>
      </c>
      <c r="I163" s="1463"/>
      <c r="J163" s="1462">
        <f>ROUND(G163*(H163/100),0)</f>
        <v>1637210</v>
      </c>
      <c r="K163" s="1464" t="s">
        <v>593</v>
      </c>
      <c r="L163" s="1463"/>
    </row>
    <row r="164" spans="1:12">
      <c r="A164" s="433"/>
      <c r="B164" s="433"/>
      <c r="C164" s="1464">
        <v>28</v>
      </c>
      <c r="D164" s="1463"/>
      <c r="E164" s="1463"/>
      <c r="F164" s="1318" t="s">
        <v>2180</v>
      </c>
      <c r="G164" s="1319">
        <f>SUM(G163)</f>
        <v>1637210</v>
      </c>
      <c r="H164" s="1463"/>
      <c r="I164" s="1463"/>
      <c r="J164" s="1319">
        <f>SUM(J163)</f>
        <v>1637210</v>
      </c>
      <c r="K164" s="1463"/>
      <c r="L164" s="1463"/>
    </row>
    <row r="165" spans="1:12">
      <c r="A165" s="433"/>
      <c r="B165" s="433"/>
      <c r="C165" s="1464">
        <v>29</v>
      </c>
      <c r="D165" s="1463"/>
      <c r="E165" s="1463"/>
      <c r="F165" s="1463"/>
      <c r="G165" s="1463"/>
      <c r="H165" s="1463"/>
      <c r="I165" s="1463"/>
      <c r="J165" s="1463"/>
      <c r="K165" s="1463"/>
      <c r="L165" s="1463"/>
    </row>
    <row r="166" spans="1:12">
      <c r="A166" s="433"/>
      <c r="B166" s="433"/>
      <c r="C166" s="1464">
        <v>30</v>
      </c>
      <c r="D166" s="454"/>
      <c r="E166" s="1463"/>
      <c r="F166" s="441" t="s">
        <v>172</v>
      </c>
      <c r="G166" s="1463"/>
      <c r="H166" s="1463"/>
      <c r="I166" s="1463"/>
      <c r="J166" s="1463"/>
      <c r="K166" s="1463"/>
      <c r="L166" s="1463"/>
    </row>
    <row r="167" spans="1:12">
      <c r="A167" s="433"/>
      <c r="B167" s="433"/>
      <c r="C167" s="1464">
        <v>31</v>
      </c>
      <c r="D167" s="1463"/>
      <c r="E167" s="1463"/>
      <c r="F167" s="1463"/>
      <c r="G167" s="1463"/>
      <c r="H167" s="1463"/>
      <c r="I167" s="1463"/>
      <c r="J167" s="1463"/>
      <c r="K167" s="1463"/>
      <c r="L167" s="1463"/>
    </row>
    <row r="168" spans="1:12">
      <c r="A168" s="433"/>
      <c r="B168" s="433"/>
      <c r="C168" s="1464">
        <v>32</v>
      </c>
      <c r="D168" s="454"/>
      <c r="E168" s="1463"/>
      <c r="F168" s="441" t="s">
        <v>1101</v>
      </c>
      <c r="G168" s="1463"/>
      <c r="H168" s="1463"/>
      <c r="I168" s="1463"/>
      <c r="J168" s="1463"/>
      <c r="K168" s="1463"/>
      <c r="L168" s="1463"/>
    </row>
    <row r="169" spans="1:12">
      <c r="A169" s="433"/>
      <c r="B169" s="432">
        <v>580</v>
      </c>
      <c r="C169" s="1464">
        <v>33</v>
      </c>
      <c r="D169" s="1467">
        <v>580</v>
      </c>
      <c r="E169" s="1463"/>
      <c r="F169" s="1318" t="s">
        <v>1816</v>
      </c>
      <c r="G169" s="1462">
        <f t="array" ref="G169">SUM(IF(FERCBP=B169,AmountBP))</f>
        <v>192430</v>
      </c>
      <c r="H169" s="1466">
        <f t="shared" ref="H169:H178" si="12">VLOOKUP(K169,ALLOCTABLE,2)</f>
        <v>100</v>
      </c>
      <c r="I169" s="1463"/>
      <c r="J169" s="1462">
        <f t="shared" ref="J169:J178" si="13">ROUND(G169*(H169/100),0)</f>
        <v>192430</v>
      </c>
      <c r="K169" s="1464" t="s">
        <v>593</v>
      </c>
      <c r="L169" s="1463"/>
    </row>
    <row r="170" spans="1:12">
      <c r="A170" s="433"/>
      <c r="B170" s="432">
        <v>581</v>
      </c>
      <c r="C170" s="1464">
        <v>34</v>
      </c>
      <c r="D170" s="1467">
        <v>581</v>
      </c>
      <c r="E170" s="1463"/>
      <c r="F170" s="1318" t="s">
        <v>654</v>
      </c>
      <c r="G170" s="1462">
        <f t="array" ref="G170">SUM(IF(FERCBP=B170,AmountBP))</f>
        <v>427471</v>
      </c>
      <c r="H170" s="1466">
        <f t="shared" si="12"/>
        <v>100</v>
      </c>
      <c r="I170" s="1463"/>
      <c r="J170" s="1462">
        <f t="shared" si="13"/>
        <v>427471</v>
      </c>
      <c r="K170" s="1464" t="s">
        <v>593</v>
      </c>
      <c r="L170" s="1463"/>
    </row>
    <row r="171" spans="1:12">
      <c r="A171" s="433"/>
      <c r="B171" s="432">
        <v>582</v>
      </c>
      <c r="C171" s="1464">
        <v>35</v>
      </c>
      <c r="D171" s="1467">
        <v>582</v>
      </c>
      <c r="E171" s="1463"/>
      <c r="F171" s="1318" t="s">
        <v>663</v>
      </c>
      <c r="G171" s="1462">
        <f t="array" ref="G171">SUM(IF(FERCBP=B171,AmountBP))</f>
        <v>156850</v>
      </c>
      <c r="H171" s="1466">
        <f t="shared" si="12"/>
        <v>100</v>
      </c>
      <c r="I171" s="1463"/>
      <c r="J171" s="1462">
        <f t="shared" si="13"/>
        <v>156850</v>
      </c>
      <c r="K171" s="1464" t="s">
        <v>593</v>
      </c>
      <c r="L171" s="1463"/>
    </row>
    <row r="172" spans="1:12">
      <c r="A172" s="433"/>
      <c r="B172" s="432">
        <v>583</v>
      </c>
      <c r="C172" s="1464">
        <v>36</v>
      </c>
      <c r="D172" s="1467">
        <v>583</v>
      </c>
      <c r="E172" s="1463"/>
      <c r="F172" s="1318" t="s">
        <v>656</v>
      </c>
      <c r="G172" s="1462">
        <f t="array" ref="G172">SUM(IF(FERCBP=B172,AmountBP))</f>
        <v>279422</v>
      </c>
      <c r="H172" s="1466">
        <f t="shared" si="12"/>
        <v>100</v>
      </c>
      <c r="I172" s="1463"/>
      <c r="J172" s="1462">
        <f t="shared" si="13"/>
        <v>279422</v>
      </c>
      <c r="K172" s="1464" t="s">
        <v>593</v>
      </c>
      <c r="L172" s="1463"/>
    </row>
    <row r="173" spans="1:12">
      <c r="A173" s="433"/>
      <c r="B173" s="432">
        <v>584</v>
      </c>
      <c r="C173" s="1464">
        <v>37</v>
      </c>
      <c r="D173" s="1467">
        <v>584</v>
      </c>
      <c r="E173" s="1463"/>
      <c r="F173" s="1318" t="s">
        <v>1539</v>
      </c>
      <c r="G173" s="1462">
        <f t="array" ref="G173">SUM(IF(FERCBP=B173,AmountBP))</f>
        <v>406624</v>
      </c>
      <c r="H173" s="1466">
        <f t="shared" si="12"/>
        <v>100</v>
      </c>
      <c r="I173" s="1463"/>
      <c r="J173" s="1462">
        <f t="shared" si="13"/>
        <v>406624</v>
      </c>
      <c r="K173" s="1464" t="s">
        <v>593</v>
      </c>
      <c r="L173" s="1463"/>
    </row>
    <row r="174" spans="1:12">
      <c r="A174" s="433"/>
      <c r="B174" s="432">
        <v>585</v>
      </c>
      <c r="C174" s="1464">
        <v>38</v>
      </c>
      <c r="D174" s="1467">
        <v>585</v>
      </c>
      <c r="E174" s="1463"/>
      <c r="F174" s="1318" t="s">
        <v>664</v>
      </c>
      <c r="G174" s="1462">
        <f t="array" ref="G174">SUM(IF(FERCBP=B174,AmountBP))</f>
        <v>0</v>
      </c>
      <c r="H174" s="1466">
        <f t="shared" si="12"/>
        <v>100</v>
      </c>
      <c r="I174" s="1463"/>
      <c r="J174" s="1462">
        <f t="shared" si="13"/>
        <v>0</v>
      </c>
      <c r="K174" s="1464" t="s">
        <v>593</v>
      </c>
      <c r="L174" s="1463"/>
    </row>
    <row r="175" spans="1:12">
      <c r="A175" s="433"/>
      <c r="B175" s="432">
        <v>586</v>
      </c>
      <c r="C175" s="1464">
        <v>39</v>
      </c>
      <c r="D175" s="1467">
        <v>586</v>
      </c>
      <c r="E175" s="1463"/>
      <c r="F175" s="1318" t="s">
        <v>665</v>
      </c>
      <c r="G175" s="1462">
        <f t="array" ref="G175">SUM(IF(FERCBP=B175,AmountBP))</f>
        <v>427539</v>
      </c>
      <c r="H175" s="1466">
        <f t="shared" si="12"/>
        <v>100</v>
      </c>
      <c r="I175" s="1463"/>
      <c r="J175" s="1462">
        <f t="shared" si="13"/>
        <v>427539</v>
      </c>
      <c r="K175" s="1464" t="s">
        <v>593</v>
      </c>
      <c r="L175" s="1463"/>
    </row>
    <row r="176" spans="1:12">
      <c r="A176" s="433"/>
      <c r="B176" s="432">
        <v>587</v>
      </c>
      <c r="C176" s="1464">
        <v>40</v>
      </c>
      <c r="D176" s="1467">
        <v>587</v>
      </c>
      <c r="E176" s="1463"/>
      <c r="F176" s="1318" t="s">
        <v>666</v>
      </c>
      <c r="G176" s="1462">
        <f t="array" ref="G176">SUM(IF(FERCBP=B176,AmountBP))</f>
        <v>923352</v>
      </c>
      <c r="H176" s="1466">
        <f t="shared" si="12"/>
        <v>100</v>
      </c>
      <c r="I176" s="1463"/>
      <c r="J176" s="1462">
        <f t="shared" si="13"/>
        <v>923352</v>
      </c>
      <c r="K176" s="1464" t="s">
        <v>593</v>
      </c>
      <c r="L176" s="1463"/>
    </row>
    <row r="177" spans="1:12">
      <c r="A177" s="433"/>
      <c r="B177" s="432">
        <v>588</v>
      </c>
      <c r="C177" s="1464">
        <v>41</v>
      </c>
      <c r="D177" s="1467">
        <v>588</v>
      </c>
      <c r="E177" s="1463"/>
      <c r="F177" s="1318" t="s">
        <v>667</v>
      </c>
      <c r="G177" s="1462">
        <f t="array" ref="G177">SUM(IF(FERCBP=B177,AmountBP))</f>
        <v>2887739</v>
      </c>
      <c r="H177" s="1466">
        <f t="shared" si="12"/>
        <v>100</v>
      </c>
      <c r="I177" s="1463"/>
      <c r="J177" s="1462">
        <f t="shared" si="13"/>
        <v>2887739</v>
      </c>
      <c r="K177" s="1464" t="s">
        <v>593</v>
      </c>
      <c r="L177" s="1463"/>
    </row>
    <row r="178" spans="1:12">
      <c r="A178" s="456"/>
      <c r="B178" s="432">
        <v>589</v>
      </c>
      <c r="C178" s="1464">
        <v>42</v>
      </c>
      <c r="D178" s="1467">
        <v>589</v>
      </c>
      <c r="E178" s="1463"/>
      <c r="F178" s="1318" t="s">
        <v>668</v>
      </c>
      <c r="G178" s="1462">
        <f t="array" ref="G178">SUM(IF(FERCBP=B178,AmountBP))</f>
        <v>31480</v>
      </c>
      <c r="H178" s="1466">
        <f t="shared" si="12"/>
        <v>100</v>
      </c>
      <c r="I178" s="1463"/>
      <c r="J178" s="1462">
        <f t="shared" si="13"/>
        <v>31480</v>
      </c>
      <c r="K178" s="1464" t="s">
        <v>593</v>
      </c>
      <c r="L178" s="1463"/>
    </row>
    <row r="179" spans="1:12">
      <c r="A179" s="433"/>
      <c r="B179" s="433"/>
      <c r="C179" s="1464">
        <v>43</v>
      </c>
      <c r="D179" s="1463"/>
      <c r="E179" s="1463"/>
      <c r="F179" s="1318" t="s">
        <v>1102</v>
      </c>
      <c r="G179" s="1319">
        <f>SUM(G169:G178)</f>
        <v>5732907</v>
      </c>
      <c r="H179" s="1463"/>
      <c r="I179" s="1463"/>
      <c r="J179" s="1319">
        <f>SUM(J169:J178)</f>
        <v>5732907</v>
      </c>
      <c r="K179" s="1463"/>
      <c r="L179" s="1463"/>
    </row>
    <row r="180" spans="1:12">
      <c r="A180" s="456"/>
      <c r="B180" s="433"/>
      <c r="C180" s="1464">
        <v>44</v>
      </c>
      <c r="D180" s="1463"/>
      <c r="E180" s="1463"/>
      <c r="F180" s="1463"/>
      <c r="G180" s="443"/>
      <c r="H180" s="1463"/>
      <c r="I180" s="1463"/>
      <c r="J180" s="443"/>
      <c r="K180" s="1463"/>
      <c r="L180" s="1463"/>
    </row>
    <row r="181" spans="1:12">
      <c r="A181" s="456"/>
      <c r="B181" s="433"/>
      <c r="C181" s="1464">
        <v>45</v>
      </c>
      <c r="D181" s="1463"/>
      <c r="E181" s="1463"/>
      <c r="F181" s="1463"/>
      <c r="G181" s="457"/>
      <c r="H181" s="1463"/>
      <c r="I181" s="1463"/>
      <c r="J181" s="1463"/>
      <c r="K181" s="1463"/>
      <c r="L181" s="1463"/>
    </row>
    <row r="182" spans="1:12">
      <c r="A182" s="456"/>
      <c r="B182" s="433"/>
      <c r="C182" s="1464">
        <v>46</v>
      </c>
      <c r="D182" s="1463"/>
      <c r="E182" s="1463"/>
      <c r="F182" s="441" t="s">
        <v>1103</v>
      </c>
      <c r="G182" s="1463"/>
      <c r="H182" s="1463"/>
      <c r="I182" s="1463"/>
      <c r="J182" s="1463"/>
      <c r="K182" s="1463"/>
      <c r="L182" s="1463"/>
    </row>
    <row r="183" spans="1:12">
      <c r="A183" s="456"/>
      <c r="B183" s="432">
        <v>590</v>
      </c>
      <c r="C183" s="1464">
        <v>47</v>
      </c>
      <c r="D183" s="1467">
        <v>590</v>
      </c>
      <c r="E183" s="1463"/>
      <c r="F183" s="1318" t="s">
        <v>1816</v>
      </c>
      <c r="G183" s="1462">
        <f t="array" ref="G183">SUM(IF(FERCBP=B183,AmountBP))</f>
        <v>0</v>
      </c>
      <c r="H183" s="1466">
        <f t="shared" ref="H183:H191" si="14">VLOOKUP(K183,ALLOCTABLE,2)</f>
        <v>100</v>
      </c>
      <c r="I183" s="1463"/>
      <c r="J183" s="1462">
        <f t="shared" ref="J183:J191" si="15">ROUND(G183*(H183/100),0)</f>
        <v>0</v>
      </c>
      <c r="K183" s="1464" t="s">
        <v>593</v>
      </c>
      <c r="L183" s="1463"/>
    </row>
    <row r="184" spans="1:12">
      <c r="A184" s="456"/>
      <c r="B184" s="432">
        <v>591</v>
      </c>
      <c r="C184" s="1464">
        <v>48</v>
      </c>
      <c r="D184" s="1467">
        <v>591</v>
      </c>
      <c r="E184" s="1463"/>
      <c r="F184" s="1318" t="s">
        <v>659</v>
      </c>
      <c r="G184" s="1462">
        <f t="array" ref="G184">SUM(IF(FERCBP=B184,AmountBP))</f>
        <v>608</v>
      </c>
      <c r="H184" s="1466">
        <f t="shared" si="14"/>
        <v>100</v>
      </c>
      <c r="I184" s="1463"/>
      <c r="J184" s="1462">
        <f t="shared" si="15"/>
        <v>608</v>
      </c>
      <c r="K184" s="1464" t="s">
        <v>593</v>
      </c>
      <c r="L184" s="1463"/>
    </row>
    <row r="185" spans="1:12">
      <c r="A185" s="456"/>
      <c r="B185" s="432">
        <v>592</v>
      </c>
      <c r="C185" s="1464">
        <v>49</v>
      </c>
      <c r="D185" s="1467">
        <v>592</v>
      </c>
      <c r="E185" s="1463"/>
      <c r="F185" s="1318" t="s">
        <v>660</v>
      </c>
      <c r="G185" s="1462">
        <f t="array" ref="G185">SUM(IF(FERCBP=B185,AmountBP))</f>
        <v>380526</v>
      </c>
      <c r="H185" s="1466">
        <f t="shared" si="14"/>
        <v>100</v>
      </c>
      <c r="I185" s="1463"/>
      <c r="J185" s="1462">
        <f t="shared" si="15"/>
        <v>380526</v>
      </c>
      <c r="K185" s="1464" t="s">
        <v>593</v>
      </c>
      <c r="L185" s="1463"/>
    </row>
    <row r="186" spans="1:12">
      <c r="A186" s="456"/>
      <c r="B186" s="458">
        <v>593</v>
      </c>
      <c r="C186" s="1464">
        <v>50</v>
      </c>
      <c r="D186" s="459">
        <v>593</v>
      </c>
      <c r="E186" s="1463"/>
      <c r="F186" s="1318" t="s">
        <v>656</v>
      </c>
      <c r="G186" s="1462">
        <f t="array" ref="G186">SUM(IF(FERCBP=B186,AmountBP))</f>
        <v>6722244</v>
      </c>
      <c r="H186" s="1466">
        <f t="shared" si="14"/>
        <v>100</v>
      </c>
      <c r="I186" s="1463"/>
      <c r="J186" s="1462">
        <f t="shared" si="15"/>
        <v>6722244</v>
      </c>
      <c r="K186" s="1464" t="s">
        <v>593</v>
      </c>
      <c r="L186" s="1463"/>
    </row>
    <row r="187" spans="1:12">
      <c r="A187" s="433"/>
      <c r="B187" s="432">
        <v>594</v>
      </c>
      <c r="C187" s="1464">
        <v>51</v>
      </c>
      <c r="D187" s="1467">
        <v>594</v>
      </c>
      <c r="E187" s="1463"/>
      <c r="F187" s="1318" t="s">
        <v>669</v>
      </c>
      <c r="G187" s="1462">
        <f t="array" ref="G187">SUM(IF(FERCBP=B187,AmountBP))</f>
        <v>368544</v>
      </c>
      <c r="H187" s="1466">
        <f t="shared" si="14"/>
        <v>100</v>
      </c>
      <c r="I187" s="1463"/>
      <c r="J187" s="1462">
        <f t="shared" si="15"/>
        <v>368544</v>
      </c>
      <c r="K187" s="1464" t="s">
        <v>593</v>
      </c>
      <c r="L187" s="1463"/>
    </row>
    <row r="188" spans="1:12">
      <c r="A188" s="433"/>
      <c r="B188" s="432">
        <v>595</v>
      </c>
      <c r="C188" s="1464">
        <v>52</v>
      </c>
      <c r="D188" s="1467">
        <v>595</v>
      </c>
      <c r="E188" s="1463"/>
      <c r="F188" s="1318" t="s">
        <v>670</v>
      </c>
      <c r="G188" s="1462">
        <f t="array" ref="G188">SUM(IF(FERCBP=B188,AmountBP))</f>
        <v>239724</v>
      </c>
      <c r="H188" s="1466">
        <f t="shared" si="14"/>
        <v>100</v>
      </c>
      <c r="I188" s="1463"/>
      <c r="J188" s="1462">
        <f t="shared" si="15"/>
        <v>239724</v>
      </c>
      <c r="K188" s="1464" t="s">
        <v>593</v>
      </c>
      <c r="L188" s="1463"/>
    </row>
    <row r="189" spans="1:12">
      <c r="A189" s="433"/>
      <c r="B189" s="432">
        <v>596</v>
      </c>
      <c r="C189" s="1464">
        <v>53</v>
      </c>
      <c r="D189" s="1467">
        <v>596</v>
      </c>
      <c r="E189" s="1463"/>
      <c r="F189" s="1318" t="s">
        <v>664</v>
      </c>
      <c r="G189" s="1462">
        <f t="array" ref="G189">SUM(IF(FERCBP=B189,AmountBP))</f>
        <v>433205</v>
      </c>
      <c r="H189" s="1466">
        <f t="shared" si="14"/>
        <v>100</v>
      </c>
      <c r="I189" s="1463"/>
      <c r="J189" s="1462">
        <f t="shared" si="15"/>
        <v>433205</v>
      </c>
      <c r="K189" s="1464" t="s">
        <v>593</v>
      </c>
      <c r="L189" s="1463"/>
    </row>
    <row r="190" spans="1:12">
      <c r="A190" s="433"/>
      <c r="B190" s="432">
        <v>597</v>
      </c>
      <c r="C190" s="1464">
        <v>54</v>
      </c>
      <c r="D190" s="1467">
        <v>597</v>
      </c>
      <c r="E190" s="1463"/>
      <c r="F190" s="1318" t="s">
        <v>671</v>
      </c>
      <c r="G190" s="1462">
        <f t="array" ref="G190">SUM(IF(FERCBP=B190,AmountBP))</f>
        <v>316205</v>
      </c>
      <c r="H190" s="1466">
        <f t="shared" si="14"/>
        <v>100</v>
      </c>
      <c r="I190" s="1463"/>
      <c r="J190" s="1462">
        <f t="shared" si="15"/>
        <v>316205</v>
      </c>
      <c r="K190" s="1464" t="s">
        <v>593</v>
      </c>
      <c r="L190" s="1463"/>
    </row>
    <row r="191" spans="1:12">
      <c r="A191" s="433"/>
      <c r="B191" s="432">
        <v>598</v>
      </c>
      <c r="C191" s="1464">
        <v>55</v>
      </c>
      <c r="D191" s="1467">
        <v>598</v>
      </c>
      <c r="E191" s="1463"/>
      <c r="F191" s="1318" t="s">
        <v>672</v>
      </c>
      <c r="G191" s="1462">
        <f t="array" ref="G191">SUM(IF(FERCBP=B191,AmountBP))</f>
        <v>0</v>
      </c>
      <c r="H191" s="1466">
        <f t="shared" si="14"/>
        <v>100</v>
      </c>
      <c r="I191" s="1463"/>
      <c r="J191" s="1462">
        <f t="shared" si="15"/>
        <v>0</v>
      </c>
      <c r="K191" s="1464" t="s">
        <v>593</v>
      </c>
      <c r="L191" s="1463"/>
    </row>
    <row r="192" spans="1:12">
      <c r="A192" s="433"/>
      <c r="B192" s="1463"/>
      <c r="C192" s="1464">
        <v>56</v>
      </c>
      <c r="D192" s="1463"/>
      <c r="E192" s="1463"/>
      <c r="F192" s="1318" t="s">
        <v>1104</v>
      </c>
      <c r="G192" s="1319">
        <f>SUM(G183:G191)</f>
        <v>8461056</v>
      </c>
      <c r="H192" s="1463"/>
      <c r="I192" s="1462"/>
      <c r="J192" s="1319">
        <f>SUM(J183:J191)</f>
        <v>8461056</v>
      </c>
      <c r="K192" s="1463"/>
      <c r="L192" s="1463"/>
    </row>
    <row r="193" spans="1:12">
      <c r="A193" s="433"/>
      <c r="B193" s="433"/>
      <c r="C193" s="1464">
        <v>57</v>
      </c>
      <c r="D193" s="1463"/>
      <c r="E193" s="1463"/>
      <c r="F193" s="1318" t="s">
        <v>1540</v>
      </c>
      <c r="G193" s="1319">
        <f>G179+G192</f>
        <v>14193963</v>
      </c>
      <c r="H193" s="1463"/>
      <c r="I193" s="1463"/>
      <c r="J193" s="1319">
        <f>J179+J192</f>
        <v>14193963</v>
      </c>
      <c r="K193" s="1463"/>
      <c r="L193" s="1463"/>
    </row>
    <row r="194" spans="1:12">
      <c r="A194" s="433"/>
      <c r="B194" s="433"/>
      <c r="C194" s="1463"/>
      <c r="D194" s="1463"/>
      <c r="E194" s="1463"/>
      <c r="F194" s="1463"/>
      <c r="G194" s="443"/>
      <c r="H194" s="1463"/>
      <c r="I194" s="1463"/>
      <c r="J194" s="443"/>
      <c r="K194" s="1463"/>
      <c r="L194" s="1463"/>
    </row>
    <row r="195" spans="1:12">
      <c r="A195" s="433"/>
      <c r="B195" s="433"/>
      <c r="C195" s="434" t="str">
        <f>COMPANY</f>
        <v>DUKE ENERGY KENTUCKY, INC.</v>
      </c>
      <c r="D195" s="435"/>
      <c r="E195" s="435"/>
      <c r="F195" s="434"/>
      <c r="G195" s="435"/>
      <c r="H195" s="435"/>
      <c r="I195" s="435"/>
      <c r="J195" s="435"/>
      <c r="K195" s="435"/>
      <c r="L195" s="1463"/>
    </row>
    <row r="196" spans="1:12">
      <c r="A196" s="433"/>
      <c r="B196" s="433"/>
      <c r="C196" s="434" t="str">
        <f>CASE</f>
        <v>CASE NO. 2017-00321</v>
      </c>
      <c r="D196" s="435"/>
      <c r="E196" s="435"/>
      <c r="F196" s="434"/>
      <c r="G196" s="435"/>
      <c r="H196" s="435"/>
      <c r="I196" s="435"/>
      <c r="J196" s="435"/>
      <c r="K196" s="435"/>
      <c r="L196" s="1463"/>
    </row>
    <row r="197" spans="1:12">
      <c r="A197" s="433"/>
      <c r="B197" s="433"/>
      <c r="C197" s="434" t="s">
        <v>1949</v>
      </c>
      <c r="D197" s="435"/>
      <c r="E197" s="434"/>
      <c r="F197" s="435"/>
      <c r="G197" s="435"/>
      <c r="H197" s="435"/>
      <c r="I197" s="435"/>
      <c r="J197" s="435"/>
      <c r="K197" s="435"/>
      <c r="L197" s="1463"/>
    </row>
    <row r="198" spans="1:12">
      <c r="A198" s="433"/>
      <c r="B198" s="433"/>
      <c r="C198" s="434" t="str">
        <f>PERIOD</f>
        <v>FOR THE TWELVE MONTHS ENDED NOVEMBER 30, 2017</v>
      </c>
      <c r="D198" s="435"/>
      <c r="E198" s="435"/>
      <c r="F198" s="434"/>
      <c r="G198" s="435"/>
      <c r="H198" s="435"/>
      <c r="I198" s="435"/>
      <c r="J198" s="435"/>
      <c r="K198" s="435"/>
      <c r="L198" s="1463"/>
    </row>
    <row r="199" spans="1:12">
      <c r="A199" s="433"/>
      <c r="B199" s="433"/>
      <c r="C199" s="435"/>
      <c r="D199" s="435"/>
      <c r="E199" s="435"/>
      <c r="F199" s="435"/>
      <c r="G199" s="435"/>
      <c r="H199" s="435"/>
      <c r="I199" s="435"/>
      <c r="J199" s="1463"/>
      <c r="K199" s="1463"/>
      <c r="L199" s="1463"/>
    </row>
    <row r="200" spans="1:12">
      <c r="A200" s="433"/>
      <c r="B200" s="433"/>
      <c r="C200" s="1463"/>
      <c r="D200" s="1463"/>
      <c r="E200" s="1463"/>
      <c r="F200" s="1463"/>
      <c r="G200" s="1463"/>
      <c r="H200" s="1463"/>
      <c r="I200" s="1463"/>
      <c r="J200" s="1318" t="str">
        <f>"                "&amp;"SCHEDULE C-2.1"</f>
        <v xml:space="preserve">                SCHEDULE C-2.1</v>
      </c>
      <c r="K200" s="1463"/>
      <c r="L200" s="1463"/>
    </row>
    <row r="201" spans="1:12">
      <c r="A201" s="433"/>
      <c r="B201" s="433"/>
      <c r="C201" s="436" t="str">
        <f>Data</f>
        <v>DATA: "X" BASE PERIOD   FORECASTED PERIOD</v>
      </c>
      <c r="D201" s="1463"/>
      <c r="E201" s="1463"/>
      <c r="F201" s="1463"/>
      <c r="G201" s="1463"/>
      <c r="H201" s="1463"/>
      <c r="I201" s="1463"/>
      <c r="J201" s="1318" t="str">
        <f>"                "&amp;"PAGE  4  OF  14"</f>
        <v xml:space="preserve">                PAGE  4  OF  14</v>
      </c>
      <c r="K201" s="1463"/>
      <c r="L201" s="1463"/>
    </row>
    <row r="202" spans="1:12">
      <c r="A202" s="433"/>
      <c r="B202" s="433"/>
      <c r="C202" s="436" t="str">
        <f>Type</f>
        <v xml:space="preserve">TYPE OF FILING:  "X" ORIGINAL   UPDATED    REVISED  </v>
      </c>
      <c r="D202" s="1463"/>
      <c r="E202" s="1463"/>
      <c r="F202" s="1463"/>
      <c r="G202" s="1463"/>
      <c r="H202" s="1463"/>
      <c r="I202" s="1463"/>
      <c r="J202" s="1318" t="str">
        <f>"                "&amp;"WITNESS RESPONSIBLE:"</f>
        <v xml:space="preserve">                WITNESS RESPONSIBLE:</v>
      </c>
      <c r="K202" s="1463"/>
      <c r="L202" s="1463"/>
    </row>
    <row r="203" spans="1:12">
      <c r="A203" s="433"/>
      <c r="B203" s="433"/>
      <c r="C203" s="1318" t="str">
        <f>$C$11&amp;", SCHEDULE F-3"</f>
        <v>WORK PAPER REFERENCE NO(S).: WPC-2.1a_BP, SCHEDULE F-3</v>
      </c>
      <c r="D203" s="1463"/>
      <c r="E203" s="1463"/>
      <c r="F203" s="1463"/>
      <c r="G203" s="1463"/>
      <c r="H203" s="1463"/>
      <c r="I203" s="1463"/>
      <c r="J203" s="1318" t="str">
        <f>"                "&amp;_WIT1</f>
        <v xml:space="preserve">                S. E. LAWLER</v>
      </c>
      <c r="K203" s="1463"/>
      <c r="L203" s="1463"/>
    </row>
    <row r="204" spans="1:12">
      <c r="A204" s="433"/>
      <c r="B204" s="433"/>
      <c r="C204" s="437"/>
      <c r="D204" s="438"/>
      <c r="E204" s="438"/>
      <c r="F204" s="438"/>
      <c r="G204" s="438"/>
      <c r="H204" s="438"/>
      <c r="I204" s="438"/>
      <c r="J204" s="438"/>
      <c r="K204" s="438"/>
      <c r="L204" s="1463"/>
    </row>
    <row r="205" spans="1:12">
      <c r="A205" s="433"/>
      <c r="B205" s="433"/>
      <c r="C205" s="1463"/>
      <c r="D205" s="1463"/>
      <c r="E205" s="1463"/>
      <c r="F205" s="1463"/>
      <c r="G205" s="1464" t="s">
        <v>238</v>
      </c>
      <c r="H205" s="1465" t="s">
        <v>360</v>
      </c>
      <c r="I205" s="1463"/>
      <c r="J205" s="1463"/>
      <c r="K205" s="1464" t="s">
        <v>1461</v>
      </c>
      <c r="L205" s="1463"/>
    </row>
    <row r="206" spans="1:12">
      <c r="A206" s="433"/>
      <c r="B206" s="433"/>
      <c r="C206" s="1464" t="s">
        <v>1961</v>
      </c>
      <c r="D206" s="1464" t="s">
        <v>1080</v>
      </c>
      <c r="E206" s="1463"/>
      <c r="F206" s="1463"/>
      <c r="G206" s="1464" t="s">
        <v>1035</v>
      </c>
      <c r="H206" s="1464" t="s">
        <v>362</v>
      </c>
      <c r="I206" s="1463"/>
      <c r="J206" s="1464" t="s">
        <v>238</v>
      </c>
      <c r="K206" s="1464" t="s">
        <v>239</v>
      </c>
      <c r="L206" s="1463"/>
    </row>
    <row r="207" spans="1:12">
      <c r="A207" s="433"/>
      <c r="B207" s="433"/>
      <c r="C207" s="1464" t="s">
        <v>1854</v>
      </c>
      <c r="D207" s="1464" t="s">
        <v>90</v>
      </c>
      <c r="E207" s="1463"/>
      <c r="F207" s="434" t="s">
        <v>240</v>
      </c>
      <c r="G207" s="1464" t="s">
        <v>1872</v>
      </c>
      <c r="H207" s="1464" t="s">
        <v>363</v>
      </c>
      <c r="I207" s="1463"/>
      <c r="J207" s="1464" t="s">
        <v>241</v>
      </c>
      <c r="K207" s="1464" t="s">
        <v>566</v>
      </c>
      <c r="L207" s="1463"/>
    </row>
    <row r="208" spans="1:12">
      <c r="A208" s="433"/>
      <c r="B208" s="433"/>
      <c r="C208" s="439"/>
      <c r="D208" s="439"/>
      <c r="E208" s="439"/>
      <c r="F208" s="439"/>
      <c r="G208" s="440" t="s">
        <v>365</v>
      </c>
      <c r="H208" s="440" t="s">
        <v>318</v>
      </c>
      <c r="I208" s="439"/>
      <c r="J208" s="440" t="s">
        <v>319</v>
      </c>
      <c r="K208" s="440" t="s">
        <v>320</v>
      </c>
      <c r="L208" s="1463"/>
    </row>
    <row r="209" spans="1:12">
      <c r="A209" s="433"/>
      <c r="B209" s="433"/>
      <c r="C209" s="1463"/>
      <c r="D209" s="1463"/>
      <c r="E209" s="1463"/>
      <c r="F209" s="1463"/>
      <c r="G209" s="1463"/>
      <c r="H209" s="1463"/>
      <c r="I209" s="1463"/>
      <c r="J209" s="1463"/>
      <c r="K209" s="1463"/>
      <c r="L209" s="1463"/>
    </row>
    <row r="210" spans="1:12">
      <c r="A210" s="433"/>
      <c r="B210" s="433"/>
      <c r="C210" s="1464">
        <v>1</v>
      </c>
      <c r="D210" s="1463"/>
      <c r="E210" s="1463"/>
      <c r="F210" s="441" t="s">
        <v>173</v>
      </c>
      <c r="G210" s="1463"/>
      <c r="H210" s="1463"/>
      <c r="I210" s="1463"/>
      <c r="J210" s="1463"/>
      <c r="K210" s="1463"/>
      <c r="L210" s="1463"/>
    </row>
    <row r="211" spans="1:12">
      <c r="A211" s="433"/>
      <c r="B211" s="433"/>
      <c r="C211" s="1465">
        <f>C210+1</f>
        <v>2</v>
      </c>
      <c r="D211" s="1463"/>
      <c r="E211" s="1463"/>
      <c r="F211" s="1463"/>
      <c r="G211" s="1463"/>
      <c r="H211" s="1463"/>
      <c r="I211" s="1463"/>
      <c r="J211" s="1463"/>
      <c r="K211" s="1463"/>
      <c r="L211" s="1463"/>
    </row>
    <row r="212" spans="1:12">
      <c r="A212" s="433"/>
      <c r="B212" s="433"/>
      <c r="C212" s="1465">
        <f t="shared" ref="C212:C238" si="16">C211+1</f>
        <v>3</v>
      </c>
      <c r="D212" s="1463"/>
      <c r="E212" s="1463"/>
      <c r="F212" s="441" t="s">
        <v>1101</v>
      </c>
      <c r="G212" s="1463"/>
      <c r="H212" s="1463"/>
      <c r="I212" s="1463"/>
      <c r="J212" s="1463"/>
      <c r="K212" s="1463"/>
      <c r="L212" s="1463"/>
    </row>
    <row r="213" spans="1:12">
      <c r="A213" s="433"/>
      <c r="B213" s="432">
        <v>901</v>
      </c>
      <c r="C213" s="1465">
        <f t="shared" si="16"/>
        <v>4</v>
      </c>
      <c r="D213" s="1464">
        <v>901</v>
      </c>
      <c r="E213" s="1463"/>
      <c r="F213" s="1318" t="s">
        <v>1816</v>
      </c>
      <c r="G213" s="1462">
        <f t="array" ref="G213">SUM(IF(FERCBP=B213,AmountBP))</f>
        <v>481439</v>
      </c>
      <c r="H213" s="1466">
        <f t="shared" ref="H213:H220" si="17">VLOOKUP(K213,ALLOCTABLE,2)</f>
        <v>100</v>
      </c>
      <c r="I213" s="1463"/>
      <c r="J213" s="1462">
        <f t="shared" ref="J213:J220" si="18">ROUND(G213*(H213/100),0)</f>
        <v>481439</v>
      </c>
      <c r="K213" s="1464" t="s">
        <v>593</v>
      </c>
      <c r="L213" s="1463"/>
    </row>
    <row r="214" spans="1:12">
      <c r="A214" s="433"/>
      <c r="B214" s="432">
        <v>902</v>
      </c>
      <c r="C214" s="1465">
        <f t="shared" si="16"/>
        <v>5</v>
      </c>
      <c r="D214" s="1464">
        <v>902</v>
      </c>
      <c r="E214" s="1463"/>
      <c r="F214" s="1318" t="s">
        <v>1817</v>
      </c>
      <c r="G214" s="1462">
        <f t="array" ref="G214">SUM(IF(FERCBP=B214,AmountBP))</f>
        <v>838339</v>
      </c>
      <c r="H214" s="1466">
        <f t="shared" si="17"/>
        <v>100</v>
      </c>
      <c r="I214" s="1463"/>
      <c r="J214" s="1462">
        <f t="shared" si="18"/>
        <v>838339</v>
      </c>
      <c r="K214" s="1464" t="s">
        <v>593</v>
      </c>
      <c r="L214" s="1463"/>
    </row>
    <row r="215" spans="1:12">
      <c r="A215" s="433"/>
      <c r="B215" s="432">
        <v>903</v>
      </c>
      <c r="C215" s="1465">
        <f t="shared" si="16"/>
        <v>6</v>
      </c>
      <c r="D215" s="460">
        <v>903</v>
      </c>
      <c r="E215" s="1463"/>
      <c r="F215" s="1318" t="s">
        <v>1818</v>
      </c>
      <c r="G215" s="1462">
        <f t="array" ref="G215">SUM(IF(FERCBP=B215,AmountBP))-G216</f>
        <v>4129066</v>
      </c>
      <c r="H215" s="1466">
        <f t="shared" si="17"/>
        <v>100</v>
      </c>
      <c r="I215" s="1463"/>
      <c r="J215" s="1462">
        <f t="shared" si="18"/>
        <v>4129066</v>
      </c>
      <c r="K215" s="1464" t="s">
        <v>593</v>
      </c>
      <c r="L215" s="1463"/>
    </row>
    <row r="216" spans="1:12">
      <c r="A216" s="433"/>
      <c r="B216" s="432">
        <v>903250</v>
      </c>
      <c r="C216" s="1465">
        <f t="shared" si="16"/>
        <v>7</v>
      </c>
      <c r="D216" s="1518">
        <v>903250</v>
      </c>
      <c r="E216" s="1463"/>
      <c r="F216" s="1318" t="s">
        <v>2917</v>
      </c>
      <c r="G216" s="1462">
        <f t="shared" ref="G216" si="19">ROUND(VLOOKUP(B216,BasePeriod,5,FALSE),0)</f>
        <v>-357793</v>
      </c>
      <c r="H216" s="1466">
        <f t="shared" ref="H216" si="20">VLOOKUP(K216,ALLOCTABLE,2)</f>
        <v>100</v>
      </c>
      <c r="I216" s="1463"/>
      <c r="J216" s="1462">
        <f t="shared" ref="J216" si="21">ROUND(G216*(H216/100),0)</f>
        <v>-357793</v>
      </c>
      <c r="K216" s="1464" t="s">
        <v>593</v>
      </c>
      <c r="L216" s="1463"/>
    </row>
    <row r="217" spans="1:12">
      <c r="A217" s="433"/>
      <c r="B217" s="432">
        <v>904</v>
      </c>
      <c r="C217" s="1465">
        <f t="shared" si="16"/>
        <v>8</v>
      </c>
      <c r="D217" s="1464">
        <v>904</v>
      </c>
      <c r="E217" s="1463"/>
      <c r="F217" s="1318" t="s">
        <v>1819</v>
      </c>
      <c r="G217" s="1462">
        <f t="array" ref="G217">SUM(IF(FERCBP=B217,AmountBP))</f>
        <v>1785114</v>
      </c>
      <c r="H217" s="1466">
        <f t="shared" si="17"/>
        <v>100</v>
      </c>
      <c r="I217" s="1463"/>
      <c r="J217" s="1462">
        <f t="shared" si="18"/>
        <v>1785114</v>
      </c>
      <c r="K217" s="1464" t="s">
        <v>593</v>
      </c>
      <c r="L217" s="1463"/>
    </row>
    <row r="218" spans="1:12">
      <c r="A218" s="433"/>
      <c r="B218" s="432">
        <v>904002</v>
      </c>
      <c r="C218" s="1465">
        <f t="shared" si="16"/>
        <v>9</v>
      </c>
      <c r="D218" s="1464">
        <v>904002</v>
      </c>
      <c r="E218" s="1463"/>
      <c r="F218" s="1318" t="s">
        <v>673</v>
      </c>
      <c r="G218" s="1462">
        <f t="array" ref="G218">SUM(IF(FERCBP=B218,AmountBP))</f>
        <v>0</v>
      </c>
      <c r="H218" s="1466">
        <f t="shared" si="17"/>
        <v>100</v>
      </c>
      <c r="I218" s="1463"/>
      <c r="J218" s="1462">
        <f t="shared" si="18"/>
        <v>0</v>
      </c>
      <c r="K218" s="1464" t="s">
        <v>593</v>
      </c>
      <c r="L218" s="1463"/>
    </row>
    <row r="219" spans="1:12">
      <c r="A219" s="433"/>
      <c r="B219" s="432">
        <v>426</v>
      </c>
      <c r="C219" s="1465">
        <f t="shared" si="16"/>
        <v>10</v>
      </c>
      <c r="D219" s="1464">
        <v>426</v>
      </c>
      <c r="E219" s="1463"/>
      <c r="F219" s="1318" t="s">
        <v>2916</v>
      </c>
      <c r="G219" s="1462">
        <f t="array" ref="G219">SUM(IF(FERCBP=B219,AmountBP))</f>
        <v>-799591</v>
      </c>
      <c r="H219" s="1466">
        <f t="shared" ref="H219" si="22">VLOOKUP(K219,ALLOCTABLE,2)</f>
        <v>100</v>
      </c>
      <c r="I219" s="1463"/>
      <c r="J219" s="1462">
        <f t="shared" ref="J219" si="23">ROUND(G219*(H219/100),0)</f>
        <v>-799591</v>
      </c>
      <c r="K219" s="1464" t="s">
        <v>593</v>
      </c>
      <c r="L219" s="1463"/>
    </row>
    <row r="220" spans="1:12">
      <c r="A220" s="433"/>
      <c r="B220" s="432">
        <v>905</v>
      </c>
      <c r="C220" s="1465">
        <f t="shared" si="16"/>
        <v>11</v>
      </c>
      <c r="D220" s="1464">
        <v>905</v>
      </c>
      <c r="E220" s="1463"/>
      <c r="F220" s="1318" t="s">
        <v>674</v>
      </c>
      <c r="G220" s="1462">
        <f t="array" ref="G220">SUM(IF(FERCBP=B220,AmountBP))</f>
        <v>303</v>
      </c>
      <c r="H220" s="1466">
        <f t="shared" si="17"/>
        <v>100</v>
      </c>
      <c r="I220" s="1463"/>
      <c r="J220" s="1462">
        <f t="shared" si="18"/>
        <v>303</v>
      </c>
      <c r="K220" s="1464" t="s">
        <v>593</v>
      </c>
      <c r="L220" s="1463"/>
    </row>
    <row r="221" spans="1:12">
      <c r="A221" s="433"/>
      <c r="B221" s="433"/>
      <c r="C221" s="1465">
        <f t="shared" si="16"/>
        <v>12</v>
      </c>
      <c r="D221" s="1463"/>
      <c r="E221" s="1463"/>
      <c r="F221" s="1318" t="s">
        <v>1820</v>
      </c>
      <c r="G221" s="1319">
        <f>SUM(G213:G220)</f>
        <v>6076877</v>
      </c>
      <c r="H221" s="1463"/>
      <c r="I221" s="1463"/>
      <c r="J221" s="1319">
        <f>SUM(J213:J220)</f>
        <v>6076877</v>
      </c>
      <c r="K221" s="1463"/>
      <c r="L221" s="1463"/>
    </row>
    <row r="222" spans="1:12">
      <c r="A222" s="433"/>
      <c r="B222" s="433"/>
      <c r="C222" s="1465">
        <f t="shared" si="16"/>
        <v>13</v>
      </c>
      <c r="D222" s="1463"/>
      <c r="E222" s="1463"/>
      <c r="F222" s="1463"/>
      <c r="G222" s="443"/>
      <c r="H222" s="1463"/>
      <c r="I222" s="1463"/>
      <c r="J222" s="443"/>
      <c r="K222" s="1463"/>
      <c r="L222" s="1463"/>
    </row>
    <row r="223" spans="1:12">
      <c r="A223" s="433"/>
      <c r="B223" s="433"/>
      <c r="C223" s="1465">
        <f t="shared" si="16"/>
        <v>14</v>
      </c>
      <c r="D223" s="1463"/>
      <c r="E223" s="1463"/>
      <c r="F223" s="441" t="s">
        <v>1821</v>
      </c>
      <c r="G223" s="1463"/>
      <c r="H223" s="1463"/>
      <c r="I223" s="1463"/>
      <c r="J223" s="1463"/>
      <c r="K223" s="1463"/>
      <c r="L223" s="1463"/>
    </row>
    <row r="224" spans="1:12">
      <c r="A224" s="433"/>
      <c r="B224" s="433"/>
      <c r="C224" s="1465">
        <f t="shared" si="16"/>
        <v>15</v>
      </c>
      <c r="D224" s="1463"/>
      <c r="E224" s="1463"/>
      <c r="F224" s="1463"/>
      <c r="G224" s="1463"/>
      <c r="H224" s="1463"/>
      <c r="I224" s="1463"/>
      <c r="J224" s="1463"/>
      <c r="K224" s="1463"/>
      <c r="L224" s="1463"/>
    </row>
    <row r="225" spans="1:12">
      <c r="A225" s="433"/>
      <c r="B225" s="433"/>
      <c r="C225" s="1465">
        <f t="shared" si="16"/>
        <v>16</v>
      </c>
      <c r="D225" s="1463"/>
      <c r="E225" s="1463"/>
      <c r="F225" s="441" t="s">
        <v>1101</v>
      </c>
      <c r="G225" s="1463"/>
      <c r="H225" s="1463"/>
      <c r="I225" s="1463"/>
      <c r="J225" s="1463"/>
      <c r="K225" s="1463"/>
      <c r="L225" s="1463"/>
    </row>
    <row r="226" spans="1:12">
      <c r="A226" s="433"/>
      <c r="B226" s="432">
        <v>908</v>
      </c>
      <c r="C226" s="1465">
        <f t="shared" si="16"/>
        <v>17</v>
      </c>
      <c r="D226" s="1464">
        <v>908</v>
      </c>
      <c r="E226" s="1463"/>
      <c r="F226" s="1318" t="s">
        <v>675</v>
      </c>
      <c r="G226" s="1462">
        <f t="array" ref="G226">SUM(IF(FERCBP=B226,AmountBP))</f>
        <v>56329</v>
      </c>
      <c r="H226" s="1466">
        <f t="shared" ref="H226:H228" si="24">VLOOKUP(K226,ALLOCTABLE,2)</f>
        <v>100</v>
      </c>
      <c r="I226" s="1463"/>
      <c r="J226" s="1462">
        <f t="shared" ref="J226:J228" si="25">ROUND(G226*(H226/100),0)</f>
        <v>56329</v>
      </c>
      <c r="K226" s="1464" t="s">
        <v>593</v>
      </c>
      <c r="L226" s="1463"/>
    </row>
    <row r="227" spans="1:12">
      <c r="A227" s="433"/>
      <c r="B227" s="432">
        <v>909</v>
      </c>
      <c r="C227" s="1465">
        <f t="shared" si="16"/>
        <v>18</v>
      </c>
      <c r="D227" s="1464">
        <v>909</v>
      </c>
      <c r="E227" s="1463"/>
      <c r="F227" s="1318" t="s">
        <v>676</v>
      </c>
      <c r="G227" s="1462">
        <f t="array" ref="G227">SUM(IF(FERCBP=B227,AmountBP))</f>
        <v>2327</v>
      </c>
      <c r="H227" s="1466">
        <f t="shared" si="24"/>
        <v>100</v>
      </c>
      <c r="I227" s="1463"/>
      <c r="J227" s="1462">
        <f t="shared" si="25"/>
        <v>2327</v>
      </c>
      <c r="K227" s="1464" t="s">
        <v>593</v>
      </c>
      <c r="L227" s="1463"/>
    </row>
    <row r="228" spans="1:12">
      <c r="A228" s="433"/>
      <c r="B228" s="432">
        <v>910</v>
      </c>
      <c r="C228" s="1465">
        <f t="shared" si="16"/>
        <v>19</v>
      </c>
      <c r="D228" s="1464">
        <v>910</v>
      </c>
      <c r="E228" s="1463"/>
      <c r="F228" s="461" t="s">
        <v>677</v>
      </c>
      <c r="G228" s="462">
        <f t="array" ref="G228">SUM(IF(FERCBP=B228,AmountBP))</f>
        <v>839421</v>
      </c>
      <c r="H228" s="1466">
        <f t="shared" si="24"/>
        <v>100</v>
      </c>
      <c r="I228" s="1463"/>
      <c r="J228" s="1462">
        <f t="shared" si="25"/>
        <v>839421</v>
      </c>
      <c r="K228" s="1464" t="s">
        <v>593</v>
      </c>
      <c r="L228" s="1463"/>
    </row>
    <row r="229" spans="1:12">
      <c r="A229" s="433"/>
      <c r="B229" s="432"/>
      <c r="C229" s="1465">
        <f t="shared" si="16"/>
        <v>20</v>
      </c>
      <c r="D229" s="1463"/>
      <c r="E229" s="1463"/>
      <c r="F229" s="1318" t="s">
        <v>1769</v>
      </c>
      <c r="G229" s="463"/>
      <c r="H229" s="1463"/>
      <c r="I229" s="1463"/>
      <c r="J229" s="463"/>
      <c r="K229" s="1463"/>
      <c r="L229" s="1463"/>
    </row>
    <row r="230" spans="1:12">
      <c r="A230" s="433"/>
      <c r="B230" s="432"/>
      <c r="C230" s="1465">
        <f t="shared" si="16"/>
        <v>21</v>
      </c>
      <c r="D230" s="1463"/>
      <c r="E230" s="1463"/>
      <c r="F230" s="1318" t="s">
        <v>1770</v>
      </c>
      <c r="G230" s="1319">
        <f>SUM(G226:G228)</f>
        <v>898077</v>
      </c>
      <c r="H230" s="1463"/>
      <c r="I230" s="1463"/>
      <c r="J230" s="1319">
        <f>SUM(J226:J228)</f>
        <v>898077</v>
      </c>
      <c r="K230" s="1463"/>
      <c r="L230" s="1463"/>
    </row>
    <row r="231" spans="1:12">
      <c r="A231" s="433"/>
      <c r="B231" s="432"/>
      <c r="C231" s="1465">
        <f t="shared" si="16"/>
        <v>22</v>
      </c>
      <c r="D231" s="1463"/>
      <c r="E231" s="1463"/>
      <c r="F231" s="1463"/>
      <c r="G231" s="1463"/>
      <c r="H231" s="1463"/>
      <c r="I231" s="1463"/>
      <c r="J231" s="1463"/>
      <c r="K231" s="1463"/>
      <c r="L231" s="1463"/>
    </row>
    <row r="232" spans="1:12">
      <c r="A232" s="433"/>
      <c r="B232" s="432"/>
      <c r="C232" s="1465">
        <f t="shared" si="16"/>
        <v>23</v>
      </c>
      <c r="D232" s="1463"/>
      <c r="E232" s="1463"/>
      <c r="F232" s="441" t="s">
        <v>176</v>
      </c>
      <c r="G232" s="1463"/>
      <c r="H232" s="1463"/>
      <c r="I232" s="1463"/>
      <c r="J232" s="1463"/>
      <c r="K232" s="1463"/>
      <c r="L232" s="1463"/>
    </row>
    <row r="233" spans="1:12">
      <c r="A233" s="433"/>
      <c r="B233" s="432"/>
      <c r="C233" s="1465">
        <f t="shared" si="16"/>
        <v>24</v>
      </c>
      <c r="D233" s="1463"/>
      <c r="E233" s="1463"/>
      <c r="F233" s="1463"/>
      <c r="G233" s="1463"/>
      <c r="H233" s="1463"/>
      <c r="I233" s="1463"/>
      <c r="J233" s="1463"/>
      <c r="K233" s="1463"/>
      <c r="L233" s="1463"/>
    </row>
    <row r="234" spans="1:12">
      <c r="A234" s="433"/>
      <c r="B234" s="432"/>
      <c r="C234" s="1465">
        <f t="shared" si="16"/>
        <v>25</v>
      </c>
      <c r="D234" s="1463"/>
      <c r="E234" s="1463"/>
      <c r="F234" s="441" t="s">
        <v>1101</v>
      </c>
      <c r="G234" s="1463"/>
      <c r="H234" s="1463"/>
      <c r="I234" s="1463"/>
      <c r="J234" s="1463"/>
      <c r="K234" s="1463"/>
      <c r="L234" s="1463"/>
    </row>
    <row r="235" spans="1:12">
      <c r="A235" s="433"/>
      <c r="B235" s="432">
        <v>911</v>
      </c>
      <c r="C235" s="1465">
        <f t="shared" si="16"/>
        <v>26</v>
      </c>
      <c r="D235" s="1464">
        <v>911</v>
      </c>
      <c r="E235" s="1463"/>
      <c r="F235" s="1318" t="s">
        <v>1771</v>
      </c>
      <c r="G235" s="1462">
        <f t="array" ref="G235">SUM(IF(FERCBP=B235,AmountBP))</f>
        <v>0</v>
      </c>
      <c r="H235" s="1466">
        <f t="shared" ref="H235:H237" si="26">VLOOKUP(K235,ALLOCTABLE,2)</f>
        <v>100</v>
      </c>
      <c r="I235" s="1463"/>
      <c r="J235" s="1462">
        <f t="shared" ref="J235:J237" si="27">ROUND(G235*(H235/100),0)</f>
        <v>0</v>
      </c>
      <c r="K235" s="1464" t="s">
        <v>593</v>
      </c>
      <c r="L235" s="1463"/>
    </row>
    <row r="236" spans="1:12">
      <c r="A236" s="433"/>
      <c r="B236" s="432">
        <v>912</v>
      </c>
      <c r="C236" s="1465">
        <f t="shared" si="16"/>
        <v>27</v>
      </c>
      <c r="D236" s="1464">
        <v>912</v>
      </c>
      <c r="E236" s="1463"/>
      <c r="F236" s="1318" t="s">
        <v>2182</v>
      </c>
      <c r="G236" s="1462">
        <f t="array" ref="G236">SUM(IF(FERCBP=B236,AmountBP))</f>
        <v>908839</v>
      </c>
      <c r="H236" s="1466">
        <f t="shared" si="26"/>
        <v>100</v>
      </c>
      <c r="I236" s="1463"/>
      <c r="J236" s="1462">
        <f t="shared" si="27"/>
        <v>908839</v>
      </c>
      <c r="K236" s="1464" t="s">
        <v>593</v>
      </c>
      <c r="L236" s="1463"/>
    </row>
    <row r="237" spans="1:12">
      <c r="A237" s="433"/>
      <c r="B237" s="432">
        <v>913</v>
      </c>
      <c r="C237" s="1465">
        <f t="shared" si="16"/>
        <v>28</v>
      </c>
      <c r="D237" s="1464">
        <v>913</v>
      </c>
      <c r="E237" s="1463"/>
      <c r="F237" s="1318" t="s">
        <v>678</v>
      </c>
      <c r="G237" s="1462">
        <f t="array" ref="G237">SUM(IF(FERCBP=B237,AmountBP))</f>
        <v>37800</v>
      </c>
      <c r="H237" s="1466">
        <f t="shared" si="26"/>
        <v>100</v>
      </c>
      <c r="I237" s="1463"/>
      <c r="J237" s="1462">
        <f t="shared" si="27"/>
        <v>37800</v>
      </c>
      <c r="K237" s="1464" t="s">
        <v>593</v>
      </c>
      <c r="L237" s="1463"/>
    </row>
    <row r="238" spans="1:12">
      <c r="A238" s="433"/>
      <c r="B238" s="432"/>
      <c r="C238" s="1465">
        <f t="shared" si="16"/>
        <v>29</v>
      </c>
      <c r="D238" s="1463"/>
      <c r="E238" s="1463"/>
      <c r="F238" s="1318" t="s">
        <v>1772</v>
      </c>
      <c r="G238" s="1319">
        <f>SUM(G235:G237)</f>
        <v>946639</v>
      </c>
      <c r="H238" s="1463"/>
      <c r="I238" s="1463"/>
      <c r="J238" s="1319">
        <f>SUM(J235:J237)</f>
        <v>946639</v>
      </c>
      <c r="K238" s="1463"/>
      <c r="L238" s="1463"/>
    </row>
    <row r="239" spans="1:12">
      <c r="A239" s="433"/>
      <c r="B239" s="432"/>
      <c r="C239" s="1463"/>
      <c r="D239" s="1463"/>
      <c r="E239" s="1463"/>
      <c r="F239" s="1463"/>
      <c r="G239" s="1463"/>
      <c r="H239" s="1463"/>
      <c r="I239" s="1463"/>
      <c r="J239" s="1463"/>
      <c r="K239" s="1463"/>
      <c r="L239" s="1463"/>
    </row>
    <row r="240" spans="1:12">
      <c r="A240" s="433"/>
      <c r="B240" s="433"/>
      <c r="C240" s="434" t="str">
        <f>COMPANY</f>
        <v>DUKE ENERGY KENTUCKY, INC.</v>
      </c>
      <c r="D240" s="435"/>
      <c r="E240" s="435"/>
      <c r="F240" s="434"/>
      <c r="G240" s="435"/>
      <c r="H240" s="435"/>
      <c r="I240" s="435"/>
      <c r="J240" s="435"/>
      <c r="K240" s="435"/>
      <c r="L240" s="1463"/>
    </row>
    <row r="241" spans="1:12">
      <c r="A241" s="433"/>
      <c r="B241" s="433"/>
      <c r="C241" s="434" t="str">
        <f>CASE</f>
        <v>CASE NO. 2017-00321</v>
      </c>
      <c r="D241" s="435"/>
      <c r="E241" s="435"/>
      <c r="F241" s="434"/>
      <c r="G241" s="435"/>
      <c r="H241" s="435"/>
      <c r="I241" s="435"/>
      <c r="J241" s="435"/>
      <c r="K241" s="435"/>
      <c r="L241" s="1463"/>
    </row>
    <row r="242" spans="1:12">
      <c r="A242" s="433"/>
      <c r="B242" s="433"/>
      <c r="C242" s="434" t="s">
        <v>1949</v>
      </c>
      <c r="D242" s="435"/>
      <c r="E242" s="434"/>
      <c r="F242" s="435"/>
      <c r="G242" s="435"/>
      <c r="H242" s="435"/>
      <c r="I242" s="435"/>
      <c r="J242" s="435"/>
      <c r="K242" s="435"/>
      <c r="L242" s="1463"/>
    </row>
    <row r="243" spans="1:12">
      <c r="A243" s="433"/>
      <c r="B243" s="433"/>
      <c r="C243" s="434" t="str">
        <f>PERIOD</f>
        <v>FOR THE TWELVE MONTHS ENDED NOVEMBER 30, 2017</v>
      </c>
      <c r="D243" s="435"/>
      <c r="E243" s="435"/>
      <c r="F243" s="434"/>
      <c r="G243" s="435"/>
      <c r="H243" s="435"/>
      <c r="I243" s="435"/>
      <c r="J243" s="435"/>
      <c r="K243" s="435"/>
      <c r="L243" s="1463"/>
    </row>
    <row r="244" spans="1:12">
      <c r="A244" s="433"/>
      <c r="B244" s="433"/>
      <c r="C244" s="435"/>
      <c r="D244" s="435"/>
      <c r="E244" s="435"/>
      <c r="F244" s="435"/>
      <c r="G244" s="435"/>
      <c r="H244" s="435"/>
      <c r="I244" s="435"/>
      <c r="J244" s="1463"/>
      <c r="K244" s="1463"/>
      <c r="L244" s="1463"/>
    </row>
    <row r="245" spans="1:12">
      <c r="A245" s="433"/>
      <c r="B245" s="433"/>
      <c r="C245" s="1463"/>
      <c r="D245" s="1463"/>
      <c r="E245" s="1463"/>
      <c r="F245" s="1463"/>
      <c r="G245" s="1463"/>
      <c r="H245" s="1463"/>
      <c r="I245" s="1463"/>
      <c r="J245" s="1318" t="str">
        <f>"                "&amp;"SCHEDULE C-2.1"</f>
        <v xml:space="preserve">                SCHEDULE C-2.1</v>
      </c>
      <c r="K245" s="1463"/>
      <c r="L245" s="1463"/>
    </row>
    <row r="246" spans="1:12">
      <c r="A246" s="433"/>
      <c r="B246" s="433"/>
      <c r="C246" s="436" t="str">
        <f>Data</f>
        <v>DATA: "X" BASE PERIOD   FORECASTED PERIOD</v>
      </c>
      <c r="D246" s="1463"/>
      <c r="E246" s="1463"/>
      <c r="F246" s="1463"/>
      <c r="G246" s="1463"/>
      <c r="H246" s="1463"/>
      <c r="I246" s="1463"/>
      <c r="J246" s="1318" t="str">
        <f>"                "&amp;"PAGE  5  OF  14"</f>
        <v xml:space="preserve">                PAGE  5  OF  14</v>
      </c>
      <c r="K246" s="1463"/>
      <c r="L246" s="1463"/>
    </row>
    <row r="247" spans="1:12">
      <c r="A247" s="433"/>
      <c r="B247" s="433"/>
      <c r="C247" s="436" t="str">
        <f>Type</f>
        <v xml:space="preserve">TYPE OF FILING:  "X" ORIGINAL   UPDATED    REVISED  </v>
      </c>
      <c r="D247" s="1463"/>
      <c r="E247" s="1463"/>
      <c r="F247" s="1463"/>
      <c r="G247" s="1463"/>
      <c r="H247" s="1463"/>
      <c r="I247" s="1463"/>
      <c r="J247" s="1318" t="str">
        <f>"                "&amp;"WITNESS RESPONSIBLE:"</f>
        <v xml:space="preserve">                WITNESS RESPONSIBLE:</v>
      </c>
      <c r="K247" s="1463"/>
      <c r="L247" s="1463"/>
    </row>
    <row r="248" spans="1:12">
      <c r="A248" s="433"/>
      <c r="B248" s="433"/>
      <c r="C248" s="1318" t="str">
        <f>$C$11&amp;", SCHEDULE F-3"</f>
        <v>WORK PAPER REFERENCE NO(S).: WPC-2.1a_BP, SCHEDULE F-3</v>
      </c>
      <c r="D248" s="1463"/>
      <c r="E248" s="1463"/>
      <c r="F248" s="1463"/>
      <c r="G248" s="1463"/>
      <c r="H248" s="1463"/>
      <c r="I248" s="1463"/>
      <c r="J248" s="1318" t="str">
        <f>"                "&amp;_WIT1</f>
        <v xml:space="preserve">                S. E. LAWLER</v>
      </c>
      <c r="K248" s="1463"/>
      <c r="L248" s="1463"/>
    </row>
    <row r="249" spans="1:12">
      <c r="A249" s="433"/>
      <c r="B249" s="433"/>
      <c r="C249" s="437"/>
      <c r="D249" s="438"/>
      <c r="E249" s="438"/>
      <c r="F249" s="438"/>
      <c r="G249" s="438"/>
      <c r="H249" s="438"/>
      <c r="I249" s="438"/>
      <c r="J249" s="438"/>
      <c r="K249" s="438"/>
      <c r="L249" s="1463"/>
    </row>
    <row r="250" spans="1:12">
      <c r="A250" s="433"/>
      <c r="B250" s="433"/>
      <c r="C250" s="1463"/>
      <c r="D250" s="1463"/>
      <c r="E250" s="1463"/>
      <c r="F250" s="1463"/>
      <c r="G250" s="1464" t="s">
        <v>238</v>
      </c>
      <c r="H250" s="1465" t="s">
        <v>360</v>
      </c>
      <c r="I250" s="1463"/>
      <c r="J250" s="1463"/>
      <c r="K250" s="1464" t="s">
        <v>1461</v>
      </c>
      <c r="L250" s="1463"/>
    </row>
    <row r="251" spans="1:12">
      <c r="A251" s="433"/>
      <c r="B251" s="433"/>
      <c r="C251" s="1464" t="s">
        <v>1961</v>
      </c>
      <c r="D251" s="1464" t="s">
        <v>1080</v>
      </c>
      <c r="E251" s="1463"/>
      <c r="F251" s="1463"/>
      <c r="G251" s="1464" t="s">
        <v>1035</v>
      </c>
      <c r="H251" s="1464" t="s">
        <v>362</v>
      </c>
      <c r="I251" s="1463"/>
      <c r="J251" s="1464" t="s">
        <v>238</v>
      </c>
      <c r="K251" s="1464" t="s">
        <v>239</v>
      </c>
      <c r="L251" s="1463"/>
    </row>
    <row r="252" spans="1:12">
      <c r="A252" s="433"/>
      <c r="B252" s="433"/>
      <c r="C252" s="1464" t="s">
        <v>1854</v>
      </c>
      <c r="D252" s="1464" t="s">
        <v>90</v>
      </c>
      <c r="E252" s="1463"/>
      <c r="F252" s="434" t="s">
        <v>240</v>
      </c>
      <c r="G252" s="1464" t="s">
        <v>1872</v>
      </c>
      <c r="H252" s="1464" t="s">
        <v>363</v>
      </c>
      <c r="I252" s="1463"/>
      <c r="J252" s="1464" t="s">
        <v>241</v>
      </c>
      <c r="K252" s="1464" t="s">
        <v>566</v>
      </c>
      <c r="L252" s="1463"/>
    </row>
    <row r="253" spans="1:12">
      <c r="A253" s="433"/>
      <c r="B253" s="433"/>
      <c r="C253" s="439"/>
      <c r="D253" s="439"/>
      <c r="E253" s="439"/>
      <c r="F253" s="439"/>
      <c r="G253" s="440" t="s">
        <v>365</v>
      </c>
      <c r="H253" s="440" t="s">
        <v>318</v>
      </c>
      <c r="I253" s="439"/>
      <c r="J253" s="440" t="s">
        <v>319</v>
      </c>
      <c r="K253" s="440" t="s">
        <v>320</v>
      </c>
      <c r="L253" s="1463"/>
    </row>
    <row r="254" spans="1:12">
      <c r="A254" s="433"/>
      <c r="B254" s="433"/>
      <c r="C254" s="1463"/>
      <c r="D254" s="1463"/>
      <c r="E254" s="1463"/>
      <c r="F254" s="1463"/>
      <c r="G254" s="1463"/>
      <c r="H254" s="1463"/>
      <c r="I254" s="1463"/>
      <c r="J254" s="1463"/>
      <c r="K254" s="1463"/>
      <c r="L254" s="1463"/>
    </row>
    <row r="255" spans="1:12">
      <c r="A255" s="433"/>
      <c r="B255" s="433"/>
      <c r="C255" s="1464">
        <v>1</v>
      </c>
      <c r="D255" s="1463"/>
      <c r="E255" s="1463"/>
      <c r="F255" s="441" t="s">
        <v>177</v>
      </c>
      <c r="G255" s="1463"/>
      <c r="H255" s="1463"/>
      <c r="I255" s="1463"/>
      <c r="J255" s="1463"/>
      <c r="K255" s="1463"/>
      <c r="L255" s="1463"/>
    </row>
    <row r="256" spans="1:12">
      <c r="A256" s="433"/>
      <c r="B256" s="433"/>
      <c r="C256" s="1465">
        <f>C255+1</f>
        <v>2</v>
      </c>
      <c r="D256" s="1463"/>
      <c r="E256" s="1463"/>
      <c r="F256" s="1463"/>
      <c r="G256" s="1463"/>
      <c r="H256" s="1463"/>
      <c r="I256" s="1463"/>
      <c r="J256" s="1463"/>
      <c r="K256" s="1463"/>
      <c r="L256" s="1463"/>
    </row>
    <row r="257" spans="1:12">
      <c r="A257" s="433"/>
      <c r="B257" s="433"/>
      <c r="C257" s="1465">
        <f t="shared" ref="C257:C292" si="28">C256+1</f>
        <v>3</v>
      </c>
      <c r="D257" s="1463"/>
      <c r="E257" s="1463"/>
      <c r="F257" s="441" t="s">
        <v>1101</v>
      </c>
      <c r="G257" s="1463"/>
      <c r="H257" s="1463"/>
      <c r="I257" s="1463"/>
      <c r="J257" s="1463"/>
      <c r="K257" s="1463"/>
      <c r="L257" s="1463"/>
    </row>
    <row r="258" spans="1:12">
      <c r="A258" s="433"/>
      <c r="B258" s="432">
        <v>920</v>
      </c>
      <c r="C258" s="1465">
        <f t="shared" si="28"/>
        <v>4</v>
      </c>
      <c r="D258" s="1464">
        <v>920</v>
      </c>
      <c r="E258" s="1463"/>
      <c r="F258" s="1318" t="s">
        <v>1773</v>
      </c>
      <c r="G258" s="1462">
        <f t="array" ref="G258">SUM(IF(FERCBP=B258,AmountBP))</f>
        <v>5950412</v>
      </c>
      <c r="H258" s="1466">
        <f t="shared" ref="H258:H264" si="29">VLOOKUP(K258,ALLOCTABLE,2)</f>
        <v>100</v>
      </c>
      <c r="I258" s="1463"/>
      <c r="J258" s="1462">
        <f t="shared" ref="J258:J277" si="30">ROUND(G258*(H258/100),0)</f>
        <v>5950412</v>
      </c>
      <c r="K258" s="1464" t="s">
        <v>593</v>
      </c>
      <c r="L258" s="1463"/>
    </row>
    <row r="259" spans="1:12">
      <c r="A259" s="433"/>
      <c r="B259" s="432">
        <v>921</v>
      </c>
      <c r="C259" s="1465">
        <f t="shared" si="28"/>
        <v>5</v>
      </c>
      <c r="D259" s="1464">
        <v>921</v>
      </c>
      <c r="E259" s="1463"/>
      <c r="F259" s="1318" t="s">
        <v>1774</v>
      </c>
      <c r="G259" s="1462">
        <f t="array" ref="G259">SUM(IF(FERCBP=B259,AmountBP))</f>
        <v>2515390</v>
      </c>
      <c r="H259" s="1466">
        <f t="shared" si="29"/>
        <v>100</v>
      </c>
      <c r="I259" s="1463"/>
      <c r="J259" s="1462">
        <f t="shared" si="30"/>
        <v>2515390</v>
      </c>
      <c r="K259" s="1464" t="s">
        <v>593</v>
      </c>
      <c r="L259" s="1463"/>
    </row>
    <row r="260" spans="1:12">
      <c r="A260" s="433"/>
      <c r="B260" s="432">
        <v>922</v>
      </c>
      <c r="C260" s="1465">
        <f t="shared" si="28"/>
        <v>6</v>
      </c>
      <c r="D260" s="1464">
        <v>922</v>
      </c>
      <c r="E260" s="1463"/>
      <c r="F260" s="1318" t="s">
        <v>679</v>
      </c>
      <c r="G260" s="1462">
        <f t="array" ref="G260">SUM(IF(FERCBP=B260,AmountBP))</f>
        <v>23</v>
      </c>
      <c r="H260" s="1466">
        <f t="shared" si="29"/>
        <v>100</v>
      </c>
      <c r="I260" s="1463"/>
      <c r="J260" s="1462">
        <f t="shared" si="30"/>
        <v>23</v>
      </c>
      <c r="K260" s="1464" t="s">
        <v>593</v>
      </c>
      <c r="L260" s="1463"/>
    </row>
    <row r="261" spans="1:12">
      <c r="A261" s="433"/>
      <c r="B261" s="432">
        <v>923</v>
      </c>
      <c r="C261" s="1465">
        <f t="shared" si="28"/>
        <v>7</v>
      </c>
      <c r="D261" s="1464">
        <v>923</v>
      </c>
      <c r="E261" s="1463"/>
      <c r="F261" s="1318" t="s">
        <v>1775</v>
      </c>
      <c r="G261" s="1462">
        <f t="array" ref="G261">SUM(IF(FERCBP=B261,AmountBP))</f>
        <v>2130184</v>
      </c>
      <c r="H261" s="1466">
        <f t="shared" si="29"/>
        <v>100</v>
      </c>
      <c r="I261" s="1463"/>
      <c r="J261" s="1462">
        <f t="shared" si="30"/>
        <v>2130184</v>
      </c>
      <c r="K261" s="1464" t="s">
        <v>593</v>
      </c>
      <c r="L261" s="1463"/>
    </row>
    <row r="262" spans="1:12">
      <c r="A262" s="433"/>
      <c r="B262" s="432">
        <v>924</v>
      </c>
      <c r="C262" s="1465">
        <f t="shared" si="28"/>
        <v>8</v>
      </c>
      <c r="D262" s="1464">
        <v>924</v>
      </c>
      <c r="E262" s="1463"/>
      <c r="F262" s="1318" t="s">
        <v>1776</v>
      </c>
      <c r="G262" s="1462">
        <f t="array" ref="G262">SUM(IF(FERCBP=B262,AmountBP))</f>
        <v>355113</v>
      </c>
      <c r="H262" s="1466">
        <f t="shared" si="29"/>
        <v>100</v>
      </c>
      <c r="I262" s="1463"/>
      <c r="J262" s="1462">
        <f t="shared" si="30"/>
        <v>355113</v>
      </c>
      <c r="K262" s="1464" t="s">
        <v>593</v>
      </c>
      <c r="L262" s="1463"/>
    </row>
    <row r="263" spans="1:12">
      <c r="A263" s="433"/>
      <c r="B263" s="432">
        <v>925</v>
      </c>
      <c r="C263" s="1465">
        <f t="shared" si="28"/>
        <v>9</v>
      </c>
      <c r="D263" s="1464">
        <v>925</v>
      </c>
      <c r="E263" s="1463"/>
      <c r="F263" s="1318" t="s">
        <v>1777</v>
      </c>
      <c r="G263" s="1462">
        <f t="array" ref="G263">SUM(IF(FERCBP=B263,AmountBP))</f>
        <v>988617</v>
      </c>
      <c r="H263" s="1466">
        <f t="shared" si="29"/>
        <v>100</v>
      </c>
      <c r="I263" s="1463"/>
      <c r="J263" s="1462">
        <f t="shared" si="30"/>
        <v>988617</v>
      </c>
      <c r="K263" s="1464" t="s">
        <v>593</v>
      </c>
      <c r="L263" s="1463"/>
    </row>
    <row r="264" spans="1:12">
      <c r="A264" s="433"/>
      <c r="B264" s="432">
        <v>926</v>
      </c>
      <c r="C264" s="1465">
        <f t="shared" si="28"/>
        <v>10</v>
      </c>
      <c r="D264" s="1464">
        <v>926</v>
      </c>
      <c r="E264" s="1463"/>
      <c r="F264" s="1318" t="s">
        <v>1778</v>
      </c>
      <c r="G264" s="1462">
        <f t="array" ref="G264">SUM(IF(FERCBP=B264,AmountBP))</f>
        <v>6287034</v>
      </c>
      <c r="H264" s="1466">
        <f t="shared" si="29"/>
        <v>100</v>
      </c>
      <c r="I264" s="1463"/>
      <c r="J264" s="1462">
        <f t="shared" si="30"/>
        <v>6287034</v>
      </c>
      <c r="K264" s="1464" t="s">
        <v>593</v>
      </c>
      <c r="L264" s="1463"/>
    </row>
    <row r="265" spans="1:12">
      <c r="A265" s="432"/>
      <c r="B265" s="432">
        <v>928</v>
      </c>
      <c r="C265" s="1465">
        <f t="shared" si="28"/>
        <v>11</v>
      </c>
      <c r="D265" s="1464">
        <v>928</v>
      </c>
      <c r="E265" s="1463"/>
      <c r="F265" s="1318" t="s">
        <v>1779</v>
      </c>
      <c r="G265" s="1462">
        <f t="array" ref="G265">SUM(IF(FERCBP=B265,AmountBP))</f>
        <v>706932</v>
      </c>
      <c r="H265" s="1466">
        <f t="shared" ref="H265:H277" si="31">VLOOKUP(K265,ALLOCTABLE,2)</f>
        <v>100</v>
      </c>
      <c r="I265" s="1463"/>
      <c r="J265" s="1462">
        <f t="shared" si="30"/>
        <v>706932</v>
      </c>
      <c r="K265" s="1464" t="s">
        <v>593</v>
      </c>
      <c r="L265" s="1463"/>
    </row>
    <row r="266" spans="1:12">
      <c r="A266" s="433"/>
      <c r="B266" s="432">
        <v>929</v>
      </c>
      <c r="C266" s="1465">
        <f t="shared" si="28"/>
        <v>12</v>
      </c>
      <c r="D266" s="1464">
        <v>929</v>
      </c>
      <c r="E266" s="1463"/>
      <c r="F266" s="1318" t="s">
        <v>1780</v>
      </c>
      <c r="G266" s="1462">
        <f t="array" ref="G266">SUM(IF(FERCBP=B266,AmountBP))</f>
        <v>-417815</v>
      </c>
      <c r="H266" s="1466">
        <f t="shared" si="31"/>
        <v>100</v>
      </c>
      <c r="I266" s="1463"/>
      <c r="J266" s="1462">
        <f t="shared" si="30"/>
        <v>-417815</v>
      </c>
      <c r="K266" s="1464" t="s">
        <v>593</v>
      </c>
      <c r="L266" s="1463"/>
    </row>
    <row r="267" spans="1:12">
      <c r="A267" s="433"/>
      <c r="B267" s="433">
        <v>930150</v>
      </c>
      <c r="C267" s="1465">
        <f t="shared" si="28"/>
        <v>13</v>
      </c>
      <c r="D267" s="1464">
        <v>930150</v>
      </c>
      <c r="E267" s="1463"/>
      <c r="F267" s="1318" t="s">
        <v>2200</v>
      </c>
      <c r="G267" s="1462">
        <f>ROUND(VLOOKUP(B267,BasePeriod,5,FALSE),0)</f>
        <v>11346</v>
      </c>
      <c r="H267" s="1466">
        <f t="shared" si="31"/>
        <v>100</v>
      </c>
      <c r="I267" s="1463"/>
      <c r="J267" s="1462">
        <f t="shared" si="30"/>
        <v>11346</v>
      </c>
      <c r="K267" s="1464" t="s">
        <v>593</v>
      </c>
      <c r="L267" s="1463"/>
    </row>
    <row r="268" spans="1:12">
      <c r="A268" s="433"/>
      <c r="B268" s="433">
        <v>930200</v>
      </c>
      <c r="C268" s="1465">
        <f t="shared" si="28"/>
        <v>14</v>
      </c>
      <c r="D268" s="1464">
        <v>930200</v>
      </c>
      <c r="E268" s="1463"/>
      <c r="F268" s="1318" t="s">
        <v>2201</v>
      </c>
      <c r="G268" s="1462">
        <f t="shared" ref="G268:G275" si="32">ROUND(VLOOKUP(B268,BasePeriod,5,FALSE),0)</f>
        <v>497785</v>
      </c>
      <c r="H268" s="1466">
        <f t="shared" si="31"/>
        <v>100</v>
      </c>
      <c r="I268" s="1463"/>
      <c r="J268" s="1462">
        <f t="shared" si="30"/>
        <v>497785</v>
      </c>
      <c r="K268" s="1464" t="s">
        <v>593</v>
      </c>
      <c r="L268" s="1463"/>
    </row>
    <row r="269" spans="1:12">
      <c r="A269" s="433"/>
      <c r="B269" s="433">
        <v>930210</v>
      </c>
      <c r="C269" s="1465">
        <f t="shared" si="28"/>
        <v>15</v>
      </c>
      <c r="D269" s="1464">
        <v>930210</v>
      </c>
      <c r="E269" s="1463"/>
      <c r="F269" s="1318" t="s">
        <v>2202</v>
      </c>
      <c r="G269" s="1462">
        <f t="shared" si="32"/>
        <v>40462</v>
      </c>
      <c r="H269" s="1466">
        <f t="shared" si="31"/>
        <v>100</v>
      </c>
      <c r="I269" s="1463"/>
      <c r="J269" s="1462">
        <f t="shared" si="30"/>
        <v>40462</v>
      </c>
      <c r="K269" s="1464" t="s">
        <v>593</v>
      </c>
      <c r="L269" s="1463"/>
    </row>
    <row r="270" spans="1:12">
      <c r="A270" s="433"/>
      <c r="B270" s="433">
        <v>930220</v>
      </c>
      <c r="C270" s="1465">
        <f t="shared" si="28"/>
        <v>16</v>
      </c>
      <c r="D270" s="1464">
        <v>930220</v>
      </c>
      <c r="E270" s="1463"/>
      <c r="F270" s="1318" t="s">
        <v>2203</v>
      </c>
      <c r="G270" s="1462">
        <f t="shared" si="32"/>
        <v>23504</v>
      </c>
      <c r="H270" s="1466">
        <f t="shared" si="31"/>
        <v>100</v>
      </c>
      <c r="I270" s="1463"/>
      <c r="J270" s="1462">
        <f t="shared" si="30"/>
        <v>23504</v>
      </c>
      <c r="K270" s="1464" t="s">
        <v>593</v>
      </c>
      <c r="L270" s="1463"/>
    </row>
    <row r="271" spans="1:12">
      <c r="A271" s="433"/>
      <c r="B271" s="433">
        <v>930230</v>
      </c>
      <c r="C271" s="1465">
        <f t="shared" si="28"/>
        <v>17</v>
      </c>
      <c r="D271" s="1464">
        <v>930230</v>
      </c>
      <c r="E271" s="1463"/>
      <c r="F271" s="1318" t="s">
        <v>2204</v>
      </c>
      <c r="G271" s="1462">
        <f t="shared" si="32"/>
        <v>31672</v>
      </c>
      <c r="H271" s="1466">
        <f t="shared" si="31"/>
        <v>100</v>
      </c>
      <c r="I271" s="1463"/>
      <c r="J271" s="1462">
        <f t="shared" si="30"/>
        <v>31672</v>
      </c>
      <c r="K271" s="1464" t="s">
        <v>593</v>
      </c>
      <c r="L271" s="1463"/>
    </row>
    <row r="272" spans="1:12">
      <c r="A272" s="433"/>
      <c r="B272" s="433">
        <v>930240</v>
      </c>
      <c r="C272" s="1465">
        <f t="shared" si="28"/>
        <v>18</v>
      </c>
      <c r="D272" s="1464">
        <v>930240</v>
      </c>
      <c r="E272" s="1463"/>
      <c r="F272" s="1318" t="s">
        <v>3246</v>
      </c>
      <c r="G272" s="1462">
        <f t="shared" si="32"/>
        <v>42313</v>
      </c>
      <c r="H272" s="1466">
        <f t="shared" si="31"/>
        <v>100</v>
      </c>
      <c r="I272" s="1463"/>
      <c r="J272" s="1462">
        <f t="shared" si="30"/>
        <v>42313</v>
      </c>
      <c r="K272" s="1464" t="s">
        <v>593</v>
      </c>
      <c r="L272" s="1463"/>
    </row>
    <row r="273" spans="1:13">
      <c r="A273" s="433"/>
      <c r="B273" s="433">
        <v>930250</v>
      </c>
      <c r="C273" s="1465">
        <f t="shared" si="28"/>
        <v>19</v>
      </c>
      <c r="D273" s="1464">
        <v>930250</v>
      </c>
      <c r="E273" s="1463"/>
      <c r="F273" s="1318" t="s">
        <v>2205</v>
      </c>
      <c r="G273" s="1462">
        <f t="shared" si="32"/>
        <v>16905</v>
      </c>
      <c r="H273" s="1466">
        <f t="shared" si="31"/>
        <v>100</v>
      </c>
      <c r="I273" s="1463"/>
      <c r="J273" s="1462">
        <f t="shared" si="30"/>
        <v>16905</v>
      </c>
      <c r="K273" s="1464" t="s">
        <v>593</v>
      </c>
      <c r="L273" s="1463"/>
    </row>
    <row r="274" spans="1:13">
      <c r="A274" s="433"/>
      <c r="B274" s="433">
        <v>930600</v>
      </c>
      <c r="C274" s="1465">
        <f t="shared" si="28"/>
        <v>20</v>
      </c>
      <c r="D274" s="1464">
        <v>930600</v>
      </c>
      <c r="E274" s="1463"/>
      <c r="F274" s="1318" t="s">
        <v>2881</v>
      </c>
      <c r="G274" s="1462">
        <f t="shared" ref="G274" si="33">ROUND(VLOOKUP(B274,BasePeriod,5,FALSE),0)</f>
        <v>27</v>
      </c>
      <c r="H274" s="1466">
        <f t="shared" si="31"/>
        <v>100</v>
      </c>
      <c r="I274" s="1463"/>
      <c r="J274" s="1462">
        <f t="shared" si="30"/>
        <v>27</v>
      </c>
      <c r="K274" s="1464" t="s">
        <v>593</v>
      </c>
      <c r="L274" s="1463"/>
    </row>
    <row r="275" spans="1:13">
      <c r="A275" s="433"/>
      <c r="B275" s="433">
        <v>930700</v>
      </c>
      <c r="C275" s="1465">
        <f t="shared" si="28"/>
        <v>21</v>
      </c>
      <c r="D275" s="1464">
        <v>930700</v>
      </c>
      <c r="E275" s="1463"/>
      <c r="F275" s="1318" t="s">
        <v>2206</v>
      </c>
      <c r="G275" s="1462">
        <f t="shared" si="32"/>
        <v>1836</v>
      </c>
      <c r="H275" s="1466">
        <f t="shared" si="31"/>
        <v>100</v>
      </c>
      <c r="I275" s="1463"/>
      <c r="J275" s="1462">
        <f t="shared" si="30"/>
        <v>1836</v>
      </c>
      <c r="K275" s="1464" t="s">
        <v>593</v>
      </c>
      <c r="L275" s="1463"/>
    </row>
    <row r="276" spans="1:13">
      <c r="A276" s="433"/>
      <c r="B276" s="432">
        <v>930940</v>
      </c>
      <c r="C276" s="1465">
        <f t="shared" si="28"/>
        <v>22</v>
      </c>
      <c r="D276" s="442">
        <v>930940</v>
      </c>
      <c r="E276" s="1463"/>
      <c r="F276" s="1318" t="s">
        <v>2207</v>
      </c>
      <c r="G276" s="1462">
        <f>ROUND(VLOOKUP(B276,BasePeriod,5,FALSE),0)</f>
        <v>1000</v>
      </c>
      <c r="H276" s="1466">
        <f t="shared" si="31"/>
        <v>100</v>
      </c>
      <c r="I276" s="1463"/>
      <c r="J276" s="1462">
        <f t="shared" si="30"/>
        <v>1000</v>
      </c>
      <c r="K276" s="1464" t="s">
        <v>593</v>
      </c>
      <c r="L276" s="1463"/>
    </row>
    <row r="277" spans="1:13">
      <c r="A277" s="1463"/>
      <c r="B277" s="433">
        <v>931</v>
      </c>
      <c r="C277" s="1465">
        <f t="shared" si="28"/>
        <v>23</v>
      </c>
      <c r="D277" s="460">
        <v>931</v>
      </c>
      <c r="E277" s="1463"/>
      <c r="F277" s="1318" t="s">
        <v>1781</v>
      </c>
      <c r="G277" s="1462">
        <f t="array" ref="G277">SUM(IF(FERCBP=B277,AmountBP))</f>
        <v>1186364</v>
      </c>
      <c r="H277" s="1466">
        <f t="shared" si="31"/>
        <v>100</v>
      </c>
      <c r="I277" s="1463"/>
      <c r="J277" s="1462">
        <f t="shared" si="30"/>
        <v>1186364</v>
      </c>
      <c r="K277" s="1464" t="s">
        <v>593</v>
      </c>
      <c r="L277" s="1463"/>
    </row>
    <row r="278" spans="1:13">
      <c r="A278" s="433"/>
      <c r="B278" s="432"/>
      <c r="C278" s="1465">
        <f t="shared" si="28"/>
        <v>24</v>
      </c>
      <c r="D278" s="1463"/>
      <c r="E278" s="1463"/>
      <c r="F278" s="1318" t="s">
        <v>1102</v>
      </c>
      <c r="G278" s="1319">
        <f>SUM(G258:G277)</f>
        <v>20369104</v>
      </c>
      <c r="H278" s="1463"/>
      <c r="I278" s="1463"/>
      <c r="J278" s="1319">
        <f>SUM(J258:J277)</f>
        <v>20369104</v>
      </c>
      <c r="K278" s="1463"/>
      <c r="L278" s="1463"/>
    </row>
    <row r="279" spans="1:13">
      <c r="A279" s="433"/>
      <c r="B279" s="432"/>
      <c r="C279" s="1465">
        <f t="shared" si="28"/>
        <v>25</v>
      </c>
      <c r="D279" s="1463"/>
      <c r="E279" s="1463"/>
      <c r="F279" s="1463"/>
      <c r="G279" s="443"/>
      <c r="H279" s="1463"/>
      <c r="I279" s="1463"/>
      <c r="J279" s="443"/>
      <c r="K279" s="1463"/>
      <c r="L279" s="1463"/>
    </row>
    <row r="280" spans="1:13">
      <c r="A280" s="433"/>
      <c r="B280" s="432"/>
      <c r="C280" s="1465">
        <f t="shared" si="28"/>
        <v>26</v>
      </c>
      <c r="D280" s="1463"/>
      <c r="E280" s="1463"/>
      <c r="F280" s="441" t="s">
        <v>1103</v>
      </c>
      <c r="G280" s="1463"/>
      <c r="H280" s="1463"/>
      <c r="I280" s="1463"/>
      <c r="J280" s="1463"/>
      <c r="K280" s="1463"/>
      <c r="L280" s="1463"/>
    </row>
    <row r="281" spans="1:13">
      <c r="A281" s="433"/>
      <c r="B281" s="432">
        <v>935</v>
      </c>
      <c r="C281" s="1465">
        <f t="shared" si="28"/>
        <v>27</v>
      </c>
      <c r="D281" s="1464">
        <v>935</v>
      </c>
      <c r="E281" s="1463"/>
      <c r="F281" s="1318" t="s">
        <v>1782</v>
      </c>
      <c r="G281" s="1462">
        <f t="array" ref="G281">SUM(IF(FERCBP=B281,AmountBP))</f>
        <v>37863</v>
      </c>
      <c r="H281" s="1466">
        <f>VLOOKUP(K281,ALLOCTABLE,2)</f>
        <v>100</v>
      </c>
      <c r="I281" s="1463"/>
      <c r="J281" s="1462">
        <f>ROUND(G281*(H281/100),0)</f>
        <v>37863</v>
      </c>
      <c r="K281" s="1464" t="s">
        <v>593</v>
      </c>
      <c r="L281" s="1463"/>
    </row>
    <row r="282" spans="1:13">
      <c r="A282" s="433"/>
      <c r="B282" s="433"/>
      <c r="C282" s="1465">
        <f t="shared" si="28"/>
        <v>28</v>
      </c>
      <c r="D282" s="1463"/>
      <c r="E282" s="1463"/>
      <c r="F282" s="1318" t="s">
        <v>1783</v>
      </c>
      <c r="G282" s="1319">
        <f>G278+G281</f>
        <v>20406967</v>
      </c>
      <c r="H282" s="1463"/>
      <c r="I282" s="1463"/>
      <c r="J282" s="1319">
        <f>J278+J281</f>
        <v>20406967</v>
      </c>
      <c r="K282" s="1463"/>
      <c r="L282" s="1463"/>
    </row>
    <row r="283" spans="1:13">
      <c r="A283" s="433"/>
      <c r="B283" s="432"/>
      <c r="C283" s="1465">
        <f t="shared" si="28"/>
        <v>29</v>
      </c>
      <c r="D283" s="1463"/>
      <c r="E283" s="1463"/>
      <c r="F283" s="1318" t="s">
        <v>1784</v>
      </c>
      <c r="G283" s="1319">
        <f>G120+G158+G164+G193+G221+G230+G238+G282</f>
        <v>229259465</v>
      </c>
      <c r="H283" s="1463"/>
      <c r="I283" s="1463"/>
      <c r="J283" s="1319">
        <f>J120+J158+J164+J193+J221+J230+J238+J282</f>
        <v>229259465</v>
      </c>
      <c r="K283" s="1463"/>
      <c r="L283" s="1463"/>
      <c r="M283" s="1347"/>
    </row>
    <row r="284" spans="1:13">
      <c r="A284" s="433"/>
      <c r="B284" s="432"/>
      <c r="C284" s="1465">
        <f t="shared" si="28"/>
        <v>30</v>
      </c>
      <c r="D284" s="1463"/>
      <c r="E284" s="1463"/>
      <c r="F284" s="1463"/>
      <c r="G284" s="443"/>
      <c r="H284" s="1463"/>
      <c r="I284" s="1463"/>
      <c r="J284" s="443"/>
      <c r="K284" s="1463"/>
      <c r="L284" s="1463"/>
    </row>
    <row r="285" spans="1:13">
      <c r="A285" s="433"/>
      <c r="B285" s="432"/>
      <c r="C285" s="1465">
        <f t="shared" si="28"/>
        <v>31</v>
      </c>
      <c r="D285" s="1463"/>
      <c r="E285" s="1463"/>
      <c r="F285" s="441" t="s">
        <v>179</v>
      </c>
      <c r="G285" s="1463"/>
      <c r="H285" s="1463"/>
      <c r="I285" s="1463"/>
      <c r="J285" s="1463"/>
      <c r="K285" s="1463"/>
      <c r="L285" s="1463"/>
    </row>
    <row r="286" spans="1:13">
      <c r="A286" s="433">
        <v>403</v>
      </c>
      <c r="B286" s="432">
        <v>404</v>
      </c>
      <c r="C286" s="1465">
        <f t="shared" si="28"/>
        <v>32</v>
      </c>
      <c r="D286" s="1464" t="s">
        <v>1209</v>
      </c>
      <c r="E286" s="1463"/>
      <c r="F286" s="1318" t="s">
        <v>1785</v>
      </c>
      <c r="G286" s="1319">
        <f t="array" ref="G286">SUM(IF(FERCBP=A286,AmountBP))+SUM(IF(FERCBP=B286,AmountBP))</f>
        <v>35375930</v>
      </c>
      <c r="H286" s="1466">
        <f>VLOOKUP(K286,ALLOCTABLE,2)</f>
        <v>100</v>
      </c>
      <c r="I286" s="1463"/>
      <c r="J286" s="1319">
        <f>ROUND(G286*(H286/100),0)</f>
        <v>35375930</v>
      </c>
      <c r="K286" s="1464" t="s">
        <v>593</v>
      </c>
      <c r="L286" s="1463"/>
      <c r="M286" s="1347"/>
    </row>
    <row r="287" spans="1:13">
      <c r="A287" s="433"/>
      <c r="B287" s="432"/>
      <c r="C287" s="1465">
        <f t="shared" si="28"/>
        <v>33</v>
      </c>
      <c r="D287" s="1463"/>
      <c r="E287" s="1463"/>
      <c r="F287" s="1463"/>
      <c r="G287" s="1463"/>
      <c r="H287" s="1463"/>
      <c r="I287" s="1463"/>
      <c r="J287" s="1463"/>
      <c r="K287" s="1463"/>
      <c r="L287" s="1463"/>
    </row>
    <row r="288" spans="1:13">
      <c r="A288" s="433"/>
      <c r="B288" s="432"/>
      <c r="C288" s="1465">
        <f t="shared" si="28"/>
        <v>34</v>
      </c>
      <c r="D288" s="1463"/>
      <c r="E288" s="1463"/>
      <c r="F288" s="441" t="s">
        <v>2195</v>
      </c>
      <c r="G288" s="1463"/>
      <c r="H288" s="1463"/>
      <c r="I288" s="1463"/>
      <c r="J288" s="1463"/>
      <c r="K288" s="1463"/>
      <c r="L288" s="1463"/>
    </row>
    <row r="289" spans="1:13">
      <c r="A289" s="433"/>
      <c r="B289" s="432">
        <v>407354</v>
      </c>
      <c r="C289" s="1465">
        <f t="shared" si="28"/>
        <v>35</v>
      </c>
      <c r="D289" s="1467">
        <v>407354</v>
      </c>
      <c r="E289" s="1463"/>
      <c r="F289" s="1318" t="s">
        <v>1992</v>
      </c>
      <c r="G289" s="1462">
        <f>ROUND(VLOOKUP(B289,BasePeriod,5,FALSE),0)</f>
        <v>-2035889</v>
      </c>
      <c r="H289" s="1466">
        <f>VLOOKUP(K289,ALLOCTABLE,2)</f>
        <v>100</v>
      </c>
      <c r="I289" s="1463"/>
      <c r="J289" s="1462">
        <f>ROUND(G289*(H289/100),0)</f>
        <v>-2035889</v>
      </c>
      <c r="K289" s="1464" t="s">
        <v>593</v>
      </c>
      <c r="L289" s="1463"/>
    </row>
    <row r="290" spans="1:13">
      <c r="A290" s="433"/>
      <c r="B290" s="432">
        <v>407407</v>
      </c>
      <c r="C290" s="1465">
        <f t="shared" si="28"/>
        <v>36</v>
      </c>
      <c r="D290" s="1467">
        <v>407407</v>
      </c>
      <c r="E290" s="1463"/>
      <c r="F290" s="1318" t="s">
        <v>1993</v>
      </c>
      <c r="G290" s="1462">
        <f>ROUND(VLOOKUP(B290,BasePeriod,5,FALSE),0)</f>
        <v>-727216</v>
      </c>
      <c r="H290" s="1466">
        <f>VLOOKUP(K290,ALLOCTABLE,2)</f>
        <v>100</v>
      </c>
      <c r="I290" s="1463"/>
      <c r="J290" s="1462">
        <f>ROUND(G290*(H290/100),0)</f>
        <v>-727216</v>
      </c>
      <c r="K290" s="1464" t="s">
        <v>593</v>
      </c>
      <c r="L290" s="1463"/>
    </row>
    <row r="291" spans="1:13">
      <c r="A291" s="433"/>
      <c r="B291" s="432">
        <v>411051</v>
      </c>
      <c r="C291" s="1465">
        <f t="shared" si="28"/>
        <v>37</v>
      </c>
      <c r="D291" s="1467">
        <v>411051</v>
      </c>
      <c r="E291" s="1463"/>
      <c r="F291" s="1318" t="s">
        <v>2197</v>
      </c>
      <c r="G291" s="1462">
        <f>ROUND(VLOOKUP(B291,BasePeriod,5,FALSE),0)</f>
        <v>0</v>
      </c>
      <c r="H291" s="1466">
        <f>VLOOKUP(K291,ALLOCTABLE,2)</f>
        <v>100</v>
      </c>
      <c r="I291" s="1463"/>
      <c r="J291" s="1462">
        <f>ROUND(G291*(H291/100),0)</f>
        <v>0</v>
      </c>
      <c r="K291" s="1464" t="s">
        <v>593</v>
      </c>
      <c r="L291" s="1463"/>
    </row>
    <row r="292" spans="1:13">
      <c r="A292" s="1463"/>
      <c r="B292" s="1463"/>
      <c r="C292" s="1465">
        <f t="shared" si="28"/>
        <v>38</v>
      </c>
      <c r="D292" s="1463"/>
      <c r="E292" s="1463"/>
      <c r="F292" s="1318" t="s">
        <v>2196</v>
      </c>
      <c r="G292" s="1319">
        <f>SUM(G289:G291)</f>
        <v>-2763105</v>
      </c>
      <c r="H292" s="1466"/>
      <c r="I292" s="1463"/>
      <c r="J292" s="1319">
        <f>SUM(J289:J291)</f>
        <v>-2763105</v>
      </c>
      <c r="K292" s="1463"/>
      <c r="L292" s="1463"/>
      <c r="M292" s="1347"/>
    </row>
    <row r="293" spans="1:13">
      <c r="A293" s="432"/>
      <c r="B293" s="432"/>
      <c r="C293" s="1463"/>
      <c r="D293" s="1463"/>
      <c r="E293" s="1463"/>
      <c r="F293" s="1463"/>
      <c r="G293" s="1463"/>
      <c r="H293" s="1463"/>
      <c r="I293" s="1463"/>
      <c r="J293" s="1463"/>
      <c r="K293" s="1463"/>
      <c r="L293" s="1463"/>
    </row>
    <row r="294" spans="1:13">
      <c r="A294" s="433"/>
      <c r="B294" s="433"/>
      <c r="C294" s="434" t="str">
        <f>COMPANY</f>
        <v>DUKE ENERGY KENTUCKY, INC.</v>
      </c>
      <c r="D294" s="435"/>
      <c r="E294" s="435"/>
      <c r="F294" s="434"/>
      <c r="G294" s="435"/>
      <c r="H294" s="435"/>
      <c r="I294" s="435"/>
      <c r="J294" s="435"/>
      <c r="K294" s="435"/>
      <c r="L294" s="1463"/>
    </row>
    <row r="295" spans="1:13">
      <c r="A295" s="433"/>
      <c r="B295" s="433"/>
      <c r="C295" s="434" t="str">
        <f>CASE</f>
        <v>CASE NO. 2017-00321</v>
      </c>
      <c r="D295" s="435"/>
      <c r="E295" s="435"/>
      <c r="F295" s="434"/>
      <c r="G295" s="435"/>
      <c r="H295" s="435"/>
      <c r="I295" s="435"/>
      <c r="J295" s="435"/>
      <c r="K295" s="435"/>
      <c r="L295" s="1463"/>
    </row>
    <row r="296" spans="1:13">
      <c r="A296" s="433"/>
      <c r="B296" s="433"/>
      <c r="C296" s="434" t="s">
        <v>1949</v>
      </c>
      <c r="D296" s="435"/>
      <c r="E296" s="434"/>
      <c r="F296" s="435"/>
      <c r="G296" s="435"/>
      <c r="H296" s="435"/>
      <c r="I296" s="435"/>
      <c r="J296" s="435"/>
      <c r="K296" s="435"/>
      <c r="L296" s="1463"/>
    </row>
    <row r="297" spans="1:13">
      <c r="A297" s="433"/>
      <c r="B297" s="433"/>
      <c r="C297" s="434" t="str">
        <f>PERIOD</f>
        <v>FOR THE TWELVE MONTHS ENDED NOVEMBER 30, 2017</v>
      </c>
      <c r="D297" s="435"/>
      <c r="E297" s="435"/>
      <c r="F297" s="434"/>
      <c r="G297" s="435"/>
      <c r="H297" s="435"/>
      <c r="I297" s="435"/>
      <c r="J297" s="435"/>
      <c r="K297" s="435"/>
      <c r="L297" s="1463"/>
    </row>
    <row r="298" spans="1:13">
      <c r="A298" s="433"/>
      <c r="B298" s="433"/>
      <c r="C298" s="435"/>
      <c r="D298" s="435"/>
      <c r="E298" s="435"/>
      <c r="F298" s="435"/>
      <c r="G298" s="435"/>
      <c r="H298" s="435"/>
      <c r="I298" s="435"/>
      <c r="J298" s="1463"/>
      <c r="K298" s="1463"/>
      <c r="L298" s="1463"/>
    </row>
    <row r="299" spans="1:13">
      <c r="A299" s="433"/>
      <c r="B299" s="433"/>
      <c r="C299" s="1463"/>
      <c r="D299" s="1463"/>
      <c r="E299" s="1463"/>
      <c r="F299" s="1463"/>
      <c r="G299" s="1463"/>
      <c r="H299" s="1463"/>
      <c r="I299" s="1463"/>
      <c r="J299" s="1318" t="str">
        <f>"                "&amp;"SCHEDULE C-2.1"</f>
        <v xml:space="preserve">                SCHEDULE C-2.1</v>
      </c>
      <c r="K299" s="1463"/>
      <c r="L299" s="1463"/>
    </row>
    <row r="300" spans="1:13">
      <c r="A300" s="433"/>
      <c r="B300" s="433"/>
      <c r="C300" s="436" t="str">
        <f>Data</f>
        <v>DATA: "X" BASE PERIOD   FORECASTED PERIOD</v>
      </c>
      <c r="D300" s="1463"/>
      <c r="E300" s="1463"/>
      <c r="F300" s="1463"/>
      <c r="G300" s="1463"/>
      <c r="H300" s="1463"/>
      <c r="I300" s="1463"/>
      <c r="J300" s="1318" t="str">
        <f>"                "&amp;"PAGE  6  OF  14"</f>
        <v xml:space="preserve">                PAGE  6  OF  14</v>
      </c>
      <c r="K300" s="1463"/>
      <c r="L300" s="1463"/>
    </row>
    <row r="301" spans="1:13">
      <c r="A301" s="433"/>
      <c r="B301" s="433"/>
      <c r="C301" s="436" t="str">
        <f>Type</f>
        <v xml:space="preserve">TYPE OF FILING:  "X" ORIGINAL   UPDATED    REVISED  </v>
      </c>
      <c r="D301" s="1463"/>
      <c r="E301" s="1463"/>
      <c r="F301" s="1463"/>
      <c r="G301" s="1463"/>
      <c r="H301" s="1463"/>
      <c r="I301" s="1463"/>
      <c r="J301" s="1318" t="str">
        <f>"                "&amp;"WITNESS RESPONSIBLE:"</f>
        <v xml:space="preserve">                WITNESS RESPONSIBLE:</v>
      </c>
      <c r="K301" s="1463"/>
      <c r="L301" s="1463"/>
    </row>
    <row r="302" spans="1:13">
      <c r="A302" s="433"/>
      <c r="B302" s="433"/>
      <c r="C302" s="1318" t="str">
        <f>$C$11</f>
        <v>WORK PAPER REFERENCE NO(S).: WPC-2.1a_BP</v>
      </c>
      <c r="D302" s="1463"/>
      <c r="E302" s="1463"/>
      <c r="F302" s="1463"/>
      <c r="G302" s="1463"/>
      <c r="H302" s="1463"/>
      <c r="I302" s="1463"/>
      <c r="J302" s="1318" t="str">
        <f>"                "&amp;_WIT1</f>
        <v xml:space="preserve">                S. E. LAWLER</v>
      </c>
      <c r="K302" s="1463"/>
      <c r="L302" s="1463"/>
    </row>
    <row r="303" spans="1:13">
      <c r="A303" s="433"/>
      <c r="B303" s="433"/>
      <c r="C303" s="437"/>
      <c r="D303" s="438"/>
      <c r="E303" s="438"/>
      <c r="F303" s="438"/>
      <c r="G303" s="438"/>
      <c r="H303" s="438"/>
      <c r="I303" s="438"/>
      <c r="J303" s="438"/>
      <c r="K303" s="438"/>
      <c r="L303" s="1463"/>
    </row>
    <row r="304" spans="1:13">
      <c r="A304" s="433"/>
      <c r="B304" s="433"/>
      <c r="C304" s="1463"/>
      <c r="D304" s="1463"/>
      <c r="E304" s="1463"/>
      <c r="F304" s="1463"/>
      <c r="G304" s="1464" t="s">
        <v>238</v>
      </c>
      <c r="H304" s="1465" t="s">
        <v>360</v>
      </c>
      <c r="I304" s="1463"/>
      <c r="J304" s="1463"/>
      <c r="K304" s="1464" t="s">
        <v>1461</v>
      </c>
      <c r="L304" s="1463"/>
    </row>
    <row r="305" spans="1:12">
      <c r="A305" s="433"/>
      <c r="B305" s="433"/>
      <c r="C305" s="1464" t="s">
        <v>1961</v>
      </c>
      <c r="D305" s="1464" t="s">
        <v>1080</v>
      </c>
      <c r="E305" s="1463"/>
      <c r="F305" s="1463"/>
      <c r="G305" s="1464" t="s">
        <v>1035</v>
      </c>
      <c r="H305" s="1464" t="s">
        <v>362</v>
      </c>
      <c r="I305" s="1463"/>
      <c r="J305" s="1464" t="s">
        <v>238</v>
      </c>
      <c r="K305" s="1464" t="s">
        <v>239</v>
      </c>
      <c r="L305" s="1463"/>
    </row>
    <row r="306" spans="1:12">
      <c r="A306" s="433"/>
      <c r="B306" s="433"/>
      <c r="C306" s="1464" t="s">
        <v>1854</v>
      </c>
      <c r="D306" s="1464" t="s">
        <v>90</v>
      </c>
      <c r="E306" s="1463"/>
      <c r="F306" s="434" t="s">
        <v>240</v>
      </c>
      <c r="G306" s="1464" t="s">
        <v>1872</v>
      </c>
      <c r="H306" s="1464" t="s">
        <v>363</v>
      </c>
      <c r="I306" s="1463"/>
      <c r="J306" s="1464" t="s">
        <v>241</v>
      </c>
      <c r="K306" s="1464" t="s">
        <v>566</v>
      </c>
      <c r="L306" s="1463"/>
    </row>
    <row r="307" spans="1:12">
      <c r="A307" s="433"/>
      <c r="B307" s="433"/>
      <c r="C307" s="439"/>
      <c r="D307" s="439"/>
      <c r="E307" s="439"/>
      <c r="F307" s="439"/>
      <c r="G307" s="440" t="s">
        <v>365</v>
      </c>
      <c r="H307" s="440" t="s">
        <v>318</v>
      </c>
      <c r="I307" s="439"/>
      <c r="J307" s="440" t="s">
        <v>319</v>
      </c>
      <c r="K307" s="440" t="s">
        <v>320</v>
      </c>
      <c r="L307" s="1463"/>
    </row>
    <row r="308" spans="1:12">
      <c r="A308" s="433"/>
      <c r="B308" s="433"/>
      <c r="C308" s="1463"/>
      <c r="D308" s="1463"/>
      <c r="E308" s="1463"/>
      <c r="F308" s="1463"/>
      <c r="G308" s="1463"/>
      <c r="H308" s="1463"/>
      <c r="I308" s="1463"/>
      <c r="J308" s="1463"/>
      <c r="K308" s="1463"/>
      <c r="L308" s="1463"/>
    </row>
    <row r="309" spans="1:12">
      <c r="A309" s="433"/>
      <c r="B309" s="433"/>
      <c r="C309" s="1464">
        <v>1</v>
      </c>
      <c r="D309" s="1463"/>
      <c r="E309" s="1463"/>
      <c r="F309" s="441" t="s">
        <v>1786</v>
      </c>
      <c r="G309" s="1463"/>
      <c r="H309" s="1463"/>
      <c r="I309" s="1463"/>
      <c r="J309" s="1463"/>
      <c r="K309" s="1463"/>
      <c r="L309" s="1463"/>
    </row>
    <row r="310" spans="1:12">
      <c r="A310" s="433"/>
      <c r="B310" s="433"/>
      <c r="C310" s="1465">
        <f>C309+1</f>
        <v>2</v>
      </c>
      <c r="D310" s="1463"/>
      <c r="E310" s="1463"/>
      <c r="F310" s="1463"/>
      <c r="G310" s="1463"/>
      <c r="H310" s="1463"/>
      <c r="I310" s="1463"/>
      <c r="J310" s="1463"/>
      <c r="K310" s="1463"/>
      <c r="L310" s="1463"/>
    </row>
    <row r="311" spans="1:12">
      <c r="A311" s="433"/>
      <c r="B311" s="433"/>
      <c r="C311" s="1465">
        <f t="shared" ref="C311:C331" si="34">C310+1</f>
        <v>3</v>
      </c>
      <c r="D311" s="1463"/>
      <c r="E311" s="1463"/>
      <c r="F311" s="441" t="s">
        <v>1357</v>
      </c>
      <c r="G311" s="1463"/>
      <c r="H311" s="1463"/>
      <c r="I311" s="1463"/>
      <c r="J311" s="1463"/>
      <c r="K311" s="1463"/>
      <c r="L311" s="1463"/>
    </row>
    <row r="312" spans="1:12">
      <c r="A312" s="433"/>
      <c r="B312" s="432">
        <v>408700</v>
      </c>
      <c r="C312" s="1465">
        <f t="shared" si="34"/>
        <v>4</v>
      </c>
      <c r="D312" s="1464">
        <v>408700</v>
      </c>
      <c r="E312" s="464"/>
      <c r="F312" s="1318" t="s">
        <v>1358</v>
      </c>
      <c r="G312" s="1462">
        <f>ROUND(VLOOKUP(B312,BasePeriod,5,FALSE),0)</f>
        <v>-10000</v>
      </c>
      <c r="H312" s="1466">
        <f>VLOOKUP(K312,ALLOCTABLE,2)</f>
        <v>100</v>
      </c>
      <c r="I312" s="1463"/>
      <c r="J312" s="1462">
        <f>ROUND(G312*(H312/100),0)</f>
        <v>-10000</v>
      </c>
      <c r="K312" s="1464" t="s">
        <v>593</v>
      </c>
      <c r="L312" s="1463"/>
    </row>
    <row r="313" spans="1:12">
      <c r="A313" s="433"/>
      <c r="B313" s="432">
        <v>408151</v>
      </c>
      <c r="C313" s="1465">
        <f t="shared" si="34"/>
        <v>5</v>
      </c>
      <c r="D313" s="1464">
        <v>408151</v>
      </c>
      <c r="E313" s="1463"/>
      <c r="F313" s="1318" t="s">
        <v>1359</v>
      </c>
      <c r="G313" s="1462">
        <f>ROUND(VLOOKUP(B313,BasePeriod,5,FALSE),0)</f>
        <v>4849</v>
      </c>
      <c r="H313" s="1466">
        <f>VLOOKUP(K313,ALLOCTABLE,2)</f>
        <v>100</v>
      </c>
      <c r="I313" s="1463"/>
      <c r="J313" s="1462">
        <f>ROUND(G313*(H313/100),0)</f>
        <v>4849</v>
      </c>
      <c r="K313" s="1464" t="s">
        <v>593</v>
      </c>
      <c r="L313" s="1463"/>
    </row>
    <row r="314" spans="1:12">
      <c r="A314" s="433"/>
      <c r="B314" s="432">
        <v>408800</v>
      </c>
      <c r="C314" s="1465">
        <f t="shared" si="34"/>
        <v>6</v>
      </c>
      <c r="D314" s="1464">
        <v>408800</v>
      </c>
      <c r="E314" s="1463"/>
      <c r="F314" s="1318" t="s">
        <v>1920</v>
      </c>
      <c r="G314" s="1462">
        <f>ROUND(VLOOKUP(B314,BasePeriod,5,FALSE),0)</f>
        <v>4</v>
      </c>
      <c r="H314" s="1466">
        <f>VLOOKUP(K314,ALLOCTABLE,2)</f>
        <v>100</v>
      </c>
      <c r="I314" s="1463"/>
      <c r="J314" s="1462">
        <f>ROUND(G314*(H314/100),0)</f>
        <v>4</v>
      </c>
      <c r="K314" s="1464" t="s">
        <v>593</v>
      </c>
      <c r="L314" s="1463"/>
    </row>
    <row r="315" spans="1:12">
      <c r="A315" s="465"/>
      <c r="B315" s="433"/>
      <c r="C315" s="1465">
        <f t="shared" si="34"/>
        <v>7</v>
      </c>
      <c r="D315" s="1463"/>
      <c r="E315" s="1463"/>
      <c r="F315" s="1318" t="s">
        <v>1360</v>
      </c>
      <c r="G315" s="1319">
        <f>SUM(G312:G314)</f>
        <v>-5147</v>
      </c>
      <c r="H315" s="1463"/>
      <c r="I315" s="1463"/>
      <c r="J315" s="1319">
        <f>SUM(J312:J314)</f>
        <v>-5147</v>
      </c>
      <c r="K315" s="1463"/>
      <c r="L315" s="1463"/>
    </row>
    <row r="316" spans="1:12">
      <c r="A316" s="465"/>
      <c r="B316" s="433"/>
      <c r="C316" s="1465">
        <f t="shared" si="34"/>
        <v>8</v>
      </c>
      <c r="D316" s="1463"/>
      <c r="E316" s="1463"/>
      <c r="F316" s="1463"/>
      <c r="G316" s="443"/>
      <c r="H316" s="1463"/>
      <c r="I316" s="1463"/>
      <c r="J316" s="443"/>
      <c r="K316" s="1463"/>
      <c r="L316" s="1463"/>
    </row>
    <row r="317" spans="1:12">
      <c r="A317" s="465"/>
      <c r="B317" s="433"/>
      <c r="C317" s="1465">
        <f t="shared" si="34"/>
        <v>9</v>
      </c>
      <c r="D317" s="1463"/>
      <c r="E317" s="1463"/>
      <c r="F317" s="441" t="s">
        <v>1361</v>
      </c>
      <c r="G317" s="1463"/>
      <c r="H317" s="1463"/>
      <c r="I317" s="1463"/>
      <c r="J317" s="1463"/>
      <c r="K317" s="1463"/>
      <c r="L317" s="1463"/>
    </row>
    <row r="318" spans="1:12">
      <c r="A318" s="465"/>
      <c r="B318" s="433">
        <v>408040</v>
      </c>
      <c r="C318" s="1465">
        <f t="shared" si="34"/>
        <v>10</v>
      </c>
      <c r="D318" s="1464">
        <v>408040</v>
      </c>
      <c r="E318" s="1463"/>
      <c r="F318" s="1318" t="s">
        <v>3098</v>
      </c>
      <c r="G318" s="1462">
        <f t="shared" ref="G318:G325" si="35">ROUND(VLOOKUP(B318,BasePeriod,5,FALSE),0)</f>
        <v>0</v>
      </c>
      <c r="H318" s="1466">
        <f t="shared" ref="H318:H323" si="36">VLOOKUP(K318,ALLOCTABLE,2)</f>
        <v>100</v>
      </c>
      <c r="I318" s="1463"/>
      <c r="J318" s="1462">
        <f t="shared" ref="J318:J328" si="37">ROUND(G318*(H318/100),0)</f>
        <v>0</v>
      </c>
      <c r="K318" s="1464" t="s">
        <v>593</v>
      </c>
      <c r="L318" s="1463"/>
    </row>
    <row r="319" spans="1:12">
      <c r="A319" s="465"/>
      <c r="B319" s="433">
        <v>408050</v>
      </c>
      <c r="C319" s="1465">
        <f t="shared" si="34"/>
        <v>11</v>
      </c>
      <c r="D319" s="1464">
        <v>408050</v>
      </c>
      <c r="E319" s="1463"/>
      <c r="F319" s="1318" t="s">
        <v>2184</v>
      </c>
      <c r="G319" s="1462">
        <f>ROUND(VLOOKUP(B319,BasePeriod,5,FALSE),0)</f>
        <v>9450</v>
      </c>
      <c r="H319" s="1466">
        <f>VLOOKUP(K319,ALLOCTABLE,2)</f>
        <v>100</v>
      </c>
      <c r="I319" s="1463"/>
      <c r="J319" s="1462">
        <f>ROUND(G319*(H319/100),0)</f>
        <v>9450</v>
      </c>
      <c r="K319" s="1464" t="s">
        <v>593</v>
      </c>
      <c r="L319" s="1463"/>
    </row>
    <row r="320" spans="1:12">
      <c r="A320" s="465"/>
      <c r="B320" s="433">
        <v>408120</v>
      </c>
      <c r="C320" s="1465">
        <f t="shared" si="34"/>
        <v>12</v>
      </c>
      <c r="D320" s="1464">
        <v>408120</v>
      </c>
      <c r="E320" s="1463"/>
      <c r="F320" s="1318" t="s">
        <v>2185</v>
      </c>
      <c r="G320" s="1462">
        <f t="shared" si="35"/>
        <v>0</v>
      </c>
      <c r="H320" s="1466">
        <f t="shared" si="36"/>
        <v>100</v>
      </c>
      <c r="I320" s="1463"/>
      <c r="J320" s="1462">
        <f t="shared" si="37"/>
        <v>0</v>
      </c>
      <c r="K320" s="1464" t="s">
        <v>593</v>
      </c>
      <c r="L320" s="1463"/>
    </row>
    <row r="321" spans="1:13">
      <c r="A321" s="465"/>
      <c r="B321" s="433">
        <v>408121</v>
      </c>
      <c r="C321" s="1465">
        <f t="shared" si="34"/>
        <v>13</v>
      </c>
      <c r="D321" s="1464">
        <v>408121</v>
      </c>
      <c r="E321" s="1463"/>
      <c r="F321" s="1318" t="s">
        <v>2186</v>
      </c>
      <c r="G321" s="1462">
        <f t="shared" si="35"/>
        <v>8626257</v>
      </c>
      <c r="H321" s="1466">
        <f t="shared" si="36"/>
        <v>100</v>
      </c>
      <c r="I321" s="1463"/>
      <c r="J321" s="1462">
        <f t="shared" si="37"/>
        <v>8626257</v>
      </c>
      <c r="K321" s="1464" t="s">
        <v>593</v>
      </c>
      <c r="L321" s="1463"/>
    </row>
    <row r="322" spans="1:13">
      <c r="A322" s="465"/>
      <c r="B322" s="433">
        <v>408150</v>
      </c>
      <c r="C322" s="1465">
        <f t="shared" si="34"/>
        <v>14</v>
      </c>
      <c r="D322" s="1464">
        <v>408150</v>
      </c>
      <c r="E322" s="1463"/>
      <c r="F322" s="1318" t="s">
        <v>2187</v>
      </c>
      <c r="G322" s="1462">
        <f t="shared" si="35"/>
        <v>9430</v>
      </c>
      <c r="H322" s="1466">
        <f t="shared" si="36"/>
        <v>100</v>
      </c>
      <c r="I322" s="1463"/>
      <c r="J322" s="1462">
        <f t="shared" si="37"/>
        <v>9430</v>
      </c>
      <c r="K322" s="1464" t="s">
        <v>593</v>
      </c>
      <c r="L322" s="1463"/>
    </row>
    <row r="323" spans="1:13">
      <c r="A323" s="465"/>
      <c r="B323" s="433">
        <v>408152</v>
      </c>
      <c r="C323" s="1465">
        <f t="shared" si="34"/>
        <v>15</v>
      </c>
      <c r="D323" s="1464">
        <v>408152</v>
      </c>
      <c r="E323" s="1463"/>
      <c r="F323" s="1318" t="s">
        <v>2188</v>
      </c>
      <c r="G323" s="1462">
        <f t="shared" si="35"/>
        <v>483711</v>
      </c>
      <c r="H323" s="1466">
        <f t="shared" si="36"/>
        <v>100</v>
      </c>
      <c r="I323" s="1463"/>
      <c r="J323" s="1462">
        <f t="shared" si="37"/>
        <v>483711</v>
      </c>
      <c r="K323" s="1464" t="s">
        <v>593</v>
      </c>
      <c r="L323" s="1463"/>
    </row>
    <row r="324" spans="1:13">
      <c r="A324" s="465"/>
      <c r="B324" s="433">
        <v>408153</v>
      </c>
      <c r="C324" s="1465">
        <f t="shared" si="34"/>
        <v>16</v>
      </c>
      <c r="D324" s="1464">
        <v>408153</v>
      </c>
      <c r="E324" s="1463"/>
      <c r="F324" s="1318" t="s">
        <v>2879</v>
      </c>
      <c r="G324" s="1462">
        <f t="shared" ref="G324" si="38">ROUND(VLOOKUP(B324,BasePeriod,5,FALSE),0)</f>
        <v>3</v>
      </c>
      <c r="H324" s="1466">
        <f t="shared" ref="H324" si="39">VLOOKUP(K324,ALLOCTABLE,2)</f>
        <v>100</v>
      </c>
      <c r="I324" s="1463"/>
      <c r="J324" s="1462">
        <f t="shared" ref="J324" si="40">ROUND(G324*(H324/100),0)</f>
        <v>3</v>
      </c>
      <c r="K324" s="1464" t="s">
        <v>593</v>
      </c>
      <c r="L324" s="1463"/>
    </row>
    <row r="325" spans="1:13">
      <c r="A325" s="465"/>
      <c r="B325" s="432">
        <v>408205</v>
      </c>
      <c r="C325" s="1465">
        <f t="shared" si="34"/>
        <v>17</v>
      </c>
      <c r="D325" s="1464">
        <v>408205</v>
      </c>
      <c r="E325" s="1463"/>
      <c r="F325" s="1318" t="s">
        <v>1920</v>
      </c>
      <c r="G325" s="1462">
        <f t="shared" si="35"/>
        <v>55</v>
      </c>
      <c r="H325" s="1466">
        <f>VLOOKUP(K325,ALLOCTABLE,2)</f>
        <v>100</v>
      </c>
      <c r="I325" s="1463"/>
      <c r="J325" s="1462">
        <f t="shared" si="37"/>
        <v>55</v>
      </c>
      <c r="K325" s="1464" t="s">
        <v>593</v>
      </c>
      <c r="L325" s="1463"/>
    </row>
    <row r="326" spans="1:13">
      <c r="A326" s="465"/>
      <c r="B326" s="432">
        <v>408470</v>
      </c>
      <c r="C326" s="1465">
        <f t="shared" si="34"/>
        <v>18</v>
      </c>
      <c r="D326" s="1464">
        <v>408470</v>
      </c>
      <c r="E326" s="1463"/>
      <c r="F326" s="1318" t="s">
        <v>2880</v>
      </c>
      <c r="G326" s="1462">
        <f t="shared" ref="G326" si="41">ROUND(VLOOKUP(B326,BasePeriod,5,FALSE),0)</f>
        <v>29850</v>
      </c>
      <c r="H326" s="1466">
        <f>VLOOKUP(K326,ALLOCTABLE,2)</f>
        <v>100</v>
      </c>
      <c r="I326" s="1463"/>
      <c r="J326" s="1462">
        <f t="shared" ref="J326" si="42">ROUND(G326*(H326/100),0)</f>
        <v>29850</v>
      </c>
      <c r="K326" s="1464" t="s">
        <v>593</v>
      </c>
      <c r="L326" s="1463"/>
    </row>
    <row r="327" spans="1:13">
      <c r="A327" s="465"/>
      <c r="B327" s="432">
        <v>408851</v>
      </c>
      <c r="C327" s="1465">
        <f t="shared" si="34"/>
        <v>19</v>
      </c>
      <c r="D327" s="1464">
        <v>408851</v>
      </c>
      <c r="E327" s="1463"/>
      <c r="F327" s="1318" t="s">
        <v>2189</v>
      </c>
      <c r="G327" s="1462">
        <f>ROUND(VLOOKUP(B327,BasePeriod,5,FALSE),0)</f>
        <v>-192</v>
      </c>
      <c r="H327" s="1466">
        <f>VLOOKUP(K327,ALLOCTABLE,2)</f>
        <v>100</v>
      </c>
      <c r="I327" s="1463"/>
      <c r="J327" s="1462">
        <f t="shared" si="37"/>
        <v>-192</v>
      </c>
      <c r="K327" s="1464" t="s">
        <v>593</v>
      </c>
      <c r="L327" s="1463"/>
    </row>
    <row r="328" spans="1:13">
      <c r="A328" s="432"/>
      <c r="B328" s="432">
        <v>408960</v>
      </c>
      <c r="C328" s="1465">
        <f t="shared" si="34"/>
        <v>20</v>
      </c>
      <c r="D328" s="1464">
        <v>408960</v>
      </c>
      <c r="E328" s="1463"/>
      <c r="F328" s="1318" t="s">
        <v>2183</v>
      </c>
      <c r="G328" s="1462">
        <f>ROUND(VLOOKUP(B328,BasePeriod,5,FALSE),0)</f>
        <v>1522040</v>
      </c>
      <c r="H328" s="1466">
        <f>VLOOKUP(K328,ALLOCTABLE,2)</f>
        <v>100</v>
      </c>
      <c r="I328" s="1463"/>
      <c r="J328" s="1462">
        <f t="shared" si="37"/>
        <v>1522040</v>
      </c>
      <c r="K328" s="1464" t="s">
        <v>593</v>
      </c>
      <c r="L328" s="1463"/>
    </row>
    <row r="329" spans="1:13">
      <c r="A329" s="433"/>
      <c r="B329" s="432"/>
      <c r="C329" s="1465">
        <f t="shared" si="34"/>
        <v>21</v>
      </c>
      <c r="D329" s="1463"/>
      <c r="E329" s="1463"/>
      <c r="F329" s="1318" t="s">
        <v>680</v>
      </c>
      <c r="G329" s="1319">
        <f>SUM(G318:G328)</f>
        <v>10680604</v>
      </c>
      <c r="H329" s="1463"/>
      <c r="I329" s="1463"/>
      <c r="J329" s="1319">
        <f>SUM(J318:J328)</f>
        <v>10680604</v>
      </c>
      <c r="K329" s="1463"/>
      <c r="L329" s="1463"/>
    </row>
    <row r="330" spans="1:13">
      <c r="A330" s="433"/>
      <c r="B330" s="432"/>
      <c r="C330" s="1465">
        <f t="shared" si="34"/>
        <v>22</v>
      </c>
      <c r="D330" s="1463"/>
      <c r="E330" s="1463"/>
      <c r="F330" s="1463"/>
      <c r="G330" s="443"/>
      <c r="H330" s="1463"/>
      <c r="I330" s="1463"/>
      <c r="J330" s="443"/>
      <c r="K330" s="1463"/>
      <c r="L330" s="1463"/>
    </row>
    <row r="331" spans="1:13">
      <c r="A331" s="433"/>
      <c r="B331" s="433"/>
      <c r="C331" s="1465">
        <f t="shared" si="34"/>
        <v>23</v>
      </c>
      <c r="D331" s="1463"/>
      <c r="E331" s="1463"/>
      <c r="F331" s="1318" t="s">
        <v>1541</v>
      </c>
      <c r="G331" s="462">
        <f>G315+G329</f>
        <v>10675457</v>
      </c>
      <c r="H331" s="1463"/>
      <c r="I331" s="1463"/>
      <c r="J331" s="462">
        <f>J315+J329</f>
        <v>10675457</v>
      </c>
      <c r="K331" s="1463"/>
      <c r="L331" s="1463"/>
      <c r="M331" s="1347"/>
    </row>
    <row r="332" spans="1:13">
      <c r="A332" s="433"/>
      <c r="B332" s="433"/>
      <c r="C332" s="1463"/>
      <c r="D332" s="1463"/>
      <c r="E332" s="1463"/>
      <c r="F332" s="1463"/>
      <c r="G332" s="1463"/>
      <c r="H332" s="1463"/>
      <c r="I332" s="1463"/>
      <c r="J332" s="1463"/>
      <c r="K332" s="1463"/>
      <c r="L332" s="1463"/>
    </row>
    <row r="333" spans="1:13">
      <c r="A333" s="433"/>
      <c r="B333" s="433"/>
      <c r="C333" s="434" t="str">
        <f>COMPANY</f>
        <v>DUKE ENERGY KENTUCKY, INC.</v>
      </c>
      <c r="D333" s="435"/>
      <c r="E333" s="435"/>
      <c r="F333" s="434"/>
      <c r="G333" s="435"/>
      <c r="H333" s="435"/>
      <c r="I333" s="435"/>
      <c r="J333" s="435"/>
      <c r="K333" s="435"/>
      <c r="L333" s="1463"/>
    </row>
    <row r="334" spans="1:13">
      <c r="A334" s="433"/>
      <c r="B334" s="433"/>
      <c r="C334" s="434" t="str">
        <f>CASE</f>
        <v>CASE NO. 2017-00321</v>
      </c>
      <c r="D334" s="435"/>
      <c r="E334" s="435"/>
      <c r="F334" s="434"/>
      <c r="G334" s="435"/>
      <c r="H334" s="435"/>
      <c r="I334" s="435"/>
      <c r="J334" s="435"/>
      <c r="K334" s="435"/>
      <c r="L334" s="1463"/>
    </row>
    <row r="335" spans="1:13">
      <c r="A335" s="433"/>
      <c r="B335" s="433"/>
      <c r="C335" s="434" t="s">
        <v>1949</v>
      </c>
      <c r="D335" s="435"/>
      <c r="E335" s="434"/>
      <c r="F335" s="435"/>
      <c r="G335" s="435"/>
      <c r="H335" s="435"/>
      <c r="I335" s="435"/>
      <c r="J335" s="435"/>
      <c r="K335" s="435"/>
      <c r="L335" s="1463"/>
    </row>
    <row r="336" spans="1:13">
      <c r="A336" s="433"/>
      <c r="B336" s="433"/>
      <c r="C336" s="434" t="str">
        <f>PERIOD</f>
        <v>FOR THE TWELVE MONTHS ENDED NOVEMBER 30, 2017</v>
      </c>
      <c r="D336" s="435"/>
      <c r="E336" s="435"/>
      <c r="F336" s="434"/>
      <c r="G336" s="435"/>
      <c r="H336" s="435"/>
      <c r="I336" s="435"/>
      <c r="J336" s="435"/>
      <c r="K336" s="435"/>
      <c r="L336" s="1463"/>
    </row>
    <row r="337" spans="1:12">
      <c r="A337" s="433"/>
      <c r="B337" s="433"/>
      <c r="C337" s="435"/>
      <c r="D337" s="435"/>
      <c r="E337" s="435"/>
      <c r="F337" s="435"/>
      <c r="G337" s="435"/>
      <c r="H337" s="435"/>
      <c r="I337" s="435"/>
      <c r="J337" s="1463"/>
      <c r="K337" s="1463"/>
      <c r="L337" s="1463"/>
    </row>
    <row r="338" spans="1:12">
      <c r="A338" s="433"/>
      <c r="B338" s="433"/>
      <c r="C338" s="1463"/>
      <c r="D338" s="1463"/>
      <c r="E338" s="1463"/>
      <c r="F338" s="1463"/>
      <c r="G338" s="1463"/>
      <c r="H338" s="1463"/>
      <c r="I338" s="1463"/>
      <c r="J338" s="1318" t="str">
        <f>"                "&amp;"SCHEDULE C-2.1"</f>
        <v xml:space="preserve">                SCHEDULE C-2.1</v>
      </c>
      <c r="K338" s="1463"/>
      <c r="L338" s="1463"/>
    </row>
    <row r="339" spans="1:12">
      <c r="A339" s="433"/>
      <c r="B339" s="433"/>
      <c r="C339" s="436" t="str">
        <f>Data</f>
        <v>DATA: "X" BASE PERIOD   FORECASTED PERIOD</v>
      </c>
      <c r="D339" s="1463"/>
      <c r="E339" s="1463"/>
      <c r="F339" s="1463"/>
      <c r="G339" s="1463"/>
      <c r="H339" s="1463"/>
      <c r="I339" s="1463"/>
      <c r="J339" s="1318" t="str">
        <f>"                "&amp;"PAGE  7  OF  14"</f>
        <v xml:space="preserve">                PAGE  7  OF  14</v>
      </c>
      <c r="K339" s="1463"/>
      <c r="L339" s="1463"/>
    </row>
    <row r="340" spans="1:12">
      <c r="A340" s="433"/>
      <c r="B340" s="433"/>
      <c r="C340" s="436" t="str">
        <f>Type</f>
        <v xml:space="preserve">TYPE OF FILING:  "X" ORIGINAL   UPDATED    REVISED  </v>
      </c>
      <c r="D340" s="1463"/>
      <c r="E340" s="1463"/>
      <c r="F340" s="1463"/>
      <c r="G340" s="1463"/>
      <c r="H340" s="1463"/>
      <c r="I340" s="1463"/>
      <c r="J340" s="1318" t="str">
        <f>"                "&amp;"WITNESS RESPONSIBLE:"</f>
        <v xml:space="preserve">                WITNESS RESPONSIBLE:</v>
      </c>
      <c r="K340" s="1463"/>
      <c r="L340" s="1463"/>
    </row>
    <row r="341" spans="1:12">
      <c r="A341" s="432"/>
      <c r="B341" s="433"/>
      <c r="C341" s="1318" t="str">
        <f>$C$11</f>
        <v>WORK PAPER REFERENCE NO(S).: WPC-2.1a_BP</v>
      </c>
      <c r="D341" s="1463"/>
      <c r="E341" s="1463"/>
      <c r="F341" s="1463"/>
      <c r="G341" s="1463"/>
      <c r="H341" s="1463"/>
      <c r="I341" s="1463"/>
      <c r="J341" s="1318" t="str">
        <f>"                "&amp;_WIT1</f>
        <v xml:space="preserve">                S. E. LAWLER</v>
      </c>
      <c r="K341" s="1463"/>
      <c r="L341" s="1463"/>
    </row>
    <row r="342" spans="1:12">
      <c r="A342" s="432"/>
      <c r="B342" s="433"/>
      <c r="C342" s="437"/>
      <c r="D342" s="438"/>
      <c r="E342" s="438"/>
      <c r="F342" s="438"/>
      <c r="G342" s="438"/>
      <c r="H342" s="438"/>
      <c r="I342" s="438"/>
      <c r="J342" s="438"/>
      <c r="K342" s="438"/>
      <c r="L342" s="1463"/>
    </row>
    <row r="343" spans="1:12">
      <c r="A343" s="432"/>
      <c r="B343" s="433"/>
      <c r="C343" s="1463"/>
      <c r="D343" s="1463"/>
      <c r="E343" s="1463"/>
      <c r="F343" s="1463"/>
      <c r="G343" s="1464" t="s">
        <v>238</v>
      </c>
      <c r="H343" s="1465" t="s">
        <v>360</v>
      </c>
      <c r="I343" s="1463"/>
      <c r="J343" s="1463"/>
      <c r="K343" s="1464" t="s">
        <v>1461</v>
      </c>
      <c r="L343" s="1463"/>
    </row>
    <row r="344" spans="1:12">
      <c r="A344" s="433"/>
      <c r="B344" s="433"/>
      <c r="C344" s="1464" t="s">
        <v>1961</v>
      </c>
      <c r="D344" s="1464" t="s">
        <v>1080</v>
      </c>
      <c r="E344" s="1463"/>
      <c r="F344" s="1463"/>
      <c r="G344" s="1464" t="s">
        <v>1035</v>
      </c>
      <c r="H344" s="1464" t="s">
        <v>362</v>
      </c>
      <c r="I344" s="1463"/>
      <c r="J344" s="1464" t="s">
        <v>238</v>
      </c>
      <c r="K344" s="1464" t="s">
        <v>239</v>
      </c>
      <c r="L344" s="1463"/>
    </row>
    <row r="345" spans="1:12">
      <c r="A345" s="433"/>
      <c r="B345" s="433"/>
      <c r="C345" s="1464" t="s">
        <v>1854</v>
      </c>
      <c r="D345" s="1464" t="s">
        <v>90</v>
      </c>
      <c r="E345" s="1463"/>
      <c r="F345" s="434" t="s">
        <v>240</v>
      </c>
      <c r="G345" s="1464" t="s">
        <v>1872</v>
      </c>
      <c r="H345" s="1464" t="s">
        <v>363</v>
      </c>
      <c r="I345" s="1463"/>
      <c r="J345" s="1464" t="s">
        <v>241</v>
      </c>
      <c r="K345" s="1464" t="s">
        <v>566</v>
      </c>
      <c r="L345" s="1463"/>
    </row>
    <row r="346" spans="1:12">
      <c r="A346" s="433"/>
      <c r="B346" s="432"/>
      <c r="C346" s="439"/>
      <c r="D346" s="439"/>
      <c r="E346" s="439"/>
      <c r="F346" s="439"/>
      <c r="G346" s="440" t="s">
        <v>365</v>
      </c>
      <c r="H346" s="440" t="s">
        <v>318</v>
      </c>
      <c r="I346" s="439"/>
      <c r="J346" s="440" t="s">
        <v>319</v>
      </c>
      <c r="K346" s="440" t="s">
        <v>320</v>
      </c>
      <c r="L346" s="1463"/>
    </row>
    <row r="347" spans="1:12">
      <c r="A347" s="433"/>
      <c r="B347" s="432"/>
      <c r="C347" s="463"/>
      <c r="D347" s="463"/>
      <c r="E347" s="463"/>
      <c r="F347" s="463"/>
      <c r="G347" s="466"/>
      <c r="H347" s="466"/>
      <c r="I347" s="463"/>
      <c r="J347" s="466"/>
      <c r="K347" s="466"/>
      <c r="L347" s="1463"/>
    </row>
    <row r="348" spans="1:12">
      <c r="A348" s="433"/>
      <c r="B348" s="432"/>
      <c r="C348" s="1464">
        <v>1</v>
      </c>
      <c r="D348" s="1463"/>
      <c r="E348" s="1463"/>
      <c r="F348" s="441" t="s">
        <v>1972</v>
      </c>
      <c r="G348" s="1463"/>
      <c r="H348" s="1463"/>
      <c r="I348" s="1463"/>
      <c r="J348" s="1463"/>
      <c r="K348" s="1463"/>
      <c r="L348" s="1463"/>
    </row>
    <row r="349" spans="1:12">
      <c r="A349" s="433"/>
      <c r="B349" s="432">
        <v>409102</v>
      </c>
      <c r="C349" s="1464">
        <v>2</v>
      </c>
      <c r="D349" s="1464">
        <v>409102</v>
      </c>
      <c r="E349" s="1463"/>
      <c r="F349" s="1318" t="s">
        <v>910</v>
      </c>
      <c r="G349" s="1462">
        <f>VLOOKUP(B349,BasePeriod,5,FALSE)</f>
        <v>-634892</v>
      </c>
      <c r="H349" s="452" t="s">
        <v>2888</v>
      </c>
      <c r="I349" s="1463"/>
      <c r="J349" s="1462">
        <f>G349</f>
        <v>-634892</v>
      </c>
      <c r="K349" s="1464" t="s">
        <v>593</v>
      </c>
      <c r="L349" s="1463"/>
    </row>
    <row r="350" spans="1:12">
      <c r="A350" s="433"/>
      <c r="B350" s="432">
        <v>409104</v>
      </c>
      <c r="C350" s="1464">
        <v>3</v>
      </c>
      <c r="D350" s="1464">
        <v>409104</v>
      </c>
      <c r="E350" s="1463"/>
      <c r="F350" s="1318" t="s">
        <v>2198</v>
      </c>
      <c r="G350" s="1462">
        <f>VLOOKUP(B350,BasePeriod,5,FALSE)</f>
        <v>-546785</v>
      </c>
      <c r="H350" s="1466">
        <f>VLOOKUP(K350,ALLOCTABLE,2)</f>
        <v>100</v>
      </c>
      <c r="I350" s="1463"/>
      <c r="J350" s="1462">
        <f>ROUND(G350*(H350/100),0)</f>
        <v>-546785</v>
      </c>
      <c r="K350" s="1464" t="s">
        <v>593</v>
      </c>
      <c r="L350" s="1463"/>
    </row>
    <row r="351" spans="1:12">
      <c r="A351" s="433"/>
      <c r="B351" s="432">
        <v>409197</v>
      </c>
      <c r="C351" s="1464">
        <v>4</v>
      </c>
      <c r="D351" s="1467">
        <v>409197</v>
      </c>
      <c r="E351" s="1463"/>
      <c r="F351" s="1318" t="s">
        <v>2893</v>
      </c>
      <c r="G351" s="1462">
        <f>VLOOKUP(B351,BasePeriod,5,FALSE)</f>
        <v>562990</v>
      </c>
      <c r="H351" s="1466">
        <f>VLOOKUP(K351,ALLOCTABLE,2)</f>
        <v>100</v>
      </c>
      <c r="I351" s="1463"/>
      <c r="J351" s="1462">
        <f>ROUND(G351*(H351/100),0)</f>
        <v>562990</v>
      </c>
      <c r="K351" s="1464" t="s">
        <v>593</v>
      </c>
      <c r="L351" s="1463"/>
    </row>
    <row r="352" spans="1:12">
      <c r="A352" s="433"/>
      <c r="B352" s="433"/>
      <c r="C352" s="1464">
        <v>5</v>
      </c>
      <c r="D352" s="1463"/>
      <c r="E352" s="1463"/>
      <c r="F352" s="1318" t="s">
        <v>2190</v>
      </c>
      <c r="G352" s="1319">
        <f>SUM(G349:G351)</f>
        <v>-618687</v>
      </c>
      <c r="H352" s="1463"/>
      <c r="I352" s="1463"/>
      <c r="J352" s="1319">
        <f>SUM(J349:J351)</f>
        <v>-618687</v>
      </c>
      <c r="K352" s="1463"/>
      <c r="L352" s="1463"/>
    </row>
    <row r="353" spans="1:12">
      <c r="A353" s="433"/>
      <c r="B353" s="433"/>
      <c r="C353" s="1464">
        <v>6</v>
      </c>
      <c r="D353" s="1463"/>
      <c r="E353" s="1463"/>
      <c r="F353" s="1463"/>
      <c r="G353" s="443"/>
      <c r="H353" s="1463"/>
      <c r="I353" s="1463"/>
      <c r="J353" s="443"/>
      <c r="K353" s="1463"/>
      <c r="L353" s="1463"/>
    </row>
    <row r="354" spans="1:12">
      <c r="A354" s="433"/>
      <c r="B354" s="432"/>
      <c r="C354" s="1464">
        <v>7</v>
      </c>
      <c r="D354" s="1463"/>
      <c r="E354" s="1463"/>
      <c r="F354" s="441" t="s">
        <v>1305</v>
      </c>
      <c r="G354" s="1463"/>
      <c r="H354" s="1463"/>
      <c r="I354" s="1463"/>
      <c r="J354" s="1463"/>
      <c r="K354" s="1463"/>
      <c r="L354" s="1463"/>
    </row>
    <row r="355" spans="1:12">
      <c r="A355" s="433"/>
      <c r="B355" s="432">
        <v>409190</v>
      </c>
      <c r="C355" s="1464">
        <v>8</v>
      </c>
      <c r="D355" s="1464">
        <v>409190</v>
      </c>
      <c r="E355" s="1463"/>
      <c r="F355" s="1318" t="s">
        <v>681</v>
      </c>
      <c r="G355" s="455">
        <f>VLOOKUP(B355,BasePeriod,5,FALSE)</f>
        <v>-19738129</v>
      </c>
      <c r="H355" s="452" t="s">
        <v>2888</v>
      </c>
      <c r="I355" s="1463"/>
      <c r="J355" s="1462">
        <f>G355</f>
        <v>-19738129</v>
      </c>
      <c r="K355" s="1464" t="s">
        <v>593</v>
      </c>
      <c r="L355" s="1463"/>
    </row>
    <row r="356" spans="1:12">
      <c r="A356" s="433"/>
      <c r="B356" s="432">
        <v>409191</v>
      </c>
      <c r="C356" s="1464">
        <v>9</v>
      </c>
      <c r="D356" s="1464">
        <v>409191</v>
      </c>
      <c r="E356" s="1463"/>
      <c r="F356" s="1318" t="s">
        <v>2191</v>
      </c>
      <c r="G356" s="455">
        <f>VLOOKUP(B356,BasePeriod,5,FALSE)</f>
        <v>0</v>
      </c>
      <c r="H356" s="1466">
        <f>VLOOKUP(K356,ALLOCTABLE,2)</f>
        <v>100</v>
      </c>
      <c r="I356" s="1463"/>
      <c r="J356" s="1462">
        <f>ROUND(G356*(H356/100),0)</f>
        <v>0</v>
      </c>
      <c r="K356" s="1464" t="s">
        <v>593</v>
      </c>
      <c r="L356" s="1463"/>
    </row>
    <row r="357" spans="1:12">
      <c r="A357" s="433"/>
      <c r="B357" s="432">
        <v>409194</v>
      </c>
      <c r="C357" s="1464">
        <v>10</v>
      </c>
      <c r="D357" s="1464">
        <v>409194</v>
      </c>
      <c r="E357" s="1463"/>
      <c r="F357" s="1318" t="s">
        <v>2192</v>
      </c>
      <c r="G357" s="455">
        <f>VLOOKUP(B357,BasePeriod,5,FALSE)</f>
        <v>-197047</v>
      </c>
      <c r="H357" s="1466">
        <f>VLOOKUP(K357,ALLOCTABLE,2)</f>
        <v>100</v>
      </c>
      <c r="I357" s="1463"/>
      <c r="J357" s="1462">
        <f>ROUND(G357*(H357/100),0)</f>
        <v>-197047</v>
      </c>
      <c r="K357" s="1464" t="s">
        <v>593</v>
      </c>
      <c r="L357" s="1463"/>
    </row>
    <row r="358" spans="1:12">
      <c r="A358" s="433"/>
      <c r="B358" s="432">
        <v>409195</v>
      </c>
      <c r="C358" s="1464">
        <v>11</v>
      </c>
      <c r="D358" s="1467">
        <v>409195</v>
      </c>
      <c r="E358" s="1463"/>
      <c r="F358" s="1318" t="s">
        <v>2193</v>
      </c>
      <c r="G358" s="455">
        <f>VLOOKUP(B358,BasePeriod,5,FALSE)</f>
        <v>0</v>
      </c>
      <c r="H358" s="1466">
        <f>VLOOKUP(K358,ALLOCTABLE,2)</f>
        <v>100</v>
      </c>
      <c r="I358" s="1463"/>
      <c r="J358" s="1462">
        <f>ROUND(G358*(H358/100),0)</f>
        <v>0</v>
      </c>
      <c r="K358" s="1464" t="s">
        <v>593</v>
      </c>
      <c r="L358" s="1463"/>
    </row>
    <row r="359" spans="1:12">
      <c r="A359" s="433"/>
      <c r="B359" s="432"/>
      <c r="C359" s="1464">
        <v>12</v>
      </c>
      <c r="D359" s="1463"/>
      <c r="E359" s="1463"/>
      <c r="F359" s="1463" t="s">
        <v>2194</v>
      </c>
      <c r="G359" s="1319">
        <f>SUM(G355:G358)</f>
        <v>-19935176</v>
      </c>
      <c r="H359" s="1463"/>
      <c r="I359" s="1463"/>
      <c r="J359" s="1319">
        <f>SUM(J355:J358)</f>
        <v>-19935176</v>
      </c>
      <c r="K359" s="1463"/>
      <c r="L359" s="1463"/>
    </row>
    <row r="360" spans="1:12">
      <c r="A360" s="433"/>
      <c r="B360" s="433"/>
      <c r="C360" s="1464">
        <v>13</v>
      </c>
      <c r="D360" s="1463"/>
      <c r="E360" s="1463"/>
      <c r="F360" s="1463"/>
      <c r="G360" s="443"/>
      <c r="H360" s="1463"/>
      <c r="I360" s="1463"/>
      <c r="J360" s="443"/>
      <c r="K360" s="1463"/>
      <c r="L360" s="1463"/>
    </row>
    <row r="361" spans="1:12">
      <c r="A361" s="433"/>
      <c r="B361" s="433"/>
      <c r="C361" s="1464">
        <v>14</v>
      </c>
      <c r="D361" s="1463"/>
      <c r="E361" s="1463"/>
      <c r="F361" s="441" t="s">
        <v>682</v>
      </c>
      <c r="G361" s="1463"/>
      <c r="H361" s="1463"/>
      <c r="I361" s="1463"/>
      <c r="J361" s="1463"/>
      <c r="K361" s="1463"/>
      <c r="L361" s="1463"/>
    </row>
    <row r="362" spans="1:12">
      <c r="A362" s="433">
        <v>410100</v>
      </c>
      <c r="B362" s="432">
        <v>410105</v>
      </c>
      <c r="C362" s="1464">
        <v>15</v>
      </c>
      <c r="D362" s="1464" t="s">
        <v>1209</v>
      </c>
      <c r="E362" s="1463"/>
      <c r="F362" s="1318" t="s">
        <v>683</v>
      </c>
      <c r="G362" s="1462">
        <f>VLOOKUP(A362,BasePeriod,5,FALSE)+VLOOKUP(B362,BasePeriod,5,FALSE)</f>
        <v>34892043</v>
      </c>
      <c r="H362" s="1466">
        <f>VLOOKUP(K362,ALLOCTABLE,2)</f>
        <v>100</v>
      </c>
      <c r="I362" s="1463"/>
      <c r="J362" s="1462">
        <f>ROUND(G362*(H362/100),0)</f>
        <v>34892043</v>
      </c>
      <c r="K362" s="1464" t="s">
        <v>593</v>
      </c>
      <c r="L362" s="1463"/>
    </row>
    <row r="363" spans="1:12">
      <c r="A363" s="433">
        <v>410102</v>
      </c>
      <c r="B363" s="432">
        <v>410106</v>
      </c>
      <c r="C363" s="1464">
        <v>16</v>
      </c>
      <c r="D363" s="1464" t="s">
        <v>1209</v>
      </c>
      <c r="E363" s="1463"/>
      <c r="F363" s="1318" t="s">
        <v>684</v>
      </c>
      <c r="G363" s="1462">
        <f>VLOOKUP(A363,BasePeriod,5,FALSE)+VLOOKUP(B363,BasePeriod,5,FALSE)</f>
        <v>3190453</v>
      </c>
      <c r="H363" s="1466">
        <f>VLOOKUP(K363,ALLOCTABLE,2)</f>
        <v>100</v>
      </c>
      <c r="I363" s="1463"/>
      <c r="J363" s="1462">
        <f>ROUND(G363*(H363/100),0)</f>
        <v>3190453</v>
      </c>
      <c r="K363" s="1464" t="s">
        <v>593</v>
      </c>
      <c r="L363" s="1463"/>
    </row>
    <row r="364" spans="1:12">
      <c r="A364" s="433">
        <v>411100</v>
      </c>
      <c r="B364" s="432">
        <v>411102</v>
      </c>
      <c r="C364" s="1464">
        <v>17</v>
      </c>
      <c r="D364" s="1464" t="s">
        <v>1209</v>
      </c>
      <c r="E364" s="1463"/>
      <c r="F364" s="1318" t="s">
        <v>685</v>
      </c>
      <c r="G364" s="1462">
        <f>VLOOKUP(A364,BasePeriod,5,FALSE)+VLOOKUP(B364,BasePeriod,5,FALSE)</f>
        <v>0</v>
      </c>
      <c r="H364" s="1466">
        <f>VLOOKUP(K364,ALLOCTABLE,2)</f>
        <v>100</v>
      </c>
      <c r="I364" s="1463"/>
      <c r="J364" s="1462">
        <f>ROUND(G364*(H364/100),0)</f>
        <v>0</v>
      </c>
      <c r="K364" s="1464" t="s">
        <v>593</v>
      </c>
      <c r="L364" s="1463"/>
    </row>
    <row r="365" spans="1:12">
      <c r="A365" s="432">
        <v>411101</v>
      </c>
      <c r="B365" s="432">
        <v>411103</v>
      </c>
      <c r="C365" s="1464">
        <v>18</v>
      </c>
      <c r="D365" s="1464" t="s">
        <v>1209</v>
      </c>
      <c r="E365" s="1463"/>
      <c r="F365" s="1318" t="s">
        <v>686</v>
      </c>
      <c r="G365" s="1462">
        <f>VLOOKUP(A365,BasePeriod,5,FALSE)+VLOOKUP(B365,BasePeriod,5,FALSE)</f>
        <v>0</v>
      </c>
      <c r="H365" s="1466">
        <f>VLOOKUP(K365,ALLOCTABLE,2)</f>
        <v>100</v>
      </c>
      <c r="I365" s="1463"/>
      <c r="J365" s="1462">
        <f>ROUND(G365*(H365/100),0)</f>
        <v>0</v>
      </c>
      <c r="K365" s="1464" t="s">
        <v>593</v>
      </c>
      <c r="L365" s="1463"/>
    </row>
    <row r="366" spans="1:12">
      <c r="A366" s="433"/>
      <c r="B366" s="432"/>
      <c r="C366" s="1464">
        <v>19</v>
      </c>
      <c r="D366" s="1463"/>
      <c r="E366" s="1463"/>
      <c r="F366" s="1318" t="s">
        <v>687</v>
      </c>
      <c r="G366" s="1319">
        <f>SUM(G362:G365)</f>
        <v>38082496</v>
      </c>
      <c r="H366" s="1462"/>
      <c r="I366" s="1462"/>
      <c r="J366" s="1319">
        <f>SUM(J362:J365)</f>
        <v>38082496</v>
      </c>
      <c r="K366" s="1462"/>
      <c r="L366" s="1463"/>
    </row>
    <row r="367" spans="1:12">
      <c r="A367" s="433"/>
      <c r="B367" s="432"/>
      <c r="C367" s="1464">
        <v>20</v>
      </c>
      <c r="D367" s="1463"/>
      <c r="E367" s="1463"/>
      <c r="F367" s="1318"/>
      <c r="G367" s="455"/>
      <c r="H367" s="1462"/>
      <c r="I367" s="1462"/>
      <c r="J367" s="455"/>
      <c r="K367" s="1462"/>
      <c r="L367" s="1463"/>
    </row>
    <row r="368" spans="1:12">
      <c r="A368" s="433"/>
      <c r="B368" s="432">
        <v>411410</v>
      </c>
      <c r="C368" s="1464">
        <v>21</v>
      </c>
      <c r="D368" s="1464">
        <v>411065</v>
      </c>
      <c r="E368" s="1463"/>
      <c r="F368" s="1318" t="s">
        <v>141</v>
      </c>
      <c r="G368" s="1462">
        <f>ROUND(VLOOKUP(B368,BasePeriod,5,FALSE),0)</f>
        <v>-11950</v>
      </c>
      <c r="H368" s="1466">
        <f>VLOOKUP(K368,ALLOCTABLE,2)</f>
        <v>100</v>
      </c>
      <c r="I368" s="1463"/>
      <c r="J368" s="1462">
        <f>ROUND(G368*(H368/100),0)</f>
        <v>-11950</v>
      </c>
      <c r="K368" s="1464" t="s">
        <v>593</v>
      </c>
      <c r="L368" s="1463"/>
    </row>
    <row r="369" spans="1:12">
      <c r="A369" s="433"/>
      <c r="B369" s="432"/>
      <c r="C369" s="1464">
        <v>22</v>
      </c>
      <c r="D369" s="1464"/>
      <c r="E369" s="1463"/>
      <c r="F369" s="1318"/>
      <c r="G369" s="1462"/>
      <c r="H369" s="1466"/>
      <c r="I369" s="1463"/>
      <c r="J369" s="1462"/>
      <c r="K369" s="1464"/>
      <c r="L369" s="1463"/>
    </row>
    <row r="370" spans="1:12">
      <c r="A370" s="433"/>
      <c r="B370" s="433"/>
      <c r="C370" s="1464">
        <v>23</v>
      </c>
      <c r="D370" s="1463"/>
      <c r="E370" s="1463"/>
      <c r="F370" s="1318" t="s">
        <v>688</v>
      </c>
      <c r="G370" s="1319">
        <f>G352+G359+G366+G368</f>
        <v>17516683</v>
      </c>
      <c r="H370" s="1462"/>
      <c r="I370" s="1463"/>
      <c r="J370" s="1319">
        <f>J352+J359+J366+J368</f>
        <v>17516683</v>
      </c>
      <c r="K370" s="1462"/>
      <c r="L370" s="1463"/>
    </row>
    <row r="371" spans="1:12">
      <c r="A371" s="433"/>
      <c r="B371" s="433"/>
      <c r="C371" s="1464">
        <v>24</v>
      </c>
      <c r="D371" s="1463"/>
      <c r="E371" s="1463"/>
      <c r="F371" s="1318" t="s">
        <v>1097</v>
      </c>
      <c r="G371" s="1319">
        <f>G283+G286+G292+G331+G370</f>
        <v>290064430</v>
      </c>
      <c r="H371" s="1462"/>
      <c r="I371" s="1463"/>
      <c r="J371" s="1319">
        <f>J283+J286+J292+J331+J370</f>
        <v>290064430</v>
      </c>
      <c r="K371" s="1463"/>
      <c r="L371" s="1463"/>
    </row>
    <row r="372" spans="1:12" ht="13.5" thickBot="1">
      <c r="A372" s="433"/>
      <c r="B372" s="433"/>
      <c r="C372" s="1464">
        <v>25</v>
      </c>
      <c r="D372" s="1463"/>
      <c r="E372" s="1463"/>
      <c r="F372" s="1318" t="s">
        <v>1098</v>
      </c>
      <c r="G372" s="448">
        <f>G51-G371</f>
        <v>36387908</v>
      </c>
      <c r="H372" s="1462"/>
      <c r="I372" s="1463"/>
      <c r="J372" s="448">
        <f>J51-J371</f>
        <v>36387908</v>
      </c>
      <c r="K372" s="1463"/>
      <c r="L372" s="1463"/>
    </row>
    <row r="373" spans="1:12" ht="13.5" thickTop="1">
      <c r="A373" s="433"/>
      <c r="B373" s="433"/>
      <c r="C373" s="1463"/>
      <c r="D373" s="1463"/>
      <c r="E373" s="1463"/>
      <c r="F373" s="1463"/>
      <c r="G373" s="1463"/>
      <c r="H373" s="1463"/>
      <c r="I373" s="1463"/>
      <c r="J373" s="1463"/>
      <c r="K373" s="1463"/>
      <c r="L373" s="1463"/>
    </row>
    <row r="374" spans="1:12">
      <c r="A374" s="433"/>
      <c r="B374" s="433"/>
      <c r="C374" s="1463"/>
      <c r="D374" s="1463"/>
      <c r="E374" s="1463"/>
      <c r="F374" s="1463"/>
      <c r="G374" s="474"/>
      <c r="H374" s="1463"/>
      <c r="I374" s="1463"/>
      <c r="J374" s="1463"/>
      <c r="K374" s="1463"/>
      <c r="L374" s="1463"/>
    </row>
    <row r="375" spans="1:12">
      <c r="A375" s="433"/>
      <c r="B375" s="433"/>
      <c r="C375" s="1463"/>
      <c r="D375" s="1463"/>
      <c r="E375" s="1463"/>
      <c r="F375" s="1463"/>
      <c r="G375" s="474"/>
      <c r="H375" s="1463"/>
      <c r="I375" s="1463"/>
      <c r="J375" s="443"/>
      <c r="K375" s="1463"/>
      <c r="L375" s="1463"/>
    </row>
    <row r="376" spans="1:12">
      <c r="A376" s="433"/>
      <c r="B376" s="433"/>
      <c r="C376" s="1463"/>
      <c r="D376" s="1463"/>
      <c r="E376" s="1463"/>
      <c r="F376" s="1463"/>
      <c r="G376" s="1463"/>
      <c r="H376" s="1463"/>
      <c r="I376" s="1463"/>
      <c r="J376" s="1463"/>
      <c r="K376" s="1463"/>
      <c r="L376" s="1463"/>
    </row>
  </sheetData>
  <phoneticPr fontId="19" type="noConversion"/>
  <pageMargins left="0.75" right="0.75" top="1" bottom="1" header="0.5" footer="0.5"/>
  <pageSetup scale="59" orientation="portrait" blackAndWhite="1" r:id="rId1"/>
  <headerFooter alignWithMargins="0">
    <oddHeader>&amp;C&amp;A&amp;R&amp;"Times New Roman,Bold"KyPSC Case No. 2017-00321
STAFF-DR-01-071 SFRs Attachment
Page &amp;P of &amp;N</oddHeader>
    <oddFooter>Page &amp;P</oddFooter>
  </headerFooter>
  <rowBreaks count="3" manualBreakCount="3">
    <brk id="84" max="65535" man="1"/>
    <brk id="183" max="65535" man="1"/>
    <brk id="230" max="65535" man="1"/>
  </rowBreaks>
  <colBreaks count="1" manualBreakCount="1">
    <brk id="2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8">
    <tabColor theme="2" tint="-0.499984740745262"/>
  </sheetPr>
  <dimension ref="A1:W382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10.5703125" style="18" customWidth="1"/>
    <col min="2" max="2" width="15.85546875" style="18" customWidth="1"/>
    <col min="3" max="3" width="6.5703125" style="18" customWidth="1"/>
    <col min="4" max="4" width="15.7109375" style="18" customWidth="1"/>
    <col min="5" max="5" width="1" style="18" customWidth="1"/>
    <col min="6" max="6" width="46.5703125" style="18" customWidth="1"/>
    <col min="7" max="7" width="17.85546875" style="18" customWidth="1"/>
    <col min="8" max="8" width="15.5703125" style="18" customWidth="1"/>
    <col min="9" max="9" width="1.140625" style="18" customWidth="1"/>
    <col min="10" max="10" width="20" style="18" customWidth="1"/>
    <col min="11" max="11" width="21" style="18" customWidth="1"/>
    <col min="12" max="12" width="4.7109375" style="18" customWidth="1"/>
    <col min="13" max="14" width="16.5703125" style="18" customWidth="1"/>
    <col min="15" max="15" width="16.42578125" style="18" customWidth="1"/>
    <col min="16" max="21" width="16.5703125" style="18" customWidth="1"/>
    <col min="22" max="22" width="17.42578125" style="18" customWidth="1"/>
    <col min="23" max="23" width="3.85546875" style="18" customWidth="1"/>
    <col min="24" max="24" width="17.140625" style="18" customWidth="1"/>
    <col min="25" max="25" width="8" style="18" customWidth="1"/>
    <col min="26" max="26" width="14.7109375" style="18" customWidth="1"/>
    <col min="27" max="27" width="13.7109375" style="18" customWidth="1"/>
    <col min="28" max="28" width="13.5703125" style="18" customWidth="1"/>
    <col min="29" max="29" width="15.42578125" style="18" customWidth="1"/>
    <col min="30" max="30" width="13" style="18" customWidth="1"/>
    <col min="31" max="16384" width="8" style="18"/>
  </cols>
  <sheetData>
    <row r="1" spans="1:23">
      <c r="A1" s="432"/>
      <c r="B1" s="432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</row>
    <row r="2" spans="1:23">
      <c r="A2" s="432"/>
      <c r="B2" s="432"/>
      <c r="C2" s="1463"/>
      <c r="D2" s="1463"/>
      <c r="E2" s="1463"/>
      <c r="F2" s="1463"/>
      <c r="G2" s="1463"/>
      <c r="H2" s="1463"/>
      <c r="I2" s="1463"/>
      <c r="J2" s="1463"/>
      <c r="K2" s="1463"/>
      <c r="L2" s="1463"/>
      <c r="M2" s="1463"/>
      <c r="N2" s="1463"/>
      <c r="O2" s="1463"/>
      <c r="P2" s="1463"/>
      <c r="Q2" s="1463"/>
      <c r="R2" s="1463"/>
      <c r="S2" s="1463"/>
      <c r="T2" s="1463"/>
      <c r="U2" s="1463"/>
      <c r="V2" s="1463"/>
      <c r="W2" s="1463"/>
    </row>
    <row r="3" spans="1:23">
      <c r="A3" s="433"/>
      <c r="B3" s="433"/>
      <c r="C3" s="434" t="str">
        <f>COMPANY</f>
        <v>DUKE ENERGY KENTUCKY, INC.</v>
      </c>
      <c r="D3" s="435"/>
      <c r="E3" s="435"/>
      <c r="F3" s="434"/>
      <c r="G3" s="435"/>
      <c r="H3" s="435"/>
      <c r="I3" s="435"/>
      <c r="J3" s="435"/>
      <c r="K3" s="435"/>
      <c r="L3" s="1463"/>
      <c r="M3" s="1463"/>
      <c r="N3" s="1463"/>
      <c r="O3" s="1463"/>
      <c r="P3" s="1463"/>
      <c r="Q3" s="1463"/>
      <c r="R3" s="1463"/>
      <c r="S3" s="1463"/>
      <c r="T3" s="1463"/>
      <c r="U3" s="1463"/>
      <c r="V3" s="1463"/>
      <c r="W3" s="1463"/>
    </row>
    <row r="4" spans="1:23">
      <c r="A4" s="433"/>
      <c r="B4" s="433"/>
      <c r="C4" s="434" t="str">
        <f>CASE</f>
        <v>CASE NO. 2017-00321</v>
      </c>
      <c r="D4" s="435"/>
      <c r="E4" s="435"/>
      <c r="F4" s="434"/>
      <c r="G4" s="435"/>
      <c r="H4" s="435"/>
      <c r="I4" s="435"/>
      <c r="J4" s="435"/>
      <c r="K4" s="435"/>
      <c r="L4" s="1463"/>
      <c r="M4" s="1463"/>
      <c r="N4" s="1463"/>
      <c r="O4" s="1463"/>
      <c r="P4" s="1463"/>
      <c r="Q4" s="1463"/>
      <c r="R4" s="1463"/>
      <c r="S4" s="1463"/>
      <c r="T4" s="1463"/>
      <c r="U4" s="1463"/>
      <c r="V4" s="1463"/>
      <c r="W4" s="1463"/>
    </row>
    <row r="5" spans="1:23">
      <c r="A5" s="433"/>
      <c r="B5" s="433"/>
      <c r="C5" s="434" t="s">
        <v>1949</v>
      </c>
      <c r="D5" s="435"/>
      <c r="E5" s="434"/>
      <c r="F5" s="435"/>
      <c r="G5" s="435"/>
      <c r="H5" s="435"/>
      <c r="I5" s="435"/>
      <c r="J5" s="435"/>
      <c r="K5" s="435"/>
      <c r="L5" s="1463"/>
      <c r="M5" s="1463"/>
      <c r="N5" s="1463"/>
      <c r="O5" s="1463"/>
      <c r="P5" s="1463"/>
      <c r="Q5" s="1463"/>
      <c r="R5" s="1463"/>
      <c r="S5" s="1463"/>
      <c r="T5" s="1463"/>
      <c r="U5" s="1463"/>
      <c r="V5" s="1463"/>
      <c r="W5" s="1463"/>
    </row>
    <row r="6" spans="1:23">
      <c r="A6" s="433"/>
      <c r="B6" s="433"/>
      <c r="C6" s="434" t="str">
        <f>PeriodF</f>
        <v>FOR THE TWELVE MONTHS ENDED MARCH 31, 2019</v>
      </c>
      <c r="D6" s="435"/>
      <c r="E6" s="435"/>
      <c r="F6" s="434"/>
      <c r="G6" s="435"/>
      <c r="H6" s="435"/>
      <c r="I6" s="435"/>
      <c r="J6" s="435"/>
      <c r="K6" s="435"/>
      <c r="L6" s="1463"/>
      <c r="M6" s="1463"/>
      <c r="N6" s="1463"/>
      <c r="O6" s="1463"/>
      <c r="P6" s="1463"/>
      <c r="Q6" s="1463"/>
      <c r="R6" s="1463"/>
      <c r="S6" s="1463"/>
      <c r="T6" s="1463"/>
      <c r="U6" s="1463"/>
      <c r="V6" s="1463"/>
      <c r="W6" s="1463"/>
    </row>
    <row r="7" spans="1:23">
      <c r="A7" s="433"/>
      <c r="B7" s="433"/>
      <c r="C7" s="435"/>
      <c r="D7" s="435"/>
      <c r="E7" s="435"/>
      <c r="F7" s="435"/>
      <c r="G7" s="435"/>
      <c r="H7" s="435"/>
      <c r="I7" s="435"/>
      <c r="J7" s="1463"/>
      <c r="K7" s="1463"/>
      <c r="L7" s="1463"/>
      <c r="M7" s="1463"/>
      <c r="N7" s="1463"/>
      <c r="O7" s="1463"/>
      <c r="P7" s="1463"/>
      <c r="Q7" s="1463"/>
      <c r="R7" s="1463"/>
      <c r="S7" s="1463"/>
      <c r="T7" s="1463"/>
      <c r="U7" s="1463"/>
      <c r="V7" s="1463"/>
      <c r="W7" s="1463"/>
    </row>
    <row r="8" spans="1:23">
      <c r="A8" s="467"/>
      <c r="B8" s="467"/>
      <c r="C8" s="1463"/>
      <c r="D8" s="1463"/>
      <c r="E8" s="1463"/>
      <c r="F8" s="1463"/>
      <c r="G8" s="1463"/>
      <c r="H8" s="1463"/>
      <c r="I8" s="1463"/>
      <c r="J8" s="1318" t="str">
        <f>"                "&amp;"SCHEDULE C-2.1"</f>
        <v xml:space="preserve">                SCHEDULE C-2.1</v>
      </c>
      <c r="K8" s="1463"/>
      <c r="L8" s="1463"/>
      <c r="M8" s="1463"/>
      <c r="N8" s="1463"/>
      <c r="O8" s="1463"/>
      <c r="P8" s="1463"/>
      <c r="Q8" s="1463"/>
      <c r="R8" s="1463"/>
      <c r="S8" s="1463"/>
      <c r="T8" s="1463"/>
      <c r="U8" s="1463"/>
      <c r="V8" s="1463"/>
      <c r="W8" s="1463"/>
    </row>
    <row r="9" spans="1:23">
      <c r="A9" s="445"/>
      <c r="B9" s="445"/>
      <c r="C9" s="436" t="str">
        <f>DataF</f>
        <v>DATA:  BASE PERIOD  "X" FORECASTED PERIOD</v>
      </c>
      <c r="D9" s="1463"/>
      <c r="E9" s="1463"/>
      <c r="F9" s="1463"/>
      <c r="G9" s="1463"/>
      <c r="H9" s="1463"/>
      <c r="I9" s="1463"/>
      <c r="J9" s="1318" t="str">
        <f>"                "&amp;"PAGE  8  OF  14"</f>
        <v xml:space="preserve">                PAGE  8  OF  14</v>
      </c>
      <c r="K9" s="1463"/>
      <c r="L9" s="1463"/>
      <c r="M9" s="1463"/>
      <c r="N9" s="1463"/>
      <c r="O9" s="1463"/>
      <c r="P9" s="1463"/>
      <c r="Q9" s="1463"/>
      <c r="R9" s="1463"/>
      <c r="S9" s="1463"/>
      <c r="T9" s="1463"/>
      <c r="U9" s="1463"/>
      <c r="V9" s="1463"/>
      <c r="W9" s="1463"/>
    </row>
    <row r="10" spans="1:23">
      <c r="A10" s="445"/>
      <c r="B10" s="445"/>
      <c r="C10" s="436" t="str">
        <f>Type</f>
        <v xml:space="preserve">TYPE OF FILING:  "X" ORIGINAL   UPDATED    REVISED  </v>
      </c>
      <c r="D10" s="1463"/>
      <c r="E10" s="1463"/>
      <c r="F10" s="1463"/>
      <c r="G10" s="1463"/>
      <c r="H10" s="1463"/>
      <c r="I10" s="1463"/>
      <c r="J10" s="1318" t="str">
        <f>"                "&amp;"WITNESS RESPONSIBLE:"</f>
        <v xml:space="preserve">                WITNESS RESPONSIBLE:</v>
      </c>
      <c r="K10" s="1463"/>
      <c r="L10" s="1463"/>
      <c r="M10" s="1463"/>
      <c r="N10" s="1463"/>
      <c r="O10" s="1463"/>
      <c r="P10" s="1463"/>
      <c r="Q10" s="1463"/>
      <c r="R10" s="1463"/>
      <c r="S10" s="1463"/>
      <c r="T10" s="1463"/>
      <c r="U10" s="1463"/>
      <c r="V10" s="1463"/>
      <c r="W10" s="1463"/>
    </row>
    <row r="11" spans="1:23">
      <c r="A11" s="445"/>
      <c r="B11" s="445"/>
      <c r="C11" s="1318" t="s">
        <v>2392</v>
      </c>
      <c r="D11" s="1463"/>
      <c r="E11" s="1463"/>
      <c r="F11" s="1463"/>
      <c r="G11" s="1463"/>
      <c r="H11" s="1463"/>
      <c r="I11" s="1463"/>
      <c r="J11" s="1318" t="str">
        <f>"                "&amp;_WIT1</f>
        <v xml:space="preserve">                S. E. LAWLER</v>
      </c>
      <c r="K11" s="1463"/>
      <c r="L11" s="1463"/>
      <c r="M11" s="1463"/>
      <c r="N11" s="1463"/>
      <c r="O11" s="1463"/>
      <c r="P11" s="1463"/>
      <c r="Q11" s="1463"/>
      <c r="R11" s="1463"/>
      <c r="S11" s="1463"/>
      <c r="T11" s="1463"/>
      <c r="U11" s="1463"/>
      <c r="V11" s="1463"/>
      <c r="W11" s="1463"/>
    </row>
    <row r="12" spans="1:23">
      <c r="A12" s="445"/>
      <c r="B12" s="445"/>
      <c r="C12" s="437"/>
      <c r="D12" s="438"/>
      <c r="E12" s="438"/>
      <c r="F12" s="438"/>
      <c r="G12" s="438"/>
      <c r="H12" s="438"/>
      <c r="I12" s="438"/>
      <c r="J12" s="438"/>
      <c r="K12" s="438"/>
      <c r="L12" s="1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</row>
    <row r="13" spans="1:23">
      <c r="A13" s="445"/>
      <c r="B13" s="445"/>
      <c r="C13" s="1463"/>
      <c r="D13" s="1463"/>
      <c r="E13" s="1463"/>
      <c r="F13" s="1463"/>
      <c r="G13" s="1464" t="s">
        <v>238</v>
      </c>
      <c r="H13" s="1465" t="s">
        <v>360</v>
      </c>
      <c r="I13" s="1463"/>
      <c r="J13" s="1463"/>
      <c r="K13" s="1464" t="s">
        <v>1461</v>
      </c>
      <c r="L13" s="1463"/>
      <c r="M13" s="466"/>
      <c r="N13" s="466"/>
      <c r="O13" s="466"/>
      <c r="P13" s="466"/>
      <c r="Q13" s="466"/>
      <c r="R13" s="466"/>
      <c r="S13" s="466"/>
      <c r="T13" s="466"/>
      <c r="U13" s="466"/>
      <c r="V13" s="466"/>
      <c r="W13" s="463"/>
    </row>
    <row r="14" spans="1:23">
      <c r="A14" s="445"/>
      <c r="B14" s="445"/>
      <c r="C14" s="1464" t="s">
        <v>1961</v>
      </c>
      <c r="D14" s="1464" t="s">
        <v>1080</v>
      </c>
      <c r="E14" s="1463"/>
      <c r="F14" s="1463"/>
      <c r="G14" s="1464" t="s">
        <v>1035</v>
      </c>
      <c r="H14" s="1464" t="s">
        <v>362</v>
      </c>
      <c r="I14" s="1463"/>
      <c r="J14" s="1464" t="s">
        <v>238</v>
      </c>
      <c r="K14" s="1464" t="s">
        <v>239</v>
      </c>
      <c r="L14" s="1463"/>
      <c r="M14" s="466"/>
      <c r="N14" s="466"/>
      <c r="O14" s="466"/>
      <c r="P14" s="466"/>
      <c r="Q14" s="466"/>
      <c r="R14" s="466"/>
      <c r="S14" s="466"/>
      <c r="T14" s="466"/>
      <c r="U14" s="466"/>
      <c r="V14" s="466"/>
      <c r="W14" s="463"/>
    </row>
    <row r="15" spans="1:23">
      <c r="A15" s="445"/>
      <c r="B15" s="445"/>
      <c r="C15" s="1464" t="s">
        <v>1854</v>
      </c>
      <c r="D15" s="1464" t="s">
        <v>90</v>
      </c>
      <c r="E15" s="1463"/>
      <c r="F15" s="434" t="s">
        <v>240</v>
      </c>
      <c r="G15" s="1464" t="s">
        <v>1872</v>
      </c>
      <c r="H15" s="1464" t="s">
        <v>363</v>
      </c>
      <c r="I15" s="1463"/>
      <c r="J15" s="1464" t="s">
        <v>241</v>
      </c>
      <c r="K15" s="1464" t="s">
        <v>566</v>
      </c>
      <c r="L15" s="1463"/>
      <c r="M15" s="466"/>
      <c r="N15" s="466"/>
      <c r="O15" s="466"/>
      <c r="P15" s="466"/>
      <c r="Q15" s="466"/>
      <c r="R15" s="466"/>
      <c r="S15" s="466"/>
      <c r="T15" s="466"/>
      <c r="U15" s="466"/>
      <c r="V15" s="466"/>
      <c r="W15" s="463"/>
    </row>
    <row r="16" spans="1:23">
      <c r="A16" s="445"/>
      <c r="B16" s="445"/>
      <c r="C16" s="439"/>
      <c r="D16" s="439"/>
      <c r="E16" s="439"/>
      <c r="F16" s="439"/>
      <c r="G16" s="440" t="s">
        <v>365</v>
      </c>
      <c r="H16" s="440" t="s">
        <v>318</v>
      </c>
      <c r="I16" s="439"/>
      <c r="J16" s="440" t="s">
        <v>319</v>
      </c>
      <c r="K16" s="440" t="s">
        <v>320</v>
      </c>
      <c r="L16" s="1463"/>
      <c r="M16" s="466"/>
      <c r="N16" s="466"/>
      <c r="O16" s="466"/>
      <c r="P16" s="466"/>
      <c r="Q16" s="466"/>
      <c r="R16" s="466"/>
      <c r="S16" s="466"/>
      <c r="T16" s="466"/>
      <c r="U16" s="466"/>
      <c r="V16" s="466"/>
      <c r="W16" s="463"/>
    </row>
    <row r="17" spans="1:23">
      <c r="A17" s="1467"/>
      <c r="B17" s="445"/>
      <c r="C17" s="1463"/>
      <c r="D17" s="1465"/>
      <c r="E17" s="1463"/>
      <c r="F17" s="1463"/>
      <c r="G17" s="1463"/>
      <c r="H17" s="1463"/>
      <c r="I17" s="1463"/>
      <c r="J17" s="1463"/>
      <c r="K17" s="1463"/>
      <c r="L17" s="1463"/>
      <c r="M17" s="463"/>
      <c r="N17" s="463"/>
      <c r="O17" s="463"/>
      <c r="P17" s="463"/>
      <c r="Q17" s="463"/>
      <c r="R17" s="463"/>
      <c r="S17" s="463"/>
      <c r="T17" s="463"/>
      <c r="U17" s="463"/>
      <c r="V17" s="463"/>
      <c r="W17" s="463"/>
    </row>
    <row r="18" spans="1:23">
      <c r="A18" s="1467"/>
      <c r="B18" s="445"/>
      <c r="C18" s="1464">
        <v>1</v>
      </c>
      <c r="D18" s="1465"/>
      <c r="E18" s="1463"/>
      <c r="F18" s="441" t="s">
        <v>1462</v>
      </c>
      <c r="G18" s="1463"/>
      <c r="H18" s="1463"/>
      <c r="I18" s="1463"/>
      <c r="J18" s="1463"/>
      <c r="K18" s="1463"/>
      <c r="L18" s="1463"/>
      <c r="M18" s="468"/>
      <c r="N18" s="468"/>
      <c r="O18" s="468"/>
      <c r="P18" s="468"/>
      <c r="Q18" s="468"/>
      <c r="R18" s="468"/>
      <c r="S18" s="468"/>
      <c r="T18" s="468"/>
      <c r="U18" s="468"/>
      <c r="V18" s="468"/>
      <c r="W18" s="463"/>
    </row>
    <row r="19" spans="1:23">
      <c r="A19" s="433"/>
      <c r="B19" s="433"/>
      <c r="C19" s="1465">
        <v>2</v>
      </c>
      <c r="D19" s="1465"/>
      <c r="E19" s="1463"/>
      <c r="F19" s="1463"/>
      <c r="G19" s="1463"/>
      <c r="H19" s="1463"/>
      <c r="I19" s="1463"/>
      <c r="J19" s="1463"/>
      <c r="K19" s="1463"/>
      <c r="L19" s="1463"/>
      <c r="M19" s="468"/>
      <c r="N19" s="468"/>
      <c r="O19" s="468"/>
      <c r="P19" s="468"/>
      <c r="Q19" s="468"/>
      <c r="R19" s="468"/>
      <c r="S19" s="468"/>
      <c r="T19" s="468"/>
      <c r="U19" s="468"/>
      <c r="V19" s="468"/>
      <c r="W19" s="463"/>
    </row>
    <row r="20" spans="1:23">
      <c r="A20" s="433"/>
      <c r="B20" s="433"/>
      <c r="C20" s="1464">
        <v>3</v>
      </c>
      <c r="D20" s="1465"/>
      <c r="E20" s="1463"/>
      <c r="F20" s="441" t="s">
        <v>242</v>
      </c>
      <c r="G20" s="1463"/>
      <c r="H20" s="1463"/>
      <c r="I20" s="1463"/>
      <c r="J20" s="1463"/>
      <c r="K20" s="1463"/>
      <c r="L20" s="1463"/>
      <c r="M20" s="468"/>
      <c r="N20" s="468"/>
      <c r="O20" s="468"/>
      <c r="P20" s="468"/>
      <c r="Q20" s="468"/>
      <c r="R20" s="468"/>
      <c r="S20" s="468"/>
      <c r="T20" s="468"/>
      <c r="U20" s="468"/>
      <c r="V20" s="468"/>
      <c r="W20" s="468"/>
    </row>
    <row r="21" spans="1:23">
      <c r="A21" s="432"/>
      <c r="B21" s="432">
        <v>440</v>
      </c>
      <c r="C21" s="1464">
        <v>4</v>
      </c>
      <c r="D21" s="1464">
        <v>440</v>
      </c>
      <c r="E21" s="1463"/>
      <c r="F21" s="1318" t="str">
        <f>'SCH_C2.1 - Base Period'!F21</f>
        <v>Residential</v>
      </c>
      <c r="G21" s="1462">
        <f t="array" aca="1" ref="G21" ca="1">SUM(IF(FERCFP=B21,AmountFP))</f>
        <v>119435052</v>
      </c>
      <c r="H21" s="1466">
        <f t="shared" ref="H21:H26" si="0">VLOOKUP(K21,ALLOCTABLE,2)</f>
        <v>100</v>
      </c>
      <c r="I21" s="1463"/>
      <c r="J21" s="1462">
        <f t="shared" ref="J21:J26" ca="1" si="1">ROUND(G21*(H21/100),0)</f>
        <v>119435052</v>
      </c>
      <c r="K21" s="1464" t="s">
        <v>593</v>
      </c>
      <c r="L21" s="1463"/>
      <c r="M21" s="468"/>
      <c r="N21" s="468"/>
      <c r="O21" s="469"/>
      <c r="P21" s="469"/>
      <c r="Q21" s="470"/>
      <c r="R21" s="469"/>
      <c r="S21" s="469"/>
      <c r="T21" s="469"/>
      <c r="U21" s="469"/>
      <c r="V21" s="468"/>
      <c r="W21" s="468"/>
    </row>
    <row r="22" spans="1:23">
      <c r="A22" s="432">
        <v>442100</v>
      </c>
      <c r="B22" s="432">
        <v>442190</v>
      </c>
      <c r="C22" s="1464">
        <v>5</v>
      </c>
      <c r="D22" s="1464">
        <v>442</v>
      </c>
      <c r="E22" s="1463"/>
      <c r="F22" s="1318" t="str">
        <f>'SCH_C2.1 - Base Period'!F22</f>
        <v>Commercial</v>
      </c>
      <c r="G22" s="1462">
        <f>ROUND(VLOOKUP(A22,FPERIOD,5,FALSE)+VLOOKUP(B22,FPERIOD,5,FALSE),0)</f>
        <v>108730001</v>
      </c>
      <c r="H22" s="1466">
        <f t="shared" si="0"/>
        <v>100</v>
      </c>
      <c r="I22" s="1463"/>
      <c r="J22" s="1462">
        <f t="shared" si="1"/>
        <v>108730001</v>
      </c>
      <c r="K22" s="1464" t="s">
        <v>593</v>
      </c>
      <c r="L22" s="1463"/>
      <c r="M22" s="468"/>
      <c r="N22" s="468"/>
      <c r="O22" s="469"/>
      <c r="P22" s="469"/>
      <c r="Q22" s="470"/>
      <c r="R22" s="469"/>
      <c r="S22" s="469"/>
      <c r="T22" s="469"/>
      <c r="U22" s="469"/>
      <c r="V22" s="468"/>
      <c r="W22" s="468"/>
    </row>
    <row r="23" spans="1:23">
      <c r="A23" s="432">
        <v>442200</v>
      </c>
      <c r="B23" s="432">
        <v>442290</v>
      </c>
      <c r="C23" s="1465">
        <v>6</v>
      </c>
      <c r="D23" s="1464">
        <v>442</v>
      </c>
      <c r="E23" s="1463"/>
      <c r="F23" s="1318" t="str">
        <f>'SCH_C2.1 - Base Period'!F23</f>
        <v>Industrial</v>
      </c>
      <c r="G23" s="1462">
        <f>ROUND(VLOOKUP(A23,FPERIOD,5,FALSE)+VLOOKUP(B23,FPERIOD,5,FALSE),0)</f>
        <v>53320528</v>
      </c>
      <c r="H23" s="1466">
        <f t="shared" si="0"/>
        <v>100</v>
      </c>
      <c r="I23" s="1463"/>
      <c r="J23" s="1462">
        <f t="shared" si="1"/>
        <v>53320528</v>
      </c>
      <c r="K23" s="1464" t="s">
        <v>593</v>
      </c>
      <c r="L23" s="1463"/>
      <c r="M23" s="468"/>
      <c r="N23" s="468"/>
      <c r="O23" s="469"/>
      <c r="P23" s="469"/>
      <c r="Q23" s="470"/>
      <c r="R23" s="469"/>
      <c r="S23" s="469"/>
      <c r="T23" s="469"/>
      <c r="U23" s="469"/>
      <c r="V23" s="468"/>
      <c r="W23" s="468"/>
    </row>
    <row r="24" spans="1:23">
      <c r="A24" s="432"/>
      <c r="B24" s="432">
        <v>444</v>
      </c>
      <c r="C24" s="1464">
        <v>7</v>
      </c>
      <c r="D24" s="1464">
        <v>444</v>
      </c>
      <c r="E24" s="1463"/>
      <c r="F24" s="1318" t="str">
        <f>'SCH_C2.1 - Base Period'!F24</f>
        <v>Public Street &amp; Hwy. Lighting</v>
      </c>
      <c r="G24" s="1462">
        <f t="array" aca="1" ref="G24" ca="1">SUM(IF(FERCFP=B24,AmountFP))</f>
        <v>1639847</v>
      </c>
      <c r="H24" s="1466">
        <f t="shared" si="0"/>
        <v>100</v>
      </c>
      <c r="I24" s="1463"/>
      <c r="J24" s="1462">
        <f t="shared" ca="1" si="1"/>
        <v>1639847</v>
      </c>
      <c r="K24" s="1464" t="s">
        <v>593</v>
      </c>
      <c r="L24" s="1463"/>
      <c r="M24" s="468"/>
      <c r="N24" s="468"/>
      <c r="O24" s="469"/>
      <c r="P24" s="469"/>
      <c r="Q24" s="470"/>
      <c r="R24" s="469"/>
      <c r="S24" s="469"/>
      <c r="T24" s="469"/>
      <c r="U24" s="469"/>
      <c r="V24" s="468"/>
      <c r="W24" s="468"/>
    </row>
    <row r="25" spans="1:23">
      <c r="A25" s="432"/>
      <c r="B25" s="432">
        <v>445</v>
      </c>
      <c r="C25" s="1464">
        <v>8</v>
      </c>
      <c r="D25" s="1464">
        <v>445</v>
      </c>
      <c r="E25" s="1463"/>
      <c r="F25" s="1318" t="str">
        <f>'SCH_C2.1 - Base Period'!F25</f>
        <v>Other Public Authority</v>
      </c>
      <c r="G25" s="1462">
        <f t="array" aca="1" ref="G25" ca="1">SUM(IF(FERCFP=B25,AmountFP))</f>
        <v>19938761</v>
      </c>
      <c r="H25" s="1466">
        <f t="shared" si="0"/>
        <v>100</v>
      </c>
      <c r="I25" s="1463"/>
      <c r="J25" s="1462">
        <f t="shared" ca="1" si="1"/>
        <v>19938761</v>
      </c>
      <c r="K25" s="1464" t="s">
        <v>593</v>
      </c>
      <c r="L25" s="1463"/>
      <c r="M25" s="468"/>
      <c r="N25" s="468"/>
      <c r="O25" s="469"/>
      <c r="P25" s="469"/>
      <c r="Q25" s="470"/>
      <c r="R25" s="469"/>
      <c r="S25" s="469"/>
      <c r="T25" s="469"/>
      <c r="U25" s="469"/>
      <c r="V25" s="468"/>
      <c r="W25" s="468"/>
    </row>
    <row r="26" spans="1:23">
      <c r="A26" s="433">
        <v>448000</v>
      </c>
      <c r="B26" s="432"/>
      <c r="C26" s="1464">
        <v>9</v>
      </c>
      <c r="D26" s="442">
        <v>448</v>
      </c>
      <c r="E26" s="1463"/>
      <c r="F26" s="1318" t="str">
        <f>'SCH_C2.1 - Base Period'!F26</f>
        <v>Interdepartmental</v>
      </c>
      <c r="G26" s="1462">
        <f>ROUND(VLOOKUP(A26,FPERIOD,5,FALSE),0)</f>
        <v>51773</v>
      </c>
      <c r="H26" s="1466">
        <f t="shared" si="0"/>
        <v>100</v>
      </c>
      <c r="I26" s="1463"/>
      <c r="J26" s="1462">
        <f t="shared" si="1"/>
        <v>51773</v>
      </c>
      <c r="K26" s="1464" t="s">
        <v>593</v>
      </c>
      <c r="L26" s="1463"/>
      <c r="M26" s="468"/>
      <c r="N26" s="468"/>
      <c r="O26" s="469"/>
      <c r="P26" s="469"/>
      <c r="Q26" s="470"/>
      <c r="R26" s="469"/>
      <c r="S26" s="469"/>
      <c r="T26" s="469"/>
      <c r="U26" s="469"/>
      <c r="V26" s="468"/>
      <c r="W26" s="468"/>
    </row>
    <row r="27" spans="1:23">
      <c r="A27" s="433"/>
      <c r="B27" s="1463"/>
      <c r="C27" s="1465">
        <v>10</v>
      </c>
      <c r="D27" s="1465"/>
      <c r="E27" s="1463"/>
      <c r="F27" s="1318" t="s">
        <v>1933</v>
      </c>
      <c r="G27" s="1319">
        <f ca="1">SUM(G20:G26)</f>
        <v>303115962</v>
      </c>
      <c r="H27" s="1462"/>
      <c r="I27" s="1463"/>
      <c r="J27" s="1319">
        <f ca="1">SUM(J20:J26)</f>
        <v>303115962</v>
      </c>
      <c r="K27" s="1463"/>
      <c r="L27" s="1463"/>
      <c r="M27" s="455"/>
      <c r="N27" s="455"/>
      <c r="O27" s="455"/>
      <c r="P27" s="455"/>
      <c r="Q27" s="455"/>
      <c r="R27" s="455"/>
      <c r="S27" s="455"/>
      <c r="T27" s="455"/>
      <c r="U27" s="455"/>
      <c r="V27" s="455"/>
      <c r="W27" s="468"/>
    </row>
    <row r="28" spans="1:23">
      <c r="A28" s="433"/>
      <c r="B28" s="432"/>
      <c r="C28" s="1464">
        <v>11</v>
      </c>
      <c r="D28" s="1465"/>
      <c r="E28" s="1463"/>
      <c r="F28" s="1463"/>
      <c r="G28" s="443"/>
      <c r="H28" s="1463"/>
      <c r="I28" s="1463"/>
      <c r="J28" s="443"/>
      <c r="K28" s="1463"/>
      <c r="L28" s="1463"/>
      <c r="M28" s="468"/>
      <c r="N28" s="468"/>
      <c r="O28" s="468"/>
      <c r="P28" s="468"/>
      <c r="Q28" s="468"/>
      <c r="R28" s="468"/>
      <c r="S28" s="468"/>
      <c r="T28" s="468"/>
      <c r="U28" s="468"/>
      <c r="V28" s="468"/>
      <c r="W28" s="468"/>
    </row>
    <row r="29" spans="1:23">
      <c r="A29" s="433"/>
      <c r="B29" s="432">
        <v>447</v>
      </c>
      <c r="C29" s="1464">
        <v>12</v>
      </c>
      <c r="D29" s="1465" t="s">
        <v>1209</v>
      </c>
      <c r="E29" s="1463"/>
      <c r="F29" s="441" t="str">
        <f>'SCH_C2.1 - Base Period'!F29</f>
        <v>Sales for Resale</v>
      </c>
      <c r="G29" s="1319">
        <f t="array" aca="1" ref="G29" ca="1">SUM(IF(FERCFP=B29,AmountFP))</f>
        <v>11959000</v>
      </c>
      <c r="H29" s="1466">
        <f>VLOOKUP(K29,ALLOCTABLE,2)</f>
        <v>100</v>
      </c>
      <c r="I29" s="1463"/>
      <c r="J29" s="1319">
        <f ca="1">ROUND(G29*(H29/100),0)</f>
        <v>11959000</v>
      </c>
      <c r="K29" s="1464" t="s">
        <v>593</v>
      </c>
      <c r="L29" s="1463"/>
      <c r="M29" s="469"/>
      <c r="N29" s="469"/>
      <c r="O29" s="469"/>
      <c r="P29" s="469"/>
      <c r="Q29" s="469"/>
      <c r="R29" s="469"/>
      <c r="S29" s="469"/>
      <c r="T29" s="469"/>
      <c r="U29" s="469"/>
      <c r="V29" s="468"/>
      <c r="W29" s="468"/>
    </row>
    <row r="30" spans="1:23">
      <c r="A30" s="433"/>
      <c r="B30" s="432"/>
      <c r="C30" s="1464">
        <v>13</v>
      </c>
      <c r="D30" s="1465"/>
      <c r="E30" s="1463"/>
      <c r="F30" s="1463"/>
      <c r="G30" s="443"/>
      <c r="H30" s="1463"/>
      <c r="I30" s="1463"/>
      <c r="J30" s="443"/>
      <c r="K30" s="1463"/>
      <c r="L30" s="1463"/>
      <c r="M30" s="469"/>
      <c r="N30" s="469"/>
      <c r="O30" s="469"/>
      <c r="P30" s="469"/>
      <c r="Q30" s="469"/>
      <c r="R30" s="469"/>
      <c r="S30" s="469"/>
      <c r="T30" s="469"/>
      <c r="U30" s="469"/>
      <c r="V30" s="468"/>
      <c r="W30" s="468"/>
    </row>
    <row r="31" spans="1:23">
      <c r="A31" s="433"/>
      <c r="B31" s="433"/>
      <c r="C31" s="1465">
        <v>14</v>
      </c>
      <c r="D31" s="1465"/>
      <c r="E31" s="1463"/>
      <c r="F31" s="441" t="s">
        <v>1235</v>
      </c>
      <c r="G31" s="1463"/>
      <c r="H31" s="1466"/>
      <c r="I31" s="1463"/>
      <c r="J31" s="1462"/>
      <c r="K31" s="1463"/>
      <c r="L31" s="1463"/>
      <c r="M31" s="469"/>
      <c r="N31" s="469"/>
      <c r="O31" s="469"/>
      <c r="P31" s="469"/>
      <c r="Q31" s="469"/>
      <c r="R31" s="469"/>
      <c r="S31" s="469"/>
      <c r="T31" s="469"/>
      <c r="U31" s="469"/>
      <c r="V31" s="468"/>
      <c r="W31" s="468"/>
    </row>
    <row r="32" spans="1:23">
      <c r="A32" s="445"/>
      <c r="B32" s="445">
        <v>449</v>
      </c>
      <c r="C32" s="1464">
        <v>15</v>
      </c>
      <c r="D32" s="1465">
        <v>449</v>
      </c>
      <c r="E32" s="1463"/>
      <c r="F32" s="1318" t="str">
        <f>'SCH_C2.1 - Base Period'!F32</f>
        <v>Provision for Rate Refunds</v>
      </c>
      <c r="G32" s="1462">
        <f t="array" aca="1" ref="G32" ca="1">SUM(IF(FERCFP=B32,AmountFP))</f>
        <v>0</v>
      </c>
      <c r="H32" s="1466">
        <f t="shared" ref="H32:H43" si="2">VLOOKUP(K32,ALLOCTABLE,2)</f>
        <v>100</v>
      </c>
      <c r="I32" s="1463"/>
      <c r="J32" s="1462">
        <f t="shared" ref="J32:J43" ca="1" si="3">ROUND(G32*(H32/100),0)</f>
        <v>0</v>
      </c>
      <c r="K32" s="1464" t="s">
        <v>593</v>
      </c>
      <c r="L32" s="1463"/>
      <c r="M32" s="469"/>
      <c r="N32" s="469"/>
      <c r="O32" s="469"/>
      <c r="P32" s="469"/>
      <c r="Q32" s="469"/>
      <c r="R32" s="469"/>
      <c r="S32" s="469"/>
      <c r="T32" s="469"/>
      <c r="U32" s="469"/>
      <c r="V32" s="468"/>
      <c r="W32" s="468"/>
    </row>
    <row r="33" spans="1:23">
      <c r="A33" s="1467"/>
      <c r="B33" s="1467">
        <v>450100</v>
      </c>
      <c r="C33" s="1464">
        <v>16</v>
      </c>
      <c r="D33" s="1467">
        <v>450</v>
      </c>
      <c r="E33" s="1463"/>
      <c r="F33" s="1318" t="str">
        <f>'SCH_C2.1 - Base Period'!F33</f>
        <v>Late Payment Charges</v>
      </c>
      <c r="G33" s="1462">
        <f t="shared" ref="G33:G43" si="4">ROUND(VLOOKUP(B33,FPERIOD,5,FALSE),0)</f>
        <v>0</v>
      </c>
      <c r="H33" s="1466">
        <f t="shared" si="2"/>
        <v>100</v>
      </c>
      <c r="I33" s="1463"/>
      <c r="J33" s="1462">
        <f t="shared" si="3"/>
        <v>0</v>
      </c>
      <c r="K33" s="1464" t="s">
        <v>593</v>
      </c>
      <c r="L33" s="1463"/>
      <c r="M33" s="469"/>
      <c r="N33" s="469"/>
      <c r="O33" s="469"/>
      <c r="P33" s="469"/>
      <c r="Q33" s="469"/>
      <c r="R33" s="469"/>
      <c r="S33" s="469"/>
      <c r="T33" s="469"/>
      <c r="U33" s="469"/>
      <c r="V33" s="468"/>
      <c r="W33" s="468"/>
    </row>
    <row r="34" spans="1:23">
      <c r="A34" s="1467"/>
      <c r="B34" s="1467">
        <v>451100</v>
      </c>
      <c r="C34" s="1464">
        <v>17</v>
      </c>
      <c r="D34" s="1464">
        <v>451</v>
      </c>
      <c r="E34" s="1463"/>
      <c r="F34" s="1318" t="str">
        <f>'SCH_C2.1 - Base Period'!F34</f>
        <v>Miscellaneous Service Revenues</v>
      </c>
      <c r="G34" s="1462">
        <f t="shared" si="4"/>
        <v>297504</v>
      </c>
      <c r="H34" s="1466">
        <f t="shared" si="2"/>
        <v>100</v>
      </c>
      <c r="I34" s="1463"/>
      <c r="J34" s="1462">
        <f t="shared" si="3"/>
        <v>297504</v>
      </c>
      <c r="K34" s="1464" t="s">
        <v>593</v>
      </c>
      <c r="L34" s="1463"/>
      <c r="M34" s="469"/>
      <c r="N34" s="469"/>
      <c r="O34" s="469"/>
      <c r="P34" s="469"/>
      <c r="Q34" s="469"/>
      <c r="R34" s="469"/>
      <c r="S34" s="469"/>
      <c r="T34" s="469"/>
      <c r="U34" s="469"/>
      <c r="V34" s="468"/>
      <c r="W34" s="468"/>
    </row>
    <row r="35" spans="1:23">
      <c r="A35" s="1467"/>
      <c r="B35" s="1467">
        <v>454200</v>
      </c>
      <c r="C35" s="1465">
        <v>18</v>
      </c>
      <c r="D35" s="1467">
        <v>454200</v>
      </c>
      <c r="E35" s="1463"/>
      <c r="F35" s="1318" t="str">
        <f>'SCH_C2.1 - Base Period'!F36</f>
        <v>Pole &amp; Line Attachments</v>
      </c>
      <c r="G35" s="1462">
        <f t="shared" si="4"/>
        <v>170004</v>
      </c>
      <c r="H35" s="1466">
        <f t="shared" si="2"/>
        <v>100</v>
      </c>
      <c r="I35" s="1463"/>
      <c r="J35" s="1462">
        <f t="shared" si="3"/>
        <v>170004</v>
      </c>
      <c r="K35" s="1464" t="s">
        <v>593</v>
      </c>
      <c r="L35" s="1463"/>
      <c r="M35" s="469"/>
      <c r="N35" s="469"/>
      <c r="O35" s="469"/>
      <c r="P35" s="469"/>
      <c r="Q35" s="469"/>
      <c r="R35" s="469"/>
      <c r="S35" s="469"/>
      <c r="T35" s="469"/>
      <c r="U35" s="469"/>
      <c r="V35" s="468"/>
      <c r="W35" s="468"/>
    </row>
    <row r="36" spans="1:23">
      <c r="A36" s="1467"/>
      <c r="B36" s="1467">
        <v>454300</v>
      </c>
      <c r="C36" s="1464">
        <v>19</v>
      </c>
      <c r="D36" s="1467">
        <v>454300</v>
      </c>
      <c r="E36" s="1463"/>
      <c r="F36" s="1318" t="str">
        <f>'SCH_C2.1 - Base Period'!F37</f>
        <v>Tower Lease Revenues</v>
      </c>
      <c r="G36" s="1462">
        <f t="shared" si="4"/>
        <v>0</v>
      </c>
      <c r="H36" s="1466">
        <f t="shared" si="2"/>
        <v>100</v>
      </c>
      <c r="I36" s="1463"/>
      <c r="J36" s="1462">
        <f t="shared" si="3"/>
        <v>0</v>
      </c>
      <c r="K36" s="1464" t="s">
        <v>593</v>
      </c>
      <c r="L36" s="1463"/>
      <c r="M36" s="469"/>
      <c r="N36" s="469"/>
      <c r="O36" s="469"/>
      <c r="P36" s="469"/>
      <c r="Q36" s="469"/>
      <c r="R36" s="469"/>
      <c r="S36" s="469"/>
      <c r="T36" s="469"/>
      <c r="U36" s="469"/>
      <c r="V36" s="468"/>
      <c r="W36" s="468"/>
    </row>
    <row r="37" spans="1:23">
      <c r="A37" s="1467"/>
      <c r="B37" s="1467">
        <v>454400</v>
      </c>
      <c r="C37" s="1464">
        <v>20</v>
      </c>
      <c r="D37" s="1467">
        <v>454400</v>
      </c>
      <c r="E37" s="1463"/>
      <c r="F37" s="1318" t="str">
        <f>'SCH_C2.1 - Base Period'!F38</f>
        <v>Other Electric Rents</v>
      </c>
      <c r="G37" s="1462">
        <f t="shared" si="4"/>
        <v>1058004</v>
      </c>
      <c r="H37" s="1466">
        <f t="shared" si="2"/>
        <v>100</v>
      </c>
      <c r="I37" s="1463"/>
      <c r="J37" s="1462">
        <f t="shared" si="3"/>
        <v>1058004</v>
      </c>
      <c r="K37" s="1464" t="s">
        <v>593</v>
      </c>
      <c r="L37" s="1463"/>
      <c r="M37" s="469"/>
      <c r="N37" s="469"/>
      <c r="O37" s="469"/>
      <c r="P37" s="469"/>
      <c r="Q37" s="469"/>
      <c r="R37" s="469"/>
      <c r="S37" s="469"/>
      <c r="T37" s="469"/>
      <c r="U37" s="469"/>
      <c r="V37" s="468"/>
      <c r="W37" s="468"/>
    </row>
    <row r="38" spans="1:23">
      <c r="A38" s="1467"/>
      <c r="B38" s="1467">
        <v>456025</v>
      </c>
      <c r="C38" s="1464">
        <v>21</v>
      </c>
      <c r="D38" s="1467">
        <v>456025</v>
      </c>
      <c r="E38" s="1463"/>
      <c r="F38" s="1318" t="str">
        <f>'SCH_C2.1 - Base Period'!F40</f>
        <v>RSG Rev - MISO Make Whole</v>
      </c>
      <c r="G38" s="1462">
        <f t="shared" si="4"/>
        <v>0</v>
      </c>
      <c r="H38" s="1466">
        <f t="shared" si="2"/>
        <v>100</v>
      </c>
      <c r="I38" s="1463"/>
      <c r="J38" s="1462">
        <f t="shared" si="3"/>
        <v>0</v>
      </c>
      <c r="K38" s="1464" t="s">
        <v>593</v>
      </c>
      <c r="L38" s="1463"/>
      <c r="M38" s="469"/>
      <c r="N38" s="469"/>
      <c r="O38" s="469"/>
      <c r="P38" s="469"/>
      <c r="Q38" s="469"/>
      <c r="R38" s="469"/>
      <c r="S38" s="469"/>
      <c r="T38" s="469"/>
      <c r="U38" s="469"/>
      <c r="V38" s="468"/>
      <c r="W38" s="468"/>
    </row>
    <row r="39" spans="1:23">
      <c r="A39" s="1467"/>
      <c r="B39" s="1467">
        <v>456040</v>
      </c>
      <c r="C39" s="1465">
        <v>22</v>
      </c>
      <c r="D39" s="1467">
        <v>456040</v>
      </c>
      <c r="E39" s="1463"/>
      <c r="F39" s="1318" t="str">
        <f>'SCH_C2.1 - Base Period'!F41</f>
        <v>Sales Use Tax Coll Fee</v>
      </c>
      <c r="G39" s="1462">
        <f t="shared" si="4"/>
        <v>0</v>
      </c>
      <c r="H39" s="1466">
        <f t="shared" si="2"/>
        <v>100</v>
      </c>
      <c r="I39" s="1463"/>
      <c r="J39" s="1462">
        <f t="shared" si="3"/>
        <v>0</v>
      </c>
      <c r="K39" s="1464" t="s">
        <v>593</v>
      </c>
      <c r="L39" s="1463"/>
      <c r="M39" s="469"/>
      <c r="N39" s="469"/>
      <c r="O39" s="469"/>
      <c r="P39" s="469"/>
      <c r="Q39" s="469"/>
      <c r="R39" s="469"/>
      <c r="S39" s="469"/>
      <c r="T39" s="469"/>
      <c r="U39" s="469"/>
      <c r="V39" s="468"/>
      <c r="W39" s="468"/>
    </row>
    <row r="40" spans="1:23">
      <c r="A40" s="433"/>
      <c r="B40" s="1467">
        <v>456110</v>
      </c>
      <c r="C40" s="1464">
        <v>23</v>
      </c>
      <c r="D40" s="1467">
        <v>456110</v>
      </c>
      <c r="E40" s="1463"/>
      <c r="F40" s="1318" t="str">
        <f>'SCH_C2.1 - Base Period'!F42</f>
        <v>Transmission Charge PTP</v>
      </c>
      <c r="G40" s="1462">
        <f t="shared" si="4"/>
        <v>144996</v>
      </c>
      <c r="H40" s="1466">
        <f t="shared" si="2"/>
        <v>100</v>
      </c>
      <c r="I40" s="1463"/>
      <c r="J40" s="1462">
        <f t="shared" si="3"/>
        <v>144996</v>
      </c>
      <c r="K40" s="1464" t="s">
        <v>593</v>
      </c>
      <c r="L40" s="1463"/>
      <c r="M40" s="469"/>
      <c r="N40" s="469"/>
      <c r="O40" s="469"/>
      <c r="P40" s="469"/>
      <c r="Q40" s="469"/>
      <c r="R40" s="469"/>
      <c r="S40" s="469"/>
      <c r="T40" s="469"/>
      <c r="U40" s="469"/>
      <c r="V40" s="468"/>
      <c r="W40" s="468"/>
    </row>
    <row r="41" spans="1:23">
      <c r="A41" s="433"/>
      <c r="B41" s="1467">
        <v>456111</v>
      </c>
      <c r="C41" s="1464">
        <v>24</v>
      </c>
      <c r="D41" s="1467">
        <v>456111</v>
      </c>
      <c r="E41" s="1463"/>
      <c r="F41" s="1318" t="str">
        <f>'SCH_C2.1 - Base Period'!F43</f>
        <v>Other Transmission Revenues</v>
      </c>
      <c r="G41" s="1462">
        <f t="shared" si="4"/>
        <v>2667750</v>
      </c>
      <c r="H41" s="1466">
        <f t="shared" si="2"/>
        <v>100</v>
      </c>
      <c r="I41" s="1463"/>
      <c r="J41" s="1462">
        <f t="shared" si="3"/>
        <v>2667750</v>
      </c>
      <c r="K41" s="1464" t="s">
        <v>593</v>
      </c>
      <c r="L41" s="1463"/>
      <c r="M41" s="469"/>
      <c r="N41" s="469"/>
      <c r="O41" s="469"/>
      <c r="P41" s="469"/>
      <c r="Q41" s="469"/>
      <c r="R41" s="469"/>
      <c r="S41" s="469"/>
      <c r="T41" s="469"/>
      <c r="U41" s="469"/>
      <c r="V41" s="468"/>
      <c r="W41" s="468"/>
    </row>
    <row r="42" spans="1:23">
      <c r="A42" s="433"/>
      <c r="B42" s="1467">
        <v>456610</v>
      </c>
      <c r="C42" s="1464">
        <v>25</v>
      </c>
      <c r="D42" s="1467">
        <v>456610</v>
      </c>
      <c r="E42" s="1463"/>
      <c r="F42" s="1318" t="str">
        <f>'SCH_C2.1 - Base Period'!F44</f>
        <v>Other Electric Revenues</v>
      </c>
      <c r="G42" s="1462">
        <f>ROUND(VLOOKUP(B42,FPERIOD,5,FALSE),0)</f>
        <v>0</v>
      </c>
      <c r="H42" s="1466">
        <f>VLOOKUP(K42,ALLOCTABLE,2)</f>
        <v>100</v>
      </c>
      <c r="I42" s="1463"/>
      <c r="J42" s="1462">
        <f>ROUND(G42*(H42/100),0)</f>
        <v>0</v>
      </c>
      <c r="K42" s="1464" t="s">
        <v>593</v>
      </c>
      <c r="L42" s="1463"/>
      <c r="M42" s="469"/>
      <c r="N42" s="469"/>
      <c r="O42" s="469"/>
      <c r="P42" s="469"/>
      <c r="Q42" s="469"/>
      <c r="R42" s="469"/>
      <c r="S42" s="469"/>
      <c r="T42" s="469"/>
      <c r="U42" s="469"/>
      <c r="V42" s="468"/>
      <c r="W42" s="468"/>
    </row>
    <row r="43" spans="1:23">
      <c r="A43" s="433"/>
      <c r="B43" s="1467">
        <v>456970</v>
      </c>
      <c r="C43" s="1465">
        <v>26</v>
      </c>
      <c r="D43" s="1467">
        <v>456970</v>
      </c>
      <c r="E43" s="1463"/>
      <c r="F43" s="1318" t="str">
        <f>'SCH_C2.1 - Base Period'!F45</f>
        <v>Wheel Transmission Rev - ED</v>
      </c>
      <c r="G43" s="1462">
        <f t="shared" si="4"/>
        <v>24504</v>
      </c>
      <c r="H43" s="1466">
        <f t="shared" si="2"/>
        <v>100</v>
      </c>
      <c r="I43" s="1463"/>
      <c r="J43" s="1462">
        <f t="shared" si="3"/>
        <v>24504</v>
      </c>
      <c r="K43" s="1464" t="s">
        <v>593</v>
      </c>
      <c r="L43" s="1463"/>
      <c r="M43" s="469"/>
      <c r="N43" s="469"/>
      <c r="O43" s="469"/>
      <c r="P43" s="469"/>
      <c r="Q43" s="469"/>
      <c r="R43" s="469"/>
      <c r="S43" s="469"/>
      <c r="T43" s="469"/>
      <c r="U43" s="469"/>
      <c r="V43" s="468"/>
      <c r="W43" s="468"/>
    </row>
    <row r="44" spans="1:23">
      <c r="A44" s="433"/>
      <c r="B44" s="1467">
        <v>457204</v>
      </c>
      <c r="C44" s="1464">
        <v>27</v>
      </c>
      <c r="D44" s="1467">
        <v>457204</v>
      </c>
      <c r="E44" s="1463"/>
      <c r="F44" s="1318" t="str">
        <f>'SCH_C2.1 - Base Period'!F48</f>
        <v>PJM Reactive Rev</v>
      </c>
      <c r="G44" s="1462">
        <f>ROUND(VLOOKUP(B44,FPERIOD,5,FALSE),0)</f>
        <v>1881230</v>
      </c>
      <c r="H44" s="1466">
        <f>VLOOKUP(K44,ALLOCTABLE,2)</f>
        <v>100</v>
      </c>
      <c r="I44" s="1463"/>
      <c r="J44" s="1462">
        <f>ROUND(G44*(H44/100),0)</f>
        <v>1881230</v>
      </c>
      <c r="K44" s="1464" t="s">
        <v>593</v>
      </c>
      <c r="L44" s="1463"/>
      <c r="M44" s="469"/>
      <c r="N44" s="469"/>
      <c r="O44" s="469"/>
      <c r="P44" s="469"/>
      <c r="Q44" s="469"/>
      <c r="R44" s="469"/>
      <c r="S44" s="469"/>
      <c r="T44" s="469"/>
      <c r="U44" s="469"/>
      <c r="V44" s="468"/>
      <c r="W44" s="468"/>
    </row>
    <row r="45" spans="1:23">
      <c r="A45" s="433"/>
      <c r="B45" s="433"/>
      <c r="C45" s="1464">
        <v>28</v>
      </c>
      <c r="D45" s="1465"/>
      <c r="E45" s="1463"/>
      <c r="F45" s="1318" t="s">
        <v>1366</v>
      </c>
      <c r="G45" s="1319">
        <f ca="1">SUM(G32:G44)</f>
        <v>6243992</v>
      </c>
      <c r="H45" s="1466"/>
      <c r="I45" s="1463"/>
      <c r="J45" s="1319">
        <f ca="1">SUM(J32:J44)</f>
        <v>6243992</v>
      </c>
      <c r="K45" s="1463"/>
      <c r="L45" s="1463"/>
      <c r="M45" s="455"/>
      <c r="N45" s="455"/>
      <c r="O45" s="455"/>
      <c r="P45" s="455"/>
      <c r="Q45" s="455"/>
      <c r="R45" s="455"/>
      <c r="S45" s="455"/>
      <c r="T45" s="455"/>
      <c r="U45" s="455"/>
      <c r="V45" s="455"/>
      <c r="W45" s="468"/>
    </row>
    <row r="46" spans="1:23">
      <c r="A46" s="433"/>
      <c r="B46" s="433"/>
      <c r="C46" s="1464">
        <v>29</v>
      </c>
      <c r="D46" s="446"/>
      <c r="E46" s="1463"/>
      <c r="F46" s="1463"/>
      <c r="G46" s="447"/>
      <c r="H46" s="1466"/>
      <c r="I46" s="1463"/>
      <c r="J46" s="447"/>
      <c r="K46" s="1463"/>
      <c r="L46" s="1463"/>
      <c r="M46" s="471"/>
      <c r="N46" s="471"/>
      <c r="O46" s="471"/>
      <c r="P46" s="471"/>
      <c r="Q46" s="471"/>
      <c r="R46" s="471"/>
      <c r="S46" s="471"/>
      <c r="T46" s="471"/>
      <c r="U46" s="471"/>
      <c r="V46" s="471"/>
      <c r="W46" s="468"/>
    </row>
    <row r="47" spans="1:23" ht="13.5" thickBot="1">
      <c r="A47" s="433"/>
      <c r="B47" s="433"/>
      <c r="C47" s="1465">
        <v>30</v>
      </c>
      <c r="D47" s="1465"/>
      <c r="E47" s="1463"/>
      <c r="F47" s="1318" t="s">
        <v>1100</v>
      </c>
      <c r="G47" s="448">
        <f ca="1">G27+G29+G45</f>
        <v>321318954</v>
      </c>
      <c r="H47" s="1462"/>
      <c r="I47" s="1463"/>
      <c r="J47" s="448">
        <f ca="1">J27+J29+J45</f>
        <v>321318954</v>
      </c>
      <c r="K47" s="1463"/>
      <c r="L47" s="1463"/>
      <c r="M47" s="455"/>
      <c r="N47" s="455"/>
      <c r="O47" s="455"/>
      <c r="P47" s="455"/>
      <c r="Q47" s="455"/>
      <c r="R47" s="455"/>
      <c r="S47" s="455"/>
      <c r="T47" s="455"/>
      <c r="U47" s="455"/>
      <c r="V47" s="455"/>
      <c r="W47" s="468"/>
    </row>
    <row r="48" spans="1:23" ht="13.5" thickTop="1">
      <c r="A48" s="433"/>
      <c r="B48" s="433"/>
      <c r="C48" s="1463"/>
      <c r="D48" s="1463"/>
      <c r="E48" s="1463"/>
      <c r="F48" s="1463"/>
      <c r="G48" s="447"/>
      <c r="H48" s="1466"/>
      <c r="I48" s="1463"/>
      <c r="J48" s="447"/>
      <c r="K48" s="1463"/>
      <c r="L48" s="1463"/>
      <c r="M48" s="463"/>
      <c r="N48" s="463"/>
      <c r="O48" s="463"/>
      <c r="P48" s="463"/>
      <c r="Q48" s="463"/>
      <c r="R48" s="463"/>
      <c r="S48" s="463"/>
      <c r="T48" s="463"/>
      <c r="U48" s="463"/>
      <c r="V48" s="468"/>
      <c r="W48" s="468"/>
    </row>
    <row r="49" spans="1:23">
      <c r="A49" s="433"/>
      <c r="B49" s="433"/>
      <c r="C49" s="434" t="str">
        <f>COMPANY</f>
        <v>DUKE ENERGY KENTUCKY, INC.</v>
      </c>
      <c r="D49" s="435"/>
      <c r="E49" s="435"/>
      <c r="F49" s="434"/>
      <c r="G49" s="435"/>
      <c r="H49" s="435"/>
      <c r="I49" s="435"/>
      <c r="J49" s="435"/>
      <c r="K49" s="435"/>
      <c r="L49" s="1463"/>
      <c r="M49" s="463"/>
      <c r="N49" s="463"/>
      <c r="O49" s="463"/>
      <c r="P49" s="463"/>
      <c r="Q49" s="463"/>
      <c r="R49" s="463"/>
      <c r="S49" s="463"/>
      <c r="T49" s="463"/>
      <c r="U49" s="463"/>
      <c r="V49" s="472"/>
      <c r="W49" s="472"/>
    </row>
    <row r="50" spans="1:23">
      <c r="A50" s="433"/>
      <c r="B50" s="433"/>
      <c r="C50" s="434" t="str">
        <f>CASE</f>
        <v>CASE NO. 2017-00321</v>
      </c>
      <c r="D50" s="435"/>
      <c r="E50" s="435"/>
      <c r="F50" s="434"/>
      <c r="G50" s="435"/>
      <c r="H50" s="435"/>
      <c r="I50" s="435"/>
      <c r="J50" s="435"/>
      <c r="K50" s="435"/>
      <c r="L50" s="1463"/>
      <c r="M50" s="463"/>
      <c r="N50" s="463"/>
      <c r="O50" s="463"/>
      <c r="P50" s="463"/>
      <c r="Q50" s="463"/>
      <c r="R50" s="463"/>
      <c r="S50" s="463"/>
      <c r="T50" s="468"/>
      <c r="U50" s="468"/>
      <c r="V50" s="473"/>
      <c r="W50" s="463"/>
    </row>
    <row r="51" spans="1:23">
      <c r="A51" s="433"/>
      <c r="B51" s="433"/>
      <c r="C51" s="434" t="s">
        <v>1949</v>
      </c>
      <c r="D51" s="435"/>
      <c r="E51" s="434"/>
      <c r="F51" s="435"/>
      <c r="G51" s="435"/>
      <c r="H51" s="435"/>
      <c r="I51" s="435"/>
      <c r="J51" s="435"/>
      <c r="K51" s="435"/>
      <c r="L51" s="1463"/>
      <c r="M51" s="1463"/>
      <c r="N51" s="1463"/>
      <c r="O51" s="1463"/>
      <c r="P51" s="1463"/>
      <c r="Q51" s="1463"/>
      <c r="R51" s="1463"/>
      <c r="S51" s="1463"/>
      <c r="T51" s="474"/>
      <c r="U51" s="474"/>
      <c r="V51" s="474"/>
      <c r="W51" s="1463"/>
    </row>
    <row r="52" spans="1:23">
      <c r="A52" s="433"/>
      <c r="B52" s="433"/>
      <c r="C52" s="434" t="str">
        <f>PeriodF</f>
        <v>FOR THE TWELVE MONTHS ENDED MARCH 31, 2019</v>
      </c>
      <c r="D52" s="435"/>
      <c r="E52" s="435"/>
      <c r="F52" s="434"/>
      <c r="G52" s="435"/>
      <c r="H52" s="435"/>
      <c r="I52" s="435"/>
      <c r="J52" s="435"/>
      <c r="K52" s="435"/>
      <c r="L52" s="1463"/>
      <c r="O52" s="1463"/>
      <c r="P52" s="1463"/>
      <c r="Q52" s="1463"/>
      <c r="R52" s="1463"/>
      <c r="S52" s="463"/>
      <c r="T52" s="468"/>
      <c r="U52" s="468"/>
      <c r="V52" s="468"/>
      <c r="W52" s="463"/>
    </row>
    <row r="53" spans="1:23">
      <c r="A53" s="433"/>
      <c r="B53" s="433"/>
      <c r="C53" s="435"/>
      <c r="D53" s="435"/>
      <c r="E53" s="435"/>
      <c r="F53" s="435"/>
      <c r="G53" s="435"/>
      <c r="H53" s="435"/>
      <c r="I53" s="435"/>
      <c r="J53" s="1463"/>
      <c r="K53" s="1463"/>
      <c r="L53" s="1463"/>
      <c r="O53" s="1463"/>
      <c r="R53" s="1463"/>
      <c r="S53" s="463"/>
      <c r="T53" s="468"/>
      <c r="U53" s="468"/>
      <c r="V53" s="473"/>
      <c r="W53" s="463"/>
    </row>
    <row r="54" spans="1:23">
      <c r="A54" s="433"/>
      <c r="B54" s="433"/>
      <c r="C54" s="1463"/>
      <c r="D54" s="1463"/>
      <c r="E54" s="1463"/>
      <c r="F54" s="1463"/>
      <c r="G54" s="1463"/>
      <c r="H54" s="1463"/>
      <c r="I54" s="1463"/>
      <c r="J54" s="1318" t="str">
        <f>"                "&amp;"SCHEDULE C-2.1"</f>
        <v xml:space="preserve">                SCHEDULE C-2.1</v>
      </c>
      <c r="K54" s="1463"/>
      <c r="L54" s="1463"/>
      <c r="O54" s="1463"/>
      <c r="P54" s="1463"/>
      <c r="Q54" s="1463"/>
      <c r="R54" s="1463"/>
      <c r="S54" s="463"/>
      <c r="T54" s="468"/>
      <c r="U54" s="468"/>
      <c r="V54" s="468"/>
      <c r="W54" s="463"/>
    </row>
    <row r="55" spans="1:23">
      <c r="A55" s="433"/>
      <c r="B55" s="433"/>
      <c r="C55" s="436" t="str">
        <f>DataF</f>
        <v>DATA:  BASE PERIOD  "X" FORECASTED PERIOD</v>
      </c>
      <c r="D55" s="1463"/>
      <c r="E55" s="1463"/>
      <c r="F55" s="1463"/>
      <c r="G55" s="1463"/>
      <c r="H55" s="1463"/>
      <c r="I55" s="1463"/>
      <c r="J55" s="1318" t="str">
        <f>"                "&amp;"PAGE  9  OF  14"</f>
        <v xml:space="preserve">                PAGE  9  OF  14</v>
      </c>
      <c r="K55" s="1463"/>
      <c r="L55" s="1463"/>
      <c r="O55" s="1463"/>
      <c r="P55" s="1463"/>
      <c r="Q55" s="1463"/>
      <c r="R55" s="1463"/>
      <c r="S55" s="463"/>
      <c r="T55" s="468"/>
      <c r="U55" s="468"/>
      <c r="V55" s="468"/>
      <c r="W55" s="463"/>
    </row>
    <row r="56" spans="1:23">
      <c r="A56" s="433"/>
      <c r="B56" s="433"/>
      <c r="C56" s="436" t="str">
        <f>Type</f>
        <v xml:space="preserve">TYPE OF FILING:  "X" ORIGINAL   UPDATED    REVISED  </v>
      </c>
      <c r="D56" s="1463"/>
      <c r="E56" s="1463"/>
      <c r="F56" s="1463"/>
      <c r="G56" s="1463"/>
      <c r="H56" s="1463"/>
      <c r="I56" s="1463"/>
      <c r="J56" s="1318" t="str">
        <f>"                "&amp;"WITNESS RESPONSIBLE:"</f>
        <v xml:space="preserve">                WITNESS RESPONSIBLE:</v>
      </c>
      <c r="K56" s="1463"/>
      <c r="L56" s="1463"/>
      <c r="M56" s="1463"/>
      <c r="N56" s="1463"/>
      <c r="O56" s="1463"/>
      <c r="P56" s="1463"/>
      <c r="Q56" s="1463"/>
      <c r="R56" s="1463"/>
      <c r="S56" s="463"/>
      <c r="T56" s="468"/>
      <c r="U56" s="468"/>
      <c r="V56" s="468"/>
      <c r="W56" s="463"/>
    </row>
    <row r="57" spans="1:23">
      <c r="A57" s="433"/>
      <c r="B57" s="433"/>
      <c r="C57" s="1318" t="str">
        <f>$C$11</f>
        <v>WORK PAPER REFERENCE NO(S).: WPC-2.1a_FP</v>
      </c>
      <c r="D57" s="1463"/>
      <c r="E57" s="1463"/>
      <c r="F57" s="1463"/>
      <c r="G57" s="1463"/>
      <c r="H57" s="1463"/>
      <c r="I57" s="1463"/>
      <c r="J57" s="1318" t="str">
        <f>"                "&amp;_WIT1</f>
        <v xml:space="preserve">                S. E. LAWLER</v>
      </c>
      <c r="K57" s="1463"/>
      <c r="L57" s="1463"/>
      <c r="M57" s="1463"/>
      <c r="N57" s="1463"/>
      <c r="O57" s="1463"/>
      <c r="P57" s="1463"/>
      <c r="Q57" s="1463"/>
      <c r="R57" s="1463"/>
      <c r="S57" s="463"/>
      <c r="T57" s="468"/>
      <c r="U57" s="468"/>
      <c r="V57" s="468"/>
      <c r="W57" s="463"/>
    </row>
    <row r="58" spans="1:23">
      <c r="A58" s="433"/>
      <c r="B58" s="433"/>
      <c r="C58" s="437"/>
      <c r="D58" s="438"/>
      <c r="E58" s="438"/>
      <c r="F58" s="438"/>
      <c r="G58" s="438"/>
      <c r="H58" s="438"/>
      <c r="I58" s="438"/>
      <c r="J58" s="438"/>
      <c r="K58" s="438"/>
      <c r="L58" s="1463"/>
      <c r="M58" s="1463"/>
      <c r="N58" s="1463"/>
      <c r="O58" s="1463"/>
      <c r="P58" s="1463"/>
      <c r="Q58" s="1463"/>
      <c r="R58" s="1463"/>
      <c r="S58" s="463"/>
      <c r="T58" s="468"/>
      <c r="U58" s="468"/>
      <c r="V58" s="468"/>
      <c r="W58" s="463"/>
    </row>
    <row r="59" spans="1:23">
      <c r="A59" s="433"/>
      <c r="B59" s="433"/>
      <c r="C59" s="1463"/>
      <c r="D59" s="1463"/>
      <c r="E59" s="1463"/>
      <c r="F59" s="1463"/>
      <c r="G59" s="1464" t="s">
        <v>238</v>
      </c>
      <c r="H59" s="1465" t="s">
        <v>360</v>
      </c>
      <c r="I59" s="1463"/>
      <c r="J59" s="1463"/>
      <c r="K59" s="1464" t="s">
        <v>1461</v>
      </c>
      <c r="L59" s="1463"/>
      <c r="M59" s="1463"/>
      <c r="N59" s="1463"/>
      <c r="O59" s="1463"/>
      <c r="P59" s="1463"/>
      <c r="Q59" s="1463"/>
      <c r="R59" s="1463"/>
      <c r="S59" s="463"/>
      <c r="T59" s="468"/>
      <c r="U59" s="468"/>
      <c r="V59" s="468"/>
      <c r="W59" s="463"/>
    </row>
    <row r="60" spans="1:23">
      <c r="A60" s="433"/>
      <c r="B60" s="433"/>
      <c r="C60" s="1464" t="s">
        <v>1961</v>
      </c>
      <c r="D60" s="1464" t="s">
        <v>1080</v>
      </c>
      <c r="E60" s="1463"/>
      <c r="F60" s="1463"/>
      <c r="G60" s="1464" t="s">
        <v>1035</v>
      </c>
      <c r="H60" s="1464" t="s">
        <v>362</v>
      </c>
      <c r="I60" s="1463"/>
      <c r="J60" s="1464" t="s">
        <v>238</v>
      </c>
      <c r="K60" s="1464" t="s">
        <v>239</v>
      </c>
      <c r="L60" s="1463"/>
      <c r="M60" s="1463"/>
      <c r="N60" s="1463"/>
      <c r="O60" s="1463"/>
      <c r="P60" s="1463"/>
      <c r="Q60" s="1463"/>
      <c r="R60" s="1463"/>
      <c r="S60" s="463"/>
      <c r="T60" s="463"/>
      <c r="U60" s="463"/>
      <c r="V60" s="463"/>
      <c r="W60" s="463"/>
    </row>
    <row r="61" spans="1:23">
      <c r="A61" s="433"/>
      <c r="B61" s="433"/>
      <c r="C61" s="1464" t="s">
        <v>1854</v>
      </c>
      <c r="D61" s="1464" t="s">
        <v>90</v>
      </c>
      <c r="E61" s="1463"/>
      <c r="F61" s="434" t="s">
        <v>240</v>
      </c>
      <c r="G61" s="1464" t="s">
        <v>1872</v>
      </c>
      <c r="H61" s="1464" t="s">
        <v>363</v>
      </c>
      <c r="I61" s="1463"/>
      <c r="J61" s="1464" t="s">
        <v>241</v>
      </c>
      <c r="K61" s="1464" t="s">
        <v>566</v>
      </c>
      <c r="L61" s="1463"/>
      <c r="M61" s="1463"/>
      <c r="N61" s="1463"/>
      <c r="O61" s="1463"/>
      <c r="P61" s="1463"/>
      <c r="Q61" s="1463"/>
      <c r="R61" s="1463"/>
      <c r="S61" s="463"/>
      <c r="T61" s="463"/>
      <c r="U61" s="463"/>
      <c r="V61" s="468"/>
      <c r="W61" s="463"/>
    </row>
    <row r="62" spans="1:23">
      <c r="A62" s="433"/>
      <c r="B62" s="433"/>
      <c r="C62" s="439"/>
      <c r="D62" s="439"/>
      <c r="E62" s="439"/>
      <c r="F62" s="439"/>
      <c r="G62" s="440" t="s">
        <v>365</v>
      </c>
      <c r="H62" s="440" t="s">
        <v>318</v>
      </c>
      <c r="I62" s="439"/>
      <c r="J62" s="440" t="s">
        <v>319</v>
      </c>
      <c r="K62" s="440" t="s">
        <v>320</v>
      </c>
      <c r="L62" s="1463"/>
      <c r="M62" s="1463"/>
      <c r="N62" s="1463"/>
      <c r="O62" s="1463"/>
      <c r="P62" s="1463"/>
      <c r="Q62" s="1463"/>
      <c r="R62" s="1463"/>
      <c r="S62" s="463"/>
      <c r="T62" s="463"/>
      <c r="U62" s="463"/>
      <c r="V62" s="463"/>
      <c r="W62" s="463"/>
    </row>
    <row r="63" spans="1:23" ht="13.15" customHeight="1">
      <c r="A63" s="433"/>
      <c r="B63" s="433"/>
      <c r="C63" s="1463"/>
      <c r="D63" s="1463"/>
      <c r="E63" s="1463"/>
      <c r="F63" s="1463"/>
      <c r="G63" s="1463"/>
      <c r="H63" s="1463"/>
      <c r="I63" s="1463"/>
      <c r="J63" s="1463"/>
      <c r="K63" s="1463"/>
      <c r="L63" s="1463"/>
      <c r="M63" s="1463"/>
      <c r="N63" s="1463"/>
      <c r="O63" s="1463"/>
      <c r="P63" s="1463"/>
      <c r="Q63" s="1463"/>
      <c r="R63" s="1463"/>
      <c r="S63" s="463"/>
      <c r="T63" s="463"/>
      <c r="U63" s="463"/>
      <c r="V63" s="463"/>
      <c r="W63" s="463"/>
    </row>
    <row r="64" spans="1:23">
      <c r="A64" s="433"/>
      <c r="B64" s="433"/>
      <c r="C64" s="1464">
        <v>1</v>
      </c>
      <c r="D64" s="1463"/>
      <c r="E64" s="1463"/>
      <c r="F64" s="441" t="s">
        <v>1694</v>
      </c>
      <c r="G64" s="1463"/>
      <c r="H64" s="1463"/>
      <c r="I64" s="1463"/>
      <c r="J64" s="1463"/>
      <c r="K64" s="1463"/>
      <c r="L64" s="1463"/>
      <c r="M64" s="1463"/>
      <c r="N64" s="1463"/>
      <c r="O64" s="1463"/>
      <c r="P64" s="1463"/>
      <c r="Q64" s="1463"/>
      <c r="R64" s="1463"/>
      <c r="S64" s="463"/>
      <c r="T64" s="463"/>
      <c r="U64" s="463"/>
      <c r="V64" s="463"/>
      <c r="W64" s="463"/>
    </row>
    <row r="65" spans="1:23">
      <c r="A65" s="433"/>
      <c r="B65" s="433"/>
      <c r="C65" s="1464">
        <v>2</v>
      </c>
      <c r="D65" s="1463"/>
      <c r="E65" s="1463"/>
      <c r="F65" s="1318"/>
      <c r="G65" s="1463"/>
      <c r="H65" s="1463"/>
      <c r="I65" s="1463"/>
      <c r="J65" s="1463"/>
      <c r="K65" s="1463"/>
      <c r="L65" s="1463"/>
      <c r="M65" s="1463"/>
      <c r="N65" s="1463"/>
      <c r="O65" s="1463"/>
      <c r="P65" s="1463"/>
      <c r="Q65" s="1463"/>
      <c r="R65" s="1463"/>
      <c r="S65" s="463"/>
      <c r="T65" s="463"/>
      <c r="U65" s="463"/>
      <c r="V65" s="463"/>
      <c r="W65" s="463"/>
    </row>
    <row r="66" spans="1:23">
      <c r="A66" s="433"/>
      <c r="B66" s="433"/>
      <c r="C66" s="1464">
        <v>3</v>
      </c>
      <c r="D66" s="1463"/>
      <c r="E66" s="1463"/>
      <c r="F66" s="441" t="s">
        <v>648</v>
      </c>
      <c r="G66" s="1296"/>
      <c r="H66" s="1463"/>
      <c r="I66" s="1463"/>
      <c r="J66" s="1463"/>
      <c r="K66" s="1463"/>
      <c r="L66" s="1463"/>
      <c r="M66" s="1463"/>
      <c r="N66" s="1463"/>
      <c r="O66" s="1463"/>
      <c r="P66" s="1463"/>
      <c r="Q66" s="1463"/>
      <c r="R66" s="1463"/>
      <c r="S66" s="463"/>
      <c r="T66" s="463"/>
      <c r="U66" s="463"/>
      <c r="V66" s="463"/>
      <c r="W66" s="463"/>
    </row>
    <row r="67" spans="1:23">
      <c r="A67" s="433"/>
      <c r="B67" s="433"/>
      <c r="C67" s="1464">
        <v>4</v>
      </c>
      <c r="D67" s="1463"/>
      <c r="E67" s="1463"/>
      <c r="F67" s="441"/>
      <c r="G67" s="1463"/>
      <c r="H67" s="1463"/>
      <c r="I67" s="1463"/>
      <c r="J67" s="1463"/>
      <c r="K67" s="1463"/>
      <c r="L67" s="1463"/>
      <c r="M67" s="1463"/>
      <c r="N67" s="1463"/>
      <c r="O67" s="1463"/>
      <c r="P67" s="1463"/>
      <c r="Q67" s="1463"/>
      <c r="R67" s="1463"/>
      <c r="S67" s="1463"/>
      <c r="T67" s="1463"/>
      <c r="U67" s="1463"/>
      <c r="V67" s="1463"/>
      <c r="W67" s="1463"/>
    </row>
    <row r="68" spans="1:23">
      <c r="A68" s="433"/>
      <c r="B68" s="433"/>
      <c r="C68" s="1464">
        <v>5</v>
      </c>
      <c r="D68" s="1463"/>
      <c r="E68" s="1463"/>
      <c r="F68" s="441" t="s">
        <v>154</v>
      </c>
      <c r="G68" s="64"/>
      <c r="H68" s="1463"/>
      <c r="I68" s="1463"/>
      <c r="J68" s="1463"/>
      <c r="K68" s="1463"/>
      <c r="L68" s="1463"/>
      <c r="M68" s="1463"/>
      <c r="N68" s="1463"/>
      <c r="O68" s="1463"/>
      <c r="P68" s="1463"/>
      <c r="Q68" s="1463"/>
      <c r="R68" s="1463"/>
      <c r="S68" s="1463"/>
      <c r="T68" s="1463"/>
      <c r="U68" s="1463"/>
      <c r="V68" s="1463"/>
      <c r="W68" s="1463"/>
    </row>
    <row r="69" spans="1:23">
      <c r="A69" s="433"/>
      <c r="B69" s="433"/>
      <c r="C69" s="1464">
        <v>6</v>
      </c>
      <c r="D69" s="1463"/>
      <c r="E69" s="1463"/>
      <c r="F69" s="441" t="s">
        <v>1101</v>
      </c>
      <c r="G69" s="1463"/>
      <c r="H69" s="1463"/>
      <c r="I69" s="1463"/>
      <c r="J69" s="1463"/>
      <c r="K69" s="1463"/>
      <c r="L69" s="1463"/>
      <c r="M69" s="1463"/>
      <c r="N69" s="1463"/>
      <c r="O69" s="1463"/>
      <c r="P69" s="1463"/>
      <c r="Q69" s="1463"/>
      <c r="R69" s="1463"/>
      <c r="S69" s="1463"/>
      <c r="T69" s="1463"/>
      <c r="U69" s="1463"/>
      <c r="V69" s="1463"/>
      <c r="W69" s="1463"/>
    </row>
    <row r="70" spans="1:23">
      <c r="A70" s="433"/>
      <c r="B70" s="433">
        <v>500000</v>
      </c>
      <c r="C70" s="1464">
        <v>7</v>
      </c>
      <c r="D70" s="1464">
        <v>500</v>
      </c>
      <c r="E70" s="1463"/>
      <c r="F70" s="1318" t="str">
        <f>'SCH_C2.1 - Base Period'!F74</f>
        <v xml:space="preserve"> Supervision and Engineering</v>
      </c>
      <c r="G70" s="1462">
        <f>ROUND(VLOOKUP(B70,FPERIOD,5,FALSE),0)</f>
        <v>1125130</v>
      </c>
      <c r="H70" s="1466">
        <f t="shared" ref="H70:H80" si="5">VLOOKUP(K70,ALLOCTABLE,2)</f>
        <v>100</v>
      </c>
      <c r="I70" s="1463"/>
      <c r="J70" s="1462">
        <f t="shared" ref="J70:J80" si="6">ROUND(G70*(H70/100),0)</f>
        <v>1125130</v>
      </c>
      <c r="K70" s="1464" t="s">
        <v>593</v>
      </c>
      <c r="L70" s="1463"/>
      <c r="M70" s="1463"/>
      <c r="N70" s="1463"/>
      <c r="O70" s="1463"/>
      <c r="P70" s="1463"/>
      <c r="Q70" s="1463"/>
      <c r="R70" s="1463"/>
      <c r="S70" s="1463"/>
      <c r="T70" s="1463"/>
      <c r="U70" s="1463"/>
      <c r="V70" s="1463"/>
      <c r="W70" s="1463"/>
    </row>
    <row r="71" spans="1:23">
      <c r="A71" s="433"/>
      <c r="B71" s="449" t="s">
        <v>1623</v>
      </c>
      <c r="C71" s="1464">
        <v>8</v>
      </c>
      <c r="D71" s="1464">
        <v>501</v>
      </c>
      <c r="E71" s="1463"/>
      <c r="F71" s="1318" t="str">
        <f>'SCH_C2.1 - Base Period'!F75</f>
        <v xml:space="preserve"> Fuel Consumed</v>
      </c>
      <c r="G71" s="1462">
        <f t="array" aca="1" ref="G71" ca="1">SUM(IF(CodeF=B71,IF(FERCFP=D71,AmountFP)))</f>
        <v>74263000</v>
      </c>
      <c r="H71" s="1466">
        <f t="shared" si="5"/>
        <v>100</v>
      </c>
      <c r="I71" s="1463"/>
      <c r="J71" s="1462">
        <f t="shared" ca="1" si="6"/>
        <v>74263000</v>
      </c>
      <c r="K71" s="1464" t="s">
        <v>593</v>
      </c>
      <c r="L71" s="1463"/>
      <c r="O71" s="1463"/>
      <c r="P71" s="1463"/>
      <c r="Q71" s="1463"/>
      <c r="R71" s="1463"/>
      <c r="S71" s="1463"/>
      <c r="T71" s="1463"/>
      <c r="U71" s="1463"/>
      <c r="V71" s="1463"/>
      <c r="W71" s="1463"/>
    </row>
    <row r="72" spans="1:23">
      <c r="A72" s="433"/>
      <c r="B72" s="433">
        <v>501</v>
      </c>
      <c r="C72" s="1464">
        <v>9</v>
      </c>
      <c r="D72" s="1464">
        <v>501</v>
      </c>
      <c r="E72" s="1463"/>
      <c r="F72" s="1318" t="str">
        <f>'SCH_C2.1 - Base Period'!F76</f>
        <v xml:space="preserve"> Fuel - Miscellaneous</v>
      </c>
      <c r="G72" s="1462">
        <f t="array" aca="1" ref="G72" ca="1">SUM(IF(FERCFP=B72,AmountFP))-G71-G73</f>
        <v>1794397</v>
      </c>
      <c r="H72" s="1466">
        <f>VLOOKUP(K72,ALLOCTABLE,2)</f>
        <v>100</v>
      </c>
      <c r="I72" s="1463"/>
      <c r="J72" s="1462">
        <f t="shared" ca="1" si="6"/>
        <v>1794397</v>
      </c>
      <c r="K72" s="1464" t="s">
        <v>593</v>
      </c>
      <c r="L72" s="1463"/>
      <c r="O72" s="1463"/>
      <c r="P72" s="1463"/>
      <c r="Q72" s="1463"/>
      <c r="R72" s="1463"/>
      <c r="S72" s="1463"/>
      <c r="T72" s="1463"/>
      <c r="U72" s="1463"/>
      <c r="V72" s="1463"/>
      <c r="W72" s="1463"/>
    </row>
    <row r="73" spans="1:23">
      <c r="A73" s="433"/>
      <c r="B73" s="433">
        <v>501190</v>
      </c>
      <c r="C73" s="1464">
        <v>10</v>
      </c>
      <c r="D73" s="1464">
        <v>501</v>
      </c>
      <c r="E73" s="1463"/>
      <c r="F73" s="1318" t="s">
        <v>3005</v>
      </c>
      <c r="G73" s="1618">
        <v>2322231</v>
      </c>
      <c r="H73" s="1466">
        <f>VLOOKUP(K73,ALLOCTABLE,2)</f>
        <v>100</v>
      </c>
      <c r="I73" s="1463"/>
      <c r="J73" s="1462">
        <f t="shared" ref="J73" si="7">ROUND(G73*(H73/100),0)</f>
        <v>2322231</v>
      </c>
      <c r="K73" s="1464" t="s">
        <v>593</v>
      </c>
      <c r="L73" s="1463"/>
      <c r="O73" s="1463"/>
      <c r="P73" s="1463"/>
      <c r="Q73" s="1463"/>
      <c r="R73" s="1463"/>
      <c r="S73" s="1463"/>
      <c r="T73" s="1463"/>
      <c r="U73" s="1463"/>
      <c r="V73" s="1463"/>
      <c r="W73" s="1463"/>
    </row>
    <row r="74" spans="1:23">
      <c r="A74" s="433"/>
      <c r="B74" s="433">
        <v>502</v>
      </c>
      <c r="C74" s="1464">
        <v>11</v>
      </c>
      <c r="D74" s="1464">
        <v>502</v>
      </c>
      <c r="E74" s="1463"/>
      <c r="F74" s="1318" t="str">
        <f>'SCH_C2.1 - Base Period'!F77</f>
        <v xml:space="preserve"> Steam Expenses</v>
      </c>
      <c r="G74" s="1462">
        <f t="array" aca="1" ref="G74" ca="1">SUM(IF(FERCFP=B74,AmountFP))-G76-G75</f>
        <v>9387624</v>
      </c>
      <c r="H74" s="1466">
        <f t="shared" si="5"/>
        <v>100</v>
      </c>
      <c r="I74" s="1463"/>
      <c r="J74" s="1462">
        <f t="shared" ca="1" si="6"/>
        <v>9387624</v>
      </c>
      <c r="K74" s="1464" t="s">
        <v>593</v>
      </c>
      <c r="L74" s="1463"/>
      <c r="O74" s="1463"/>
      <c r="P74" s="1463"/>
      <c r="Q74" s="1463"/>
      <c r="R74" s="1463"/>
      <c r="S74" s="1463"/>
      <c r="T74" s="1463"/>
      <c r="U74" s="1463"/>
      <c r="V74" s="1463"/>
      <c r="W74" s="1463"/>
    </row>
    <row r="75" spans="1:23">
      <c r="A75" s="433"/>
      <c r="B75" s="433">
        <v>502</v>
      </c>
      <c r="C75" s="1464">
        <v>12</v>
      </c>
      <c r="D75" s="1464">
        <v>502</v>
      </c>
      <c r="E75" s="1463"/>
      <c r="F75" s="1318" t="s">
        <v>3099</v>
      </c>
      <c r="G75" s="1462">
        <f>SCH_D2.18!P46</f>
        <v>12395756</v>
      </c>
      <c r="H75" s="1466">
        <f t="shared" ref="H75" si="8">VLOOKUP(K75,ALLOCTABLE,2)</f>
        <v>100</v>
      </c>
      <c r="I75" s="1463"/>
      <c r="J75" s="1462">
        <f t="shared" ref="J75" si="9">ROUND(G75*(H75/100),0)</f>
        <v>12395756</v>
      </c>
      <c r="K75" s="1464" t="s">
        <v>593</v>
      </c>
      <c r="L75" s="1463"/>
      <c r="O75" s="1463"/>
      <c r="P75" s="1463"/>
      <c r="Q75" s="1463"/>
      <c r="R75" s="1463"/>
      <c r="S75" s="1463"/>
      <c r="T75" s="1463"/>
      <c r="U75" s="1463"/>
      <c r="V75" s="1463"/>
      <c r="W75" s="1463"/>
    </row>
    <row r="76" spans="1:23">
      <c r="A76" s="433"/>
      <c r="B76" s="433">
        <v>502070</v>
      </c>
      <c r="C76" s="1464">
        <v>13</v>
      </c>
      <c r="D76" s="1464">
        <v>502</v>
      </c>
      <c r="E76" s="1463"/>
      <c r="F76" s="1318" t="s">
        <v>3100</v>
      </c>
      <c r="G76" s="1618">
        <f>25000+905150</f>
        <v>930150</v>
      </c>
      <c r="H76" s="1466">
        <f t="shared" ref="H76" si="10">VLOOKUP(K76,ALLOCTABLE,2)</f>
        <v>100</v>
      </c>
      <c r="I76" s="1463"/>
      <c r="J76" s="1462">
        <f t="shared" ref="J76" si="11">ROUND(G76*(H76/100),0)</f>
        <v>930150</v>
      </c>
      <c r="K76" s="1464" t="s">
        <v>593</v>
      </c>
      <c r="L76" s="1463"/>
      <c r="O76" s="1463"/>
      <c r="P76" s="1463"/>
      <c r="Q76" s="1463"/>
      <c r="R76" s="1463"/>
      <c r="S76" s="1463"/>
      <c r="T76" s="1463"/>
      <c r="U76" s="1463"/>
      <c r="V76" s="1463"/>
      <c r="W76" s="1463"/>
    </row>
    <row r="77" spans="1:23">
      <c r="A77" s="433"/>
      <c r="B77" s="450">
        <v>505000</v>
      </c>
      <c r="C77" s="1464">
        <v>14</v>
      </c>
      <c r="D77" s="1464">
        <v>505</v>
      </c>
      <c r="E77" s="1463"/>
      <c r="F77" s="1318" t="str">
        <f>'SCH_C2.1 - Base Period'!F78</f>
        <v xml:space="preserve"> Electric Expenses</v>
      </c>
      <c r="G77" s="1462">
        <f>ROUND(VLOOKUP(B77,FPERIOD,5,FALSE),0)</f>
        <v>598467</v>
      </c>
      <c r="H77" s="1466">
        <f t="shared" si="5"/>
        <v>100</v>
      </c>
      <c r="I77" s="1463"/>
      <c r="J77" s="1462">
        <f t="shared" si="6"/>
        <v>598467</v>
      </c>
      <c r="K77" s="1464" t="s">
        <v>593</v>
      </c>
      <c r="L77" s="1463"/>
      <c r="N77" s="1463"/>
      <c r="O77" s="1463"/>
      <c r="P77" s="1463"/>
      <c r="Q77" s="1463"/>
      <c r="R77" s="1463"/>
      <c r="S77" s="1463"/>
      <c r="T77" s="1463"/>
      <c r="U77" s="1463"/>
      <c r="V77" s="1463"/>
      <c r="W77" s="1463"/>
    </row>
    <row r="78" spans="1:23">
      <c r="A78" s="433"/>
      <c r="B78" s="433">
        <v>506000</v>
      </c>
      <c r="C78" s="1464">
        <v>15</v>
      </c>
      <c r="D78" s="1464">
        <v>506</v>
      </c>
      <c r="E78" s="1463"/>
      <c r="F78" s="1318" t="str">
        <f>'SCH_C2.1 - Base Period'!F79</f>
        <v xml:space="preserve"> Miscellaneous</v>
      </c>
      <c r="G78" s="1462">
        <f>ROUND(VLOOKUP(B78,FPERIOD,5,FALSE),0)-G79</f>
        <v>2076883</v>
      </c>
      <c r="H78" s="1466">
        <f t="shared" si="5"/>
        <v>100</v>
      </c>
      <c r="I78" s="1463"/>
      <c r="J78" s="1462">
        <f t="shared" si="6"/>
        <v>2076883</v>
      </c>
      <c r="K78" s="1464" t="s">
        <v>593</v>
      </c>
      <c r="L78" s="1463"/>
      <c r="N78" s="1463"/>
      <c r="O78" s="1463"/>
      <c r="P78" s="1463"/>
      <c r="Q78" s="1463"/>
      <c r="R78" s="1463"/>
      <c r="S78" s="1463"/>
      <c r="T78" s="1463"/>
      <c r="U78" s="1463"/>
      <c r="V78" s="1463"/>
      <c r="W78" s="1463"/>
    </row>
    <row r="79" spans="1:23">
      <c r="A79" s="433"/>
      <c r="B79" s="433"/>
      <c r="C79" s="1464">
        <v>16</v>
      </c>
      <c r="D79" s="1464">
        <v>506</v>
      </c>
      <c r="E79" s="1463"/>
      <c r="F79" s="1318" t="s">
        <v>3004</v>
      </c>
      <c r="G79" s="1618">
        <v>18252</v>
      </c>
      <c r="H79" s="1466">
        <f t="shared" ref="H79" si="12">VLOOKUP(K79,ALLOCTABLE,2)</f>
        <v>100</v>
      </c>
      <c r="I79" s="1463"/>
      <c r="J79" s="1462">
        <f t="shared" ref="J79" si="13">ROUND(G79*(H79/100),0)</f>
        <v>18252</v>
      </c>
      <c r="K79" s="1464" t="s">
        <v>593</v>
      </c>
      <c r="L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</row>
    <row r="80" spans="1:23">
      <c r="A80" s="433"/>
      <c r="B80" s="433">
        <v>509</v>
      </c>
      <c r="C80" s="1464">
        <v>17</v>
      </c>
      <c r="D80" s="1464" t="s">
        <v>1209</v>
      </c>
      <c r="E80" s="1463"/>
      <c r="F80" s="1318" t="str">
        <f>'SCH_C2.1 - Base Period'!F80</f>
        <v xml:space="preserve"> Emission Allowance Expenses</v>
      </c>
      <c r="G80" s="1462">
        <f t="array" aca="1" ref="G80" ca="1">SUM(IF(FERCFP=B80,AmountFP))</f>
        <v>3058</v>
      </c>
      <c r="H80" s="1466">
        <f t="shared" si="5"/>
        <v>100</v>
      </c>
      <c r="I80" s="1463"/>
      <c r="J80" s="1462">
        <f t="shared" ca="1" si="6"/>
        <v>3058</v>
      </c>
      <c r="K80" s="1464" t="s">
        <v>593</v>
      </c>
      <c r="L80" s="1463"/>
      <c r="N80" s="1463"/>
      <c r="O80" s="1463"/>
      <c r="P80" s="1463"/>
      <c r="Q80" s="1463"/>
      <c r="R80" s="1463"/>
      <c r="S80" s="1463"/>
      <c r="T80" s="1463"/>
      <c r="U80" s="1463"/>
      <c r="V80" s="1463"/>
      <c r="W80" s="1463"/>
    </row>
    <row r="81" spans="1:23">
      <c r="A81" s="433"/>
      <c r="B81" s="433"/>
      <c r="C81" s="1464">
        <v>18</v>
      </c>
      <c r="D81" s="1463"/>
      <c r="E81" s="1463"/>
      <c r="F81" s="1318" t="s">
        <v>1102</v>
      </c>
      <c r="G81" s="1319">
        <f ca="1">SUM(G70:G80)</f>
        <v>104914948</v>
      </c>
      <c r="H81" s="1463"/>
      <c r="I81" s="1463"/>
      <c r="J81" s="1319">
        <f ca="1">SUM(J70:J80)</f>
        <v>104914948</v>
      </c>
      <c r="K81" s="1463"/>
      <c r="L81" s="1463"/>
      <c r="M81" s="1463"/>
      <c r="N81" s="1463"/>
      <c r="O81" s="1463"/>
      <c r="P81" s="1463"/>
      <c r="Q81" s="1463"/>
      <c r="R81" s="1463"/>
      <c r="S81" s="1463"/>
      <c r="T81" s="1463"/>
      <c r="U81" s="1463"/>
      <c r="V81" s="1463"/>
      <c r="W81" s="1463"/>
    </row>
    <row r="82" spans="1:23">
      <c r="A82" s="433"/>
      <c r="B82" s="433"/>
      <c r="C82" s="1464">
        <v>19</v>
      </c>
      <c r="D82" s="1463"/>
      <c r="E82" s="1463"/>
      <c r="F82" s="1318"/>
      <c r="G82" s="1463"/>
      <c r="H82" s="1463"/>
      <c r="I82" s="1463"/>
      <c r="J82" s="1463"/>
      <c r="K82" s="1463"/>
      <c r="L82" s="1463"/>
      <c r="M82" s="1463"/>
      <c r="N82" s="1463"/>
      <c r="O82" s="1463"/>
      <c r="P82" s="1463"/>
      <c r="Q82" s="1463"/>
      <c r="R82" s="1463"/>
      <c r="S82" s="1463"/>
      <c r="T82" s="1463"/>
      <c r="U82" s="1463"/>
      <c r="V82" s="1463"/>
      <c r="W82" s="1463"/>
    </row>
    <row r="83" spans="1:23">
      <c r="A83" s="433"/>
      <c r="B83" s="433"/>
      <c r="C83" s="1464">
        <v>20</v>
      </c>
      <c r="D83" s="1463"/>
      <c r="E83" s="1463"/>
      <c r="F83" s="441" t="s">
        <v>1103</v>
      </c>
      <c r="G83" s="1463"/>
      <c r="H83" s="1463"/>
      <c r="I83" s="1463"/>
      <c r="J83" s="1463"/>
      <c r="K83" s="1463"/>
      <c r="L83" s="1463"/>
      <c r="M83" s="1463"/>
      <c r="N83" s="1463"/>
      <c r="O83" s="1463"/>
      <c r="P83" s="1463"/>
      <c r="Q83" s="1463"/>
      <c r="R83" s="1463"/>
      <c r="S83" s="1463"/>
      <c r="T83" s="1463"/>
      <c r="U83" s="1463"/>
      <c r="V83" s="1463"/>
      <c r="W83" s="1463"/>
    </row>
    <row r="84" spans="1:23">
      <c r="A84" s="433"/>
      <c r="B84" s="433">
        <v>510</v>
      </c>
      <c r="C84" s="1464">
        <v>21</v>
      </c>
      <c r="D84" s="445">
        <v>510</v>
      </c>
      <c r="E84" s="1463"/>
      <c r="F84" s="1318" t="str">
        <f>'SCH_C2.1 - Base Period'!F84</f>
        <v xml:space="preserve"> Supervision and Engineering</v>
      </c>
      <c r="G84" s="1462">
        <f t="array" aca="1" ref="G84" ca="1">SUM(IF(FERCFP=B84,AmountFP))</f>
        <v>2318367</v>
      </c>
      <c r="H84" s="1466">
        <f t="shared" ref="H84:H90" si="14">VLOOKUP(K84,ALLOCTABLE,2)</f>
        <v>100</v>
      </c>
      <c r="I84" s="1463"/>
      <c r="J84" s="1462">
        <f t="shared" ref="J84:J90" ca="1" si="15">ROUND(G84*(H84/100),0)</f>
        <v>2318367</v>
      </c>
      <c r="K84" s="1464" t="s">
        <v>593</v>
      </c>
      <c r="L84" s="1463"/>
      <c r="M84" s="1463"/>
      <c r="N84" s="1463"/>
      <c r="O84" s="1463"/>
      <c r="P84" s="1463"/>
      <c r="Q84" s="1463"/>
      <c r="R84" s="1463"/>
      <c r="S84" s="1463"/>
      <c r="T84" s="1463"/>
      <c r="U84" s="1463"/>
      <c r="V84" s="1463"/>
      <c r="W84" s="1463"/>
    </row>
    <row r="85" spans="1:23">
      <c r="A85" s="433"/>
      <c r="B85" s="433">
        <v>511000</v>
      </c>
      <c r="C85" s="1464">
        <v>22</v>
      </c>
      <c r="D85" s="1464">
        <v>511</v>
      </c>
      <c r="E85" s="1463"/>
      <c r="F85" s="1318" t="str">
        <f>'SCH_C2.1 - Base Period'!F85</f>
        <v xml:space="preserve"> Maintenance of Structures</v>
      </c>
      <c r="G85" s="1462">
        <f>ROUND(VLOOKUP(B85,FPERIOD,5,FALSE),0)-G86</f>
        <v>2881510</v>
      </c>
      <c r="H85" s="1466">
        <f t="shared" si="14"/>
        <v>100</v>
      </c>
      <c r="I85" s="1463"/>
      <c r="J85" s="1462">
        <f t="shared" si="15"/>
        <v>2881510</v>
      </c>
      <c r="K85" s="1464" t="s">
        <v>593</v>
      </c>
      <c r="L85" s="1463"/>
      <c r="M85" s="1463"/>
      <c r="N85" s="1463"/>
      <c r="O85" s="1463"/>
      <c r="P85" s="1463"/>
      <c r="Q85" s="1463"/>
      <c r="R85" s="1463"/>
      <c r="S85" s="1463"/>
      <c r="T85" s="1463"/>
      <c r="U85" s="1463"/>
      <c r="V85" s="1463"/>
      <c r="W85" s="1463"/>
    </row>
    <row r="86" spans="1:23">
      <c r="A86" s="433"/>
      <c r="B86" s="433"/>
      <c r="C86" s="1464">
        <v>23</v>
      </c>
      <c r="D86" s="1464">
        <v>511</v>
      </c>
      <c r="E86" s="1463"/>
      <c r="F86" s="1318" t="s">
        <v>3006</v>
      </c>
      <c r="G86" s="1618">
        <v>43</v>
      </c>
      <c r="H86" s="1466">
        <f t="shared" ref="H86" si="16">VLOOKUP(K86,ALLOCTABLE,2)</f>
        <v>100</v>
      </c>
      <c r="I86" s="1463"/>
      <c r="J86" s="1462">
        <f t="shared" ref="J86" si="17">ROUND(G86*(H86/100),0)</f>
        <v>43</v>
      </c>
      <c r="K86" s="1464" t="s">
        <v>593</v>
      </c>
      <c r="L86" s="1463"/>
      <c r="M86" s="1463"/>
      <c r="N86" s="1463"/>
      <c r="O86" s="1463"/>
      <c r="P86" s="1463"/>
      <c r="Q86" s="1463"/>
      <c r="R86" s="1463"/>
      <c r="S86" s="1463"/>
      <c r="T86" s="1463"/>
      <c r="U86" s="1463"/>
      <c r="V86" s="1463"/>
      <c r="W86" s="1463"/>
    </row>
    <row r="87" spans="1:23">
      <c r="A87" s="433"/>
      <c r="B87" s="433">
        <v>512</v>
      </c>
      <c r="C87" s="1464">
        <v>24</v>
      </c>
      <c r="D87" s="1464">
        <v>512</v>
      </c>
      <c r="E87" s="1463"/>
      <c r="F87" s="1318" t="str">
        <f>'SCH_C2.1 - Base Period'!F86</f>
        <v xml:space="preserve"> Maintenance of Boiler Plant</v>
      </c>
      <c r="G87" s="1462">
        <f t="array" aca="1" ref="G87" ca="1">SUM(IF(FERCFP=B87,AmountFP))-G88</f>
        <v>8161290</v>
      </c>
      <c r="H87" s="1466">
        <f t="shared" si="14"/>
        <v>100</v>
      </c>
      <c r="I87" s="1463"/>
      <c r="J87" s="1462">
        <f t="shared" ca="1" si="15"/>
        <v>8161290</v>
      </c>
      <c r="K87" s="1464" t="s">
        <v>593</v>
      </c>
      <c r="L87" s="1463"/>
      <c r="M87" s="1463"/>
      <c r="N87" s="1463"/>
      <c r="O87" s="1463"/>
      <c r="P87" s="1463"/>
      <c r="Q87" s="1463"/>
      <c r="R87" s="1463"/>
      <c r="S87" s="1463"/>
      <c r="T87" s="1463"/>
      <c r="U87" s="1463"/>
      <c r="V87" s="1463"/>
      <c r="W87" s="1463"/>
    </row>
    <row r="88" spans="1:23">
      <c r="A88" s="433"/>
      <c r="B88" s="433"/>
      <c r="C88" s="1464">
        <v>25</v>
      </c>
      <c r="D88" s="1464">
        <v>512</v>
      </c>
      <c r="E88" s="1463"/>
      <c r="F88" s="1318" t="s">
        <v>3007</v>
      </c>
      <c r="G88" s="1618">
        <v>2366105</v>
      </c>
      <c r="H88" s="1466">
        <f t="shared" si="14"/>
        <v>100</v>
      </c>
      <c r="I88" s="1463"/>
      <c r="J88" s="1462">
        <f t="shared" si="15"/>
        <v>2366105</v>
      </c>
      <c r="K88" s="1464" t="s">
        <v>593</v>
      </c>
      <c r="L88" s="1463"/>
      <c r="M88" s="1463"/>
      <c r="N88" s="1463"/>
      <c r="O88" s="1463"/>
      <c r="P88" s="1463"/>
      <c r="Q88" s="1463"/>
      <c r="R88" s="1463"/>
      <c r="S88" s="1463"/>
      <c r="T88" s="1463"/>
      <c r="U88" s="1463"/>
      <c r="V88" s="1463"/>
      <c r="W88" s="1463"/>
    </row>
    <row r="89" spans="1:23">
      <c r="A89" s="433"/>
      <c r="B89" s="433">
        <v>513</v>
      </c>
      <c r="C89" s="1464">
        <v>26</v>
      </c>
      <c r="D89" s="1464">
        <v>513</v>
      </c>
      <c r="E89" s="1463"/>
      <c r="F89" s="1318" t="str">
        <f>'SCH_C2.1 - Base Period'!F87</f>
        <v xml:space="preserve"> Maintenance of Electric Plant</v>
      </c>
      <c r="G89" s="1462">
        <f t="array" aca="1" ref="G89" ca="1">SUM(IF(FERCFP=B89,AmountFP))</f>
        <v>5474702</v>
      </c>
      <c r="H89" s="1466">
        <f t="shared" si="14"/>
        <v>100</v>
      </c>
      <c r="I89" s="1463"/>
      <c r="J89" s="1462">
        <f t="shared" ca="1" si="15"/>
        <v>5474702</v>
      </c>
      <c r="K89" s="1464" t="s">
        <v>593</v>
      </c>
      <c r="L89" s="1463"/>
      <c r="M89" s="1463"/>
      <c r="N89" s="1463"/>
      <c r="O89" s="1463"/>
      <c r="P89" s="1463"/>
      <c r="Q89" s="1463"/>
      <c r="R89" s="1463"/>
      <c r="S89" s="1463"/>
      <c r="T89" s="1463"/>
      <c r="U89" s="1463"/>
      <c r="V89" s="1463"/>
      <c r="W89" s="1463"/>
    </row>
    <row r="90" spans="1:23">
      <c r="A90" s="433"/>
      <c r="B90" s="433">
        <v>514</v>
      </c>
      <c r="C90" s="1464">
        <v>27</v>
      </c>
      <c r="D90" s="1464">
        <v>514</v>
      </c>
      <c r="E90" s="1463"/>
      <c r="F90" s="1318" t="str">
        <f>'SCH_C2.1 - Base Period'!F88</f>
        <v xml:space="preserve"> Maintenance of Misc Steam Plant</v>
      </c>
      <c r="G90" s="1462">
        <f t="array" aca="1" ref="G90" ca="1">SUM(IF(FERCFP=B90,AmountFP))-G91</f>
        <v>273113</v>
      </c>
      <c r="H90" s="1466">
        <f t="shared" si="14"/>
        <v>100</v>
      </c>
      <c r="I90" s="1463"/>
      <c r="J90" s="1462">
        <f t="shared" ca="1" si="15"/>
        <v>273113</v>
      </c>
      <c r="K90" s="1464" t="s">
        <v>593</v>
      </c>
      <c r="L90" s="1463"/>
      <c r="M90" s="1463"/>
      <c r="N90" s="1463"/>
      <c r="O90" s="1463"/>
      <c r="P90" s="1463"/>
      <c r="Q90" s="1463"/>
      <c r="R90" s="1463"/>
      <c r="S90" s="1463"/>
      <c r="T90" s="1463"/>
      <c r="U90" s="1463"/>
      <c r="V90" s="1463"/>
      <c r="W90" s="1463"/>
    </row>
    <row r="91" spans="1:23">
      <c r="A91" s="433"/>
      <c r="B91" s="433"/>
      <c r="C91" s="1464">
        <v>28</v>
      </c>
      <c r="D91" s="1464">
        <v>514</v>
      </c>
      <c r="E91" s="1463"/>
      <c r="F91" s="1318" t="s">
        <v>3060</v>
      </c>
      <c r="G91" s="1618">
        <v>75352</v>
      </c>
      <c r="H91" s="1466">
        <f t="shared" ref="H91" si="18">VLOOKUP(K91,ALLOCTABLE,2)</f>
        <v>100</v>
      </c>
      <c r="I91" s="1463"/>
      <c r="J91" s="1462">
        <f t="shared" ref="J91" si="19">ROUND(G91*(H91/100),0)</f>
        <v>75352</v>
      </c>
      <c r="K91" s="1464" t="s">
        <v>593</v>
      </c>
      <c r="L91" s="1463"/>
      <c r="M91" s="1463"/>
      <c r="N91" s="1463"/>
      <c r="O91" s="1463"/>
      <c r="P91" s="1463"/>
      <c r="Q91" s="1463"/>
      <c r="R91" s="1463"/>
      <c r="S91" s="1463"/>
      <c r="T91" s="1463"/>
      <c r="U91" s="1463"/>
      <c r="V91" s="1463"/>
      <c r="W91" s="1463"/>
    </row>
    <row r="92" spans="1:23">
      <c r="A92" s="433"/>
      <c r="B92" s="433"/>
      <c r="C92" s="1464">
        <v>29</v>
      </c>
      <c r="D92" s="1463"/>
      <c r="E92" s="1463"/>
      <c r="F92" s="1318" t="s">
        <v>1104</v>
      </c>
      <c r="G92" s="1319">
        <f ca="1">SUM(G84:G91)</f>
        <v>21550482</v>
      </c>
      <c r="H92" s="1463"/>
      <c r="I92" s="1463"/>
      <c r="J92" s="1319">
        <f ca="1">SUM(J84:J91)</f>
        <v>21550482</v>
      </c>
      <c r="K92" s="1463"/>
      <c r="L92" s="1463"/>
      <c r="M92" s="1463"/>
      <c r="N92" s="1463"/>
      <c r="O92" s="1463"/>
      <c r="P92" s="1463"/>
      <c r="Q92" s="1463"/>
      <c r="R92" s="1463"/>
      <c r="S92" s="1463"/>
      <c r="T92" s="1463"/>
      <c r="U92" s="1463"/>
      <c r="V92" s="1463"/>
      <c r="W92" s="1463"/>
    </row>
    <row r="93" spans="1:23">
      <c r="A93" s="433"/>
      <c r="B93" s="433"/>
      <c r="C93" s="1464">
        <v>30</v>
      </c>
      <c r="D93" s="1463"/>
      <c r="E93" s="1463"/>
      <c r="F93" s="1318" t="s">
        <v>155</v>
      </c>
      <c r="G93" s="451">
        <f ca="1">G81+G92</f>
        <v>126465430</v>
      </c>
      <c r="H93" s="1463"/>
      <c r="I93" s="1463"/>
      <c r="J93" s="451">
        <f ca="1">J81+J92</f>
        <v>126465430</v>
      </c>
      <c r="K93" s="1463"/>
      <c r="L93" s="1463"/>
      <c r="M93" s="1463"/>
      <c r="N93" s="1463"/>
      <c r="O93" s="1463"/>
      <c r="P93" s="1463"/>
      <c r="Q93" s="1463"/>
      <c r="R93" s="1463"/>
      <c r="S93" s="1463"/>
      <c r="T93" s="1463"/>
      <c r="U93" s="1463"/>
      <c r="V93" s="1463"/>
      <c r="W93" s="1463"/>
    </row>
    <row r="94" spans="1:23">
      <c r="A94" s="433"/>
      <c r="B94" s="433"/>
      <c r="C94" s="1464">
        <v>31</v>
      </c>
      <c r="D94" s="1463"/>
      <c r="E94" s="1463"/>
      <c r="F94" s="1463"/>
      <c r="G94" s="1463"/>
      <c r="H94" s="1463"/>
      <c r="I94" s="1463"/>
      <c r="J94" s="1463"/>
      <c r="K94" s="1463"/>
      <c r="L94" s="1463"/>
      <c r="M94" s="1463"/>
      <c r="N94" s="1463"/>
      <c r="O94" s="1463"/>
      <c r="P94" s="1463"/>
      <c r="Q94" s="1463"/>
      <c r="R94" s="1463"/>
      <c r="S94" s="1463"/>
      <c r="T94" s="1463"/>
      <c r="U94" s="1463"/>
      <c r="V94" s="1463"/>
      <c r="W94" s="1463"/>
    </row>
    <row r="95" spans="1:23">
      <c r="A95" s="433"/>
      <c r="B95" s="433"/>
      <c r="C95" s="1464">
        <v>32</v>
      </c>
      <c r="D95" s="1463"/>
      <c r="E95" s="1463"/>
      <c r="F95" s="444" t="s">
        <v>1952</v>
      </c>
      <c r="G95" s="1463"/>
      <c r="H95" s="1463"/>
      <c r="I95" s="1463"/>
      <c r="J95" s="1463"/>
      <c r="K95" s="1463"/>
      <c r="L95" s="1463"/>
      <c r="M95" s="1463"/>
      <c r="N95" s="1463"/>
      <c r="O95" s="1463"/>
      <c r="P95" s="1463"/>
      <c r="Q95" s="1463"/>
      <c r="R95" s="1463"/>
      <c r="S95" s="1463"/>
      <c r="T95" s="1463"/>
      <c r="U95" s="1463"/>
      <c r="V95" s="1463"/>
      <c r="W95" s="1463"/>
    </row>
    <row r="96" spans="1:23">
      <c r="A96" s="433"/>
      <c r="B96" s="1463"/>
      <c r="C96" s="1464">
        <v>33</v>
      </c>
      <c r="D96" s="1463"/>
      <c r="E96" s="1463"/>
      <c r="F96" s="441" t="s">
        <v>1101</v>
      </c>
      <c r="G96" s="1463"/>
      <c r="H96" s="1463"/>
      <c r="I96" s="1463"/>
      <c r="J96" s="1463"/>
      <c r="K96" s="1463"/>
      <c r="L96" s="1463"/>
      <c r="M96" s="1463"/>
      <c r="N96" s="1463"/>
      <c r="O96" s="1463"/>
      <c r="P96" s="1463"/>
      <c r="Q96" s="1463"/>
      <c r="R96" s="1463"/>
      <c r="S96" s="1463"/>
      <c r="T96" s="1463"/>
      <c r="U96" s="1463"/>
      <c r="V96" s="1463"/>
      <c r="W96" s="1463"/>
    </row>
    <row r="97" spans="1:23">
      <c r="A97" s="433"/>
      <c r="B97" s="433">
        <v>546000</v>
      </c>
      <c r="C97" s="1464">
        <v>34</v>
      </c>
      <c r="D97" s="1465">
        <v>546</v>
      </c>
      <c r="E97" s="1463"/>
      <c r="F97" s="1318" t="str">
        <f>'SCH_C2.1 - Base Period'!F94</f>
        <v xml:space="preserve"> Supervision and Engineering</v>
      </c>
      <c r="G97" s="1462">
        <f>ROUND(VLOOKUP(B97,FPERIOD,5,FALSE),0)</f>
        <v>316008</v>
      </c>
      <c r="H97" s="1466">
        <f>VLOOKUP(K97,ALLOCTABLE,2)</f>
        <v>100</v>
      </c>
      <c r="I97" s="1463"/>
      <c r="J97" s="1462">
        <f>ROUND(G97*(H97/100),0)</f>
        <v>316008</v>
      </c>
      <c r="K97" s="1464" t="s">
        <v>593</v>
      </c>
      <c r="L97" s="1463"/>
      <c r="M97" s="1463"/>
      <c r="N97" s="1463"/>
      <c r="O97" s="1463"/>
      <c r="P97" s="1463"/>
      <c r="Q97" s="1463"/>
      <c r="R97" s="1463"/>
      <c r="S97" s="1463"/>
      <c r="T97" s="1463"/>
      <c r="U97" s="1463"/>
      <c r="V97" s="1463"/>
      <c r="W97" s="1463"/>
    </row>
    <row r="98" spans="1:23">
      <c r="A98" s="433"/>
      <c r="B98" s="433">
        <v>547</v>
      </c>
      <c r="C98" s="1464">
        <v>35</v>
      </c>
      <c r="D98" s="1465">
        <v>547</v>
      </c>
      <c r="E98" s="1463"/>
      <c r="F98" s="1318" t="str">
        <f>'SCH_C2.1 - Base Period'!F95</f>
        <v xml:space="preserve"> Fuel</v>
      </c>
      <c r="G98" s="1462">
        <f t="array" aca="1" ref="G98" ca="1">SUM(IF(FERCFP=B98,AmountFP))-G99</f>
        <v>447000</v>
      </c>
      <c r="H98" s="1466">
        <f>VLOOKUP(K98,ALLOCTABLE,2)</f>
        <v>100</v>
      </c>
      <c r="I98" s="1463"/>
      <c r="J98" s="1462">
        <f ca="1">ROUND(G98*(H98/100),0)</f>
        <v>447000</v>
      </c>
      <c r="K98" s="1464" t="s">
        <v>593</v>
      </c>
      <c r="L98" s="1463"/>
      <c r="M98" s="1463"/>
      <c r="N98" s="1463"/>
      <c r="O98" s="1463"/>
      <c r="P98" s="1463"/>
      <c r="Q98" s="1463"/>
      <c r="R98" s="1463"/>
      <c r="S98" s="1463"/>
      <c r="T98" s="1463"/>
      <c r="U98" s="1463"/>
      <c r="V98" s="1463"/>
      <c r="W98" s="1463"/>
    </row>
    <row r="99" spans="1:23">
      <c r="A99" s="433"/>
      <c r="B99" s="433">
        <v>547150</v>
      </c>
      <c r="C99" s="1464">
        <v>36</v>
      </c>
      <c r="D99" s="1465">
        <v>547</v>
      </c>
      <c r="E99" s="1463"/>
      <c r="F99" s="1318" t="str">
        <f>'SCH_C2.1 - Base Period'!F96</f>
        <v xml:space="preserve"> Fuel - Miscellaneous</v>
      </c>
      <c r="G99" s="1462">
        <f>ROUND(VLOOKUP(B99,FPERIOD,5,FALSE),0)</f>
        <v>11590</v>
      </c>
      <c r="H99" s="1466">
        <f>VLOOKUP(K99,ALLOCTABLE,2)</f>
        <v>100</v>
      </c>
      <c r="I99" s="1463"/>
      <c r="J99" s="1462">
        <f>ROUND(G99*(H99/100),0)</f>
        <v>11590</v>
      </c>
      <c r="K99" s="1464" t="s">
        <v>593</v>
      </c>
      <c r="L99" s="1463"/>
      <c r="M99" s="1463"/>
      <c r="N99" s="1463"/>
      <c r="O99" s="1463"/>
      <c r="P99" s="1463"/>
      <c r="Q99" s="1463"/>
      <c r="R99" s="1463"/>
      <c r="S99" s="1463"/>
      <c r="T99" s="1463"/>
      <c r="U99" s="1463"/>
      <c r="V99" s="1463"/>
      <c r="W99" s="1463"/>
    </row>
    <row r="100" spans="1:23">
      <c r="A100" s="433"/>
      <c r="B100" s="433">
        <v>548</v>
      </c>
      <c r="C100" s="1464">
        <v>37</v>
      </c>
      <c r="D100" s="1465">
        <v>548</v>
      </c>
      <c r="E100" s="1463"/>
      <c r="F100" s="1318" t="str">
        <f>'SCH_C2.1 - Base Period'!F97</f>
        <v xml:space="preserve"> Generating Expense</v>
      </c>
      <c r="G100" s="1462">
        <f t="array" aca="1" ref="G100" ca="1">SUM(IF(FERCFP=B100,AmountFP))</f>
        <v>367857</v>
      </c>
      <c r="H100" s="1466">
        <f>VLOOKUP(K100,ALLOCTABLE,2)</f>
        <v>100</v>
      </c>
      <c r="I100" s="1463"/>
      <c r="J100" s="1462">
        <f ca="1">ROUND(G100*(H100/100),0)</f>
        <v>367857</v>
      </c>
      <c r="K100" s="1464" t="s">
        <v>593</v>
      </c>
      <c r="L100" s="1463"/>
      <c r="M100" s="1463"/>
      <c r="N100" s="1463"/>
      <c r="O100" s="1463"/>
      <c r="P100" s="1463"/>
      <c r="Q100" s="1463"/>
      <c r="R100" s="1463"/>
      <c r="S100" s="1463"/>
      <c r="T100" s="1463"/>
      <c r="U100" s="1463"/>
      <c r="V100" s="1463"/>
      <c r="W100" s="1463"/>
    </row>
    <row r="101" spans="1:23">
      <c r="A101" s="433"/>
      <c r="B101" s="433">
        <v>549</v>
      </c>
      <c r="C101" s="1464">
        <v>38</v>
      </c>
      <c r="D101" s="1465">
        <v>549</v>
      </c>
      <c r="E101" s="1463"/>
      <c r="F101" s="1318" t="str">
        <f>'SCH_C2.1 - Base Period'!F98</f>
        <v xml:space="preserve"> Misc. Other Power Generation</v>
      </c>
      <c r="G101" s="1462">
        <f t="array" aca="1" ref="G101" ca="1">SUM(IF(FERCFP=B101,AmountFP))</f>
        <v>805958</v>
      </c>
      <c r="H101" s="1466">
        <f>VLOOKUP(K101,ALLOCTABLE,2)</f>
        <v>100</v>
      </c>
      <c r="I101" s="1463"/>
      <c r="J101" s="1462">
        <f ca="1">ROUND(G101*(H101/100),0)</f>
        <v>805958</v>
      </c>
      <c r="K101" s="1464" t="s">
        <v>593</v>
      </c>
      <c r="L101" s="1463"/>
      <c r="M101" s="1463"/>
      <c r="N101" s="1463"/>
      <c r="O101" s="1463"/>
      <c r="P101" s="1463"/>
      <c r="Q101" s="1463"/>
      <c r="R101" s="1463"/>
      <c r="S101" s="1463"/>
      <c r="T101" s="1463"/>
      <c r="U101" s="1463"/>
      <c r="V101" s="1463"/>
      <c r="W101" s="1463"/>
    </row>
    <row r="102" spans="1:23">
      <c r="A102" s="433"/>
      <c r="B102" s="433"/>
      <c r="C102" s="1464">
        <v>39</v>
      </c>
      <c r="D102" s="1465"/>
      <c r="E102" s="1463"/>
      <c r="F102" s="1318" t="s">
        <v>1102</v>
      </c>
      <c r="G102" s="1319">
        <f ca="1">SUM(G97:G101)</f>
        <v>1948413</v>
      </c>
      <c r="H102" s="1463"/>
      <c r="I102" s="1463"/>
      <c r="J102" s="1319">
        <f ca="1">SUM(J97:J101)</f>
        <v>1948413</v>
      </c>
      <c r="K102" s="1463"/>
      <c r="L102" s="1463"/>
      <c r="M102" s="1463"/>
      <c r="N102" s="1463"/>
      <c r="O102" s="1463"/>
      <c r="P102" s="1463"/>
      <c r="Q102" s="1463"/>
      <c r="R102" s="1463"/>
      <c r="S102" s="1463"/>
      <c r="T102" s="1463"/>
      <c r="U102" s="1463"/>
      <c r="V102" s="1463"/>
      <c r="W102" s="1463"/>
    </row>
    <row r="103" spans="1:23">
      <c r="A103" s="433"/>
      <c r="B103" s="433"/>
      <c r="C103" s="1464">
        <v>40</v>
      </c>
      <c r="D103" s="1465"/>
      <c r="E103" s="1463"/>
      <c r="F103" s="1463"/>
      <c r="G103" s="1463"/>
      <c r="H103" s="1463"/>
      <c r="I103" s="1463"/>
      <c r="J103" s="1463"/>
      <c r="K103" s="1463"/>
      <c r="L103" s="1463"/>
      <c r="M103" s="1463"/>
      <c r="N103" s="1463"/>
      <c r="O103" s="1463"/>
      <c r="P103" s="1463"/>
      <c r="Q103" s="1463"/>
      <c r="R103" s="1463"/>
      <c r="S103" s="1463"/>
      <c r="T103" s="1463"/>
      <c r="U103" s="1463"/>
      <c r="V103" s="1463"/>
      <c r="W103" s="1463"/>
    </row>
    <row r="104" spans="1:23">
      <c r="A104" s="433"/>
      <c r="B104" s="433"/>
      <c r="C104" s="1464">
        <v>41</v>
      </c>
      <c r="D104" s="1465"/>
      <c r="E104" s="1463"/>
      <c r="F104" s="441" t="s">
        <v>1103</v>
      </c>
      <c r="G104" s="1463"/>
      <c r="H104" s="1463"/>
      <c r="I104" s="1463"/>
      <c r="J104" s="1463"/>
      <c r="K104" s="1463"/>
      <c r="L104" s="1463"/>
      <c r="M104" s="1463"/>
      <c r="N104" s="1463"/>
      <c r="O104" s="1463"/>
      <c r="P104" s="1463"/>
      <c r="Q104" s="1463"/>
      <c r="R104" s="1463"/>
      <c r="S104" s="1463"/>
      <c r="T104" s="1463"/>
      <c r="U104" s="1463"/>
      <c r="V104" s="1463"/>
      <c r="W104" s="1463"/>
    </row>
    <row r="105" spans="1:23">
      <c r="A105" s="433"/>
      <c r="B105" s="433">
        <v>551000</v>
      </c>
      <c r="C105" s="1464">
        <v>42</v>
      </c>
      <c r="D105" s="1465">
        <v>551</v>
      </c>
      <c r="E105" s="1463"/>
      <c r="F105" s="1318" t="str">
        <f>'SCH_C2.1 - Base Period'!F102</f>
        <v xml:space="preserve"> Supervision and Engineering</v>
      </c>
      <c r="G105" s="1462">
        <f>ROUND(VLOOKUP(B105,FPERIOD,5,FALSE),0)</f>
        <v>361559</v>
      </c>
      <c r="H105" s="1466">
        <f>VLOOKUP(K105,ALLOCTABLE,2)</f>
        <v>100</v>
      </c>
      <c r="I105" s="1463"/>
      <c r="J105" s="1462">
        <f>ROUND(G105*(H105/100),0)</f>
        <v>361559</v>
      </c>
      <c r="K105" s="1464" t="s">
        <v>593</v>
      </c>
      <c r="L105" s="1463"/>
      <c r="M105" s="1463"/>
      <c r="N105" s="1463"/>
      <c r="O105" s="1463"/>
      <c r="P105" s="1463"/>
      <c r="Q105" s="1463"/>
      <c r="R105" s="1463"/>
      <c r="S105" s="1463"/>
      <c r="T105" s="1463"/>
      <c r="U105" s="1463"/>
      <c r="V105" s="1463"/>
      <c r="W105" s="1463"/>
    </row>
    <row r="106" spans="1:23">
      <c r="A106" s="433"/>
      <c r="B106" s="433">
        <v>552000</v>
      </c>
      <c r="C106" s="1464">
        <v>43</v>
      </c>
      <c r="D106" s="1465">
        <v>552</v>
      </c>
      <c r="E106" s="1463"/>
      <c r="F106" s="1318" t="str">
        <f>'SCH_C2.1 - Base Period'!F103</f>
        <v xml:space="preserve"> Structures</v>
      </c>
      <c r="G106" s="1462">
        <f>ROUND(VLOOKUP(B106,FPERIOD,5,FALSE),0)</f>
        <v>334337</v>
      </c>
      <c r="H106" s="1466">
        <f>VLOOKUP(K106,ALLOCTABLE,2)</f>
        <v>100</v>
      </c>
      <c r="I106" s="1463"/>
      <c r="J106" s="1462">
        <f>ROUND(G106*(H106/100),0)</f>
        <v>334337</v>
      </c>
      <c r="K106" s="1464" t="s">
        <v>593</v>
      </c>
      <c r="L106" s="1463"/>
      <c r="M106" s="1463"/>
      <c r="N106" s="1463"/>
      <c r="O106" s="1463"/>
      <c r="P106" s="1463"/>
      <c r="Q106" s="1463"/>
      <c r="R106" s="1463"/>
      <c r="S106" s="1463"/>
      <c r="T106" s="1463"/>
      <c r="U106" s="1463"/>
      <c r="V106" s="1463"/>
      <c r="W106" s="1463"/>
    </row>
    <row r="107" spans="1:23">
      <c r="A107" s="433"/>
      <c r="B107" s="433">
        <v>553000</v>
      </c>
      <c r="C107" s="1464">
        <v>44</v>
      </c>
      <c r="D107" s="1465">
        <v>553</v>
      </c>
      <c r="E107" s="1463"/>
      <c r="F107" s="1318" t="str">
        <f>'SCH_C2.1 - Base Period'!F104</f>
        <v xml:space="preserve"> Generating &amp; Electrical Equipment</v>
      </c>
      <c r="G107" s="1462">
        <f>ROUND(VLOOKUP(B107,FPERIOD,5,FALSE),0)</f>
        <v>287717</v>
      </c>
      <c r="H107" s="1466">
        <f>VLOOKUP(K107,ALLOCTABLE,2)</f>
        <v>100</v>
      </c>
      <c r="I107" s="1463"/>
      <c r="J107" s="1462">
        <f>ROUND(G107*(H107/100),0)</f>
        <v>287717</v>
      </c>
      <c r="K107" s="1464" t="s">
        <v>593</v>
      </c>
      <c r="L107" s="1463"/>
      <c r="M107" s="1463"/>
      <c r="N107" s="1463"/>
      <c r="O107" s="1463"/>
      <c r="P107" s="1463"/>
      <c r="Q107" s="1463"/>
      <c r="R107" s="1463"/>
      <c r="S107" s="1463"/>
      <c r="T107" s="1463"/>
      <c r="U107" s="1463"/>
      <c r="V107" s="1463"/>
      <c r="W107" s="1463"/>
    </row>
    <row r="108" spans="1:23">
      <c r="A108" s="433"/>
      <c r="B108" s="433">
        <v>554</v>
      </c>
      <c r="C108" s="1464">
        <v>45</v>
      </c>
      <c r="D108" s="1465">
        <v>554</v>
      </c>
      <c r="E108" s="1463"/>
      <c r="F108" s="1318" t="str">
        <f>'SCH_C2.1 - Base Period'!F105</f>
        <v xml:space="preserve"> Miscellaneous Other Power Gen</v>
      </c>
      <c r="G108" s="1462">
        <f t="array" aca="1" ref="G108" ca="1">SUM(IF(FERCFP=B108,AmountFP))</f>
        <v>169788</v>
      </c>
      <c r="H108" s="1466">
        <f>VLOOKUP(K108,ALLOCTABLE,2)</f>
        <v>100</v>
      </c>
      <c r="I108" s="1463"/>
      <c r="J108" s="1462">
        <f ca="1">ROUND(G108*(H108/100),0)</f>
        <v>169788</v>
      </c>
      <c r="K108" s="1464" t="s">
        <v>593</v>
      </c>
      <c r="L108" s="1463"/>
      <c r="M108" s="1463"/>
      <c r="N108" s="1463"/>
      <c r="O108" s="1463"/>
      <c r="P108" s="1463"/>
      <c r="Q108" s="1463"/>
      <c r="R108" s="1463"/>
      <c r="S108" s="1463"/>
      <c r="T108" s="1463"/>
      <c r="U108" s="1463"/>
      <c r="V108" s="1463"/>
      <c r="W108" s="1463"/>
    </row>
    <row r="109" spans="1:23">
      <c r="A109" s="433"/>
      <c r="B109" s="433"/>
      <c r="C109" s="1464">
        <v>46</v>
      </c>
      <c r="D109" s="1465"/>
      <c r="E109" s="1463"/>
      <c r="F109" s="1318" t="s">
        <v>1104</v>
      </c>
      <c r="G109" s="1319">
        <f ca="1">SUM(G105:G108)</f>
        <v>1153401</v>
      </c>
      <c r="H109" s="1463"/>
      <c r="I109" s="1463"/>
      <c r="J109" s="1319">
        <f ca="1">SUM(J105:J108)</f>
        <v>1153401</v>
      </c>
      <c r="K109" s="1463"/>
      <c r="L109" s="1463"/>
      <c r="M109" s="1463"/>
      <c r="N109" s="1463"/>
      <c r="O109" s="1463"/>
      <c r="P109" s="1463"/>
      <c r="Q109" s="1463"/>
      <c r="R109" s="1463"/>
      <c r="S109" s="1463"/>
      <c r="T109" s="1463"/>
      <c r="U109" s="1463"/>
      <c r="V109" s="1463"/>
      <c r="W109" s="1463"/>
    </row>
    <row r="110" spans="1:23">
      <c r="A110" s="433"/>
      <c r="B110" s="433"/>
      <c r="C110" s="1464">
        <v>47</v>
      </c>
      <c r="D110" s="1465"/>
      <c r="E110" s="1463"/>
      <c r="F110" s="1463" t="s">
        <v>1958</v>
      </c>
      <c r="G110" s="451">
        <f ca="1">G109+G102</f>
        <v>3101814</v>
      </c>
      <c r="H110" s="1463"/>
      <c r="I110" s="1463"/>
      <c r="J110" s="451">
        <f ca="1">J109+J102</f>
        <v>3101814</v>
      </c>
      <c r="K110" s="1463"/>
      <c r="L110" s="1463"/>
      <c r="M110" s="1463"/>
      <c r="N110" s="1463"/>
      <c r="O110" s="1463"/>
      <c r="P110" s="1463"/>
      <c r="Q110" s="1463"/>
      <c r="R110" s="1463"/>
      <c r="S110" s="1463"/>
      <c r="T110" s="1463"/>
      <c r="U110" s="1463"/>
      <c r="V110" s="1463"/>
      <c r="W110" s="1463"/>
    </row>
    <row r="111" spans="1:23">
      <c r="A111" s="433"/>
      <c r="B111" s="433"/>
      <c r="C111" s="1464">
        <v>48</v>
      </c>
      <c r="D111" s="1465"/>
      <c r="E111" s="1463"/>
      <c r="F111" s="1463"/>
      <c r="G111" s="1463"/>
      <c r="H111" s="1463"/>
      <c r="I111" s="1463"/>
      <c r="J111" s="1463"/>
      <c r="K111" s="1463"/>
      <c r="L111" s="1463"/>
      <c r="M111" s="1463"/>
      <c r="N111" s="1463"/>
      <c r="O111" s="1463"/>
      <c r="P111" s="1463"/>
      <c r="Q111" s="1463"/>
      <c r="R111" s="1463"/>
      <c r="S111" s="1463"/>
      <c r="T111" s="1463"/>
      <c r="U111" s="1463"/>
      <c r="V111" s="1463"/>
      <c r="W111" s="1463"/>
    </row>
    <row r="112" spans="1:23">
      <c r="A112" s="433"/>
      <c r="B112" s="432"/>
      <c r="C112" s="1464">
        <v>49</v>
      </c>
      <c r="D112" s="1465"/>
      <c r="E112" s="1463"/>
      <c r="F112" s="441" t="s">
        <v>153</v>
      </c>
      <c r="G112" s="1463"/>
      <c r="H112" s="1463"/>
      <c r="I112" s="1463"/>
      <c r="J112" s="1463"/>
      <c r="K112" s="1463"/>
      <c r="L112" s="1463"/>
      <c r="M112" s="1463"/>
      <c r="N112" s="1463"/>
      <c r="O112" s="1463"/>
      <c r="P112" s="1463"/>
      <c r="Q112" s="1463"/>
      <c r="R112" s="1463"/>
      <c r="S112" s="1463"/>
      <c r="T112" s="1463"/>
      <c r="U112" s="1463"/>
      <c r="V112" s="1463"/>
      <c r="W112" s="1463"/>
    </row>
    <row r="113" spans="1:23">
      <c r="A113" s="433"/>
      <c r="B113" s="432"/>
      <c r="C113" s="1464">
        <v>50</v>
      </c>
      <c r="D113" s="1463"/>
      <c r="E113" s="1463"/>
      <c r="F113" s="441"/>
      <c r="G113" s="1463"/>
      <c r="H113" s="1463"/>
      <c r="I113" s="1463"/>
      <c r="J113" s="1463"/>
      <c r="K113" s="1463"/>
      <c r="L113" s="1463"/>
      <c r="M113" s="1463"/>
      <c r="N113" s="1463"/>
      <c r="O113" s="1463"/>
      <c r="P113" s="1463"/>
      <c r="Q113" s="1463"/>
      <c r="R113" s="1463"/>
      <c r="S113" s="1463"/>
      <c r="T113" s="1463"/>
      <c r="U113" s="1463"/>
      <c r="V113" s="1463"/>
      <c r="W113" s="1463"/>
    </row>
    <row r="114" spans="1:23">
      <c r="A114" s="433"/>
      <c r="B114" s="432"/>
      <c r="C114" s="1464">
        <v>51</v>
      </c>
      <c r="D114" s="1463"/>
      <c r="E114" s="1463"/>
      <c r="F114" s="441" t="s">
        <v>1101</v>
      </c>
      <c r="G114" s="1463"/>
      <c r="H114" s="1463"/>
      <c r="I114" s="1463"/>
      <c r="J114" s="1463"/>
      <c r="K114" s="1463"/>
      <c r="L114" s="1463"/>
      <c r="M114" s="1463"/>
      <c r="N114" s="1463"/>
      <c r="O114" s="1463"/>
      <c r="P114" s="1463"/>
      <c r="Q114" s="1463"/>
      <c r="R114" s="1463"/>
      <c r="S114" s="1463"/>
      <c r="T114" s="1463"/>
      <c r="U114" s="1463"/>
      <c r="V114" s="1463"/>
      <c r="W114" s="1463"/>
    </row>
    <row r="115" spans="1:23">
      <c r="A115" s="1463"/>
      <c r="B115" s="432">
        <v>555</v>
      </c>
      <c r="C115" s="1464">
        <v>52</v>
      </c>
      <c r="D115" s="1464">
        <v>555</v>
      </c>
      <c r="E115" s="1463"/>
      <c r="F115" s="1318" t="str">
        <f>'SCH_C2.1 - Base Period'!F112</f>
        <v xml:space="preserve">  Electric Purchased Inter Co.</v>
      </c>
      <c r="G115" s="1463"/>
      <c r="H115" s="452"/>
      <c r="I115" s="1463"/>
      <c r="J115" s="453"/>
      <c r="K115" s="1463"/>
      <c r="L115" s="1463"/>
      <c r="M115" s="1463"/>
      <c r="N115" s="1463"/>
      <c r="O115" s="1463"/>
      <c r="P115" s="1463"/>
      <c r="Q115" s="1463"/>
      <c r="R115" s="1463"/>
      <c r="S115" s="1463"/>
      <c r="T115" s="1463"/>
      <c r="U115" s="1463"/>
      <c r="V115" s="1463"/>
      <c r="W115" s="1463"/>
    </row>
    <row r="116" spans="1:23">
      <c r="A116" s="433"/>
      <c r="B116" s="433">
        <v>555190</v>
      </c>
      <c r="C116" s="1464">
        <v>53</v>
      </c>
      <c r="D116" s="1464"/>
      <c r="E116" s="1463"/>
      <c r="F116" s="1318" t="s">
        <v>650</v>
      </c>
      <c r="G116" s="1462">
        <f>ROUND(VLOOKUP(B116,FPERIOD,5,FALSE),0)</f>
        <v>0</v>
      </c>
      <c r="H116" s="1466">
        <f>VLOOKUP(K116,ALLOCTABLE,2)</f>
        <v>100</v>
      </c>
      <c r="I116" s="1463"/>
      <c r="J116" s="1462">
        <f>ROUND(G116*(H116/100),0)</f>
        <v>0</v>
      </c>
      <c r="K116" s="1464" t="s">
        <v>593</v>
      </c>
      <c r="L116" s="1463"/>
      <c r="M116" s="1463"/>
      <c r="N116" s="1463"/>
      <c r="O116" s="1463"/>
      <c r="P116" s="1463"/>
      <c r="Q116" s="1463"/>
      <c r="R116" s="1463"/>
      <c r="S116" s="1463"/>
      <c r="T116" s="1463"/>
      <c r="U116" s="1463"/>
      <c r="V116" s="1463"/>
      <c r="W116" s="1463"/>
    </row>
    <row r="117" spans="1:23">
      <c r="A117" s="433"/>
      <c r="B117" s="432"/>
      <c r="C117" s="1464">
        <v>54</v>
      </c>
      <c r="D117" s="1464"/>
      <c r="E117" s="1463"/>
      <c r="F117" s="1318" t="s">
        <v>651</v>
      </c>
      <c r="G117" s="1462">
        <f t="array" aca="1" ref="G117" ca="1">SUM(IF(FERCFP=B115,AmountFP))-G116</f>
        <v>37662808</v>
      </c>
      <c r="H117" s="1466">
        <f>VLOOKUP(K117,ALLOCTABLE,2)</f>
        <v>100</v>
      </c>
      <c r="I117" s="1463"/>
      <c r="J117" s="1462">
        <f ca="1">ROUND(G117*(H117/100),0)</f>
        <v>37662808</v>
      </c>
      <c r="K117" s="1464" t="s">
        <v>593</v>
      </c>
      <c r="L117" s="1463"/>
      <c r="M117" s="1463"/>
      <c r="N117" s="1463"/>
      <c r="O117" s="1463"/>
      <c r="P117" s="1463"/>
      <c r="Q117" s="1463"/>
      <c r="R117" s="1463"/>
      <c r="S117" s="1463"/>
      <c r="T117" s="1463"/>
      <c r="U117" s="1463"/>
      <c r="V117" s="1463"/>
      <c r="W117" s="1463"/>
    </row>
    <row r="118" spans="1:23">
      <c r="A118" s="433"/>
      <c r="B118" s="432">
        <v>556</v>
      </c>
      <c r="C118" s="1464">
        <v>55</v>
      </c>
      <c r="D118" s="1464">
        <v>556</v>
      </c>
      <c r="E118" s="1463"/>
      <c r="F118" s="1318" t="str">
        <f>'SCH_C2.1 - Base Period'!F115</f>
        <v xml:space="preserve">  Electric Systems Operations Dept</v>
      </c>
      <c r="G118" s="1462">
        <f t="array" aca="1" ref="G118" ca="1">SUM(IF(FERCFP=B118,AmountFP))</f>
        <v>288</v>
      </c>
      <c r="H118" s="1466">
        <f>VLOOKUP(K118,ALLOCTABLE,2)</f>
        <v>100</v>
      </c>
      <c r="I118" s="1463"/>
      <c r="J118" s="1462">
        <f ca="1">ROUND(G118*(H118/100),0)</f>
        <v>288</v>
      </c>
      <c r="K118" s="1464" t="s">
        <v>593</v>
      </c>
      <c r="L118" s="1463"/>
      <c r="M118" s="1463"/>
      <c r="N118" s="1463"/>
      <c r="O118" s="1463"/>
      <c r="P118" s="1463"/>
      <c r="Q118" s="1463"/>
      <c r="R118" s="1463"/>
      <c r="S118" s="1463"/>
      <c r="T118" s="1463"/>
      <c r="U118" s="1463"/>
      <c r="V118" s="1463"/>
      <c r="W118" s="1463"/>
    </row>
    <row r="119" spans="1:23">
      <c r="A119" s="433"/>
      <c r="B119" s="432">
        <v>557</v>
      </c>
      <c r="C119" s="1464">
        <v>56</v>
      </c>
      <c r="D119" s="442">
        <v>557</v>
      </c>
      <c r="E119" s="1463"/>
      <c r="F119" s="1318" t="str">
        <f>'SCH_C2.1 - Base Period'!F116</f>
        <v xml:space="preserve">  Electric Other Power Supply</v>
      </c>
      <c r="G119" s="1462">
        <f t="array" aca="1" ref="G119" ca="1">SUM(IF(FERCFP=B119,AmountFP))-G120</f>
        <v>8841445</v>
      </c>
      <c r="H119" s="1466">
        <f>VLOOKUP(K119,ALLOCTABLE,2)</f>
        <v>100</v>
      </c>
      <c r="I119" s="1463"/>
      <c r="J119" s="1462">
        <f ca="1">ROUND(G119*(H119/100),0)</f>
        <v>8841445</v>
      </c>
      <c r="K119" s="1464" t="s">
        <v>593</v>
      </c>
      <c r="L119" s="1463"/>
      <c r="M119" s="1463"/>
      <c r="N119" s="1463"/>
      <c r="O119" s="1463"/>
      <c r="P119" s="1463"/>
      <c r="Q119" s="1463"/>
      <c r="R119" s="1463"/>
      <c r="S119" s="1463"/>
      <c r="T119" s="1463"/>
      <c r="U119" s="1463"/>
      <c r="V119" s="1463"/>
      <c r="W119" s="1463"/>
    </row>
    <row r="120" spans="1:23">
      <c r="A120" s="433"/>
      <c r="B120" s="432">
        <v>557980</v>
      </c>
      <c r="C120" s="1464">
        <v>57</v>
      </c>
      <c r="D120" s="442">
        <v>557</v>
      </c>
      <c r="E120" s="1463"/>
      <c r="F120" s="1318" t="str">
        <f>'SCH_C2.1 - Base Period'!F117</f>
        <v xml:space="preserve">  Retail Deferred Fuel Expenses</v>
      </c>
      <c r="G120" s="1462">
        <f>ROUND(VLOOKUP(B120,FPERIOD,5,FALSE),0)</f>
        <v>2298018</v>
      </c>
      <c r="H120" s="1466">
        <f>VLOOKUP(K120,ALLOCTABLE,2)</f>
        <v>100</v>
      </c>
      <c r="I120" s="1463"/>
      <c r="J120" s="1462">
        <f>ROUND(G120*(H120/100),0)</f>
        <v>2298018</v>
      </c>
      <c r="K120" s="1464" t="s">
        <v>593</v>
      </c>
      <c r="L120" s="1463"/>
      <c r="M120" s="1463"/>
      <c r="N120" s="1463"/>
      <c r="O120" s="1463"/>
      <c r="P120" s="1463"/>
      <c r="Q120" s="1463"/>
      <c r="R120" s="1463"/>
      <c r="S120" s="1463"/>
      <c r="T120" s="1463"/>
      <c r="U120" s="1463"/>
      <c r="V120" s="1463"/>
      <c r="W120" s="1463"/>
    </row>
    <row r="121" spans="1:23">
      <c r="A121" s="433"/>
      <c r="B121" s="432"/>
      <c r="C121" s="1464">
        <v>58</v>
      </c>
      <c r="D121" s="454"/>
      <c r="E121" s="1463"/>
      <c r="F121" s="1318" t="s">
        <v>1959</v>
      </c>
      <c r="G121" s="1319">
        <f ca="1">SUM(G116:G120)</f>
        <v>48802559</v>
      </c>
      <c r="H121" s="1463"/>
      <c r="I121" s="1463"/>
      <c r="J121" s="1319">
        <f ca="1">SUM(J114:J120)</f>
        <v>48802559</v>
      </c>
      <c r="K121" s="1463"/>
      <c r="L121" s="1463"/>
      <c r="M121" s="1463"/>
      <c r="N121" s="1463"/>
      <c r="O121" s="1463"/>
      <c r="P121" s="1463"/>
      <c r="Q121" s="1463"/>
      <c r="R121" s="1463"/>
      <c r="S121" s="1463"/>
      <c r="T121" s="1463"/>
      <c r="U121" s="1463"/>
      <c r="V121" s="1463"/>
      <c r="W121" s="1463"/>
    </row>
    <row r="122" spans="1:23">
      <c r="A122" s="433"/>
      <c r="B122" s="432"/>
      <c r="C122" s="1464">
        <v>59</v>
      </c>
      <c r="D122" s="454"/>
      <c r="E122" s="1463"/>
      <c r="F122" s="1318"/>
      <c r="G122" s="455"/>
      <c r="H122" s="1463"/>
      <c r="I122" s="1463"/>
      <c r="J122" s="455"/>
      <c r="K122" s="1463"/>
      <c r="L122" s="1463"/>
      <c r="M122" s="1463"/>
      <c r="N122" s="1463"/>
      <c r="O122" s="1463"/>
      <c r="P122" s="1463"/>
      <c r="Q122" s="1463"/>
      <c r="R122" s="1463"/>
      <c r="S122" s="1463"/>
      <c r="T122" s="1463"/>
      <c r="U122" s="1463"/>
      <c r="V122" s="1463"/>
      <c r="W122" s="1463"/>
    </row>
    <row r="123" spans="1:23">
      <c r="A123" s="433"/>
      <c r="B123" s="432"/>
      <c r="C123" s="1464">
        <v>60</v>
      </c>
      <c r="D123" s="454"/>
      <c r="E123" s="1463"/>
      <c r="F123" s="1318" t="s">
        <v>1826</v>
      </c>
      <c r="G123" s="1319">
        <f ca="1">G121+G110+G93</f>
        <v>178369803</v>
      </c>
      <c r="H123" s="1463"/>
      <c r="I123" s="1463"/>
      <c r="J123" s="1319">
        <f ca="1">J121+J110+J93</f>
        <v>178369803</v>
      </c>
      <c r="K123" s="1463"/>
      <c r="L123" s="1463"/>
      <c r="M123" s="1463"/>
      <c r="N123" s="1463"/>
      <c r="O123" s="1463"/>
      <c r="P123" s="1463"/>
      <c r="Q123" s="1463"/>
      <c r="R123" s="1463"/>
      <c r="S123" s="1463"/>
      <c r="T123" s="1463"/>
      <c r="U123" s="1463"/>
      <c r="V123" s="1463"/>
      <c r="W123" s="1463"/>
    </row>
    <row r="124" spans="1:23">
      <c r="A124" s="433"/>
      <c r="B124" s="432"/>
      <c r="C124" s="1464"/>
      <c r="D124" s="454"/>
      <c r="E124" s="1463"/>
      <c r="F124" s="1318"/>
      <c r="G124" s="455"/>
      <c r="H124" s="1463"/>
      <c r="I124" s="1463"/>
      <c r="J124" s="455"/>
      <c r="K124" s="1463"/>
      <c r="L124" s="1463"/>
      <c r="M124" s="1463"/>
      <c r="N124" s="1463"/>
      <c r="O124" s="1463"/>
      <c r="P124" s="1463"/>
      <c r="Q124" s="1463"/>
      <c r="R124" s="1463"/>
      <c r="S124" s="1463"/>
      <c r="T124" s="1463"/>
      <c r="U124" s="1463"/>
      <c r="V124" s="1463"/>
      <c r="W124" s="1463"/>
    </row>
    <row r="125" spans="1:23">
      <c r="A125" s="433"/>
      <c r="B125" s="433"/>
      <c r="C125" s="434" t="str">
        <f>COMPANY</f>
        <v>DUKE ENERGY KENTUCKY, INC.</v>
      </c>
      <c r="D125" s="435"/>
      <c r="E125" s="435"/>
      <c r="F125" s="434"/>
      <c r="G125" s="435"/>
      <c r="H125" s="435"/>
      <c r="I125" s="435"/>
      <c r="J125" s="435"/>
      <c r="K125" s="435"/>
      <c r="L125" s="1463"/>
      <c r="M125" s="1463"/>
      <c r="N125" s="1463"/>
      <c r="O125" s="1463"/>
      <c r="P125" s="1463"/>
      <c r="Q125" s="1463"/>
      <c r="R125" s="1463"/>
      <c r="S125" s="1463"/>
      <c r="T125" s="1463"/>
      <c r="U125" s="1463"/>
      <c r="V125" s="1463"/>
      <c r="W125" s="1463"/>
    </row>
    <row r="126" spans="1:23">
      <c r="A126" s="433"/>
      <c r="B126" s="433"/>
      <c r="C126" s="434" t="str">
        <f>CASE</f>
        <v>CASE NO. 2017-00321</v>
      </c>
      <c r="D126" s="435"/>
      <c r="E126" s="435"/>
      <c r="F126" s="434"/>
      <c r="G126" s="435"/>
      <c r="H126" s="435"/>
      <c r="I126" s="435"/>
      <c r="J126" s="435"/>
      <c r="K126" s="435"/>
      <c r="L126" s="1463"/>
      <c r="M126" s="1463"/>
      <c r="N126" s="1463"/>
      <c r="O126" s="1463"/>
      <c r="P126" s="1463"/>
      <c r="Q126" s="1463"/>
      <c r="R126" s="1463"/>
      <c r="S126" s="1463"/>
      <c r="T126" s="1463"/>
      <c r="U126" s="1463"/>
      <c r="V126" s="1463"/>
      <c r="W126" s="1463"/>
    </row>
    <row r="127" spans="1:23">
      <c r="A127" s="433"/>
      <c r="B127" s="433"/>
      <c r="C127" s="434" t="s">
        <v>1949</v>
      </c>
      <c r="D127" s="435"/>
      <c r="E127" s="434"/>
      <c r="F127" s="435"/>
      <c r="G127" s="435"/>
      <c r="H127" s="435"/>
      <c r="I127" s="435"/>
      <c r="J127" s="435"/>
      <c r="K127" s="435"/>
      <c r="L127" s="1463"/>
      <c r="M127" s="1463"/>
      <c r="N127" s="1463"/>
      <c r="O127" s="1463"/>
      <c r="P127" s="1463"/>
      <c r="Q127" s="1463"/>
      <c r="R127" s="1463"/>
      <c r="S127" s="1463"/>
      <c r="T127" s="1463"/>
      <c r="U127" s="1463"/>
      <c r="V127" s="1463"/>
      <c r="W127" s="1463"/>
    </row>
    <row r="128" spans="1:23">
      <c r="A128" s="433"/>
      <c r="B128" s="433"/>
      <c r="C128" s="434" t="str">
        <f>PeriodF</f>
        <v>FOR THE TWELVE MONTHS ENDED MARCH 31, 2019</v>
      </c>
      <c r="D128" s="435"/>
      <c r="E128" s="435"/>
      <c r="F128" s="434"/>
      <c r="G128" s="435"/>
      <c r="H128" s="435"/>
      <c r="I128" s="435"/>
      <c r="J128" s="435"/>
      <c r="K128" s="435"/>
      <c r="L128" s="1463"/>
      <c r="M128" s="1463"/>
      <c r="N128" s="1463"/>
      <c r="O128" s="1463"/>
      <c r="P128" s="1463"/>
      <c r="Q128" s="1463"/>
      <c r="R128" s="1463"/>
      <c r="S128" s="1463"/>
      <c r="T128" s="1463"/>
      <c r="U128" s="1463"/>
      <c r="V128" s="1463"/>
      <c r="W128" s="1463"/>
    </row>
    <row r="129" spans="1:23">
      <c r="A129" s="433"/>
      <c r="B129" s="433"/>
      <c r="C129" s="435"/>
      <c r="D129" s="435"/>
      <c r="E129" s="435"/>
      <c r="F129" s="435"/>
      <c r="G129" s="435"/>
      <c r="H129" s="435"/>
      <c r="I129" s="435"/>
      <c r="J129" s="1463"/>
      <c r="K129" s="1463"/>
      <c r="L129" s="1463"/>
      <c r="M129" s="1463"/>
      <c r="N129" s="1463"/>
      <c r="O129" s="1463"/>
      <c r="P129" s="1463"/>
      <c r="Q129" s="1463"/>
      <c r="R129" s="1463"/>
      <c r="S129" s="1463"/>
      <c r="T129" s="1463"/>
      <c r="U129" s="1463"/>
      <c r="V129" s="1463"/>
      <c r="W129" s="1463"/>
    </row>
    <row r="130" spans="1:23">
      <c r="A130" s="433"/>
      <c r="B130" s="433"/>
      <c r="C130" s="1463"/>
      <c r="D130" s="1463"/>
      <c r="E130" s="1463"/>
      <c r="F130" s="1463"/>
      <c r="G130" s="1463"/>
      <c r="H130" s="1463"/>
      <c r="I130" s="1463"/>
      <c r="J130" s="1318" t="str">
        <f>"                "&amp;"SCHEDULE C-2.1"</f>
        <v xml:space="preserve">                SCHEDULE C-2.1</v>
      </c>
      <c r="K130" s="1463"/>
      <c r="L130" s="1463"/>
      <c r="M130" s="1463"/>
      <c r="N130" s="1463"/>
      <c r="O130" s="1463"/>
      <c r="P130" s="1463"/>
      <c r="Q130" s="1463"/>
      <c r="R130" s="1463"/>
      <c r="S130" s="1463"/>
      <c r="T130" s="1463"/>
      <c r="U130" s="1463"/>
      <c r="V130" s="1463"/>
      <c r="W130" s="1463"/>
    </row>
    <row r="131" spans="1:23">
      <c r="A131" s="433"/>
      <c r="B131" s="433"/>
      <c r="C131" s="436" t="str">
        <f>DataF</f>
        <v>DATA:  BASE PERIOD  "X" FORECASTED PERIOD</v>
      </c>
      <c r="D131" s="1463"/>
      <c r="E131" s="1463"/>
      <c r="F131" s="1463"/>
      <c r="G131" s="1463"/>
      <c r="H131" s="1463"/>
      <c r="I131" s="1463"/>
      <c r="J131" s="1318" t="str">
        <f>"                "&amp;"PAGE  10  OF  14"</f>
        <v xml:space="preserve">                PAGE  10  OF  14</v>
      </c>
      <c r="K131" s="1463"/>
      <c r="L131" s="1463"/>
      <c r="M131" s="1463"/>
      <c r="N131" s="1463"/>
      <c r="O131" s="1463"/>
      <c r="P131" s="1463"/>
      <c r="Q131" s="1463"/>
      <c r="R131" s="1463"/>
      <c r="S131" s="1463"/>
      <c r="T131" s="1463"/>
      <c r="U131" s="1463"/>
      <c r="V131" s="1463"/>
      <c r="W131" s="1463"/>
    </row>
    <row r="132" spans="1:23">
      <c r="A132" s="433"/>
      <c r="B132" s="433"/>
      <c r="C132" s="436" t="str">
        <f>Type</f>
        <v xml:space="preserve">TYPE OF FILING:  "X" ORIGINAL   UPDATED    REVISED  </v>
      </c>
      <c r="D132" s="1463"/>
      <c r="E132" s="1463"/>
      <c r="F132" s="1463"/>
      <c r="G132" s="1463"/>
      <c r="H132" s="1463"/>
      <c r="I132" s="1463"/>
      <c r="J132" s="1318" t="str">
        <f>"                "&amp;"WITNESS RESPONSIBLE:"</f>
        <v xml:space="preserve">                WITNESS RESPONSIBLE:</v>
      </c>
      <c r="K132" s="1463"/>
      <c r="L132" s="1463"/>
      <c r="M132" s="1463"/>
      <c r="N132" s="1463"/>
      <c r="O132" s="1463"/>
      <c r="P132" s="1463"/>
      <c r="Q132" s="1463"/>
      <c r="R132" s="1463"/>
      <c r="S132" s="1463"/>
      <c r="T132" s="1463"/>
      <c r="U132" s="1463"/>
      <c r="V132" s="1463"/>
      <c r="W132" s="1463"/>
    </row>
    <row r="133" spans="1:23">
      <c r="A133" s="433"/>
      <c r="B133" s="433"/>
      <c r="C133" s="1318" t="str">
        <f>$C$11</f>
        <v>WORK PAPER REFERENCE NO(S).: WPC-2.1a_FP</v>
      </c>
      <c r="D133" s="1463"/>
      <c r="E133" s="1463"/>
      <c r="F133" s="1463"/>
      <c r="G133" s="1463"/>
      <c r="H133" s="1463"/>
      <c r="I133" s="1463"/>
      <c r="J133" s="1318" t="str">
        <f>"                "&amp;_WIT1</f>
        <v xml:space="preserve">                S. E. LAWLER</v>
      </c>
      <c r="K133" s="1463"/>
      <c r="L133" s="1463"/>
      <c r="M133" s="1463"/>
      <c r="N133" s="1463"/>
      <c r="O133" s="1463"/>
      <c r="P133" s="1463"/>
      <c r="Q133" s="1463"/>
      <c r="R133" s="1463"/>
      <c r="S133" s="1463"/>
      <c r="T133" s="1463"/>
      <c r="U133" s="1463"/>
      <c r="V133" s="1463"/>
      <c r="W133" s="1463"/>
    </row>
    <row r="134" spans="1:23">
      <c r="A134" s="433"/>
      <c r="B134" s="433"/>
      <c r="C134" s="437"/>
      <c r="D134" s="438"/>
      <c r="E134" s="438"/>
      <c r="F134" s="438"/>
      <c r="G134" s="438"/>
      <c r="H134" s="438"/>
      <c r="I134" s="438"/>
      <c r="J134" s="438"/>
      <c r="K134" s="438"/>
      <c r="L134" s="1463"/>
      <c r="M134" s="1463"/>
      <c r="N134" s="1463"/>
      <c r="O134" s="1463"/>
      <c r="P134" s="1463"/>
      <c r="Q134" s="1463"/>
      <c r="R134" s="1463"/>
      <c r="S134" s="1463"/>
      <c r="T134" s="1463"/>
      <c r="U134" s="1463"/>
      <c r="V134" s="1463"/>
      <c r="W134" s="1463"/>
    </row>
    <row r="135" spans="1:23">
      <c r="A135" s="433"/>
      <c r="B135" s="433"/>
      <c r="C135" s="1463"/>
      <c r="D135" s="1463"/>
      <c r="E135" s="1463"/>
      <c r="F135" s="1463"/>
      <c r="G135" s="1464" t="s">
        <v>238</v>
      </c>
      <c r="H135" s="1465" t="s">
        <v>360</v>
      </c>
      <c r="I135" s="1463"/>
      <c r="J135" s="1463"/>
      <c r="K135" s="1464" t="s">
        <v>1461</v>
      </c>
      <c r="L135" s="1463"/>
      <c r="M135" s="1463"/>
      <c r="N135" s="1463"/>
      <c r="O135" s="1463"/>
      <c r="P135" s="1463"/>
      <c r="Q135" s="1463"/>
      <c r="R135" s="1463"/>
      <c r="S135" s="1463"/>
      <c r="T135" s="1463"/>
      <c r="U135" s="1463"/>
      <c r="V135" s="1463"/>
      <c r="W135" s="1463"/>
    </row>
    <row r="136" spans="1:23">
      <c r="A136" s="433"/>
      <c r="B136" s="433"/>
      <c r="C136" s="1464" t="s">
        <v>1961</v>
      </c>
      <c r="D136" s="1464" t="s">
        <v>1080</v>
      </c>
      <c r="E136" s="1463"/>
      <c r="F136" s="1463"/>
      <c r="G136" s="1464" t="s">
        <v>1035</v>
      </c>
      <c r="H136" s="1464" t="s">
        <v>362</v>
      </c>
      <c r="I136" s="1463"/>
      <c r="J136" s="1464" t="s">
        <v>238</v>
      </c>
      <c r="K136" s="1464" t="s">
        <v>239</v>
      </c>
      <c r="L136" s="1463"/>
      <c r="M136" s="1463"/>
      <c r="N136" s="1463"/>
      <c r="O136" s="1463"/>
      <c r="P136" s="1463"/>
      <c r="Q136" s="1463"/>
      <c r="R136" s="1463"/>
      <c r="S136" s="1463"/>
      <c r="T136" s="1463"/>
      <c r="U136" s="1463"/>
      <c r="V136" s="1463"/>
      <c r="W136" s="1463"/>
    </row>
    <row r="137" spans="1:23">
      <c r="A137" s="433"/>
      <c r="B137" s="433"/>
      <c r="C137" s="1464" t="s">
        <v>1854</v>
      </c>
      <c r="D137" s="1464" t="s">
        <v>90</v>
      </c>
      <c r="E137" s="1463"/>
      <c r="F137" s="434" t="s">
        <v>240</v>
      </c>
      <c r="G137" s="1464" t="s">
        <v>1872</v>
      </c>
      <c r="H137" s="1464" t="s">
        <v>363</v>
      </c>
      <c r="I137" s="1463"/>
      <c r="J137" s="1464" t="s">
        <v>241</v>
      </c>
      <c r="K137" s="1464" t="s">
        <v>566</v>
      </c>
      <c r="L137" s="1463"/>
      <c r="M137" s="1463"/>
      <c r="N137" s="1463"/>
      <c r="O137" s="1463"/>
      <c r="P137" s="1463"/>
      <c r="Q137" s="1463"/>
      <c r="R137" s="1463"/>
      <c r="S137" s="1463"/>
      <c r="T137" s="1463"/>
      <c r="U137" s="1463"/>
      <c r="V137" s="1463"/>
      <c r="W137" s="1463"/>
    </row>
    <row r="138" spans="1:23">
      <c r="A138" s="433"/>
      <c r="B138" s="433"/>
      <c r="C138" s="439"/>
      <c r="D138" s="439"/>
      <c r="E138" s="439"/>
      <c r="F138" s="439"/>
      <c r="G138" s="440" t="s">
        <v>365</v>
      </c>
      <c r="H138" s="440" t="s">
        <v>318</v>
      </c>
      <c r="I138" s="439"/>
      <c r="J138" s="440" t="s">
        <v>319</v>
      </c>
      <c r="K138" s="440" t="s">
        <v>320</v>
      </c>
      <c r="L138" s="1463"/>
      <c r="M138" s="1463"/>
      <c r="N138" s="1463"/>
      <c r="O138" s="1463"/>
      <c r="P138" s="1463"/>
      <c r="Q138" s="1463"/>
      <c r="R138" s="1463"/>
      <c r="S138" s="1463"/>
      <c r="T138" s="1463"/>
      <c r="U138" s="1463"/>
      <c r="V138" s="1463"/>
      <c r="W138" s="1463"/>
    </row>
    <row r="139" spans="1:23">
      <c r="A139" s="433"/>
      <c r="B139" s="433"/>
      <c r="C139" s="1463"/>
      <c r="D139" s="1463"/>
      <c r="E139" s="1463"/>
      <c r="F139" s="1463"/>
      <c r="G139" s="1463"/>
      <c r="H139" s="1463"/>
      <c r="I139" s="1463"/>
      <c r="J139" s="1463"/>
      <c r="K139" s="1463"/>
      <c r="L139" s="1463"/>
      <c r="M139" s="1463"/>
      <c r="N139" s="1463"/>
      <c r="O139" s="1463"/>
      <c r="P139" s="1463"/>
      <c r="Q139" s="1463"/>
      <c r="R139" s="1463"/>
      <c r="S139" s="1463"/>
      <c r="T139" s="1463"/>
      <c r="U139" s="1463"/>
      <c r="V139" s="1463"/>
      <c r="W139" s="1463"/>
    </row>
    <row r="140" spans="1:23">
      <c r="A140" s="433"/>
      <c r="B140" s="433"/>
      <c r="C140" s="1464">
        <v>1</v>
      </c>
      <c r="D140" s="454"/>
      <c r="E140" s="1463"/>
      <c r="F140" s="441" t="s">
        <v>897</v>
      </c>
      <c r="G140" s="1463"/>
      <c r="H140" s="1463"/>
      <c r="I140" s="1463"/>
      <c r="J140" s="1463"/>
      <c r="K140" s="1463"/>
      <c r="L140" s="1463"/>
      <c r="M140" s="1463"/>
      <c r="N140" s="1463"/>
      <c r="O140" s="1463"/>
      <c r="P140" s="1463"/>
      <c r="Q140" s="1463"/>
      <c r="R140" s="1463"/>
      <c r="S140" s="1463"/>
      <c r="T140" s="1463"/>
      <c r="U140" s="1463"/>
      <c r="V140" s="1463"/>
      <c r="W140" s="1463"/>
    </row>
    <row r="141" spans="1:23">
      <c r="A141" s="433"/>
      <c r="B141" s="433"/>
      <c r="C141" s="1464">
        <v>2</v>
      </c>
      <c r="D141" s="454"/>
      <c r="E141" s="1463"/>
      <c r="F141" s="441"/>
      <c r="G141" s="1463"/>
      <c r="H141" s="1463"/>
      <c r="I141" s="1463"/>
      <c r="J141" s="1463"/>
      <c r="K141" s="1463"/>
      <c r="L141" s="1463"/>
      <c r="M141" s="1463"/>
      <c r="N141" s="1463"/>
      <c r="O141" s="1463"/>
      <c r="P141" s="1463"/>
      <c r="Q141" s="1463"/>
      <c r="R141" s="1463"/>
      <c r="S141" s="1463"/>
      <c r="T141" s="1463"/>
      <c r="U141" s="1463"/>
      <c r="V141" s="1463"/>
      <c r="W141" s="1463"/>
    </row>
    <row r="142" spans="1:23">
      <c r="A142" s="433"/>
      <c r="B142" s="433"/>
      <c r="C142" s="1464">
        <v>3</v>
      </c>
      <c r="D142" s="454"/>
      <c r="E142" s="1463"/>
      <c r="F142" s="441" t="s">
        <v>1101</v>
      </c>
      <c r="G142" s="1463"/>
      <c r="H142" s="1463"/>
      <c r="I142" s="1463"/>
      <c r="J142" s="1463"/>
      <c r="K142" s="1463"/>
      <c r="L142" s="1463"/>
      <c r="M142" s="1463"/>
      <c r="N142" s="1463"/>
      <c r="O142" s="1463"/>
      <c r="P142" s="1463"/>
      <c r="Q142" s="1463"/>
      <c r="R142" s="1463"/>
      <c r="S142" s="1463"/>
      <c r="T142" s="1463"/>
      <c r="U142" s="1463"/>
      <c r="V142" s="1463"/>
      <c r="W142" s="1463"/>
    </row>
    <row r="143" spans="1:23">
      <c r="A143" s="433"/>
      <c r="B143" s="432">
        <v>560</v>
      </c>
      <c r="C143" s="1464">
        <v>4</v>
      </c>
      <c r="D143" s="1464">
        <v>560</v>
      </c>
      <c r="E143" s="1463"/>
      <c r="F143" s="1318" t="str">
        <f>'SCH_C2.1 - Base Period'!F140</f>
        <v xml:space="preserve">  Supervision &amp; Engineering</v>
      </c>
      <c r="G143" s="1462">
        <f t="array" aca="1" ref="G143" ca="1">SUM(IF(FERCFP=B143,AmountFP))</f>
        <v>39904</v>
      </c>
      <c r="H143" s="1466">
        <f t="shared" ref="H143:H152" si="20">VLOOKUP(K143,ALLOCTABLE,2)</f>
        <v>100</v>
      </c>
      <c r="I143" s="1463"/>
      <c r="J143" s="1462">
        <f t="shared" ref="J143:J152" ca="1" si="21">ROUND(G143*(H143/100),0)</f>
        <v>39904</v>
      </c>
      <c r="K143" s="1464" t="s">
        <v>593</v>
      </c>
      <c r="L143" s="1463"/>
      <c r="M143" s="1463"/>
      <c r="N143" s="1463"/>
      <c r="O143" s="1463"/>
      <c r="P143" s="1463"/>
      <c r="Q143" s="1463"/>
      <c r="R143" s="1463"/>
      <c r="S143" s="1463"/>
      <c r="T143" s="1463"/>
      <c r="U143" s="1463"/>
      <c r="V143" s="1463"/>
      <c r="W143" s="1463"/>
    </row>
    <row r="144" spans="1:23">
      <c r="A144" s="433"/>
      <c r="B144" s="432">
        <v>561</v>
      </c>
      <c r="C144" s="1464">
        <v>5</v>
      </c>
      <c r="D144" s="1467">
        <v>561</v>
      </c>
      <c r="E144" s="1463"/>
      <c r="F144" s="1318" t="str">
        <f>'SCH_C2.1 - Base Period'!F141</f>
        <v xml:space="preserve">  Load Dispatching</v>
      </c>
      <c r="G144" s="1462">
        <f t="array" aca="1" ref="G144" ca="1">SUM(IF(FERCFP=B144,AmountFP))-G145-G146</f>
        <v>886456</v>
      </c>
      <c r="H144" s="1466">
        <f t="shared" si="20"/>
        <v>100</v>
      </c>
      <c r="I144" s="1463"/>
      <c r="J144" s="1462">
        <f t="shared" ca="1" si="21"/>
        <v>886456</v>
      </c>
      <c r="K144" s="1464" t="s">
        <v>593</v>
      </c>
      <c r="L144" s="1463"/>
      <c r="M144" s="1463"/>
      <c r="N144" s="1463"/>
      <c r="O144" s="1463"/>
      <c r="P144" s="1463"/>
      <c r="Q144" s="1463"/>
      <c r="R144" s="1463"/>
      <c r="S144" s="1463"/>
      <c r="T144" s="1463"/>
      <c r="U144" s="1463"/>
      <c r="V144" s="1463"/>
      <c r="W144" s="1463"/>
    </row>
    <row r="145" spans="1:23">
      <c r="A145" s="433"/>
      <c r="B145" s="432">
        <v>561800</v>
      </c>
      <c r="C145" s="1464">
        <v>6</v>
      </c>
      <c r="D145" s="1467">
        <v>561800</v>
      </c>
      <c r="E145" s="1463"/>
      <c r="F145" s="1318" t="s">
        <v>3101</v>
      </c>
      <c r="G145" s="1462">
        <f t="shared" ref="G145:G146" si="22">ROUND(VLOOKUP(B145,FPERIOD,5,FALSE),0)</f>
        <v>2050560</v>
      </c>
      <c r="H145" s="1466">
        <f t="shared" ref="H145:H146" si="23">VLOOKUP(K145,ALLOCTABLE,2)</f>
        <v>100</v>
      </c>
      <c r="I145" s="1463"/>
      <c r="J145" s="1462">
        <f t="shared" ref="J145:J146" si="24">ROUND(G145*(H145/100),0)</f>
        <v>2050560</v>
      </c>
      <c r="K145" s="1464" t="s">
        <v>593</v>
      </c>
      <c r="L145" s="1463"/>
      <c r="M145" s="1463"/>
      <c r="N145" s="1463"/>
      <c r="O145" s="1463"/>
      <c r="P145" s="1463"/>
      <c r="Q145" s="1463"/>
      <c r="R145" s="1463"/>
      <c r="S145" s="1463"/>
      <c r="T145" s="1463"/>
      <c r="U145" s="1463"/>
      <c r="V145" s="1463"/>
      <c r="W145" s="1463"/>
    </row>
    <row r="146" spans="1:23">
      <c r="A146" s="433"/>
      <c r="B146" s="432">
        <v>561400</v>
      </c>
      <c r="C146" s="1464">
        <v>7</v>
      </c>
      <c r="D146" s="1467">
        <v>561400</v>
      </c>
      <c r="E146" s="1463"/>
      <c r="F146" s="1318" t="s">
        <v>3102</v>
      </c>
      <c r="G146" s="1462">
        <f t="shared" si="22"/>
        <v>1062000</v>
      </c>
      <c r="H146" s="1466">
        <f t="shared" si="23"/>
        <v>100</v>
      </c>
      <c r="I146" s="1463"/>
      <c r="J146" s="1462">
        <f t="shared" si="24"/>
        <v>1062000</v>
      </c>
      <c r="K146" s="1464" t="s">
        <v>593</v>
      </c>
      <c r="L146" s="1463"/>
      <c r="M146" s="1463"/>
      <c r="N146" s="1463"/>
      <c r="O146" s="1463"/>
      <c r="P146" s="1463"/>
      <c r="Q146" s="1463"/>
      <c r="R146" s="1463"/>
      <c r="S146" s="1463"/>
      <c r="T146" s="1463"/>
      <c r="U146" s="1463"/>
      <c r="V146" s="1463"/>
      <c r="W146" s="1463"/>
    </row>
    <row r="147" spans="1:23">
      <c r="A147" s="433"/>
      <c r="B147" s="432">
        <v>562</v>
      </c>
      <c r="C147" s="1464">
        <v>8</v>
      </c>
      <c r="D147" s="1467">
        <v>562</v>
      </c>
      <c r="E147" s="1463"/>
      <c r="F147" s="1318" t="str">
        <f>'SCH_C2.1 - Base Period'!F142</f>
        <v xml:space="preserve">  Station Expense</v>
      </c>
      <c r="G147" s="1462">
        <f t="array" aca="1" ref="G147" ca="1">SUM(IF(FERCFP=B147,AmountFP))</f>
        <v>108794</v>
      </c>
      <c r="H147" s="1466">
        <f t="shared" si="20"/>
        <v>100</v>
      </c>
      <c r="I147" s="1463"/>
      <c r="J147" s="1462">
        <f t="shared" ca="1" si="21"/>
        <v>108794</v>
      </c>
      <c r="K147" s="1464" t="s">
        <v>593</v>
      </c>
      <c r="L147" s="1463"/>
      <c r="M147" s="1463"/>
      <c r="N147" s="1463"/>
      <c r="O147" s="1463"/>
      <c r="P147" s="1463"/>
      <c r="Q147" s="1463"/>
      <c r="R147" s="1463"/>
      <c r="S147" s="1463"/>
      <c r="T147" s="1463"/>
      <c r="U147" s="1463"/>
      <c r="V147" s="1463"/>
      <c r="W147" s="1463"/>
    </row>
    <row r="148" spans="1:23">
      <c r="A148" s="433"/>
      <c r="B148" s="432">
        <v>563</v>
      </c>
      <c r="C148" s="1464">
        <v>9</v>
      </c>
      <c r="D148" s="1467">
        <v>563</v>
      </c>
      <c r="E148" s="1463"/>
      <c r="F148" s="1318" t="str">
        <f>'SCH_C2.1 - Base Period'!F143</f>
        <v xml:space="preserve">  Overhead Lines</v>
      </c>
      <c r="G148" s="1462">
        <f t="array" aca="1" ref="G148" ca="1">SUM(IF(FERCFP=B148,AmountFP))</f>
        <v>22478</v>
      </c>
      <c r="H148" s="1466">
        <f t="shared" si="20"/>
        <v>100</v>
      </c>
      <c r="I148" s="1463"/>
      <c r="J148" s="1462">
        <f t="shared" ca="1" si="21"/>
        <v>22478</v>
      </c>
      <c r="K148" s="1464" t="s">
        <v>593</v>
      </c>
      <c r="L148" s="1463"/>
      <c r="M148" s="1463"/>
      <c r="N148" s="1463"/>
      <c r="O148" s="1463"/>
      <c r="P148" s="1463"/>
      <c r="Q148" s="1463"/>
      <c r="R148" s="1463"/>
      <c r="S148" s="1463"/>
      <c r="T148" s="1463"/>
      <c r="U148" s="1463"/>
      <c r="V148" s="1463"/>
      <c r="W148" s="1463"/>
    </row>
    <row r="149" spans="1:23">
      <c r="A149" s="433"/>
      <c r="B149" s="432">
        <v>565</v>
      </c>
      <c r="C149" s="1464">
        <v>10</v>
      </c>
      <c r="D149" s="1467">
        <v>565</v>
      </c>
      <c r="E149" s="1463"/>
      <c r="F149" s="1318" t="str">
        <f>'SCH_C2.1 - Base Period'!F144</f>
        <v xml:space="preserve">  Transmission of Electricity by Others</v>
      </c>
      <c r="G149" s="1462">
        <f t="array" aca="1" ref="G149" ca="1">SUM(IF(FERCFP=B149,AmountFP))-G150</f>
        <v>396978</v>
      </c>
      <c r="H149" s="1466">
        <f t="shared" si="20"/>
        <v>100</v>
      </c>
      <c r="I149" s="1463"/>
      <c r="J149" s="1462">
        <f t="shared" ca="1" si="21"/>
        <v>396978</v>
      </c>
      <c r="K149" s="1464" t="s">
        <v>593</v>
      </c>
      <c r="L149" s="1463"/>
      <c r="M149" s="1463"/>
      <c r="N149" s="1463"/>
      <c r="O149" s="1463"/>
      <c r="P149" s="1463"/>
      <c r="Q149" s="1463"/>
      <c r="R149" s="1463"/>
      <c r="S149" s="1463"/>
      <c r="T149" s="1463"/>
      <c r="U149" s="1463"/>
      <c r="V149" s="1463"/>
      <c r="W149" s="1463"/>
    </row>
    <row r="150" spans="1:23">
      <c r="A150" s="433"/>
      <c r="B150" s="432"/>
      <c r="C150" s="1464">
        <v>11</v>
      </c>
      <c r="D150" s="1467">
        <v>565</v>
      </c>
      <c r="E150" s="1463"/>
      <c r="F150" s="1318" t="s">
        <v>2755</v>
      </c>
      <c r="G150" s="1618">
        <v>12964731</v>
      </c>
      <c r="H150" s="1466">
        <f t="shared" ref="H150" si="25">VLOOKUP(K150,ALLOCTABLE,2)</f>
        <v>100</v>
      </c>
      <c r="I150" s="1463"/>
      <c r="J150" s="1462">
        <f t="shared" ref="J150" si="26">ROUND(G150*(H150/100),0)</f>
        <v>12964731</v>
      </c>
      <c r="K150" s="1464" t="s">
        <v>593</v>
      </c>
      <c r="L150" s="1463"/>
      <c r="M150" s="1463"/>
      <c r="N150" s="1463"/>
      <c r="O150" s="1463"/>
      <c r="P150" s="1463"/>
      <c r="Q150" s="1463"/>
      <c r="R150" s="1463"/>
      <c r="S150" s="1463"/>
      <c r="T150" s="1463"/>
      <c r="U150" s="1463"/>
      <c r="V150" s="1463"/>
      <c r="W150" s="1463"/>
    </row>
    <row r="151" spans="1:23">
      <c r="A151" s="433"/>
      <c r="B151" s="432">
        <v>566</v>
      </c>
      <c r="C151" s="1464">
        <v>12</v>
      </c>
      <c r="D151" s="1467">
        <v>566</v>
      </c>
      <c r="E151" s="1463"/>
      <c r="F151" s="1318" t="str">
        <f>'SCH_C2.1 - Base Period'!F145</f>
        <v xml:space="preserve">  Miscellaneous Transmission</v>
      </c>
      <c r="G151" s="1462">
        <f t="array" aca="1" ref="G151" ca="1">SUM(IF(FERCFP=B151,AmountFP))</f>
        <v>331678</v>
      </c>
      <c r="H151" s="1466">
        <f t="shared" si="20"/>
        <v>100</v>
      </c>
      <c r="I151" s="1463"/>
      <c r="J151" s="1462">
        <f t="shared" ca="1" si="21"/>
        <v>331678</v>
      </c>
      <c r="K151" s="1464" t="s">
        <v>593</v>
      </c>
      <c r="L151" s="1463"/>
      <c r="M151" s="1463"/>
      <c r="N151" s="1463"/>
      <c r="O151" s="1463"/>
      <c r="P151" s="1463"/>
      <c r="Q151" s="1463"/>
      <c r="R151" s="1463"/>
      <c r="S151" s="1463"/>
      <c r="T151" s="1463"/>
      <c r="U151" s="1463"/>
      <c r="V151" s="1463"/>
      <c r="W151" s="1463"/>
    </row>
    <row r="152" spans="1:23">
      <c r="A152" s="433"/>
      <c r="B152" s="432">
        <v>567</v>
      </c>
      <c r="C152" s="1464">
        <v>13</v>
      </c>
      <c r="D152" s="1467">
        <v>567</v>
      </c>
      <c r="E152" s="1463"/>
      <c r="F152" s="1318" t="str">
        <f>'SCH_C2.1 - Base Period'!F146</f>
        <v xml:space="preserve">  Rents - Interco CG&amp;E</v>
      </c>
      <c r="G152" s="1462">
        <f t="array" aca="1" ref="G152" ca="1">SUM(IF(FERCFP=B152,AmountFP))</f>
        <v>0</v>
      </c>
      <c r="H152" s="1466">
        <f t="shared" si="20"/>
        <v>100</v>
      </c>
      <c r="I152" s="1463"/>
      <c r="J152" s="1462">
        <f t="shared" ca="1" si="21"/>
        <v>0</v>
      </c>
      <c r="K152" s="1464" t="s">
        <v>593</v>
      </c>
      <c r="L152" s="1463"/>
      <c r="M152" s="1463"/>
      <c r="N152" s="1463"/>
      <c r="O152" s="1463"/>
      <c r="P152" s="1463"/>
      <c r="Q152" s="1463"/>
      <c r="R152" s="1463"/>
      <c r="S152" s="1463"/>
      <c r="T152" s="1463"/>
      <c r="U152" s="1463"/>
      <c r="V152" s="1463"/>
      <c r="W152" s="1463"/>
    </row>
    <row r="153" spans="1:23">
      <c r="A153" s="433"/>
      <c r="B153" s="433"/>
      <c r="C153" s="1464">
        <v>14</v>
      </c>
      <c r="D153" s="1463"/>
      <c r="E153" s="1463"/>
      <c r="F153" s="1318" t="s">
        <v>1102</v>
      </c>
      <c r="G153" s="1319">
        <f ca="1">SUM(G143:G152)</f>
        <v>17863579</v>
      </c>
      <c r="H153" s="1463"/>
      <c r="I153" s="1463"/>
      <c r="J153" s="1319">
        <f ca="1">SUM(J143:J152)</f>
        <v>17863579</v>
      </c>
      <c r="K153" s="1463"/>
      <c r="L153" s="1463"/>
      <c r="M153" s="1463"/>
      <c r="N153" s="1463"/>
      <c r="O153" s="1463"/>
      <c r="P153" s="1463"/>
      <c r="Q153" s="1463"/>
      <c r="R153" s="1463"/>
      <c r="S153" s="1463"/>
      <c r="T153" s="1463"/>
      <c r="U153" s="1463"/>
      <c r="V153" s="1463"/>
      <c r="W153" s="1463"/>
    </row>
    <row r="154" spans="1:23">
      <c r="A154" s="433"/>
      <c r="B154" s="433"/>
      <c r="C154" s="1464">
        <v>15</v>
      </c>
      <c r="D154" s="1463"/>
      <c r="E154" s="1463"/>
      <c r="F154" s="1463"/>
      <c r="G154" s="443"/>
      <c r="H154" s="1463"/>
      <c r="I154" s="1463"/>
      <c r="J154" s="443"/>
      <c r="K154" s="1463"/>
      <c r="L154" s="1463"/>
      <c r="M154" s="1463"/>
      <c r="N154" s="1463"/>
      <c r="O154" s="1463"/>
      <c r="P154" s="1463"/>
      <c r="Q154" s="1463"/>
      <c r="R154" s="1463"/>
      <c r="S154" s="1463"/>
      <c r="T154" s="1463"/>
      <c r="U154" s="1463"/>
      <c r="V154" s="1463"/>
      <c r="W154" s="1463"/>
    </row>
    <row r="155" spans="1:23">
      <c r="A155" s="433"/>
      <c r="B155" s="433"/>
      <c r="C155" s="1464">
        <v>16</v>
      </c>
      <c r="D155" s="1463"/>
      <c r="E155" s="1463"/>
      <c r="F155" s="1463"/>
      <c r="G155" s="1463"/>
      <c r="H155" s="1463"/>
      <c r="I155" s="1463"/>
      <c r="J155" s="1463"/>
      <c r="K155" s="1463"/>
      <c r="L155" s="1463"/>
      <c r="M155" s="1463"/>
      <c r="N155" s="1463"/>
      <c r="O155" s="1463"/>
      <c r="P155" s="1463"/>
      <c r="Q155" s="1463"/>
      <c r="R155" s="1463"/>
      <c r="S155" s="1463"/>
      <c r="T155" s="1463"/>
      <c r="U155" s="1463"/>
      <c r="V155" s="1463"/>
      <c r="W155" s="1463"/>
    </row>
    <row r="156" spans="1:23">
      <c r="A156" s="433"/>
      <c r="B156" s="433"/>
      <c r="C156" s="1464">
        <v>17</v>
      </c>
      <c r="D156" s="1463"/>
      <c r="E156" s="1463"/>
      <c r="F156" s="441" t="s">
        <v>1103</v>
      </c>
      <c r="G156" s="1463"/>
      <c r="H156" s="1463"/>
      <c r="I156" s="1463"/>
      <c r="J156" s="1463"/>
      <c r="K156" s="1463"/>
      <c r="L156" s="1463"/>
      <c r="M156" s="1463"/>
      <c r="N156" s="1463"/>
      <c r="O156" s="1463"/>
      <c r="P156" s="1463"/>
      <c r="Q156" s="1463"/>
      <c r="R156" s="1463"/>
      <c r="S156" s="1463"/>
      <c r="T156" s="1463"/>
      <c r="U156" s="1463"/>
      <c r="V156" s="1463"/>
      <c r="W156" s="1463"/>
    </row>
    <row r="157" spans="1:23">
      <c r="A157" s="433"/>
      <c r="B157" s="432">
        <v>568</v>
      </c>
      <c r="C157" s="1464">
        <v>18</v>
      </c>
      <c r="D157" s="1467">
        <v>568</v>
      </c>
      <c r="E157" s="1463"/>
      <c r="F157" s="1318" t="str">
        <f>'SCH_C2.1 - Base Period'!F151</f>
        <v xml:space="preserve">  Supervision &amp; Engineering</v>
      </c>
      <c r="G157" s="1462">
        <f t="array" aca="1" ref="G157" ca="1">SUM(IF(FERCFP=B157,AmountFP))</f>
        <v>0</v>
      </c>
      <c r="H157" s="1466">
        <f t="shared" ref="H157:H162" si="27">VLOOKUP(K157,ALLOCTABLE,2)</f>
        <v>100</v>
      </c>
      <c r="I157" s="1463"/>
      <c r="J157" s="1462">
        <f t="shared" ref="J157:J162" ca="1" si="28">ROUND(G157*(H157/100),0)</f>
        <v>0</v>
      </c>
      <c r="K157" s="1464" t="s">
        <v>593</v>
      </c>
      <c r="L157" s="1463"/>
      <c r="M157" s="1463"/>
      <c r="N157" s="1463"/>
      <c r="O157" s="1463"/>
      <c r="P157" s="1463"/>
      <c r="Q157" s="1463"/>
      <c r="R157" s="1463"/>
      <c r="S157" s="1463"/>
      <c r="T157" s="1463"/>
      <c r="U157" s="1463"/>
      <c r="V157" s="1463"/>
      <c r="W157" s="1463"/>
    </row>
    <row r="158" spans="1:23">
      <c r="A158" s="433"/>
      <c r="B158" s="432">
        <v>569</v>
      </c>
      <c r="C158" s="1464">
        <v>19</v>
      </c>
      <c r="D158" s="1467">
        <v>569</v>
      </c>
      <c r="E158" s="1463"/>
      <c r="F158" s="1318" t="str">
        <f>'SCH_C2.1 - Base Period'!F152</f>
        <v xml:space="preserve">  Structures</v>
      </c>
      <c r="G158" s="1462">
        <f t="array" aca="1" ref="G158" ca="1">SUM(IF(FERCFP=B158,AmountFP))</f>
        <v>258690</v>
      </c>
      <c r="H158" s="1466">
        <f t="shared" si="27"/>
        <v>100</v>
      </c>
      <c r="I158" s="1463"/>
      <c r="J158" s="1462">
        <f t="shared" ca="1" si="28"/>
        <v>258690</v>
      </c>
      <c r="K158" s="1464" t="s">
        <v>593</v>
      </c>
      <c r="L158" s="1463"/>
      <c r="M158" s="1463"/>
      <c r="N158" s="1463"/>
      <c r="O158" s="1463"/>
      <c r="P158" s="1463"/>
      <c r="Q158" s="1463"/>
      <c r="R158" s="1463"/>
      <c r="S158" s="1463"/>
      <c r="T158" s="1463"/>
      <c r="U158" s="1463"/>
      <c r="V158" s="1463"/>
      <c r="W158" s="1463"/>
    </row>
    <row r="159" spans="1:23">
      <c r="A159" s="433"/>
      <c r="B159" s="432">
        <v>570</v>
      </c>
      <c r="C159" s="1464">
        <v>20</v>
      </c>
      <c r="D159" s="1467">
        <v>570</v>
      </c>
      <c r="E159" s="1463"/>
      <c r="F159" s="1318" t="str">
        <f>'SCH_C2.1 - Base Period'!F153</f>
        <v xml:space="preserve">  Station Equipment</v>
      </c>
      <c r="G159" s="1462">
        <f t="array" aca="1" ref="G159" ca="1">SUM(IF(FERCFP=B159,AmountFP))</f>
        <v>280677</v>
      </c>
      <c r="H159" s="1466">
        <f t="shared" si="27"/>
        <v>100</v>
      </c>
      <c r="I159" s="1463"/>
      <c r="J159" s="1462">
        <f t="shared" ca="1" si="28"/>
        <v>280677</v>
      </c>
      <c r="K159" s="1464" t="s">
        <v>593</v>
      </c>
      <c r="L159" s="1463"/>
      <c r="M159" s="1463"/>
      <c r="N159" s="1463"/>
      <c r="O159" s="1463"/>
      <c r="P159" s="1463"/>
      <c r="Q159" s="1463"/>
      <c r="R159" s="1463"/>
      <c r="S159" s="1463"/>
      <c r="T159" s="1463"/>
      <c r="U159" s="1463"/>
      <c r="V159" s="1463"/>
      <c r="W159" s="1463"/>
    </row>
    <row r="160" spans="1:23">
      <c r="A160" s="433"/>
      <c r="B160" s="432">
        <v>571</v>
      </c>
      <c r="C160" s="1464">
        <v>21</v>
      </c>
      <c r="D160" s="1467">
        <v>571</v>
      </c>
      <c r="E160" s="1463"/>
      <c r="F160" s="1318" t="str">
        <f>'SCH_C2.1 - Base Period'!F154</f>
        <v xml:space="preserve">  Overhead Lines</v>
      </c>
      <c r="G160" s="1462">
        <f t="array" aca="1" ref="G160" ca="1">SUM(IF(FERCFP=B160,AmountFP))</f>
        <v>612194</v>
      </c>
      <c r="H160" s="1466">
        <f t="shared" si="27"/>
        <v>100</v>
      </c>
      <c r="I160" s="1463"/>
      <c r="J160" s="1462">
        <f t="shared" ca="1" si="28"/>
        <v>612194</v>
      </c>
      <c r="K160" s="1464" t="s">
        <v>593</v>
      </c>
      <c r="L160" s="1463"/>
      <c r="M160" s="1463"/>
      <c r="N160" s="1463"/>
      <c r="O160" s="1463"/>
      <c r="P160" s="1463"/>
      <c r="Q160" s="1463"/>
      <c r="R160" s="1463"/>
      <c r="S160" s="1463"/>
      <c r="T160" s="1463"/>
      <c r="U160" s="1463"/>
      <c r="V160" s="1463"/>
      <c r="W160" s="1463"/>
    </row>
    <row r="161" spans="1:23">
      <c r="A161" s="433"/>
      <c r="B161" s="432">
        <v>572</v>
      </c>
      <c r="C161" s="1464">
        <v>22</v>
      </c>
      <c r="D161" s="1467">
        <v>572</v>
      </c>
      <c r="E161" s="1463"/>
      <c r="F161" s="1318" t="str">
        <f>'SCH_C2.1 - Base Period'!F155</f>
        <v xml:space="preserve">  Underground Lines</v>
      </c>
      <c r="G161" s="1462">
        <f t="array" aca="1" ref="G161" ca="1">SUM(IF(FERCFP=B161,AmountFP))</f>
        <v>0</v>
      </c>
      <c r="H161" s="1466">
        <f t="shared" si="27"/>
        <v>100</v>
      </c>
      <c r="I161" s="1463"/>
      <c r="J161" s="1462">
        <f t="shared" ca="1" si="28"/>
        <v>0</v>
      </c>
      <c r="K161" s="1464" t="s">
        <v>593</v>
      </c>
      <c r="L161" s="1463"/>
      <c r="M161" s="1463"/>
      <c r="N161" s="1463"/>
      <c r="O161" s="1463"/>
      <c r="P161" s="1463"/>
      <c r="Q161" s="1463"/>
      <c r="R161" s="1463"/>
      <c r="S161" s="1463"/>
      <c r="T161" s="1463"/>
      <c r="U161" s="1463"/>
      <c r="V161" s="1463"/>
      <c r="W161" s="1463"/>
    </row>
    <row r="162" spans="1:23">
      <c r="A162" s="433"/>
      <c r="B162" s="432">
        <v>573</v>
      </c>
      <c r="C162" s="1464">
        <v>23</v>
      </c>
      <c r="D162" s="1467">
        <v>573</v>
      </c>
      <c r="E162" s="1463"/>
      <c r="F162" s="1318" t="str">
        <f>'SCH_C2.1 - Base Period'!F156</f>
        <v xml:space="preserve">  Miscellaneous</v>
      </c>
      <c r="G162" s="1462">
        <f t="array" aca="1" ref="G162" ca="1">SUM(IF(FERCFP=B162,AmountFP))</f>
        <v>0</v>
      </c>
      <c r="H162" s="1466">
        <f t="shared" si="27"/>
        <v>100</v>
      </c>
      <c r="I162" s="1463"/>
      <c r="J162" s="1462">
        <f t="shared" ca="1" si="28"/>
        <v>0</v>
      </c>
      <c r="K162" s="1464" t="s">
        <v>593</v>
      </c>
      <c r="L162" s="1463"/>
      <c r="M162" s="1463"/>
      <c r="N162" s="1463"/>
      <c r="O162" s="1463"/>
      <c r="P162" s="1463"/>
      <c r="Q162" s="1463"/>
      <c r="R162" s="1463"/>
      <c r="S162" s="1463"/>
      <c r="T162" s="1463"/>
      <c r="U162" s="1463"/>
      <c r="V162" s="1463"/>
      <c r="W162" s="1463"/>
    </row>
    <row r="163" spans="1:23">
      <c r="A163" s="433"/>
      <c r="B163" s="432"/>
      <c r="C163" s="1464">
        <v>24</v>
      </c>
      <c r="D163" s="1463"/>
      <c r="E163" s="1463"/>
      <c r="F163" s="1318" t="s">
        <v>1104</v>
      </c>
      <c r="G163" s="1319">
        <f ca="1">SUM(G157:G162)</f>
        <v>1151561</v>
      </c>
      <c r="H163" s="1463"/>
      <c r="I163" s="1463"/>
      <c r="J163" s="1319">
        <f ca="1">SUM(J157:J162)</f>
        <v>1151561</v>
      </c>
      <c r="K163" s="1464" t="s">
        <v>593</v>
      </c>
      <c r="L163" s="1463"/>
      <c r="M163" s="1463"/>
      <c r="N163" s="1463"/>
      <c r="O163" s="1463"/>
      <c r="P163" s="1463"/>
      <c r="Q163" s="1463"/>
      <c r="R163" s="1463"/>
      <c r="S163" s="1463"/>
      <c r="T163" s="1463"/>
      <c r="U163" s="1463"/>
      <c r="V163" s="1463"/>
      <c r="W163" s="1463"/>
    </row>
    <row r="164" spans="1:23">
      <c r="A164" s="433"/>
      <c r="B164" s="432"/>
      <c r="C164" s="1464">
        <v>25</v>
      </c>
      <c r="D164" s="454"/>
      <c r="E164" s="1463"/>
      <c r="F164" s="1318" t="s">
        <v>662</v>
      </c>
      <c r="G164" s="1319">
        <f ca="1">G153+G163</f>
        <v>19015140</v>
      </c>
      <c r="H164" s="1463"/>
      <c r="I164" s="1463"/>
      <c r="J164" s="1319">
        <f ca="1">J153+J163</f>
        <v>19015140</v>
      </c>
      <c r="K164" s="1463"/>
      <c r="L164" s="1463"/>
      <c r="M164" s="1463"/>
      <c r="N164" s="1463"/>
      <c r="O164" s="1463"/>
      <c r="P164" s="1463"/>
      <c r="Q164" s="1463"/>
      <c r="R164" s="1463"/>
      <c r="S164" s="1463"/>
      <c r="T164" s="1463"/>
      <c r="U164" s="1463"/>
      <c r="V164" s="1463"/>
      <c r="W164" s="1463"/>
    </row>
    <row r="165" spans="1:23">
      <c r="A165" s="433"/>
      <c r="B165" s="433"/>
      <c r="C165" s="1464">
        <v>26</v>
      </c>
      <c r="D165" s="1463"/>
      <c r="E165" s="1463"/>
      <c r="F165" s="1463"/>
      <c r="G165" s="1463"/>
      <c r="H165" s="1463"/>
      <c r="I165" s="1463"/>
      <c r="J165" s="1463"/>
      <c r="K165" s="1463"/>
      <c r="L165" s="1463"/>
      <c r="M165" s="1463"/>
      <c r="N165" s="1463"/>
      <c r="O165" s="1463"/>
      <c r="P165" s="1463"/>
      <c r="Q165" s="1463"/>
      <c r="R165" s="1463"/>
      <c r="S165" s="1463"/>
      <c r="T165" s="1463"/>
      <c r="U165" s="1463"/>
      <c r="V165" s="1463"/>
      <c r="W165" s="1463"/>
    </row>
    <row r="166" spans="1:23">
      <c r="A166" s="433"/>
      <c r="B166" s="433"/>
      <c r="C166" s="1464">
        <v>27</v>
      </c>
      <c r="D166" s="1463"/>
      <c r="E166" s="1463"/>
      <c r="F166" s="441" t="s">
        <v>2179</v>
      </c>
      <c r="G166" s="1463"/>
      <c r="H166" s="1463"/>
      <c r="I166" s="1463"/>
      <c r="J166" s="1463"/>
      <c r="K166" s="1463"/>
      <c r="L166" s="1463"/>
      <c r="M166" s="1463"/>
      <c r="N166" s="1463"/>
      <c r="O166" s="1463"/>
      <c r="P166" s="1463"/>
      <c r="Q166" s="1463"/>
      <c r="R166" s="1463"/>
      <c r="S166" s="1463"/>
      <c r="T166" s="1463"/>
      <c r="U166" s="1463"/>
      <c r="V166" s="1463"/>
      <c r="W166" s="1463"/>
    </row>
    <row r="167" spans="1:23">
      <c r="A167" s="433"/>
      <c r="B167" s="433"/>
      <c r="C167" s="1464">
        <v>28</v>
      </c>
      <c r="D167" s="1463"/>
      <c r="E167" s="1463"/>
      <c r="F167" s="1463"/>
      <c r="G167" s="1463"/>
      <c r="H167" s="1463"/>
      <c r="I167" s="1463"/>
      <c r="J167" s="1463"/>
      <c r="K167" s="1463"/>
      <c r="L167" s="1463"/>
      <c r="M167" s="1463"/>
      <c r="N167" s="1463"/>
      <c r="O167" s="1463"/>
      <c r="P167" s="1463"/>
      <c r="Q167" s="1463"/>
      <c r="R167" s="1463"/>
      <c r="S167" s="1463"/>
      <c r="T167" s="1463"/>
      <c r="U167" s="1463"/>
      <c r="V167" s="1463"/>
      <c r="W167" s="1463"/>
    </row>
    <row r="168" spans="1:23">
      <c r="A168" s="433"/>
      <c r="B168" s="433"/>
      <c r="C168" s="1464">
        <v>29</v>
      </c>
      <c r="D168" s="1463"/>
      <c r="E168" s="1463"/>
      <c r="F168" s="441" t="s">
        <v>1101</v>
      </c>
      <c r="G168" s="1463"/>
      <c r="H168" s="1463"/>
      <c r="I168" s="1463"/>
      <c r="J168" s="1463"/>
      <c r="K168" s="1463"/>
      <c r="L168" s="1463"/>
      <c r="M168" s="1463"/>
      <c r="N168" s="1463"/>
      <c r="O168" s="1463"/>
      <c r="P168" s="1463"/>
      <c r="Q168" s="1463"/>
      <c r="R168" s="1463"/>
      <c r="S168" s="1463"/>
      <c r="T168" s="1463"/>
      <c r="U168" s="1463"/>
      <c r="V168" s="1463"/>
      <c r="W168" s="1463"/>
    </row>
    <row r="169" spans="1:23">
      <c r="A169" s="433"/>
      <c r="B169" s="433">
        <v>575</v>
      </c>
      <c r="C169" s="1464">
        <v>30</v>
      </c>
      <c r="D169" s="1465">
        <v>575</v>
      </c>
      <c r="E169" s="1463"/>
      <c r="F169" s="1349" t="str">
        <f>'SCH_C2.1 - Base Period'!F163</f>
        <v>Market Facilitation-Mntr&amp;Comp</v>
      </c>
      <c r="G169" s="1462">
        <f t="array" aca="1" ref="G169" ca="1">SUM(IF(FERCFP=B169,AmountFP))</f>
        <v>1716657</v>
      </c>
      <c r="H169" s="1466">
        <f>VLOOKUP(K169,ALLOCTABLE,2)</f>
        <v>100</v>
      </c>
      <c r="I169" s="1463"/>
      <c r="J169" s="1462">
        <f ca="1">ROUND(G169*(H169/100),0)</f>
        <v>1716657</v>
      </c>
      <c r="K169" s="1464" t="s">
        <v>593</v>
      </c>
      <c r="L169" s="1463"/>
      <c r="M169" s="1463"/>
      <c r="N169" s="1463"/>
      <c r="O169" s="1463"/>
      <c r="P169" s="1463"/>
      <c r="Q169" s="1463"/>
      <c r="R169" s="1463"/>
      <c r="S169" s="1463"/>
      <c r="T169" s="1463"/>
      <c r="U169" s="1463"/>
      <c r="V169" s="1463"/>
      <c r="W169" s="1463"/>
    </row>
    <row r="170" spans="1:23">
      <c r="A170" s="433"/>
      <c r="B170" s="433"/>
      <c r="C170" s="1464">
        <v>31</v>
      </c>
      <c r="D170" s="1463"/>
      <c r="E170" s="1463"/>
      <c r="F170" s="1318" t="s">
        <v>2180</v>
      </c>
      <c r="G170" s="1319">
        <f ca="1">SUM(G169)</f>
        <v>1716657</v>
      </c>
      <c r="H170" s="1463"/>
      <c r="I170" s="1463"/>
      <c r="J170" s="1319">
        <f ca="1">SUM(J169)</f>
        <v>1716657</v>
      </c>
      <c r="K170" s="1463"/>
      <c r="L170" s="1463"/>
      <c r="M170" s="1463"/>
      <c r="N170" s="1463"/>
      <c r="O170" s="1463"/>
      <c r="P170" s="1463"/>
      <c r="Q170" s="1463"/>
      <c r="R170" s="1463"/>
      <c r="S170" s="1463"/>
      <c r="T170" s="1463"/>
      <c r="U170" s="1463"/>
      <c r="V170" s="1463"/>
      <c r="W170" s="1463"/>
    </row>
    <row r="171" spans="1:23">
      <c r="A171" s="433"/>
      <c r="B171" s="433"/>
      <c r="C171" s="1464">
        <v>32</v>
      </c>
      <c r="D171" s="1463"/>
      <c r="E171" s="1463"/>
      <c r="F171" s="1463"/>
      <c r="G171" s="1463"/>
      <c r="H171" s="1463"/>
      <c r="I171" s="1463"/>
      <c r="J171" s="1463"/>
      <c r="K171" s="1463"/>
      <c r="L171" s="1463"/>
      <c r="M171" s="1463"/>
      <c r="N171" s="1463"/>
      <c r="O171" s="1463"/>
      <c r="P171" s="1463"/>
      <c r="Q171" s="1463"/>
      <c r="R171" s="1463"/>
      <c r="S171" s="1463"/>
      <c r="T171" s="1463"/>
      <c r="U171" s="1463"/>
      <c r="V171" s="1463"/>
      <c r="W171" s="1463"/>
    </row>
    <row r="172" spans="1:23">
      <c r="A172" s="433"/>
      <c r="B172" s="433"/>
      <c r="C172" s="1464">
        <v>33</v>
      </c>
      <c r="D172" s="454"/>
      <c r="E172" s="1463"/>
      <c r="F172" s="441" t="s">
        <v>172</v>
      </c>
      <c r="G172" s="1463"/>
      <c r="H172" s="1463"/>
      <c r="I172" s="1463"/>
      <c r="J172" s="1463"/>
      <c r="K172" s="1463"/>
      <c r="L172" s="1463"/>
      <c r="M172" s="1463"/>
      <c r="N172" s="1463"/>
      <c r="O172" s="1463"/>
      <c r="P172" s="1463"/>
      <c r="Q172" s="1463"/>
      <c r="R172" s="1463"/>
      <c r="S172" s="1463"/>
      <c r="T172" s="1463"/>
      <c r="U172" s="1463"/>
      <c r="V172" s="1463"/>
      <c r="W172" s="1463"/>
    </row>
    <row r="173" spans="1:23">
      <c r="A173" s="433"/>
      <c r="B173" s="433"/>
      <c r="C173" s="1464">
        <v>34</v>
      </c>
      <c r="D173" s="1463"/>
      <c r="E173" s="1463"/>
      <c r="F173" s="1463"/>
      <c r="G173" s="1463"/>
      <c r="H173" s="1463"/>
      <c r="I173" s="1463"/>
      <c r="J173" s="1463"/>
      <c r="K173" s="1463"/>
      <c r="L173" s="1463"/>
      <c r="M173" s="1463"/>
      <c r="N173" s="1463"/>
      <c r="O173" s="1463"/>
      <c r="P173" s="1463"/>
      <c r="Q173" s="1463"/>
      <c r="R173" s="1463"/>
      <c r="S173" s="1463"/>
      <c r="T173" s="1463"/>
      <c r="U173" s="1463"/>
      <c r="V173" s="1463"/>
      <c r="W173" s="1463"/>
    </row>
    <row r="174" spans="1:23">
      <c r="A174" s="433"/>
      <c r="B174" s="433"/>
      <c r="C174" s="1464">
        <v>35</v>
      </c>
      <c r="D174" s="454"/>
      <c r="E174" s="1463"/>
      <c r="F174" s="441" t="s">
        <v>1101</v>
      </c>
      <c r="G174" s="1463"/>
      <c r="H174" s="1463"/>
      <c r="I174" s="1463"/>
      <c r="J174" s="1463"/>
      <c r="K174" s="1463"/>
      <c r="L174" s="1463"/>
      <c r="M174" s="1463"/>
      <c r="N174" s="1463"/>
      <c r="O174" s="1463"/>
      <c r="P174" s="1463"/>
      <c r="Q174" s="1463"/>
      <c r="R174" s="1463"/>
      <c r="S174" s="1463"/>
      <c r="T174" s="1463"/>
      <c r="U174" s="1463"/>
      <c r="V174" s="1463"/>
      <c r="W174" s="1463"/>
    </row>
    <row r="175" spans="1:23">
      <c r="A175" s="433"/>
      <c r="B175" s="432">
        <v>580</v>
      </c>
      <c r="C175" s="1464">
        <v>36</v>
      </c>
      <c r="D175" s="1467">
        <v>580</v>
      </c>
      <c r="E175" s="1463"/>
      <c r="F175" s="1318" t="str">
        <f>'SCH_C2.1 - Base Period'!F169</f>
        <v xml:space="preserve">  Supervision &amp; Engineering</v>
      </c>
      <c r="G175" s="1462">
        <f t="array" aca="1" ref="G175" ca="1">SUM(IF(FERCFP=B175,AmountFP))</f>
        <v>163986</v>
      </c>
      <c r="H175" s="1466">
        <f t="shared" ref="H175:H184" si="29">VLOOKUP(K175,ALLOCTABLE,2)</f>
        <v>100</v>
      </c>
      <c r="I175" s="1463"/>
      <c r="J175" s="1462">
        <f t="shared" ref="J175:J184" ca="1" si="30">ROUND(G175*(H175/100),0)</f>
        <v>163986</v>
      </c>
      <c r="K175" s="1464" t="s">
        <v>593</v>
      </c>
      <c r="L175" s="1463"/>
      <c r="M175" s="1463"/>
      <c r="N175" s="1463"/>
      <c r="O175" s="1463"/>
      <c r="P175" s="1463"/>
      <c r="Q175" s="1463"/>
      <c r="R175" s="1463"/>
      <c r="S175" s="1463"/>
      <c r="T175" s="1463"/>
      <c r="U175" s="1463"/>
      <c r="V175" s="1463"/>
      <c r="W175" s="1463"/>
    </row>
    <row r="176" spans="1:23">
      <c r="A176" s="433"/>
      <c r="B176" s="432">
        <v>581</v>
      </c>
      <c r="C176" s="1464">
        <v>37</v>
      </c>
      <c r="D176" s="1467">
        <v>581</v>
      </c>
      <c r="E176" s="1463"/>
      <c r="F176" s="1318" t="str">
        <f>'SCH_C2.1 - Base Period'!F170</f>
        <v xml:space="preserve">  Load Dispatching</v>
      </c>
      <c r="G176" s="1462">
        <f t="array" aca="1" ref="G176" ca="1">SUM(IF(FERCFP=B176,AmountFP))</f>
        <v>469682</v>
      </c>
      <c r="H176" s="1466">
        <f t="shared" si="29"/>
        <v>100</v>
      </c>
      <c r="I176" s="1463"/>
      <c r="J176" s="1462">
        <f t="shared" ca="1" si="30"/>
        <v>469682</v>
      </c>
      <c r="K176" s="1464" t="s">
        <v>593</v>
      </c>
      <c r="L176" s="1463"/>
      <c r="M176" s="1463"/>
      <c r="N176" s="1463"/>
      <c r="O176" s="1463"/>
      <c r="P176" s="1463"/>
      <c r="Q176" s="1463"/>
      <c r="R176" s="1463"/>
      <c r="S176" s="1463"/>
      <c r="T176" s="1463"/>
      <c r="U176" s="1463"/>
      <c r="V176" s="1463"/>
      <c r="W176" s="1463"/>
    </row>
    <row r="177" spans="1:23">
      <c r="A177" s="433"/>
      <c r="B177" s="432">
        <v>582</v>
      </c>
      <c r="C177" s="1464">
        <v>38</v>
      </c>
      <c r="D177" s="1467">
        <v>582</v>
      </c>
      <c r="E177" s="1463"/>
      <c r="F177" s="1318" t="str">
        <f>'SCH_C2.1 - Base Period'!F171</f>
        <v xml:space="preserve">  Station Expenses</v>
      </c>
      <c r="G177" s="1462">
        <f t="array" aca="1" ref="G177" ca="1">SUM(IF(FERCFP=B177,AmountFP))</f>
        <v>136438</v>
      </c>
      <c r="H177" s="1466">
        <f t="shared" si="29"/>
        <v>100</v>
      </c>
      <c r="I177" s="1463"/>
      <c r="J177" s="1462">
        <f t="shared" ca="1" si="30"/>
        <v>136438</v>
      </c>
      <c r="K177" s="1464" t="s">
        <v>593</v>
      </c>
      <c r="L177" s="1463"/>
      <c r="M177" s="1463"/>
      <c r="N177" s="1463"/>
      <c r="O177" s="1463"/>
      <c r="P177" s="1463"/>
      <c r="Q177" s="1463"/>
      <c r="R177" s="1463"/>
      <c r="S177" s="1463"/>
      <c r="T177" s="1463"/>
      <c r="U177" s="1463"/>
      <c r="V177" s="1463"/>
      <c r="W177" s="1463"/>
    </row>
    <row r="178" spans="1:23">
      <c r="A178" s="433"/>
      <c r="B178" s="432">
        <v>583</v>
      </c>
      <c r="C178" s="1464">
        <v>39</v>
      </c>
      <c r="D178" s="1467">
        <v>583</v>
      </c>
      <c r="E178" s="1463"/>
      <c r="F178" s="1318" t="str">
        <f>'SCH_C2.1 - Base Period'!F172</f>
        <v xml:space="preserve">  Overhead Lines</v>
      </c>
      <c r="G178" s="1462">
        <f t="array" aca="1" ref="G178" ca="1">SUM(IF(FERCFP=B178,AmountFP))</f>
        <v>688608</v>
      </c>
      <c r="H178" s="1466">
        <f t="shared" si="29"/>
        <v>100</v>
      </c>
      <c r="I178" s="1463"/>
      <c r="J178" s="1462">
        <f t="shared" ca="1" si="30"/>
        <v>688608</v>
      </c>
      <c r="K178" s="1464" t="s">
        <v>593</v>
      </c>
      <c r="L178" s="1463"/>
      <c r="M178" s="1463"/>
      <c r="N178" s="1463"/>
      <c r="O178" s="1463"/>
      <c r="P178" s="1463"/>
      <c r="Q178" s="1463"/>
      <c r="R178" s="1463"/>
      <c r="S178" s="1463"/>
      <c r="T178" s="1463"/>
      <c r="U178" s="1463"/>
      <c r="V178" s="1463"/>
      <c r="W178" s="1463"/>
    </row>
    <row r="179" spans="1:23">
      <c r="A179" s="433"/>
      <c r="B179" s="432">
        <v>584</v>
      </c>
      <c r="C179" s="1464">
        <v>40</v>
      </c>
      <c r="D179" s="1467">
        <v>584</v>
      </c>
      <c r="E179" s="1463"/>
      <c r="F179" s="1318" t="str">
        <f>'SCH_C2.1 - Base Period'!F173</f>
        <v xml:space="preserve">  Underground Lines</v>
      </c>
      <c r="G179" s="1462">
        <f t="array" aca="1" ref="G179" ca="1">SUM(IF(FERCFP=B179,AmountFP))</f>
        <v>505404</v>
      </c>
      <c r="H179" s="1466">
        <f t="shared" si="29"/>
        <v>100</v>
      </c>
      <c r="I179" s="1463"/>
      <c r="J179" s="1462">
        <f t="shared" ca="1" si="30"/>
        <v>505404</v>
      </c>
      <c r="K179" s="1464" t="s">
        <v>593</v>
      </c>
      <c r="L179" s="1463"/>
      <c r="M179" s="1463"/>
      <c r="N179" s="1463"/>
      <c r="O179" s="1463"/>
      <c r="P179" s="1463"/>
      <c r="Q179" s="1463"/>
      <c r="R179" s="1463"/>
      <c r="S179" s="1463"/>
      <c r="T179" s="1463"/>
      <c r="U179" s="1463"/>
      <c r="V179" s="1463"/>
      <c r="W179" s="1463"/>
    </row>
    <row r="180" spans="1:23">
      <c r="A180" s="433"/>
      <c r="B180" s="432">
        <v>585</v>
      </c>
      <c r="C180" s="1464">
        <v>41</v>
      </c>
      <c r="D180" s="1467">
        <v>585</v>
      </c>
      <c r="E180" s="1463"/>
      <c r="F180" s="1318" t="str">
        <f>'SCH_C2.1 - Base Period'!F174</f>
        <v xml:space="preserve">  Street Lighting &amp; Signal Systems</v>
      </c>
      <c r="G180" s="1462">
        <f t="array" aca="1" ref="G180" ca="1">SUM(IF(FERCFP=B180,AmountFP))</f>
        <v>0</v>
      </c>
      <c r="H180" s="1466">
        <f t="shared" si="29"/>
        <v>100</v>
      </c>
      <c r="I180" s="1463"/>
      <c r="J180" s="1462">
        <f t="shared" ca="1" si="30"/>
        <v>0</v>
      </c>
      <c r="K180" s="1464" t="s">
        <v>593</v>
      </c>
      <c r="L180" s="1463"/>
      <c r="M180" s="1463"/>
      <c r="N180" s="1463"/>
      <c r="O180" s="1463"/>
      <c r="P180" s="1463"/>
      <c r="Q180" s="1463"/>
      <c r="R180" s="1463"/>
      <c r="S180" s="1463"/>
      <c r="T180" s="1463"/>
      <c r="U180" s="1463"/>
      <c r="V180" s="1463"/>
      <c r="W180" s="1463"/>
    </row>
    <row r="181" spans="1:23">
      <c r="A181" s="433"/>
      <c r="B181" s="432">
        <v>586</v>
      </c>
      <c r="C181" s="1464">
        <v>42</v>
      </c>
      <c r="D181" s="1467">
        <v>586</v>
      </c>
      <c r="E181" s="1463"/>
      <c r="F181" s="1318" t="str">
        <f>'SCH_C2.1 - Base Period'!F175</f>
        <v xml:space="preserve">  Meter Expense</v>
      </c>
      <c r="G181" s="1462">
        <f t="array" aca="1" ref="G181" ca="1">SUM(IF(FERCFP=B181,AmountFP))</f>
        <v>55056</v>
      </c>
      <c r="H181" s="1466">
        <f t="shared" si="29"/>
        <v>100</v>
      </c>
      <c r="I181" s="1463"/>
      <c r="J181" s="1462">
        <f t="shared" ca="1" si="30"/>
        <v>55056</v>
      </c>
      <c r="K181" s="1464" t="s">
        <v>593</v>
      </c>
      <c r="L181" s="1463"/>
      <c r="M181" s="1463"/>
      <c r="N181" s="1463"/>
      <c r="O181" s="1463"/>
      <c r="P181" s="1463"/>
      <c r="Q181" s="1463"/>
      <c r="R181" s="1463"/>
      <c r="S181" s="1463"/>
      <c r="T181" s="1463"/>
      <c r="U181" s="1463"/>
      <c r="V181" s="1463"/>
      <c r="W181" s="1463"/>
    </row>
    <row r="182" spans="1:23">
      <c r="A182" s="433"/>
      <c r="B182" s="432">
        <v>587</v>
      </c>
      <c r="C182" s="1464">
        <v>43</v>
      </c>
      <c r="D182" s="1467">
        <v>587</v>
      </c>
      <c r="E182" s="1463"/>
      <c r="F182" s="1318" t="str">
        <f>'SCH_C2.1 - Base Period'!F176</f>
        <v xml:space="preserve">  Customer Installations</v>
      </c>
      <c r="G182" s="1462">
        <f t="array" aca="1" ref="G182" ca="1">SUM(IF(FERCFP=B182,AmountFP))</f>
        <v>1175448</v>
      </c>
      <c r="H182" s="1466">
        <f t="shared" si="29"/>
        <v>100</v>
      </c>
      <c r="I182" s="1463"/>
      <c r="J182" s="1462">
        <f t="shared" ca="1" si="30"/>
        <v>1175448</v>
      </c>
      <c r="K182" s="1464" t="s">
        <v>593</v>
      </c>
      <c r="L182" s="1463"/>
      <c r="M182" s="1463"/>
      <c r="N182" s="1463"/>
      <c r="O182" s="1463"/>
      <c r="P182" s="1463"/>
      <c r="Q182" s="1463"/>
      <c r="R182" s="1463"/>
      <c r="S182" s="1463"/>
      <c r="T182" s="1463"/>
      <c r="U182" s="1463"/>
      <c r="V182" s="1463"/>
      <c r="W182" s="1463"/>
    </row>
    <row r="183" spans="1:23">
      <c r="A183" s="433"/>
      <c r="B183" s="432">
        <v>588</v>
      </c>
      <c r="C183" s="1464">
        <v>44</v>
      </c>
      <c r="D183" s="1467">
        <v>588</v>
      </c>
      <c r="E183" s="1463"/>
      <c r="F183" s="1318" t="str">
        <f>'SCH_C2.1 - Base Period'!F177</f>
        <v xml:space="preserve">  Miscellaneous Distribution</v>
      </c>
      <c r="G183" s="1462">
        <f t="array" aca="1" ref="G183" ca="1">SUM(IF(FERCFP=B183,AmountFP))</f>
        <v>3656514</v>
      </c>
      <c r="H183" s="1466">
        <f t="shared" si="29"/>
        <v>100</v>
      </c>
      <c r="I183" s="1463"/>
      <c r="J183" s="1462">
        <f t="shared" ca="1" si="30"/>
        <v>3656514</v>
      </c>
      <c r="K183" s="1464" t="s">
        <v>593</v>
      </c>
      <c r="L183" s="1463"/>
      <c r="M183" s="1463"/>
      <c r="N183" s="1463"/>
      <c r="O183" s="1463"/>
      <c r="P183" s="1463"/>
      <c r="Q183" s="1463"/>
      <c r="R183" s="1463"/>
      <c r="S183" s="1463"/>
      <c r="T183" s="1463"/>
      <c r="U183" s="1463"/>
      <c r="V183" s="1463"/>
      <c r="W183" s="1463"/>
    </row>
    <row r="184" spans="1:23">
      <c r="A184" s="456"/>
      <c r="B184" s="432">
        <v>589</v>
      </c>
      <c r="C184" s="1464">
        <v>45</v>
      </c>
      <c r="D184" s="1467">
        <v>589</v>
      </c>
      <c r="E184" s="1463"/>
      <c r="F184" s="1318" t="str">
        <f>'SCH_C2.1 - Base Period'!F178</f>
        <v xml:space="preserve">  Rents - Interco - CG&amp;E</v>
      </c>
      <c r="G184" s="1462">
        <f t="array" aca="1" ref="G184" ca="1">SUM(IF(FERCFP=B184,AmountFP))</f>
        <v>65579</v>
      </c>
      <c r="H184" s="1466">
        <f t="shared" si="29"/>
        <v>100</v>
      </c>
      <c r="I184" s="1463"/>
      <c r="J184" s="1462">
        <f t="shared" ca="1" si="30"/>
        <v>65579</v>
      </c>
      <c r="K184" s="1464" t="s">
        <v>593</v>
      </c>
      <c r="L184" s="1463"/>
      <c r="M184" s="1463"/>
      <c r="N184" s="1463"/>
      <c r="O184" s="1463"/>
      <c r="P184" s="1463"/>
      <c r="Q184" s="1463"/>
      <c r="R184" s="1463"/>
      <c r="S184" s="1463"/>
      <c r="T184" s="1463"/>
      <c r="U184" s="1463"/>
      <c r="V184" s="1463"/>
      <c r="W184" s="1463"/>
    </row>
    <row r="185" spans="1:23">
      <c r="A185" s="433"/>
      <c r="B185" s="433"/>
      <c r="C185" s="1464">
        <v>46</v>
      </c>
      <c r="D185" s="1463"/>
      <c r="E185" s="1463"/>
      <c r="F185" s="1318" t="s">
        <v>1102</v>
      </c>
      <c r="G185" s="1319">
        <f ca="1">SUM(G175:G184)</f>
        <v>6916715</v>
      </c>
      <c r="H185" s="1463"/>
      <c r="I185" s="1463"/>
      <c r="J185" s="1319">
        <f ca="1">SUM(J175:J184)</f>
        <v>6916715</v>
      </c>
      <c r="K185" s="1463"/>
      <c r="L185" s="1463"/>
      <c r="M185" s="1463"/>
      <c r="N185" s="1463"/>
      <c r="O185" s="1463"/>
      <c r="P185" s="1463"/>
      <c r="Q185" s="1463"/>
      <c r="R185" s="1463"/>
      <c r="S185" s="1463"/>
      <c r="T185" s="1463"/>
      <c r="U185" s="1463"/>
      <c r="V185" s="1463"/>
      <c r="W185" s="1463"/>
    </row>
    <row r="186" spans="1:23">
      <c r="A186" s="456"/>
      <c r="B186" s="433"/>
      <c r="C186" s="1464">
        <v>47</v>
      </c>
      <c r="D186" s="1463"/>
      <c r="E186" s="1463"/>
      <c r="F186" s="1463"/>
      <c r="G186" s="443"/>
      <c r="H186" s="1463"/>
      <c r="I186" s="1463"/>
      <c r="J186" s="443"/>
      <c r="K186" s="1463"/>
      <c r="L186" s="1463"/>
      <c r="M186" s="1463"/>
      <c r="N186" s="1463"/>
      <c r="O186" s="1463"/>
      <c r="P186" s="1463"/>
      <c r="Q186" s="1463"/>
      <c r="R186" s="1463"/>
      <c r="S186" s="1463"/>
      <c r="T186" s="1463"/>
      <c r="U186" s="1463"/>
      <c r="V186" s="1463"/>
      <c r="W186" s="1463"/>
    </row>
    <row r="187" spans="1:23">
      <c r="A187" s="456"/>
      <c r="B187" s="433"/>
      <c r="C187" s="1464">
        <v>48</v>
      </c>
      <c r="D187" s="1463"/>
      <c r="E187" s="1463"/>
      <c r="F187" s="1463"/>
      <c r="G187" s="457"/>
      <c r="H187" s="1463"/>
      <c r="I187" s="1463"/>
      <c r="J187" s="1463"/>
      <c r="K187" s="1463"/>
      <c r="L187" s="1463"/>
      <c r="M187" s="1463"/>
      <c r="N187" s="1463"/>
      <c r="O187" s="1463"/>
      <c r="P187" s="1463"/>
      <c r="Q187" s="1463"/>
      <c r="R187" s="1463"/>
      <c r="S187" s="1463"/>
      <c r="T187" s="1463"/>
      <c r="U187" s="1463"/>
      <c r="V187" s="1463"/>
      <c r="W187" s="1463"/>
    </row>
    <row r="188" spans="1:23">
      <c r="A188" s="456"/>
      <c r="B188" s="433"/>
      <c r="C188" s="1464">
        <v>49</v>
      </c>
      <c r="D188" s="1463"/>
      <c r="E188" s="1463"/>
      <c r="F188" s="441" t="s">
        <v>1103</v>
      </c>
      <c r="G188" s="1463"/>
      <c r="H188" s="1463"/>
      <c r="I188" s="1463"/>
      <c r="J188" s="1463"/>
      <c r="K188" s="1463"/>
      <c r="L188" s="1463"/>
      <c r="M188" s="1463"/>
      <c r="N188" s="1463"/>
      <c r="O188" s="1463"/>
      <c r="P188" s="1463"/>
      <c r="Q188" s="1463"/>
      <c r="R188" s="1463"/>
      <c r="S188" s="1463"/>
      <c r="T188" s="1463"/>
      <c r="U188" s="1463"/>
      <c r="V188" s="1463"/>
      <c r="W188" s="1463"/>
    </row>
    <row r="189" spans="1:23">
      <c r="A189" s="456"/>
      <c r="B189" s="432">
        <v>590</v>
      </c>
      <c r="C189" s="1464">
        <v>50</v>
      </c>
      <c r="D189" s="1467">
        <v>590</v>
      </c>
      <c r="E189" s="1463"/>
      <c r="F189" s="1318" t="str">
        <f>'SCH_C2.1 - Base Period'!F183</f>
        <v xml:space="preserve">  Supervision &amp; Engineering</v>
      </c>
      <c r="G189" s="1462">
        <f t="array" aca="1" ref="G189" ca="1">SUM(IF(FERCFP=B189,AmountFP))</f>
        <v>0</v>
      </c>
      <c r="H189" s="1466">
        <f t="shared" ref="H189:H197" si="31">VLOOKUP(K189,ALLOCTABLE,2)</f>
        <v>100</v>
      </c>
      <c r="I189" s="1463"/>
      <c r="J189" s="1462">
        <f t="shared" ref="J189:J197" ca="1" si="32">ROUND(G189*(H189/100),0)</f>
        <v>0</v>
      </c>
      <c r="K189" s="1464" t="s">
        <v>593</v>
      </c>
      <c r="L189" s="1463"/>
      <c r="M189" s="1463"/>
      <c r="N189" s="1463"/>
      <c r="O189" s="1463"/>
      <c r="P189" s="1463"/>
      <c r="Q189" s="1463"/>
      <c r="R189" s="1463"/>
      <c r="S189" s="1463"/>
      <c r="T189" s="1463"/>
      <c r="U189" s="1463"/>
      <c r="V189" s="1463"/>
      <c r="W189" s="1463"/>
    </row>
    <row r="190" spans="1:23">
      <c r="A190" s="456"/>
      <c r="B190" s="432">
        <v>591</v>
      </c>
      <c r="C190" s="1464">
        <v>51</v>
      </c>
      <c r="D190" s="1467">
        <v>591</v>
      </c>
      <c r="E190" s="1463"/>
      <c r="F190" s="1318" t="str">
        <f>'SCH_C2.1 - Base Period'!F184</f>
        <v xml:space="preserve">  Structures</v>
      </c>
      <c r="G190" s="1462">
        <f t="array" aca="1" ref="G190" ca="1">SUM(IF(FERCFP=B190,AmountFP))</f>
        <v>0</v>
      </c>
      <c r="H190" s="1466">
        <f t="shared" si="31"/>
        <v>100</v>
      </c>
      <c r="I190" s="1463"/>
      <c r="J190" s="1462">
        <f t="shared" ca="1" si="32"/>
        <v>0</v>
      </c>
      <c r="K190" s="1464" t="s">
        <v>593</v>
      </c>
      <c r="L190" s="1463"/>
      <c r="M190" s="1463"/>
      <c r="N190" s="1463"/>
      <c r="O190" s="1463"/>
      <c r="P190" s="1463"/>
      <c r="Q190" s="1463"/>
      <c r="R190" s="1463"/>
      <c r="S190" s="1463"/>
      <c r="T190" s="1463"/>
      <c r="U190" s="1463"/>
      <c r="V190" s="1463"/>
      <c r="W190" s="1463"/>
    </row>
    <row r="191" spans="1:23">
      <c r="A191" s="456"/>
      <c r="B191" s="432">
        <v>592</v>
      </c>
      <c r="C191" s="1464">
        <v>52</v>
      </c>
      <c r="D191" s="1467">
        <v>592</v>
      </c>
      <c r="E191" s="1463"/>
      <c r="F191" s="1318" t="str">
        <f>'SCH_C2.1 - Base Period'!F185</f>
        <v xml:space="preserve">  Station Equipment</v>
      </c>
      <c r="G191" s="1462">
        <f t="array" aca="1" ref="G191" ca="1">SUM(IF(FERCFP=B191,AmountFP))</f>
        <v>419892</v>
      </c>
      <c r="H191" s="1466">
        <f t="shared" si="31"/>
        <v>100</v>
      </c>
      <c r="I191" s="1463"/>
      <c r="J191" s="1462">
        <f t="shared" ca="1" si="32"/>
        <v>419892</v>
      </c>
      <c r="K191" s="1464" t="s">
        <v>593</v>
      </c>
      <c r="L191" s="1463"/>
      <c r="M191" s="1463"/>
      <c r="N191" s="1463"/>
      <c r="O191" s="1463"/>
      <c r="P191" s="1463"/>
      <c r="Q191" s="1463"/>
      <c r="R191" s="1463"/>
      <c r="S191" s="1463"/>
      <c r="T191" s="1463"/>
      <c r="U191" s="1463"/>
      <c r="V191" s="1463"/>
      <c r="W191" s="1463"/>
    </row>
    <row r="192" spans="1:23">
      <c r="A192" s="456"/>
      <c r="B192" s="458">
        <v>593</v>
      </c>
      <c r="C192" s="1464">
        <v>53</v>
      </c>
      <c r="D192" s="459">
        <v>593</v>
      </c>
      <c r="E192" s="1463"/>
      <c r="F192" s="1318" t="str">
        <f>'SCH_C2.1 - Base Period'!F186</f>
        <v xml:space="preserve">  Overhead Lines</v>
      </c>
      <c r="G192" s="1462">
        <f t="array" aca="1" ref="G192" ca="1">SUM(IF(FERCFP=B192,AmountFP))</f>
        <v>5662285</v>
      </c>
      <c r="H192" s="1466">
        <f t="shared" si="31"/>
        <v>100</v>
      </c>
      <c r="I192" s="1463"/>
      <c r="J192" s="1462">
        <f t="shared" ca="1" si="32"/>
        <v>5662285</v>
      </c>
      <c r="K192" s="1464" t="s">
        <v>593</v>
      </c>
      <c r="L192" s="1463"/>
      <c r="M192" s="1463"/>
      <c r="N192" s="1463"/>
      <c r="O192" s="1463"/>
      <c r="P192" s="1463"/>
      <c r="Q192" s="1463"/>
      <c r="R192" s="1463"/>
      <c r="S192" s="1463"/>
      <c r="T192" s="1463"/>
      <c r="U192" s="1463"/>
      <c r="V192" s="1463"/>
      <c r="W192" s="1463"/>
    </row>
    <row r="193" spans="1:23">
      <c r="A193" s="433"/>
      <c r="B193" s="432">
        <v>594</v>
      </c>
      <c r="C193" s="1464">
        <v>54</v>
      </c>
      <c r="D193" s="1467">
        <v>594</v>
      </c>
      <c r="E193" s="1463"/>
      <c r="F193" s="1318" t="str">
        <f>'SCH_C2.1 - Base Period'!F187</f>
        <v xml:space="preserve">  Underground Lines-Conduit</v>
      </c>
      <c r="G193" s="1462">
        <f t="array" aca="1" ref="G193" ca="1">SUM(IF(FERCFP=B193,AmountFP))</f>
        <v>356244</v>
      </c>
      <c r="H193" s="1466">
        <f t="shared" si="31"/>
        <v>100</v>
      </c>
      <c r="I193" s="1463"/>
      <c r="J193" s="1462">
        <f t="shared" ca="1" si="32"/>
        <v>356244</v>
      </c>
      <c r="K193" s="1464" t="s">
        <v>593</v>
      </c>
      <c r="L193" s="1463"/>
      <c r="M193" s="1463"/>
      <c r="N193" s="1463"/>
      <c r="O193" s="1463"/>
      <c r="P193" s="1463"/>
      <c r="Q193" s="1463"/>
      <c r="R193" s="1463"/>
      <c r="S193" s="1463"/>
      <c r="T193" s="1463"/>
      <c r="U193" s="1463"/>
      <c r="V193" s="1463"/>
      <c r="W193" s="1463"/>
    </row>
    <row r="194" spans="1:23">
      <c r="A194" s="433"/>
      <c r="B194" s="432">
        <v>595</v>
      </c>
      <c r="C194" s="1464">
        <v>55</v>
      </c>
      <c r="D194" s="1467">
        <v>595</v>
      </c>
      <c r="E194" s="1463"/>
      <c r="F194" s="1318" t="str">
        <f>'SCH_C2.1 - Base Period'!F188</f>
        <v xml:space="preserve">  Line Transformers</v>
      </c>
      <c r="G194" s="1462">
        <f t="array" aca="1" ref="G194" ca="1">SUM(IF(FERCFP=B194,AmountFP))</f>
        <v>112939</v>
      </c>
      <c r="H194" s="1466">
        <f t="shared" si="31"/>
        <v>100</v>
      </c>
      <c r="I194" s="1463"/>
      <c r="J194" s="1462">
        <f t="shared" ca="1" si="32"/>
        <v>112939</v>
      </c>
      <c r="K194" s="1464" t="s">
        <v>593</v>
      </c>
      <c r="L194" s="1463"/>
      <c r="M194" s="1463"/>
      <c r="N194" s="1463"/>
      <c r="O194" s="1463"/>
      <c r="P194" s="1463"/>
      <c r="Q194" s="1463"/>
      <c r="R194" s="1463"/>
      <c r="S194" s="1463"/>
      <c r="T194" s="1463"/>
      <c r="U194" s="1463"/>
      <c r="V194" s="1463"/>
      <c r="W194" s="1463"/>
    </row>
    <row r="195" spans="1:23">
      <c r="A195" s="433"/>
      <c r="B195" s="432">
        <v>596</v>
      </c>
      <c r="C195" s="1464">
        <v>56</v>
      </c>
      <c r="D195" s="1467">
        <v>596</v>
      </c>
      <c r="E195" s="1463"/>
      <c r="F195" s="1318" t="str">
        <f>'SCH_C2.1 - Base Period'!F189</f>
        <v xml:space="preserve">  Street Lighting &amp; Signal Systems</v>
      </c>
      <c r="G195" s="1462">
        <f t="array" aca="1" ref="G195" ca="1">SUM(IF(FERCFP=B195,AmountFP))</f>
        <v>372671</v>
      </c>
      <c r="H195" s="1466">
        <f t="shared" si="31"/>
        <v>100</v>
      </c>
      <c r="I195" s="1463"/>
      <c r="J195" s="1462">
        <f t="shared" ca="1" si="32"/>
        <v>372671</v>
      </c>
      <c r="K195" s="1464" t="s">
        <v>593</v>
      </c>
      <c r="L195" s="1463"/>
      <c r="M195" s="1463"/>
      <c r="N195" s="1463"/>
      <c r="O195" s="1463"/>
      <c r="P195" s="1463"/>
      <c r="Q195" s="1463"/>
      <c r="R195" s="1463"/>
      <c r="S195" s="1463"/>
      <c r="T195" s="1463"/>
      <c r="U195" s="1463"/>
      <c r="V195" s="1463"/>
      <c r="W195" s="1463"/>
    </row>
    <row r="196" spans="1:23">
      <c r="A196" s="433"/>
      <c r="B196" s="432">
        <v>597</v>
      </c>
      <c r="C196" s="1464">
        <v>57</v>
      </c>
      <c r="D196" s="1467">
        <v>597</v>
      </c>
      <c r="E196" s="1463"/>
      <c r="F196" s="1318" t="str">
        <f>'SCH_C2.1 - Base Period'!F190</f>
        <v xml:space="preserve">  Meters</v>
      </c>
      <c r="G196" s="1462">
        <f t="array" aca="1" ref="G196" ca="1">SUM(IF(FERCFP=B196,AmountFP))</f>
        <v>309662</v>
      </c>
      <c r="H196" s="1466">
        <f t="shared" si="31"/>
        <v>100</v>
      </c>
      <c r="I196" s="1463"/>
      <c r="J196" s="1462">
        <f t="shared" ca="1" si="32"/>
        <v>309662</v>
      </c>
      <c r="K196" s="1464" t="s">
        <v>593</v>
      </c>
      <c r="L196" s="1463"/>
      <c r="M196" s="1463"/>
      <c r="N196" s="1463"/>
      <c r="O196" s="1463"/>
      <c r="P196" s="1463"/>
      <c r="Q196" s="1463"/>
      <c r="R196" s="1463"/>
      <c r="S196" s="1463"/>
      <c r="T196" s="1463"/>
      <c r="U196" s="1463"/>
      <c r="V196" s="1463"/>
      <c r="W196" s="1463"/>
    </row>
    <row r="197" spans="1:23">
      <c r="A197" s="433"/>
      <c r="B197" s="432">
        <v>598</v>
      </c>
      <c r="C197" s="1464">
        <v>58</v>
      </c>
      <c r="D197" s="1467">
        <v>598</v>
      </c>
      <c r="E197" s="1463"/>
      <c r="F197" s="1318" t="str">
        <f>'SCH_C2.1 - Base Period'!F191</f>
        <v xml:space="preserve">  Miscellaneous Distr. Plant</v>
      </c>
      <c r="G197" s="1462">
        <f t="array" aca="1" ref="G197" ca="1">SUM(IF(FERCFP=B197,AmountFP))</f>
        <v>0</v>
      </c>
      <c r="H197" s="1466">
        <f t="shared" si="31"/>
        <v>100</v>
      </c>
      <c r="I197" s="1463"/>
      <c r="J197" s="1462">
        <f t="shared" ca="1" si="32"/>
        <v>0</v>
      </c>
      <c r="K197" s="1464" t="s">
        <v>593</v>
      </c>
      <c r="L197" s="1463"/>
      <c r="M197" s="1463"/>
      <c r="N197" s="1463"/>
      <c r="O197" s="1463"/>
      <c r="P197" s="1463"/>
      <c r="Q197" s="1463"/>
      <c r="R197" s="1463"/>
      <c r="S197" s="1463"/>
      <c r="T197" s="1463"/>
      <c r="U197" s="1463"/>
      <c r="V197" s="1463"/>
      <c r="W197" s="1463"/>
    </row>
    <row r="198" spans="1:23">
      <c r="A198" s="433"/>
      <c r="B198" s="1463"/>
      <c r="C198" s="1464">
        <v>59</v>
      </c>
      <c r="D198" s="1463"/>
      <c r="E198" s="1463"/>
      <c r="F198" s="1318" t="s">
        <v>1104</v>
      </c>
      <c r="G198" s="1319">
        <f ca="1">SUM(G189:G197)</f>
        <v>7233693</v>
      </c>
      <c r="H198" s="1463"/>
      <c r="I198" s="1462"/>
      <c r="J198" s="1319">
        <f ca="1">SUM(J189:J197)</f>
        <v>7233693</v>
      </c>
      <c r="K198" s="1463"/>
      <c r="L198" s="1463"/>
      <c r="M198" s="1463"/>
      <c r="N198" s="1463"/>
      <c r="O198" s="1463"/>
      <c r="P198" s="1463"/>
      <c r="Q198" s="1463"/>
      <c r="R198" s="1463"/>
      <c r="S198" s="1463"/>
      <c r="T198" s="1463"/>
      <c r="U198" s="1463"/>
      <c r="V198" s="1463"/>
      <c r="W198" s="1463"/>
    </row>
    <row r="199" spans="1:23">
      <c r="A199" s="433"/>
      <c r="B199" s="433"/>
      <c r="C199" s="1464">
        <v>60</v>
      </c>
      <c r="D199" s="1463"/>
      <c r="E199" s="1463"/>
      <c r="F199" s="1318" t="s">
        <v>1540</v>
      </c>
      <c r="G199" s="1319">
        <f ca="1">G185+G198</f>
        <v>14150408</v>
      </c>
      <c r="H199" s="1463"/>
      <c r="I199" s="1463"/>
      <c r="J199" s="1319">
        <f ca="1">J185+J198</f>
        <v>14150408</v>
      </c>
      <c r="K199" s="1463"/>
      <c r="L199" s="1463"/>
      <c r="M199" s="1463"/>
      <c r="N199" s="1463"/>
      <c r="O199" s="1463"/>
      <c r="P199" s="1463"/>
      <c r="Q199" s="1463"/>
      <c r="R199" s="1463"/>
      <c r="S199" s="1463"/>
      <c r="T199" s="1463"/>
      <c r="U199" s="1463"/>
      <c r="V199" s="1463"/>
      <c r="W199" s="1463"/>
    </row>
    <row r="200" spans="1:23">
      <c r="A200" s="433"/>
      <c r="B200" s="433"/>
      <c r="C200" s="1463"/>
      <c r="D200" s="1463"/>
      <c r="E200" s="1463"/>
      <c r="F200" s="1463"/>
      <c r="G200" s="443"/>
      <c r="H200" s="1463"/>
      <c r="I200" s="1463"/>
      <c r="J200" s="443"/>
      <c r="K200" s="1463"/>
      <c r="L200" s="1463"/>
      <c r="M200" s="1463"/>
      <c r="N200" s="1463"/>
      <c r="O200" s="1463"/>
      <c r="P200" s="1463"/>
      <c r="Q200" s="1463"/>
      <c r="R200" s="1463"/>
      <c r="S200" s="1463"/>
      <c r="T200" s="1463"/>
      <c r="U200" s="1463"/>
      <c r="V200" s="1463"/>
      <c r="W200" s="1463"/>
    </row>
    <row r="201" spans="1:23">
      <c r="A201" s="433"/>
      <c r="B201" s="433"/>
      <c r="C201" s="434" t="str">
        <f>COMPANY</f>
        <v>DUKE ENERGY KENTUCKY, INC.</v>
      </c>
      <c r="D201" s="435"/>
      <c r="E201" s="435"/>
      <c r="F201" s="434"/>
      <c r="G201" s="435"/>
      <c r="H201" s="435"/>
      <c r="I201" s="435"/>
      <c r="J201" s="435"/>
      <c r="K201" s="435"/>
      <c r="L201" s="1463"/>
      <c r="M201" s="1463"/>
      <c r="N201" s="1463"/>
      <c r="O201" s="1463"/>
      <c r="P201" s="1463"/>
      <c r="Q201" s="1463"/>
      <c r="R201" s="1463"/>
      <c r="S201" s="1463"/>
      <c r="T201" s="1463"/>
      <c r="U201" s="1463"/>
      <c r="V201" s="1463"/>
      <c r="W201" s="1463"/>
    </row>
    <row r="202" spans="1:23">
      <c r="A202" s="433"/>
      <c r="B202" s="433"/>
      <c r="C202" s="434" t="str">
        <f>CASE</f>
        <v>CASE NO. 2017-00321</v>
      </c>
      <c r="D202" s="435"/>
      <c r="E202" s="435"/>
      <c r="F202" s="434"/>
      <c r="G202" s="435"/>
      <c r="H202" s="435"/>
      <c r="I202" s="435"/>
      <c r="J202" s="435"/>
      <c r="K202" s="435"/>
      <c r="L202" s="1463"/>
      <c r="M202" s="1463"/>
      <c r="N202" s="1463"/>
      <c r="O202" s="1463"/>
      <c r="P202" s="1463"/>
      <c r="Q202" s="1463"/>
      <c r="R202" s="1463"/>
      <c r="S202" s="1463"/>
      <c r="T202" s="1463"/>
      <c r="U202" s="1463"/>
      <c r="V202" s="1463"/>
      <c r="W202" s="1463"/>
    </row>
    <row r="203" spans="1:23">
      <c r="A203" s="433"/>
      <c r="B203" s="433"/>
      <c r="C203" s="434" t="s">
        <v>1949</v>
      </c>
      <c r="D203" s="435"/>
      <c r="E203" s="434"/>
      <c r="F203" s="435"/>
      <c r="G203" s="435"/>
      <c r="H203" s="435"/>
      <c r="I203" s="435"/>
      <c r="J203" s="435"/>
      <c r="K203" s="435"/>
      <c r="L203" s="1463"/>
      <c r="M203" s="1463"/>
      <c r="N203" s="1463"/>
      <c r="O203" s="1463"/>
      <c r="P203" s="1463"/>
      <c r="Q203" s="1463"/>
      <c r="R203" s="1463"/>
      <c r="S203" s="1463"/>
      <c r="T203" s="1463"/>
      <c r="U203" s="1463"/>
      <c r="V203" s="1463"/>
      <c r="W203" s="1463"/>
    </row>
    <row r="204" spans="1:23">
      <c r="A204" s="433"/>
      <c r="B204" s="433"/>
      <c r="C204" s="434" t="str">
        <f>PeriodF</f>
        <v>FOR THE TWELVE MONTHS ENDED MARCH 31, 2019</v>
      </c>
      <c r="D204" s="435"/>
      <c r="E204" s="435"/>
      <c r="F204" s="434"/>
      <c r="G204" s="435"/>
      <c r="H204" s="435"/>
      <c r="I204" s="435"/>
      <c r="J204" s="435"/>
      <c r="K204" s="435"/>
      <c r="L204" s="1463"/>
      <c r="M204" s="1463"/>
      <c r="N204" s="1463"/>
      <c r="O204" s="1463"/>
      <c r="P204" s="1463"/>
      <c r="Q204" s="1463"/>
      <c r="R204" s="1463"/>
      <c r="S204" s="1463"/>
      <c r="T204" s="1463"/>
      <c r="U204" s="1463"/>
      <c r="V204" s="1463"/>
      <c r="W204" s="1463"/>
    </row>
    <row r="205" spans="1:23">
      <c r="A205" s="433"/>
      <c r="B205" s="433"/>
      <c r="C205" s="435"/>
      <c r="D205" s="435"/>
      <c r="E205" s="435"/>
      <c r="F205" s="435"/>
      <c r="G205" s="435"/>
      <c r="H205" s="435"/>
      <c r="I205" s="435"/>
      <c r="J205" s="1463"/>
      <c r="K205" s="1463"/>
      <c r="L205" s="1463"/>
      <c r="M205" s="1463"/>
      <c r="N205" s="1463"/>
      <c r="O205" s="1463"/>
      <c r="P205" s="1463"/>
      <c r="Q205" s="1463"/>
      <c r="R205" s="1463"/>
      <c r="S205" s="1463"/>
      <c r="T205" s="1463"/>
      <c r="U205" s="1463"/>
      <c r="V205" s="1463"/>
      <c r="W205" s="1463"/>
    </row>
    <row r="206" spans="1:23">
      <c r="A206" s="433"/>
      <c r="B206" s="433"/>
      <c r="C206" s="1463"/>
      <c r="D206" s="1463"/>
      <c r="E206" s="1463"/>
      <c r="F206" s="1463"/>
      <c r="G206" s="1463"/>
      <c r="H206" s="1463"/>
      <c r="I206" s="1463"/>
      <c r="J206" s="1318" t="str">
        <f>"                "&amp;"SCHEDULE C-2.1"</f>
        <v xml:space="preserve">                SCHEDULE C-2.1</v>
      </c>
      <c r="K206" s="1463"/>
      <c r="L206" s="1463"/>
      <c r="M206" s="1463"/>
      <c r="N206" s="1463"/>
      <c r="O206" s="1463"/>
      <c r="P206" s="1463"/>
      <c r="Q206" s="1463"/>
      <c r="R206" s="1463"/>
      <c r="S206" s="1463"/>
      <c r="T206" s="1463"/>
      <c r="U206" s="1463"/>
      <c r="V206" s="1463"/>
      <c r="W206" s="1463"/>
    </row>
    <row r="207" spans="1:23">
      <c r="A207" s="433"/>
      <c r="B207" s="433"/>
      <c r="C207" s="436" t="str">
        <f>DataF</f>
        <v>DATA:  BASE PERIOD  "X" FORECASTED PERIOD</v>
      </c>
      <c r="D207" s="1463"/>
      <c r="E207" s="1463"/>
      <c r="F207" s="1463"/>
      <c r="G207" s="1463"/>
      <c r="H207" s="1463"/>
      <c r="I207" s="1463"/>
      <c r="J207" s="1318" t="str">
        <f>"                "&amp;"PAGE  11  OF  14"</f>
        <v xml:space="preserve">                PAGE  11  OF  14</v>
      </c>
      <c r="K207" s="1463"/>
      <c r="L207" s="1463"/>
      <c r="M207" s="1463"/>
      <c r="N207" s="1463"/>
      <c r="O207" s="1463"/>
      <c r="P207" s="1463"/>
      <c r="Q207" s="1463"/>
      <c r="R207" s="1463"/>
      <c r="S207" s="1463"/>
      <c r="T207" s="1463"/>
      <c r="U207" s="1463"/>
      <c r="V207" s="1463"/>
      <c r="W207" s="1463"/>
    </row>
    <row r="208" spans="1:23">
      <c r="A208" s="433"/>
      <c r="B208" s="433"/>
      <c r="C208" s="436" t="str">
        <f>Type</f>
        <v xml:space="preserve">TYPE OF FILING:  "X" ORIGINAL   UPDATED    REVISED  </v>
      </c>
      <c r="D208" s="1463"/>
      <c r="E208" s="1463"/>
      <c r="F208" s="1463"/>
      <c r="G208" s="1463"/>
      <c r="H208" s="1463"/>
      <c r="I208" s="1463"/>
      <c r="J208" s="1318" t="str">
        <f>"                "&amp;"WITNESS RESPONSIBLE:"</f>
        <v xml:space="preserve">                WITNESS RESPONSIBLE:</v>
      </c>
      <c r="K208" s="1463"/>
      <c r="L208" s="1463"/>
      <c r="M208" s="1463"/>
      <c r="N208" s="1463"/>
      <c r="O208" s="1463"/>
      <c r="P208" s="1463"/>
      <c r="Q208" s="1463"/>
      <c r="R208" s="1463"/>
      <c r="S208" s="1463"/>
      <c r="T208" s="1463"/>
      <c r="U208" s="1463"/>
      <c r="V208" s="1463"/>
      <c r="W208" s="1463"/>
    </row>
    <row r="209" spans="1:23">
      <c r="A209" s="433"/>
      <c r="B209" s="433"/>
      <c r="C209" s="1318" t="str">
        <f>$C$11&amp;", SCHEDULE F-3"</f>
        <v>WORK PAPER REFERENCE NO(S).: WPC-2.1a_FP, SCHEDULE F-3</v>
      </c>
      <c r="D209" s="1463"/>
      <c r="E209" s="1463"/>
      <c r="F209" s="1463"/>
      <c r="G209" s="1463"/>
      <c r="H209" s="1463"/>
      <c r="I209" s="1463"/>
      <c r="J209" s="1318" t="str">
        <f>"                "&amp;_WIT1</f>
        <v xml:space="preserve">                S. E. LAWLER</v>
      </c>
      <c r="K209" s="1463"/>
      <c r="L209" s="1463"/>
      <c r="M209" s="1463"/>
      <c r="N209" s="1463"/>
      <c r="O209" s="1463"/>
      <c r="P209" s="1463"/>
      <c r="Q209" s="1463"/>
      <c r="R209" s="1463"/>
      <c r="S209" s="1463"/>
      <c r="T209" s="1463"/>
      <c r="U209" s="1463"/>
      <c r="V209" s="1463"/>
      <c r="W209" s="1463"/>
    </row>
    <row r="210" spans="1:23">
      <c r="A210" s="433"/>
      <c r="B210" s="433"/>
      <c r="C210" s="437"/>
      <c r="D210" s="438"/>
      <c r="E210" s="438"/>
      <c r="F210" s="438"/>
      <c r="G210" s="438"/>
      <c r="H210" s="438"/>
      <c r="I210" s="438"/>
      <c r="J210" s="438"/>
      <c r="K210" s="438"/>
      <c r="L210" s="1463"/>
      <c r="M210" s="1463"/>
      <c r="N210" s="1463"/>
      <c r="O210" s="1463"/>
      <c r="P210" s="1463"/>
      <c r="Q210" s="1463"/>
      <c r="R210" s="1463"/>
      <c r="S210" s="1463"/>
      <c r="T210" s="1463"/>
      <c r="U210" s="1463"/>
      <c r="V210" s="1463"/>
      <c r="W210" s="1463"/>
    </row>
    <row r="211" spans="1:23">
      <c r="A211" s="433"/>
      <c r="B211" s="433"/>
      <c r="C211" s="1463"/>
      <c r="D211" s="1463"/>
      <c r="E211" s="1463"/>
      <c r="F211" s="1463"/>
      <c r="G211" s="1464" t="s">
        <v>238</v>
      </c>
      <c r="H211" s="1465" t="s">
        <v>360</v>
      </c>
      <c r="I211" s="1463"/>
      <c r="J211" s="1463"/>
      <c r="K211" s="1464" t="s">
        <v>1461</v>
      </c>
      <c r="L211" s="1463"/>
      <c r="M211" s="1463"/>
      <c r="N211" s="1463"/>
      <c r="O211" s="1463"/>
      <c r="P211" s="1463"/>
      <c r="Q211" s="1463"/>
      <c r="R211" s="1463"/>
      <c r="S211" s="1463"/>
      <c r="T211" s="1463"/>
      <c r="U211" s="1463"/>
      <c r="V211" s="1463"/>
      <c r="W211" s="1463"/>
    </row>
    <row r="212" spans="1:23">
      <c r="A212" s="433"/>
      <c r="B212" s="433"/>
      <c r="C212" s="1464" t="s">
        <v>1961</v>
      </c>
      <c r="D212" s="1464" t="s">
        <v>1080</v>
      </c>
      <c r="E212" s="1463"/>
      <c r="F212" s="1463"/>
      <c r="G212" s="1464" t="s">
        <v>1035</v>
      </c>
      <c r="H212" s="1464" t="s">
        <v>362</v>
      </c>
      <c r="I212" s="1463"/>
      <c r="J212" s="1464" t="s">
        <v>238</v>
      </c>
      <c r="K212" s="1464" t="s">
        <v>239</v>
      </c>
      <c r="L212" s="1463"/>
      <c r="M212" s="1463"/>
      <c r="N212" s="1463"/>
      <c r="O212" s="1463"/>
      <c r="P212" s="1463"/>
      <c r="Q212" s="1463"/>
      <c r="R212" s="1463"/>
      <c r="S212" s="1463"/>
      <c r="T212" s="1463"/>
      <c r="U212" s="1463"/>
      <c r="V212" s="1463"/>
      <c r="W212" s="1463"/>
    </row>
    <row r="213" spans="1:23">
      <c r="A213" s="433"/>
      <c r="B213" s="433"/>
      <c r="C213" s="1464" t="s">
        <v>1854</v>
      </c>
      <c r="D213" s="1464" t="s">
        <v>90</v>
      </c>
      <c r="E213" s="1463"/>
      <c r="F213" s="434" t="s">
        <v>240</v>
      </c>
      <c r="G213" s="1464" t="s">
        <v>1872</v>
      </c>
      <c r="H213" s="1464" t="s">
        <v>363</v>
      </c>
      <c r="I213" s="1463"/>
      <c r="J213" s="1464" t="s">
        <v>241</v>
      </c>
      <c r="K213" s="1464" t="s">
        <v>566</v>
      </c>
      <c r="L213" s="1463"/>
      <c r="M213" s="1463"/>
      <c r="N213" s="1463"/>
      <c r="O213" s="1463"/>
      <c r="P213" s="1463"/>
      <c r="Q213" s="1463"/>
      <c r="R213" s="1463"/>
      <c r="S213" s="1463"/>
      <c r="T213" s="1463"/>
      <c r="U213" s="1463"/>
      <c r="V213" s="1463"/>
      <c r="W213" s="1463"/>
    </row>
    <row r="214" spans="1:23">
      <c r="A214" s="433"/>
      <c r="B214" s="433"/>
      <c r="C214" s="439"/>
      <c r="D214" s="439"/>
      <c r="E214" s="439"/>
      <c r="F214" s="439"/>
      <c r="G214" s="440" t="s">
        <v>365</v>
      </c>
      <c r="H214" s="440" t="s">
        <v>318</v>
      </c>
      <c r="I214" s="439"/>
      <c r="J214" s="440" t="s">
        <v>319</v>
      </c>
      <c r="K214" s="440" t="s">
        <v>320</v>
      </c>
      <c r="L214" s="1463"/>
      <c r="M214" s="1463"/>
      <c r="N214" s="1463"/>
      <c r="O214" s="1463"/>
      <c r="P214" s="1463"/>
      <c r="Q214" s="1463"/>
      <c r="R214" s="1463"/>
      <c r="S214" s="1463"/>
      <c r="T214" s="1463"/>
      <c r="U214" s="1463"/>
      <c r="V214" s="1463"/>
      <c r="W214" s="1463"/>
    </row>
    <row r="215" spans="1:23">
      <c r="A215" s="433"/>
      <c r="B215" s="433"/>
      <c r="C215" s="1463"/>
      <c r="D215" s="1463"/>
      <c r="E215" s="1463"/>
      <c r="F215" s="1463"/>
      <c r="G215" s="1463"/>
      <c r="H215" s="1463"/>
      <c r="I215" s="1463"/>
      <c r="J215" s="1463"/>
      <c r="K215" s="1463"/>
      <c r="L215" s="1463"/>
      <c r="M215" s="1463"/>
      <c r="N215" s="1463"/>
      <c r="O215" s="1463"/>
      <c r="P215" s="1463"/>
      <c r="Q215" s="1463"/>
      <c r="R215" s="1463"/>
      <c r="S215" s="1463"/>
      <c r="T215" s="1463"/>
      <c r="U215" s="1463"/>
      <c r="V215" s="1463"/>
      <c r="W215" s="1463"/>
    </row>
    <row r="216" spans="1:23">
      <c r="A216" s="433"/>
      <c r="B216" s="433"/>
      <c r="C216" s="1464">
        <v>1</v>
      </c>
      <c r="D216" s="1463"/>
      <c r="E216" s="1463"/>
      <c r="F216" s="441" t="s">
        <v>173</v>
      </c>
      <c r="G216" s="1463"/>
      <c r="H216" s="1463"/>
      <c r="I216" s="1463"/>
      <c r="J216" s="1463"/>
      <c r="K216" s="1463"/>
      <c r="L216" s="1463"/>
      <c r="M216" s="1463"/>
      <c r="N216" s="1463"/>
      <c r="O216" s="1463"/>
      <c r="P216" s="1463"/>
      <c r="Q216" s="1463"/>
      <c r="R216" s="1463"/>
      <c r="S216" s="1463"/>
      <c r="T216" s="1463"/>
      <c r="U216" s="1463"/>
      <c r="V216" s="1463"/>
      <c r="W216" s="1463"/>
    </row>
    <row r="217" spans="1:23">
      <c r="A217" s="433"/>
      <c r="B217" s="433"/>
      <c r="C217" s="1465">
        <v>2</v>
      </c>
      <c r="D217" s="1463"/>
      <c r="E217" s="1463"/>
      <c r="F217" s="1463"/>
      <c r="G217" s="1463"/>
      <c r="H217" s="1463"/>
      <c r="I217" s="1463"/>
      <c r="J217" s="1463"/>
      <c r="K217" s="1463"/>
      <c r="L217" s="1463"/>
      <c r="M217" s="1463"/>
      <c r="N217" s="1463"/>
      <c r="O217" s="1463"/>
      <c r="P217" s="1463"/>
      <c r="Q217" s="1463"/>
      <c r="R217" s="1463"/>
      <c r="S217" s="1463"/>
      <c r="T217" s="1463"/>
      <c r="U217" s="1463"/>
      <c r="V217" s="1463"/>
      <c r="W217" s="1463"/>
    </row>
    <row r="218" spans="1:23">
      <c r="A218" s="433"/>
      <c r="B218" s="433"/>
      <c r="C218" s="1464">
        <v>3</v>
      </c>
      <c r="D218" s="1463"/>
      <c r="E218" s="1463"/>
      <c r="F218" s="441" t="s">
        <v>1101</v>
      </c>
      <c r="G218" s="1463"/>
      <c r="H218" s="1463"/>
      <c r="I218" s="1463"/>
      <c r="J218" s="1463"/>
      <c r="K218" s="1463"/>
      <c r="L218" s="1463"/>
      <c r="M218" s="1463"/>
      <c r="N218" s="1463"/>
      <c r="O218" s="1463"/>
      <c r="P218" s="1463"/>
      <c r="Q218" s="1463"/>
      <c r="R218" s="1463"/>
      <c r="S218" s="1463"/>
      <c r="T218" s="1463"/>
      <c r="U218" s="1463"/>
      <c r="V218" s="1463"/>
      <c r="W218" s="1463"/>
    </row>
    <row r="219" spans="1:23">
      <c r="A219" s="433"/>
      <c r="B219" s="432">
        <v>901</v>
      </c>
      <c r="C219" s="1464">
        <v>4</v>
      </c>
      <c r="D219" s="1464">
        <v>901</v>
      </c>
      <c r="E219" s="1463"/>
      <c r="F219" s="1318" t="str">
        <f>'SCH_C2.1 - Base Period'!F213</f>
        <v xml:space="preserve">  Supervision &amp; Engineering</v>
      </c>
      <c r="G219" s="1462">
        <f t="array" aca="1" ref="G219" ca="1">SUM(IF(FERCFP=B219,AmountFP))</f>
        <v>302389</v>
      </c>
      <c r="H219" s="1466">
        <f t="shared" ref="H219:H226" si="33">VLOOKUP(K219,ALLOCTABLE,2)</f>
        <v>100</v>
      </c>
      <c r="I219" s="1463"/>
      <c r="J219" s="1462">
        <f t="shared" ref="J219:J226" ca="1" si="34">ROUND(G219*(H219/100),0)</f>
        <v>302389</v>
      </c>
      <c r="K219" s="1464" t="s">
        <v>593</v>
      </c>
      <c r="L219" s="1463"/>
      <c r="M219" s="1463"/>
      <c r="N219" s="1463"/>
      <c r="O219" s="1463"/>
      <c r="P219" s="1463"/>
      <c r="Q219" s="1463"/>
      <c r="R219" s="1463"/>
      <c r="S219" s="1463"/>
      <c r="T219" s="1463"/>
      <c r="U219" s="1463"/>
      <c r="V219" s="1463"/>
      <c r="W219" s="1463"/>
    </row>
    <row r="220" spans="1:23">
      <c r="A220" s="433"/>
      <c r="B220" s="432">
        <v>902</v>
      </c>
      <c r="C220" s="1465">
        <v>5</v>
      </c>
      <c r="D220" s="1464">
        <v>902</v>
      </c>
      <c r="E220" s="1463"/>
      <c r="F220" s="1318" t="str">
        <f>'SCH_C2.1 - Base Period'!F214</f>
        <v xml:space="preserve">  Meter Reading Expense</v>
      </c>
      <c r="G220" s="1462">
        <f t="array" aca="1" ref="G220" ca="1">SUM(IF(FERCFP=B220,AmountFP))</f>
        <v>448743</v>
      </c>
      <c r="H220" s="1466">
        <f t="shared" si="33"/>
        <v>100</v>
      </c>
      <c r="I220" s="1463"/>
      <c r="J220" s="1462">
        <f t="shared" ca="1" si="34"/>
        <v>448743</v>
      </c>
      <c r="K220" s="1464" t="s">
        <v>593</v>
      </c>
      <c r="L220" s="1463"/>
      <c r="M220" s="1463"/>
      <c r="N220" s="1463"/>
      <c r="O220" s="1463"/>
      <c r="P220" s="1463"/>
      <c r="Q220" s="1463"/>
      <c r="R220" s="1463"/>
      <c r="S220" s="1463"/>
      <c r="T220" s="1463"/>
      <c r="U220" s="1463"/>
      <c r="V220" s="1463"/>
      <c r="W220" s="1463"/>
    </row>
    <row r="221" spans="1:23">
      <c r="A221" s="433"/>
      <c r="B221" s="432">
        <v>903</v>
      </c>
      <c r="C221" s="1464">
        <v>6</v>
      </c>
      <c r="D221" s="460">
        <v>903</v>
      </c>
      <c r="E221" s="1463"/>
      <c r="F221" s="1318" t="str">
        <f>'SCH_C2.1 - Base Period'!F215</f>
        <v xml:space="preserve">  Customer Records &amp; Collections</v>
      </c>
      <c r="G221" s="1462">
        <f t="array" aca="1" ref="G221" ca="1">SUM(IF(FERCFP=B221,AmountFP))-G222</f>
        <v>4350814</v>
      </c>
      <c r="H221" s="1466">
        <f t="shared" si="33"/>
        <v>100</v>
      </c>
      <c r="I221" s="1463"/>
      <c r="J221" s="1462">
        <f t="shared" ca="1" si="34"/>
        <v>4350814</v>
      </c>
      <c r="K221" s="1464" t="s">
        <v>593</v>
      </c>
      <c r="L221" s="1463"/>
      <c r="M221" s="1463"/>
      <c r="N221" s="1463"/>
      <c r="O221" s="1463"/>
      <c r="P221" s="1463"/>
      <c r="Q221" s="1463"/>
      <c r="R221" s="1463"/>
      <c r="S221" s="1463"/>
      <c r="T221" s="1463"/>
      <c r="U221" s="1463"/>
      <c r="V221" s="1463"/>
      <c r="W221" s="1463"/>
    </row>
    <row r="222" spans="1:23">
      <c r="A222" s="433"/>
      <c r="B222" s="432">
        <v>903250</v>
      </c>
      <c r="C222" s="1464">
        <v>7</v>
      </c>
      <c r="D222" s="1518">
        <v>903250</v>
      </c>
      <c r="E222" s="1463"/>
      <c r="F222" s="1318" t="str">
        <f>'SCH_C2.1 - Base Period'!F216</f>
        <v xml:space="preserve">  Cust Billing - Common</v>
      </c>
      <c r="G222" s="1462">
        <f t="shared" ref="G222" si="35">ROUND(VLOOKUP(B222,FPERIOD,5,FALSE),0)</f>
        <v>-1317889</v>
      </c>
      <c r="H222" s="1466">
        <f t="shared" ref="H222" si="36">VLOOKUP(K222,ALLOCTABLE,2)</f>
        <v>100</v>
      </c>
      <c r="I222" s="1463"/>
      <c r="J222" s="1462">
        <f t="shared" ref="J222" si="37">ROUND(G222*(H222/100),0)</f>
        <v>-1317889</v>
      </c>
      <c r="K222" s="1464" t="s">
        <v>593</v>
      </c>
      <c r="L222" s="1463"/>
      <c r="M222" s="1463"/>
      <c r="N222" s="1463"/>
      <c r="O222" s="1463"/>
      <c r="P222" s="1463"/>
      <c r="Q222" s="1463"/>
      <c r="R222" s="1463"/>
      <c r="S222" s="1463"/>
      <c r="T222" s="1463"/>
      <c r="U222" s="1463"/>
      <c r="V222" s="1463"/>
      <c r="W222" s="1463"/>
    </row>
    <row r="223" spans="1:23">
      <c r="A223" s="433"/>
      <c r="B223" s="432">
        <v>904</v>
      </c>
      <c r="C223" s="1465">
        <v>8</v>
      </c>
      <c r="D223" s="1464">
        <v>904</v>
      </c>
      <c r="E223" s="1463"/>
      <c r="F223" s="1318" t="str">
        <f>'SCH_C2.1 - Base Period'!F217</f>
        <v xml:space="preserve">  Uncollectible Accounts</v>
      </c>
      <c r="G223" s="1462">
        <f t="array" aca="1" ref="G223" ca="1">SUM(IF(FERCFP=B223,AmountFP))</f>
        <v>1965498</v>
      </c>
      <c r="H223" s="1466">
        <f t="shared" si="33"/>
        <v>100</v>
      </c>
      <c r="I223" s="1463"/>
      <c r="J223" s="1462">
        <f t="shared" ca="1" si="34"/>
        <v>1965498</v>
      </c>
      <c r="K223" s="1464" t="s">
        <v>593</v>
      </c>
      <c r="L223" s="1463"/>
      <c r="M223" s="1463"/>
      <c r="N223" s="1463"/>
      <c r="O223" s="1463"/>
      <c r="P223" s="1463"/>
      <c r="Q223" s="1463"/>
      <c r="R223" s="1463"/>
      <c r="S223" s="1463"/>
      <c r="T223" s="1463"/>
      <c r="U223" s="1463"/>
      <c r="V223" s="1463"/>
      <c r="W223" s="1463"/>
    </row>
    <row r="224" spans="1:23">
      <c r="A224" s="433"/>
      <c r="B224" s="432">
        <v>904002</v>
      </c>
      <c r="C224" s="1464">
        <v>9</v>
      </c>
      <c r="D224" s="1464">
        <v>904002</v>
      </c>
      <c r="E224" s="1463"/>
      <c r="F224" s="1318" t="str">
        <f>'SCH_C2.1 - Base Period'!F218</f>
        <v xml:space="preserve">  Loss on Sale of A/R</v>
      </c>
      <c r="G224" s="1462">
        <f t="array" aca="1" ref="G224" ca="1">SUM(IF(FERCFP=B224,AmountFP))</f>
        <v>0</v>
      </c>
      <c r="H224" s="1466">
        <f t="shared" si="33"/>
        <v>100</v>
      </c>
      <c r="I224" s="1463"/>
      <c r="J224" s="1462">
        <f t="shared" ca="1" si="34"/>
        <v>0</v>
      </c>
      <c r="K224" s="1464" t="s">
        <v>593</v>
      </c>
      <c r="L224" s="1463"/>
      <c r="M224" s="1463"/>
      <c r="N224" s="1463"/>
      <c r="O224" s="1463"/>
      <c r="P224" s="1463"/>
      <c r="Q224" s="1463"/>
      <c r="R224" s="1463"/>
      <c r="S224" s="1463"/>
      <c r="T224" s="1463"/>
      <c r="U224" s="1463"/>
      <c r="V224" s="1463"/>
      <c r="W224" s="1463"/>
    </row>
    <row r="225" spans="1:23">
      <c r="A225" s="433"/>
      <c r="B225" s="432">
        <v>426</v>
      </c>
      <c r="C225" s="1464">
        <v>10</v>
      </c>
      <c r="D225" s="1464">
        <v>426</v>
      </c>
      <c r="E225" s="1463"/>
      <c r="F225" s="1318" t="str">
        <f>'SCH_C2.1 - Base Period'!F219</f>
        <v xml:space="preserve">  Sale of A/R</v>
      </c>
      <c r="G225" s="1462">
        <f t="array" aca="1" ref="G225" ca="1">SUM(IF(FERCFP=B225,AmountFP))</f>
        <v>999290</v>
      </c>
      <c r="H225" s="1466">
        <f t="shared" si="33"/>
        <v>100</v>
      </c>
      <c r="I225" s="1463"/>
      <c r="J225" s="1462">
        <f t="shared" ca="1" si="34"/>
        <v>999290</v>
      </c>
      <c r="K225" s="1464" t="s">
        <v>593</v>
      </c>
      <c r="L225" s="1463"/>
      <c r="M225" s="1463"/>
      <c r="N225" s="1463"/>
      <c r="O225" s="1463"/>
      <c r="P225" s="1463"/>
      <c r="Q225" s="1463"/>
      <c r="R225" s="1463"/>
      <c r="S225" s="1463"/>
      <c r="T225" s="1463"/>
      <c r="U225" s="1463"/>
      <c r="V225" s="1463"/>
      <c r="W225" s="1463"/>
    </row>
    <row r="226" spans="1:23">
      <c r="A226" s="433"/>
      <c r="B226" s="432">
        <v>905</v>
      </c>
      <c r="C226" s="1465">
        <v>11</v>
      </c>
      <c r="D226" s="1464">
        <v>905</v>
      </c>
      <c r="E226" s="1463"/>
      <c r="F226" s="1318" t="str">
        <f>'SCH_C2.1 - Base Period'!F220</f>
        <v xml:space="preserve">  Miscellaneous Customers Accounts</v>
      </c>
      <c r="G226" s="1462">
        <f t="array" aca="1" ref="G226" ca="1">SUM(IF(FERCFP=B226,AmountFP))</f>
        <v>0</v>
      </c>
      <c r="H226" s="1466">
        <f t="shared" si="33"/>
        <v>100</v>
      </c>
      <c r="I226" s="1463"/>
      <c r="J226" s="1462">
        <f t="shared" ca="1" si="34"/>
        <v>0</v>
      </c>
      <c r="K226" s="1464" t="s">
        <v>593</v>
      </c>
      <c r="L226" s="1463"/>
      <c r="M226" s="1463"/>
      <c r="N226" s="1463"/>
      <c r="O226" s="1463"/>
      <c r="P226" s="1463"/>
      <c r="Q226" s="1463"/>
      <c r="R226" s="1463"/>
      <c r="S226" s="1463"/>
      <c r="T226" s="1463"/>
      <c r="U226" s="1463"/>
      <c r="V226" s="1463"/>
      <c r="W226" s="1463"/>
    </row>
    <row r="227" spans="1:23">
      <c r="A227" s="433"/>
      <c r="B227" s="433"/>
      <c r="C227" s="1464">
        <v>12</v>
      </c>
      <c r="D227" s="1463"/>
      <c r="E227" s="1463"/>
      <c r="F227" s="1318" t="s">
        <v>1820</v>
      </c>
      <c r="G227" s="1319">
        <f ca="1">SUM(G219:G226)</f>
        <v>6748845</v>
      </c>
      <c r="H227" s="1463"/>
      <c r="I227" s="1463"/>
      <c r="J227" s="1319">
        <f ca="1">SUM(J219:J226)</f>
        <v>6748845</v>
      </c>
      <c r="K227" s="1463"/>
      <c r="L227" s="1463"/>
      <c r="M227" s="1463"/>
      <c r="N227" s="1463"/>
      <c r="O227" s="1463"/>
      <c r="P227" s="1463"/>
      <c r="Q227" s="1463"/>
      <c r="R227" s="1463"/>
      <c r="S227" s="1463"/>
      <c r="T227" s="1463"/>
      <c r="U227" s="1463"/>
      <c r="V227" s="1463"/>
      <c r="W227" s="1463"/>
    </row>
    <row r="228" spans="1:23">
      <c r="A228" s="433"/>
      <c r="B228" s="433"/>
      <c r="C228" s="1464">
        <v>13</v>
      </c>
      <c r="D228" s="1463"/>
      <c r="E228" s="1463"/>
      <c r="F228" s="1463"/>
      <c r="G228" s="443"/>
      <c r="H228" s="1463"/>
      <c r="I228" s="1463"/>
      <c r="J228" s="443"/>
      <c r="K228" s="1463"/>
      <c r="L228" s="1463"/>
      <c r="M228" s="1463"/>
      <c r="N228" s="1463"/>
      <c r="O228" s="1463"/>
      <c r="P228" s="1463"/>
      <c r="Q228" s="1463"/>
      <c r="R228" s="1463"/>
      <c r="S228" s="1463"/>
      <c r="T228" s="1463"/>
      <c r="U228" s="1463"/>
      <c r="V228" s="1463"/>
      <c r="W228" s="1463"/>
    </row>
    <row r="229" spans="1:23">
      <c r="A229" s="433"/>
      <c r="B229" s="433"/>
      <c r="C229" s="1465">
        <v>14</v>
      </c>
      <c r="D229" s="1463"/>
      <c r="E229" s="1463"/>
      <c r="F229" s="441" t="s">
        <v>1821</v>
      </c>
      <c r="G229" s="1463"/>
      <c r="H229" s="1463"/>
      <c r="I229" s="1463"/>
      <c r="J229" s="1463"/>
      <c r="K229" s="1463"/>
      <c r="L229" s="1463"/>
      <c r="M229" s="1463"/>
      <c r="N229" s="1463"/>
      <c r="O229" s="1463"/>
      <c r="P229" s="1463"/>
      <c r="Q229" s="1463"/>
      <c r="R229" s="1463"/>
      <c r="S229" s="1463"/>
      <c r="T229" s="1463"/>
      <c r="U229" s="1463"/>
      <c r="V229" s="1463"/>
      <c r="W229" s="1463"/>
    </row>
    <row r="230" spans="1:23">
      <c r="A230" s="433"/>
      <c r="B230" s="433"/>
      <c r="C230" s="1464">
        <v>15</v>
      </c>
      <c r="D230" s="1463"/>
      <c r="E230" s="1463"/>
      <c r="F230" s="1463"/>
      <c r="G230" s="1463"/>
      <c r="H230" s="1463"/>
      <c r="I230" s="1463"/>
      <c r="J230" s="1463"/>
      <c r="K230" s="1463"/>
      <c r="L230" s="1463"/>
      <c r="M230" s="1463"/>
      <c r="N230" s="1463"/>
      <c r="O230" s="1463"/>
      <c r="P230" s="1463"/>
      <c r="Q230" s="1463"/>
      <c r="R230" s="1463"/>
      <c r="S230" s="1463"/>
      <c r="T230" s="1463"/>
      <c r="U230" s="1463"/>
      <c r="V230" s="1463"/>
      <c r="W230" s="1463"/>
    </row>
    <row r="231" spans="1:23">
      <c r="A231" s="433"/>
      <c r="B231" s="433"/>
      <c r="C231" s="1464">
        <v>16</v>
      </c>
      <c r="D231" s="1463"/>
      <c r="E231" s="1463"/>
      <c r="F231" s="441" t="s">
        <v>1101</v>
      </c>
      <c r="G231" s="1463"/>
      <c r="H231" s="1463"/>
      <c r="I231" s="1463"/>
      <c r="J231" s="1463"/>
      <c r="K231" s="1463"/>
      <c r="L231" s="1463"/>
      <c r="M231" s="1463"/>
      <c r="N231" s="1463"/>
      <c r="O231" s="1463"/>
      <c r="P231" s="1463"/>
      <c r="Q231" s="1463"/>
      <c r="R231" s="1463"/>
      <c r="S231" s="1463"/>
      <c r="T231" s="1463"/>
      <c r="U231" s="1463"/>
      <c r="V231" s="1463"/>
      <c r="W231" s="1463"/>
    </row>
    <row r="232" spans="1:23">
      <c r="A232" s="433"/>
      <c r="B232" s="432">
        <v>908</v>
      </c>
      <c r="C232" s="1465">
        <v>17</v>
      </c>
      <c r="D232" s="1464">
        <v>908</v>
      </c>
      <c r="E232" s="1463"/>
      <c r="F232" s="1318" t="str">
        <f>'SCH_C2.1 - Base Period'!F226</f>
        <v xml:space="preserve">  Customer Assistance Activities</v>
      </c>
      <c r="G232" s="1462">
        <f t="array" aca="1" ref="G232" ca="1">SUM(IF(FERCFP=B232,AmountFP))</f>
        <v>0</v>
      </c>
      <c r="H232" s="1466">
        <f t="shared" ref="H232:H234" si="38">VLOOKUP(K232,ALLOCTABLE,2)</f>
        <v>100</v>
      </c>
      <c r="I232" s="1463"/>
      <c r="J232" s="1462">
        <f t="shared" ref="J232:J234" ca="1" si="39">ROUND(G232*(H232/100),0)</f>
        <v>0</v>
      </c>
      <c r="K232" s="1464" t="s">
        <v>593</v>
      </c>
      <c r="L232" s="1463"/>
      <c r="M232" s="1463"/>
      <c r="N232" s="1463"/>
      <c r="O232" s="1463"/>
      <c r="P232" s="1463"/>
      <c r="Q232" s="1463"/>
      <c r="R232" s="1463"/>
      <c r="S232" s="1463"/>
      <c r="T232" s="1463"/>
      <c r="U232" s="1463"/>
      <c r="V232" s="1463"/>
      <c r="W232" s="1463"/>
    </row>
    <row r="233" spans="1:23">
      <c r="A233" s="433"/>
      <c r="B233" s="432">
        <v>909</v>
      </c>
      <c r="C233" s="1464">
        <v>18</v>
      </c>
      <c r="D233" s="1464">
        <v>909</v>
      </c>
      <c r="E233" s="1463"/>
      <c r="F233" s="1318" t="str">
        <f>'SCH_C2.1 - Base Period'!F227</f>
        <v xml:space="preserve">  Informational &amp; Instructional Adver.</v>
      </c>
      <c r="G233" s="1462">
        <f t="array" aca="1" ref="G233" ca="1">SUM(IF(FERCFP=B233,AmountFP))</f>
        <v>0</v>
      </c>
      <c r="H233" s="1466">
        <f t="shared" si="38"/>
        <v>100</v>
      </c>
      <c r="I233" s="1463"/>
      <c r="J233" s="1462">
        <f t="shared" ca="1" si="39"/>
        <v>0</v>
      </c>
      <c r="K233" s="1464" t="s">
        <v>593</v>
      </c>
      <c r="L233" s="1463"/>
      <c r="M233" s="1463"/>
      <c r="N233" s="1463"/>
      <c r="O233" s="1463"/>
      <c r="P233" s="1463"/>
      <c r="Q233" s="1463"/>
      <c r="R233" s="1463"/>
      <c r="S233" s="1463"/>
      <c r="T233" s="1463"/>
      <c r="U233" s="1463"/>
      <c r="V233" s="1463"/>
      <c r="W233" s="1463"/>
    </row>
    <row r="234" spans="1:23">
      <c r="A234" s="433"/>
      <c r="B234" s="432">
        <v>910</v>
      </c>
      <c r="C234" s="1464">
        <v>19</v>
      </c>
      <c r="D234" s="1464">
        <v>910</v>
      </c>
      <c r="E234" s="1463"/>
      <c r="F234" s="1318" t="str">
        <f>'SCH_C2.1 - Base Period'!F228</f>
        <v xml:space="preserve">  Misc. Cust. Serv. &amp; Info.</v>
      </c>
      <c r="G234" s="462">
        <f t="array" aca="1" ref="G234" ca="1">SUM(IF(FERCFP=B234,AmountFP))</f>
        <v>1081198</v>
      </c>
      <c r="H234" s="1466">
        <f t="shared" si="38"/>
        <v>100</v>
      </c>
      <c r="I234" s="1463"/>
      <c r="J234" s="1462">
        <f t="shared" ca="1" si="39"/>
        <v>1081198</v>
      </c>
      <c r="K234" s="1464" t="s">
        <v>593</v>
      </c>
      <c r="L234" s="1463"/>
      <c r="M234" s="1463"/>
      <c r="N234" s="1463"/>
      <c r="O234" s="1463"/>
      <c r="P234" s="1463"/>
      <c r="Q234" s="1463"/>
      <c r="R234" s="1463"/>
      <c r="S234" s="1463"/>
      <c r="T234" s="1463"/>
      <c r="U234" s="1463"/>
      <c r="V234" s="1463"/>
      <c r="W234" s="1463"/>
    </row>
    <row r="235" spans="1:23">
      <c r="A235" s="433"/>
      <c r="B235" s="432"/>
      <c r="C235" s="1465">
        <v>20</v>
      </c>
      <c r="D235" s="1463"/>
      <c r="E235" s="1463"/>
      <c r="F235" s="1318" t="s">
        <v>1769</v>
      </c>
      <c r="G235" s="463"/>
      <c r="H235" s="1463"/>
      <c r="I235" s="1463"/>
      <c r="J235" s="463"/>
      <c r="K235" s="1463"/>
      <c r="L235" s="1463"/>
      <c r="M235" s="1463"/>
      <c r="N235" s="1463"/>
      <c r="O235" s="1463"/>
      <c r="P235" s="1463"/>
      <c r="Q235" s="1463"/>
      <c r="R235" s="1463"/>
      <c r="S235" s="1463"/>
      <c r="T235" s="1463"/>
      <c r="U235" s="1463"/>
      <c r="V235" s="1463"/>
      <c r="W235" s="1463"/>
    </row>
    <row r="236" spans="1:23">
      <c r="A236" s="433"/>
      <c r="B236" s="432"/>
      <c r="C236" s="1464">
        <v>21</v>
      </c>
      <c r="D236" s="1463"/>
      <c r="E236" s="1463"/>
      <c r="F236" s="1318" t="s">
        <v>1770</v>
      </c>
      <c r="G236" s="1319">
        <f ca="1">SUM(G232:G234)</f>
        <v>1081198</v>
      </c>
      <c r="H236" s="1463"/>
      <c r="I236" s="1463"/>
      <c r="J236" s="1319">
        <f ca="1">SUM(J232:J234)</f>
        <v>1081198</v>
      </c>
      <c r="K236" s="1463"/>
      <c r="L236" s="1463"/>
      <c r="M236" s="1463"/>
      <c r="N236" s="1463"/>
      <c r="O236" s="1463"/>
      <c r="P236" s="1463"/>
      <c r="Q236" s="1463"/>
      <c r="R236" s="1463"/>
      <c r="S236" s="1463"/>
      <c r="T236" s="1463"/>
      <c r="U236" s="1463"/>
      <c r="V236" s="1463"/>
      <c r="W236" s="1463"/>
    </row>
    <row r="237" spans="1:23">
      <c r="A237" s="433"/>
      <c r="B237" s="432"/>
      <c r="C237" s="1464">
        <v>22</v>
      </c>
      <c r="D237" s="1463"/>
      <c r="E237" s="1463"/>
      <c r="F237" s="1463"/>
      <c r="G237" s="1463"/>
      <c r="H237" s="1463"/>
      <c r="I237" s="1463"/>
      <c r="J237" s="1463"/>
      <c r="K237" s="1463"/>
      <c r="L237" s="1463"/>
      <c r="M237" s="1463"/>
      <c r="N237" s="1463"/>
      <c r="O237" s="1463"/>
      <c r="P237" s="1463"/>
      <c r="Q237" s="1463"/>
      <c r="R237" s="1463"/>
      <c r="S237" s="1463"/>
      <c r="T237" s="1463"/>
      <c r="U237" s="1463"/>
      <c r="V237" s="1463"/>
      <c r="W237" s="1463"/>
    </row>
    <row r="238" spans="1:23">
      <c r="A238" s="433"/>
      <c r="B238" s="432"/>
      <c r="C238" s="1465">
        <v>23</v>
      </c>
      <c r="D238" s="1463"/>
      <c r="E238" s="1463"/>
      <c r="F238" s="441" t="s">
        <v>176</v>
      </c>
      <c r="G238" s="1463"/>
      <c r="H238" s="1463"/>
      <c r="I238" s="1463"/>
      <c r="J238" s="1463"/>
      <c r="K238" s="1463"/>
      <c r="L238" s="1463"/>
      <c r="M238" s="1463"/>
      <c r="N238" s="1463"/>
      <c r="O238" s="1463"/>
      <c r="P238" s="1463"/>
      <c r="Q238" s="1463"/>
      <c r="R238" s="1463"/>
      <c r="S238" s="1463"/>
      <c r="T238" s="1463"/>
      <c r="U238" s="1463"/>
      <c r="V238" s="1463"/>
      <c r="W238" s="1463"/>
    </row>
    <row r="239" spans="1:23">
      <c r="A239" s="433"/>
      <c r="B239" s="432"/>
      <c r="C239" s="1464">
        <v>24</v>
      </c>
      <c r="D239" s="1463"/>
      <c r="E239" s="1463"/>
      <c r="F239" s="1463"/>
      <c r="G239" s="1463"/>
      <c r="H239" s="1463"/>
      <c r="I239" s="1463"/>
      <c r="J239" s="1463"/>
      <c r="K239" s="1463"/>
      <c r="L239" s="1463"/>
      <c r="M239" s="1463"/>
      <c r="N239" s="1463"/>
      <c r="O239" s="1463"/>
      <c r="P239" s="1463"/>
      <c r="Q239" s="1463"/>
      <c r="R239" s="1463"/>
      <c r="S239" s="1463"/>
      <c r="T239" s="1463"/>
      <c r="U239" s="1463"/>
      <c r="V239" s="1463"/>
      <c r="W239" s="1463"/>
    </row>
    <row r="240" spans="1:23">
      <c r="A240" s="433"/>
      <c r="B240" s="432"/>
      <c r="C240" s="1464">
        <v>25</v>
      </c>
      <c r="D240" s="1463"/>
      <c r="E240" s="1463"/>
      <c r="F240" s="441" t="s">
        <v>1101</v>
      </c>
      <c r="G240" s="1463"/>
      <c r="H240" s="1463"/>
      <c r="I240" s="1463"/>
      <c r="J240" s="1463"/>
      <c r="K240" s="1463"/>
      <c r="L240" s="1463"/>
      <c r="M240" s="1463"/>
      <c r="N240" s="1463"/>
      <c r="O240" s="1463"/>
      <c r="P240" s="1463"/>
      <c r="Q240" s="1463"/>
      <c r="R240" s="1463"/>
      <c r="S240" s="1463"/>
      <c r="T240" s="1463"/>
      <c r="U240" s="1463"/>
      <c r="V240" s="1463"/>
      <c r="W240" s="1463"/>
    </row>
    <row r="241" spans="1:23">
      <c r="A241" s="433"/>
      <c r="B241" s="432">
        <v>911</v>
      </c>
      <c r="C241" s="1465">
        <v>26</v>
      </c>
      <c r="D241" s="1464">
        <v>911</v>
      </c>
      <c r="E241" s="1463"/>
      <c r="F241" s="1318" t="str">
        <f>'SCH_C2.1 - Base Period'!F235</f>
        <v xml:space="preserve">  Supervision</v>
      </c>
      <c r="G241" s="1462">
        <f t="array" aca="1" ref="G241" ca="1">SUM(IF(FERCFP=B241,AmountFP))</f>
        <v>0</v>
      </c>
      <c r="H241" s="1466">
        <f t="shared" ref="H241:H243" si="40">VLOOKUP(K241,ALLOCTABLE,2)</f>
        <v>100</v>
      </c>
      <c r="I241" s="1463"/>
      <c r="J241" s="1462">
        <f t="shared" ref="J241:J243" ca="1" si="41">ROUND(G241*(H241/100),0)</f>
        <v>0</v>
      </c>
      <c r="K241" s="1464" t="s">
        <v>593</v>
      </c>
      <c r="L241" s="1463"/>
      <c r="M241" s="1463"/>
      <c r="N241" s="1463"/>
      <c r="O241" s="1463"/>
      <c r="P241" s="1463"/>
      <c r="Q241" s="1463"/>
      <c r="R241" s="1463"/>
      <c r="S241" s="1463"/>
      <c r="T241" s="1463"/>
      <c r="U241" s="1463"/>
      <c r="V241" s="1463"/>
      <c r="W241" s="1463"/>
    </row>
    <row r="242" spans="1:23">
      <c r="A242" s="433"/>
      <c r="B242" s="432">
        <v>912</v>
      </c>
      <c r="C242" s="1464">
        <v>27</v>
      </c>
      <c r="D242" s="1464">
        <v>912</v>
      </c>
      <c r="E242" s="1463"/>
      <c r="F242" s="1318" t="str">
        <f>'SCH_C2.1 - Base Period'!F236</f>
        <v xml:space="preserve">  Demonstrating &amp; Selling Exp</v>
      </c>
      <c r="G242" s="1462">
        <f t="array" aca="1" ref="G242" ca="1">SUM(IF(FERCFP=B242,AmountFP))</f>
        <v>793281</v>
      </c>
      <c r="H242" s="1466">
        <f t="shared" si="40"/>
        <v>100</v>
      </c>
      <c r="I242" s="1463"/>
      <c r="J242" s="1462">
        <f t="shared" ca="1" si="41"/>
        <v>793281</v>
      </c>
      <c r="K242" s="1464" t="s">
        <v>593</v>
      </c>
      <c r="L242" s="1463"/>
      <c r="M242" s="1463"/>
      <c r="N242" s="1463"/>
      <c r="O242" s="1463"/>
      <c r="P242" s="1463"/>
      <c r="Q242" s="1463"/>
      <c r="R242" s="1463"/>
      <c r="S242" s="1463"/>
      <c r="T242" s="1463"/>
      <c r="U242" s="1463"/>
      <c r="V242" s="1463"/>
      <c r="W242" s="1463"/>
    </row>
    <row r="243" spans="1:23">
      <c r="A243" s="433"/>
      <c r="B243" s="432">
        <v>913</v>
      </c>
      <c r="C243" s="1464">
        <v>28</v>
      </c>
      <c r="D243" s="1464">
        <v>913</v>
      </c>
      <c r="E243" s="1463"/>
      <c r="F243" s="1318" t="str">
        <f>'SCH_C2.1 - Base Period'!F237</f>
        <v xml:space="preserve">  Advertising</v>
      </c>
      <c r="G243" s="1462">
        <f t="array" aca="1" ref="G243" ca="1">SUM(IF(FERCFP=B243,AmountFP))</f>
        <v>1857</v>
      </c>
      <c r="H243" s="1466">
        <f t="shared" si="40"/>
        <v>100</v>
      </c>
      <c r="I243" s="1463"/>
      <c r="J243" s="1462">
        <f t="shared" ca="1" si="41"/>
        <v>1857</v>
      </c>
      <c r="K243" s="1464" t="s">
        <v>593</v>
      </c>
      <c r="L243" s="1463"/>
      <c r="M243" s="1463"/>
      <c r="N243" s="1463"/>
      <c r="O243" s="1463"/>
      <c r="P243" s="1463"/>
      <c r="Q243" s="1463"/>
      <c r="R243" s="1463"/>
      <c r="S243" s="1463"/>
      <c r="T243" s="1463"/>
      <c r="U243" s="1463"/>
      <c r="V243" s="1463"/>
      <c r="W243" s="1463"/>
    </row>
    <row r="244" spans="1:23">
      <c r="A244" s="433"/>
      <c r="B244" s="432"/>
      <c r="C244" s="1465">
        <v>29</v>
      </c>
      <c r="D244" s="1463"/>
      <c r="E244" s="1463"/>
      <c r="F244" s="1318" t="s">
        <v>1772</v>
      </c>
      <c r="G244" s="1319">
        <f ca="1">SUM(G241:G243)</f>
        <v>795138</v>
      </c>
      <c r="H244" s="1463"/>
      <c r="I244" s="1463"/>
      <c r="J244" s="1319">
        <f ca="1">SUM(J241:J243)</f>
        <v>795138</v>
      </c>
      <c r="K244" s="1463"/>
      <c r="L244" s="1463"/>
      <c r="M244" s="1463"/>
      <c r="N244" s="1463"/>
      <c r="O244" s="1463"/>
      <c r="P244" s="1463"/>
      <c r="Q244" s="1463"/>
      <c r="R244" s="1463"/>
      <c r="S244" s="1463"/>
      <c r="T244" s="1463"/>
      <c r="U244" s="1463"/>
      <c r="V244" s="1463"/>
      <c r="W244" s="1463"/>
    </row>
    <row r="245" spans="1:23">
      <c r="A245" s="433"/>
      <c r="B245" s="432"/>
      <c r="C245" s="1463"/>
      <c r="D245" s="1463"/>
      <c r="E245" s="1463"/>
      <c r="F245" s="1463"/>
      <c r="G245" s="1463"/>
      <c r="H245" s="1463"/>
      <c r="I245" s="1463"/>
      <c r="J245" s="1463"/>
      <c r="K245" s="1463"/>
      <c r="L245" s="1463"/>
      <c r="M245" s="1463"/>
      <c r="N245" s="1463"/>
      <c r="O245" s="1463"/>
      <c r="P245" s="1463"/>
      <c r="Q245" s="1463"/>
      <c r="R245" s="1463"/>
      <c r="S245" s="1463"/>
      <c r="T245" s="1463"/>
      <c r="U245" s="1463"/>
      <c r="V245" s="1463"/>
      <c r="W245" s="1463"/>
    </row>
    <row r="246" spans="1:23">
      <c r="A246" s="433"/>
      <c r="B246" s="433"/>
      <c r="C246" s="434" t="str">
        <f>COMPANY</f>
        <v>DUKE ENERGY KENTUCKY, INC.</v>
      </c>
      <c r="D246" s="435"/>
      <c r="E246" s="435"/>
      <c r="F246" s="434"/>
      <c r="G246" s="435"/>
      <c r="H246" s="435"/>
      <c r="I246" s="435"/>
      <c r="J246" s="435"/>
      <c r="K246" s="435"/>
      <c r="L246" s="1463"/>
      <c r="M246" s="1463"/>
      <c r="N246" s="1463"/>
      <c r="O246" s="1463"/>
      <c r="P246" s="1463"/>
      <c r="Q246" s="1463"/>
      <c r="R246" s="1463"/>
      <c r="S246" s="1463"/>
      <c r="T246" s="1463"/>
      <c r="U246" s="1463"/>
      <c r="V246" s="1463"/>
      <c r="W246" s="1463"/>
    </row>
    <row r="247" spans="1:23">
      <c r="A247" s="433"/>
      <c r="B247" s="433"/>
      <c r="C247" s="434" t="str">
        <f>CASE</f>
        <v>CASE NO. 2017-00321</v>
      </c>
      <c r="D247" s="435"/>
      <c r="E247" s="435"/>
      <c r="F247" s="434"/>
      <c r="G247" s="435"/>
      <c r="H247" s="435"/>
      <c r="I247" s="435"/>
      <c r="J247" s="435"/>
      <c r="K247" s="435"/>
      <c r="L247" s="1463"/>
      <c r="M247" s="1463"/>
      <c r="N247" s="1463"/>
      <c r="O247" s="1463"/>
      <c r="P247" s="1463"/>
      <c r="Q247" s="1463"/>
      <c r="R247" s="1463"/>
      <c r="S247" s="1463"/>
      <c r="T247" s="1463"/>
      <c r="U247" s="1463"/>
      <c r="V247" s="1463"/>
      <c r="W247" s="1463"/>
    </row>
    <row r="248" spans="1:23">
      <c r="A248" s="433"/>
      <c r="B248" s="433"/>
      <c r="C248" s="434" t="s">
        <v>1949</v>
      </c>
      <c r="D248" s="435"/>
      <c r="E248" s="434"/>
      <c r="F248" s="435"/>
      <c r="G248" s="435"/>
      <c r="H248" s="435"/>
      <c r="I248" s="435"/>
      <c r="J248" s="435"/>
      <c r="K248" s="435"/>
      <c r="L248" s="1463"/>
      <c r="M248" s="1463"/>
      <c r="N248" s="1463"/>
      <c r="O248" s="1463"/>
      <c r="P248" s="1463"/>
      <c r="Q248" s="1463"/>
      <c r="R248" s="1463"/>
      <c r="S248" s="1463"/>
      <c r="T248" s="1463"/>
      <c r="U248" s="1463"/>
      <c r="V248" s="1463"/>
      <c r="W248" s="1463"/>
    </row>
    <row r="249" spans="1:23">
      <c r="A249" s="433"/>
      <c r="B249" s="433"/>
      <c r="C249" s="434" t="str">
        <f>PeriodF</f>
        <v>FOR THE TWELVE MONTHS ENDED MARCH 31, 2019</v>
      </c>
      <c r="D249" s="435"/>
      <c r="E249" s="435"/>
      <c r="F249" s="434"/>
      <c r="G249" s="435"/>
      <c r="H249" s="435"/>
      <c r="I249" s="435"/>
      <c r="J249" s="435"/>
      <c r="K249" s="435"/>
      <c r="L249" s="1463"/>
      <c r="M249" s="1463"/>
      <c r="N249" s="1463"/>
      <c r="O249" s="1463"/>
      <c r="P249" s="1463"/>
      <c r="Q249" s="1463"/>
      <c r="R249" s="1463"/>
      <c r="S249" s="1463"/>
      <c r="T249" s="1463"/>
      <c r="U249" s="1463"/>
      <c r="V249" s="1463"/>
      <c r="W249" s="1463"/>
    </row>
    <row r="250" spans="1:23">
      <c r="A250" s="433"/>
      <c r="B250" s="433"/>
      <c r="C250" s="435"/>
      <c r="D250" s="435"/>
      <c r="E250" s="435"/>
      <c r="F250" s="435"/>
      <c r="G250" s="435"/>
      <c r="H250" s="435"/>
      <c r="I250" s="435"/>
      <c r="J250" s="1463"/>
      <c r="K250" s="1463"/>
      <c r="L250" s="1463"/>
      <c r="M250" s="1463"/>
      <c r="N250" s="1463"/>
      <c r="O250" s="1463"/>
      <c r="P250" s="1463"/>
      <c r="Q250" s="1463"/>
      <c r="R250" s="1463"/>
      <c r="S250" s="1463"/>
      <c r="T250" s="1463"/>
      <c r="U250" s="1463"/>
      <c r="V250" s="1463"/>
      <c r="W250" s="1463"/>
    </row>
    <row r="251" spans="1:23">
      <c r="A251" s="433"/>
      <c r="B251" s="433"/>
      <c r="C251" s="1463"/>
      <c r="D251" s="1463"/>
      <c r="E251" s="1463"/>
      <c r="F251" s="1463"/>
      <c r="G251" s="1463"/>
      <c r="H251" s="1463"/>
      <c r="I251" s="1463"/>
      <c r="J251" s="1318" t="str">
        <f>"                "&amp;"SCHEDULE C-2.1"</f>
        <v xml:space="preserve">                SCHEDULE C-2.1</v>
      </c>
      <c r="K251" s="1463"/>
      <c r="L251" s="1463"/>
      <c r="M251" s="1463"/>
      <c r="N251" s="1463"/>
      <c r="O251" s="1463"/>
      <c r="P251" s="1463"/>
      <c r="Q251" s="1463"/>
      <c r="R251" s="1463"/>
      <c r="S251" s="1463"/>
      <c r="T251" s="1463"/>
      <c r="U251" s="1463"/>
      <c r="V251" s="1463"/>
      <c r="W251" s="1463"/>
    </row>
    <row r="252" spans="1:23">
      <c r="A252" s="433"/>
      <c r="B252" s="433"/>
      <c r="C252" s="436" t="str">
        <f>DataF</f>
        <v>DATA:  BASE PERIOD  "X" FORECASTED PERIOD</v>
      </c>
      <c r="D252" s="1463"/>
      <c r="E252" s="1463"/>
      <c r="F252" s="1463"/>
      <c r="G252" s="1463"/>
      <c r="H252" s="1463"/>
      <c r="I252" s="1463"/>
      <c r="J252" s="1318" t="str">
        <f>"                "&amp;"PAGE  12  OF  14"</f>
        <v xml:space="preserve">                PAGE  12  OF  14</v>
      </c>
      <c r="K252" s="1463"/>
      <c r="L252" s="1463"/>
      <c r="M252" s="1463"/>
      <c r="N252" s="1463"/>
      <c r="O252" s="1463"/>
      <c r="P252" s="1463"/>
      <c r="Q252" s="1463"/>
      <c r="R252" s="1463"/>
      <c r="S252" s="1463"/>
      <c r="T252" s="1463"/>
      <c r="U252" s="1463"/>
      <c r="V252" s="1463"/>
      <c r="W252" s="1463"/>
    </row>
    <row r="253" spans="1:23">
      <c r="A253" s="433"/>
      <c r="B253" s="433"/>
      <c r="C253" s="436" t="str">
        <f>Type</f>
        <v xml:space="preserve">TYPE OF FILING:  "X" ORIGINAL   UPDATED    REVISED  </v>
      </c>
      <c r="D253" s="1463"/>
      <c r="E253" s="1463"/>
      <c r="F253" s="1463"/>
      <c r="G253" s="1463"/>
      <c r="H253" s="1463"/>
      <c r="I253" s="1463"/>
      <c r="J253" s="1318" t="str">
        <f>"                "&amp;"WITNESS RESPONSIBLE:"</f>
        <v xml:space="preserve">                WITNESS RESPONSIBLE:</v>
      </c>
      <c r="K253" s="1463"/>
      <c r="L253" s="1463"/>
      <c r="M253" s="1463"/>
      <c r="N253" s="1463"/>
      <c r="O253" s="1463"/>
      <c r="P253" s="1463"/>
      <c r="Q253" s="1463"/>
      <c r="R253" s="1463"/>
      <c r="S253" s="1463"/>
      <c r="T253" s="1463"/>
      <c r="U253" s="1463"/>
      <c r="V253" s="1463"/>
      <c r="W253" s="1463"/>
    </row>
    <row r="254" spans="1:23">
      <c r="A254" s="433"/>
      <c r="B254" s="433"/>
      <c r="C254" s="1318" t="str">
        <f>$C$11&amp;", SCHEDULE F-3"</f>
        <v>WORK PAPER REFERENCE NO(S).: WPC-2.1a_FP, SCHEDULE F-3</v>
      </c>
      <c r="D254" s="1463"/>
      <c r="E254" s="1463"/>
      <c r="F254" s="1463"/>
      <c r="G254" s="1463"/>
      <c r="H254" s="1463"/>
      <c r="I254" s="1463"/>
      <c r="J254" s="1318" t="str">
        <f>"                "&amp;_WIT1</f>
        <v xml:space="preserve">                S. E. LAWLER</v>
      </c>
      <c r="K254" s="1463"/>
      <c r="L254" s="1463"/>
      <c r="M254" s="1463"/>
      <c r="N254" s="1463"/>
      <c r="O254" s="1463"/>
      <c r="P254" s="1463"/>
      <c r="Q254" s="1463"/>
      <c r="R254" s="1463"/>
      <c r="S254" s="1463"/>
      <c r="T254" s="1463"/>
      <c r="U254" s="1463"/>
      <c r="V254" s="1463"/>
      <c r="W254" s="1463"/>
    </row>
    <row r="255" spans="1:23">
      <c r="A255" s="433"/>
      <c r="B255" s="433"/>
      <c r="C255" s="437"/>
      <c r="D255" s="438"/>
      <c r="E255" s="438"/>
      <c r="F255" s="438"/>
      <c r="G255" s="438"/>
      <c r="H255" s="438"/>
      <c r="I255" s="438"/>
      <c r="J255" s="438"/>
      <c r="K255" s="438"/>
      <c r="L255" s="1463"/>
      <c r="M255" s="1463"/>
      <c r="N255" s="1463"/>
      <c r="O255" s="1463"/>
      <c r="P255" s="1463"/>
      <c r="Q255" s="1463"/>
      <c r="R255" s="1463"/>
      <c r="S255" s="1463"/>
      <c r="T255" s="1463"/>
      <c r="U255" s="1463"/>
      <c r="V255" s="1463"/>
      <c r="W255" s="1463"/>
    </row>
    <row r="256" spans="1:23">
      <c r="A256" s="433"/>
      <c r="B256" s="433"/>
      <c r="C256" s="1463"/>
      <c r="D256" s="1463"/>
      <c r="E256" s="1463"/>
      <c r="F256" s="1463"/>
      <c r="G256" s="1464" t="s">
        <v>238</v>
      </c>
      <c r="H256" s="1465" t="s">
        <v>360</v>
      </c>
      <c r="I256" s="1463"/>
      <c r="J256" s="1463"/>
      <c r="K256" s="1464" t="s">
        <v>1461</v>
      </c>
      <c r="L256" s="1463"/>
      <c r="M256" s="1463"/>
      <c r="N256" s="1463"/>
      <c r="O256" s="1463"/>
      <c r="P256" s="1463"/>
      <c r="Q256" s="1463"/>
      <c r="R256" s="1463"/>
      <c r="S256" s="1463"/>
      <c r="T256" s="1463"/>
      <c r="U256" s="1463"/>
      <c r="V256" s="1463"/>
      <c r="W256" s="1463"/>
    </row>
    <row r="257" spans="1:23">
      <c r="A257" s="433"/>
      <c r="B257" s="433"/>
      <c r="C257" s="1464" t="s">
        <v>1961</v>
      </c>
      <c r="D257" s="1464" t="s">
        <v>1080</v>
      </c>
      <c r="E257" s="1463"/>
      <c r="F257" s="1463"/>
      <c r="G257" s="1464" t="s">
        <v>1035</v>
      </c>
      <c r="H257" s="1464" t="s">
        <v>362</v>
      </c>
      <c r="I257" s="1463"/>
      <c r="J257" s="1464" t="s">
        <v>238</v>
      </c>
      <c r="K257" s="1464" t="s">
        <v>239</v>
      </c>
      <c r="L257" s="1463"/>
      <c r="M257" s="1463"/>
      <c r="N257" s="1463"/>
      <c r="O257" s="1463"/>
      <c r="P257" s="1463"/>
      <c r="Q257" s="1463"/>
      <c r="R257" s="1463"/>
      <c r="S257" s="1463"/>
      <c r="T257" s="1463"/>
      <c r="U257" s="1463"/>
      <c r="V257" s="1463"/>
      <c r="W257" s="1463"/>
    </row>
    <row r="258" spans="1:23">
      <c r="A258" s="433"/>
      <c r="B258" s="433"/>
      <c r="C258" s="1464" t="s">
        <v>1854</v>
      </c>
      <c r="D258" s="1464" t="s">
        <v>90</v>
      </c>
      <c r="E258" s="1463"/>
      <c r="F258" s="434" t="s">
        <v>240</v>
      </c>
      <c r="G258" s="1464" t="s">
        <v>1872</v>
      </c>
      <c r="H258" s="1464" t="s">
        <v>363</v>
      </c>
      <c r="I258" s="1463"/>
      <c r="J258" s="1464" t="s">
        <v>241</v>
      </c>
      <c r="K258" s="1464" t="s">
        <v>566</v>
      </c>
      <c r="L258" s="1463"/>
      <c r="M258" s="1463"/>
      <c r="N258" s="1463"/>
      <c r="O258" s="1463"/>
      <c r="P258" s="1463"/>
      <c r="Q258" s="1463"/>
      <c r="R258" s="1463"/>
      <c r="S258" s="1463"/>
      <c r="T258" s="1463"/>
      <c r="U258" s="1463"/>
      <c r="V258" s="1463"/>
      <c r="W258" s="1463"/>
    </row>
    <row r="259" spans="1:23">
      <c r="A259" s="433"/>
      <c r="B259" s="433"/>
      <c r="C259" s="439"/>
      <c r="D259" s="439"/>
      <c r="E259" s="439"/>
      <c r="F259" s="439"/>
      <c r="G259" s="440" t="s">
        <v>365</v>
      </c>
      <c r="H259" s="440" t="s">
        <v>318</v>
      </c>
      <c r="I259" s="439"/>
      <c r="J259" s="440" t="s">
        <v>319</v>
      </c>
      <c r="K259" s="440" t="s">
        <v>320</v>
      </c>
      <c r="L259" s="1463"/>
      <c r="M259" s="1463"/>
      <c r="N259" s="1463"/>
      <c r="O259" s="1463"/>
      <c r="P259" s="1463"/>
      <c r="Q259" s="1463"/>
      <c r="R259" s="1463"/>
      <c r="S259" s="1463"/>
      <c r="T259" s="1463"/>
      <c r="U259" s="1463"/>
      <c r="V259" s="1463"/>
      <c r="W259" s="1463"/>
    </row>
    <row r="260" spans="1:23">
      <c r="A260" s="433"/>
      <c r="B260" s="433"/>
      <c r="C260" s="1463"/>
      <c r="D260" s="1463"/>
      <c r="E260" s="1463"/>
      <c r="F260" s="1463"/>
      <c r="G260" s="1463"/>
      <c r="H260" s="1463"/>
      <c r="I260" s="1463"/>
      <c r="J260" s="1463"/>
      <c r="K260" s="1463"/>
      <c r="L260" s="1463"/>
      <c r="M260" s="1463"/>
      <c r="N260" s="1463"/>
      <c r="O260" s="1463"/>
      <c r="P260" s="1463"/>
      <c r="Q260" s="1463"/>
      <c r="R260" s="1463"/>
      <c r="S260" s="1463"/>
      <c r="T260" s="1463"/>
      <c r="U260" s="1463"/>
      <c r="V260" s="1463"/>
      <c r="W260" s="1463"/>
    </row>
    <row r="261" spans="1:23">
      <c r="A261" s="433"/>
      <c r="B261" s="433"/>
      <c r="C261" s="1464">
        <v>1</v>
      </c>
      <c r="D261" s="1463"/>
      <c r="E261" s="1463"/>
      <c r="F261" s="441" t="s">
        <v>177</v>
      </c>
      <c r="G261" s="1463"/>
      <c r="H261" s="1463"/>
      <c r="I261" s="1463"/>
      <c r="J261" s="1463"/>
      <c r="K261" s="1463"/>
      <c r="L261" s="1463"/>
      <c r="M261" s="1463"/>
      <c r="N261" s="1463"/>
      <c r="O261" s="1463"/>
      <c r="P261" s="1463"/>
      <c r="Q261" s="1463"/>
      <c r="R261" s="1463"/>
      <c r="S261" s="1463"/>
      <c r="T261" s="1463"/>
      <c r="U261" s="1463"/>
      <c r="V261" s="1463"/>
      <c r="W261" s="1463"/>
    </row>
    <row r="262" spans="1:23">
      <c r="A262" s="433"/>
      <c r="B262" s="433"/>
      <c r="C262" s="1465">
        <v>2</v>
      </c>
      <c r="D262" s="1463"/>
      <c r="E262" s="1463"/>
      <c r="F262" s="1463"/>
      <c r="G262" s="1463"/>
      <c r="H262" s="1463"/>
      <c r="I262" s="1463"/>
      <c r="J262" s="1463"/>
      <c r="K262" s="1463"/>
      <c r="L262" s="1463"/>
      <c r="M262" s="1463"/>
      <c r="N262" s="1463"/>
      <c r="O262" s="1463"/>
      <c r="P262" s="1463"/>
      <c r="Q262" s="1463"/>
      <c r="R262" s="1463"/>
      <c r="S262" s="1463"/>
      <c r="T262" s="1463"/>
      <c r="U262" s="1463"/>
      <c r="V262" s="1463"/>
      <c r="W262" s="1463"/>
    </row>
    <row r="263" spans="1:23">
      <c r="A263" s="433"/>
      <c r="B263" s="433"/>
      <c r="C263" s="1464">
        <v>3</v>
      </c>
      <c r="D263" s="1463"/>
      <c r="E263" s="1463"/>
      <c r="F263" s="441" t="s">
        <v>1101</v>
      </c>
      <c r="G263" s="1463"/>
      <c r="H263" s="1463"/>
      <c r="I263" s="1463"/>
      <c r="J263" s="1463"/>
      <c r="K263" s="1463"/>
      <c r="L263" s="1463"/>
      <c r="M263" s="1463"/>
      <c r="N263" s="1463"/>
      <c r="O263" s="1463"/>
      <c r="P263" s="1463"/>
      <c r="Q263" s="1463"/>
      <c r="R263" s="1463"/>
      <c r="S263" s="1463"/>
      <c r="T263" s="1463"/>
      <c r="U263" s="1463"/>
      <c r="V263" s="1463"/>
      <c r="W263" s="1463"/>
    </row>
    <row r="264" spans="1:23">
      <c r="A264" s="433"/>
      <c r="B264" s="432">
        <v>920</v>
      </c>
      <c r="C264" s="1464">
        <v>4</v>
      </c>
      <c r="D264" s="1464">
        <v>920</v>
      </c>
      <c r="E264" s="1463"/>
      <c r="F264" s="1318" t="str">
        <f>'SCH_C2.1 - Base Period'!F258</f>
        <v xml:space="preserve">  Administrative &amp; General Salaries</v>
      </c>
      <c r="G264" s="1462">
        <f t="array" aca="1" ref="G264" ca="1">SUM(IF(FERCFP=B264,AmountFP))</f>
        <v>4088055</v>
      </c>
      <c r="H264" s="1466">
        <f t="shared" ref="H264:H270" si="42">VLOOKUP(K264,ALLOCTABLE,2)</f>
        <v>100</v>
      </c>
      <c r="I264" s="1463"/>
      <c r="J264" s="1462">
        <f t="shared" ref="J264:J282" ca="1" si="43">ROUND(G264*(H264/100),0)</f>
        <v>4088055</v>
      </c>
      <c r="K264" s="1464" t="s">
        <v>593</v>
      </c>
      <c r="L264" s="1463"/>
      <c r="M264" s="1463"/>
      <c r="N264" s="1463"/>
      <c r="O264" s="1463"/>
      <c r="P264" s="1463"/>
      <c r="Q264" s="1463"/>
      <c r="R264" s="1463"/>
      <c r="S264" s="1463"/>
      <c r="T264" s="1463"/>
      <c r="U264" s="1463"/>
      <c r="V264" s="1463"/>
      <c r="W264" s="1463"/>
    </row>
    <row r="265" spans="1:23">
      <c r="A265" s="433"/>
      <c r="B265" s="432">
        <v>921</v>
      </c>
      <c r="C265" s="1464">
        <v>5</v>
      </c>
      <c r="D265" s="1464">
        <v>921</v>
      </c>
      <c r="E265" s="1463"/>
      <c r="F265" s="1318" t="str">
        <f>'SCH_C2.1 - Base Period'!F259</f>
        <v xml:space="preserve">  Office Supplies &amp; Expenses</v>
      </c>
      <c r="G265" s="1462">
        <f t="array" aca="1" ref="G265" ca="1">SUM(IF(FERCFP=B265,AmountFP))</f>
        <v>2654749</v>
      </c>
      <c r="H265" s="1466">
        <f t="shared" si="42"/>
        <v>100</v>
      </c>
      <c r="I265" s="1463"/>
      <c r="J265" s="1462">
        <f t="shared" ca="1" si="43"/>
        <v>2654749</v>
      </c>
      <c r="K265" s="1464" t="s">
        <v>593</v>
      </c>
      <c r="L265" s="1463"/>
      <c r="M265" s="1463"/>
      <c r="N265" s="1463"/>
      <c r="O265" s="1463"/>
      <c r="P265" s="1463"/>
      <c r="Q265" s="1463"/>
      <c r="R265" s="1463"/>
      <c r="S265" s="1463"/>
      <c r="T265" s="1463"/>
      <c r="U265" s="1463"/>
      <c r="V265" s="1463"/>
      <c r="W265" s="1463"/>
    </row>
    <row r="266" spans="1:23">
      <c r="A266" s="433"/>
      <c r="B266" s="432">
        <v>922</v>
      </c>
      <c r="C266" s="1465">
        <v>6</v>
      </c>
      <c r="D266" s="1464">
        <v>922</v>
      </c>
      <c r="E266" s="1463"/>
      <c r="F266" s="1318" t="str">
        <f>'SCH_C2.1 - Base Period'!F260</f>
        <v xml:space="preserve">  Administrative Expenses Transfer Cr.</v>
      </c>
      <c r="G266" s="1462">
        <f t="array" aca="1" ref="G266" ca="1">SUM(IF(FERCFP=B266,AmountFP))</f>
        <v>0</v>
      </c>
      <c r="H266" s="1466">
        <f t="shared" si="42"/>
        <v>100</v>
      </c>
      <c r="I266" s="1463"/>
      <c r="J266" s="1462">
        <f t="shared" ca="1" si="43"/>
        <v>0</v>
      </c>
      <c r="K266" s="1464" t="s">
        <v>593</v>
      </c>
      <c r="L266" s="1463"/>
      <c r="M266" s="1463"/>
      <c r="N266" s="1463"/>
      <c r="O266" s="1463"/>
      <c r="P266" s="1463"/>
      <c r="Q266" s="1463"/>
      <c r="R266" s="1463"/>
      <c r="S266" s="1463"/>
      <c r="T266" s="1463"/>
      <c r="U266" s="1463"/>
      <c r="V266" s="1463"/>
      <c r="W266" s="1463"/>
    </row>
    <row r="267" spans="1:23">
      <c r="A267" s="433"/>
      <c r="B267" s="432">
        <v>923</v>
      </c>
      <c r="C267" s="1464">
        <v>7</v>
      </c>
      <c r="D267" s="1464">
        <v>923</v>
      </c>
      <c r="E267" s="1463"/>
      <c r="F267" s="1318" t="str">
        <f>'SCH_C2.1 - Base Period'!F261</f>
        <v xml:space="preserve">  Outside Services Employed</v>
      </c>
      <c r="G267" s="1462">
        <f t="array" aca="1" ref="G267" ca="1">SUM(IF(FERCFP=B267,AmountFP))</f>
        <v>2100342</v>
      </c>
      <c r="H267" s="1466">
        <f t="shared" si="42"/>
        <v>100</v>
      </c>
      <c r="I267" s="1463"/>
      <c r="J267" s="1462">
        <f t="shared" ca="1" si="43"/>
        <v>2100342</v>
      </c>
      <c r="K267" s="1464" t="s">
        <v>593</v>
      </c>
      <c r="L267" s="1463"/>
      <c r="M267" s="1463"/>
      <c r="N267" s="1463"/>
      <c r="O267" s="1463"/>
      <c r="P267" s="1463"/>
      <c r="Q267" s="1463"/>
      <c r="R267" s="1463"/>
      <c r="S267" s="1463"/>
      <c r="T267" s="1463"/>
      <c r="U267" s="1463"/>
      <c r="V267" s="1463"/>
      <c r="W267" s="1463"/>
    </row>
    <row r="268" spans="1:23">
      <c r="A268" s="433"/>
      <c r="B268" s="432">
        <v>924</v>
      </c>
      <c r="C268" s="1464">
        <v>8</v>
      </c>
      <c r="D268" s="1464">
        <v>924</v>
      </c>
      <c r="E268" s="1463"/>
      <c r="F268" s="1318" t="str">
        <f>'SCH_C2.1 - Base Period'!F262</f>
        <v xml:space="preserve">  Property Insurance</v>
      </c>
      <c r="G268" s="1462">
        <f t="array" aca="1" ref="G268" ca="1">SUM(IF(FERCFP=B268,AmountFP))</f>
        <v>355505</v>
      </c>
      <c r="H268" s="1466">
        <f t="shared" si="42"/>
        <v>100</v>
      </c>
      <c r="I268" s="1463"/>
      <c r="J268" s="1462">
        <f t="shared" ca="1" si="43"/>
        <v>355505</v>
      </c>
      <c r="K268" s="1464" t="s">
        <v>593</v>
      </c>
      <c r="L268" s="1463"/>
      <c r="M268" s="1463"/>
      <c r="N268" s="1463"/>
      <c r="O268" s="1463"/>
      <c r="P268" s="1463"/>
      <c r="Q268" s="1463"/>
      <c r="R268" s="1463"/>
      <c r="S268" s="1463"/>
      <c r="T268" s="1463"/>
      <c r="U268" s="1463"/>
      <c r="V268" s="1463"/>
      <c r="W268" s="1463"/>
    </row>
    <row r="269" spans="1:23">
      <c r="A269" s="433"/>
      <c r="B269" s="432">
        <v>925</v>
      </c>
      <c r="C269" s="1464">
        <v>9</v>
      </c>
      <c r="D269" s="1464">
        <v>925</v>
      </c>
      <c r="E269" s="1463"/>
      <c r="F269" s="1318" t="str">
        <f>'SCH_C2.1 - Base Period'!F263</f>
        <v xml:space="preserve">  Injuries &amp; Damages</v>
      </c>
      <c r="G269" s="1462">
        <f t="array" aca="1" ref="G269" ca="1">SUM(IF(FERCFP=B269,AmountFP))</f>
        <v>1075855</v>
      </c>
      <c r="H269" s="1466">
        <f t="shared" si="42"/>
        <v>100</v>
      </c>
      <c r="I269" s="1463"/>
      <c r="J269" s="1462">
        <f t="shared" ca="1" si="43"/>
        <v>1075855</v>
      </c>
      <c r="K269" s="1464" t="s">
        <v>593</v>
      </c>
      <c r="L269" s="1463"/>
      <c r="M269" s="1463"/>
      <c r="N269" s="1463"/>
      <c r="O269" s="1463"/>
      <c r="P269" s="1463"/>
      <c r="Q269" s="1463"/>
      <c r="R269" s="1463"/>
      <c r="S269" s="1463"/>
      <c r="T269" s="1463"/>
      <c r="U269" s="1463"/>
      <c r="V269" s="1463"/>
      <c r="W269" s="1463"/>
    </row>
    <row r="270" spans="1:23">
      <c r="A270" s="433"/>
      <c r="B270" s="432">
        <v>926</v>
      </c>
      <c r="C270" s="1465">
        <v>10</v>
      </c>
      <c r="D270" s="1464">
        <v>926</v>
      </c>
      <c r="E270" s="1463"/>
      <c r="F270" s="1318" t="str">
        <f>'SCH_C2.1 - Base Period'!F264</f>
        <v xml:space="preserve">  Employee Pension &amp; Benefits</v>
      </c>
      <c r="G270" s="1462">
        <f t="array" aca="1" ref="G270" ca="1">SUM(IF(FERCFP=B270,AmountFP))</f>
        <v>6191651</v>
      </c>
      <c r="H270" s="1466">
        <f t="shared" si="42"/>
        <v>100</v>
      </c>
      <c r="I270" s="1463"/>
      <c r="J270" s="1462">
        <f t="shared" ca="1" si="43"/>
        <v>6191651</v>
      </c>
      <c r="K270" s="1464" t="s">
        <v>593</v>
      </c>
      <c r="L270" s="1463"/>
      <c r="M270" s="1463"/>
      <c r="N270" s="1463"/>
      <c r="O270" s="1463"/>
      <c r="P270" s="1463"/>
      <c r="Q270" s="1463"/>
      <c r="R270" s="1463"/>
      <c r="S270" s="1463"/>
      <c r="T270" s="1463"/>
      <c r="U270" s="1463"/>
      <c r="V270" s="1463"/>
      <c r="W270" s="1463"/>
    </row>
    <row r="271" spans="1:23">
      <c r="A271" s="432"/>
      <c r="B271" s="432">
        <v>928</v>
      </c>
      <c r="C271" s="1464">
        <v>11</v>
      </c>
      <c r="D271" s="1464">
        <v>928</v>
      </c>
      <c r="E271" s="1463"/>
      <c r="F271" s="1318" t="str">
        <f>'SCH_C2.1 - Base Period'!F265</f>
        <v xml:space="preserve">  State Reg. Commission Expense</v>
      </c>
      <c r="G271" s="1462">
        <f t="array" aca="1" ref="G271" ca="1">SUM(IF(FERCFP=B271,AmountFP))</f>
        <v>712416</v>
      </c>
      <c r="H271" s="1466">
        <f t="shared" ref="H271:H282" si="44">VLOOKUP(K271,ALLOCTABLE,2)</f>
        <v>100</v>
      </c>
      <c r="I271" s="1463"/>
      <c r="J271" s="1462">
        <f t="shared" ca="1" si="43"/>
        <v>712416</v>
      </c>
      <c r="K271" s="1464" t="s">
        <v>593</v>
      </c>
      <c r="L271" s="1463"/>
      <c r="M271" s="1463"/>
      <c r="N271" s="1463"/>
      <c r="O271" s="1463"/>
      <c r="P271" s="1463"/>
      <c r="Q271" s="1463"/>
      <c r="R271" s="1463"/>
      <c r="S271" s="1463"/>
      <c r="T271" s="1463"/>
      <c r="U271" s="1463"/>
      <c r="V271" s="1463"/>
      <c r="W271" s="1463"/>
    </row>
    <row r="272" spans="1:23">
      <c r="A272" s="433"/>
      <c r="B272" s="432">
        <v>929</v>
      </c>
      <c r="C272" s="1464">
        <v>12</v>
      </c>
      <c r="D272" s="1464">
        <v>929</v>
      </c>
      <c r="E272" s="1463"/>
      <c r="F272" s="1318" t="str">
        <f>'SCH_C2.1 - Base Period'!F266</f>
        <v xml:space="preserve">  Duplicate Charges-Credit</v>
      </c>
      <c r="G272" s="1462">
        <f t="array" aca="1" ref="G272" ca="1">SUM(IF(FERCFP=B272,AmountFP))</f>
        <v>-348693</v>
      </c>
      <c r="H272" s="1466">
        <f t="shared" si="44"/>
        <v>100</v>
      </c>
      <c r="I272" s="1463"/>
      <c r="J272" s="1462">
        <f t="shared" ca="1" si="43"/>
        <v>-348693</v>
      </c>
      <c r="K272" s="1464" t="s">
        <v>593</v>
      </c>
      <c r="L272" s="1463"/>
      <c r="M272" s="1463"/>
      <c r="N272" s="1463"/>
      <c r="O272" s="1463"/>
      <c r="P272" s="1463"/>
      <c r="Q272" s="1463"/>
      <c r="R272" s="1463"/>
      <c r="S272" s="1463"/>
      <c r="T272" s="1463"/>
      <c r="U272" s="1463"/>
      <c r="V272" s="1463"/>
      <c r="W272" s="1463"/>
    </row>
    <row r="273" spans="1:23">
      <c r="A273" s="433"/>
      <c r="B273" s="433">
        <v>930150</v>
      </c>
      <c r="C273" s="1464">
        <v>13</v>
      </c>
      <c r="D273" s="1464">
        <v>930150</v>
      </c>
      <c r="E273" s="1463"/>
      <c r="F273" s="1318" t="str">
        <f>'SCH_C2.1 - Base Period'!F267</f>
        <v xml:space="preserve">  Miscellaneous Advertising Exp</v>
      </c>
      <c r="G273" s="1462">
        <f t="shared" ref="G273:G281" si="45">ROUND(VLOOKUP(B273,FPERIOD,5,FALSE),0)</f>
        <v>0</v>
      </c>
      <c r="H273" s="1466">
        <f t="shared" si="44"/>
        <v>100</v>
      </c>
      <c r="I273" s="1463"/>
      <c r="J273" s="1462">
        <f t="shared" si="43"/>
        <v>0</v>
      </c>
      <c r="K273" s="1464" t="s">
        <v>593</v>
      </c>
      <c r="L273" s="1463"/>
      <c r="M273" s="1463"/>
      <c r="N273" s="1463"/>
      <c r="O273" s="1463"/>
      <c r="P273" s="1463"/>
      <c r="Q273" s="1463"/>
      <c r="R273" s="1463"/>
      <c r="S273" s="1463"/>
      <c r="T273" s="1463"/>
      <c r="U273" s="1463"/>
      <c r="V273" s="1463"/>
      <c r="W273" s="1463"/>
    </row>
    <row r="274" spans="1:23">
      <c r="A274" s="433"/>
      <c r="B274" s="433">
        <v>930200</v>
      </c>
      <c r="C274" s="1465">
        <v>14</v>
      </c>
      <c r="D274" s="1464">
        <v>930200</v>
      </c>
      <c r="E274" s="1463"/>
      <c r="F274" s="1318" t="str">
        <f>'SCH_C2.1 - Base Period'!F268</f>
        <v xml:space="preserve">  Misc General Expenses</v>
      </c>
      <c r="G274" s="1462">
        <f t="shared" si="45"/>
        <v>609189</v>
      </c>
      <c r="H274" s="1466">
        <f t="shared" si="44"/>
        <v>100</v>
      </c>
      <c r="I274" s="1463"/>
      <c r="J274" s="1462">
        <f t="shared" si="43"/>
        <v>609189</v>
      </c>
      <c r="K274" s="1464" t="s">
        <v>593</v>
      </c>
      <c r="L274" s="1463"/>
      <c r="M274" s="1463"/>
      <c r="N274" s="1463"/>
      <c r="O274" s="1463"/>
      <c r="P274" s="1463"/>
      <c r="Q274" s="1463"/>
      <c r="R274" s="1463"/>
      <c r="S274" s="1463"/>
      <c r="T274" s="1463"/>
      <c r="U274" s="1463"/>
      <c r="V274" s="1463"/>
      <c r="W274" s="1463"/>
    </row>
    <row r="275" spans="1:23">
      <c r="A275" s="433"/>
      <c r="B275" s="433">
        <v>930210</v>
      </c>
      <c r="C275" s="1464">
        <v>15</v>
      </c>
      <c r="D275" s="1464">
        <v>930210</v>
      </c>
      <c r="E275" s="1463"/>
      <c r="F275" s="1318" t="str">
        <f>'SCH_C2.1 - Base Period'!F269</f>
        <v xml:space="preserve">  Industry Association Dues</v>
      </c>
      <c r="G275" s="1462">
        <f t="shared" si="45"/>
        <v>0</v>
      </c>
      <c r="H275" s="1466">
        <f t="shared" si="44"/>
        <v>100</v>
      </c>
      <c r="I275" s="1463"/>
      <c r="J275" s="1462">
        <f t="shared" si="43"/>
        <v>0</v>
      </c>
      <c r="K275" s="1464" t="s">
        <v>593</v>
      </c>
      <c r="L275" s="1463"/>
      <c r="M275" s="1463"/>
      <c r="N275" s="1463"/>
      <c r="O275" s="1463"/>
      <c r="P275" s="1463"/>
      <c r="Q275" s="1463"/>
      <c r="R275" s="1463"/>
      <c r="S275" s="1463"/>
      <c r="T275" s="1463"/>
      <c r="U275" s="1463"/>
      <c r="V275" s="1463"/>
      <c r="W275" s="1463"/>
    </row>
    <row r="276" spans="1:23">
      <c r="A276" s="433"/>
      <c r="B276" s="433">
        <v>930220</v>
      </c>
      <c r="C276" s="1464">
        <v>16</v>
      </c>
      <c r="D276" s="1464">
        <v>930220</v>
      </c>
      <c r="E276" s="1463"/>
      <c r="F276" s="1318" t="str">
        <f>'SCH_C2.1 - Base Period'!F270</f>
        <v xml:space="preserve">  Exp Of Servicing Securities</v>
      </c>
      <c r="G276" s="1462">
        <f t="shared" si="45"/>
        <v>23500</v>
      </c>
      <c r="H276" s="1466">
        <f t="shared" si="44"/>
        <v>100</v>
      </c>
      <c r="I276" s="1463"/>
      <c r="J276" s="1462">
        <f t="shared" si="43"/>
        <v>23500</v>
      </c>
      <c r="K276" s="1464" t="s">
        <v>593</v>
      </c>
      <c r="L276" s="1463"/>
      <c r="M276" s="1463"/>
      <c r="N276" s="1463"/>
      <c r="O276" s="1463"/>
      <c r="P276" s="1463"/>
      <c r="Q276" s="1463"/>
      <c r="R276" s="1463"/>
      <c r="S276" s="1463"/>
      <c r="T276" s="1463"/>
      <c r="U276" s="1463"/>
      <c r="V276" s="1463"/>
      <c r="W276" s="1463"/>
    </row>
    <row r="277" spans="1:23">
      <c r="A277" s="433"/>
      <c r="B277" s="433">
        <v>930230</v>
      </c>
      <c r="C277" s="1464">
        <v>17</v>
      </c>
      <c r="D277" s="1464">
        <v>930230</v>
      </c>
      <c r="E277" s="1463"/>
      <c r="F277" s="1318" t="str">
        <f>'SCH_C2.1 - Base Period'!F271</f>
        <v xml:space="preserve">  Dues To Various Organizations</v>
      </c>
      <c r="G277" s="1462">
        <f t="shared" si="45"/>
        <v>28921</v>
      </c>
      <c r="H277" s="1466">
        <f t="shared" si="44"/>
        <v>100</v>
      </c>
      <c r="I277" s="1463"/>
      <c r="J277" s="1462">
        <f t="shared" si="43"/>
        <v>28921</v>
      </c>
      <c r="K277" s="1464" t="s">
        <v>593</v>
      </c>
      <c r="L277" s="1463"/>
      <c r="M277" s="1463"/>
      <c r="N277" s="1463"/>
      <c r="O277" s="1463"/>
      <c r="P277" s="1463"/>
      <c r="Q277" s="1463"/>
      <c r="R277" s="1463"/>
      <c r="S277" s="1463"/>
      <c r="T277" s="1463"/>
      <c r="U277" s="1463"/>
      <c r="V277" s="1463"/>
      <c r="W277" s="1463"/>
    </row>
    <row r="278" spans="1:23">
      <c r="A278" s="433"/>
      <c r="B278" s="433">
        <v>930240</v>
      </c>
      <c r="C278" s="1465">
        <v>18</v>
      </c>
      <c r="D278" s="1464">
        <v>930240</v>
      </c>
      <c r="E278" s="1463"/>
      <c r="F278" s="1318" t="str">
        <f>'SCH_C2.1 - Base Period'!F272</f>
        <v xml:space="preserve">  Director's Expenses</v>
      </c>
      <c r="G278" s="1462">
        <f t="shared" si="45"/>
        <v>19250</v>
      </c>
      <c r="H278" s="1466">
        <f t="shared" si="44"/>
        <v>100</v>
      </c>
      <c r="I278" s="1463"/>
      <c r="J278" s="1462">
        <f t="shared" si="43"/>
        <v>19250</v>
      </c>
      <c r="K278" s="1464" t="s">
        <v>593</v>
      </c>
      <c r="L278" s="1463"/>
      <c r="M278" s="1463"/>
      <c r="N278" s="1463"/>
      <c r="O278" s="1463"/>
      <c r="P278" s="1463"/>
      <c r="Q278" s="1463"/>
      <c r="R278" s="1463"/>
      <c r="S278" s="1463"/>
      <c r="T278" s="1463"/>
      <c r="U278" s="1463"/>
      <c r="V278" s="1463"/>
      <c r="W278" s="1463"/>
    </row>
    <row r="279" spans="1:23">
      <c r="A279" s="433"/>
      <c r="B279" s="433">
        <v>930250</v>
      </c>
      <c r="C279" s="1464">
        <v>19</v>
      </c>
      <c r="D279" s="1464">
        <v>930250</v>
      </c>
      <c r="E279" s="1463"/>
      <c r="F279" s="1318" t="str">
        <f>'SCH_C2.1 - Base Period'!F273</f>
        <v xml:space="preserve">  Buy\Sell Transf Employee Homes</v>
      </c>
      <c r="G279" s="1462">
        <f t="shared" si="45"/>
        <v>20680</v>
      </c>
      <c r="H279" s="1466">
        <f t="shared" si="44"/>
        <v>100</v>
      </c>
      <c r="I279" s="1463"/>
      <c r="J279" s="1462">
        <f t="shared" si="43"/>
        <v>20680</v>
      </c>
      <c r="K279" s="1464" t="s">
        <v>593</v>
      </c>
      <c r="L279" s="1463"/>
      <c r="M279" s="1463"/>
      <c r="N279" s="1463"/>
      <c r="O279" s="1463"/>
      <c r="P279" s="1463"/>
      <c r="Q279" s="1463"/>
      <c r="R279" s="1463"/>
      <c r="S279" s="1463"/>
      <c r="T279" s="1463"/>
      <c r="U279" s="1463"/>
      <c r="V279" s="1463"/>
      <c r="W279" s="1463"/>
    </row>
    <row r="280" spans="1:23">
      <c r="A280" s="433"/>
      <c r="B280" s="433">
        <v>930700</v>
      </c>
      <c r="C280" s="1464">
        <v>20</v>
      </c>
      <c r="D280" s="1464">
        <v>930700</v>
      </c>
      <c r="E280" s="1463"/>
      <c r="F280" s="1318" t="str">
        <f>'SCH_C2.1 - Base Period'!F275</f>
        <v xml:space="preserve">  Research &amp; Development</v>
      </c>
      <c r="G280" s="1462">
        <f t="shared" si="45"/>
        <v>0</v>
      </c>
      <c r="H280" s="1466">
        <f t="shared" si="44"/>
        <v>100</v>
      </c>
      <c r="I280" s="1463"/>
      <c r="J280" s="1462">
        <f t="shared" si="43"/>
        <v>0</v>
      </c>
      <c r="K280" s="1464" t="s">
        <v>593</v>
      </c>
      <c r="L280" s="1463"/>
      <c r="M280" s="1463"/>
      <c r="N280" s="1463"/>
      <c r="O280" s="1463"/>
      <c r="P280" s="1463"/>
      <c r="Q280" s="1463"/>
      <c r="R280" s="1463"/>
      <c r="S280" s="1463"/>
      <c r="T280" s="1463"/>
      <c r="U280" s="1463"/>
      <c r="V280" s="1463"/>
      <c r="W280" s="1463"/>
    </row>
    <row r="281" spans="1:23">
      <c r="A281" s="433"/>
      <c r="B281" s="432">
        <v>930940</v>
      </c>
      <c r="C281" s="1464">
        <v>21</v>
      </c>
      <c r="D281" s="442">
        <v>930940</v>
      </c>
      <c r="E281" s="1463"/>
      <c r="F281" s="1318" t="str">
        <f>'SCH_C2.1 - Base Period'!F276</f>
        <v xml:space="preserve">  General Expenses</v>
      </c>
      <c r="G281" s="1462">
        <f t="shared" si="45"/>
        <v>0</v>
      </c>
      <c r="H281" s="1466">
        <f t="shared" si="44"/>
        <v>100</v>
      </c>
      <c r="I281" s="1463"/>
      <c r="J281" s="1462">
        <f t="shared" si="43"/>
        <v>0</v>
      </c>
      <c r="K281" s="1464" t="s">
        <v>593</v>
      </c>
      <c r="L281" s="1463"/>
      <c r="M281" s="1463"/>
      <c r="N281" s="1463"/>
      <c r="O281" s="1463"/>
      <c r="P281" s="1463"/>
      <c r="Q281" s="1463"/>
      <c r="R281" s="1463"/>
      <c r="S281" s="1463"/>
      <c r="T281" s="1463"/>
      <c r="U281" s="1463"/>
      <c r="V281" s="1463"/>
      <c r="W281" s="1463"/>
    </row>
    <row r="282" spans="1:23">
      <c r="A282" s="1463"/>
      <c r="B282" s="433">
        <v>931</v>
      </c>
      <c r="C282" s="1465">
        <v>22</v>
      </c>
      <c r="D282" s="460">
        <v>931</v>
      </c>
      <c r="E282" s="1463"/>
      <c r="F282" s="1318" t="str">
        <f>'SCH_C2.1 - Base Period'!F277</f>
        <v xml:space="preserve">  Rents</v>
      </c>
      <c r="G282" s="1462">
        <f t="array" aca="1" ref="G282" ca="1">SUM(IF(FERCFP=B282,AmountFP))</f>
        <v>1322176</v>
      </c>
      <c r="H282" s="1466">
        <f t="shared" si="44"/>
        <v>100</v>
      </c>
      <c r="I282" s="1463"/>
      <c r="J282" s="1462">
        <f t="shared" ca="1" si="43"/>
        <v>1322176</v>
      </c>
      <c r="K282" s="1464" t="s">
        <v>593</v>
      </c>
      <c r="L282" s="1463"/>
      <c r="M282" s="1463"/>
      <c r="N282" s="1463"/>
      <c r="O282" s="1463"/>
      <c r="P282" s="1463"/>
      <c r="Q282" s="1463"/>
      <c r="R282" s="1463"/>
      <c r="S282" s="1463"/>
      <c r="T282" s="1463"/>
      <c r="U282" s="1463"/>
      <c r="V282" s="1463"/>
      <c r="W282" s="1463"/>
    </row>
    <row r="283" spans="1:23">
      <c r="A283" s="433"/>
      <c r="B283" s="432"/>
      <c r="C283" s="1464">
        <v>23</v>
      </c>
      <c r="D283" s="1463"/>
      <c r="E283" s="1463"/>
      <c r="F283" s="1318" t="s">
        <v>1102</v>
      </c>
      <c r="G283" s="1319">
        <f ca="1">SUM(G264:G282)</f>
        <v>18853596</v>
      </c>
      <c r="H283" s="1463"/>
      <c r="I283" s="1463"/>
      <c r="J283" s="1319">
        <f ca="1">SUM(J264:J282)</f>
        <v>18853596</v>
      </c>
      <c r="K283" s="1463"/>
      <c r="L283" s="1463"/>
      <c r="M283" s="1463"/>
      <c r="N283" s="1463"/>
      <c r="O283" s="1463"/>
      <c r="P283" s="1463"/>
      <c r="Q283" s="1463"/>
      <c r="R283" s="1463"/>
      <c r="S283" s="1463"/>
      <c r="T283" s="1463"/>
      <c r="U283" s="1463"/>
      <c r="V283" s="1463"/>
      <c r="W283" s="1463"/>
    </row>
    <row r="284" spans="1:23">
      <c r="A284" s="433"/>
      <c r="B284" s="432"/>
      <c r="C284" s="1464">
        <v>24</v>
      </c>
      <c r="D284" s="1463"/>
      <c r="E284" s="1463"/>
      <c r="F284" s="1463"/>
      <c r="G284" s="443"/>
      <c r="H284" s="1463"/>
      <c r="I284" s="1463"/>
      <c r="J284" s="443"/>
      <c r="K284" s="1463"/>
      <c r="L284" s="1463"/>
      <c r="M284" s="1463"/>
      <c r="N284" s="1463"/>
      <c r="O284" s="1463"/>
      <c r="P284" s="1463"/>
      <c r="Q284" s="1463"/>
      <c r="R284" s="1463"/>
      <c r="S284" s="1463"/>
      <c r="T284" s="1463"/>
      <c r="U284" s="1463"/>
      <c r="V284" s="1463"/>
      <c r="W284" s="1463"/>
    </row>
    <row r="285" spans="1:23">
      <c r="A285" s="433"/>
      <c r="B285" s="432"/>
      <c r="C285" s="1464">
        <v>25</v>
      </c>
      <c r="D285" s="1463"/>
      <c r="E285" s="1463"/>
      <c r="F285" s="441" t="s">
        <v>1103</v>
      </c>
      <c r="G285" s="1463"/>
      <c r="H285" s="1463"/>
      <c r="I285" s="1463"/>
      <c r="J285" s="1463"/>
      <c r="K285" s="1463"/>
      <c r="L285" s="1463"/>
      <c r="M285" s="1463"/>
      <c r="N285" s="1463"/>
      <c r="O285" s="1463"/>
      <c r="P285" s="1463"/>
      <c r="Q285" s="1463"/>
      <c r="R285" s="1463"/>
      <c r="S285" s="1463"/>
      <c r="T285" s="1463"/>
      <c r="U285" s="1463"/>
      <c r="V285" s="1463"/>
      <c r="W285" s="1463"/>
    </row>
    <row r="286" spans="1:23">
      <c r="A286" s="433"/>
      <c r="B286" s="432">
        <v>935</v>
      </c>
      <c r="C286" s="1465">
        <v>26</v>
      </c>
      <c r="D286" s="1464">
        <v>935</v>
      </c>
      <c r="E286" s="1463"/>
      <c r="F286" s="1318" t="str">
        <f>'SCH_C2.1 - Base Period'!F281</f>
        <v xml:space="preserve">  Maintenence of General Plant</v>
      </c>
      <c r="G286" s="1462">
        <f t="array" aca="1" ref="G286" ca="1">SUM(IF(FERCFP=B286,AmountFP))</f>
        <v>56247</v>
      </c>
      <c r="H286" s="1466">
        <f>VLOOKUP(K286,ALLOCTABLE,2)</f>
        <v>100</v>
      </c>
      <c r="I286" s="1463"/>
      <c r="J286" s="1462">
        <f ca="1">ROUND(G286*(H286/100),0)</f>
        <v>56247</v>
      </c>
      <c r="K286" s="1464" t="s">
        <v>593</v>
      </c>
      <c r="L286" s="1463"/>
      <c r="M286" s="1463"/>
      <c r="N286" s="1463"/>
      <c r="O286" s="1463"/>
      <c r="P286" s="1463"/>
      <c r="Q286" s="1463"/>
      <c r="R286" s="1463"/>
      <c r="S286" s="1463"/>
      <c r="T286" s="1463"/>
      <c r="U286" s="1463"/>
      <c r="V286" s="1463"/>
      <c r="W286" s="1463"/>
    </row>
    <row r="287" spans="1:23">
      <c r="A287" s="433"/>
      <c r="B287" s="433"/>
      <c r="C287" s="1464">
        <v>27</v>
      </c>
      <c r="D287" s="1463"/>
      <c r="E287" s="1463"/>
      <c r="F287" s="1318" t="s">
        <v>1783</v>
      </c>
      <c r="G287" s="1319">
        <f ca="1">G283+G286</f>
        <v>18909843</v>
      </c>
      <c r="H287" s="1463"/>
      <c r="I287" s="1463"/>
      <c r="J287" s="1319">
        <f ca="1">J283+J286</f>
        <v>18909843</v>
      </c>
      <c r="K287" s="1463"/>
      <c r="L287" s="1463"/>
      <c r="M287" s="1463"/>
      <c r="N287" s="1463"/>
      <c r="O287" s="1463"/>
      <c r="P287" s="1463"/>
      <c r="Q287" s="1463"/>
      <c r="R287" s="1463"/>
      <c r="S287" s="1463"/>
      <c r="T287" s="1463"/>
      <c r="U287" s="1463"/>
      <c r="V287" s="1463"/>
      <c r="W287" s="1463"/>
    </row>
    <row r="288" spans="1:23">
      <c r="A288" s="433"/>
      <c r="B288" s="432"/>
      <c r="C288" s="1464">
        <v>28</v>
      </c>
      <c r="D288" s="1463"/>
      <c r="E288" s="1463"/>
      <c r="F288" s="1318" t="s">
        <v>1784</v>
      </c>
      <c r="G288" s="1319">
        <f ca="1">G123+G164+G170+G199+G227+G236+G244+G287</f>
        <v>240787032</v>
      </c>
      <c r="H288" s="1463"/>
      <c r="I288" s="1463"/>
      <c r="J288" s="1319">
        <f ca="1">J123+J164+J170+J199+J227+J236+J244+J287</f>
        <v>240787032</v>
      </c>
      <c r="K288" s="1463"/>
      <c r="L288" s="1463"/>
      <c r="M288" s="1463"/>
      <c r="N288" s="1463"/>
      <c r="O288" s="1463"/>
      <c r="P288" s="1463"/>
      <c r="Q288" s="1463"/>
      <c r="R288" s="1463"/>
      <c r="S288" s="1463"/>
      <c r="T288" s="1463"/>
      <c r="U288" s="1463"/>
      <c r="V288" s="1463"/>
      <c r="W288" s="1463"/>
    </row>
    <row r="289" spans="1:23">
      <c r="A289" s="433"/>
      <c r="B289" s="432"/>
      <c r="C289" s="1464">
        <v>29</v>
      </c>
      <c r="D289" s="1463"/>
      <c r="E289" s="1463"/>
      <c r="F289" s="1463"/>
      <c r="G289" s="443"/>
      <c r="H289" s="1463"/>
      <c r="I289" s="1463"/>
      <c r="J289" s="443"/>
      <c r="K289" s="1463"/>
      <c r="L289" s="1463"/>
      <c r="M289" s="1463"/>
      <c r="N289" s="1463"/>
      <c r="O289" s="1463"/>
      <c r="P289" s="1463"/>
      <c r="Q289" s="1463"/>
      <c r="R289" s="1463"/>
      <c r="S289" s="1463"/>
      <c r="T289" s="1463"/>
      <c r="U289" s="1463"/>
      <c r="V289" s="1463"/>
      <c r="W289" s="1463"/>
    </row>
    <row r="290" spans="1:23">
      <c r="A290" s="433"/>
      <c r="B290" s="432"/>
      <c r="C290" s="1465">
        <v>30</v>
      </c>
      <c r="D290" s="1463"/>
      <c r="E290" s="1463"/>
      <c r="F290" s="441" t="s">
        <v>179</v>
      </c>
      <c r="G290" s="1463"/>
      <c r="H290" s="1463"/>
      <c r="I290" s="1463"/>
      <c r="J290" s="1463"/>
      <c r="K290" s="1463"/>
      <c r="L290" s="1463"/>
      <c r="M290" s="1463"/>
      <c r="N290" s="1463"/>
      <c r="O290" s="1463"/>
      <c r="P290" s="1463"/>
      <c r="Q290" s="1463"/>
      <c r="R290" s="1463"/>
      <c r="S290" s="1463"/>
      <c r="T290" s="1463"/>
      <c r="U290" s="1463"/>
      <c r="V290" s="1463"/>
      <c r="W290" s="1463"/>
    </row>
    <row r="291" spans="1:23">
      <c r="A291" s="433">
        <v>403</v>
      </c>
      <c r="B291" s="432">
        <v>404</v>
      </c>
      <c r="C291" s="1464">
        <v>31</v>
      </c>
      <c r="D291" s="1464" t="s">
        <v>1209</v>
      </c>
      <c r="E291" s="1463"/>
      <c r="F291" s="1318" t="s">
        <v>1785</v>
      </c>
      <c r="G291" s="1319">
        <f t="array" aca="1" ref="G291" ca="1">SUM(IF(FERCFP=A291,AmountFP))+SUM(IF(FERCFP=B291,AmountFP))</f>
        <v>44542262</v>
      </c>
      <c r="H291" s="1466">
        <f>VLOOKUP(K291,ALLOCTABLE,2)</f>
        <v>100</v>
      </c>
      <c r="I291" s="1463"/>
      <c r="J291" s="1319">
        <f ca="1">ROUND(G291*(H291/100),0)</f>
        <v>44542262</v>
      </c>
      <c r="K291" s="1464" t="s">
        <v>593</v>
      </c>
      <c r="L291" s="1463"/>
      <c r="M291" s="1463"/>
      <c r="N291" s="1463"/>
      <c r="O291" s="1463"/>
      <c r="P291" s="1463"/>
      <c r="Q291" s="1463"/>
      <c r="R291" s="1463"/>
      <c r="S291" s="1463"/>
      <c r="T291" s="1463"/>
      <c r="U291" s="1463"/>
      <c r="V291" s="1463"/>
      <c r="W291" s="1463"/>
    </row>
    <row r="292" spans="1:23">
      <c r="A292" s="433"/>
      <c r="B292" s="432"/>
      <c r="C292" s="1464">
        <v>32</v>
      </c>
      <c r="D292" s="1463"/>
      <c r="E292" s="1463"/>
      <c r="F292" s="1463"/>
      <c r="G292" s="1463"/>
      <c r="H292" s="1463"/>
      <c r="I292" s="1463"/>
      <c r="J292" s="1463"/>
      <c r="K292" s="1463"/>
      <c r="L292" s="1463"/>
      <c r="M292" s="1463"/>
      <c r="N292" s="1463"/>
      <c r="O292" s="1463"/>
      <c r="P292" s="1463"/>
      <c r="Q292" s="1463"/>
      <c r="R292" s="1463"/>
      <c r="S292" s="1463"/>
      <c r="T292" s="1463"/>
      <c r="U292" s="1463"/>
      <c r="V292" s="1463"/>
      <c r="W292" s="1463"/>
    </row>
    <row r="293" spans="1:23">
      <c r="A293" s="433"/>
      <c r="B293" s="432"/>
      <c r="C293" s="1464">
        <v>33</v>
      </c>
      <c r="D293" s="1463"/>
      <c r="E293" s="1463"/>
      <c r="F293" s="441" t="s">
        <v>2195</v>
      </c>
      <c r="G293" s="1463"/>
      <c r="H293" s="1463"/>
      <c r="I293" s="1463"/>
      <c r="J293" s="1463"/>
      <c r="K293" s="1463"/>
      <c r="L293" s="1463"/>
      <c r="M293" s="1463"/>
      <c r="N293" s="1463"/>
      <c r="O293" s="1463"/>
      <c r="P293" s="1463"/>
      <c r="Q293" s="1463"/>
      <c r="R293" s="1463"/>
      <c r="S293" s="1463"/>
      <c r="T293" s="1463"/>
      <c r="U293" s="1463"/>
      <c r="V293" s="1463"/>
      <c r="W293" s="1463"/>
    </row>
    <row r="294" spans="1:23">
      <c r="A294" s="433"/>
      <c r="B294" s="432">
        <v>407354</v>
      </c>
      <c r="C294" s="1465">
        <v>34</v>
      </c>
      <c r="D294" s="1467">
        <v>407354</v>
      </c>
      <c r="E294" s="1463"/>
      <c r="F294" s="1318" t="str">
        <f>'SCH_C2.1 - Base Period'!F289</f>
        <v>DSM Deferral - Electric</v>
      </c>
      <c r="G294" s="1462">
        <f>ROUND(VLOOKUP(B294,FPERIOD,5,FALSE),0)</f>
        <v>-82500</v>
      </c>
      <c r="H294" s="1466">
        <f>VLOOKUP(K294,ALLOCTABLE,2)</f>
        <v>100</v>
      </c>
      <c r="I294" s="1463"/>
      <c r="J294" s="1462">
        <f>ROUND(G294*(H294/100),0)</f>
        <v>-82500</v>
      </c>
      <c r="K294" s="1464" t="s">
        <v>593</v>
      </c>
      <c r="L294" s="1463"/>
      <c r="M294" s="1463"/>
      <c r="N294" s="1463"/>
      <c r="O294" s="1463"/>
      <c r="P294" s="1463"/>
      <c r="Q294" s="1463"/>
      <c r="R294" s="1463"/>
      <c r="S294" s="1463"/>
      <c r="T294" s="1463"/>
      <c r="U294" s="1463"/>
      <c r="V294" s="1463"/>
      <c r="W294" s="1463"/>
    </row>
    <row r="295" spans="1:23">
      <c r="A295" s="433"/>
      <c r="B295" s="432">
        <v>407407</v>
      </c>
      <c r="C295" s="1464">
        <v>35</v>
      </c>
      <c r="D295" s="1467">
        <v>407407</v>
      </c>
      <c r="E295" s="1463"/>
      <c r="F295" s="1318" t="str">
        <f>'SCH_C2.1 - Base Period'!F290</f>
        <v>Carrying Charges</v>
      </c>
      <c r="G295" s="1462">
        <f>ROUND(VLOOKUP(B295,FPERIOD,5,FALSE),0)</f>
        <v>0</v>
      </c>
      <c r="H295" s="1466">
        <f>VLOOKUP(K295,ALLOCTABLE,2)</f>
        <v>100</v>
      </c>
      <c r="I295" s="1463"/>
      <c r="J295" s="1462">
        <f>ROUND(G295*(H295/100),0)</f>
        <v>0</v>
      </c>
      <c r="K295" s="1464" t="s">
        <v>593</v>
      </c>
      <c r="L295" s="1463"/>
      <c r="M295" s="1463"/>
      <c r="N295" s="1463"/>
      <c r="O295" s="1463"/>
      <c r="P295" s="1463"/>
      <c r="Q295" s="1463"/>
      <c r="R295" s="1463"/>
      <c r="S295" s="1463"/>
      <c r="T295" s="1463"/>
      <c r="U295" s="1463"/>
      <c r="V295" s="1463"/>
      <c r="W295" s="1463"/>
    </row>
    <row r="296" spans="1:23">
      <c r="A296" s="433"/>
      <c r="B296" s="432">
        <v>411051</v>
      </c>
      <c r="C296" s="1464">
        <v>36</v>
      </c>
      <c r="D296" s="1467">
        <v>411051</v>
      </c>
      <c r="E296" s="1463"/>
      <c r="F296" s="1318" t="str">
        <f>'SCH_C2.1 - Base Period'!F291</f>
        <v>Accretion Expense - ARO Ash Pond</v>
      </c>
      <c r="G296" s="1462">
        <f>ROUND(VLOOKUP(B296,FPERIOD,5,FALSE),0)</f>
        <v>0</v>
      </c>
      <c r="H296" s="1466">
        <f>VLOOKUP(K296,ALLOCTABLE,2)</f>
        <v>100</v>
      </c>
      <c r="I296" s="1463"/>
      <c r="J296" s="1462">
        <f>ROUND(G296*(H296/100),0)</f>
        <v>0</v>
      </c>
      <c r="K296" s="1464" t="s">
        <v>593</v>
      </c>
      <c r="L296" s="1463"/>
      <c r="M296" s="1463"/>
      <c r="N296" s="1463"/>
      <c r="O296" s="1463"/>
      <c r="P296" s="1463"/>
      <c r="Q296" s="1463"/>
      <c r="R296" s="1463"/>
      <c r="S296" s="1463"/>
      <c r="T296" s="1463"/>
      <c r="U296" s="1463"/>
      <c r="V296" s="1463"/>
      <c r="W296" s="1463"/>
    </row>
    <row r="297" spans="1:23">
      <c r="A297" s="1463"/>
      <c r="B297" s="1463"/>
      <c r="C297" s="1464">
        <v>37</v>
      </c>
      <c r="D297" s="1463"/>
      <c r="E297" s="1463"/>
      <c r="F297" s="1318" t="s">
        <v>2196</v>
      </c>
      <c r="G297" s="1319">
        <f>SUM(G294:G296)</f>
        <v>-82500</v>
      </c>
      <c r="H297" s="1466"/>
      <c r="I297" s="1463"/>
      <c r="J297" s="1319">
        <f>SUM(J294:J296)</f>
        <v>-82500</v>
      </c>
      <c r="K297" s="1463"/>
      <c r="L297" s="1463"/>
      <c r="M297" s="1463"/>
      <c r="N297" s="1463"/>
      <c r="O297" s="1463"/>
      <c r="P297" s="1463"/>
      <c r="Q297" s="1463"/>
      <c r="R297" s="1463"/>
      <c r="S297" s="1463"/>
      <c r="T297" s="1463"/>
      <c r="U297" s="1463"/>
      <c r="V297" s="1463"/>
      <c r="W297" s="1463"/>
    </row>
    <row r="298" spans="1:23">
      <c r="A298" s="432"/>
      <c r="B298" s="432"/>
      <c r="C298" s="1463"/>
      <c r="D298" s="1463"/>
      <c r="E298" s="1463"/>
      <c r="F298" s="1463"/>
      <c r="G298" s="1463"/>
      <c r="H298" s="1463"/>
      <c r="I298" s="1463"/>
      <c r="J298" s="1463"/>
      <c r="K298" s="1463"/>
      <c r="L298" s="1463"/>
      <c r="M298" s="1463"/>
      <c r="N298" s="1463"/>
      <c r="O298" s="1463"/>
      <c r="P298" s="1463"/>
      <c r="Q298" s="1463"/>
      <c r="R298" s="1463"/>
      <c r="S298" s="1463"/>
      <c r="T298" s="1463"/>
      <c r="U298" s="1463"/>
      <c r="V298" s="1463"/>
      <c r="W298" s="1463"/>
    </row>
    <row r="299" spans="1:23">
      <c r="A299" s="433"/>
      <c r="B299" s="433"/>
      <c r="C299" s="434" t="str">
        <f>COMPANY</f>
        <v>DUKE ENERGY KENTUCKY, INC.</v>
      </c>
      <c r="D299" s="435"/>
      <c r="E299" s="435"/>
      <c r="F299" s="434"/>
      <c r="G299" s="435"/>
      <c r="H299" s="435"/>
      <c r="I299" s="435"/>
      <c r="J299" s="435"/>
      <c r="K299" s="435"/>
      <c r="L299" s="1463"/>
      <c r="M299" s="1463"/>
      <c r="N299" s="1463"/>
      <c r="O299" s="1463"/>
      <c r="P299" s="1463"/>
      <c r="Q299" s="1463"/>
      <c r="R299" s="1463"/>
      <c r="S299" s="1463"/>
      <c r="T299" s="1463"/>
      <c r="U299" s="1463"/>
      <c r="V299" s="1463"/>
      <c r="W299" s="1463"/>
    </row>
    <row r="300" spans="1:23">
      <c r="A300" s="433"/>
      <c r="B300" s="433"/>
      <c r="C300" s="434" t="str">
        <f>CASE</f>
        <v>CASE NO. 2017-00321</v>
      </c>
      <c r="D300" s="435"/>
      <c r="E300" s="435"/>
      <c r="F300" s="434"/>
      <c r="G300" s="435"/>
      <c r="H300" s="435"/>
      <c r="I300" s="435"/>
      <c r="J300" s="435"/>
      <c r="K300" s="435"/>
      <c r="L300" s="1463"/>
      <c r="M300" s="1463"/>
      <c r="N300" s="1463"/>
      <c r="O300" s="1463"/>
      <c r="P300" s="1463"/>
      <c r="Q300" s="1463"/>
      <c r="R300" s="1463"/>
      <c r="S300" s="1463"/>
      <c r="T300" s="1463"/>
      <c r="U300" s="1463"/>
      <c r="V300" s="1463"/>
      <c r="W300" s="1463"/>
    </row>
    <row r="301" spans="1:23">
      <c r="A301" s="433"/>
      <c r="B301" s="433"/>
      <c r="C301" s="434" t="s">
        <v>1949</v>
      </c>
      <c r="D301" s="435"/>
      <c r="E301" s="434"/>
      <c r="F301" s="435"/>
      <c r="G301" s="435"/>
      <c r="H301" s="435"/>
      <c r="I301" s="435"/>
      <c r="J301" s="435"/>
      <c r="K301" s="435"/>
      <c r="L301" s="1463"/>
      <c r="M301" s="1463"/>
      <c r="N301" s="1463"/>
      <c r="O301" s="1463"/>
      <c r="P301" s="1463"/>
      <c r="Q301" s="1463"/>
      <c r="R301" s="1463"/>
      <c r="S301" s="1463"/>
      <c r="T301" s="1463"/>
      <c r="U301" s="1463"/>
      <c r="V301" s="1463"/>
      <c r="W301" s="1463"/>
    </row>
    <row r="302" spans="1:23">
      <c r="A302" s="433"/>
      <c r="B302" s="433"/>
      <c r="C302" s="434" t="str">
        <f>PeriodF</f>
        <v>FOR THE TWELVE MONTHS ENDED MARCH 31, 2019</v>
      </c>
      <c r="D302" s="435"/>
      <c r="E302" s="435"/>
      <c r="F302" s="434"/>
      <c r="G302" s="435"/>
      <c r="H302" s="435"/>
      <c r="I302" s="435"/>
      <c r="J302" s="435"/>
      <c r="K302" s="435"/>
      <c r="L302" s="1463"/>
      <c r="M302" s="1463"/>
      <c r="N302" s="1463"/>
      <c r="O302" s="1463"/>
      <c r="P302" s="1463"/>
      <c r="Q302" s="1463"/>
      <c r="R302" s="1463"/>
      <c r="S302" s="1463"/>
      <c r="T302" s="1463"/>
      <c r="U302" s="1463"/>
      <c r="V302" s="1463"/>
      <c r="W302" s="1463"/>
    </row>
    <row r="303" spans="1:23">
      <c r="A303" s="433"/>
      <c r="B303" s="433"/>
      <c r="C303" s="435"/>
      <c r="D303" s="435"/>
      <c r="E303" s="435"/>
      <c r="F303" s="435"/>
      <c r="G303" s="435"/>
      <c r="H303" s="435"/>
      <c r="I303" s="435"/>
      <c r="J303" s="1463"/>
      <c r="K303" s="1463"/>
      <c r="L303" s="1463"/>
      <c r="M303" s="1463"/>
      <c r="N303" s="1463"/>
      <c r="O303" s="1463"/>
      <c r="P303" s="1463"/>
      <c r="Q303" s="1463"/>
      <c r="R303" s="1463"/>
      <c r="S303" s="1463"/>
      <c r="T303" s="1463"/>
      <c r="U303" s="1463"/>
      <c r="V303" s="1463"/>
      <c r="W303" s="1463"/>
    </row>
    <row r="304" spans="1:23">
      <c r="A304" s="433"/>
      <c r="B304" s="433"/>
      <c r="C304" s="1463"/>
      <c r="D304" s="1463"/>
      <c r="E304" s="1463"/>
      <c r="F304" s="1463"/>
      <c r="G304" s="1463"/>
      <c r="H304" s="1463"/>
      <c r="I304" s="1463"/>
      <c r="J304" s="1318" t="str">
        <f>"                "&amp;"SCHEDULE C-2.1"</f>
        <v xml:space="preserve">                SCHEDULE C-2.1</v>
      </c>
      <c r="K304" s="1463"/>
      <c r="L304" s="1463"/>
      <c r="M304" s="1463"/>
      <c r="N304" s="1463"/>
      <c r="O304" s="1463"/>
      <c r="P304" s="1463"/>
      <c r="Q304" s="1463"/>
      <c r="R304" s="1463"/>
      <c r="S304" s="1463"/>
      <c r="T304" s="1463"/>
      <c r="U304" s="1463"/>
      <c r="V304" s="1463"/>
      <c r="W304" s="1463"/>
    </row>
    <row r="305" spans="1:23">
      <c r="A305" s="433"/>
      <c r="B305" s="433"/>
      <c r="C305" s="436" t="str">
        <f>DataF</f>
        <v>DATA:  BASE PERIOD  "X" FORECASTED PERIOD</v>
      </c>
      <c r="D305" s="1463"/>
      <c r="E305" s="1463"/>
      <c r="F305" s="1463"/>
      <c r="G305" s="1463"/>
      <c r="H305" s="1463"/>
      <c r="I305" s="1463"/>
      <c r="J305" s="1318" t="str">
        <f>"                "&amp;"PAGE  13  OF  14"</f>
        <v xml:space="preserve">                PAGE  13  OF  14</v>
      </c>
      <c r="K305" s="1463"/>
      <c r="L305" s="1463"/>
      <c r="M305" s="1463"/>
      <c r="N305" s="1463"/>
      <c r="O305" s="1463"/>
      <c r="P305" s="1463"/>
      <c r="Q305" s="1463"/>
      <c r="R305" s="1463"/>
      <c r="S305" s="1463"/>
      <c r="T305" s="1463"/>
      <c r="U305" s="1463"/>
      <c r="V305" s="1463"/>
      <c r="W305" s="1463"/>
    </row>
    <row r="306" spans="1:23">
      <c r="A306" s="433"/>
      <c r="B306" s="433"/>
      <c r="C306" s="436" t="str">
        <f>Type</f>
        <v xml:space="preserve">TYPE OF FILING:  "X" ORIGINAL   UPDATED    REVISED  </v>
      </c>
      <c r="D306" s="1463"/>
      <c r="E306" s="1463"/>
      <c r="F306" s="1463"/>
      <c r="G306" s="1463"/>
      <c r="H306" s="1463"/>
      <c r="I306" s="1463"/>
      <c r="J306" s="1318" t="str">
        <f>"                "&amp;"WITNESS RESPONSIBLE:"</f>
        <v xml:space="preserve">                WITNESS RESPONSIBLE:</v>
      </c>
      <c r="K306" s="1463"/>
      <c r="L306" s="1463"/>
      <c r="M306" s="1463"/>
      <c r="N306" s="1463"/>
      <c r="O306" s="1463"/>
      <c r="P306" s="1463"/>
      <c r="Q306" s="1463"/>
      <c r="R306" s="1463"/>
      <c r="S306" s="1463"/>
      <c r="T306" s="1463"/>
      <c r="U306" s="1463"/>
      <c r="V306" s="1463"/>
      <c r="W306" s="1463"/>
    </row>
    <row r="307" spans="1:23">
      <c r="A307" s="433"/>
      <c r="B307" s="433"/>
      <c r="C307" s="1318" t="str">
        <f>$C$11</f>
        <v>WORK PAPER REFERENCE NO(S).: WPC-2.1a_FP</v>
      </c>
      <c r="D307" s="1463"/>
      <c r="E307" s="1463"/>
      <c r="F307" s="1463"/>
      <c r="G307" s="1463"/>
      <c r="H307" s="1463"/>
      <c r="I307" s="1463"/>
      <c r="J307" s="1318" t="str">
        <f>"                "&amp;_WIT1</f>
        <v xml:space="preserve">                S. E. LAWLER</v>
      </c>
      <c r="K307" s="1463"/>
      <c r="L307" s="1463"/>
      <c r="M307" s="1463"/>
      <c r="N307" s="1463"/>
      <c r="O307" s="1463"/>
      <c r="P307" s="1463"/>
      <c r="Q307" s="1463"/>
      <c r="R307" s="1463"/>
      <c r="S307" s="1463"/>
      <c r="T307" s="1463"/>
      <c r="U307" s="1463"/>
      <c r="V307" s="1463"/>
      <c r="W307" s="1463"/>
    </row>
    <row r="308" spans="1:23">
      <c r="A308" s="433"/>
      <c r="B308" s="433"/>
      <c r="C308" s="437"/>
      <c r="D308" s="438"/>
      <c r="E308" s="438"/>
      <c r="F308" s="438"/>
      <c r="G308" s="438"/>
      <c r="H308" s="438"/>
      <c r="I308" s="438"/>
      <c r="J308" s="438"/>
      <c r="K308" s="438"/>
      <c r="L308" s="1463"/>
      <c r="M308" s="1463"/>
      <c r="N308" s="1463"/>
      <c r="O308" s="1463"/>
      <c r="P308" s="1463"/>
      <c r="Q308" s="1463"/>
      <c r="R308" s="1463"/>
      <c r="S308" s="1463"/>
      <c r="T308" s="1463"/>
      <c r="U308" s="1463"/>
      <c r="V308" s="1463"/>
      <c r="W308" s="1463"/>
    </row>
    <row r="309" spans="1:23">
      <c r="A309" s="433"/>
      <c r="B309" s="433"/>
      <c r="C309" s="1463"/>
      <c r="D309" s="1463"/>
      <c r="E309" s="1463"/>
      <c r="F309" s="1463"/>
      <c r="G309" s="1464" t="s">
        <v>238</v>
      </c>
      <c r="H309" s="1465" t="s">
        <v>360</v>
      </c>
      <c r="I309" s="1463"/>
      <c r="J309" s="1463"/>
      <c r="K309" s="1464" t="s">
        <v>1461</v>
      </c>
      <c r="L309" s="1463"/>
      <c r="M309" s="1463"/>
      <c r="N309" s="1463"/>
      <c r="O309" s="1463"/>
      <c r="P309" s="1463"/>
      <c r="Q309" s="1463"/>
      <c r="R309" s="1463"/>
      <c r="S309" s="1463"/>
      <c r="T309" s="1463"/>
      <c r="U309" s="1463"/>
      <c r="V309" s="1463"/>
      <c r="W309" s="1463"/>
    </row>
    <row r="310" spans="1:23">
      <c r="A310" s="433"/>
      <c r="B310" s="433"/>
      <c r="C310" s="1464" t="s">
        <v>1961</v>
      </c>
      <c r="D310" s="1464" t="s">
        <v>1080</v>
      </c>
      <c r="E310" s="1463"/>
      <c r="F310" s="1463"/>
      <c r="G310" s="1464" t="s">
        <v>1035</v>
      </c>
      <c r="H310" s="1464" t="s">
        <v>362</v>
      </c>
      <c r="I310" s="1463"/>
      <c r="J310" s="1464" t="s">
        <v>238</v>
      </c>
      <c r="K310" s="1464" t="s">
        <v>239</v>
      </c>
      <c r="L310" s="1463"/>
      <c r="M310" s="1463"/>
      <c r="N310" s="1463"/>
      <c r="O310" s="1463"/>
      <c r="P310" s="1463"/>
      <c r="Q310" s="1463"/>
      <c r="R310" s="1463"/>
      <c r="S310" s="1463"/>
      <c r="T310" s="1463"/>
      <c r="U310" s="1463"/>
      <c r="V310" s="1463"/>
      <c r="W310" s="1463"/>
    </row>
    <row r="311" spans="1:23">
      <c r="A311" s="433"/>
      <c r="B311" s="433"/>
      <c r="C311" s="1464" t="s">
        <v>1854</v>
      </c>
      <c r="D311" s="1464" t="s">
        <v>90</v>
      </c>
      <c r="E311" s="1463"/>
      <c r="F311" s="434" t="s">
        <v>240</v>
      </c>
      <c r="G311" s="1464" t="s">
        <v>1872</v>
      </c>
      <c r="H311" s="1464" t="s">
        <v>363</v>
      </c>
      <c r="I311" s="1463"/>
      <c r="J311" s="1464" t="s">
        <v>241</v>
      </c>
      <c r="K311" s="1464" t="s">
        <v>566</v>
      </c>
      <c r="L311" s="1463"/>
      <c r="M311" s="1463"/>
      <c r="N311" s="1463"/>
      <c r="O311" s="1463"/>
      <c r="P311" s="1463"/>
      <c r="Q311" s="1463"/>
      <c r="R311" s="1463"/>
      <c r="S311" s="1463"/>
      <c r="T311" s="1463"/>
      <c r="U311" s="1463"/>
      <c r="V311" s="1463"/>
      <c r="W311" s="1463"/>
    </row>
    <row r="312" spans="1:23">
      <c r="A312" s="433"/>
      <c r="B312" s="433"/>
      <c r="C312" s="439"/>
      <c r="D312" s="439"/>
      <c r="E312" s="439"/>
      <c r="F312" s="439"/>
      <c r="G312" s="440" t="s">
        <v>365</v>
      </c>
      <c r="H312" s="440" t="s">
        <v>318</v>
      </c>
      <c r="I312" s="439"/>
      <c r="J312" s="440" t="s">
        <v>319</v>
      </c>
      <c r="K312" s="440" t="s">
        <v>320</v>
      </c>
      <c r="L312" s="1463"/>
      <c r="M312" s="1463"/>
      <c r="N312" s="1463"/>
      <c r="O312" s="1463"/>
      <c r="P312" s="1463"/>
      <c r="Q312" s="1463"/>
      <c r="R312" s="1463"/>
      <c r="S312" s="1463"/>
      <c r="T312" s="1463"/>
      <c r="U312" s="1463"/>
      <c r="V312" s="1463"/>
      <c r="W312" s="1463"/>
    </row>
    <row r="313" spans="1:23">
      <c r="A313" s="433"/>
      <c r="B313" s="433"/>
      <c r="C313" s="1463"/>
      <c r="D313" s="1463"/>
      <c r="E313" s="1463"/>
      <c r="F313" s="1463"/>
      <c r="G313" s="1463"/>
      <c r="H313" s="1463"/>
      <c r="I313" s="1463"/>
      <c r="J313" s="1463"/>
      <c r="K313" s="1463"/>
      <c r="L313" s="1463"/>
      <c r="M313" s="1463"/>
      <c r="N313" s="1463"/>
      <c r="O313" s="1463"/>
      <c r="P313" s="1463"/>
      <c r="Q313" s="1463"/>
      <c r="R313" s="1463"/>
      <c r="S313" s="1463"/>
      <c r="T313" s="1463"/>
      <c r="U313" s="1463"/>
      <c r="V313" s="1463"/>
      <c r="W313" s="1463"/>
    </row>
    <row r="314" spans="1:23">
      <c r="A314" s="433"/>
      <c r="B314" s="433"/>
      <c r="C314" s="1464">
        <v>1</v>
      </c>
      <c r="D314" s="1463"/>
      <c r="E314" s="1463"/>
      <c r="F314" s="441" t="s">
        <v>1786</v>
      </c>
      <c r="G314" s="1463"/>
      <c r="H314" s="1463"/>
      <c r="I314" s="1463"/>
      <c r="J314" s="1463"/>
      <c r="K314" s="1463"/>
      <c r="L314" s="1463"/>
      <c r="M314" s="1463"/>
      <c r="N314" s="1463"/>
      <c r="O314" s="1463"/>
      <c r="P314" s="1463"/>
      <c r="Q314" s="1463"/>
      <c r="R314" s="1463"/>
      <c r="S314" s="1463"/>
      <c r="T314" s="1463"/>
      <c r="U314" s="1463"/>
      <c r="V314" s="1463"/>
      <c r="W314" s="1463"/>
    </row>
    <row r="315" spans="1:23">
      <c r="A315" s="433"/>
      <c r="B315" s="433"/>
      <c r="C315" s="1465">
        <v>2</v>
      </c>
      <c r="D315" s="1463"/>
      <c r="E315" s="1463"/>
      <c r="F315" s="1463"/>
      <c r="G315" s="1463"/>
      <c r="H315" s="1463"/>
      <c r="I315" s="1463"/>
      <c r="J315" s="1463"/>
      <c r="K315" s="1463"/>
      <c r="L315" s="1463"/>
      <c r="M315" s="1463"/>
      <c r="N315" s="1463"/>
      <c r="O315" s="1463"/>
      <c r="P315" s="1463"/>
      <c r="Q315" s="1463"/>
      <c r="R315" s="1463"/>
      <c r="S315" s="1463"/>
      <c r="T315" s="1463"/>
      <c r="U315" s="1463"/>
      <c r="V315" s="1463"/>
      <c r="W315" s="1463"/>
    </row>
    <row r="316" spans="1:23">
      <c r="A316" s="433"/>
      <c r="B316" s="433"/>
      <c r="C316" s="1464">
        <v>3</v>
      </c>
      <c r="D316" s="1463"/>
      <c r="E316" s="1463"/>
      <c r="F316" s="441" t="s">
        <v>1357</v>
      </c>
      <c r="G316" s="1463"/>
      <c r="H316" s="1463"/>
      <c r="I316" s="1463"/>
      <c r="J316" s="1463"/>
      <c r="K316" s="1463"/>
      <c r="L316" s="1463"/>
      <c r="M316" s="1463"/>
      <c r="N316" s="1463"/>
      <c r="O316" s="1463"/>
      <c r="P316" s="1463"/>
      <c r="Q316" s="1463"/>
      <c r="R316" s="1463"/>
      <c r="S316" s="1463"/>
      <c r="T316" s="1463"/>
      <c r="U316" s="1463"/>
      <c r="V316" s="1463"/>
      <c r="W316" s="1463"/>
    </row>
    <row r="317" spans="1:23">
      <c r="A317" s="433"/>
      <c r="B317" s="432">
        <v>408700</v>
      </c>
      <c r="C317" s="1465">
        <v>4</v>
      </c>
      <c r="D317" s="1464">
        <v>408700</v>
      </c>
      <c r="E317" s="464"/>
      <c r="F317" s="1318" t="str">
        <f>'SCH_C2.1 - Base Period'!F312</f>
        <v xml:space="preserve">  Insurance Contribution</v>
      </c>
      <c r="G317" s="1462">
        <f>ROUND(VLOOKUP(B317,FPERIOD,5,FALSE),0)</f>
        <v>0</v>
      </c>
      <c r="H317" s="1466">
        <f>VLOOKUP(K317,ALLOCTABLE,2)</f>
        <v>100</v>
      </c>
      <c r="I317" s="1463"/>
      <c r="J317" s="1462">
        <f>ROUND(G317*(H317/100),0)</f>
        <v>0</v>
      </c>
      <c r="K317" s="1464" t="s">
        <v>593</v>
      </c>
      <c r="L317" s="1463"/>
      <c r="M317" s="1463"/>
      <c r="N317" s="1463"/>
      <c r="O317" s="1463"/>
      <c r="P317" s="1463"/>
      <c r="Q317" s="1463"/>
      <c r="R317" s="1463"/>
      <c r="S317" s="1463"/>
      <c r="T317" s="1463"/>
      <c r="U317" s="1463"/>
      <c r="V317" s="1463"/>
      <c r="W317" s="1463"/>
    </row>
    <row r="318" spans="1:23">
      <c r="A318" s="433"/>
      <c r="B318" s="432">
        <v>408151</v>
      </c>
      <c r="C318" s="1464">
        <v>5</v>
      </c>
      <c r="D318" s="1464">
        <v>408151</v>
      </c>
      <c r="E318" s="1463"/>
      <c r="F318" s="1318" t="str">
        <f>'SCH_C2.1 - Base Period'!F313</f>
        <v xml:space="preserve">  Unemployment Compensation</v>
      </c>
      <c r="G318" s="1462">
        <f>ROUND(VLOOKUP(B318,FPERIOD,5,FALSE),0)</f>
        <v>0</v>
      </c>
      <c r="H318" s="1466">
        <f>VLOOKUP(K318,ALLOCTABLE,2)</f>
        <v>100</v>
      </c>
      <c r="I318" s="1463"/>
      <c r="J318" s="1462">
        <f>ROUND(G318*(H318/100),0)</f>
        <v>0</v>
      </c>
      <c r="K318" s="1464" t="s">
        <v>593</v>
      </c>
      <c r="L318" s="1463"/>
      <c r="M318" s="1463"/>
      <c r="N318" s="1463"/>
      <c r="O318" s="1463"/>
      <c r="P318" s="1463"/>
      <c r="Q318" s="1463"/>
      <c r="R318" s="1463"/>
      <c r="S318" s="1463"/>
      <c r="T318" s="1463"/>
      <c r="U318" s="1463"/>
      <c r="V318" s="1463"/>
      <c r="W318" s="1463"/>
    </row>
    <row r="319" spans="1:23">
      <c r="A319" s="433"/>
      <c r="B319" s="432">
        <v>408800</v>
      </c>
      <c r="C319" s="1465">
        <v>6</v>
      </c>
      <c r="D319" s="1464">
        <v>408800</v>
      </c>
      <c r="E319" s="1463"/>
      <c r="F319" s="1318" t="str">
        <f>'SCH_C2.1 - Base Period'!F314</f>
        <v xml:space="preserve">  Highway Use</v>
      </c>
      <c r="G319" s="1462">
        <f>ROUND(VLOOKUP(B319,FPERIOD,5,FALSE),0)</f>
        <v>0</v>
      </c>
      <c r="H319" s="1466">
        <f>VLOOKUP(K319,ALLOCTABLE,2)</f>
        <v>100</v>
      </c>
      <c r="I319" s="1463"/>
      <c r="J319" s="1462">
        <f>ROUND(G319*(H319/100),0)</f>
        <v>0</v>
      </c>
      <c r="K319" s="1464" t="s">
        <v>593</v>
      </c>
      <c r="L319" s="1463"/>
      <c r="M319" s="1463"/>
      <c r="N319" s="1463"/>
      <c r="O319" s="1463"/>
      <c r="P319" s="1463"/>
      <c r="Q319" s="1463"/>
      <c r="R319" s="1463"/>
      <c r="S319" s="1463"/>
      <c r="T319" s="1463"/>
      <c r="U319" s="1463"/>
      <c r="V319" s="1463"/>
      <c r="W319" s="1463"/>
    </row>
    <row r="320" spans="1:23">
      <c r="A320" s="465"/>
      <c r="B320" s="433"/>
      <c r="C320" s="1464">
        <v>7</v>
      </c>
      <c r="D320" s="1463"/>
      <c r="E320" s="1463"/>
      <c r="F320" s="1318" t="s">
        <v>1360</v>
      </c>
      <c r="G320" s="1319">
        <f>SUM(G317:G319)</f>
        <v>0</v>
      </c>
      <c r="H320" s="1463"/>
      <c r="I320" s="1463"/>
      <c r="J320" s="1319">
        <f>SUM(J317:J319)</f>
        <v>0</v>
      </c>
      <c r="K320" s="1463"/>
      <c r="L320" s="1463"/>
      <c r="M320" s="1463"/>
      <c r="N320" s="1463"/>
      <c r="O320" s="1463"/>
      <c r="P320" s="1463"/>
      <c r="Q320" s="1463"/>
      <c r="R320" s="1463"/>
      <c r="S320" s="1463"/>
      <c r="T320" s="1463"/>
      <c r="U320" s="1463"/>
      <c r="V320" s="1463"/>
      <c r="W320" s="1463"/>
    </row>
    <row r="321" spans="1:23">
      <c r="A321" s="465"/>
      <c r="B321" s="433"/>
      <c r="C321" s="1465">
        <v>8</v>
      </c>
      <c r="D321" s="1463"/>
      <c r="E321" s="1463"/>
      <c r="F321" s="1463"/>
      <c r="G321" s="443"/>
      <c r="H321" s="1463"/>
      <c r="I321" s="1463"/>
      <c r="J321" s="443"/>
      <c r="K321" s="1463"/>
      <c r="L321" s="1463"/>
      <c r="M321" s="1463"/>
      <c r="N321" s="1463"/>
      <c r="O321" s="1463"/>
      <c r="P321" s="1463"/>
      <c r="Q321" s="1463"/>
      <c r="R321" s="1463"/>
      <c r="S321" s="1463"/>
      <c r="T321" s="1463"/>
      <c r="U321" s="1463"/>
      <c r="V321" s="1463"/>
      <c r="W321" s="1463"/>
    </row>
    <row r="322" spans="1:23">
      <c r="A322" s="465"/>
      <c r="B322" s="433"/>
      <c r="C322" s="1464">
        <v>9</v>
      </c>
      <c r="D322" s="1463"/>
      <c r="E322" s="1463"/>
      <c r="F322" s="441" t="s">
        <v>1361</v>
      </c>
      <c r="G322" s="1463"/>
      <c r="H322" s="1463"/>
      <c r="I322" s="1463"/>
      <c r="J322" s="1463"/>
      <c r="K322" s="1463"/>
      <c r="L322" s="1463"/>
      <c r="M322" s="1463"/>
      <c r="N322" s="1463"/>
      <c r="O322" s="1463"/>
      <c r="P322" s="1463"/>
      <c r="Q322" s="1463"/>
      <c r="R322" s="1463"/>
      <c r="S322" s="1463"/>
      <c r="T322" s="1463"/>
      <c r="U322" s="1463"/>
      <c r="V322" s="1463"/>
      <c r="W322" s="1463"/>
    </row>
    <row r="323" spans="1:23">
      <c r="A323" s="465"/>
      <c r="B323" s="433">
        <v>408040</v>
      </c>
      <c r="C323" s="1465">
        <v>10</v>
      </c>
      <c r="D323" s="1464">
        <v>408040</v>
      </c>
      <c r="E323" s="1463"/>
      <c r="F323" s="1318" t="str">
        <f>'SCH_C2.1 - Base Period'!F318</f>
        <v xml:space="preserve">  Taxes Property-Allocated</v>
      </c>
      <c r="G323" s="1462">
        <f t="shared" ref="G323:G331" si="46">ROUND(VLOOKUP(B323,FPERIOD,5,FALSE),0)</f>
        <v>0</v>
      </c>
      <c r="H323" s="1466">
        <f t="shared" ref="H323:H331" si="47">VLOOKUP(K323,ALLOCTABLE,2)</f>
        <v>100</v>
      </c>
      <c r="I323" s="1463"/>
      <c r="J323" s="1462">
        <f t="shared" ref="J323:J331" si="48">ROUND(G323*(H323/100),0)</f>
        <v>0</v>
      </c>
      <c r="K323" s="1464" t="s">
        <v>593</v>
      </c>
      <c r="L323" s="1463"/>
      <c r="M323" s="1463"/>
      <c r="N323" s="1463"/>
      <c r="O323" s="1463"/>
      <c r="P323" s="1463"/>
      <c r="Q323" s="1463"/>
      <c r="R323" s="1463"/>
      <c r="S323" s="1463"/>
      <c r="T323" s="1463"/>
      <c r="U323" s="1463"/>
      <c r="V323" s="1463"/>
      <c r="W323" s="1463"/>
    </row>
    <row r="324" spans="1:23">
      <c r="A324" s="465"/>
      <c r="B324" s="433">
        <v>408050</v>
      </c>
      <c r="C324" s="1464">
        <v>11</v>
      </c>
      <c r="D324" s="1464">
        <v>408050</v>
      </c>
      <c r="E324" s="1463"/>
      <c r="F324" s="1318" t="str">
        <f>'SCH_C2.1 - Base Period'!F319</f>
        <v xml:space="preserve">  Municipal License-Electric</v>
      </c>
      <c r="G324" s="1462">
        <f t="shared" si="46"/>
        <v>0</v>
      </c>
      <c r="H324" s="1466">
        <f t="shared" si="47"/>
        <v>100</v>
      </c>
      <c r="I324" s="1463"/>
      <c r="J324" s="1462">
        <f t="shared" si="48"/>
        <v>0</v>
      </c>
      <c r="K324" s="1464" t="s">
        <v>593</v>
      </c>
      <c r="L324" s="1463"/>
      <c r="M324" s="1463"/>
      <c r="N324" s="1463"/>
      <c r="O324" s="1463"/>
      <c r="P324" s="1463"/>
      <c r="Q324" s="1463"/>
      <c r="R324" s="1463"/>
      <c r="S324" s="1463"/>
      <c r="T324" s="1463"/>
      <c r="U324" s="1463"/>
      <c r="V324" s="1463"/>
      <c r="W324" s="1463"/>
    </row>
    <row r="325" spans="1:23">
      <c r="A325" s="465"/>
      <c r="B325" s="433">
        <v>408120</v>
      </c>
      <c r="C325" s="1465">
        <v>12</v>
      </c>
      <c r="D325" s="1464">
        <v>408120</v>
      </c>
      <c r="E325" s="1463"/>
      <c r="F325" s="1318" t="str">
        <f>'SCH_C2.1 - Base Period'!F320</f>
        <v xml:space="preserve">  Franchise Tax - Non Electric</v>
      </c>
      <c r="G325" s="1462">
        <f>ROUND(VLOOKUP(B325,FPERIOD,5,FALSE),0)</f>
        <v>0</v>
      </c>
      <c r="H325" s="1466">
        <f>VLOOKUP(K325,ALLOCTABLE,2)</f>
        <v>100</v>
      </c>
      <c r="I325" s="1463"/>
      <c r="J325" s="1462">
        <f>ROUND(G325*(H325/100),0)</f>
        <v>0</v>
      </c>
      <c r="K325" s="1464" t="s">
        <v>593</v>
      </c>
      <c r="L325" s="1463"/>
      <c r="M325" s="1463"/>
      <c r="N325" s="1463"/>
      <c r="O325" s="1463"/>
      <c r="P325" s="1463"/>
      <c r="Q325" s="1463"/>
      <c r="R325" s="1463"/>
      <c r="S325" s="1463"/>
      <c r="T325" s="1463"/>
      <c r="U325" s="1463"/>
      <c r="V325" s="1463"/>
      <c r="W325" s="1463"/>
    </row>
    <row r="326" spans="1:23">
      <c r="A326" s="465"/>
      <c r="B326" s="433">
        <v>408121</v>
      </c>
      <c r="C326" s="1464">
        <v>13</v>
      </c>
      <c r="D326" s="1464">
        <v>408121</v>
      </c>
      <c r="E326" s="1463"/>
      <c r="F326" s="1318" t="str">
        <f>'SCH_C2.1 - Base Period'!F321</f>
        <v xml:space="preserve">  Taxes Property-Operating</v>
      </c>
      <c r="G326" s="1462">
        <f t="shared" si="46"/>
        <v>10714923</v>
      </c>
      <c r="H326" s="1466">
        <f t="shared" si="47"/>
        <v>100</v>
      </c>
      <c r="I326" s="1463"/>
      <c r="J326" s="1462">
        <f t="shared" si="48"/>
        <v>10714923</v>
      </c>
      <c r="K326" s="1464" t="s">
        <v>593</v>
      </c>
      <c r="L326" s="1463"/>
      <c r="M326" s="1463"/>
      <c r="N326" s="1463"/>
      <c r="O326" s="1463"/>
      <c r="P326" s="1463"/>
      <c r="Q326" s="1463"/>
      <c r="R326" s="1463"/>
      <c r="S326" s="1463"/>
      <c r="T326" s="1463"/>
      <c r="U326" s="1463"/>
      <c r="V326" s="1463"/>
      <c r="W326" s="1463"/>
    </row>
    <row r="327" spans="1:23">
      <c r="A327" s="465"/>
      <c r="B327" s="433">
        <v>408150</v>
      </c>
      <c r="C327" s="1465">
        <v>14</v>
      </c>
      <c r="D327" s="1464">
        <v>408150</v>
      </c>
      <c r="E327" s="1463"/>
      <c r="F327" s="1318" t="str">
        <f>'SCH_C2.1 - Base Period'!F322</f>
        <v xml:space="preserve">  State Unemployment Tax</v>
      </c>
      <c r="G327" s="1462">
        <f t="shared" si="46"/>
        <v>0</v>
      </c>
      <c r="H327" s="1466">
        <f t="shared" si="47"/>
        <v>100</v>
      </c>
      <c r="I327" s="1463"/>
      <c r="J327" s="1462">
        <f t="shared" si="48"/>
        <v>0</v>
      </c>
      <c r="K327" s="1464" t="s">
        <v>593</v>
      </c>
      <c r="L327" s="1463"/>
      <c r="M327" s="1463"/>
      <c r="N327" s="1463"/>
      <c r="O327" s="1463"/>
      <c r="P327" s="1463"/>
      <c r="Q327" s="1463"/>
      <c r="R327" s="1463"/>
      <c r="S327" s="1463"/>
      <c r="T327" s="1463"/>
      <c r="U327" s="1463"/>
      <c r="V327" s="1463"/>
      <c r="W327" s="1463"/>
    </row>
    <row r="328" spans="1:23">
      <c r="A328" s="465"/>
      <c r="B328" s="433">
        <v>408152</v>
      </c>
      <c r="C328" s="1464">
        <v>15</v>
      </c>
      <c r="D328" s="1464">
        <v>408152</v>
      </c>
      <c r="E328" s="1463"/>
      <c r="F328" s="1318" t="str">
        <f>'SCH_C2.1 - Base Period'!F323</f>
        <v xml:space="preserve">  Employer FICA Tax</v>
      </c>
      <c r="G328" s="1462">
        <f t="shared" si="46"/>
        <v>0</v>
      </c>
      <c r="H328" s="1466">
        <f t="shared" si="47"/>
        <v>100</v>
      </c>
      <c r="I328" s="1463"/>
      <c r="J328" s="1462">
        <f t="shared" si="48"/>
        <v>0</v>
      </c>
      <c r="K328" s="1464" t="s">
        <v>593</v>
      </c>
      <c r="L328" s="1463"/>
      <c r="M328" s="1463"/>
      <c r="N328" s="1463"/>
      <c r="O328" s="1463"/>
      <c r="P328" s="1463"/>
      <c r="Q328" s="1463"/>
      <c r="R328" s="1463"/>
      <c r="S328" s="1463"/>
      <c r="T328" s="1463"/>
      <c r="U328" s="1463"/>
      <c r="V328" s="1463"/>
      <c r="W328" s="1463"/>
    </row>
    <row r="329" spans="1:23">
      <c r="A329" s="465"/>
      <c r="B329" s="432">
        <v>408205</v>
      </c>
      <c r="C329" s="1465">
        <v>16</v>
      </c>
      <c r="D329" s="1464">
        <v>408205</v>
      </c>
      <c r="E329" s="1463"/>
      <c r="F329" s="1318" t="str">
        <f>'SCH_C2.1 - Base Period'!F325</f>
        <v xml:space="preserve">  Highway Use</v>
      </c>
      <c r="G329" s="1462">
        <f t="shared" si="46"/>
        <v>0</v>
      </c>
      <c r="H329" s="1466">
        <f t="shared" si="47"/>
        <v>100</v>
      </c>
      <c r="I329" s="1463"/>
      <c r="J329" s="1462">
        <f t="shared" si="48"/>
        <v>0</v>
      </c>
      <c r="K329" s="1464" t="s">
        <v>593</v>
      </c>
      <c r="L329" s="1463"/>
      <c r="M329" s="1463"/>
      <c r="N329" s="1463"/>
      <c r="O329" s="1463"/>
      <c r="P329" s="1463"/>
      <c r="Q329" s="1463"/>
      <c r="R329" s="1463"/>
      <c r="S329" s="1463"/>
      <c r="T329" s="1463"/>
      <c r="U329" s="1463"/>
      <c r="V329" s="1463"/>
      <c r="W329" s="1463"/>
    </row>
    <row r="330" spans="1:23">
      <c r="A330" s="465"/>
      <c r="B330" s="432">
        <v>408851</v>
      </c>
      <c r="C330" s="1464">
        <v>17</v>
      </c>
      <c r="D330" s="1464">
        <v>408851</v>
      </c>
      <c r="E330" s="1463"/>
      <c r="F330" s="1318" t="str">
        <f>'SCH_C2.1 - Base Period'!F327</f>
        <v xml:space="preserve">  Sales &amp; Use Tax</v>
      </c>
      <c r="G330" s="1462">
        <f t="shared" si="46"/>
        <v>0</v>
      </c>
      <c r="H330" s="1466">
        <f>VLOOKUP(K330,ALLOCTABLE,2)</f>
        <v>100</v>
      </c>
      <c r="I330" s="1463"/>
      <c r="J330" s="1462">
        <f t="shared" si="48"/>
        <v>0</v>
      </c>
      <c r="K330" s="1464" t="s">
        <v>593</v>
      </c>
      <c r="L330" s="1463"/>
      <c r="M330" s="1463"/>
      <c r="N330" s="1463"/>
      <c r="O330" s="1463"/>
      <c r="P330" s="1463"/>
      <c r="Q330" s="1463"/>
      <c r="R330" s="1463"/>
      <c r="S330" s="1463"/>
      <c r="T330" s="1463"/>
      <c r="U330" s="1463"/>
      <c r="V330" s="1463"/>
      <c r="W330" s="1463"/>
    </row>
    <row r="331" spans="1:23">
      <c r="A331" s="432"/>
      <c r="B331" s="432">
        <v>408960</v>
      </c>
      <c r="C331" s="1465">
        <v>18</v>
      </c>
      <c r="D331" s="1464">
        <v>408960</v>
      </c>
      <c r="E331" s="1463"/>
      <c r="F331" s="1318" t="str">
        <f>'SCH_C2.1 - Base Period'!F328</f>
        <v xml:space="preserve">  Allocated Payroll Taxes</v>
      </c>
      <c r="G331" s="1462">
        <f t="shared" si="46"/>
        <v>2066143</v>
      </c>
      <c r="H331" s="1466">
        <f t="shared" si="47"/>
        <v>100</v>
      </c>
      <c r="I331" s="1463"/>
      <c r="J331" s="1462">
        <f t="shared" si="48"/>
        <v>2066143</v>
      </c>
      <c r="K331" s="1464" t="s">
        <v>593</v>
      </c>
      <c r="L331" s="1463"/>
      <c r="M331" s="1463"/>
      <c r="N331" s="1463"/>
      <c r="O331" s="1463"/>
      <c r="P331" s="1463"/>
      <c r="Q331" s="1463"/>
      <c r="R331" s="1463"/>
      <c r="S331" s="1463"/>
      <c r="T331" s="1463"/>
      <c r="U331" s="1463"/>
      <c r="V331" s="1463"/>
      <c r="W331" s="1463"/>
    </row>
    <row r="332" spans="1:23">
      <c r="A332" s="433"/>
      <c r="B332" s="432"/>
      <c r="C332" s="1464">
        <v>19</v>
      </c>
      <c r="D332" s="1463"/>
      <c r="E332" s="1463"/>
      <c r="F332" s="1318" t="s">
        <v>680</v>
      </c>
      <c r="G332" s="1319">
        <f>SUM(G323:G331)</f>
        <v>12781066</v>
      </c>
      <c r="H332" s="1463"/>
      <c r="I332" s="1463"/>
      <c r="J332" s="1319">
        <f>SUM(J323:J331)</f>
        <v>12781066</v>
      </c>
      <c r="K332" s="1463"/>
      <c r="L332" s="1463"/>
      <c r="M332" s="1463"/>
      <c r="N332" s="1463"/>
      <c r="O332" s="1463"/>
      <c r="P332" s="1463"/>
      <c r="Q332" s="1463"/>
      <c r="R332" s="1463"/>
      <c r="S332" s="1463"/>
      <c r="T332" s="1463"/>
      <c r="U332" s="1463"/>
      <c r="V332" s="1463"/>
      <c r="W332" s="1463"/>
    </row>
    <row r="333" spans="1:23">
      <c r="A333" s="433"/>
      <c r="B333" s="432"/>
      <c r="C333" s="1465">
        <v>20</v>
      </c>
      <c r="D333" s="1463"/>
      <c r="E333" s="1463"/>
      <c r="F333" s="1463"/>
      <c r="G333" s="443"/>
      <c r="H333" s="1463"/>
      <c r="I333" s="1463"/>
      <c r="J333" s="443"/>
      <c r="K333" s="1463"/>
      <c r="L333" s="1463"/>
      <c r="M333" s="1463"/>
      <c r="N333" s="1463"/>
      <c r="O333" s="1463"/>
      <c r="P333" s="1463"/>
      <c r="Q333" s="1463"/>
      <c r="R333" s="1463"/>
      <c r="S333" s="1463"/>
      <c r="T333" s="1463"/>
      <c r="U333" s="1463"/>
      <c r="V333" s="1463"/>
      <c r="W333" s="1463"/>
    </row>
    <row r="334" spans="1:23">
      <c r="A334" s="433"/>
      <c r="B334" s="433"/>
      <c r="C334" s="1464">
        <v>21</v>
      </c>
      <c r="D334" s="1463"/>
      <c r="E334" s="1463"/>
      <c r="F334" s="1318" t="s">
        <v>1541</v>
      </c>
      <c r="G334" s="462">
        <f>G320+G332</f>
        <v>12781066</v>
      </c>
      <c r="H334" s="1463"/>
      <c r="I334" s="1463"/>
      <c r="J334" s="462">
        <f>J320+J332</f>
        <v>12781066</v>
      </c>
      <c r="K334" s="1463"/>
      <c r="L334" s="1463"/>
      <c r="M334" s="1463"/>
      <c r="N334" s="1463"/>
      <c r="O334" s="1463"/>
      <c r="P334" s="1463"/>
      <c r="Q334" s="1463"/>
      <c r="R334" s="1463"/>
      <c r="S334" s="1463"/>
      <c r="T334" s="1463"/>
      <c r="U334" s="1463"/>
      <c r="V334" s="1463"/>
      <c r="W334" s="1463"/>
    </row>
    <row r="335" spans="1:23">
      <c r="A335" s="433"/>
      <c r="B335" s="433"/>
      <c r="C335" s="1465">
        <v>22</v>
      </c>
      <c r="D335" s="1463"/>
      <c r="E335" s="1463"/>
      <c r="F335" s="1463"/>
      <c r="G335" s="1463"/>
      <c r="H335" s="1463"/>
      <c r="I335" s="1463"/>
      <c r="J335" s="1463"/>
      <c r="K335" s="1463"/>
      <c r="L335" s="1463"/>
      <c r="M335" s="1463"/>
      <c r="N335" s="1463"/>
      <c r="O335" s="1463"/>
      <c r="P335" s="1463"/>
      <c r="Q335" s="1463"/>
      <c r="R335" s="1463"/>
      <c r="S335" s="1463"/>
      <c r="T335" s="1463"/>
      <c r="U335" s="1463"/>
      <c r="V335" s="1463"/>
      <c r="W335" s="1463"/>
    </row>
    <row r="336" spans="1:23">
      <c r="A336" s="433"/>
      <c r="B336" s="433"/>
      <c r="C336" s="434" t="str">
        <f>COMPANY</f>
        <v>DUKE ENERGY KENTUCKY, INC.</v>
      </c>
      <c r="D336" s="435"/>
      <c r="E336" s="435"/>
      <c r="F336" s="434"/>
      <c r="G336" s="435"/>
      <c r="H336" s="435"/>
      <c r="I336" s="435"/>
      <c r="J336" s="435"/>
      <c r="K336" s="435"/>
      <c r="L336" s="1463"/>
      <c r="M336" s="1463"/>
      <c r="N336" s="1463"/>
      <c r="O336" s="1463"/>
      <c r="P336" s="1463"/>
      <c r="Q336" s="1463"/>
      <c r="R336" s="1463"/>
      <c r="S336" s="1463"/>
      <c r="T336" s="1463"/>
      <c r="U336" s="1463"/>
      <c r="V336" s="1463"/>
      <c r="W336" s="1463"/>
    </row>
    <row r="337" spans="1:23">
      <c r="A337" s="433"/>
      <c r="B337" s="433"/>
      <c r="C337" s="434" t="str">
        <f>CASE</f>
        <v>CASE NO. 2017-00321</v>
      </c>
      <c r="D337" s="435"/>
      <c r="E337" s="435"/>
      <c r="F337" s="434"/>
      <c r="G337" s="435"/>
      <c r="H337" s="435"/>
      <c r="I337" s="435"/>
      <c r="J337" s="435"/>
      <c r="K337" s="435"/>
      <c r="L337" s="1463"/>
      <c r="M337" s="1463"/>
      <c r="N337" s="1463"/>
      <c r="O337" s="1463"/>
      <c r="P337" s="1463"/>
      <c r="Q337" s="1463"/>
      <c r="R337" s="1463"/>
      <c r="S337" s="1463"/>
      <c r="T337" s="1463"/>
      <c r="U337" s="1463"/>
      <c r="V337" s="1463"/>
      <c r="W337" s="1463"/>
    </row>
    <row r="338" spans="1:23">
      <c r="A338" s="433"/>
      <c r="B338" s="433"/>
      <c r="C338" s="434" t="s">
        <v>1949</v>
      </c>
      <c r="D338" s="435"/>
      <c r="E338" s="434"/>
      <c r="F338" s="435"/>
      <c r="G338" s="435"/>
      <c r="H338" s="435"/>
      <c r="I338" s="435"/>
      <c r="J338" s="435"/>
      <c r="K338" s="435"/>
      <c r="L338" s="1463"/>
      <c r="M338" s="1463"/>
      <c r="N338" s="1463"/>
      <c r="O338" s="1463"/>
      <c r="P338" s="1463"/>
      <c r="Q338" s="1463"/>
      <c r="R338" s="1463"/>
      <c r="S338" s="1463"/>
      <c r="T338" s="1463"/>
      <c r="U338" s="1463"/>
      <c r="V338" s="1463"/>
      <c r="W338" s="1463"/>
    </row>
    <row r="339" spans="1:23">
      <c r="A339" s="433"/>
      <c r="B339" s="433"/>
      <c r="C339" s="434" t="str">
        <f>PeriodF</f>
        <v>FOR THE TWELVE MONTHS ENDED MARCH 31, 2019</v>
      </c>
      <c r="D339" s="435"/>
      <c r="E339" s="435"/>
      <c r="F339" s="434"/>
      <c r="G339" s="435"/>
      <c r="H339" s="435"/>
      <c r="I339" s="435"/>
      <c r="J339" s="435"/>
      <c r="K339" s="435"/>
      <c r="L339" s="1463"/>
      <c r="M339" s="1463"/>
      <c r="N339" s="1463"/>
      <c r="O339" s="1463"/>
      <c r="P339" s="1463"/>
      <c r="Q339" s="1463"/>
      <c r="R339" s="1463"/>
      <c r="S339" s="1463"/>
      <c r="T339" s="1463"/>
      <c r="U339" s="1463"/>
      <c r="V339" s="1463"/>
      <c r="W339" s="1463"/>
    </row>
    <row r="340" spans="1:23">
      <c r="A340" s="433"/>
      <c r="B340" s="433"/>
      <c r="C340" s="435"/>
      <c r="D340" s="435"/>
      <c r="E340" s="435"/>
      <c r="F340" s="435"/>
      <c r="G340" s="435"/>
      <c r="H340" s="435"/>
      <c r="I340" s="435"/>
      <c r="J340" s="1463"/>
      <c r="K340" s="1463"/>
      <c r="L340" s="1463"/>
      <c r="M340" s="1463"/>
      <c r="N340" s="1463"/>
      <c r="O340" s="1463"/>
      <c r="P340" s="1463"/>
      <c r="Q340" s="1463"/>
      <c r="R340" s="1463"/>
      <c r="S340" s="1463"/>
      <c r="T340" s="1463"/>
      <c r="U340" s="1463"/>
      <c r="V340" s="1463"/>
      <c r="W340" s="1463"/>
    </row>
    <row r="341" spans="1:23">
      <c r="A341" s="433"/>
      <c r="B341" s="433"/>
      <c r="C341" s="1463"/>
      <c r="D341" s="1463"/>
      <c r="E341" s="1463"/>
      <c r="F341" s="1463"/>
      <c r="G341" s="1463"/>
      <c r="H341" s="1463"/>
      <c r="I341" s="1463"/>
      <c r="J341" s="1318" t="str">
        <f>"                "&amp;"SCHEDULE C-2.1"</f>
        <v xml:space="preserve">                SCHEDULE C-2.1</v>
      </c>
      <c r="K341" s="1463"/>
      <c r="L341" s="1463"/>
      <c r="M341" s="1463"/>
      <c r="N341" s="1463"/>
      <c r="O341" s="1463"/>
      <c r="P341" s="1463"/>
      <c r="Q341" s="1463"/>
      <c r="R341" s="1463"/>
      <c r="S341" s="1463"/>
      <c r="T341" s="1463"/>
      <c r="U341" s="1463"/>
      <c r="V341" s="1463"/>
      <c r="W341" s="1463"/>
    </row>
    <row r="342" spans="1:23">
      <c r="A342" s="433"/>
      <c r="B342" s="433"/>
      <c r="C342" s="436" t="str">
        <f>DataF</f>
        <v>DATA:  BASE PERIOD  "X" FORECASTED PERIOD</v>
      </c>
      <c r="D342" s="1463"/>
      <c r="E342" s="1463"/>
      <c r="F342" s="1463"/>
      <c r="G342" s="1463"/>
      <c r="H342" s="1463"/>
      <c r="I342" s="1463"/>
      <c r="J342" s="1318" t="str">
        <f>"                "&amp;"PAGE  14  OF  14"</f>
        <v xml:space="preserve">                PAGE  14  OF  14</v>
      </c>
      <c r="K342" s="1463"/>
      <c r="L342" s="1463"/>
      <c r="M342" s="1463"/>
      <c r="N342" s="1463"/>
      <c r="O342" s="1463"/>
      <c r="P342" s="1463"/>
      <c r="Q342" s="1463"/>
      <c r="R342" s="1463"/>
      <c r="S342" s="1463"/>
      <c r="T342" s="1463"/>
      <c r="U342" s="1463"/>
      <c r="V342" s="1463"/>
      <c r="W342" s="1463"/>
    </row>
    <row r="343" spans="1:23">
      <c r="A343" s="433"/>
      <c r="B343" s="433"/>
      <c r="C343" s="436" t="str">
        <f>Type</f>
        <v xml:space="preserve">TYPE OF FILING:  "X" ORIGINAL   UPDATED    REVISED  </v>
      </c>
      <c r="D343" s="1463"/>
      <c r="E343" s="1463"/>
      <c r="F343" s="1463"/>
      <c r="G343" s="1463"/>
      <c r="H343" s="1463"/>
      <c r="I343" s="1463"/>
      <c r="J343" s="1318" t="str">
        <f>"                "&amp;"WITNESS RESPONSIBLE:"</f>
        <v xml:space="preserve">                WITNESS RESPONSIBLE:</v>
      </c>
      <c r="K343" s="1463"/>
      <c r="L343" s="1463"/>
      <c r="M343" s="1463"/>
      <c r="N343" s="1463"/>
      <c r="O343" s="1463"/>
      <c r="P343" s="1463"/>
      <c r="Q343" s="1463"/>
      <c r="R343" s="1463"/>
      <c r="S343" s="1463"/>
      <c r="T343" s="1463"/>
      <c r="U343" s="1463"/>
      <c r="V343" s="1463"/>
      <c r="W343" s="1463"/>
    </row>
    <row r="344" spans="1:23">
      <c r="A344" s="432"/>
      <c r="B344" s="433"/>
      <c r="C344" s="1318" t="str">
        <f>$C$11</f>
        <v>WORK PAPER REFERENCE NO(S).: WPC-2.1a_FP</v>
      </c>
      <c r="D344" s="1463"/>
      <c r="E344" s="1463"/>
      <c r="F344" s="1463"/>
      <c r="G344" s="1463"/>
      <c r="H344" s="1463"/>
      <c r="I344" s="1463"/>
      <c r="J344" s="1318" t="str">
        <f>"                "&amp;_WIT1</f>
        <v xml:space="preserve">                S. E. LAWLER</v>
      </c>
      <c r="K344" s="1463"/>
      <c r="L344" s="1463"/>
      <c r="M344" s="1463"/>
      <c r="N344" s="1463"/>
      <c r="O344" s="1463"/>
      <c r="P344" s="1463"/>
      <c r="Q344" s="1463"/>
      <c r="R344" s="1463"/>
      <c r="S344" s="1463"/>
      <c r="T344" s="1463"/>
      <c r="U344" s="1463"/>
      <c r="V344" s="1463"/>
      <c r="W344" s="1463"/>
    </row>
    <row r="345" spans="1:23">
      <c r="A345" s="432"/>
      <c r="B345" s="433"/>
      <c r="C345" s="437"/>
      <c r="D345" s="438"/>
      <c r="E345" s="438"/>
      <c r="F345" s="438"/>
      <c r="G345" s="438"/>
      <c r="H345" s="438"/>
      <c r="I345" s="438"/>
      <c r="J345" s="438"/>
      <c r="K345" s="438"/>
      <c r="L345" s="1463"/>
      <c r="M345" s="1463"/>
      <c r="N345" s="1463"/>
      <c r="O345" s="1463"/>
      <c r="P345" s="1463"/>
      <c r="Q345" s="1463"/>
      <c r="R345" s="1463"/>
      <c r="S345" s="1463"/>
      <c r="T345" s="1463"/>
      <c r="U345" s="1463"/>
      <c r="V345" s="1463"/>
      <c r="W345" s="1463"/>
    </row>
    <row r="346" spans="1:23">
      <c r="A346" s="432"/>
      <c r="B346" s="433"/>
      <c r="C346" s="1463"/>
      <c r="D346" s="1463"/>
      <c r="E346" s="1463"/>
      <c r="F346" s="1463"/>
      <c r="G346" s="1464" t="s">
        <v>238</v>
      </c>
      <c r="H346" s="1465" t="s">
        <v>360</v>
      </c>
      <c r="I346" s="1463"/>
      <c r="J346" s="1463"/>
      <c r="K346" s="1464" t="s">
        <v>1461</v>
      </c>
      <c r="L346" s="1463"/>
      <c r="M346" s="1463"/>
      <c r="N346" s="1463"/>
      <c r="O346" s="1463"/>
      <c r="P346" s="1463"/>
      <c r="Q346" s="1463"/>
      <c r="R346" s="1463"/>
      <c r="S346" s="1463"/>
      <c r="T346" s="1463"/>
      <c r="U346" s="1463"/>
      <c r="V346" s="1463"/>
      <c r="W346" s="1463"/>
    </row>
    <row r="347" spans="1:23">
      <c r="A347" s="433"/>
      <c r="B347" s="433"/>
      <c r="C347" s="1464" t="s">
        <v>1961</v>
      </c>
      <c r="D347" s="1464" t="s">
        <v>1080</v>
      </c>
      <c r="E347" s="1463"/>
      <c r="F347" s="1463"/>
      <c r="G347" s="1464" t="s">
        <v>1035</v>
      </c>
      <c r="H347" s="1464" t="s">
        <v>362</v>
      </c>
      <c r="I347" s="1463"/>
      <c r="J347" s="1464" t="s">
        <v>238</v>
      </c>
      <c r="K347" s="1464" t="s">
        <v>239</v>
      </c>
      <c r="L347" s="1463"/>
      <c r="M347" s="1463"/>
      <c r="N347" s="1463"/>
      <c r="O347" s="1463"/>
      <c r="P347" s="1463"/>
      <c r="Q347" s="1463"/>
      <c r="R347" s="1463"/>
      <c r="S347" s="1463"/>
      <c r="T347" s="1463"/>
      <c r="U347" s="1463"/>
      <c r="V347" s="1463"/>
      <c r="W347" s="1463"/>
    </row>
    <row r="348" spans="1:23">
      <c r="A348" s="433"/>
      <c r="B348" s="433"/>
      <c r="C348" s="1464" t="s">
        <v>1854</v>
      </c>
      <c r="D348" s="1464" t="s">
        <v>90</v>
      </c>
      <c r="E348" s="1463"/>
      <c r="F348" s="434" t="s">
        <v>240</v>
      </c>
      <c r="G348" s="1464" t="s">
        <v>1872</v>
      </c>
      <c r="H348" s="1464" t="s">
        <v>363</v>
      </c>
      <c r="I348" s="1463"/>
      <c r="J348" s="1464" t="s">
        <v>241</v>
      </c>
      <c r="K348" s="1464" t="s">
        <v>566</v>
      </c>
      <c r="L348" s="1463"/>
      <c r="M348" s="1463"/>
      <c r="N348" s="1463"/>
      <c r="O348" s="1463"/>
      <c r="P348" s="1463"/>
      <c r="Q348" s="1463"/>
      <c r="R348" s="1463"/>
      <c r="S348" s="1463"/>
      <c r="T348" s="1463"/>
      <c r="U348" s="1463"/>
      <c r="V348" s="1463"/>
      <c r="W348" s="1463"/>
    </row>
    <row r="349" spans="1:23">
      <c r="A349" s="433"/>
      <c r="B349" s="432"/>
      <c r="C349" s="439"/>
      <c r="D349" s="439"/>
      <c r="E349" s="439"/>
      <c r="F349" s="439"/>
      <c r="G349" s="440" t="s">
        <v>365</v>
      </c>
      <c r="H349" s="440" t="s">
        <v>318</v>
      </c>
      <c r="I349" s="439"/>
      <c r="J349" s="440" t="s">
        <v>319</v>
      </c>
      <c r="K349" s="440" t="s">
        <v>320</v>
      </c>
      <c r="L349" s="1463"/>
      <c r="M349" s="1463"/>
      <c r="N349" s="1463"/>
      <c r="O349" s="1463"/>
      <c r="P349" s="1463"/>
      <c r="Q349" s="1463"/>
      <c r="R349" s="1463"/>
      <c r="S349" s="1463"/>
      <c r="T349" s="1463"/>
      <c r="U349" s="1463"/>
      <c r="V349" s="1463"/>
      <c r="W349" s="1463"/>
    </row>
    <row r="350" spans="1:23">
      <c r="A350" s="433"/>
      <c r="B350" s="432"/>
      <c r="C350" s="463"/>
      <c r="D350" s="463"/>
      <c r="E350" s="463"/>
      <c r="F350" s="463"/>
      <c r="G350" s="466"/>
      <c r="H350" s="466"/>
      <c r="I350" s="463"/>
      <c r="J350" s="466"/>
      <c r="K350" s="466"/>
      <c r="L350" s="1463"/>
      <c r="M350" s="1463"/>
      <c r="N350" s="1463"/>
      <c r="O350" s="1463"/>
      <c r="P350" s="1463"/>
      <c r="Q350" s="1463"/>
      <c r="R350" s="1463"/>
      <c r="S350" s="1463"/>
      <c r="T350" s="1463"/>
      <c r="U350" s="1463"/>
      <c r="V350" s="1463"/>
      <c r="W350" s="1463"/>
    </row>
    <row r="351" spans="1:23">
      <c r="A351" s="433"/>
      <c r="B351" s="432"/>
      <c r="C351" s="1464">
        <v>1</v>
      </c>
      <c r="D351" s="1463"/>
      <c r="E351" s="1463"/>
      <c r="F351" s="441" t="s">
        <v>1972</v>
      </c>
      <c r="G351" s="1463"/>
      <c r="H351" s="1465"/>
      <c r="I351" s="1463"/>
      <c r="J351" s="1463"/>
      <c r="K351" s="1463"/>
      <c r="L351" s="1463"/>
      <c r="M351" s="1463"/>
      <c r="N351" s="1463"/>
      <c r="O351" s="1463"/>
      <c r="P351" s="1463"/>
      <c r="Q351" s="1463"/>
      <c r="R351" s="1463"/>
      <c r="S351" s="1463"/>
      <c r="T351" s="1463"/>
      <c r="U351" s="1463"/>
      <c r="V351" s="1463"/>
      <c r="W351" s="1463"/>
    </row>
    <row r="352" spans="1:23">
      <c r="A352" s="433"/>
      <c r="B352" s="432">
        <v>409102</v>
      </c>
      <c r="C352" s="1464">
        <v>2</v>
      </c>
      <c r="D352" s="1464">
        <v>409102</v>
      </c>
      <c r="E352" s="1463"/>
      <c r="F352" s="1318" t="str">
        <f>'SCH_C2.1 - Base Period'!F349</f>
        <v xml:space="preserve">  Normal and Surtax</v>
      </c>
      <c r="G352" s="1462">
        <f ca="1">SCH_C2!H47</f>
        <v>-280187</v>
      </c>
      <c r="H352" s="452" t="s">
        <v>2888</v>
      </c>
      <c r="I352" s="1463"/>
      <c r="J352" s="1462">
        <f ca="1">ROUND(G352,0)</f>
        <v>-280187</v>
      </c>
      <c r="K352" s="1464" t="s">
        <v>593</v>
      </c>
      <c r="L352" s="1463"/>
      <c r="M352" s="1463"/>
      <c r="N352" s="1463"/>
      <c r="O352" s="1463"/>
      <c r="P352" s="1463"/>
      <c r="Q352" s="1463"/>
      <c r="R352" s="1463"/>
      <c r="S352" s="1463"/>
      <c r="T352" s="1463"/>
      <c r="U352" s="1463"/>
      <c r="V352" s="1463"/>
      <c r="W352" s="1463"/>
    </row>
    <row r="353" spans="1:23">
      <c r="A353" s="433"/>
      <c r="B353" s="432">
        <v>409104</v>
      </c>
      <c r="C353" s="1464">
        <v>3</v>
      </c>
      <c r="D353" s="1464">
        <v>409104</v>
      </c>
      <c r="E353" s="1463"/>
      <c r="F353" s="1318" t="str">
        <f>'SCH_C2.1 - Base Period'!F350</f>
        <v xml:space="preserve">  SIT - Prior Year</v>
      </c>
      <c r="G353" s="1462">
        <f>VLOOKUP(B353,FPERIOD,5,FALSE)</f>
        <v>0</v>
      </c>
      <c r="H353" s="1466">
        <f>VLOOKUP(K353,ALLOCTABLE,2)</f>
        <v>100</v>
      </c>
      <c r="I353" s="1463"/>
      <c r="J353" s="1462">
        <f>ROUND(G353*(H353/100),0)</f>
        <v>0</v>
      </c>
      <c r="K353" s="1464" t="s">
        <v>593</v>
      </c>
      <c r="L353" s="1463"/>
      <c r="M353" s="1463"/>
      <c r="N353" s="1463"/>
      <c r="O353" s="1463"/>
      <c r="P353" s="1463"/>
      <c r="Q353" s="1463"/>
      <c r="R353" s="1463"/>
      <c r="S353" s="1463"/>
      <c r="T353" s="1463"/>
      <c r="U353" s="1463"/>
      <c r="V353" s="1463"/>
      <c r="W353" s="1463"/>
    </row>
    <row r="354" spans="1:23">
      <c r="A354" s="433"/>
      <c r="B354" s="432">
        <v>409197</v>
      </c>
      <c r="C354" s="1464">
        <v>4</v>
      </c>
      <c r="D354" s="1464">
        <v>409197</v>
      </c>
      <c r="E354" s="1463"/>
      <c r="F354" s="1318" t="str">
        <f>'SCH_C2.1 - Base Period'!F351</f>
        <v xml:space="preserve">  Current State Inc Tax - Util</v>
      </c>
      <c r="G354" s="1462">
        <f>VLOOKUP(B354,FPERIOD,5,FALSE)</f>
        <v>0</v>
      </c>
      <c r="H354" s="1466">
        <f>VLOOKUP(K354,ALLOCTABLE,2)</f>
        <v>100</v>
      </c>
      <c r="I354" s="1463"/>
      <c r="J354" s="1462">
        <f>ROUND(G354*(H354/100),0)</f>
        <v>0</v>
      </c>
      <c r="K354" s="1464" t="s">
        <v>593</v>
      </c>
      <c r="L354" s="1463"/>
      <c r="M354" s="1463"/>
      <c r="N354" s="1463"/>
      <c r="O354" s="1463"/>
      <c r="P354" s="1463"/>
      <c r="Q354" s="1463"/>
      <c r="R354" s="1463"/>
      <c r="S354" s="1463"/>
      <c r="T354" s="1463"/>
      <c r="U354" s="1463"/>
      <c r="V354" s="1463"/>
      <c r="W354" s="1463"/>
    </row>
    <row r="355" spans="1:23">
      <c r="A355" s="433"/>
      <c r="B355" s="433"/>
      <c r="C355" s="1464">
        <v>5</v>
      </c>
      <c r="D355" s="1463"/>
      <c r="E355" s="1463"/>
      <c r="F355" s="1318" t="s">
        <v>2190</v>
      </c>
      <c r="G355" s="1319">
        <f ca="1">SUM(G352:G354)</f>
        <v>-280187</v>
      </c>
      <c r="H355" s="1463"/>
      <c r="I355" s="1463"/>
      <c r="J355" s="1319">
        <f ca="1">SUM(J352:J354)</f>
        <v>-280187</v>
      </c>
      <c r="K355" s="1463"/>
      <c r="L355" s="1463"/>
      <c r="M355" s="1463"/>
      <c r="N355" s="1463"/>
      <c r="O355" s="1463"/>
      <c r="P355" s="1463"/>
      <c r="Q355" s="1463"/>
      <c r="R355" s="1463"/>
      <c r="S355" s="1463"/>
      <c r="T355" s="1463"/>
      <c r="U355" s="1463"/>
      <c r="V355" s="1463"/>
      <c r="W355" s="1463"/>
    </row>
    <row r="356" spans="1:23">
      <c r="A356" s="433"/>
      <c r="B356" s="433"/>
      <c r="C356" s="1464">
        <v>6</v>
      </c>
      <c r="D356" s="1463"/>
      <c r="E356" s="1463"/>
      <c r="F356" s="1463"/>
      <c r="G356" s="443"/>
      <c r="H356" s="1463"/>
      <c r="I356" s="1463"/>
      <c r="J356" s="443"/>
      <c r="K356" s="1463"/>
      <c r="L356" s="1463"/>
      <c r="M356" s="1463"/>
      <c r="N356" s="1463"/>
      <c r="O356" s="1463"/>
      <c r="P356" s="1463"/>
      <c r="Q356" s="1463"/>
      <c r="R356" s="1463"/>
      <c r="S356" s="1463"/>
      <c r="T356" s="1463"/>
      <c r="U356" s="1463"/>
      <c r="V356" s="1463"/>
      <c r="W356" s="1463"/>
    </row>
    <row r="357" spans="1:23">
      <c r="A357" s="433"/>
      <c r="B357" s="432"/>
      <c r="C357" s="1464">
        <v>7</v>
      </c>
      <c r="D357" s="1463"/>
      <c r="E357" s="1463"/>
      <c r="F357" s="441" t="s">
        <v>1305</v>
      </c>
      <c r="G357" s="1465"/>
      <c r="H357" s="1463"/>
      <c r="I357" s="1463"/>
      <c r="J357" s="1463"/>
      <c r="K357" s="1463"/>
      <c r="L357" s="1463"/>
      <c r="M357" s="1463"/>
      <c r="N357" s="1463"/>
      <c r="O357" s="1463"/>
      <c r="P357" s="1463"/>
      <c r="Q357" s="1463"/>
      <c r="R357" s="1463"/>
      <c r="S357" s="1463"/>
      <c r="T357" s="1463"/>
      <c r="U357" s="1463"/>
      <c r="V357" s="1463"/>
      <c r="W357" s="1463"/>
    </row>
    <row r="358" spans="1:23">
      <c r="A358" s="433"/>
      <c r="B358" s="432">
        <v>409190</v>
      </c>
      <c r="C358" s="1464">
        <v>8</v>
      </c>
      <c r="D358" s="1464">
        <v>409190</v>
      </c>
      <c r="E358" s="1463"/>
      <c r="F358" s="1318" t="str">
        <f>'SCH_C2.1 - Base Period'!F355</f>
        <v xml:space="preserve">  Normal &amp; Surtax</v>
      </c>
      <c r="G358" s="455">
        <f ca="1">SCH_C2!H52</f>
        <v>-21224297</v>
      </c>
      <c r="H358" s="452" t="s">
        <v>2888</v>
      </c>
      <c r="I358" s="1463"/>
      <c r="J358" s="1462">
        <f ca="1">ROUND(G358,0)</f>
        <v>-21224297</v>
      </c>
      <c r="K358" s="1464" t="s">
        <v>593</v>
      </c>
      <c r="L358" s="1463"/>
      <c r="M358" s="1463"/>
      <c r="N358" s="1463"/>
      <c r="O358" s="1463"/>
      <c r="P358" s="1463"/>
      <c r="Q358" s="1463"/>
      <c r="R358" s="1463"/>
      <c r="S358" s="1463"/>
      <c r="T358" s="1463"/>
      <c r="U358" s="1463"/>
      <c r="V358" s="1463"/>
      <c r="W358" s="1463"/>
    </row>
    <row r="359" spans="1:23">
      <c r="A359" s="433"/>
      <c r="B359" s="432">
        <v>409191</v>
      </c>
      <c r="C359" s="1464">
        <v>9</v>
      </c>
      <c r="D359" s="1464">
        <v>409191</v>
      </c>
      <c r="E359" s="1463"/>
      <c r="F359" s="1318" t="str">
        <f>'SCH_C2.1 - Base Period'!F356</f>
        <v xml:space="preserve">  FIT - Prior Year</v>
      </c>
      <c r="G359" s="455">
        <f>VLOOKUP(B359,FPERIOD,5,FALSE)</f>
        <v>0</v>
      </c>
      <c r="H359" s="1466">
        <f>VLOOKUP(K359,ALLOCTABLE,2)</f>
        <v>100</v>
      </c>
      <c r="I359" s="1463"/>
      <c r="J359" s="1462">
        <f>ROUND(G359*(H359/100),0)</f>
        <v>0</v>
      </c>
      <c r="K359" s="1464" t="s">
        <v>593</v>
      </c>
      <c r="L359" s="1463"/>
      <c r="M359" s="1463"/>
      <c r="N359" s="1463"/>
      <c r="O359" s="1463"/>
      <c r="P359" s="1463"/>
      <c r="Q359" s="1463"/>
      <c r="R359" s="1463"/>
      <c r="S359" s="1463"/>
      <c r="T359" s="1463"/>
      <c r="U359" s="1463"/>
      <c r="V359" s="1463"/>
      <c r="W359" s="1463"/>
    </row>
    <row r="360" spans="1:23">
      <c r="A360" s="433"/>
      <c r="B360" s="432">
        <v>409194</v>
      </c>
      <c r="C360" s="1464">
        <v>10</v>
      </c>
      <c r="D360" s="1464">
        <v>409194</v>
      </c>
      <c r="E360" s="1463"/>
      <c r="F360" s="1318" t="str">
        <f>'SCH_C2.1 - Base Period'!F357</f>
        <v xml:space="preserve">  Current FIT - Prior Year Audit</v>
      </c>
      <c r="G360" s="455">
        <f>VLOOKUP(B360,FPERIOD,5,FALSE)</f>
        <v>0</v>
      </c>
      <c r="H360" s="1466">
        <f>VLOOKUP(K360,ALLOCTABLE,2)</f>
        <v>100</v>
      </c>
      <c r="I360" s="1463"/>
      <c r="J360" s="1462">
        <f>ROUND(G360*(H360/100),0)</f>
        <v>0</v>
      </c>
      <c r="K360" s="1464" t="s">
        <v>593</v>
      </c>
      <c r="L360" s="1463"/>
      <c r="M360" s="1463"/>
      <c r="N360" s="1463"/>
      <c r="O360" s="1463"/>
      <c r="P360" s="1463"/>
      <c r="Q360" s="1463"/>
      <c r="R360" s="1463"/>
      <c r="S360" s="1463"/>
      <c r="T360" s="1463"/>
      <c r="U360" s="1463"/>
      <c r="V360" s="1463"/>
      <c r="W360" s="1463"/>
    </row>
    <row r="361" spans="1:23">
      <c r="A361" s="433"/>
      <c r="B361" s="432">
        <v>409195</v>
      </c>
      <c r="C361" s="1464">
        <v>11</v>
      </c>
      <c r="D361" s="1467">
        <v>409195</v>
      </c>
      <c r="E361" s="1463"/>
      <c r="F361" s="1318" t="str">
        <f>'SCH_C2.1 - Base Period'!F358</f>
        <v xml:space="preserve">  UTP Tax Expense - Prior Year</v>
      </c>
      <c r="G361" s="455">
        <f>VLOOKUP(B361,FPERIOD,5,FALSE)</f>
        <v>0</v>
      </c>
      <c r="H361" s="1466">
        <f>VLOOKUP(K361,ALLOCTABLE,2)</f>
        <v>100</v>
      </c>
      <c r="I361" s="1463"/>
      <c r="J361" s="1462">
        <f>ROUND(G361*(H361/100),0)</f>
        <v>0</v>
      </c>
      <c r="K361" s="1464" t="s">
        <v>593</v>
      </c>
      <c r="L361" s="1463"/>
      <c r="M361" s="1463"/>
      <c r="N361" s="1463"/>
      <c r="O361" s="1463"/>
      <c r="P361" s="1463"/>
      <c r="Q361" s="1463"/>
      <c r="R361" s="1463"/>
      <c r="S361" s="1463"/>
      <c r="T361" s="1463"/>
      <c r="U361" s="1463"/>
      <c r="V361" s="1463"/>
      <c r="W361" s="1463"/>
    </row>
    <row r="362" spans="1:23">
      <c r="A362" s="433"/>
      <c r="B362" s="432"/>
      <c r="C362" s="1464">
        <v>12</v>
      </c>
      <c r="D362" s="1463"/>
      <c r="E362" s="1463"/>
      <c r="F362" s="1463" t="s">
        <v>2194</v>
      </c>
      <c r="G362" s="1319">
        <f ca="1">SUM(G358:G361)</f>
        <v>-21224297</v>
      </c>
      <c r="H362" s="1463"/>
      <c r="I362" s="1463"/>
      <c r="J362" s="1319">
        <f ca="1">SUM(J358:J361)</f>
        <v>-21224297</v>
      </c>
      <c r="K362" s="1463"/>
      <c r="L362" s="1463"/>
      <c r="M362" s="1463"/>
      <c r="N362" s="1463"/>
      <c r="O362" s="1463"/>
      <c r="P362" s="1463"/>
      <c r="Q362" s="1463"/>
      <c r="R362" s="1463"/>
      <c r="S362" s="1463"/>
      <c r="T362" s="1463"/>
      <c r="U362" s="1463"/>
      <c r="V362" s="1463"/>
      <c r="W362" s="1463"/>
    </row>
    <row r="363" spans="1:23">
      <c r="A363" s="433"/>
      <c r="B363" s="433"/>
      <c r="C363" s="1464">
        <v>13</v>
      </c>
      <c r="D363" s="1463"/>
      <c r="E363" s="1463"/>
      <c r="F363" s="1463"/>
      <c r="G363" s="443"/>
      <c r="H363" s="1463"/>
      <c r="I363" s="1463"/>
      <c r="J363" s="443"/>
      <c r="K363" s="1463"/>
      <c r="L363" s="1463"/>
      <c r="M363" s="1463"/>
      <c r="N363" s="1463"/>
      <c r="O363" s="1463"/>
      <c r="P363" s="1463"/>
      <c r="Q363" s="1463"/>
      <c r="R363" s="1463"/>
      <c r="S363" s="1463"/>
      <c r="T363" s="1463"/>
      <c r="U363" s="1463"/>
      <c r="V363" s="1463"/>
      <c r="W363" s="1463"/>
    </row>
    <row r="364" spans="1:23">
      <c r="A364" s="433"/>
      <c r="B364" s="433"/>
      <c r="C364" s="1464">
        <v>14</v>
      </c>
      <c r="D364" s="1463"/>
      <c r="E364" s="1463"/>
      <c r="F364" s="441" t="s">
        <v>682</v>
      </c>
      <c r="G364" s="1463"/>
      <c r="H364" s="1463"/>
      <c r="I364" s="1463"/>
      <c r="J364" s="1463"/>
      <c r="K364" s="1463"/>
      <c r="L364" s="1463"/>
      <c r="M364" s="1463"/>
      <c r="N364" s="1463"/>
      <c r="O364" s="1463"/>
      <c r="P364" s="1463"/>
      <c r="Q364" s="1463"/>
      <c r="R364" s="1463"/>
      <c r="S364" s="1463"/>
      <c r="T364" s="1463"/>
      <c r="U364" s="1463"/>
      <c r="V364" s="1463"/>
      <c r="W364" s="1463"/>
    </row>
    <row r="365" spans="1:23">
      <c r="A365" s="433">
        <v>410100</v>
      </c>
      <c r="B365" s="432">
        <v>410105</v>
      </c>
      <c r="C365" s="1464">
        <v>15</v>
      </c>
      <c r="D365" s="1464" t="s">
        <v>1209</v>
      </c>
      <c r="E365" s="1463"/>
      <c r="F365" s="1318" t="str">
        <f>'SCH_C2.1 - Base Period'!F362</f>
        <v>Deferrals - Federal</v>
      </c>
      <c r="G365" s="1462">
        <f ca="1">VLOOKUP(A365,FPERIOD,5,FALSE)+VLOOKUP(B365,FPERIOD,5,FALSE)</f>
        <v>24673074</v>
      </c>
      <c r="H365" s="1466">
        <f>VLOOKUP(K365,ALLOCTABLE,2)</f>
        <v>100</v>
      </c>
      <c r="I365" s="1463"/>
      <c r="J365" s="1462">
        <f ca="1">ROUND(G365*(H365/100),0)</f>
        <v>24673074</v>
      </c>
      <c r="K365" s="1464" t="s">
        <v>593</v>
      </c>
      <c r="L365" s="1463"/>
      <c r="M365" s="1463"/>
      <c r="N365" s="1463"/>
      <c r="O365" s="1463"/>
      <c r="P365" s="1463"/>
      <c r="Q365" s="1463"/>
      <c r="R365" s="1463"/>
      <c r="S365" s="1463"/>
      <c r="T365" s="1463"/>
      <c r="U365" s="1463"/>
      <c r="V365" s="1463"/>
      <c r="W365" s="1463"/>
    </row>
    <row r="366" spans="1:23">
      <c r="A366" s="433">
        <v>410102</v>
      </c>
      <c r="B366" s="432">
        <v>410106</v>
      </c>
      <c r="C366" s="1464">
        <v>16</v>
      </c>
      <c r="D366" s="1464" t="s">
        <v>1209</v>
      </c>
      <c r="E366" s="1463"/>
      <c r="F366" s="1318" t="str">
        <f>'SCH_C2.1 - Base Period'!F363</f>
        <v>Deferrals - State</v>
      </c>
      <c r="G366" s="1462">
        <f ca="1">VLOOKUP(A366,FPERIOD,5,FALSE)+VLOOKUP(B366,FPERIOD,5,FALSE)</f>
        <v>921141</v>
      </c>
      <c r="H366" s="1466">
        <f>VLOOKUP(K366,ALLOCTABLE,2)</f>
        <v>100</v>
      </c>
      <c r="I366" s="1463"/>
      <c r="J366" s="1462">
        <f ca="1">ROUND(G366*(H366/100),0)</f>
        <v>921141</v>
      </c>
      <c r="K366" s="1464" t="s">
        <v>593</v>
      </c>
      <c r="L366" s="1463"/>
      <c r="M366" s="1463"/>
      <c r="N366" s="1463"/>
      <c r="O366" s="1463"/>
      <c r="P366" s="1463"/>
      <c r="Q366" s="1463"/>
      <c r="R366" s="1463"/>
      <c r="S366" s="1463"/>
      <c r="T366" s="1463"/>
      <c r="U366" s="1463"/>
      <c r="V366" s="1463"/>
      <c r="W366" s="1463"/>
    </row>
    <row r="367" spans="1:23">
      <c r="A367" s="433">
        <v>411100</v>
      </c>
      <c r="B367" s="432">
        <v>411102</v>
      </c>
      <c r="C367" s="1464">
        <v>17</v>
      </c>
      <c r="D367" s="1464" t="s">
        <v>1209</v>
      </c>
      <c r="E367" s="1463"/>
      <c r="F367" s="1318" t="str">
        <f>'SCH_C2.1 - Base Period'!F364</f>
        <v>Writebacks - Federal</v>
      </c>
      <c r="G367" s="1462">
        <f>VLOOKUP(A367,FPERIOD,5,FALSE)+VLOOKUP(B367,FPERIOD,5,FALSE)</f>
        <v>0</v>
      </c>
      <c r="H367" s="1466">
        <f>VLOOKUP(K367,ALLOCTABLE,2)</f>
        <v>100</v>
      </c>
      <c r="I367" s="1463"/>
      <c r="J367" s="1462">
        <f>ROUND(G367*(H367/100),0)</f>
        <v>0</v>
      </c>
      <c r="K367" s="1464" t="s">
        <v>593</v>
      </c>
      <c r="L367" s="1463"/>
      <c r="M367" s="1463"/>
      <c r="N367" s="1463"/>
      <c r="O367" s="1463"/>
      <c r="P367" s="1463"/>
      <c r="Q367" s="1463"/>
      <c r="R367" s="1463"/>
      <c r="S367" s="1463"/>
      <c r="T367" s="1463"/>
      <c r="U367" s="1463"/>
      <c r="V367" s="1463"/>
      <c r="W367" s="1463"/>
    </row>
    <row r="368" spans="1:23">
      <c r="A368" s="432">
        <v>411101</v>
      </c>
      <c r="B368" s="432">
        <v>411103</v>
      </c>
      <c r="C368" s="1464">
        <v>18</v>
      </c>
      <c r="D368" s="1464" t="s">
        <v>1209</v>
      </c>
      <c r="E368" s="1463"/>
      <c r="F368" s="1318" t="str">
        <f>'SCH_C2.1 - Base Period'!F365</f>
        <v>Writebacks - State</v>
      </c>
      <c r="G368" s="1462">
        <f>VLOOKUP(A368,FPERIOD,5,FALSE)+VLOOKUP(B368,FPERIOD,5,FALSE)</f>
        <v>0</v>
      </c>
      <c r="H368" s="1466">
        <f>VLOOKUP(K368,ALLOCTABLE,2)</f>
        <v>100</v>
      </c>
      <c r="I368" s="1463"/>
      <c r="J368" s="1462">
        <f>ROUND(G368*(H368/100),0)</f>
        <v>0</v>
      </c>
      <c r="K368" s="1464" t="s">
        <v>593</v>
      </c>
      <c r="L368" s="1463"/>
      <c r="M368" s="1463"/>
      <c r="N368" s="1463"/>
      <c r="O368" s="1463"/>
      <c r="P368" s="1463"/>
      <c r="Q368" s="1463"/>
      <c r="R368" s="1463"/>
      <c r="S368" s="1463"/>
      <c r="T368" s="1463"/>
      <c r="U368" s="1463"/>
      <c r="V368" s="1463"/>
      <c r="W368" s="1463"/>
    </row>
    <row r="369" spans="1:23">
      <c r="A369" s="433"/>
      <c r="B369" s="432"/>
      <c r="C369" s="1464">
        <v>19</v>
      </c>
      <c r="D369" s="1463"/>
      <c r="E369" s="1463"/>
      <c r="F369" s="1318" t="s">
        <v>687</v>
      </c>
      <c r="G369" s="1319">
        <f ca="1">SUM(G365:G368)</f>
        <v>25594215</v>
      </c>
      <c r="H369" s="1462"/>
      <c r="I369" s="1462"/>
      <c r="J369" s="1319">
        <f ca="1">SUM(J365:J368)</f>
        <v>25594215</v>
      </c>
      <c r="K369" s="1462"/>
      <c r="L369" s="1463"/>
      <c r="M369" s="1463"/>
      <c r="N369" s="1463"/>
      <c r="O369" s="1463"/>
      <c r="P369" s="1463"/>
      <c r="Q369" s="1463"/>
      <c r="R369" s="1463"/>
      <c r="S369" s="1463"/>
      <c r="T369" s="1463"/>
      <c r="U369" s="1463"/>
      <c r="V369" s="1463"/>
      <c r="W369" s="1463"/>
    </row>
    <row r="370" spans="1:23">
      <c r="A370" s="433"/>
      <c r="B370" s="432"/>
      <c r="C370" s="1464">
        <v>20</v>
      </c>
      <c r="D370" s="1463"/>
      <c r="E370" s="1463"/>
      <c r="F370" s="1318"/>
      <c r="G370" s="455"/>
      <c r="H370" s="1462"/>
      <c r="I370" s="1462"/>
      <c r="J370" s="455"/>
      <c r="K370" s="1462"/>
      <c r="L370" s="1463"/>
      <c r="M370" s="1463"/>
      <c r="N370" s="1463"/>
      <c r="O370" s="1463"/>
      <c r="P370" s="1463"/>
      <c r="Q370" s="1463"/>
      <c r="R370" s="1463"/>
      <c r="S370" s="1463"/>
      <c r="T370" s="1463"/>
      <c r="U370" s="1463"/>
      <c r="V370" s="1463"/>
      <c r="W370" s="1463"/>
    </row>
    <row r="371" spans="1:23">
      <c r="A371" s="433"/>
      <c r="B371" s="432">
        <v>411410</v>
      </c>
      <c r="C371" s="1464">
        <v>21</v>
      </c>
      <c r="D371" s="1464">
        <v>411065</v>
      </c>
      <c r="E371" s="1463"/>
      <c r="F371" s="1318" t="str">
        <f>'SCH_C2.1 - Base Period'!F368</f>
        <v>Amortization of ITC</v>
      </c>
      <c r="G371" s="1462">
        <f>ROUND(VLOOKUP(B371,FPERIOD,5,FALSE),0)</f>
        <v>-11316</v>
      </c>
      <c r="H371" s="1466">
        <f>VLOOKUP(K371,ALLOCTABLE,2)</f>
        <v>100</v>
      </c>
      <c r="I371" s="1463"/>
      <c r="J371" s="1462">
        <f>ROUND(G371*(H371/100),0)</f>
        <v>-11316</v>
      </c>
      <c r="K371" s="1464" t="s">
        <v>593</v>
      </c>
      <c r="L371" s="1463"/>
      <c r="M371" s="1463"/>
      <c r="N371" s="1463"/>
      <c r="O371" s="1463"/>
      <c r="P371" s="1463"/>
      <c r="Q371" s="1463"/>
      <c r="R371" s="1463"/>
      <c r="S371" s="1463"/>
      <c r="T371" s="1463"/>
      <c r="U371" s="1463"/>
      <c r="V371" s="1463"/>
      <c r="W371" s="1463"/>
    </row>
    <row r="372" spans="1:23">
      <c r="A372" s="433"/>
      <c r="B372" s="432"/>
      <c r="C372" s="1464">
        <v>22</v>
      </c>
      <c r="D372" s="1464"/>
      <c r="E372" s="1463"/>
      <c r="F372" s="1318"/>
      <c r="G372" s="1462"/>
      <c r="H372" s="1466"/>
      <c r="I372" s="1463"/>
      <c r="J372" s="1462"/>
      <c r="K372" s="1464"/>
      <c r="L372" s="1463"/>
      <c r="M372" s="1463"/>
      <c r="N372" s="1463"/>
      <c r="O372" s="1463"/>
      <c r="P372" s="1463"/>
      <c r="Q372" s="1463"/>
      <c r="R372" s="1463"/>
      <c r="S372" s="1463"/>
      <c r="T372" s="1463"/>
      <c r="U372" s="1463"/>
      <c r="V372" s="1463"/>
      <c r="W372" s="1463"/>
    </row>
    <row r="373" spans="1:23">
      <c r="A373" s="433"/>
      <c r="B373" s="433"/>
      <c r="C373" s="1464">
        <v>23</v>
      </c>
      <c r="D373" s="1463"/>
      <c r="E373" s="1463"/>
      <c r="F373" s="1318" t="s">
        <v>688</v>
      </c>
      <c r="G373" s="1319">
        <f ca="1">G355+G362+G369+G371</f>
        <v>4078415</v>
      </c>
      <c r="H373" s="1462"/>
      <c r="I373" s="1463"/>
      <c r="J373" s="1319">
        <f ca="1">J355+J362+J369+J371</f>
        <v>4078415</v>
      </c>
      <c r="K373" s="1462"/>
      <c r="L373" s="1463"/>
      <c r="M373" s="1463"/>
      <c r="N373" s="1463"/>
      <c r="O373" s="1463"/>
      <c r="P373" s="1463"/>
      <c r="Q373" s="1463"/>
      <c r="R373" s="1463"/>
      <c r="S373" s="1463"/>
      <c r="T373" s="1463"/>
      <c r="U373" s="1463"/>
      <c r="V373" s="1463"/>
      <c r="W373" s="1463"/>
    </row>
    <row r="374" spans="1:23">
      <c r="A374" s="433"/>
      <c r="B374" s="433"/>
      <c r="C374" s="1464">
        <v>24</v>
      </c>
      <c r="D374" s="1463"/>
      <c r="E374" s="1463"/>
      <c r="F374" s="1318" t="s">
        <v>1097</v>
      </c>
      <c r="G374" s="1319">
        <f ca="1">G288+G291+G297+G334+G373</f>
        <v>302106275</v>
      </c>
      <c r="H374" s="1462"/>
      <c r="I374" s="1463"/>
      <c r="J374" s="1319">
        <f ca="1">J288+J291+J297+J334+J373</f>
        <v>302106275</v>
      </c>
      <c r="K374" s="1463"/>
      <c r="L374" s="1463"/>
      <c r="M374" s="1463"/>
      <c r="N374" s="1463"/>
      <c r="O374" s="1463"/>
      <c r="P374" s="1463"/>
      <c r="Q374" s="1463"/>
      <c r="R374" s="1463"/>
      <c r="S374" s="1463"/>
      <c r="T374" s="1463"/>
      <c r="U374" s="1463"/>
      <c r="V374" s="1463"/>
      <c r="W374" s="1463"/>
    </row>
    <row r="375" spans="1:23" ht="13.5" thickBot="1">
      <c r="A375" s="433"/>
      <c r="B375" s="433"/>
      <c r="C375" s="1464">
        <v>25</v>
      </c>
      <c r="D375" s="1463"/>
      <c r="E375" s="1463"/>
      <c r="F375" s="1318" t="s">
        <v>1098</v>
      </c>
      <c r="G375" s="448">
        <f ca="1">G47-G374</f>
        <v>19212679</v>
      </c>
      <c r="H375" s="1462"/>
      <c r="I375" s="1463"/>
      <c r="J375" s="448">
        <f ca="1">J47-J374</f>
        <v>19212679</v>
      </c>
      <c r="K375" s="1463"/>
      <c r="L375" s="1463"/>
      <c r="M375" s="1463"/>
      <c r="N375" s="1463"/>
      <c r="O375" s="1463"/>
      <c r="P375" s="1463"/>
      <c r="Q375" s="1463"/>
      <c r="R375" s="1463"/>
      <c r="S375" s="1463"/>
      <c r="T375" s="1463"/>
      <c r="U375" s="1463"/>
      <c r="V375" s="1463"/>
      <c r="W375" s="1463"/>
    </row>
    <row r="376" spans="1:23" ht="13.5" thickTop="1">
      <c r="A376" s="433"/>
      <c r="B376" s="433"/>
      <c r="C376" s="1463"/>
      <c r="D376" s="1463"/>
      <c r="E376" s="1463"/>
      <c r="F376" s="1463"/>
      <c r="G376" s="1463"/>
      <c r="H376" s="1463"/>
      <c r="I376" s="1463"/>
      <c r="J376" s="1463"/>
      <c r="K376" s="1463"/>
      <c r="L376" s="1463"/>
      <c r="M376" s="1463"/>
      <c r="N376" s="1463"/>
      <c r="O376" s="1463"/>
      <c r="P376" s="1463"/>
      <c r="Q376" s="1463"/>
      <c r="R376" s="1463"/>
      <c r="S376" s="1463"/>
      <c r="T376" s="1463"/>
      <c r="U376" s="1463"/>
      <c r="V376" s="1463"/>
      <c r="W376" s="1463"/>
    </row>
    <row r="377" spans="1:23">
      <c r="A377" s="433"/>
      <c r="B377" s="433"/>
      <c r="C377" s="1463"/>
      <c r="D377" s="1463"/>
      <c r="E377" s="1463"/>
      <c r="F377" s="1463"/>
      <c r="G377" s="474"/>
      <c r="H377" s="1463"/>
      <c r="I377" s="1463"/>
      <c r="J377" s="1463"/>
      <c r="K377" s="1463"/>
      <c r="L377" s="1463"/>
      <c r="M377" s="1463"/>
      <c r="N377" s="1463"/>
      <c r="O377" s="1463"/>
      <c r="P377" s="1463"/>
      <c r="Q377" s="1463"/>
      <c r="R377" s="1463"/>
      <c r="S377" s="1463"/>
      <c r="T377" s="1463"/>
      <c r="U377" s="1463"/>
      <c r="V377" s="1463"/>
      <c r="W377" s="1463"/>
    </row>
    <row r="378" spans="1:23">
      <c r="A378" s="433"/>
      <c r="B378" s="433"/>
      <c r="C378" s="1463"/>
      <c r="D378" s="1463"/>
      <c r="E378" s="1463"/>
      <c r="F378" s="1463"/>
      <c r="G378" s="474"/>
      <c r="H378" s="1463"/>
      <c r="I378" s="1463"/>
      <c r="J378" s="443"/>
      <c r="K378" s="1463"/>
      <c r="L378" s="1463"/>
      <c r="M378" s="1463"/>
      <c r="N378" s="1463"/>
      <c r="O378" s="1463"/>
      <c r="P378" s="1463"/>
      <c r="Q378" s="1463"/>
      <c r="R378" s="1463"/>
      <c r="S378" s="1463"/>
      <c r="T378" s="1463"/>
      <c r="U378" s="1463"/>
      <c r="V378" s="1463"/>
      <c r="W378" s="1463"/>
    </row>
    <row r="379" spans="1:23">
      <c r="A379" s="433"/>
      <c r="B379" s="433"/>
      <c r="C379" s="1463"/>
      <c r="D379" s="1463"/>
      <c r="E379" s="1463"/>
      <c r="F379" s="1463"/>
      <c r="G379" s="1463"/>
      <c r="H379" s="1463"/>
      <c r="I379" s="1463"/>
      <c r="J379" s="1463"/>
      <c r="K379" s="1463"/>
      <c r="L379" s="1463"/>
      <c r="M379" s="1463"/>
      <c r="N379" s="1463"/>
      <c r="O379" s="1463"/>
      <c r="P379" s="1463"/>
      <c r="Q379" s="1463"/>
      <c r="R379" s="1463"/>
      <c r="S379" s="1463"/>
      <c r="T379" s="1463"/>
      <c r="U379" s="1463"/>
      <c r="V379" s="1463"/>
      <c r="W379" s="1463"/>
    </row>
    <row r="380" spans="1:23">
      <c r="A380" s="433"/>
      <c r="B380" s="433"/>
      <c r="C380" s="1463"/>
      <c r="D380" s="1463"/>
      <c r="E380" s="1463"/>
      <c r="F380" s="1463"/>
      <c r="G380" s="1463"/>
      <c r="H380" s="1463"/>
      <c r="I380" s="1463"/>
      <c r="J380" s="1463"/>
      <c r="K380" s="1463"/>
      <c r="L380" s="1463"/>
      <c r="M380" s="1463"/>
      <c r="N380" s="1463"/>
      <c r="O380" s="1463"/>
      <c r="P380" s="1463"/>
      <c r="Q380" s="1463"/>
      <c r="R380" s="1463"/>
      <c r="S380" s="1463"/>
      <c r="T380" s="1463"/>
      <c r="U380" s="1463"/>
      <c r="V380" s="1463"/>
      <c r="W380" s="1463"/>
    </row>
    <row r="381" spans="1:23">
      <c r="A381" s="433"/>
      <c r="B381" s="433"/>
      <c r="C381" s="1463"/>
      <c r="D381" s="1463"/>
      <c r="E381" s="1463"/>
      <c r="F381" s="1463"/>
      <c r="G381" s="1463"/>
      <c r="H381" s="1463"/>
      <c r="I381" s="1463"/>
      <c r="J381" s="1463"/>
      <c r="K381" s="1463"/>
      <c r="L381" s="1463"/>
      <c r="M381" s="1463"/>
      <c r="N381" s="1463"/>
      <c r="O381" s="1463"/>
      <c r="P381" s="1463"/>
      <c r="Q381" s="1463"/>
      <c r="R381" s="1463"/>
      <c r="S381" s="1463"/>
      <c r="T381" s="1463"/>
      <c r="U381" s="1463"/>
      <c r="V381" s="1463"/>
      <c r="W381" s="1463"/>
    </row>
    <row r="382" spans="1:23">
      <c r="A382" s="433"/>
      <c r="B382" s="433"/>
      <c r="C382" s="1463"/>
      <c r="D382" s="1463"/>
      <c r="E382" s="1463"/>
      <c r="F382" s="1463"/>
      <c r="G382" s="1463"/>
      <c r="H382" s="1463"/>
      <c r="I382" s="1463"/>
      <c r="J382" s="1463"/>
      <c r="K382" s="1463"/>
      <c r="L382" s="1463"/>
      <c r="M382" s="1463"/>
      <c r="N382" s="1463"/>
      <c r="O382" s="1463"/>
      <c r="P382" s="1463"/>
      <c r="Q382" s="1463"/>
      <c r="R382" s="1463"/>
      <c r="S382" s="1463"/>
      <c r="T382" s="1463"/>
      <c r="U382" s="1463"/>
      <c r="V382" s="1463"/>
      <c r="W382" s="1463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rowBreaks count="5" manualBreakCount="5">
    <brk id="84" max="65535" man="1"/>
    <brk id="134" max="65535" man="1"/>
    <brk id="183" max="65535" man="1"/>
    <brk id="277" max="65535" man="1"/>
    <brk id="365" max="65535" man="1"/>
  </rowBreaks>
  <colBreaks count="1" manualBreakCount="1">
    <brk id="2" max="1048575" man="1"/>
  </colBreaks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7" tint="-0.249977111117893"/>
  </sheetPr>
  <dimension ref="A1:AU560"/>
  <sheetViews>
    <sheetView tabSelected="1" view="pageLayout" zoomScaleNormal="80" workbookViewId="0">
      <selection activeCell="G1" sqref="G1"/>
    </sheetView>
  </sheetViews>
  <sheetFormatPr defaultColWidth="8" defaultRowHeight="12.75"/>
  <cols>
    <col min="1" max="1" width="7.5703125" style="18" customWidth="1"/>
    <col min="2" max="2" width="1" style="18" customWidth="1"/>
    <col min="3" max="3" width="50" style="18" customWidth="1"/>
    <col min="4" max="4" width="1.28515625" style="18" customWidth="1"/>
    <col min="5" max="5" width="20.85546875" style="18" customWidth="1"/>
    <col min="6" max="6" width="0.85546875" style="18" customWidth="1"/>
    <col min="7" max="7" width="19.42578125" style="18" customWidth="1"/>
    <col min="8" max="8" width="0.5703125" style="18" customWidth="1"/>
    <col min="9" max="9" width="19.5703125" style="18" customWidth="1"/>
    <col min="10" max="10" width="0.5703125" style="18" customWidth="1"/>
    <col min="11" max="11" width="19.5703125" style="18" customWidth="1"/>
    <col min="12" max="12" width="0.5703125" style="18" customWidth="1"/>
    <col min="13" max="13" width="19.28515625" style="18" customWidth="1"/>
    <col min="14" max="14" width="0.7109375" style="18" customWidth="1"/>
    <col min="15" max="15" width="21" style="18" customWidth="1"/>
    <col min="16" max="16" width="7.140625" style="18" customWidth="1"/>
    <col min="17" max="17" width="7.42578125" style="18" customWidth="1"/>
    <col min="18" max="18" width="2.5703125" style="18" customWidth="1"/>
    <col min="19" max="19" width="33.85546875" style="18" customWidth="1"/>
    <col min="20" max="20" width="1.7109375" style="18" customWidth="1"/>
    <col min="21" max="21" width="18.5703125" style="18" customWidth="1"/>
    <col min="22" max="22" width="0.7109375" style="18" customWidth="1"/>
    <col min="23" max="23" width="17.28515625" style="18" customWidth="1"/>
    <col min="24" max="24" width="0.7109375" style="18" customWidth="1"/>
    <col min="25" max="25" width="18.85546875" style="18" customWidth="1"/>
    <col min="26" max="26" width="0.42578125" style="18" customWidth="1"/>
    <col min="27" max="27" width="18.7109375" style="18" customWidth="1"/>
    <col min="28" max="28" width="0.7109375" style="18" customWidth="1"/>
    <col min="29" max="29" width="18" style="18" customWidth="1"/>
    <col min="30" max="30" width="0.85546875" style="18" customWidth="1"/>
    <col min="31" max="31" width="17.28515625" style="18" customWidth="1"/>
    <col min="32" max="32" width="8" style="18" customWidth="1"/>
    <col min="33" max="33" width="7.42578125" style="18" customWidth="1"/>
    <col min="34" max="34" width="1.7109375" style="18" customWidth="1"/>
    <col min="35" max="35" width="40.140625" style="18" customWidth="1"/>
    <col min="36" max="36" width="1.5703125" style="18" customWidth="1"/>
    <col min="37" max="37" width="18.42578125" style="18" customWidth="1"/>
    <col min="38" max="38" width="4.85546875" style="18" customWidth="1"/>
    <col min="39" max="39" width="20.85546875" style="18" customWidth="1"/>
    <col min="40" max="40" width="6.28515625" style="18" customWidth="1"/>
    <col min="41" max="41" width="23.5703125" style="18" customWidth="1"/>
    <col min="42" max="42" width="8" style="18" customWidth="1"/>
    <col min="43" max="43" width="15.7109375" style="18" customWidth="1"/>
    <col min="44" max="44" width="17.5703125" style="18" customWidth="1"/>
    <col min="45" max="45" width="14" style="18" customWidth="1"/>
    <col min="46" max="46" width="21.85546875" style="18" customWidth="1"/>
    <col min="47" max="16384" width="8" style="18"/>
  </cols>
  <sheetData>
    <row r="1" spans="1:47">
      <c r="A1" s="477" t="str">
        <f>COMPANY</f>
        <v>DUKE ENERGY KENTUCKY, INC.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  <c r="AB1" s="479"/>
      <c r="AC1" s="479"/>
      <c r="AD1" s="479"/>
      <c r="AE1" s="479"/>
      <c r="AF1" s="479"/>
      <c r="AG1" s="479"/>
      <c r="AH1" s="479"/>
      <c r="AI1" s="479"/>
      <c r="AJ1" s="479"/>
      <c r="AK1" s="479"/>
      <c r="AL1" s="479"/>
      <c r="AM1" s="479"/>
      <c r="AN1" s="479"/>
      <c r="AO1" s="479"/>
      <c r="AP1" s="479"/>
      <c r="AQ1" s="479"/>
      <c r="AR1" s="479"/>
      <c r="AS1" s="479"/>
      <c r="AT1" s="479"/>
      <c r="AU1" s="479"/>
    </row>
    <row r="2" spans="1:47">
      <c r="A2" s="477" t="str">
        <f>CASE</f>
        <v>CASE NO. 2017-00321</v>
      </c>
      <c r="B2" s="478"/>
      <c r="C2" s="478"/>
      <c r="D2" s="478"/>
      <c r="E2" s="480"/>
      <c r="F2" s="480"/>
      <c r="G2" s="478"/>
      <c r="H2" s="478"/>
      <c r="I2" s="478"/>
      <c r="J2" s="478"/>
      <c r="K2" s="478"/>
      <c r="L2" s="478"/>
      <c r="M2" s="478"/>
      <c r="N2" s="478"/>
      <c r="O2" s="478"/>
      <c r="P2" s="479"/>
      <c r="Q2" s="479"/>
      <c r="R2" s="479"/>
      <c r="S2" s="479"/>
      <c r="T2" s="479"/>
      <c r="U2" s="479"/>
      <c r="V2" s="479"/>
      <c r="W2" s="479"/>
      <c r="X2" s="479"/>
      <c r="Y2" s="479"/>
      <c r="Z2" s="479"/>
      <c r="AA2" s="479"/>
      <c r="AB2" s="479"/>
      <c r="AC2" s="479"/>
      <c r="AD2" s="479"/>
      <c r="AE2" s="479"/>
      <c r="AF2" s="479"/>
      <c r="AG2" s="479"/>
      <c r="AH2" s="479"/>
      <c r="AI2" s="479"/>
      <c r="AJ2" s="479"/>
      <c r="AK2" s="479"/>
      <c r="AL2" s="479"/>
      <c r="AM2" s="479"/>
      <c r="AN2" s="479"/>
      <c r="AO2" s="479"/>
      <c r="AP2" s="479"/>
      <c r="AQ2" s="479"/>
      <c r="AR2" s="479"/>
      <c r="AS2" s="479"/>
      <c r="AT2" s="479"/>
      <c r="AU2" s="479"/>
    </row>
    <row r="3" spans="1:47">
      <c r="A3" s="481" t="str">
        <f>$AG$501</f>
        <v>SUMMARY OF UTILITY JURISDICTIONAL ADJUSTMENTS TO</v>
      </c>
      <c r="B3" s="478"/>
      <c r="C3" s="478"/>
      <c r="D3" s="478"/>
      <c r="E3" s="478"/>
      <c r="F3" s="478"/>
      <c r="G3" s="478"/>
      <c r="H3" s="478"/>
      <c r="I3" s="478"/>
      <c r="J3" s="478"/>
      <c r="K3" s="478"/>
      <c r="L3" s="478"/>
      <c r="M3" s="478"/>
      <c r="N3" s="478"/>
      <c r="O3" s="478"/>
      <c r="P3" s="479"/>
      <c r="Q3" s="479"/>
      <c r="R3" s="479"/>
      <c r="S3" s="479"/>
      <c r="T3" s="479"/>
      <c r="U3" s="479"/>
      <c r="V3" s="479"/>
      <c r="W3" s="479"/>
      <c r="X3" s="479"/>
      <c r="Y3" s="479"/>
      <c r="Z3" s="479"/>
      <c r="AA3" s="479"/>
      <c r="AB3" s="479"/>
      <c r="AC3" s="479"/>
      <c r="AD3" s="479"/>
      <c r="AE3" s="479"/>
      <c r="AF3" s="479"/>
      <c r="AG3" s="479"/>
      <c r="AH3" s="479"/>
      <c r="AI3" s="479"/>
      <c r="AJ3" s="479"/>
      <c r="AK3" s="479"/>
      <c r="AL3" s="479"/>
      <c r="AM3" s="479"/>
      <c r="AN3" s="479"/>
      <c r="AO3" s="479"/>
      <c r="AP3" s="479"/>
      <c r="AQ3" s="479"/>
      <c r="AR3" s="479"/>
      <c r="AS3" s="479"/>
      <c r="AT3" s="479"/>
      <c r="AU3" s="479"/>
    </row>
    <row r="4" spans="1:47">
      <c r="A4" s="481" t="str">
        <f>$AG$502</f>
        <v>OPERATING INCOME BY MAJOR ACCOUNTS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8"/>
      <c r="M4" s="478"/>
      <c r="N4" s="478"/>
      <c r="O4" s="478"/>
      <c r="P4" s="479"/>
      <c r="Q4" s="479"/>
      <c r="R4" s="479"/>
      <c r="S4" s="479"/>
      <c r="T4" s="479"/>
      <c r="U4" s="479"/>
      <c r="V4" s="479"/>
      <c r="W4" s="479"/>
      <c r="X4" s="479"/>
      <c r="Y4" s="479"/>
      <c r="Z4" s="479"/>
      <c r="AA4" s="479"/>
      <c r="AB4" s="479"/>
      <c r="AC4" s="479"/>
      <c r="AD4" s="479"/>
      <c r="AE4" s="479"/>
      <c r="AF4" s="479"/>
      <c r="AG4" s="479"/>
      <c r="AH4" s="479"/>
      <c r="AI4" s="479"/>
      <c r="AJ4" s="479"/>
      <c r="AK4" s="479"/>
      <c r="AL4" s="479"/>
      <c r="AM4" s="479"/>
      <c r="AN4" s="479"/>
      <c r="AO4" s="479"/>
      <c r="AP4" s="479"/>
      <c r="AQ4" s="479"/>
      <c r="AR4" s="479"/>
      <c r="AS4" s="479"/>
      <c r="AT4" s="479"/>
      <c r="AU4" s="479"/>
    </row>
    <row r="5" spans="1:47">
      <c r="A5" s="482" t="s">
        <v>1423</v>
      </c>
      <c r="B5" s="478"/>
      <c r="C5" s="478"/>
      <c r="D5" s="478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478"/>
      <c r="P5" s="479"/>
      <c r="Q5" s="479"/>
      <c r="R5" s="479"/>
      <c r="S5" s="479"/>
      <c r="T5" s="479"/>
      <c r="U5" s="479"/>
      <c r="V5" s="479"/>
      <c r="W5" s="479"/>
      <c r="X5" s="479"/>
      <c r="Y5" s="479"/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</row>
    <row r="6" spans="1:47">
      <c r="A6" s="477" t="str">
        <f>PERIOD</f>
        <v>FOR THE TWELVE MONTHS ENDED NOVEMBER 30, 2017</v>
      </c>
      <c r="B6" s="478"/>
      <c r="C6" s="478"/>
      <c r="D6" s="478"/>
      <c r="E6" s="478"/>
      <c r="F6" s="478"/>
      <c r="G6" s="478"/>
      <c r="H6" s="478"/>
      <c r="I6" s="478"/>
      <c r="J6" s="478"/>
      <c r="K6" s="478"/>
      <c r="L6" s="478"/>
      <c r="M6" s="478"/>
      <c r="N6" s="478"/>
      <c r="O6" s="478"/>
      <c r="P6" s="479"/>
      <c r="Q6" s="479"/>
      <c r="R6" s="479"/>
      <c r="S6" s="479"/>
      <c r="T6" s="479"/>
      <c r="U6" s="479"/>
      <c r="V6" s="479"/>
      <c r="W6" s="479"/>
      <c r="X6" s="479"/>
      <c r="Y6" s="479"/>
      <c r="Z6" s="479"/>
      <c r="AA6" s="479"/>
      <c r="AB6" s="479"/>
      <c r="AC6" s="479"/>
      <c r="AD6" s="479"/>
      <c r="AE6" s="479"/>
      <c r="AF6" s="479"/>
      <c r="AG6" s="479"/>
      <c r="AH6" s="479"/>
      <c r="AI6" s="479"/>
      <c r="AJ6" s="479"/>
      <c r="AK6" s="479"/>
      <c r="AL6" s="479"/>
      <c r="AM6" s="479"/>
      <c r="AN6" s="479"/>
      <c r="AO6" s="479"/>
      <c r="AP6" s="479"/>
      <c r="AQ6" s="479"/>
      <c r="AR6" s="479"/>
      <c r="AS6" s="479"/>
      <c r="AT6" s="479"/>
      <c r="AU6" s="479"/>
    </row>
    <row r="7" spans="1:47">
      <c r="A7" s="479"/>
      <c r="B7" s="479"/>
      <c r="C7" s="479"/>
      <c r="D7" s="483"/>
      <c r="E7" s="479"/>
      <c r="F7" s="479"/>
      <c r="G7" s="479"/>
      <c r="H7" s="479"/>
      <c r="I7" s="479"/>
      <c r="J7" s="479"/>
      <c r="K7" s="479"/>
      <c r="L7" s="479"/>
      <c r="M7" s="479"/>
      <c r="N7" s="479"/>
      <c r="O7" s="479"/>
      <c r="P7" s="479"/>
      <c r="Q7" s="479"/>
      <c r="R7" s="479"/>
      <c r="S7" s="479"/>
      <c r="T7" s="479"/>
      <c r="U7" s="479"/>
      <c r="V7" s="479"/>
      <c r="W7" s="479"/>
      <c r="X7" s="479"/>
      <c r="Y7" s="479"/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</row>
    <row r="8" spans="1:47">
      <c r="A8" s="483" t="str">
        <f>Data</f>
        <v>DATA: "X" BASE PERIOD   FORECASTED PERIOD</v>
      </c>
      <c r="B8" s="479"/>
      <c r="C8" s="479"/>
      <c r="D8" s="479"/>
      <c r="E8" s="479"/>
      <c r="F8" s="479"/>
      <c r="G8" s="479"/>
      <c r="H8" s="479"/>
      <c r="I8" s="479"/>
      <c r="J8" s="479"/>
      <c r="K8" s="479"/>
      <c r="L8" s="479"/>
      <c r="M8" s="484" t="s">
        <v>704</v>
      </c>
      <c r="N8" s="485"/>
      <c r="O8" s="479"/>
      <c r="P8" s="479"/>
      <c r="Q8" s="479"/>
      <c r="R8" s="479"/>
      <c r="S8" s="479"/>
      <c r="T8" s="479"/>
      <c r="U8" s="479"/>
      <c r="V8" s="479"/>
      <c r="W8" s="479"/>
      <c r="X8" s="479"/>
      <c r="Y8" s="479"/>
      <c r="Z8" s="479"/>
      <c r="AA8" s="479"/>
      <c r="AB8" s="479"/>
      <c r="AC8" s="479"/>
      <c r="AD8" s="479"/>
      <c r="AE8" s="479"/>
      <c r="AF8" s="479"/>
      <c r="AG8" s="479"/>
      <c r="AH8" s="479"/>
      <c r="AI8" s="479"/>
      <c r="AJ8" s="479"/>
      <c r="AK8" s="479"/>
      <c r="AL8" s="479"/>
      <c r="AM8" s="479"/>
      <c r="AN8" s="479"/>
      <c r="AO8" s="479"/>
      <c r="AP8" s="479"/>
      <c r="AQ8" s="479"/>
      <c r="AR8" s="479"/>
      <c r="AS8" s="479"/>
      <c r="AT8" s="479"/>
      <c r="AU8" s="479"/>
    </row>
    <row r="9" spans="1:47">
      <c r="A9" s="483" t="str">
        <f>Type</f>
        <v xml:space="preserve">TYPE OF FILING:  "X" ORIGINAL   UPDATED    REVISED  </v>
      </c>
      <c r="B9" s="479"/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85" t="s">
        <v>3175</v>
      </c>
      <c r="N9" s="485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79"/>
      <c r="Z9" s="479"/>
      <c r="AA9" s="479"/>
      <c r="AB9" s="479"/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</row>
    <row r="10" spans="1:47">
      <c r="A10" s="485" t="s">
        <v>621</v>
      </c>
      <c r="B10" s="479"/>
      <c r="C10" s="479"/>
      <c r="D10" s="479"/>
      <c r="E10" s="479"/>
      <c r="F10" s="479"/>
      <c r="G10" s="479"/>
      <c r="H10" s="479"/>
      <c r="I10" s="479"/>
      <c r="J10" s="479"/>
      <c r="K10" s="479"/>
      <c r="L10" s="479"/>
      <c r="M10" s="484" t="s">
        <v>705</v>
      </c>
      <c r="N10" s="485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/>
      <c r="AP10" s="479"/>
      <c r="AQ10" s="479"/>
      <c r="AR10" s="479"/>
      <c r="AS10" s="479"/>
      <c r="AT10" s="479"/>
      <c r="AU10" s="479"/>
    </row>
    <row r="11" spans="1:47">
      <c r="A11" s="479"/>
      <c r="B11" s="479"/>
      <c r="C11" s="479"/>
      <c r="D11" s="479"/>
      <c r="E11" s="479"/>
      <c r="F11" s="479"/>
      <c r="G11" s="479"/>
      <c r="H11" s="479"/>
      <c r="I11" s="479"/>
      <c r="J11" s="479"/>
      <c r="K11" s="479"/>
      <c r="L11" s="479"/>
      <c r="M11" s="485" t="str">
        <f>"          "&amp;_WIT1</f>
        <v xml:space="preserve">          S. E. LAWLER</v>
      </c>
      <c r="N11" s="485"/>
      <c r="O11" s="479"/>
      <c r="P11" s="479"/>
      <c r="Q11" s="479"/>
      <c r="R11" s="479"/>
      <c r="S11" s="479"/>
      <c r="T11" s="479"/>
      <c r="U11" s="479"/>
      <c r="V11" s="479"/>
      <c r="W11" s="479"/>
      <c r="X11" s="479"/>
      <c r="Y11" s="479"/>
      <c r="Z11" s="479"/>
      <c r="AA11" s="479"/>
      <c r="AB11" s="479"/>
      <c r="AC11" s="479"/>
      <c r="AD11" s="479"/>
      <c r="AE11" s="479"/>
      <c r="AF11" s="479"/>
      <c r="AG11" s="479"/>
      <c r="AH11" s="479"/>
      <c r="AI11" s="479"/>
      <c r="AJ11" s="479"/>
      <c r="AK11" s="479"/>
      <c r="AL11" s="479"/>
      <c r="AM11" s="479"/>
      <c r="AN11" s="479"/>
      <c r="AO11" s="479"/>
      <c r="AP11" s="479"/>
      <c r="AQ11" s="479"/>
      <c r="AR11" s="479"/>
      <c r="AS11" s="479"/>
      <c r="AT11" s="479"/>
      <c r="AU11" s="479"/>
    </row>
    <row r="12" spans="1:47">
      <c r="A12" s="486"/>
      <c r="B12" s="486"/>
      <c r="C12" s="486"/>
      <c r="D12" s="486"/>
      <c r="E12" s="486"/>
      <c r="F12" s="486"/>
      <c r="G12" s="486"/>
      <c r="H12" s="486"/>
      <c r="I12" s="486"/>
      <c r="J12" s="486"/>
      <c r="K12" s="486"/>
      <c r="L12" s="486"/>
      <c r="M12" s="486"/>
      <c r="N12" s="486"/>
      <c r="O12" s="486"/>
      <c r="P12" s="479"/>
      <c r="Q12" s="479"/>
      <c r="R12" s="479"/>
      <c r="S12" s="479"/>
      <c r="T12" s="479"/>
      <c r="U12" s="479"/>
      <c r="V12" s="479"/>
      <c r="W12" s="479"/>
      <c r="X12" s="479"/>
      <c r="Y12" s="479"/>
      <c r="Z12" s="479"/>
      <c r="AA12" s="479"/>
      <c r="AB12" s="479"/>
      <c r="AC12" s="479"/>
      <c r="AD12" s="479"/>
      <c r="AE12" s="479"/>
      <c r="AF12" s="479"/>
      <c r="AG12" s="479"/>
      <c r="AH12" s="479"/>
      <c r="AI12" s="479"/>
      <c r="AJ12" s="479"/>
      <c r="AK12" s="479"/>
      <c r="AL12" s="479"/>
      <c r="AM12" s="479"/>
      <c r="AN12" s="479"/>
      <c r="AO12" s="479"/>
      <c r="AP12" s="479"/>
      <c r="AQ12" s="479"/>
      <c r="AR12" s="479"/>
      <c r="AS12" s="479"/>
      <c r="AT12" s="479"/>
      <c r="AU12" s="479"/>
    </row>
    <row r="13" spans="1:47">
      <c r="A13" s="479"/>
      <c r="B13" s="479"/>
      <c r="C13" s="479"/>
      <c r="D13" s="479"/>
      <c r="E13" s="1320" t="s">
        <v>1035</v>
      </c>
      <c r="F13" s="479"/>
      <c r="G13" s="487"/>
      <c r="H13" s="487"/>
      <c r="I13" s="487" t="s">
        <v>706</v>
      </c>
      <c r="J13" s="1320"/>
      <c r="K13" s="1320" t="s">
        <v>706</v>
      </c>
      <c r="L13" s="1320"/>
      <c r="M13" s="1320"/>
      <c r="N13" s="1320"/>
      <c r="O13" s="1320" t="s">
        <v>706</v>
      </c>
      <c r="P13" s="479"/>
      <c r="Q13" s="479"/>
      <c r="R13" s="479"/>
      <c r="S13" s="479"/>
      <c r="T13" s="479"/>
      <c r="U13" s="479"/>
      <c r="V13" s="479"/>
      <c r="W13" s="479"/>
      <c r="X13" s="479"/>
      <c r="Y13" s="479"/>
      <c r="Z13" s="479"/>
      <c r="AA13" s="479"/>
      <c r="AB13" s="479"/>
      <c r="AC13" s="479"/>
      <c r="AD13" s="479"/>
      <c r="AE13" s="479"/>
      <c r="AF13" s="479"/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</row>
    <row r="14" spans="1:47">
      <c r="A14" s="1320" t="s">
        <v>1961</v>
      </c>
      <c r="B14" s="479"/>
      <c r="C14" s="479"/>
      <c r="D14" s="479"/>
      <c r="E14" s="1320" t="s">
        <v>584</v>
      </c>
      <c r="F14" s="479"/>
      <c r="G14" s="487" t="s">
        <v>706</v>
      </c>
      <c r="H14" s="487"/>
      <c r="I14" s="488" t="s">
        <v>349</v>
      </c>
      <c r="J14" s="488"/>
      <c r="K14" s="1320" t="s">
        <v>1498</v>
      </c>
      <c r="L14" s="1320"/>
      <c r="M14" s="1320" t="s">
        <v>140</v>
      </c>
      <c r="N14" s="1320"/>
      <c r="O14" s="1320" t="s">
        <v>196</v>
      </c>
      <c r="P14" s="479"/>
      <c r="Q14" s="479"/>
      <c r="R14" s="479"/>
      <c r="S14" s="479"/>
      <c r="T14" s="479"/>
      <c r="U14" s="479"/>
      <c r="V14" s="479"/>
      <c r="W14" s="479"/>
      <c r="X14" s="479"/>
      <c r="Y14" s="479"/>
      <c r="Z14" s="479"/>
      <c r="AA14" s="479"/>
      <c r="AB14" s="479"/>
      <c r="AC14" s="479"/>
      <c r="AD14" s="479"/>
      <c r="AE14" s="479"/>
      <c r="AF14" s="479"/>
      <c r="AG14" s="479"/>
      <c r="AH14" s="479"/>
      <c r="AI14" s="479"/>
      <c r="AJ14" s="479"/>
      <c r="AK14" s="479"/>
      <c r="AL14" s="479"/>
      <c r="AM14" s="479"/>
      <c r="AN14" s="479"/>
      <c r="AO14" s="479"/>
      <c r="AP14" s="479"/>
      <c r="AQ14" s="479"/>
      <c r="AR14" s="479"/>
      <c r="AS14" s="479"/>
      <c r="AT14" s="479"/>
      <c r="AU14" s="479"/>
    </row>
    <row r="15" spans="1:47">
      <c r="A15" s="489" t="s">
        <v>90</v>
      </c>
      <c r="B15" s="490"/>
      <c r="C15" s="489" t="s">
        <v>26</v>
      </c>
      <c r="D15" s="490"/>
      <c r="E15" s="489" t="s">
        <v>1981</v>
      </c>
      <c r="F15" s="479"/>
      <c r="G15" s="489" t="s">
        <v>1462</v>
      </c>
      <c r="H15" s="489"/>
      <c r="I15" s="491" t="s">
        <v>420</v>
      </c>
      <c r="J15" s="491"/>
      <c r="K15" s="489" t="s">
        <v>28</v>
      </c>
      <c r="L15" s="489"/>
      <c r="M15" s="492"/>
      <c r="N15" s="489"/>
      <c r="O15" s="489" t="s">
        <v>1195</v>
      </c>
      <c r="P15" s="479"/>
      <c r="Q15" s="479"/>
      <c r="R15" s="479"/>
      <c r="S15" s="479"/>
      <c r="T15" s="479"/>
      <c r="U15" s="479"/>
      <c r="V15" s="479"/>
      <c r="W15" s="479"/>
      <c r="X15" s="479"/>
      <c r="Y15" s="479"/>
      <c r="Z15" s="479"/>
      <c r="AA15" s="479"/>
      <c r="AB15" s="479"/>
      <c r="AC15" s="479"/>
      <c r="AD15" s="479"/>
      <c r="AE15" s="479"/>
      <c r="AF15" s="479"/>
      <c r="AG15" s="479"/>
      <c r="AH15" s="479"/>
      <c r="AI15" s="479"/>
      <c r="AJ15" s="479"/>
      <c r="AK15" s="479"/>
      <c r="AL15" s="479"/>
      <c r="AM15" s="479"/>
      <c r="AN15" s="479"/>
      <c r="AO15" s="479"/>
      <c r="AP15" s="479"/>
      <c r="AQ15" s="479"/>
      <c r="AR15" s="479"/>
      <c r="AS15" s="479"/>
      <c r="AT15" s="479"/>
      <c r="AU15" s="479"/>
    </row>
    <row r="16" spans="1:47">
      <c r="A16" s="490"/>
      <c r="B16" s="490"/>
      <c r="C16" s="493" t="s">
        <v>957</v>
      </c>
      <c r="D16" s="490"/>
      <c r="E16" s="489" t="s">
        <v>2251</v>
      </c>
      <c r="F16" s="494"/>
      <c r="G16" s="489" t="s">
        <v>1196</v>
      </c>
      <c r="H16" s="489"/>
      <c r="I16" s="489" t="s">
        <v>1197</v>
      </c>
      <c r="J16" s="489"/>
      <c r="K16" s="489" t="s">
        <v>1699</v>
      </c>
      <c r="L16" s="489"/>
      <c r="M16" s="489" t="s">
        <v>171</v>
      </c>
      <c r="N16" s="489"/>
      <c r="O16" s="489" t="s">
        <v>1198</v>
      </c>
      <c r="P16" s="479"/>
      <c r="Q16" s="479"/>
      <c r="R16" s="479"/>
      <c r="S16" s="479"/>
      <c r="T16" s="479"/>
      <c r="U16" s="479"/>
      <c r="V16" s="479"/>
      <c r="W16" s="479"/>
      <c r="X16" s="479"/>
      <c r="Y16" s="479"/>
      <c r="Z16" s="479"/>
      <c r="AA16" s="479"/>
      <c r="AB16" s="479"/>
      <c r="AC16" s="479"/>
      <c r="AD16" s="479"/>
      <c r="AE16" s="479"/>
      <c r="AF16" s="479"/>
      <c r="AG16" s="479"/>
      <c r="AH16" s="479"/>
      <c r="AI16" s="479"/>
      <c r="AJ16" s="479"/>
      <c r="AK16" s="479"/>
      <c r="AL16" s="479"/>
      <c r="AM16" s="479"/>
      <c r="AN16" s="479"/>
      <c r="AO16" s="479"/>
      <c r="AP16" s="479"/>
      <c r="AQ16" s="479"/>
      <c r="AR16" s="479"/>
      <c r="AS16" s="479"/>
      <c r="AT16" s="479"/>
      <c r="AU16" s="479"/>
    </row>
    <row r="17" spans="1:47">
      <c r="A17" s="1320">
        <v>1</v>
      </c>
      <c r="B17" s="495" t="s">
        <v>1199</v>
      </c>
      <c r="C17" s="479"/>
      <c r="D17" s="479"/>
      <c r="E17" s="479"/>
      <c r="F17" s="479"/>
      <c r="G17" s="479"/>
      <c r="H17" s="479"/>
      <c r="I17" s="479"/>
      <c r="J17" s="479"/>
      <c r="K17" s="479"/>
      <c r="L17" s="479"/>
      <c r="M17" s="479"/>
      <c r="N17" s="479"/>
      <c r="O17" s="479"/>
      <c r="P17" s="479"/>
      <c r="Q17" s="479"/>
      <c r="R17" s="479"/>
      <c r="S17" s="479"/>
      <c r="T17" s="479"/>
      <c r="U17" s="479"/>
      <c r="V17" s="479"/>
      <c r="W17" s="479"/>
      <c r="X17" s="479"/>
      <c r="Y17" s="479"/>
      <c r="Z17" s="479"/>
      <c r="AA17" s="479"/>
      <c r="AB17" s="479"/>
      <c r="AC17" s="479"/>
      <c r="AD17" s="479"/>
      <c r="AE17" s="479"/>
      <c r="AF17" s="479"/>
      <c r="AG17" s="479"/>
      <c r="AH17" s="479"/>
      <c r="AI17" s="479"/>
      <c r="AJ17" s="479"/>
      <c r="AK17" s="479"/>
      <c r="AL17" s="479"/>
      <c r="AM17" s="479"/>
      <c r="AN17" s="479"/>
      <c r="AO17" s="479"/>
      <c r="AP17" s="479"/>
      <c r="AQ17" s="479"/>
      <c r="AR17" s="479"/>
      <c r="AS17" s="479"/>
      <c r="AT17" s="479"/>
      <c r="AU17" s="479"/>
    </row>
    <row r="18" spans="1:47">
      <c r="A18" s="1320">
        <v>2</v>
      </c>
      <c r="B18" s="479"/>
      <c r="C18" s="485" t="s">
        <v>1200</v>
      </c>
      <c r="D18" s="479"/>
      <c r="E18" s="496">
        <f ca="1">SUM(G18:O18)+SUM(E80:O80)+SUM(E142:O142)</f>
        <v>-1552053</v>
      </c>
      <c r="F18" s="479"/>
      <c r="G18" s="496">
        <f ca="1">SCH_C2!F17</f>
        <v>-1552053</v>
      </c>
      <c r="H18" s="496"/>
      <c r="I18" s="496"/>
      <c r="J18" s="496"/>
      <c r="K18" s="496"/>
      <c r="L18" s="496"/>
      <c r="M18" s="496"/>
      <c r="N18" s="496"/>
      <c r="O18" s="496"/>
      <c r="P18" s="479"/>
      <c r="Q18" s="479"/>
      <c r="R18" s="479"/>
      <c r="S18" s="479"/>
      <c r="T18" s="479"/>
      <c r="U18" s="479"/>
      <c r="V18" s="479"/>
      <c r="W18" s="479"/>
      <c r="X18" s="479"/>
      <c r="Y18" s="479"/>
      <c r="Z18" s="479"/>
      <c r="AA18" s="479"/>
      <c r="AB18" s="479"/>
      <c r="AC18" s="479"/>
      <c r="AD18" s="479"/>
      <c r="AE18" s="479"/>
      <c r="AF18" s="479"/>
      <c r="AG18" s="479"/>
      <c r="AH18" s="479"/>
      <c r="AI18" s="479"/>
      <c r="AJ18" s="479"/>
      <c r="AK18" s="479"/>
      <c r="AL18" s="479"/>
      <c r="AM18" s="479"/>
      <c r="AN18" s="479"/>
      <c r="AO18" s="479"/>
      <c r="AP18" s="479"/>
      <c r="AQ18" s="479"/>
      <c r="AR18" s="479"/>
      <c r="AS18" s="479"/>
      <c r="AT18" s="479"/>
      <c r="AU18" s="479"/>
    </row>
    <row r="19" spans="1:47">
      <c r="A19" s="1320">
        <v>3</v>
      </c>
      <c r="B19" s="479"/>
      <c r="C19" s="485" t="s">
        <v>1823</v>
      </c>
      <c r="D19" s="479"/>
      <c r="E19" s="496">
        <f>SUM(G19:O19)+SUM(E81:O81)+SUM(E143:O143)</f>
        <v>2798704</v>
      </c>
      <c r="F19" s="479"/>
      <c r="G19" s="496">
        <f>SCH_C2!F18</f>
        <v>2798704</v>
      </c>
      <c r="H19" s="496"/>
      <c r="I19" s="496"/>
      <c r="J19" s="496"/>
      <c r="K19" s="496"/>
      <c r="L19" s="496"/>
      <c r="M19" s="496"/>
      <c r="N19" s="496"/>
      <c r="O19" s="496"/>
      <c r="P19" s="479"/>
      <c r="Q19" s="479"/>
      <c r="R19" s="479"/>
      <c r="S19" s="479"/>
      <c r="T19" s="479"/>
      <c r="U19" s="479"/>
      <c r="V19" s="479"/>
      <c r="W19" s="479"/>
      <c r="X19" s="479"/>
      <c r="Y19" s="479"/>
      <c r="Z19" s="479"/>
      <c r="AA19" s="479"/>
      <c r="AB19" s="479"/>
      <c r="AC19" s="479"/>
      <c r="AD19" s="479"/>
      <c r="AE19" s="479"/>
      <c r="AF19" s="479"/>
      <c r="AG19" s="479"/>
      <c r="AH19" s="479"/>
      <c r="AI19" s="479"/>
      <c r="AJ19" s="479"/>
      <c r="AK19" s="479"/>
      <c r="AL19" s="479"/>
      <c r="AM19" s="479"/>
      <c r="AN19" s="479"/>
      <c r="AO19" s="479"/>
      <c r="AP19" s="479"/>
      <c r="AQ19" s="479"/>
      <c r="AR19" s="479"/>
      <c r="AS19" s="479"/>
      <c r="AT19" s="479"/>
      <c r="AU19" s="479"/>
    </row>
    <row r="20" spans="1:47">
      <c r="A20" s="1320">
        <v>4</v>
      </c>
      <c r="B20" s="479"/>
      <c r="C20" s="485" t="s">
        <v>1201</v>
      </c>
      <c r="D20" s="479"/>
      <c r="E20" s="496">
        <f ca="1">SUM(G20:O20)+SUM(E82:O82)+SUM(E144:O144)</f>
        <v>-6380035</v>
      </c>
      <c r="F20" s="479"/>
      <c r="G20" s="496">
        <f ca="1">SCH_C2!F19</f>
        <v>-6380035</v>
      </c>
      <c r="H20" s="496"/>
      <c r="I20" s="496"/>
      <c r="J20" s="496"/>
      <c r="K20" s="496"/>
      <c r="L20" s="496"/>
      <c r="M20" s="496"/>
      <c r="N20" s="496"/>
      <c r="O20" s="496"/>
      <c r="P20" s="479"/>
      <c r="Q20" s="479"/>
      <c r="R20" s="479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79"/>
    </row>
    <row r="21" spans="1:47">
      <c r="A21" s="1320">
        <v>5</v>
      </c>
      <c r="B21" s="479"/>
      <c r="C21" s="485" t="s">
        <v>1202</v>
      </c>
      <c r="D21" s="479"/>
      <c r="E21" s="497">
        <f ca="1">SUM(E18:E20)</f>
        <v>-5133384</v>
      </c>
      <c r="F21" s="479"/>
      <c r="G21" s="497">
        <f ca="1">SUM(G18:G20)</f>
        <v>-5133384</v>
      </c>
      <c r="H21" s="496"/>
      <c r="I21" s="497">
        <f>SUM(I18:I20)</f>
        <v>0</v>
      </c>
      <c r="J21" s="496"/>
      <c r="K21" s="497">
        <f>SUM(K18:K20)</f>
        <v>0</v>
      </c>
      <c r="L21" s="496"/>
      <c r="M21" s="497">
        <f>SUM(M18:M20)</f>
        <v>0</v>
      </c>
      <c r="N21" s="496"/>
      <c r="O21" s="497">
        <f>SUM(O18:O20)</f>
        <v>0</v>
      </c>
      <c r="P21" s="479"/>
      <c r="Q21" s="479"/>
      <c r="R21" s="479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79"/>
    </row>
    <row r="22" spans="1:47">
      <c r="A22" s="1320">
        <v>6</v>
      </c>
      <c r="B22" s="479"/>
      <c r="C22" s="479"/>
      <c r="D22" s="479"/>
      <c r="E22" s="498"/>
      <c r="F22" s="479"/>
      <c r="G22" s="498"/>
      <c r="H22" s="498"/>
      <c r="I22" s="498"/>
      <c r="J22" s="498"/>
      <c r="K22" s="498"/>
      <c r="L22" s="498"/>
      <c r="M22" s="498"/>
      <c r="N22" s="498"/>
      <c r="O22" s="498"/>
      <c r="P22" s="479"/>
      <c r="Q22" s="479"/>
      <c r="R22" s="479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79"/>
    </row>
    <row r="23" spans="1:47">
      <c r="A23" s="1320">
        <v>7</v>
      </c>
      <c r="B23" s="495" t="s">
        <v>1152</v>
      </c>
      <c r="C23" s="479"/>
      <c r="D23" s="479"/>
      <c r="E23" s="479"/>
      <c r="F23" s="479"/>
      <c r="G23" s="479"/>
      <c r="H23" s="479"/>
      <c r="I23" s="479"/>
      <c r="J23" s="479"/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79"/>
    </row>
    <row r="24" spans="1:47">
      <c r="A24" s="1320">
        <v>8</v>
      </c>
      <c r="B24" s="479"/>
      <c r="C24" s="485" t="s">
        <v>1203</v>
      </c>
      <c r="D24" s="479"/>
      <c r="E24" s="479"/>
      <c r="F24" s="479"/>
      <c r="G24" s="479"/>
      <c r="H24" s="479"/>
      <c r="I24" s="479"/>
      <c r="J24" s="479"/>
      <c r="K24" s="479"/>
      <c r="L24" s="479"/>
      <c r="M24" s="479"/>
      <c r="N24" s="479"/>
      <c r="O24" s="479"/>
      <c r="P24" s="479"/>
      <c r="Q24" s="479"/>
      <c r="R24" s="479"/>
      <c r="S24" s="479"/>
      <c r="T24" s="479"/>
      <c r="U24" s="479"/>
      <c r="V24" s="479"/>
      <c r="W24" s="479"/>
      <c r="X24" s="479"/>
      <c r="Y24" s="479"/>
      <c r="Z24" s="479"/>
      <c r="AA24" s="479"/>
      <c r="AB24" s="479"/>
      <c r="AC24" s="479"/>
      <c r="AD24" s="479"/>
      <c r="AE24" s="479"/>
      <c r="AF24" s="479"/>
      <c r="AG24" s="479"/>
      <c r="AH24" s="479"/>
      <c r="AI24" s="479"/>
      <c r="AJ24" s="479"/>
      <c r="AK24" s="479"/>
      <c r="AL24" s="479"/>
      <c r="AM24" s="479"/>
      <c r="AN24" s="479"/>
      <c r="AO24" s="479"/>
      <c r="AP24" s="479"/>
      <c r="AQ24" s="479"/>
      <c r="AR24" s="479"/>
      <c r="AS24" s="479"/>
      <c r="AT24" s="479"/>
      <c r="AU24" s="479"/>
    </row>
    <row r="25" spans="1:47">
      <c r="A25" s="1320">
        <v>9</v>
      </c>
      <c r="B25" s="479"/>
      <c r="C25" s="485" t="s">
        <v>257</v>
      </c>
      <c r="D25" s="479"/>
      <c r="E25" s="496"/>
      <c r="F25" s="479"/>
      <c r="G25" s="479"/>
      <c r="H25" s="479"/>
      <c r="I25" s="479"/>
      <c r="J25" s="479"/>
      <c r="K25" s="479"/>
      <c r="L25" s="479"/>
      <c r="M25" s="479"/>
      <c r="N25" s="479"/>
      <c r="O25" s="479"/>
      <c r="P25" s="479"/>
      <c r="Q25" s="479"/>
      <c r="R25" s="479"/>
      <c r="S25" s="479"/>
      <c r="T25" s="479"/>
      <c r="U25" s="479"/>
      <c r="V25" s="479"/>
      <c r="W25" s="479"/>
      <c r="X25" s="479"/>
      <c r="Y25" s="479"/>
      <c r="Z25" s="479"/>
      <c r="AA25" s="479"/>
      <c r="AB25" s="479"/>
      <c r="AC25" s="479"/>
      <c r="AD25" s="479"/>
      <c r="AE25" s="479"/>
      <c r="AF25" s="479"/>
      <c r="AG25" s="479"/>
      <c r="AH25" s="479"/>
      <c r="AI25" s="479"/>
      <c r="AJ25" s="479"/>
      <c r="AK25" s="479"/>
      <c r="AL25" s="479"/>
      <c r="AM25" s="479"/>
      <c r="AN25" s="479"/>
      <c r="AO25" s="479"/>
      <c r="AP25" s="479"/>
      <c r="AQ25" s="479"/>
      <c r="AR25" s="479"/>
      <c r="AS25" s="479"/>
      <c r="AT25" s="479"/>
      <c r="AU25" s="479"/>
    </row>
    <row r="26" spans="1:47">
      <c r="A26" s="1320">
        <v>10</v>
      </c>
      <c r="B26" s="479"/>
      <c r="C26" s="358" t="s">
        <v>348</v>
      </c>
      <c r="D26" s="479"/>
      <c r="E26" s="496">
        <f ca="1">SUM(G26:O26)+SUM(E88:O88)+SUM(E150:O150)</f>
        <v>-1284619</v>
      </c>
      <c r="F26" s="479"/>
      <c r="G26" s="496"/>
      <c r="H26" s="496"/>
      <c r="I26" s="496">
        <f ca="1">SCH_C2!F25</f>
        <v>-1284619</v>
      </c>
      <c r="J26" s="496"/>
      <c r="K26" s="496"/>
      <c r="L26" s="496"/>
      <c r="M26" s="496"/>
      <c r="N26" s="496"/>
      <c r="O26" s="496"/>
      <c r="P26" s="479"/>
      <c r="Q26" s="479"/>
      <c r="R26" s="479"/>
      <c r="S26" s="479"/>
      <c r="T26" s="479"/>
      <c r="U26" s="479"/>
      <c r="V26" s="479"/>
      <c r="W26" s="479"/>
      <c r="X26" s="479"/>
      <c r="Y26" s="479"/>
      <c r="Z26" s="479"/>
      <c r="AA26" s="479"/>
      <c r="AB26" s="479"/>
      <c r="AC26" s="479"/>
      <c r="AD26" s="479"/>
      <c r="AE26" s="479"/>
      <c r="AF26" s="479"/>
      <c r="AG26" s="479"/>
      <c r="AH26" s="479"/>
      <c r="AI26" s="479"/>
      <c r="AJ26" s="479"/>
      <c r="AK26" s="479"/>
      <c r="AL26" s="479"/>
      <c r="AM26" s="479"/>
      <c r="AN26" s="479"/>
      <c r="AO26" s="479"/>
      <c r="AP26" s="479"/>
      <c r="AQ26" s="479"/>
      <c r="AR26" s="479"/>
      <c r="AS26" s="479"/>
      <c r="AT26" s="479"/>
      <c r="AU26" s="479"/>
    </row>
    <row r="27" spans="1:47">
      <c r="A27" s="1320">
        <v>11</v>
      </c>
      <c r="B27" s="479"/>
      <c r="C27" s="485" t="s">
        <v>425</v>
      </c>
      <c r="D27" s="479"/>
      <c r="E27" s="496">
        <f ca="1">SUM(G27:O27)+SUM(E89:O89)+SUM(E151:O151)</f>
        <v>12650083</v>
      </c>
      <c r="F27" s="479"/>
      <c r="G27" s="496"/>
      <c r="H27" s="496"/>
      <c r="I27" s="496"/>
      <c r="J27" s="496"/>
      <c r="K27" s="496">
        <f ca="1">SCH_C2!F26</f>
        <v>12650083</v>
      </c>
      <c r="L27" s="496"/>
      <c r="M27" s="496"/>
      <c r="N27" s="496"/>
      <c r="O27" s="496"/>
      <c r="P27" s="479"/>
      <c r="Q27" s="479"/>
      <c r="R27" s="479"/>
      <c r="S27" s="479"/>
      <c r="T27" s="479"/>
      <c r="U27" s="479"/>
      <c r="V27" s="479"/>
      <c r="W27" s="479"/>
      <c r="X27" s="479"/>
      <c r="Y27" s="479"/>
      <c r="Z27" s="479"/>
      <c r="AA27" s="479"/>
      <c r="AB27" s="479"/>
      <c r="AC27" s="479"/>
      <c r="AD27" s="479"/>
      <c r="AE27" s="479"/>
      <c r="AF27" s="479"/>
      <c r="AG27" s="479"/>
      <c r="AH27" s="479"/>
      <c r="AI27" s="479"/>
      <c r="AJ27" s="479"/>
      <c r="AK27" s="479"/>
      <c r="AL27" s="479"/>
      <c r="AM27" s="479"/>
      <c r="AN27" s="479"/>
      <c r="AO27" s="479"/>
      <c r="AP27" s="479"/>
      <c r="AQ27" s="479"/>
      <c r="AR27" s="479"/>
      <c r="AS27" s="479"/>
      <c r="AT27" s="479"/>
      <c r="AU27" s="479"/>
    </row>
    <row r="28" spans="1:47">
      <c r="A28" s="1320">
        <v>12</v>
      </c>
      <c r="B28" s="479"/>
      <c r="C28" s="485" t="s">
        <v>1204</v>
      </c>
      <c r="D28" s="479"/>
      <c r="E28" s="499">
        <f ca="1">SUM(E25:E27)</f>
        <v>11365464</v>
      </c>
      <c r="F28" s="500"/>
      <c r="G28" s="499">
        <f>SUM(G25:G27)</f>
        <v>0</v>
      </c>
      <c r="H28" s="501"/>
      <c r="I28" s="499">
        <f ca="1">SUM(I25:I27)</f>
        <v>-1284619</v>
      </c>
      <c r="J28" s="501"/>
      <c r="K28" s="499">
        <f ca="1">SUM(K25:K27)</f>
        <v>12650083</v>
      </c>
      <c r="L28" s="501"/>
      <c r="M28" s="499">
        <f>SUM(M25:M27)</f>
        <v>0</v>
      </c>
      <c r="N28" s="501"/>
      <c r="O28" s="499">
        <f>SUM(O25:O27)</f>
        <v>0</v>
      </c>
      <c r="P28" s="479"/>
      <c r="Q28" s="479"/>
      <c r="R28" s="479"/>
      <c r="S28" s="479"/>
      <c r="T28" s="479"/>
      <c r="U28" s="479"/>
      <c r="V28" s="479"/>
      <c r="W28" s="479"/>
      <c r="X28" s="479"/>
      <c r="Y28" s="479"/>
      <c r="Z28" s="479"/>
      <c r="AA28" s="479"/>
      <c r="AB28" s="479"/>
      <c r="AC28" s="479"/>
      <c r="AD28" s="479"/>
      <c r="AE28" s="479"/>
      <c r="AF28" s="479"/>
      <c r="AG28" s="479"/>
      <c r="AH28" s="479"/>
      <c r="AI28" s="479"/>
      <c r="AJ28" s="479"/>
      <c r="AK28" s="479"/>
      <c r="AL28" s="479"/>
      <c r="AM28" s="479"/>
      <c r="AN28" s="479"/>
      <c r="AO28" s="479"/>
      <c r="AP28" s="479"/>
      <c r="AQ28" s="479"/>
      <c r="AR28" s="479"/>
      <c r="AS28" s="479"/>
      <c r="AT28" s="479"/>
      <c r="AU28" s="479"/>
    </row>
    <row r="29" spans="1:47">
      <c r="A29" s="1320">
        <v>13</v>
      </c>
      <c r="B29" s="479"/>
      <c r="C29" s="485"/>
      <c r="D29" s="479"/>
      <c r="E29" s="498"/>
      <c r="F29" s="479"/>
      <c r="G29" s="501"/>
      <c r="H29" s="496"/>
      <c r="I29" s="501"/>
      <c r="J29" s="496"/>
      <c r="K29" s="501"/>
      <c r="L29" s="496"/>
      <c r="M29" s="501"/>
      <c r="N29" s="496"/>
      <c r="O29" s="501"/>
      <c r="P29" s="479"/>
      <c r="Q29" s="479"/>
      <c r="R29" s="479"/>
      <c r="S29" s="479"/>
      <c r="T29" s="479"/>
      <c r="U29" s="479"/>
      <c r="V29" s="479"/>
      <c r="W29" s="479"/>
      <c r="X29" s="479"/>
      <c r="Y29" s="479"/>
      <c r="Z29" s="479"/>
      <c r="AA29" s="479"/>
      <c r="AB29" s="479"/>
      <c r="AC29" s="479"/>
      <c r="AD29" s="479"/>
      <c r="AE29" s="479"/>
      <c r="AF29" s="479"/>
      <c r="AG29" s="479"/>
      <c r="AH29" s="479"/>
      <c r="AI29" s="479"/>
      <c r="AJ29" s="479"/>
      <c r="AK29" s="479"/>
      <c r="AL29" s="479"/>
      <c r="AM29" s="479"/>
      <c r="AN29" s="479"/>
      <c r="AO29" s="479"/>
      <c r="AP29" s="479"/>
      <c r="AQ29" s="479"/>
      <c r="AR29" s="479"/>
      <c r="AS29" s="479"/>
      <c r="AT29" s="479"/>
      <c r="AU29" s="479"/>
    </row>
    <row r="30" spans="1:47">
      <c r="A30" s="1320">
        <v>14</v>
      </c>
      <c r="B30" s="479"/>
      <c r="C30" s="485" t="s">
        <v>197</v>
      </c>
      <c r="D30" s="479"/>
      <c r="E30" s="496">
        <f t="shared" ref="E30:E37" ca="1" si="0">SUM(G30:O30)+SUM(E92:O92)+SUM(E154:O154)</f>
        <v>919747</v>
      </c>
      <c r="F30" s="479"/>
      <c r="G30" s="498"/>
      <c r="H30" s="498"/>
      <c r="I30" s="498"/>
      <c r="J30" s="498"/>
      <c r="K30" s="498"/>
      <c r="L30" s="498"/>
      <c r="M30" s="498"/>
      <c r="N30" s="498"/>
      <c r="O30" s="496">
        <f ca="1">SCH_C2!F29</f>
        <v>919747</v>
      </c>
      <c r="P30" s="479"/>
      <c r="Q30" s="479"/>
      <c r="R30" s="479"/>
      <c r="S30" s="479"/>
      <c r="T30" s="479"/>
      <c r="U30" s="479"/>
      <c r="V30" s="479"/>
      <c r="W30" s="479"/>
      <c r="X30" s="479"/>
      <c r="Y30" s="479"/>
      <c r="Z30" s="479"/>
      <c r="AA30" s="479"/>
      <c r="AB30" s="479"/>
      <c r="AC30" s="479"/>
      <c r="AD30" s="479"/>
      <c r="AE30" s="479"/>
      <c r="AF30" s="479"/>
      <c r="AG30" s="479"/>
      <c r="AH30" s="479"/>
      <c r="AI30" s="479"/>
      <c r="AJ30" s="479"/>
      <c r="AK30" s="479"/>
      <c r="AL30" s="479"/>
      <c r="AM30" s="479"/>
      <c r="AN30" s="479"/>
      <c r="AO30" s="479"/>
      <c r="AP30" s="479"/>
      <c r="AQ30" s="479"/>
      <c r="AR30" s="479"/>
      <c r="AS30" s="479"/>
      <c r="AT30" s="479"/>
      <c r="AU30" s="479"/>
    </row>
    <row r="31" spans="1:47">
      <c r="A31" s="1320">
        <v>15</v>
      </c>
      <c r="B31" s="479"/>
      <c r="C31" s="485" t="s">
        <v>2252</v>
      </c>
      <c r="D31" s="479"/>
      <c r="E31" s="496">
        <f t="shared" ca="1" si="0"/>
        <v>79447</v>
      </c>
      <c r="F31" s="479"/>
      <c r="G31" s="498"/>
      <c r="H31" s="498"/>
      <c r="I31" s="498"/>
      <c r="J31" s="498"/>
      <c r="K31" s="498"/>
      <c r="L31" s="498"/>
      <c r="M31" s="498"/>
      <c r="N31" s="498"/>
      <c r="O31" s="496"/>
      <c r="P31" s="479"/>
      <c r="Q31" s="479"/>
      <c r="R31" s="479"/>
      <c r="S31" s="479"/>
      <c r="T31" s="479"/>
      <c r="U31" s="479"/>
      <c r="V31" s="479"/>
      <c r="W31" s="479"/>
      <c r="X31" s="479"/>
      <c r="Y31" s="479"/>
      <c r="Z31" s="479"/>
      <c r="AA31" s="479"/>
      <c r="AB31" s="479"/>
      <c r="AC31" s="479"/>
      <c r="AD31" s="479"/>
      <c r="AE31" s="479"/>
      <c r="AF31" s="479"/>
      <c r="AG31" s="479"/>
      <c r="AH31" s="479"/>
      <c r="AI31" s="479"/>
      <c r="AJ31" s="479"/>
      <c r="AK31" s="479"/>
      <c r="AL31" s="479"/>
      <c r="AM31" s="479"/>
      <c r="AN31" s="479"/>
      <c r="AO31" s="479"/>
      <c r="AP31" s="479"/>
      <c r="AQ31" s="479"/>
      <c r="AR31" s="479"/>
      <c r="AS31" s="479"/>
      <c r="AT31" s="479"/>
      <c r="AU31" s="479"/>
    </row>
    <row r="32" spans="1:47">
      <c r="A32" s="1320">
        <v>16</v>
      </c>
      <c r="B32" s="479"/>
      <c r="C32" s="485" t="s">
        <v>1205</v>
      </c>
      <c r="D32" s="479"/>
      <c r="E32" s="496">
        <f t="shared" ca="1" si="0"/>
        <v>-43555</v>
      </c>
      <c r="F32" s="479"/>
      <c r="G32" s="496"/>
      <c r="H32" s="496"/>
      <c r="I32" s="496"/>
      <c r="J32" s="496"/>
      <c r="K32" s="496"/>
      <c r="L32" s="496"/>
      <c r="M32" s="496"/>
      <c r="N32" s="496"/>
      <c r="O32" s="496"/>
      <c r="P32" s="479"/>
      <c r="Q32" s="479"/>
      <c r="R32" s="479"/>
      <c r="S32" s="479"/>
      <c r="T32" s="479"/>
      <c r="U32" s="479"/>
      <c r="V32" s="479"/>
      <c r="W32" s="479"/>
      <c r="X32" s="479"/>
      <c r="Y32" s="479"/>
      <c r="Z32" s="479"/>
      <c r="AA32" s="479"/>
      <c r="AB32" s="479"/>
      <c r="AC32" s="479"/>
      <c r="AD32" s="479"/>
      <c r="AE32" s="479"/>
      <c r="AF32" s="479"/>
      <c r="AG32" s="479"/>
      <c r="AH32" s="479"/>
      <c r="AI32" s="479"/>
      <c r="AJ32" s="479"/>
      <c r="AK32" s="479"/>
      <c r="AL32" s="479"/>
      <c r="AM32" s="479"/>
      <c r="AN32" s="479"/>
      <c r="AO32" s="479"/>
      <c r="AP32" s="479"/>
      <c r="AQ32" s="479"/>
      <c r="AR32" s="479"/>
      <c r="AS32" s="479"/>
      <c r="AT32" s="479"/>
      <c r="AU32" s="479"/>
    </row>
    <row r="33" spans="1:47">
      <c r="A33" s="1320">
        <v>17</v>
      </c>
      <c r="B33" s="479"/>
      <c r="C33" s="485" t="s">
        <v>1206</v>
      </c>
      <c r="D33" s="479"/>
      <c r="E33" s="496">
        <f t="shared" ca="1" si="0"/>
        <v>671968</v>
      </c>
      <c r="F33" s="479"/>
      <c r="G33" s="496"/>
      <c r="H33" s="496"/>
      <c r="I33" s="496"/>
      <c r="J33" s="496"/>
      <c r="K33" s="496"/>
      <c r="L33" s="496"/>
      <c r="M33" s="496"/>
      <c r="N33" s="496"/>
      <c r="O33" s="496"/>
      <c r="P33" s="479"/>
      <c r="Q33" s="479"/>
      <c r="R33" s="479"/>
      <c r="S33" s="479"/>
      <c r="T33" s="479"/>
      <c r="U33" s="479"/>
      <c r="V33" s="479"/>
      <c r="W33" s="479"/>
      <c r="X33" s="479"/>
      <c r="Y33" s="479"/>
      <c r="Z33" s="479"/>
      <c r="AA33" s="479"/>
      <c r="AB33" s="479"/>
      <c r="AC33" s="479"/>
      <c r="AD33" s="479"/>
      <c r="AE33" s="479"/>
      <c r="AF33" s="479"/>
      <c r="AG33" s="479"/>
      <c r="AH33" s="479"/>
      <c r="AI33" s="479"/>
      <c r="AJ33" s="479"/>
      <c r="AK33" s="479"/>
      <c r="AL33" s="479"/>
      <c r="AM33" s="479"/>
      <c r="AN33" s="479"/>
      <c r="AO33" s="479"/>
      <c r="AP33" s="479"/>
      <c r="AQ33" s="479"/>
      <c r="AR33" s="479"/>
      <c r="AS33" s="479"/>
      <c r="AT33" s="479"/>
      <c r="AU33" s="479"/>
    </row>
    <row r="34" spans="1:47">
      <c r="A34" s="1320">
        <v>18</v>
      </c>
      <c r="B34" s="479"/>
      <c r="C34" s="485" t="s">
        <v>1207</v>
      </c>
      <c r="D34" s="479"/>
      <c r="E34" s="496">
        <f t="shared" ca="1" si="0"/>
        <v>183121</v>
      </c>
      <c r="F34" s="479"/>
      <c r="G34" s="496"/>
      <c r="H34" s="496"/>
      <c r="I34" s="496"/>
      <c r="J34" s="496"/>
      <c r="K34" s="496"/>
      <c r="L34" s="496"/>
      <c r="M34" s="496"/>
      <c r="N34" s="496"/>
      <c r="O34" s="496"/>
      <c r="P34" s="479"/>
      <c r="Q34" s="479"/>
      <c r="R34" s="479"/>
      <c r="S34" s="479"/>
      <c r="T34" s="479"/>
      <c r="U34" s="479"/>
      <c r="V34" s="479"/>
      <c r="W34" s="479"/>
      <c r="X34" s="479"/>
      <c r="Y34" s="479"/>
      <c r="Z34" s="479"/>
      <c r="AA34" s="479"/>
      <c r="AB34" s="479"/>
      <c r="AC34" s="479"/>
      <c r="AD34" s="479"/>
      <c r="AE34" s="479"/>
      <c r="AF34" s="479"/>
      <c r="AG34" s="479"/>
      <c r="AH34" s="479"/>
      <c r="AI34" s="479"/>
      <c r="AJ34" s="479"/>
      <c r="AK34" s="479"/>
      <c r="AL34" s="479"/>
      <c r="AM34" s="479"/>
      <c r="AN34" s="479"/>
      <c r="AO34" s="479"/>
      <c r="AP34" s="479"/>
      <c r="AQ34" s="479"/>
      <c r="AR34" s="479"/>
      <c r="AS34" s="479"/>
      <c r="AT34" s="479"/>
      <c r="AU34" s="479"/>
    </row>
    <row r="35" spans="1:47">
      <c r="A35" s="1320">
        <v>19</v>
      </c>
      <c r="B35" s="479"/>
      <c r="C35" s="485" t="s">
        <v>784</v>
      </c>
      <c r="D35" s="479"/>
      <c r="E35" s="496">
        <f t="shared" ca="1" si="0"/>
        <v>-151501</v>
      </c>
      <c r="F35" s="479"/>
      <c r="G35" s="496"/>
      <c r="H35" s="496"/>
      <c r="I35" s="496"/>
      <c r="J35" s="496"/>
      <c r="K35" s="496"/>
      <c r="L35" s="496"/>
      <c r="M35" s="496"/>
      <c r="N35" s="496"/>
      <c r="O35" s="496"/>
      <c r="P35" s="479"/>
      <c r="Q35" s="479"/>
      <c r="R35" s="479"/>
      <c r="S35" s="479"/>
      <c r="T35" s="479"/>
      <c r="U35" s="479"/>
      <c r="V35" s="479"/>
      <c r="W35" s="479"/>
      <c r="X35" s="479"/>
      <c r="Y35" s="479"/>
      <c r="Z35" s="479"/>
      <c r="AA35" s="479"/>
      <c r="AB35" s="479"/>
      <c r="AC35" s="479"/>
      <c r="AD35" s="479"/>
      <c r="AE35" s="479"/>
      <c r="AF35" s="479"/>
      <c r="AG35" s="479"/>
      <c r="AH35" s="479"/>
      <c r="AI35" s="479"/>
      <c r="AJ35" s="479"/>
      <c r="AK35" s="479"/>
      <c r="AL35" s="479"/>
      <c r="AM35" s="479"/>
      <c r="AN35" s="479"/>
      <c r="AO35" s="479"/>
      <c r="AP35" s="479"/>
      <c r="AQ35" s="479"/>
      <c r="AR35" s="479"/>
      <c r="AS35" s="479"/>
      <c r="AT35" s="479"/>
      <c r="AU35" s="479"/>
    </row>
    <row r="36" spans="1:47">
      <c r="A36" s="1320">
        <v>20</v>
      </c>
      <c r="B36" s="479"/>
      <c r="C36" s="485" t="s">
        <v>1837</v>
      </c>
      <c r="D36" s="479"/>
      <c r="E36" s="496">
        <f t="shared" ca="1" si="0"/>
        <v>-1497124</v>
      </c>
      <c r="F36" s="479"/>
      <c r="G36" s="496"/>
      <c r="H36" s="496"/>
      <c r="I36" s="496"/>
      <c r="J36" s="496"/>
      <c r="K36" s="479"/>
      <c r="L36" s="496"/>
      <c r="M36" s="496"/>
      <c r="N36" s="496"/>
      <c r="O36" s="496"/>
      <c r="P36" s="479"/>
      <c r="Q36" s="479"/>
      <c r="R36" s="479"/>
      <c r="S36" s="479"/>
      <c r="T36" s="479"/>
      <c r="U36" s="479"/>
      <c r="V36" s="479"/>
      <c r="W36" s="479"/>
      <c r="X36" s="479"/>
      <c r="Y36" s="479"/>
      <c r="Z36" s="479"/>
      <c r="AA36" s="479"/>
      <c r="AB36" s="479"/>
      <c r="AC36" s="479"/>
      <c r="AD36" s="479"/>
      <c r="AE36" s="479"/>
      <c r="AF36" s="479"/>
      <c r="AG36" s="479"/>
      <c r="AH36" s="479"/>
      <c r="AI36" s="479"/>
      <c r="AJ36" s="479"/>
      <c r="AK36" s="479"/>
      <c r="AL36" s="479"/>
      <c r="AM36" s="479"/>
      <c r="AN36" s="479"/>
      <c r="AO36" s="479"/>
      <c r="AP36" s="479"/>
      <c r="AQ36" s="479"/>
      <c r="AR36" s="479"/>
      <c r="AS36" s="479"/>
      <c r="AT36" s="479"/>
      <c r="AU36" s="479"/>
    </row>
    <row r="37" spans="1:47">
      <c r="A37" s="1320">
        <v>21</v>
      </c>
      <c r="B37" s="479"/>
      <c r="C37" s="485" t="s">
        <v>1698</v>
      </c>
      <c r="D37" s="479"/>
      <c r="E37" s="496">
        <f t="shared" si="0"/>
        <v>2680605</v>
      </c>
      <c r="F37" s="479"/>
      <c r="G37" s="496"/>
      <c r="H37" s="496"/>
      <c r="I37" s="496"/>
      <c r="J37" s="496"/>
      <c r="K37" s="479"/>
      <c r="L37" s="496"/>
      <c r="M37" s="496"/>
      <c r="N37" s="496"/>
      <c r="O37" s="496"/>
      <c r="P37" s="479"/>
      <c r="Q37" s="479"/>
      <c r="R37" s="479"/>
      <c r="S37" s="479"/>
      <c r="T37" s="479"/>
      <c r="U37" s="479"/>
      <c r="V37" s="479"/>
      <c r="W37" s="479"/>
      <c r="X37" s="479"/>
      <c r="Y37" s="479"/>
      <c r="Z37" s="479"/>
      <c r="AA37" s="479"/>
      <c r="AB37" s="479"/>
      <c r="AC37" s="479"/>
      <c r="AD37" s="479"/>
      <c r="AE37" s="479"/>
      <c r="AF37" s="479"/>
      <c r="AG37" s="479"/>
      <c r="AH37" s="479"/>
      <c r="AI37" s="479"/>
      <c r="AJ37" s="479"/>
      <c r="AK37" s="479"/>
      <c r="AL37" s="479"/>
      <c r="AM37" s="479"/>
      <c r="AN37" s="479"/>
      <c r="AO37" s="479"/>
      <c r="AP37" s="479"/>
      <c r="AQ37" s="479"/>
      <c r="AR37" s="479"/>
      <c r="AS37" s="479"/>
      <c r="AT37" s="479"/>
      <c r="AU37" s="479"/>
    </row>
    <row r="38" spans="1:47">
      <c r="A38" s="1320">
        <v>22</v>
      </c>
      <c r="B38" s="479"/>
      <c r="C38" s="485" t="s">
        <v>1838</v>
      </c>
      <c r="D38" s="479"/>
      <c r="E38" s="497">
        <f ca="1">E28+SUM(E30:E37)</f>
        <v>14208172</v>
      </c>
      <c r="F38" s="479"/>
      <c r="G38" s="497">
        <f>G28+SUM(G30:G37)</f>
        <v>0</v>
      </c>
      <c r="H38" s="496"/>
      <c r="I38" s="497">
        <f ca="1">I28+SUM(I30:I37)</f>
        <v>-1284619</v>
      </c>
      <c r="J38" s="496"/>
      <c r="K38" s="497">
        <f ca="1">K28+SUM(K30:K37)</f>
        <v>12650083</v>
      </c>
      <c r="L38" s="496"/>
      <c r="M38" s="497">
        <f>M28+SUM(M30:M37)</f>
        <v>0</v>
      </c>
      <c r="N38" s="496"/>
      <c r="O38" s="497">
        <f ca="1">O28+SUM(O30:O37)</f>
        <v>919747</v>
      </c>
      <c r="P38" s="479"/>
      <c r="Q38" s="479"/>
      <c r="R38" s="479"/>
      <c r="S38" s="479"/>
      <c r="T38" s="479"/>
      <c r="U38" s="479"/>
      <c r="V38" s="479"/>
      <c r="W38" s="479"/>
      <c r="X38" s="479"/>
      <c r="Y38" s="479"/>
      <c r="Z38" s="479"/>
      <c r="AA38" s="479"/>
      <c r="AB38" s="479"/>
      <c r="AC38" s="479"/>
      <c r="AD38" s="479"/>
      <c r="AE38" s="479"/>
      <c r="AF38" s="479"/>
      <c r="AG38" s="479"/>
      <c r="AH38" s="479"/>
      <c r="AI38" s="479"/>
      <c r="AJ38" s="479"/>
      <c r="AK38" s="479"/>
      <c r="AL38" s="479"/>
      <c r="AM38" s="479"/>
      <c r="AN38" s="479"/>
      <c r="AO38" s="479"/>
      <c r="AP38" s="479"/>
      <c r="AQ38" s="479"/>
      <c r="AR38" s="479"/>
      <c r="AS38" s="479"/>
      <c r="AT38" s="479"/>
      <c r="AU38" s="479"/>
    </row>
    <row r="39" spans="1:47">
      <c r="A39" s="1320">
        <v>23</v>
      </c>
      <c r="B39" s="479"/>
      <c r="C39" s="479"/>
      <c r="D39" s="479"/>
      <c r="E39" s="498"/>
      <c r="F39" s="479"/>
      <c r="G39" s="498"/>
      <c r="H39" s="498"/>
      <c r="I39" s="498"/>
      <c r="J39" s="498"/>
      <c r="K39" s="498"/>
      <c r="L39" s="498"/>
      <c r="M39" s="498"/>
      <c r="N39" s="498"/>
      <c r="O39" s="498"/>
      <c r="P39" s="479"/>
      <c r="Q39" s="479"/>
      <c r="R39" s="479"/>
      <c r="S39" s="479"/>
      <c r="T39" s="479"/>
      <c r="U39" s="479"/>
      <c r="V39" s="479"/>
      <c r="W39" s="479"/>
      <c r="X39" s="479"/>
      <c r="Y39" s="479"/>
      <c r="Z39" s="479"/>
      <c r="AA39" s="479"/>
      <c r="AB39" s="479"/>
      <c r="AC39" s="479"/>
      <c r="AD39" s="479"/>
      <c r="AE39" s="479"/>
      <c r="AF39" s="479"/>
      <c r="AG39" s="479"/>
      <c r="AH39" s="479"/>
      <c r="AI39" s="479"/>
      <c r="AJ39" s="479"/>
      <c r="AK39" s="479"/>
      <c r="AL39" s="479"/>
      <c r="AM39" s="479"/>
      <c r="AN39" s="479"/>
      <c r="AO39" s="479"/>
      <c r="AP39" s="479"/>
      <c r="AQ39" s="479"/>
      <c r="AR39" s="479"/>
      <c r="AS39" s="479"/>
      <c r="AT39" s="479"/>
      <c r="AU39" s="479"/>
    </row>
    <row r="40" spans="1:47">
      <c r="A40" s="1320">
        <v>24</v>
      </c>
      <c r="B40" s="479"/>
      <c r="C40" s="485" t="s">
        <v>1839</v>
      </c>
      <c r="D40" s="479"/>
      <c r="E40" s="502">
        <f ca="1">SUM(G40:O40)+SUM(E102:O102)+SUM(E164:O164)</f>
        <v>9166332</v>
      </c>
      <c r="F40" s="479"/>
      <c r="G40" s="502">
        <v>0</v>
      </c>
      <c r="H40" s="496"/>
      <c r="I40" s="502">
        <v>0</v>
      </c>
      <c r="J40" s="496"/>
      <c r="K40" s="502">
        <v>0</v>
      </c>
      <c r="L40" s="496"/>
      <c r="M40" s="502">
        <v>0</v>
      </c>
      <c r="N40" s="496"/>
      <c r="O40" s="502">
        <v>0</v>
      </c>
      <c r="P40" s="479"/>
      <c r="Q40" s="479"/>
      <c r="R40" s="479"/>
      <c r="S40" s="479"/>
      <c r="T40" s="479"/>
      <c r="U40" s="479"/>
      <c r="V40" s="479"/>
      <c r="W40" s="479"/>
      <c r="X40" s="479"/>
      <c r="Y40" s="479"/>
      <c r="Z40" s="479"/>
      <c r="AA40" s="479"/>
      <c r="AB40" s="479"/>
      <c r="AC40" s="479"/>
      <c r="AD40" s="479"/>
      <c r="AE40" s="479"/>
      <c r="AF40" s="479"/>
      <c r="AG40" s="479"/>
      <c r="AH40" s="479"/>
      <c r="AI40" s="479"/>
      <c r="AJ40" s="479"/>
      <c r="AK40" s="479"/>
      <c r="AL40" s="479"/>
      <c r="AM40" s="479"/>
      <c r="AN40" s="479"/>
      <c r="AO40" s="479"/>
      <c r="AP40" s="479"/>
      <c r="AQ40" s="479"/>
      <c r="AR40" s="479"/>
      <c r="AS40" s="479"/>
      <c r="AT40" s="479"/>
      <c r="AU40" s="479"/>
    </row>
    <row r="41" spans="1:47">
      <c r="A41" s="1320">
        <v>25</v>
      </c>
      <c r="B41" s="479"/>
      <c r="C41" s="479"/>
      <c r="D41" s="479"/>
      <c r="E41" s="498"/>
      <c r="F41" s="479"/>
      <c r="G41" s="498"/>
      <c r="H41" s="498"/>
      <c r="I41" s="498"/>
      <c r="J41" s="498"/>
      <c r="K41" s="498"/>
      <c r="L41" s="498"/>
      <c r="M41" s="498"/>
      <c r="N41" s="498"/>
      <c r="O41" s="498"/>
      <c r="P41" s="479"/>
      <c r="Q41" s="479"/>
      <c r="R41" s="479"/>
      <c r="S41" s="479"/>
      <c r="T41" s="479"/>
      <c r="U41" s="479"/>
      <c r="V41" s="479"/>
      <c r="W41" s="479"/>
      <c r="X41" s="479"/>
      <c r="Y41" s="479"/>
      <c r="Z41" s="479"/>
      <c r="AA41" s="479"/>
      <c r="AB41" s="479"/>
      <c r="AC41" s="479"/>
      <c r="AD41" s="479"/>
      <c r="AE41" s="479"/>
      <c r="AF41" s="479"/>
      <c r="AG41" s="479"/>
      <c r="AH41" s="479"/>
      <c r="AI41" s="479"/>
      <c r="AJ41" s="479"/>
      <c r="AK41" s="479"/>
      <c r="AL41" s="479"/>
      <c r="AM41" s="479"/>
      <c r="AN41" s="479"/>
      <c r="AO41" s="479"/>
      <c r="AP41" s="479"/>
      <c r="AQ41" s="479"/>
      <c r="AR41" s="479"/>
      <c r="AS41" s="479"/>
      <c r="AT41" s="479"/>
      <c r="AU41" s="479"/>
    </row>
    <row r="42" spans="1:47">
      <c r="A42" s="1320">
        <v>26</v>
      </c>
      <c r="B42" s="479"/>
      <c r="C42" s="485" t="s">
        <v>1932</v>
      </c>
      <c r="D42" s="479"/>
      <c r="E42" s="479"/>
      <c r="F42" s="479"/>
      <c r="G42" s="479"/>
      <c r="H42" s="479"/>
      <c r="I42" s="479"/>
      <c r="J42" s="479"/>
      <c r="K42" s="479"/>
      <c r="L42" s="479"/>
      <c r="M42" s="479"/>
      <c r="N42" s="479"/>
      <c r="O42" s="479"/>
      <c r="P42" s="479"/>
      <c r="Q42" s="479"/>
      <c r="R42" s="479"/>
      <c r="S42" s="479"/>
      <c r="T42" s="479"/>
      <c r="U42" s="503"/>
      <c r="V42" s="503"/>
      <c r="W42" s="479"/>
      <c r="X42" s="479"/>
      <c r="Y42" s="479"/>
      <c r="Z42" s="479"/>
      <c r="AA42" s="479"/>
      <c r="AB42" s="479"/>
      <c r="AC42" s="479"/>
      <c r="AD42" s="479"/>
      <c r="AE42" s="479"/>
      <c r="AF42" s="479"/>
      <c r="AG42" s="479"/>
      <c r="AH42" s="479"/>
      <c r="AI42" s="479"/>
      <c r="AJ42" s="479"/>
      <c r="AK42" s="479"/>
      <c r="AL42" s="479"/>
      <c r="AM42" s="479"/>
      <c r="AN42" s="479"/>
      <c r="AO42" s="479"/>
      <c r="AP42" s="479"/>
      <c r="AQ42" s="479"/>
      <c r="AR42" s="479"/>
      <c r="AS42" s="479"/>
      <c r="AT42" s="479"/>
      <c r="AU42" s="479"/>
    </row>
    <row r="43" spans="1:47">
      <c r="A43" s="1320">
        <v>27</v>
      </c>
      <c r="B43" s="479"/>
      <c r="C43" s="485" t="s">
        <v>1840</v>
      </c>
      <c r="D43" s="479"/>
      <c r="E43" s="496">
        <f>SUM(G43:O43)+SUM(E105:O105)+SUM(E167:O167)</f>
        <v>5147</v>
      </c>
      <c r="F43" s="479"/>
      <c r="G43" s="496"/>
      <c r="H43" s="496"/>
      <c r="I43" s="496"/>
      <c r="J43" s="496"/>
      <c r="K43" s="496"/>
      <c r="L43" s="496"/>
      <c r="M43" s="496"/>
      <c r="N43" s="496"/>
      <c r="O43" s="496"/>
      <c r="P43" s="479"/>
      <c r="Q43" s="479"/>
      <c r="R43" s="479"/>
      <c r="S43" s="479"/>
      <c r="T43" s="479"/>
      <c r="U43" s="503"/>
      <c r="V43" s="503"/>
      <c r="W43" s="479"/>
      <c r="X43" s="479"/>
      <c r="Y43" s="479"/>
      <c r="Z43" s="479"/>
      <c r="AA43" s="479"/>
      <c r="AB43" s="479"/>
      <c r="AC43" s="479"/>
      <c r="AD43" s="479"/>
      <c r="AE43" s="479"/>
      <c r="AF43" s="479"/>
      <c r="AG43" s="479"/>
      <c r="AH43" s="479"/>
      <c r="AI43" s="479"/>
      <c r="AJ43" s="479"/>
      <c r="AK43" s="479"/>
      <c r="AL43" s="479"/>
      <c r="AM43" s="479"/>
      <c r="AN43" s="479"/>
      <c r="AO43" s="479"/>
      <c r="AP43" s="479"/>
      <c r="AQ43" s="479"/>
      <c r="AR43" s="479"/>
      <c r="AS43" s="479"/>
      <c r="AT43" s="479"/>
      <c r="AU43" s="479"/>
    </row>
    <row r="44" spans="1:47">
      <c r="A44" s="1320">
        <v>28</v>
      </c>
      <c r="B44" s="479"/>
      <c r="C44" s="485" t="s">
        <v>1841</v>
      </c>
      <c r="D44" s="479"/>
      <c r="E44" s="496">
        <f>SUM(G44:O44)+SUM(E106:O106)+SUM(E168:O168)</f>
        <v>2100462</v>
      </c>
      <c r="F44" s="479"/>
      <c r="G44" s="496"/>
      <c r="H44" s="496"/>
      <c r="I44" s="496"/>
      <c r="J44" s="496"/>
      <c r="K44" s="496"/>
      <c r="L44" s="496"/>
      <c r="M44" s="496"/>
      <c r="N44" s="496"/>
      <c r="O44" s="496"/>
      <c r="P44" s="479"/>
      <c r="Q44" s="479"/>
      <c r="R44" s="479"/>
      <c r="S44" s="479"/>
      <c r="T44" s="479"/>
      <c r="U44" s="479"/>
      <c r="V44" s="479"/>
      <c r="W44" s="479"/>
      <c r="X44" s="479"/>
      <c r="Y44" s="479"/>
      <c r="Z44" s="479"/>
      <c r="AA44" s="479"/>
      <c r="AB44" s="479"/>
      <c r="AC44" s="479"/>
      <c r="AD44" s="479"/>
      <c r="AE44" s="479"/>
      <c r="AF44" s="479"/>
      <c r="AG44" s="479"/>
      <c r="AH44" s="479"/>
      <c r="AI44" s="479"/>
      <c r="AJ44" s="479"/>
      <c r="AK44" s="479"/>
      <c r="AL44" s="479"/>
      <c r="AM44" s="479"/>
      <c r="AN44" s="479"/>
      <c r="AO44" s="479"/>
      <c r="AP44" s="479"/>
      <c r="AQ44" s="479"/>
      <c r="AR44" s="479"/>
      <c r="AS44" s="479"/>
      <c r="AT44" s="479"/>
      <c r="AU44" s="479"/>
    </row>
    <row r="45" spans="1:47">
      <c r="A45" s="1320">
        <v>29</v>
      </c>
      <c r="B45" s="479"/>
      <c r="C45" s="485" t="s">
        <v>1842</v>
      </c>
      <c r="D45" s="479"/>
      <c r="E45" s="497">
        <f>SUM(E43:E44)</f>
        <v>2105609</v>
      </c>
      <c r="F45" s="479"/>
      <c r="G45" s="497">
        <f>SUM(G43:G44)</f>
        <v>0</v>
      </c>
      <c r="H45" s="496"/>
      <c r="I45" s="497">
        <f>SUM(I43:I44)</f>
        <v>0</v>
      </c>
      <c r="J45" s="496"/>
      <c r="K45" s="497">
        <f>SUM(K43:K44)</f>
        <v>0</v>
      </c>
      <c r="L45" s="496"/>
      <c r="M45" s="497">
        <f>SUM(M43:M44)</f>
        <v>0</v>
      </c>
      <c r="N45" s="496"/>
      <c r="O45" s="497">
        <f>SUM(O43:O44)</f>
        <v>0</v>
      </c>
      <c r="P45" s="479"/>
      <c r="Q45" s="479"/>
      <c r="R45" s="479"/>
      <c r="S45" s="479"/>
      <c r="T45" s="479"/>
      <c r="U45" s="479"/>
      <c r="V45" s="504"/>
      <c r="W45" s="479"/>
      <c r="X45" s="479"/>
      <c r="Y45" s="479"/>
      <c r="Z45" s="479"/>
      <c r="AA45" s="479"/>
      <c r="AB45" s="479"/>
      <c r="AC45" s="479"/>
      <c r="AD45" s="479"/>
      <c r="AE45" s="479"/>
      <c r="AF45" s="479"/>
      <c r="AG45" s="479"/>
      <c r="AH45" s="479"/>
      <c r="AI45" s="479"/>
      <c r="AJ45" s="479"/>
      <c r="AK45" s="479"/>
      <c r="AL45" s="479"/>
      <c r="AM45" s="479"/>
      <c r="AN45" s="479"/>
      <c r="AO45" s="479"/>
      <c r="AP45" s="479"/>
      <c r="AQ45" s="479"/>
      <c r="AR45" s="479"/>
      <c r="AS45" s="479"/>
      <c r="AT45" s="479"/>
      <c r="AU45" s="479"/>
    </row>
    <row r="46" spans="1:47">
      <c r="A46" s="1320">
        <v>30</v>
      </c>
      <c r="B46" s="479"/>
      <c r="C46" s="485"/>
      <c r="D46" s="479"/>
      <c r="E46" s="498"/>
      <c r="F46" s="479"/>
      <c r="G46" s="501"/>
      <c r="H46" s="496"/>
      <c r="I46" s="501"/>
      <c r="J46" s="496"/>
      <c r="K46" s="501"/>
      <c r="L46" s="496"/>
      <c r="M46" s="501"/>
      <c r="N46" s="496"/>
      <c r="O46" s="501"/>
      <c r="P46" s="479"/>
      <c r="Q46" s="479"/>
      <c r="R46" s="479"/>
      <c r="S46" s="479"/>
      <c r="T46" s="479"/>
      <c r="U46" s="479"/>
      <c r="V46" s="479"/>
      <c r="W46" s="479"/>
      <c r="X46" s="479"/>
      <c r="Y46" s="479"/>
      <c r="Z46" s="479"/>
      <c r="AA46" s="479"/>
      <c r="AB46" s="479"/>
      <c r="AC46" s="479"/>
      <c r="AD46" s="479"/>
      <c r="AE46" s="479"/>
      <c r="AF46" s="479"/>
      <c r="AG46" s="479"/>
      <c r="AH46" s="479"/>
      <c r="AI46" s="479"/>
      <c r="AJ46" s="479"/>
      <c r="AK46" s="479"/>
      <c r="AL46" s="479"/>
      <c r="AM46" s="479"/>
      <c r="AN46" s="479"/>
      <c r="AO46" s="479"/>
      <c r="AP46" s="479"/>
      <c r="AQ46" s="479"/>
      <c r="AR46" s="479"/>
      <c r="AS46" s="479"/>
      <c r="AT46" s="479"/>
      <c r="AU46" s="479"/>
    </row>
    <row r="47" spans="1:47">
      <c r="A47" s="1320">
        <v>31</v>
      </c>
      <c r="B47" s="479"/>
      <c r="C47" s="485" t="s">
        <v>1843</v>
      </c>
      <c r="D47" s="479"/>
      <c r="E47" s="479"/>
      <c r="F47" s="479"/>
      <c r="G47" s="479"/>
      <c r="H47" s="479"/>
      <c r="I47" s="479"/>
      <c r="J47" s="479"/>
      <c r="K47" s="479"/>
      <c r="L47" s="479"/>
      <c r="M47" s="479"/>
      <c r="N47" s="479"/>
      <c r="O47" s="479"/>
      <c r="P47" s="479"/>
      <c r="Q47" s="479"/>
      <c r="R47" s="479"/>
      <c r="S47" s="479"/>
      <c r="T47" s="479"/>
      <c r="U47" s="479"/>
      <c r="V47" s="479"/>
      <c r="W47" s="479"/>
      <c r="X47" s="479"/>
      <c r="Y47" s="479"/>
      <c r="Z47" s="479"/>
      <c r="AA47" s="479"/>
      <c r="AB47" s="479"/>
      <c r="AC47" s="479"/>
      <c r="AD47" s="479"/>
      <c r="AE47" s="479"/>
      <c r="AF47" s="479"/>
      <c r="AG47" s="479"/>
      <c r="AH47" s="479"/>
      <c r="AI47" s="479"/>
      <c r="AJ47" s="479"/>
      <c r="AK47" s="479"/>
      <c r="AL47" s="479"/>
      <c r="AM47" s="479"/>
      <c r="AN47" s="479"/>
      <c r="AO47" s="479"/>
      <c r="AP47" s="479"/>
      <c r="AQ47" s="479"/>
      <c r="AR47" s="479"/>
      <c r="AS47" s="479"/>
      <c r="AT47" s="479"/>
      <c r="AU47" s="479"/>
    </row>
    <row r="48" spans="1:47">
      <c r="A48" s="1320">
        <v>32</v>
      </c>
      <c r="B48" s="479"/>
      <c r="C48" s="485" t="s">
        <v>910</v>
      </c>
      <c r="D48" s="479"/>
      <c r="E48" s="496">
        <f ca="1">SUM(G48:O48)+SUM(E110:O110)+SUM(E172:O172)</f>
        <v>338500</v>
      </c>
      <c r="F48" s="479"/>
      <c r="G48" s="496">
        <f ca="1">ROUND((G21-G38-G40-G45)*SIT*APPORT,0)</f>
        <v>-274390</v>
      </c>
      <c r="H48" s="496"/>
      <c r="I48" s="496">
        <f ca="1">ROUND((I21-I38-I40-I45)*SIT*APPORT,0)</f>
        <v>68665</v>
      </c>
      <c r="J48" s="496"/>
      <c r="K48" s="496">
        <f ca="1">ROUND((K21-K38-K40-K45)*SIT*APPORT,0)</f>
        <v>-676172</v>
      </c>
      <c r="L48" s="496"/>
      <c r="M48" s="496">
        <f>ROUND((M21-M38-M40-M45)*SIT*APPORT,0)</f>
        <v>0</v>
      </c>
      <c r="N48" s="496"/>
      <c r="O48" s="496">
        <f ca="1">ROUND((O21-O38-O40-O45)*SIT*APPORT,0)</f>
        <v>-49162</v>
      </c>
      <c r="P48" s="479"/>
      <c r="Q48" s="479"/>
      <c r="R48" s="479"/>
      <c r="S48" s="479"/>
      <c r="T48" s="479"/>
      <c r="U48" s="479"/>
      <c r="V48" s="479"/>
      <c r="W48" s="504"/>
      <c r="X48" s="479"/>
      <c r="Y48" s="479"/>
      <c r="Z48" s="479"/>
      <c r="AA48" s="479"/>
      <c r="AB48" s="479"/>
      <c r="AC48" s="479"/>
      <c r="AD48" s="479"/>
      <c r="AE48" s="479"/>
      <c r="AF48" s="479"/>
      <c r="AG48" s="479"/>
      <c r="AH48" s="479"/>
      <c r="AI48" s="479"/>
      <c r="AJ48" s="479"/>
      <c r="AK48" s="479"/>
      <c r="AL48" s="479"/>
      <c r="AM48" s="479"/>
      <c r="AN48" s="479"/>
      <c r="AO48" s="479"/>
      <c r="AP48" s="479"/>
      <c r="AQ48" s="479"/>
      <c r="AR48" s="479"/>
      <c r="AS48" s="479"/>
      <c r="AT48" s="479"/>
      <c r="AU48" s="479"/>
    </row>
    <row r="49" spans="1:47">
      <c r="A49" s="1320">
        <v>33</v>
      </c>
      <c r="B49" s="479"/>
      <c r="C49" s="485" t="s">
        <v>1800</v>
      </c>
      <c r="D49" s="479"/>
      <c r="E49" s="496">
        <f ca="1">SUM(G49:O49)+SUM(E111:O111)+SUM(E173:O173)</f>
        <v>-2269312.154492442</v>
      </c>
      <c r="F49" s="479"/>
      <c r="G49" s="496"/>
      <c r="H49" s="496"/>
      <c r="I49" s="496"/>
      <c r="J49" s="496"/>
      <c r="K49" s="496"/>
      <c r="L49" s="496"/>
      <c r="M49" s="496"/>
      <c r="N49" s="496"/>
      <c r="O49" s="496"/>
      <c r="P49" s="479"/>
      <c r="Q49" s="479"/>
      <c r="R49" s="479"/>
      <c r="S49" s="479"/>
      <c r="T49" s="479"/>
      <c r="U49" s="479"/>
      <c r="V49" s="479"/>
      <c r="W49" s="479"/>
      <c r="X49" s="479"/>
      <c r="Y49" s="479"/>
      <c r="Z49" s="479"/>
      <c r="AA49" s="479"/>
      <c r="AB49" s="479"/>
      <c r="AC49" s="479"/>
      <c r="AD49" s="479"/>
      <c r="AE49" s="479"/>
      <c r="AF49" s="479"/>
      <c r="AG49" s="479"/>
      <c r="AH49" s="479"/>
      <c r="AI49" s="479"/>
      <c r="AJ49" s="479"/>
      <c r="AK49" s="479"/>
      <c r="AL49" s="479"/>
      <c r="AM49" s="479"/>
      <c r="AN49" s="479"/>
      <c r="AO49" s="479"/>
      <c r="AP49" s="479"/>
      <c r="AQ49" s="479"/>
      <c r="AR49" s="479"/>
      <c r="AS49" s="479"/>
      <c r="AT49" s="479"/>
      <c r="AU49" s="479"/>
    </row>
    <row r="50" spans="1:47">
      <c r="A50" s="1320">
        <v>34</v>
      </c>
      <c r="B50" s="479"/>
      <c r="C50" s="485" t="s">
        <v>1848</v>
      </c>
      <c r="D50" s="479"/>
      <c r="E50" s="497">
        <f ca="1">SUM(E48:E49)</f>
        <v>-1930812.154492442</v>
      </c>
      <c r="F50" s="479"/>
      <c r="G50" s="497">
        <f ca="1">SUM(G48:G49)</f>
        <v>-274390</v>
      </c>
      <c r="H50" s="496"/>
      <c r="I50" s="497">
        <f ca="1">SUM(I48:I49)</f>
        <v>68665</v>
      </c>
      <c r="J50" s="496"/>
      <c r="K50" s="497">
        <f ca="1">SUM(K48:K49)</f>
        <v>-676172</v>
      </c>
      <c r="L50" s="496"/>
      <c r="M50" s="497">
        <f>SUM(M48:M49)</f>
        <v>0</v>
      </c>
      <c r="N50" s="496"/>
      <c r="O50" s="497">
        <f ca="1">SUM(O48:O49)</f>
        <v>-49162</v>
      </c>
      <c r="P50" s="479"/>
      <c r="Q50" s="479"/>
      <c r="R50" s="479"/>
      <c r="S50" s="479"/>
      <c r="T50" s="479"/>
      <c r="U50" s="479"/>
      <c r="V50" s="479"/>
      <c r="W50" s="479"/>
      <c r="X50" s="479"/>
      <c r="Y50" s="479"/>
      <c r="Z50" s="479"/>
      <c r="AA50" s="479"/>
      <c r="AB50" s="479"/>
      <c r="AC50" s="479"/>
      <c r="AD50" s="479"/>
      <c r="AE50" s="479"/>
      <c r="AF50" s="479"/>
      <c r="AG50" s="479"/>
      <c r="AH50" s="479"/>
      <c r="AI50" s="479"/>
      <c r="AJ50" s="479"/>
      <c r="AK50" s="479"/>
      <c r="AL50" s="479"/>
      <c r="AM50" s="479"/>
      <c r="AN50" s="479"/>
      <c r="AO50" s="479"/>
      <c r="AP50" s="479"/>
      <c r="AQ50" s="479"/>
      <c r="AR50" s="479"/>
      <c r="AS50" s="479"/>
      <c r="AT50" s="479"/>
      <c r="AU50" s="479"/>
    </row>
    <row r="51" spans="1:47">
      <c r="A51" s="1320">
        <v>35</v>
      </c>
      <c r="B51" s="479"/>
      <c r="C51" s="479"/>
      <c r="D51" s="479"/>
      <c r="E51" s="498"/>
      <c r="F51" s="479"/>
      <c r="G51" s="498"/>
      <c r="H51" s="498"/>
      <c r="I51" s="498"/>
      <c r="J51" s="498"/>
      <c r="K51" s="498"/>
      <c r="L51" s="498"/>
      <c r="M51" s="498"/>
      <c r="N51" s="498"/>
      <c r="O51" s="498"/>
      <c r="P51" s="479"/>
      <c r="Q51" s="479"/>
      <c r="R51" s="479"/>
      <c r="S51" s="479"/>
      <c r="T51" s="479"/>
      <c r="U51" s="479"/>
      <c r="V51" s="479"/>
      <c r="W51" s="479"/>
      <c r="X51" s="479"/>
      <c r="Y51" s="479"/>
      <c r="Z51" s="479"/>
      <c r="AA51" s="479"/>
      <c r="AB51" s="479"/>
      <c r="AC51" s="479"/>
      <c r="AD51" s="479"/>
      <c r="AE51" s="479"/>
      <c r="AF51" s="479"/>
      <c r="AG51" s="479"/>
      <c r="AH51" s="479"/>
      <c r="AI51" s="479"/>
      <c r="AJ51" s="479"/>
      <c r="AK51" s="479"/>
      <c r="AL51" s="479"/>
      <c r="AM51" s="479"/>
      <c r="AN51" s="479"/>
      <c r="AO51" s="479"/>
      <c r="AP51" s="479"/>
      <c r="AQ51" s="479"/>
      <c r="AR51" s="479"/>
      <c r="AS51" s="479"/>
      <c r="AT51" s="479"/>
      <c r="AU51" s="479"/>
    </row>
    <row r="52" spans="1:47">
      <c r="A52" s="1320">
        <v>36</v>
      </c>
      <c r="B52" s="479"/>
      <c r="C52" s="485" t="s">
        <v>379</v>
      </c>
      <c r="D52" s="479"/>
      <c r="E52" s="479"/>
      <c r="F52" s="479"/>
      <c r="G52" s="479"/>
      <c r="H52" s="479"/>
      <c r="I52" s="479"/>
      <c r="J52" s="479"/>
      <c r="K52" s="479"/>
      <c r="L52" s="479"/>
      <c r="M52" s="479"/>
      <c r="N52" s="479"/>
      <c r="O52" s="479"/>
      <c r="P52" s="479"/>
      <c r="Q52" s="479"/>
      <c r="R52" s="479"/>
      <c r="S52" s="479"/>
      <c r="T52" s="479"/>
      <c r="U52" s="479"/>
      <c r="V52" s="479"/>
      <c r="W52" s="479"/>
      <c r="X52" s="479"/>
      <c r="Y52" s="479"/>
      <c r="Z52" s="479"/>
      <c r="AA52" s="479"/>
      <c r="AB52" s="479"/>
      <c r="AC52" s="479"/>
      <c r="AD52" s="479"/>
      <c r="AE52" s="479"/>
      <c r="AF52" s="479"/>
      <c r="AG52" s="479"/>
      <c r="AH52" s="479"/>
      <c r="AI52" s="479"/>
      <c r="AJ52" s="479"/>
      <c r="AK52" s="479"/>
      <c r="AL52" s="479"/>
      <c r="AM52" s="479"/>
      <c r="AN52" s="479"/>
      <c r="AO52" s="479"/>
      <c r="AP52" s="479"/>
      <c r="AQ52" s="479"/>
      <c r="AR52" s="479"/>
      <c r="AS52" s="479"/>
      <c r="AT52" s="479"/>
      <c r="AU52" s="479"/>
    </row>
    <row r="53" spans="1:47">
      <c r="A53" s="1320">
        <v>37</v>
      </c>
      <c r="B53" s="479"/>
      <c r="C53" s="485" t="s">
        <v>910</v>
      </c>
      <c r="D53" s="479"/>
      <c r="E53" s="496">
        <f ca="1">SUM(G53:O53)+SUM(E115:O115)+SUM(E177:O177)</f>
        <v>-1289121</v>
      </c>
      <c r="F53" s="479"/>
      <c r="G53" s="496">
        <f ca="1">ROUND((G21-G38-G40-G45-G48)*FIT,0)</f>
        <v>-1700648</v>
      </c>
      <c r="H53" s="496"/>
      <c r="I53" s="496">
        <f ca="1">ROUND((I21-I38-I40-I45-I48)*FIT,0)</f>
        <v>425584</v>
      </c>
      <c r="J53" s="496"/>
      <c r="K53" s="496">
        <f ca="1">ROUND((K21-K38-K40-K45-K48)*FIT,0)</f>
        <v>-4190869</v>
      </c>
      <c r="L53" s="496"/>
      <c r="M53" s="496">
        <f>ROUND((M21-M38-M40-M45-M48)*FIT,0)</f>
        <v>0</v>
      </c>
      <c r="N53" s="496"/>
      <c r="O53" s="496">
        <f ca="1">ROUND((O21-O38-O40-O45-O48)*FIT,0)</f>
        <v>-304705</v>
      </c>
      <c r="P53" s="479"/>
      <c r="Q53" s="479"/>
      <c r="R53" s="479"/>
      <c r="S53" s="479"/>
      <c r="T53" s="479"/>
      <c r="U53" s="479"/>
      <c r="V53" s="479"/>
      <c r="W53" s="479"/>
      <c r="X53" s="504"/>
      <c r="Y53" s="479"/>
      <c r="Z53" s="479"/>
      <c r="AA53" s="479"/>
      <c r="AB53" s="479"/>
      <c r="AC53" s="479"/>
      <c r="AD53" s="479"/>
      <c r="AE53" s="479"/>
      <c r="AF53" s="479"/>
      <c r="AG53" s="479"/>
      <c r="AH53" s="479"/>
      <c r="AI53" s="479"/>
      <c r="AJ53" s="479"/>
      <c r="AK53" s="479"/>
      <c r="AL53" s="479"/>
      <c r="AM53" s="479"/>
      <c r="AN53" s="479"/>
      <c r="AO53" s="479"/>
      <c r="AP53" s="479"/>
      <c r="AQ53" s="479"/>
      <c r="AR53" s="479"/>
      <c r="AS53" s="479"/>
      <c r="AT53" s="479"/>
      <c r="AU53" s="479"/>
    </row>
    <row r="54" spans="1:47">
      <c r="A54" s="1320">
        <v>38</v>
      </c>
      <c r="B54" s="479"/>
      <c r="C54" s="485" t="s">
        <v>1800</v>
      </c>
      <c r="D54" s="479"/>
      <c r="E54" s="496">
        <f ca="1">SUM(G54:O54)+SUM(E116:O116)+SUM(E178:O178)</f>
        <v>-10218968.845507558</v>
      </c>
      <c r="F54" s="479"/>
      <c r="G54" s="496"/>
      <c r="H54" s="496"/>
      <c r="I54" s="496"/>
      <c r="J54" s="496"/>
      <c r="K54" s="496"/>
      <c r="L54" s="496"/>
      <c r="M54" s="496"/>
      <c r="N54" s="496"/>
      <c r="O54" s="496"/>
      <c r="P54" s="479"/>
      <c r="Q54" s="479"/>
      <c r="R54" s="479"/>
      <c r="S54" s="479"/>
      <c r="T54" s="479"/>
      <c r="U54" s="479"/>
      <c r="V54" s="479"/>
      <c r="W54" s="479"/>
      <c r="X54" s="479"/>
      <c r="Y54" s="479"/>
      <c r="Z54" s="479"/>
      <c r="AA54" s="479"/>
      <c r="AB54" s="479"/>
      <c r="AC54" s="479"/>
      <c r="AD54" s="479"/>
      <c r="AE54" s="479"/>
      <c r="AF54" s="479"/>
      <c r="AG54" s="479"/>
      <c r="AH54" s="479"/>
      <c r="AI54" s="479"/>
      <c r="AJ54" s="479"/>
      <c r="AK54" s="479"/>
      <c r="AL54" s="479"/>
      <c r="AM54" s="479"/>
      <c r="AN54" s="479"/>
      <c r="AO54" s="479"/>
      <c r="AP54" s="479"/>
      <c r="AQ54" s="479"/>
      <c r="AR54" s="479"/>
      <c r="AS54" s="479"/>
      <c r="AT54" s="479"/>
      <c r="AU54" s="479"/>
    </row>
    <row r="55" spans="1:47">
      <c r="A55" s="1320">
        <v>39</v>
      </c>
      <c r="B55" s="479"/>
      <c r="C55" s="485" t="s">
        <v>1021</v>
      </c>
      <c r="D55" s="479"/>
      <c r="E55" s="496">
        <f>SUM(G55:O55)+SUM(E117:O117)+SUM(E179:O179)</f>
        <v>634</v>
      </c>
      <c r="F55" s="479"/>
      <c r="G55" s="496"/>
      <c r="H55" s="496"/>
      <c r="I55" s="496"/>
      <c r="J55" s="496"/>
      <c r="K55" s="496"/>
      <c r="L55" s="496"/>
      <c r="M55" s="496"/>
      <c r="N55" s="496"/>
      <c r="O55" s="496"/>
      <c r="P55" s="479"/>
      <c r="Q55" s="479"/>
      <c r="R55" s="479"/>
      <c r="S55" s="479"/>
      <c r="T55" s="479"/>
      <c r="U55" s="479"/>
      <c r="V55" s="479"/>
      <c r="W55" s="479"/>
      <c r="X55" s="479"/>
      <c r="Y55" s="479"/>
      <c r="Z55" s="479"/>
      <c r="AA55" s="479"/>
      <c r="AB55" s="479"/>
      <c r="AC55" s="479"/>
      <c r="AD55" s="479"/>
      <c r="AE55" s="479"/>
      <c r="AF55" s="479"/>
      <c r="AG55" s="479"/>
      <c r="AH55" s="479"/>
      <c r="AI55" s="479"/>
      <c r="AJ55" s="479"/>
      <c r="AK55" s="479"/>
      <c r="AL55" s="479"/>
      <c r="AM55" s="479"/>
      <c r="AN55" s="479"/>
      <c r="AO55" s="479"/>
      <c r="AP55" s="479"/>
      <c r="AQ55" s="479"/>
      <c r="AR55" s="479"/>
      <c r="AS55" s="479"/>
      <c r="AT55" s="479"/>
      <c r="AU55" s="479"/>
    </row>
    <row r="56" spans="1:47">
      <c r="A56" s="1320">
        <v>40</v>
      </c>
      <c r="B56" s="479"/>
      <c r="C56" s="485" t="s">
        <v>1850</v>
      </c>
      <c r="D56" s="479"/>
      <c r="E56" s="497">
        <f ca="1">SUM(E53:E55)</f>
        <v>-11507455.845507558</v>
      </c>
      <c r="F56" s="479"/>
      <c r="G56" s="497">
        <f ca="1">SUM(G53:G55)</f>
        <v>-1700648</v>
      </c>
      <c r="H56" s="496"/>
      <c r="I56" s="497">
        <f ca="1">SUM(I53:I55)</f>
        <v>425584</v>
      </c>
      <c r="J56" s="496"/>
      <c r="K56" s="497">
        <f ca="1">SUM(K53:K55)</f>
        <v>-4190869</v>
      </c>
      <c r="L56" s="496"/>
      <c r="M56" s="497">
        <f>SUM(M53:M55)</f>
        <v>0</v>
      </c>
      <c r="N56" s="496"/>
      <c r="O56" s="497">
        <f ca="1">SUM(O53:O55)</f>
        <v>-304705</v>
      </c>
      <c r="P56" s="479"/>
      <c r="Q56" s="479"/>
      <c r="R56" s="479"/>
      <c r="S56" s="479"/>
      <c r="T56" s="479"/>
      <c r="U56" s="479"/>
      <c r="V56" s="479"/>
      <c r="W56" s="479"/>
      <c r="X56" s="479"/>
      <c r="Y56" s="479"/>
      <c r="Z56" s="479"/>
      <c r="AA56" s="479"/>
      <c r="AB56" s="479"/>
      <c r="AC56" s="479"/>
      <c r="AD56" s="479"/>
      <c r="AE56" s="479"/>
      <c r="AF56" s="479"/>
      <c r="AG56" s="479"/>
      <c r="AH56" s="479"/>
      <c r="AI56" s="479"/>
      <c r="AJ56" s="479"/>
      <c r="AK56" s="479"/>
      <c r="AL56" s="479"/>
      <c r="AM56" s="479"/>
      <c r="AN56" s="479"/>
      <c r="AO56" s="479"/>
      <c r="AP56" s="479"/>
      <c r="AQ56" s="479"/>
      <c r="AR56" s="479"/>
      <c r="AS56" s="479"/>
      <c r="AT56" s="479"/>
      <c r="AU56" s="479"/>
    </row>
    <row r="57" spans="1:47">
      <c r="A57" s="1320">
        <v>41</v>
      </c>
      <c r="B57" s="479"/>
      <c r="C57" s="479"/>
      <c r="D57" s="479"/>
      <c r="E57" s="498"/>
      <c r="F57" s="479"/>
      <c r="G57" s="498"/>
      <c r="H57" s="498"/>
      <c r="I57" s="498"/>
      <c r="J57" s="498"/>
      <c r="K57" s="498"/>
      <c r="L57" s="498"/>
      <c r="M57" s="498"/>
      <c r="N57" s="498"/>
      <c r="O57" s="498"/>
      <c r="P57" s="479"/>
      <c r="Q57" s="479"/>
      <c r="R57" s="479"/>
      <c r="S57" s="479"/>
      <c r="T57" s="479"/>
      <c r="U57" s="479"/>
      <c r="V57" s="479"/>
      <c r="W57" s="479"/>
      <c r="X57" s="479"/>
      <c r="Y57" s="479"/>
      <c r="Z57" s="479"/>
      <c r="AA57" s="479"/>
      <c r="AB57" s="479"/>
      <c r="AC57" s="479"/>
      <c r="AD57" s="479"/>
      <c r="AE57" s="479"/>
      <c r="AF57" s="479"/>
      <c r="AG57" s="479"/>
      <c r="AH57" s="479"/>
      <c r="AI57" s="479"/>
      <c r="AJ57" s="479"/>
      <c r="AK57" s="479"/>
      <c r="AL57" s="479"/>
      <c r="AM57" s="479"/>
      <c r="AN57" s="479"/>
      <c r="AO57" s="479"/>
      <c r="AP57" s="479"/>
      <c r="AQ57" s="479"/>
      <c r="AR57" s="479"/>
      <c r="AS57" s="479"/>
      <c r="AT57" s="479"/>
      <c r="AU57" s="479"/>
    </row>
    <row r="58" spans="1:47">
      <c r="A58" s="1320">
        <v>42</v>
      </c>
      <c r="B58" s="479"/>
      <c r="C58" s="485" t="s">
        <v>1851</v>
      </c>
      <c r="D58" s="479"/>
      <c r="E58" s="502">
        <f ca="1">E38+E40+E45+E50+E56</f>
        <v>12041845</v>
      </c>
      <c r="F58" s="479"/>
      <c r="G58" s="502">
        <f ca="1">G38+G40+G45+G50+G56</f>
        <v>-1975038</v>
      </c>
      <c r="H58" s="496"/>
      <c r="I58" s="502">
        <f ca="1">I38+I40+I45+I50+I56</f>
        <v>-790370</v>
      </c>
      <c r="J58" s="496"/>
      <c r="K58" s="502">
        <f ca="1">K38+K40+K45+K50+K56</f>
        <v>7783042</v>
      </c>
      <c r="L58" s="496"/>
      <c r="M58" s="502">
        <f>M38+M40+M45+M50+M56</f>
        <v>0</v>
      </c>
      <c r="N58" s="496"/>
      <c r="O58" s="502">
        <f ca="1">O38+O40+O45+O50+O56</f>
        <v>565880</v>
      </c>
      <c r="P58" s="479"/>
      <c r="Q58" s="479"/>
      <c r="R58" s="479"/>
      <c r="S58" s="479"/>
      <c r="T58" s="479"/>
      <c r="U58" s="479"/>
      <c r="V58" s="479"/>
      <c r="W58" s="479"/>
      <c r="X58" s="479"/>
      <c r="Y58" s="479"/>
      <c r="Z58" s="479"/>
      <c r="AA58" s="479"/>
      <c r="AB58" s="479"/>
      <c r="AC58" s="479"/>
      <c r="AD58" s="479"/>
      <c r="AE58" s="479"/>
      <c r="AF58" s="479"/>
      <c r="AG58" s="479"/>
      <c r="AH58" s="479"/>
      <c r="AI58" s="479"/>
      <c r="AJ58" s="479"/>
      <c r="AK58" s="479"/>
      <c r="AL58" s="479"/>
      <c r="AM58" s="479"/>
      <c r="AN58" s="479"/>
      <c r="AO58" s="479"/>
      <c r="AP58" s="479"/>
      <c r="AQ58" s="479"/>
      <c r="AR58" s="479"/>
      <c r="AS58" s="479"/>
      <c r="AT58" s="479"/>
      <c r="AU58" s="479"/>
    </row>
    <row r="59" spans="1:47">
      <c r="A59" s="1320">
        <v>43</v>
      </c>
      <c r="B59" s="479"/>
      <c r="C59" s="479"/>
      <c r="D59" s="479"/>
      <c r="E59" s="498"/>
      <c r="F59" s="479"/>
      <c r="G59" s="498"/>
      <c r="H59" s="498"/>
      <c r="I59" s="498"/>
      <c r="J59" s="498"/>
      <c r="K59" s="498"/>
      <c r="L59" s="498"/>
      <c r="M59" s="498"/>
      <c r="N59" s="498"/>
      <c r="O59" s="498"/>
      <c r="P59" s="479"/>
      <c r="Q59" s="479"/>
      <c r="R59" s="479"/>
      <c r="S59" s="479"/>
      <c r="T59" s="479"/>
      <c r="U59" s="479"/>
      <c r="V59" s="479"/>
      <c r="W59" s="479"/>
      <c r="X59" s="479"/>
      <c r="Y59" s="479"/>
      <c r="Z59" s="479"/>
      <c r="AA59" s="479"/>
      <c r="AB59" s="479"/>
      <c r="AC59" s="479"/>
      <c r="AD59" s="479"/>
      <c r="AE59" s="479"/>
      <c r="AF59" s="479"/>
      <c r="AG59" s="479"/>
      <c r="AH59" s="479"/>
      <c r="AI59" s="479"/>
      <c r="AJ59" s="479"/>
      <c r="AK59" s="479"/>
      <c r="AL59" s="479"/>
      <c r="AM59" s="479"/>
      <c r="AN59" s="479"/>
      <c r="AO59" s="479"/>
      <c r="AP59" s="479"/>
      <c r="AQ59" s="479"/>
      <c r="AR59" s="479"/>
      <c r="AS59" s="479"/>
      <c r="AT59" s="479"/>
      <c r="AU59" s="479"/>
    </row>
    <row r="60" spans="1:47" ht="13.5" thickBot="1">
      <c r="A60" s="1320">
        <v>44</v>
      </c>
      <c r="B60" s="479"/>
      <c r="C60" s="485" t="s">
        <v>1492</v>
      </c>
      <c r="D60" s="479"/>
      <c r="E60" s="505">
        <f ca="1">E21-E58</f>
        <v>-17175229</v>
      </c>
      <c r="F60" s="479"/>
      <c r="G60" s="505">
        <f ca="1">G21-G58</f>
        <v>-3158346</v>
      </c>
      <c r="H60" s="496"/>
      <c r="I60" s="505">
        <f ca="1">I21-I58</f>
        <v>790370</v>
      </c>
      <c r="J60" s="496"/>
      <c r="K60" s="505">
        <f ca="1">K21-K58</f>
        <v>-7783042</v>
      </c>
      <c r="L60" s="496"/>
      <c r="M60" s="505">
        <f>M21-M58</f>
        <v>0</v>
      </c>
      <c r="N60" s="496"/>
      <c r="O60" s="505">
        <f ca="1">O21-O58</f>
        <v>-565880</v>
      </c>
      <c r="P60" s="479"/>
      <c r="Q60" s="479"/>
      <c r="R60" s="479"/>
      <c r="S60" s="479"/>
      <c r="T60" s="479"/>
      <c r="U60" s="479"/>
      <c r="V60" s="479"/>
      <c r="W60" s="479"/>
      <c r="X60" s="479"/>
      <c r="Y60" s="479"/>
      <c r="Z60" s="479"/>
      <c r="AA60" s="479"/>
      <c r="AB60" s="479"/>
      <c r="AC60" s="479"/>
      <c r="AD60" s="479"/>
      <c r="AE60" s="479"/>
      <c r="AF60" s="479"/>
      <c r="AG60" s="479"/>
      <c r="AH60" s="479"/>
      <c r="AI60" s="479"/>
      <c r="AJ60" s="479"/>
      <c r="AK60" s="479"/>
      <c r="AL60" s="479"/>
      <c r="AM60" s="479"/>
      <c r="AN60" s="479"/>
      <c r="AO60" s="479"/>
      <c r="AP60" s="479"/>
      <c r="AQ60" s="479"/>
      <c r="AR60" s="479"/>
      <c r="AS60" s="479"/>
      <c r="AT60" s="479"/>
      <c r="AU60" s="479"/>
    </row>
    <row r="61" spans="1:47" ht="13.5" thickTop="1">
      <c r="A61" s="479"/>
      <c r="B61" s="479"/>
      <c r="C61" s="479"/>
      <c r="D61" s="479"/>
      <c r="E61" s="506">
        <f ca="1">IF(ISERR(ROUND((E50+E56)/(E60+E50+E56),4)=TRUE)," ",ROUND((E50+E56)/(E60+E50+E56),4))</f>
        <v>0.439</v>
      </c>
      <c r="F61" s="479"/>
      <c r="G61" s="506">
        <f ca="1">IF(ISERR(ROUND((G50+G56)/(G60+G50+G56),4)=TRUE)," ",ROUND((G50+G56)/(G60+G50+G56),4))</f>
        <v>0.38469999999999999</v>
      </c>
      <c r="H61" s="506"/>
      <c r="I61" s="506">
        <f ca="1">IF(ISERR(ROUND((I50+I56)/(I60+I50+I56),4)=TRUE)," ",ROUND((I50+I56)/(I60+I50+I56),4))</f>
        <v>0.38469999999999999</v>
      </c>
      <c r="J61" s="506"/>
      <c r="K61" s="506">
        <f ca="1">IF(ISERR(ROUND((K50+K56)/(K60+K50+K56),4)=TRUE)," ",ROUND((K50+K56)/(K60+K50+K56),4))</f>
        <v>0.38469999999999999</v>
      </c>
      <c r="L61" s="506"/>
      <c r="M61" s="506" t="str">
        <f>IF(ISERR(ROUND((M50+M56)/(M60+M50+M56),4)=TRUE)," ",ROUND((M50+M56)/(M60+M50+M56),4))</f>
        <v xml:space="preserve"> </v>
      </c>
      <c r="N61" s="506"/>
      <c r="O61" s="506">
        <f ca="1">IF(ISERR(ROUND((O50+O56)/(O60+O50+O56),4)=TRUE)," ",ROUND((O50+O56)/(O60+O50+O56),4))</f>
        <v>0.38469999999999999</v>
      </c>
      <c r="P61" s="479"/>
      <c r="Q61" s="479"/>
      <c r="R61" s="479"/>
      <c r="S61" s="479"/>
      <c r="T61" s="479"/>
      <c r="U61" s="479"/>
      <c r="V61" s="479"/>
      <c r="W61" s="479"/>
      <c r="X61" s="479"/>
      <c r="Y61" s="479"/>
      <c r="Z61" s="479"/>
      <c r="AA61" s="479"/>
      <c r="AB61" s="479"/>
      <c r="AC61" s="479"/>
      <c r="AD61" s="479"/>
      <c r="AE61" s="479"/>
      <c r="AF61" s="479"/>
      <c r="AG61" s="479"/>
      <c r="AH61" s="479"/>
      <c r="AI61" s="479"/>
      <c r="AJ61" s="479"/>
      <c r="AK61" s="479"/>
      <c r="AL61" s="479"/>
      <c r="AM61" s="479"/>
      <c r="AN61" s="479"/>
      <c r="AO61" s="479"/>
      <c r="AP61" s="479"/>
      <c r="AQ61" s="479"/>
      <c r="AR61" s="479"/>
      <c r="AS61" s="479"/>
      <c r="AT61" s="479"/>
      <c r="AU61" s="479"/>
    </row>
    <row r="62" spans="1:47">
      <c r="A62" s="485"/>
      <c r="B62" s="479"/>
      <c r="C62" s="479"/>
      <c r="D62" s="479"/>
      <c r="E62" s="479"/>
      <c r="F62" s="479"/>
      <c r="G62" s="479"/>
      <c r="H62" s="479"/>
      <c r="I62" s="479"/>
      <c r="J62" s="479"/>
      <c r="K62" s="479"/>
      <c r="L62" s="479"/>
      <c r="M62" s="479"/>
      <c r="N62" s="479"/>
      <c r="O62" s="479"/>
      <c r="P62" s="479"/>
      <c r="Q62" s="479"/>
      <c r="R62" s="479"/>
      <c r="S62" s="479"/>
      <c r="T62" s="479"/>
      <c r="U62" s="479"/>
      <c r="V62" s="479"/>
      <c r="W62" s="479"/>
      <c r="X62" s="479"/>
      <c r="Y62" s="479"/>
      <c r="Z62" s="479"/>
      <c r="AA62" s="479"/>
      <c r="AB62" s="479"/>
      <c r="AC62" s="479"/>
      <c r="AD62" s="479"/>
      <c r="AE62" s="479"/>
      <c r="AF62" s="479"/>
      <c r="AG62" s="479"/>
      <c r="AH62" s="479"/>
      <c r="AI62" s="479"/>
      <c r="AJ62" s="479"/>
      <c r="AK62" s="479"/>
      <c r="AL62" s="479"/>
      <c r="AM62" s="479"/>
      <c r="AN62" s="479"/>
      <c r="AO62" s="479"/>
      <c r="AP62" s="479"/>
      <c r="AQ62" s="479"/>
      <c r="AR62" s="479"/>
      <c r="AS62" s="479"/>
      <c r="AT62" s="479"/>
      <c r="AU62" s="479"/>
    </row>
    <row r="63" spans="1:47">
      <c r="A63" s="477" t="str">
        <f>COMPANY</f>
        <v>DUKE ENERGY KENTUCKY, INC.</v>
      </c>
      <c r="B63" s="478"/>
      <c r="C63" s="478"/>
      <c r="D63" s="478"/>
      <c r="E63" s="478"/>
      <c r="F63" s="478"/>
      <c r="G63" s="478"/>
      <c r="H63" s="478"/>
      <c r="I63" s="478"/>
      <c r="J63" s="478"/>
      <c r="K63" s="478"/>
      <c r="L63" s="478"/>
      <c r="M63" s="478"/>
      <c r="N63" s="478"/>
      <c r="O63" s="478"/>
      <c r="P63" s="479"/>
      <c r="Q63" s="479"/>
      <c r="R63" s="479"/>
      <c r="S63" s="479"/>
      <c r="T63" s="479"/>
      <c r="U63" s="479"/>
      <c r="V63" s="479"/>
      <c r="W63" s="479"/>
      <c r="X63" s="479"/>
      <c r="Y63" s="479"/>
      <c r="Z63" s="479"/>
      <c r="AA63" s="479"/>
      <c r="AB63" s="479"/>
      <c r="AC63" s="479"/>
      <c r="AD63" s="479"/>
      <c r="AE63" s="479"/>
      <c r="AF63" s="479"/>
      <c r="AG63" s="479"/>
      <c r="AH63" s="479"/>
      <c r="AI63" s="479"/>
      <c r="AJ63" s="479"/>
      <c r="AK63" s="479"/>
      <c r="AL63" s="479"/>
      <c r="AM63" s="479"/>
      <c r="AN63" s="479"/>
      <c r="AO63" s="479"/>
      <c r="AP63" s="479"/>
      <c r="AQ63" s="479"/>
      <c r="AR63" s="479"/>
      <c r="AS63" s="479"/>
      <c r="AT63" s="479"/>
      <c r="AU63" s="479"/>
    </row>
    <row r="64" spans="1:47">
      <c r="A64" s="477" t="str">
        <f>CASE</f>
        <v>CASE NO. 2017-00321</v>
      </c>
      <c r="B64" s="478"/>
      <c r="C64" s="478"/>
      <c r="D64" s="478"/>
      <c r="E64" s="480"/>
      <c r="F64" s="480"/>
      <c r="G64" s="478"/>
      <c r="H64" s="478"/>
      <c r="I64" s="478"/>
      <c r="J64" s="478"/>
      <c r="K64" s="478"/>
      <c r="L64" s="478"/>
      <c r="M64" s="478"/>
      <c r="N64" s="478"/>
      <c r="O64" s="478"/>
      <c r="P64" s="479"/>
      <c r="Q64" s="479"/>
      <c r="R64" s="479"/>
      <c r="S64" s="479"/>
      <c r="T64" s="479"/>
      <c r="U64" s="479"/>
      <c r="V64" s="479"/>
      <c r="W64" s="479"/>
      <c r="X64" s="479"/>
      <c r="Y64" s="479"/>
      <c r="Z64" s="479"/>
      <c r="AA64" s="479"/>
      <c r="AB64" s="479"/>
      <c r="AC64" s="479"/>
      <c r="AD64" s="479"/>
      <c r="AE64" s="479"/>
      <c r="AF64" s="479"/>
      <c r="AG64" s="479"/>
      <c r="AH64" s="479"/>
      <c r="AI64" s="479"/>
      <c r="AJ64" s="479"/>
      <c r="AK64" s="479"/>
      <c r="AL64" s="479"/>
      <c r="AM64" s="479"/>
      <c r="AN64" s="479"/>
      <c r="AO64" s="479"/>
      <c r="AP64" s="479"/>
      <c r="AQ64" s="479"/>
      <c r="AR64" s="479"/>
      <c r="AS64" s="479"/>
      <c r="AT64" s="479"/>
      <c r="AU64" s="479"/>
    </row>
    <row r="65" spans="1:47">
      <c r="A65" s="481" t="str">
        <f>$AG$501</f>
        <v>SUMMARY OF UTILITY JURISDICTIONAL ADJUSTMENTS TO</v>
      </c>
      <c r="B65" s="478"/>
      <c r="C65" s="478"/>
      <c r="D65" s="478"/>
      <c r="E65" s="478"/>
      <c r="F65" s="478"/>
      <c r="G65" s="478"/>
      <c r="H65" s="478"/>
      <c r="I65" s="478"/>
      <c r="J65" s="478"/>
      <c r="K65" s="478"/>
      <c r="L65" s="478"/>
      <c r="M65" s="478"/>
      <c r="N65" s="478"/>
      <c r="O65" s="478"/>
      <c r="P65" s="479"/>
      <c r="Q65" s="479"/>
      <c r="R65" s="479"/>
      <c r="S65" s="479"/>
      <c r="T65" s="479"/>
      <c r="U65" s="479"/>
      <c r="V65" s="479"/>
      <c r="W65" s="479"/>
      <c r="X65" s="479"/>
      <c r="Y65" s="479"/>
      <c r="Z65" s="479"/>
      <c r="AA65" s="479"/>
      <c r="AB65" s="479"/>
      <c r="AC65" s="479"/>
      <c r="AD65" s="479"/>
      <c r="AE65" s="479"/>
      <c r="AF65" s="479"/>
      <c r="AG65" s="479"/>
      <c r="AH65" s="479"/>
      <c r="AI65" s="479"/>
      <c r="AJ65" s="479"/>
      <c r="AK65" s="479"/>
      <c r="AL65" s="479"/>
      <c r="AM65" s="479"/>
      <c r="AN65" s="479"/>
      <c r="AO65" s="479"/>
      <c r="AP65" s="479"/>
      <c r="AQ65" s="479"/>
      <c r="AR65" s="479"/>
      <c r="AS65" s="479"/>
      <c r="AT65" s="479"/>
      <c r="AU65" s="479"/>
    </row>
    <row r="66" spans="1:47">
      <c r="A66" s="481" t="str">
        <f>$AG$502</f>
        <v>OPERATING INCOME BY MAJOR ACCOUNTS</v>
      </c>
      <c r="B66" s="478"/>
      <c r="C66" s="478"/>
      <c r="D66" s="478"/>
      <c r="E66" s="478"/>
      <c r="F66" s="478"/>
      <c r="G66" s="478"/>
      <c r="H66" s="478"/>
      <c r="I66" s="478"/>
      <c r="J66" s="478"/>
      <c r="K66" s="478"/>
      <c r="L66" s="478"/>
      <c r="M66" s="478"/>
      <c r="N66" s="478"/>
      <c r="O66" s="478"/>
      <c r="P66" s="479"/>
      <c r="Q66" s="479"/>
      <c r="R66" s="479"/>
      <c r="S66" s="479"/>
      <c r="T66" s="479"/>
      <c r="U66" s="479"/>
      <c r="V66" s="479"/>
      <c r="W66" s="479"/>
      <c r="X66" s="479"/>
      <c r="Y66" s="479"/>
      <c r="Z66" s="479"/>
      <c r="AA66" s="479"/>
      <c r="AB66" s="479"/>
      <c r="AC66" s="479"/>
      <c r="AD66" s="479"/>
      <c r="AE66" s="479"/>
      <c r="AF66" s="479"/>
      <c r="AG66" s="479"/>
      <c r="AH66" s="479"/>
      <c r="AI66" s="479"/>
      <c r="AJ66" s="479"/>
      <c r="AK66" s="479"/>
      <c r="AL66" s="479"/>
      <c r="AM66" s="479"/>
      <c r="AN66" s="479"/>
      <c r="AO66" s="479"/>
      <c r="AP66" s="479"/>
      <c r="AQ66" s="479"/>
      <c r="AR66" s="479"/>
      <c r="AS66" s="479"/>
      <c r="AT66" s="479"/>
      <c r="AU66" s="479"/>
    </row>
    <row r="67" spans="1:47">
      <c r="A67" s="482" t="str">
        <f>$A$5</f>
        <v>ADJUSTMENTS TO THE BASE PERIOD</v>
      </c>
      <c r="B67" s="478"/>
      <c r="C67" s="478"/>
      <c r="D67" s="478"/>
      <c r="E67" s="478"/>
      <c r="F67" s="478"/>
      <c r="G67" s="478"/>
      <c r="H67" s="478"/>
      <c r="I67" s="478"/>
      <c r="J67" s="478"/>
      <c r="K67" s="478"/>
      <c r="L67" s="478"/>
      <c r="M67" s="478"/>
      <c r="N67" s="478"/>
      <c r="O67" s="478"/>
      <c r="P67" s="479"/>
      <c r="Q67" s="479"/>
      <c r="R67" s="479"/>
      <c r="S67" s="479"/>
      <c r="T67" s="479"/>
      <c r="U67" s="479"/>
      <c r="V67" s="479"/>
      <c r="W67" s="479"/>
      <c r="X67" s="479"/>
      <c r="Y67" s="479"/>
      <c r="Z67" s="479"/>
      <c r="AA67" s="479"/>
      <c r="AB67" s="479"/>
      <c r="AC67" s="479"/>
      <c r="AD67" s="479"/>
      <c r="AE67" s="479"/>
      <c r="AF67" s="479"/>
      <c r="AG67" s="479"/>
      <c r="AH67" s="479"/>
      <c r="AI67" s="479"/>
      <c r="AJ67" s="479"/>
      <c r="AK67" s="479"/>
      <c r="AL67" s="479"/>
      <c r="AM67" s="479"/>
      <c r="AN67" s="479"/>
      <c r="AO67" s="479"/>
      <c r="AP67" s="479"/>
      <c r="AQ67" s="479"/>
      <c r="AR67" s="479"/>
      <c r="AS67" s="479"/>
      <c r="AT67" s="479"/>
      <c r="AU67" s="479"/>
    </row>
    <row r="68" spans="1:47">
      <c r="A68" s="477" t="str">
        <f>A6</f>
        <v>FOR THE TWELVE MONTHS ENDED NOVEMBER 30, 2017</v>
      </c>
      <c r="B68" s="478"/>
      <c r="C68" s="478"/>
      <c r="D68" s="478"/>
      <c r="E68" s="478"/>
      <c r="F68" s="478"/>
      <c r="G68" s="478"/>
      <c r="H68" s="478"/>
      <c r="I68" s="478"/>
      <c r="J68" s="478"/>
      <c r="K68" s="478"/>
      <c r="L68" s="478"/>
      <c r="M68" s="478"/>
      <c r="N68" s="478"/>
      <c r="O68" s="478"/>
      <c r="P68" s="479"/>
      <c r="Q68" s="479"/>
      <c r="R68" s="479"/>
      <c r="S68" s="479"/>
      <c r="T68" s="479"/>
      <c r="U68" s="479"/>
      <c r="V68" s="479"/>
      <c r="W68" s="479"/>
      <c r="X68" s="479"/>
      <c r="Y68" s="479"/>
      <c r="Z68" s="479"/>
      <c r="AA68" s="479"/>
      <c r="AB68" s="479"/>
      <c r="AC68" s="479"/>
      <c r="AD68" s="479"/>
      <c r="AE68" s="479"/>
      <c r="AF68" s="479"/>
      <c r="AG68" s="479"/>
      <c r="AH68" s="479"/>
      <c r="AI68" s="479"/>
      <c r="AJ68" s="479"/>
      <c r="AK68" s="479"/>
      <c r="AL68" s="479"/>
      <c r="AM68" s="479"/>
      <c r="AN68" s="479"/>
      <c r="AO68" s="479"/>
      <c r="AP68" s="479"/>
      <c r="AQ68" s="479"/>
      <c r="AR68" s="479"/>
      <c r="AS68" s="479"/>
      <c r="AT68" s="479"/>
      <c r="AU68" s="479"/>
    </row>
    <row r="69" spans="1:47">
      <c r="A69" s="479"/>
      <c r="B69" s="479"/>
      <c r="C69" s="479"/>
      <c r="D69" s="483"/>
      <c r="E69" s="479"/>
      <c r="F69" s="479"/>
      <c r="G69" s="479"/>
      <c r="H69" s="479"/>
      <c r="I69" s="479"/>
      <c r="J69" s="479"/>
      <c r="K69" s="479"/>
      <c r="L69" s="479"/>
      <c r="M69" s="479"/>
      <c r="N69" s="479"/>
      <c r="O69" s="479"/>
      <c r="P69" s="479"/>
      <c r="Q69" s="479"/>
      <c r="R69" s="479"/>
      <c r="S69" s="479"/>
      <c r="T69" s="479"/>
      <c r="U69" s="479"/>
      <c r="V69" s="479"/>
      <c r="W69" s="479"/>
      <c r="X69" s="479"/>
      <c r="Y69" s="479"/>
      <c r="Z69" s="479"/>
      <c r="AA69" s="479"/>
      <c r="AB69" s="479"/>
      <c r="AC69" s="479"/>
      <c r="AD69" s="479"/>
      <c r="AE69" s="479"/>
      <c r="AF69" s="479"/>
      <c r="AG69" s="479"/>
      <c r="AH69" s="479"/>
      <c r="AI69" s="479"/>
      <c r="AJ69" s="479"/>
      <c r="AK69" s="479"/>
      <c r="AL69" s="479"/>
      <c r="AM69" s="479"/>
      <c r="AN69" s="479"/>
      <c r="AO69" s="479"/>
      <c r="AP69" s="479"/>
      <c r="AQ69" s="479"/>
      <c r="AR69" s="479"/>
      <c r="AS69" s="479"/>
      <c r="AT69" s="479"/>
      <c r="AU69" s="479"/>
    </row>
    <row r="70" spans="1:47">
      <c r="A70" s="483" t="str">
        <f>Data</f>
        <v>DATA: "X" BASE PERIOD   FORECASTED PERIOD</v>
      </c>
      <c r="B70" s="479"/>
      <c r="C70" s="479"/>
      <c r="D70" s="479"/>
      <c r="E70" s="479"/>
      <c r="F70" s="479"/>
      <c r="G70" s="479"/>
      <c r="H70" s="479"/>
      <c r="I70" s="479"/>
      <c r="J70" s="479"/>
      <c r="K70" s="479"/>
      <c r="L70" s="479"/>
      <c r="M70" s="484" t="s">
        <v>704</v>
      </c>
      <c r="N70" s="485"/>
      <c r="O70" s="485"/>
      <c r="P70" s="479"/>
      <c r="Q70" s="479"/>
      <c r="R70" s="479"/>
      <c r="S70" s="479"/>
      <c r="T70" s="479"/>
      <c r="U70" s="479"/>
      <c r="V70" s="479"/>
      <c r="W70" s="479"/>
      <c r="X70" s="479"/>
      <c r="Y70" s="479"/>
      <c r="Z70" s="479"/>
      <c r="AA70" s="479"/>
      <c r="AB70" s="479"/>
      <c r="AC70" s="479"/>
      <c r="AD70" s="479"/>
      <c r="AE70" s="479"/>
      <c r="AF70" s="479"/>
      <c r="AG70" s="479"/>
      <c r="AH70" s="479"/>
      <c r="AI70" s="479"/>
      <c r="AJ70" s="479"/>
      <c r="AK70" s="479"/>
      <c r="AL70" s="479"/>
      <c r="AM70" s="479"/>
      <c r="AN70" s="479"/>
      <c r="AO70" s="479"/>
      <c r="AP70" s="479"/>
      <c r="AQ70" s="479"/>
      <c r="AR70" s="479"/>
      <c r="AS70" s="479"/>
      <c r="AT70" s="479"/>
      <c r="AU70" s="479"/>
    </row>
    <row r="71" spans="1:47">
      <c r="A71" s="483" t="str">
        <f>Type</f>
        <v xml:space="preserve">TYPE OF FILING:  "X" ORIGINAL   UPDATED    REVISED  </v>
      </c>
      <c r="B71" s="479"/>
      <c r="C71" s="479"/>
      <c r="D71" s="479"/>
      <c r="E71" s="479"/>
      <c r="F71" s="479"/>
      <c r="G71" s="479"/>
      <c r="H71" s="479"/>
      <c r="I71" s="479"/>
      <c r="J71" s="479"/>
      <c r="K71" s="479"/>
      <c r="L71" s="479"/>
      <c r="M71" s="485" t="s">
        <v>3176</v>
      </c>
      <c r="N71" s="485"/>
      <c r="O71" s="485"/>
      <c r="P71" s="479"/>
      <c r="Q71" s="479"/>
      <c r="R71" s="479"/>
      <c r="S71" s="479"/>
      <c r="T71" s="479"/>
      <c r="U71" s="479"/>
      <c r="V71" s="479"/>
      <c r="W71" s="479"/>
      <c r="X71" s="479"/>
      <c r="Y71" s="479"/>
      <c r="Z71" s="479"/>
      <c r="AA71" s="479"/>
      <c r="AB71" s="479"/>
      <c r="AC71" s="479"/>
      <c r="AD71" s="479"/>
      <c r="AE71" s="479"/>
      <c r="AF71" s="479"/>
      <c r="AG71" s="479"/>
      <c r="AH71" s="479"/>
      <c r="AI71" s="479"/>
      <c r="AJ71" s="479"/>
      <c r="AK71" s="479"/>
      <c r="AL71" s="479"/>
      <c r="AM71" s="479"/>
      <c r="AN71" s="479"/>
      <c r="AO71" s="479"/>
      <c r="AP71" s="479"/>
      <c r="AQ71" s="479"/>
      <c r="AR71" s="479"/>
      <c r="AS71" s="479"/>
      <c r="AT71" s="479"/>
      <c r="AU71" s="479"/>
    </row>
    <row r="72" spans="1:47">
      <c r="A72" s="485" t="s">
        <v>621</v>
      </c>
      <c r="B72" s="479"/>
      <c r="C72" s="479"/>
      <c r="D72" s="479"/>
      <c r="E72" s="479"/>
      <c r="F72" s="479"/>
      <c r="G72" s="479"/>
      <c r="H72" s="479"/>
      <c r="I72" s="479"/>
      <c r="J72" s="479"/>
      <c r="K72" s="479"/>
      <c r="L72" s="479"/>
      <c r="M72" s="484" t="s">
        <v>705</v>
      </c>
      <c r="N72" s="485"/>
      <c r="O72" s="485"/>
      <c r="P72" s="479"/>
      <c r="Q72" s="479"/>
      <c r="R72" s="479"/>
      <c r="S72" s="479"/>
      <c r="T72" s="479"/>
      <c r="U72" s="479"/>
      <c r="V72" s="479"/>
      <c r="W72" s="479"/>
      <c r="X72" s="479"/>
      <c r="Y72" s="479"/>
      <c r="Z72" s="479"/>
      <c r="AA72" s="479"/>
      <c r="AB72" s="479"/>
      <c r="AC72" s="479"/>
      <c r="AD72" s="479"/>
      <c r="AE72" s="479"/>
      <c r="AF72" s="479"/>
      <c r="AG72" s="479"/>
      <c r="AH72" s="479"/>
      <c r="AI72" s="479"/>
      <c r="AJ72" s="479"/>
      <c r="AK72" s="479"/>
      <c r="AL72" s="479"/>
      <c r="AM72" s="479"/>
      <c r="AN72" s="479"/>
      <c r="AO72" s="479"/>
      <c r="AP72" s="479"/>
      <c r="AQ72" s="479"/>
      <c r="AR72" s="479"/>
      <c r="AS72" s="479"/>
      <c r="AT72" s="479"/>
      <c r="AU72" s="479"/>
    </row>
    <row r="73" spans="1:47">
      <c r="A73" s="479"/>
      <c r="B73" s="479"/>
      <c r="C73" s="479"/>
      <c r="D73" s="479"/>
      <c r="E73" s="479"/>
      <c r="F73" s="479"/>
      <c r="G73" s="479"/>
      <c r="H73" s="479"/>
      <c r="I73" s="479"/>
      <c r="J73" s="479"/>
      <c r="K73" s="479"/>
      <c r="L73" s="479"/>
      <c r="M73" s="485" t="str">
        <f>"          "&amp;_WIT1</f>
        <v xml:space="preserve">          S. E. LAWLER</v>
      </c>
      <c r="N73" s="485"/>
      <c r="O73" s="485"/>
      <c r="P73" s="479"/>
      <c r="Q73" s="479"/>
      <c r="R73" s="479"/>
      <c r="S73" s="479"/>
      <c r="T73" s="479"/>
      <c r="U73" s="479"/>
      <c r="V73" s="479"/>
      <c r="W73" s="479"/>
      <c r="X73" s="479"/>
      <c r="Y73" s="479"/>
      <c r="Z73" s="479"/>
      <c r="AA73" s="479"/>
      <c r="AB73" s="479"/>
      <c r="AC73" s="479"/>
      <c r="AD73" s="479"/>
      <c r="AE73" s="479"/>
      <c r="AF73" s="479"/>
      <c r="AG73" s="479"/>
      <c r="AH73" s="479"/>
      <c r="AI73" s="479"/>
      <c r="AJ73" s="479"/>
      <c r="AK73" s="479"/>
      <c r="AL73" s="479"/>
      <c r="AM73" s="479"/>
      <c r="AN73" s="479"/>
      <c r="AO73" s="479"/>
      <c r="AP73" s="479"/>
      <c r="AQ73" s="479"/>
      <c r="AR73" s="479"/>
      <c r="AS73" s="479"/>
      <c r="AT73" s="479"/>
      <c r="AU73" s="479"/>
    </row>
    <row r="74" spans="1:47">
      <c r="A74" s="486"/>
      <c r="B74" s="486"/>
      <c r="C74" s="486"/>
      <c r="D74" s="486"/>
      <c r="E74" s="486"/>
      <c r="F74" s="486"/>
      <c r="G74" s="486"/>
      <c r="H74" s="486"/>
      <c r="I74" s="486"/>
      <c r="J74" s="486"/>
      <c r="K74" s="486"/>
      <c r="L74" s="486"/>
      <c r="M74" s="486"/>
      <c r="N74" s="486"/>
      <c r="O74" s="486"/>
      <c r="P74" s="479"/>
      <c r="Q74" s="479"/>
      <c r="R74" s="479"/>
      <c r="S74" s="479"/>
      <c r="T74" s="479"/>
      <c r="U74" s="479"/>
      <c r="V74" s="479"/>
      <c r="W74" s="479"/>
      <c r="X74" s="479"/>
      <c r="Y74" s="479"/>
      <c r="Z74" s="479"/>
      <c r="AA74" s="479"/>
      <c r="AB74" s="479"/>
      <c r="AC74" s="479"/>
      <c r="AD74" s="479"/>
      <c r="AE74" s="479"/>
      <c r="AF74" s="479"/>
      <c r="AG74" s="479"/>
      <c r="AH74" s="479"/>
      <c r="AI74" s="479"/>
      <c r="AJ74" s="479"/>
      <c r="AK74" s="479"/>
      <c r="AL74" s="479"/>
      <c r="AM74" s="479"/>
      <c r="AN74" s="479"/>
      <c r="AO74" s="479"/>
      <c r="AP74" s="479"/>
      <c r="AQ74" s="479"/>
      <c r="AR74" s="479"/>
      <c r="AS74" s="479"/>
      <c r="AT74" s="479"/>
      <c r="AU74" s="479"/>
    </row>
    <row r="75" spans="1:47">
      <c r="A75" s="479"/>
      <c r="B75" s="479"/>
      <c r="C75" s="479"/>
      <c r="D75" s="479"/>
      <c r="E75" s="1320" t="s">
        <v>706</v>
      </c>
      <c r="F75" s="479"/>
      <c r="G75" s="1320" t="s">
        <v>706</v>
      </c>
      <c r="H75" s="479"/>
      <c r="I75" s="1320" t="s">
        <v>706</v>
      </c>
      <c r="J75" s="487"/>
      <c r="K75" s="1320" t="s">
        <v>706</v>
      </c>
      <c r="L75" s="488"/>
      <c r="M75" s="1320" t="s">
        <v>706</v>
      </c>
      <c r="N75" s="1320"/>
      <c r="O75" s="1320" t="s">
        <v>706</v>
      </c>
      <c r="P75" s="479"/>
      <c r="Q75" s="479"/>
      <c r="R75" s="479"/>
      <c r="S75" s="479"/>
      <c r="T75" s="479"/>
      <c r="U75" s="479"/>
      <c r="V75" s="479"/>
      <c r="W75" s="479"/>
      <c r="X75" s="479"/>
      <c r="Y75" s="479"/>
      <c r="Z75" s="479"/>
      <c r="AA75" s="479"/>
      <c r="AB75" s="479"/>
      <c r="AC75" s="479"/>
      <c r="AD75" s="479"/>
      <c r="AE75" s="479"/>
      <c r="AF75" s="479"/>
      <c r="AG75" s="479"/>
      <c r="AH75" s="479"/>
      <c r="AI75" s="479"/>
      <c r="AJ75" s="479"/>
      <c r="AK75" s="479"/>
      <c r="AL75" s="479"/>
      <c r="AM75" s="479"/>
      <c r="AN75" s="479"/>
      <c r="AO75" s="479"/>
      <c r="AP75" s="479"/>
      <c r="AQ75" s="479"/>
      <c r="AR75" s="479"/>
      <c r="AS75" s="479"/>
      <c r="AT75" s="479"/>
      <c r="AU75" s="479"/>
    </row>
    <row r="76" spans="1:47">
      <c r="A76" s="485" t="s">
        <v>1961</v>
      </c>
      <c r="B76" s="479"/>
      <c r="C76" s="479"/>
      <c r="D76" s="479"/>
      <c r="E76" s="1320" t="s">
        <v>2250</v>
      </c>
      <c r="F76" s="479"/>
      <c r="G76" s="1320" t="s">
        <v>707</v>
      </c>
      <c r="H76" s="479"/>
      <c r="I76" s="1320" t="s">
        <v>1853</v>
      </c>
      <c r="J76" s="487"/>
      <c r="K76" s="1320" t="s">
        <v>735</v>
      </c>
      <c r="L76" s="488"/>
      <c r="M76" s="488" t="s">
        <v>247</v>
      </c>
      <c r="N76" s="1320"/>
      <c r="O76" s="1320" t="s">
        <v>248</v>
      </c>
      <c r="P76" s="479"/>
      <c r="Q76" s="479"/>
      <c r="R76" s="479"/>
      <c r="S76" s="479"/>
      <c r="T76" s="479"/>
      <c r="U76" s="479"/>
      <c r="V76" s="479"/>
      <c r="W76" s="479"/>
      <c r="X76" s="479"/>
      <c r="Y76" s="479"/>
      <c r="Z76" s="479"/>
      <c r="AA76" s="479"/>
      <c r="AB76" s="479"/>
      <c r="AC76" s="479"/>
      <c r="AD76" s="479"/>
      <c r="AE76" s="479"/>
      <c r="AF76" s="479"/>
      <c r="AG76" s="479"/>
      <c r="AH76" s="479"/>
      <c r="AI76" s="479"/>
      <c r="AJ76" s="479"/>
      <c r="AK76" s="479"/>
      <c r="AL76" s="479"/>
      <c r="AM76" s="479"/>
      <c r="AN76" s="479"/>
      <c r="AO76" s="479"/>
      <c r="AP76" s="479"/>
      <c r="AQ76" s="479"/>
      <c r="AR76" s="479"/>
      <c r="AS76" s="479"/>
      <c r="AT76" s="479"/>
      <c r="AU76" s="479"/>
    </row>
    <row r="77" spans="1:47">
      <c r="A77" s="489" t="s">
        <v>90</v>
      </c>
      <c r="B77" s="490"/>
      <c r="C77" s="489" t="s">
        <v>26</v>
      </c>
      <c r="D77" s="486"/>
      <c r="E77" s="489" t="s">
        <v>1195</v>
      </c>
      <c r="F77" s="479"/>
      <c r="G77" s="489" t="s">
        <v>1195</v>
      </c>
      <c r="H77" s="479"/>
      <c r="I77" s="489" t="s">
        <v>250</v>
      </c>
      <c r="J77" s="486"/>
      <c r="K77" s="489" t="s">
        <v>251</v>
      </c>
      <c r="L77" s="486"/>
      <c r="M77" s="492" t="s">
        <v>1195</v>
      </c>
      <c r="N77" s="486"/>
      <c r="O77" s="492" t="s">
        <v>1195</v>
      </c>
      <c r="P77" s="479"/>
      <c r="Q77" s="479"/>
      <c r="R77" s="479"/>
      <c r="S77" s="479"/>
      <c r="T77" s="479"/>
      <c r="U77" s="479"/>
      <c r="V77" s="479"/>
      <c r="W77" s="479"/>
      <c r="X77" s="479"/>
      <c r="Y77" s="479"/>
      <c r="Z77" s="479"/>
      <c r="AA77" s="479"/>
      <c r="AB77" s="479"/>
      <c r="AC77" s="479"/>
      <c r="AD77" s="479"/>
      <c r="AE77" s="479"/>
      <c r="AF77" s="479"/>
      <c r="AG77" s="479"/>
      <c r="AH77" s="479"/>
      <c r="AI77" s="479"/>
      <c r="AJ77" s="479"/>
      <c r="AK77" s="479"/>
      <c r="AL77" s="479"/>
      <c r="AM77" s="479"/>
      <c r="AN77" s="479"/>
      <c r="AO77" s="479"/>
      <c r="AP77" s="479"/>
      <c r="AQ77" s="479"/>
      <c r="AR77" s="479"/>
      <c r="AS77" s="479"/>
      <c r="AT77" s="479"/>
      <c r="AU77" s="479"/>
    </row>
    <row r="78" spans="1:47">
      <c r="A78" s="490"/>
      <c r="B78" s="490"/>
      <c r="C78" s="493" t="s">
        <v>957</v>
      </c>
      <c r="D78" s="490"/>
      <c r="E78" s="489" t="s">
        <v>253</v>
      </c>
      <c r="F78" s="479"/>
      <c r="G78" s="489" t="s">
        <v>175</v>
      </c>
      <c r="H78" s="489"/>
      <c r="I78" s="489" t="s">
        <v>254</v>
      </c>
      <c r="J78" s="489"/>
      <c r="K78" s="489" t="s">
        <v>255</v>
      </c>
      <c r="L78" s="489"/>
      <c r="M78" s="489" t="s">
        <v>180</v>
      </c>
      <c r="N78" s="489"/>
      <c r="O78" s="489" t="s">
        <v>1211</v>
      </c>
      <c r="P78" s="479"/>
      <c r="Q78" s="479"/>
      <c r="R78" s="479"/>
      <c r="S78" s="479"/>
      <c r="T78" s="479"/>
      <c r="U78" s="479"/>
      <c r="V78" s="479"/>
      <c r="W78" s="479"/>
      <c r="X78" s="479"/>
      <c r="Y78" s="479"/>
      <c r="Z78" s="479"/>
      <c r="AA78" s="479"/>
      <c r="AB78" s="479"/>
      <c r="AC78" s="479"/>
      <c r="AD78" s="479"/>
      <c r="AE78" s="479"/>
      <c r="AF78" s="479"/>
      <c r="AG78" s="479"/>
      <c r="AH78" s="479"/>
      <c r="AI78" s="479"/>
      <c r="AJ78" s="479"/>
      <c r="AK78" s="479"/>
      <c r="AL78" s="479"/>
      <c r="AM78" s="479"/>
      <c r="AN78" s="479"/>
      <c r="AO78" s="479"/>
      <c r="AP78" s="479"/>
      <c r="AQ78" s="479"/>
      <c r="AR78" s="479"/>
      <c r="AS78" s="479"/>
      <c r="AT78" s="479"/>
      <c r="AU78" s="479"/>
    </row>
    <row r="79" spans="1:47">
      <c r="A79" s="1320">
        <v>1</v>
      </c>
      <c r="B79" s="507" t="s">
        <v>1199</v>
      </c>
      <c r="C79" s="479"/>
      <c r="D79" s="479"/>
      <c r="E79" s="479"/>
      <c r="F79" s="479"/>
      <c r="G79" s="479"/>
      <c r="H79" s="479"/>
      <c r="I79" s="479"/>
      <c r="J79" s="479"/>
      <c r="K79" s="479"/>
      <c r="L79" s="479"/>
      <c r="M79" s="479"/>
      <c r="N79" s="479"/>
      <c r="O79" s="479"/>
      <c r="P79" s="479"/>
      <c r="Q79" s="479"/>
      <c r="R79" s="479"/>
      <c r="S79" s="479"/>
      <c r="T79" s="479"/>
      <c r="U79" s="479"/>
      <c r="V79" s="479"/>
      <c r="W79" s="479"/>
      <c r="X79" s="479"/>
      <c r="Y79" s="479"/>
      <c r="Z79" s="479"/>
      <c r="AA79" s="479"/>
      <c r="AB79" s="479"/>
      <c r="AC79" s="479"/>
      <c r="AD79" s="479"/>
      <c r="AE79" s="479"/>
      <c r="AF79" s="479"/>
      <c r="AG79" s="479"/>
      <c r="AH79" s="479"/>
      <c r="AI79" s="479"/>
      <c r="AJ79" s="479"/>
      <c r="AK79" s="479"/>
      <c r="AL79" s="479"/>
      <c r="AM79" s="479"/>
      <c r="AN79" s="479"/>
      <c r="AO79" s="479"/>
      <c r="AP79" s="479"/>
      <c r="AQ79" s="479"/>
      <c r="AR79" s="479"/>
      <c r="AS79" s="479"/>
      <c r="AT79" s="479"/>
      <c r="AU79" s="479"/>
    </row>
    <row r="80" spans="1:47">
      <c r="A80" s="1320">
        <v>2</v>
      </c>
      <c r="B80" s="479"/>
      <c r="C80" s="485" t="s">
        <v>1200</v>
      </c>
      <c r="D80" s="479"/>
      <c r="E80" s="496"/>
      <c r="F80" s="479"/>
      <c r="G80" s="496"/>
      <c r="H80" s="479"/>
      <c r="I80" s="496"/>
      <c r="J80" s="496"/>
      <c r="K80" s="496"/>
      <c r="L80" s="496"/>
      <c r="M80" s="496"/>
      <c r="N80" s="496"/>
      <c r="O80" s="496"/>
      <c r="P80" s="479"/>
      <c r="Q80" s="479"/>
      <c r="R80" s="479"/>
      <c r="S80" s="479"/>
      <c r="T80" s="479"/>
      <c r="U80" s="479"/>
      <c r="V80" s="479"/>
      <c r="W80" s="479"/>
      <c r="X80" s="479"/>
      <c r="Y80" s="479"/>
      <c r="Z80" s="479"/>
      <c r="AA80" s="479"/>
      <c r="AB80" s="479"/>
      <c r="AC80" s="479"/>
      <c r="AD80" s="479"/>
      <c r="AE80" s="479"/>
      <c r="AF80" s="479"/>
      <c r="AG80" s="479"/>
      <c r="AH80" s="479"/>
      <c r="AI80" s="479"/>
      <c r="AJ80" s="479"/>
      <c r="AK80" s="479"/>
      <c r="AL80" s="479"/>
      <c r="AM80" s="479"/>
      <c r="AN80" s="479"/>
      <c r="AO80" s="479"/>
      <c r="AP80" s="479"/>
      <c r="AQ80" s="479"/>
      <c r="AR80" s="479"/>
      <c r="AS80" s="479"/>
      <c r="AT80" s="479"/>
      <c r="AU80" s="479"/>
    </row>
    <row r="81" spans="1:47">
      <c r="A81" s="1320">
        <v>3</v>
      </c>
      <c r="B81" s="479"/>
      <c r="C81" s="485" t="s">
        <v>1823</v>
      </c>
      <c r="D81" s="479"/>
      <c r="E81" s="496"/>
      <c r="F81" s="479"/>
      <c r="G81" s="496"/>
      <c r="H81" s="479"/>
      <c r="I81" s="496"/>
      <c r="J81" s="496"/>
      <c r="K81" s="496"/>
      <c r="L81" s="496"/>
      <c r="M81" s="496"/>
      <c r="N81" s="496"/>
      <c r="O81" s="496"/>
      <c r="P81" s="479"/>
      <c r="Q81" s="479"/>
      <c r="R81" s="479"/>
      <c r="S81" s="479"/>
      <c r="T81" s="479"/>
      <c r="U81" s="479"/>
      <c r="V81" s="479"/>
      <c r="W81" s="479"/>
      <c r="X81" s="479"/>
      <c r="Y81" s="479"/>
      <c r="Z81" s="479"/>
      <c r="AA81" s="479"/>
      <c r="AB81" s="479"/>
      <c r="AC81" s="479"/>
      <c r="AD81" s="479"/>
      <c r="AE81" s="479"/>
      <c r="AF81" s="479"/>
      <c r="AG81" s="479"/>
      <c r="AH81" s="479"/>
      <c r="AI81" s="479"/>
      <c r="AJ81" s="479"/>
      <c r="AK81" s="479"/>
      <c r="AL81" s="479"/>
      <c r="AM81" s="479"/>
      <c r="AN81" s="479"/>
      <c r="AO81" s="479"/>
      <c r="AP81" s="479"/>
      <c r="AQ81" s="479"/>
      <c r="AR81" s="479"/>
      <c r="AS81" s="479"/>
      <c r="AT81" s="479"/>
      <c r="AU81" s="479"/>
    </row>
    <row r="82" spans="1:47">
      <c r="A82" s="1320">
        <v>4</v>
      </c>
      <c r="B82" s="479"/>
      <c r="C82" s="485" t="s">
        <v>1201</v>
      </c>
      <c r="D82" s="479"/>
      <c r="E82" s="496"/>
      <c r="F82" s="479"/>
      <c r="G82" s="496"/>
      <c r="H82" s="479"/>
      <c r="I82" s="496"/>
      <c r="J82" s="496"/>
      <c r="K82" s="496"/>
      <c r="L82" s="496"/>
      <c r="M82" s="496"/>
      <c r="N82" s="496"/>
      <c r="O82" s="496"/>
      <c r="P82" s="479"/>
      <c r="Q82" s="479"/>
      <c r="R82" s="479"/>
      <c r="S82" s="479"/>
      <c r="T82" s="479"/>
      <c r="U82" s="479"/>
      <c r="V82" s="479"/>
      <c r="W82" s="479"/>
      <c r="X82" s="479"/>
      <c r="Y82" s="479"/>
      <c r="Z82" s="479"/>
      <c r="AA82" s="479"/>
      <c r="AB82" s="479"/>
      <c r="AC82" s="479"/>
      <c r="AD82" s="479"/>
      <c r="AE82" s="479"/>
      <c r="AF82" s="479"/>
      <c r="AG82" s="479"/>
      <c r="AH82" s="479"/>
      <c r="AI82" s="479"/>
      <c r="AJ82" s="479"/>
      <c r="AK82" s="479"/>
      <c r="AL82" s="479"/>
      <c r="AM82" s="479"/>
      <c r="AN82" s="479"/>
      <c r="AO82" s="479"/>
      <c r="AP82" s="479"/>
      <c r="AQ82" s="479"/>
      <c r="AR82" s="479"/>
      <c r="AS82" s="479"/>
      <c r="AT82" s="479"/>
      <c r="AU82" s="479"/>
    </row>
    <row r="83" spans="1:47">
      <c r="A83" s="1320">
        <v>5</v>
      </c>
      <c r="B83" s="479"/>
      <c r="C83" s="485" t="s">
        <v>1202</v>
      </c>
      <c r="D83" s="479"/>
      <c r="E83" s="497">
        <f>SUM(E80:E82)</f>
        <v>0</v>
      </c>
      <c r="F83" s="479"/>
      <c r="G83" s="497">
        <f>SUM(G80:G82)</f>
        <v>0</v>
      </c>
      <c r="H83" s="479"/>
      <c r="I83" s="497">
        <f>SUM(I80:I82)</f>
        <v>0</v>
      </c>
      <c r="J83" s="496"/>
      <c r="K83" s="497">
        <f>SUM(K80:K82)</f>
        <v>0</v>
      </c>
      <c r="L83" s="496"/>
      <c r="M83" s="497">
        <f>SUM(M80:M82)</f>
        <v>0</v>
      </c>
      <c r="N83" s="496"/>
      <c r="O83" s="497">
        <f>SUM(O80:O82)</f>
        <v>0</v>
      </c>
      <c r="P83" s="479"/>
      <c r="Q83" s="479"/>
      <c r="R83" s="479"/>
      <c r="S83" s="479"/>
      <c r="T83" s="479"/>
      <c r="U83" s="479"/>
      <c r="V83" s="479"/>
      <c r="W83" s="479"/>
      <c r="X83" s="479"/>
      <c r="Y83" s="479"/>
      <c r="Z83" s="479"/>
      <c r="AA83" s="479"/>
      <c r="AB83" s="479"/>
      <c r="AC83" s="479"/>
      <c r="AD83" s="479"/>
      <c r="AE83" s="479"/>
      <c r="AF83" s="479"/>
      <c r="AG83" s="479"/>
      <c r="AH83" s="479"/>
      <c r="AI83" s="479"/>
      <c r="AJ83" s="479"/>
      <c r="AK83" s="479"/>
      <c r="AL83" s="479"/>
      <c r="AM83" s="479"/>
      <c r="AN83" s="479"/>
      <c r="AO83" s="479"/>
      <c r="AP83" s="479"/>
      <c r="AQ83" s="479"/>
      <c r="AR83" s="479"/>
      <c r="AS83" s="479"/>
      <c r="AT83" s="479"/>
      <c r="AU83" s="479"/>
    </row>
    <row r="84" spans="1:47">
      <c r="A84" s="1320">
        <v>6</v>
      </c>
      <c r="B84" s="479"/>
      <c r="C84" s="479"/>
      <c r="D84" s="479"/>
      <c r="E84" s="498"/>
      <c r="F84" s="479"/>
      <c r="G84" s="498"/>
      <c r="H84" s="479"/>
      <c r="I84" s="498"/>
      <c r="J84" s="498"/>
      <c r="K84" s="498"/>
      <c r="L84" s="498"/>
      <c r="M84" s="498"/>
      <c r="N84" s="498"/>
      <c r="O84" s="498"/>
      <c r="P84" s="479"/>
      <c r="Q84" s="479"/>
      <c r="R84" s="479"/>
      <c r="S84" s="479"/>
      <c r="T84" s="479"/>
      <c r="U84" s="479"/>
      <c r="V84" s="479"/>
      <c r="W84" s="479"/>
      <c r="X84" s="479"/>
      <c r="Y84" s="479"/>
      <c r="Z84" s="479"/>
      <c r="AA84" s="479"/>
      <c r="AB84" s="479"/>
      <c r="AC84" s="479"/>
      <c r="AD84" s="479"/>
      <c r="AE84" s="479"/>
      <c r="AF84" s="479"/>
      <c r="AG84" s="479"/>
      <c r="AH84" s="479"/>
      <c r="AI84" s="479"/>
      <c r="AJ84" s="479"/>
      <c r="AK84" s="479"/>
      <c r="AL84" s="479"/>
      <c r="AM84" s="479"/>
      <c r="AN84" s="479"/>
      <c r="AO84" s="479"/>
      <c r="AP84" s="479"/>
      <c r="AQ84" s="479"/>
      <c r="AR84" s="479"/>
      <c r="AS84" s="479"/>
      <c r="AT84" s="479"/>
      <c r="AU84" s="479"/>
    </row>
    <row r="85" spans="1:47">
      <c r="A85" s="1320">
        <v>7</v>
      </c>
      <c r="B85" s="507" t="s">
        <v>1152</v>
      </c>
      <c r="C85" s="479"/>
      <c r="D85" s="479"/>
      <c r="E85" s="479"/>
      <c r="F85" s="479"/>
      <c r="G85" s="479"/>
      <c r="H85" s="479"/>
      <c r="I85" s="479"/>
      <c r="J85" s="479"/>
      <c r="K85" s="479"/>
      <c r="L85" s="479"/>
      <c r="M85" s="479"/>
      <c r="N85" s="479"/>
      <c r="O85" s="479"/>
      <c r="P85" s="479"/>
      <c r="Q85" s="479"/>
      <c r="R85" s="479"/>
      <c r="S85" s="479"/>
      <c r="T85" s="479"/>
      <c r="U85" s="479"/>
      <c r="V85" s="479"/>
      <c r="W85" s="479"/>
      <c r="X85" s="479"/>
      <c r="Y85" s="479"/>
      <c r="Z85" s="479"/>
      <c r="AA85" s="479"/>
      <c r="AB85" s="479"/>
      <c r="AC85" s="479"/>
      <c r="AD85" s="479"/>
      <c r="AE85" s="479"/>
      <c r="AF85" s="479"/>
      <c r="AG85" s="479"/>
      <c r="AH85" s="479"/>
      <c r="AI85" s="479"/>
      <c r="AJ85" s="479"/>
      <c r="AK85" s="479"/>
      <c r="AL85" s="479"/>
      <c r="AM85" s="479"/>
      <c r="AN85" s="479"/>
      <c r="AO85" s="479"/>
      <c r="AP85" s="479"/>
      <c r="AQ85" s="479"/>
      <c r="AR85" s="479"/>
      <c r="AS85" s="479"/>
      <c r="AT85" s="479"/>
      <c r="AU85" s="479"/>
    </row>
    <row r="86" spans="1:47">
      <c r="A86" s="1320">
        <v>8</v>
      </c>
      <c r="B86" s="479"/>
      <c r="C86" s="485" t="s">
        <v>1203</v>
      </c>
      <c r="D86" s="479"/>
      <c r="E86" s="479"/>
      <c r="F86" s="479"/>
      <c r="G86" s="479"/>
      <c r="H86" s="479"/>
      <c r="I86" s="479"/>
      <c r="J86" s="479"/>
      <c r="K86" s="479"/>
      <c r="L86" s="479"/>
      <c r="M86" s="479"/>
      <c r="N86" s="479"/>
      <c r="O86" s="479"/>
      <c r="P86" s="479"/>
      <c r="Q86" s="479"/>
      <c r="R86" s="479"/>
      <c r="S86" s="479"/>
      <c r="T86" s="479"/>
      <c r="U86" s="479"/>
      <c r="V86" s="479"/>
      <c r="W86" s="479"/>
      <c r="X86" s="479"/>
      <c r="Y86" s="479"/>
      <c r="Z86" s="479"/>
      <c r="AA86" s="479"/>
      <c r="AB86" s="479"/>
      <c r="AC86" s="479"/>
      <c r="AD86" s="479"/>
      <c r="AE86" s="479"/>
      <c r="AF86" s="479"/>
      <c r="AG86" s="479"/>
      <c r="AH86" s="479"/>
      <c r="AI86" s="479"/>
      <c r="AJ86" s="479"/>
      <c r="AK86" s="479"/>
      <c r="AL86" s="479"/>
      <c r="AM86" s="479"/>
      <c r="AN86" s="479"/>
      <c r="AO86" s="479"/>
      <c r="AP86" s="479"/>
      <c r="AQ86" s="479"/>
      <c r="AR86" s="479"/>
      <c r="AS86" s="479"/>
      <c r="AT86" s="479"/>
      <c r="AU86" s="479"/>
    </row>
    <row r="87" spans="1:47">
      <c r="A87" s="1320">
        <v>9</v>
      </c>
      <c r="B87" s="479"/>
      <c r="C87" s="485" t="s">
        <v>257</v>
      </c>
      <c r="D87" s="479"/>
      <c r="E87" s="479"/>
      <c r="F87" s="479"/>
      <c r="G87" s="479"/>
      <c r="H87" s="479"/>
      <c r="I87" s="479"/>
      <c r="J87" s="479"/>
      <c r="K87" s="479"/>
      <c r="L87" s="479"/>
      <c r="M87" s="479"/>
      <c r="N87" s="479"/>
      <c r="O87" s="479"/>
      <c r="P87" s="479"/>
      <c r="Q87" s="479"/>
      <c r="R87" s="479"/>
      <c r="S87" s="479"/>
      <c r="T87" s="479"/>
      <c r="U87" s="479"/>
      <c r="V87" s="479"/>
      <c r="W87" s="479"/>
      <c r="X87" s="479"/>
      <c r="Y87" s="479"/>
      <c r="Z87" s="479"/>
      <c r="AA87" s="479"/>
      <c r="AB87" s="479"/>
      <c r="AC87" s="479"/>
      <c r="AD87" s="479"/>
      <c r="AE87" s="479"/>
      <c r="AF87" s="479"/>
      <c r="AG87" s="479"/>
      <c r="AH87" s="479"/>
      <c r="AI87" s="479"/>
      <c r="AJ87" s="479"/>
      <c r="AK87" s="479"/>
      <c r="AL87" s="479"/>
      <c r="AM87" s="479"/>
      <c r="AN87" s="479"/>
      <c r="AO87" s="479"/>
      <c r="AP87" s="479"/>
      <c r="AQ87" s="479"/>
      <c r="AR87" s="479"/>
      <c r="AS87" s="479"/>
      <c r="AT87" s="479"/>
      <c r="AU87" s="479"/>
    </row>
    <row r="88" spans="1:47">
      <c r="A88" s="1320">
        <v>10</v>
      </c>
      <c r="B88" s="479"/>
      <c r="C88" s="358" t="s">
        <v>348</v>
      </c>
      <c r="D88" s="479"/>
      <c r="E88" s="496"/>
      <c r="F88" s="479"/>
      <c r="G88" s="496"/>
      <c r="H88" s="479"/>
      <c r="I88" s="496"/>
      <c r="J88" s="496"/>
      <c r="K88" s="496"/>
      <c r="L88" s="496"/>
      <c r="M88" s="496"/>
      <c r="N88" s="496"/>
      <c r="O88" s="496"/>
      <c r="P88" s="479"/>
      <c r="Q88" s="479"/>
      <c r="R88" s="479"/>
      <c r="S88" s="479"/>
      <c r="T88" s="479"/>
      <c r="U88" s="479"/>
      <c r="V88" s="479"/>
      <c r="W88" s="479"/>
      <c r="X88" s="479"/>
      <c r="Y88" s="479"/>
      <c r="Z88" s="479"/>
      <c r="AA88" s="479"/>
      <c r="AB88" s="479"/>
      <c r="AC88" s="479"/>
      <c r="AD88" s="479"/>
      <c r="AE88" s="479"/>
      <c r="AF88" s="479"/>
      <c r="AG88" s="479"/>
      <c r="AH88" s="479"/>
      <c r="AI88" s="479"/>
      <c r="AJ88" s="479"/>
      <c r="AK88" s="479"/>
      <c r="AL88" s="479"/>
      <c r="AM88" s="479"/>
      <c r="AN88" s="479"/>
      <c r="AO88" s="479"/>
      <c r="AP88" s="479"/>
      <c r="AQ88" s="479"/>
      <c r="AR88" s="479"/>
      <c r="AS88" s="479"/>
      <c r="AT88" s="479"/>
      <c r="AU88" s="479"/>
    </row>
    <row r="89" spans="1:47">
      <c r="A89" s="1320">
        <v>11</v>
      </c>
      <c r="B89" s="479"/>
      <c r="C89" s="485" t="s">
        <v>425</v>
      </c>
      <c r="D89" s="479"/>
      <c r="E89" s="496"/>
      <c r="F89" s="479"/>
      <c r="G89" s="496"/>
      <c r="H89" s="479"/>
      <c r="I89" s="496"/>
      <c r="J89" s="496"/>
      <c r="K89" s="496"/>
      <c r="L89" s="496"/>
      <c r="M89" s="496"/>
      <c r="N89" s="496"/>
      <c r="O89" s="496"/>
      <c r="P89" s="479"/>
      <c r="Q89" s="479"/>
      <c r="R89" s="479"/>
      <c r="S89" s="479"/>
      <c r="T89" s="479"/>
      <c r="U89" s="479"/>
      <c r="V89" s="479"/>
      <c r="W89" s="479"/>
      <c r="X89" s="479"/>
      <c r="Y89" s="479"/>
      <c r="Z89" s="479"/>
      <c r="AA89" s="479"/>
      <c r="AB89" s="479"/>
      <c r="AC89" s="479"/>
      <c r="AD89" s="479"/>
      <c r="AE89" s="479"/>
      <c r="AF89" s="479"/>
      <c r="AG89" s="479"/>
      <c r="AH89" s="479"/>
      <c r="AI89" s="479"/>
      <c r="AJ89" s="479"/>
      <c r="AK89" s="479"/>
      <c r="AL89" s="479"/>
      <c r="AM89" s="479"/>
      <c r="AN89" s="479"/>
      <c r="AO89" s="479"/>
      <c r="AP89" s="479"/>
      <c r="AQ89" s="479"/>
      <c r="AR89" s="479"/>
      <c r="AS89" s="479"/>
      <c r="AT89" s="479"/>
      <c r="AU89" s="479"/>
    </row>
    <row r="90" spans="1:47">
      <c r="A90" s="1320">
        <v>12</v>
      </c>
      <c r="B90" s="479"/>
      <c r="C90" s="485" t="s">
        <v>1204</v>
      </c>
      <c r="D90" s="479"/>
      <c r="E90" s="499">
        <f>SUM(E87:E89)</f>
        <v>0</v>
      </c>
      <c r="F90" s="479"/>
      <c r="G90" s="499">
        <f>SUM(G87:G89)</f>
        <v>0</v>
      </c>
      <c r="H90" s="500"/>
      <c r="I90" s="499">
        <f>SUM(I87:I89)</f>
        <v>0</v>
      </c>
      <c r="J90" s="501"/>
      <c r="K90" s="499">
        <f>SUM(K87:K89)</f>
        <v>0</v>
      </c>
      <c r="L90" s="501"/>
      <c r="M90" s="499">
        <f>SUM(M87:M89)</f>
        <v>0</v>
      </c>
      <c r="N90" s="501"/>
      <c r="O90" s="499">
        <f>SUM(O87:O89)</f>
        <v>0</v>
      </c>
      <c r="P90" s="479"/>
      <c r="Q90" s="479"/>
      <c r="R90" s="479"/>
      <c r="S90" s="479"/>
      <c r="T90" s="479"/>
      <c r="U90" s="479"/>
      <c r="V90" s="479"/>
      <c r="W90" s="479"/>
      <c r="X90" s="479"/>
      <c r="Y90" s="479"/>
      <c r="Z90" s="479"/>
      <c r="AA90" s="479"/>
      <c r="AB90" s="479"/>
      <c r="AC90" s="479"/>
      <c r="AD90" s="479"/>
      <c r="AE90" s="479"/>
      <c r="AF90" s="479"/>
      <c r="AG90" s="479"/>
      <c r="AH90" s="479"/>
      <c r="AI90" s="479"/>
      <c r="AJ90" s="479"/>
      <c r="AK90" s="479"/>
      <c r="AL90" s="479"/>
      <c r="AM90" s="479"/>
      <c r="AN90" s="479"/>
      <c r="AO90" s="479"/>
      <c r="AP90" s="479"/>
      <c r="AQ90" s="479"/>
      <c r="AR90" s="479"/>
      <c r="AS90" s="479"/>
      <c r="AT90" s="479"/>
      <c r="AU90" s="479"/>
    </row>
    <row r="91" spans="1:47">
      <c r="A91" s="1320">
        <v>13</v>
      </c>
      <c r="B91" s="479"/>
      <c r="C91" s="479"/>
      <c r="D91" s="479"/>
      <c r="E91" s="501"/>
      <c r="F91" s="479"/>
      <c r="G91" s="501"/>
      <c r="H91" s="479"/>
      <c r="I91" s="498"/>
      <c r="J91" s="498"/>
      <c r="K91" s="498"/>
      <c r="L91" s="498"/>
      <c r="M91" s="498"/>
      <c r="N91" s="498"/>
      <c r="O91" s="498"/>
      <c r="P91" s="479"/>
      <c r="Q91" s="479"/>
      <c r="R91" s="479"/>
      <c r="S91" s="479"/>
      <c r="T91" s="479"/>
      <c r="U91" s="479"/>
      <c r="V91" s="479"/>
      <c r="W91" s="479"/>
      <c r="X91" s="479"/>
      <c r="Y91" s="479"/>
      <c r="Z91" s="479"/>
      <c r="AA91" s="479"/>
      <c r="AB91" s="479"/>
      <c r="AC91" s="479"/>
      <c r="AD91" s="479"/>
      <c r="AE91" s="479"/>
      <c r="AF91" s="479"/>
      <c r="AG91" s="479"/>
      <c r="AH91" s="479"/>
      <c r="AI91" s="479"/>
      <c r="AJ91" s="479"/>
      <c r="AK91" s="479"/>
      <c r="AL91" s="479"/>
      <c r="AM91" s="479"/>
      <c r="AN91" s="479"/>
      <c r="AO91" s="479"/>
      <c r="AP91" s="479"/>
      <c r="AQ91" s="479"/>
      <c r="AR91" s="479"/>
      <c r="AS91" s="479"/>
      <c r="AT91" s="479"/>
      <c r="AU91" s="479"/>
    </row>
    <row r="92" spans="1:47">
      <c r="A92" s="1320">
        <v>14</v>
      </c>
      <c r="B92" s="479"/>
      <c r="C92" s="485" t="s">
        <v>198</v>
      </c>
      <c r="D92" s="479"/>
      <c r="E92" s="498"/>
      <c r="F92" s="479"/>
      <c r="G92" s="498"/>
      <c r="H92" s="479"/>
      <c r="I92" s="498"/>
      <c r="J92" s="498"/>
      <c r="K92" s="498"/>
      <c r="L92" s="498"/>
      <c r="M92" s="498"/>
      <c r="N92" s="498"/>
      <c r="O92" s="498"/>
      <c r="P92" s="479"/>
      <c r="Q92" s="479"/>
      <c r="R92" s="479"/>
      <c r="S92" s="479"/>
      <c r="T92" s="479"/>
      <c r="U92" s="479"/>
      <c r="V92" s="479"/>
      <c r="W92" s="479"/>
      <c r="X92" s="479"/>
      <c r="Y92" s="479"/>
      <c r="Z92" s="479"/>
      <c r="AA92" s="479"/>
      <c r="AB92" s="479"/>
      <c r="AC92" s="479"/>
      <c r="AD92" s="479"/>
      <c r="AE92" s="479"/>
      <c r="AF92" s="479"/>
      <c r="AG92" s="479"/>
      <c r="AH92" s="479"/>
      <c r="AI92" s="479"/>
      <c r="AJ92" s="479"/>
      <c r="AK92" s="479"/>
      <c r="AL92" s="479"/>
      <c r="AM92" s="479"/>
      <c r="AN92" s="479"/>
      <c r="AO92" s="479"/>
      <c r="AP92" s="479"/>
      <c r="AQ92" s="479"/>
      <c r="AR92" s="479"/>
      <c r="AS92" s="479"/>
      <c r="AT92" s="479"/>
      <c r="AU92" s="479"/>
    </row>
    <row r="93" spans="1:47">
      <c r="A93" s="1320">
        <v>15</v>
      </c>
      <c r="B93" s="479"/>
      <c r="C93" s="485" t="s">
        <v>2253</v>
      </c>
      <c r="D93" s="479"/>
      <c r="E93" s="496">
        <f ca="1">SCH_C2!F30</f>
        <v>79447</v>
      </c>
      <c r="F93" s="479"/>
      <c r="G93" s="498"/>
      <c r="H93" s="479"/>
      <c r="I93" s="498"/>
      <c r="J93" s="498"/>
      <c r="K93" s="498"/>
      <c r="L93" s="498"/>
      <c r="M93" s="498"/>
      <c r="N93" s="498"/>
      <c r="O93" s="498"/>
      <c r="P93" s="479"/>
      <c r="Q93" s="479"/>
      <c r="R93" s="479"/>
      <c r="S93" s="479"/>
      <c r="T93" s="479"/>
      <c r="U93" s="479"/>
      <c r="V93" s="479"/>
      <c r="W93" s="479"/>
      <c r="X93" s="479"/>
      <c r="Y93" s="479"/>
      <c r="Z93" s="479"/>
      <c r="AA93" s="479"/>
      <c r="AB93" s="479"/>
      <c r="AC93" s="479"/>
      <c r="AD93" s="479"/>
      <c r="AE93" s="479"/>
      <c r="AF93" s="479"/>
      <c r="AG93" s="479"/>
      <c r="AH93" s="479"/>
      <c r="AI93" s="479"/>
      <c r="AJ93" s="479"/>
      <c r="AK93" s="479"/>
      <c r="AL93" s="479"/>
      <c r="AM93" s="479"/>
      <c r="AN93" s="479"/>
      <c r="AO93" s="479"/>
      <c r="AP93" s="479"/>
      <c r="AQ93" s="479"/>
      <c r="AR93" s="479"/>
      <c r="AS93" s="479"/>
      <c r="AT93" s="479"/>
      <c r="AU93" s="479"/>
    </row>
    <row r="94" spans="1:47">
      <c r="A94" s="1320">
        <v>16</v>
      </c>
      <c r="B94" s="479"/>
      <c r="C94" s="485" t="s">
        <v>258</v>
      </c>
      <c r="D94" s="479"/>
      <c r="E94" s="496"/>
      <c r="F94" s="479"/>
      <c r="G94" s="496">
        <f ca="1">SCH_C2!F31</f>
        <v>-43555</v>
      </c>
      <c r="H94" s="479"/>
      <c r="I94" s="496"/>
      <c r="J94" s="496"/>
      <c r="K94" s="496"/>
      <c r="L94" s="496"/>
      <c r="M94" s="496"/>
      <c r="N94" s="496"/>
      <c r="O94" s="496"/>
      <c r="P94" s="479"/>
      <c r="Q94" s="479"/>
      <c r="R94" s="479"/>
      <c r="S94" s="479"/>
      <c r="T94" s="479"/>
      <c r="U94" s="479"/>
      <c r="V94" s="479"/>
      <c r="W94" s="479"/>
      <c r="X94" s="479"/>
      <c r="Y94" s="479"/>
      <c r="Z94" s="479"/>
      <c r="AA94" s="479"/>
      <c r="AB94" s="479"/>
      <c r="AC94" s="479"/>
      <c r="AD94" s="479"/>
      <c r="AE94" s="479"/>
      <c r="AF94" s="479"/>
      <c r="AG94" s="479"/>
      <c r="AH94" s="479"/>
      <c r="AI94" s="479"/>
      <c r="AJ94" s="479"/>
      <c r="AK94" s="479"/>
      <c r="AL94" s="479"/>
      <c r="AM94" s="479"/>
      <c r="AN94" s="479"/>
      <c r="AO94" s="479"/>
      <c r="AP94" s="479"/>
      <c r="AQ94" s="479"/>
      <c r="AR94" s="479"/>
      <c r="AS94" s="479"/>
      <c r="AT94" s="479"/>
      <c r="AU94" s="479"/>
    </row>
    <row r="95" spans="1:47">
      <c r="A95" s="1320">
        <v>17</v>
      </c>
      <c r="B95" s="479"/>
      <c r="C95" s="485" t="s">
        <v>259</v>
      </c>
      <c r="D95" s="479"/>
      <c r="E95" s="496"/>
      <c r="F95" s="479"/>
      <c r="G95" s="496"/>
      <c r="H95" s="479"/>
      <c r="I95" s="496">
        <f ca="1">SCH_C2!F32</f>
        <v>671968</v>
      </c>
      <c r="J95" s="496"/>
      <c r="K95" s="496"/>
      <c r="L95" s="496"/>
      <c r="M95" s="496"/>
      <c r="N95" s="496"/>
      <c r="O95" s="496"/>
      <c r="P95" s="479"/>
      <c r="Q95" s="479"/>
      <c r="R95" s="479"/>
      <c r="S95" s="479"/>
      <c r="T95" s="479"/>
      <c r="U95" s="479"/>
      <c r="V95" s="479"/>
      <c r="W95" s="479"/>
      <c r="X95" s="479"/>
      <c r="Y95" s="479"/>
      <c r="Z95" s="479"/>
      <c r="AA95" s="479"/>
      <c r="AB95" s="479"/>
      <c r="AC95" s="479"/>
      <c r="AD95" s="479"/>
      <c r="AE95" s="479"/>
      <c r="AF95" s="479"/>
      <c r="AG95" s="479"/>
      <c r="AH95" s="479"/>
      <c r="AI95" s="479"/>
      <c r="AJ95" s="479"/>
      <c r="AK95" s="479"/>
      <c r="AL95" s="479"/>
      <c r="AM95" s="479"/>
      <c r="AN95" s="479"/>
      <c r="AO95" s="479"/>
      <c r="AP95" s="479"/>
      <c r="AQ95" s="479"/>
      <c r="AR95" s="479"/>
      <c r="AS95" s="479"/>
      <c r="AT95" s="479"/>
      <c r="AU95" s="479"/>
    </row>
    <row r="96" spans="1:47">
      <c r="A96" s="1320">
        <v>18</v>
      </c>
      <c r="B96" s="479"/>
      <c r="C96" s="485" t="s">
        <v>260</v>
      </c>
      <c r="D96" s="479"/>
      <c r="E96" s="496"/>
      <c r="F96" s="479"/>
      <c r="G96" s="496"/>
      <c r="H96" s="479"/>
      <c r="I96" s="496"/>
      <c r="J96" s="496"/>
      <c r="K96" s="496">
        <f ca="1">SCH_C2!F33</f>
        <v>183121</v>
      </c>
      <c r="L96" s="496"/>
      <c r="M96" s="496"/>
      <c r="N96" s="496"/>
      <c r="O96" s="496"/>
      <c r="P96" s="479"/>
      <c r="Q96" s="479"/>
      <c r="R96" s="479"/>
      <c r="S96" s="479"/>
      <c r="T96" s="479"/>
      <c r="U96" s="479"/>
      <c r="V96" s="479"/>
      <c r="W96" s="479"/>
      <c r="X96" s="479"/>
      <c r="Y96" s="479"/>
      <c r="Z96" s="479"/>
      <c r="AA96" s="479"/>
      <c r="AB96" s="479"/>
      <c r="AC96" s="479"/>
      <c r="AD96" s="479"/>
      <c r="AE96" s="479"/>
      <c r="AF96" s="479"/>
      <c r="AG96" s="479"/>
      <c r="AH96" s="479"/>
      <c r="AI96" s="479"/>
      <c r="AJ96" s="479"/>
      <c r="AK96" s="479"/>
      <c r="AL96" s="479"/>
      <c r="AM96" s="479"/>
      <c r="AN96" s="479"/>
      <c r="AO96" s="479"/>
      <c r="AP96" s="479"/>
      <c r="AQ96" s="479"/>
      <c r="AR96" s="479"/>
      <c r="AS96" s="479"/>
      <c r="AT96" s="479"/>
      <c r="AU96" s="479"/>
    </row>
    <row r="97" spans="1:47">
      <c r="A97" s="1320">
        <v>19</v>
      </c>
      <c r="B97" s="479"/>
      <c r="C97" s="485" t="s">
        <v>261</v>
      </c>
      <c r="D97" s="479"/>
      <c r="E97" s="496"/>
      <c r="F97" s="479"/>
      <c r="G97" s="496"/>
      <c r="H97" s="479"/>
      <c r="I97" s="496"/>
      <c r="J97" s="496"/>
      <c r="K97" s="496"/>
      <c r="L97" s="496"/>
      <c r="M97" s="496">
        <f ca="1">SCH_C2!F34</f>
        <v>-151501</v>
      </c>
      <c r="N97" s="496"/>
      <c r="O97" s="496"/>
      <c r="P97" s="479"/>
      <c r="Q97" s="479"/>
      <c r="R97" s="479"/>
      <c r="S97" s="479"/>
      <c r="T97" s="479"/>
      <c r="U97" s="479"/>
      <c r="V97" s="479"/>
      <c r="W97" s="479"/>
      <c r="X97" s="479"/>
      <c r="Y97" s="479"/>
      <c r="Z97" s="479"/>
      <c r="AA97" s="479"/>
      <c r="AB97" s="479"/>
      <c r="AC97" s="479"/>
      <c r="AD97" s="479"/>
      <c r="AE97" s="479"/>
      <c r="AF97" s="479"/>
      <c r="AG97" s="479"/>
      <c r="AH97" s="479"/>
      <c r="AI97" s="479"/>
      <c r="AJ97" s="479"/>
      <c r="AK97" s="479"/>
      <c r="AL97" s="479"/>
      <c r="AM97" s="479"/>
      <c r="AN97" s="479"/>
      <c r="AO97" s="479"/>
      <c r="AP97" s="479"/>
      <c r="AQ97" s="479"/>
      <c r="AR97" s="479"/>
      <c r="AS97" s="479"/>
      <c r="AT97" s="479"/>
      <c r="AU97" s="479"/>
    </row>
    <row r="98" spans="1:47">
      <c r="A98" s="1320">
        <v>20</v>
      </c>
      <c r="B98" s="479"/>
      <c r="C98" s="485" t="s">
        <v>262</v>
      </c>
      <c r="D98" s="479"/>
      <c r="E98" s="496"/>
      <c r="F98" s="479"/>
      <c r="G98" s="496"/>
      <c r="H98" s="479"/>
      <c r="I98" s="496"/>
      <c r="J98" s="496"/>
      <c r="K98" s="496"/>
      <c r="L98" s="496"/>
      <c r="M98" s="496"/>
      <c r="N98" s="496"/>
      <c r="O98" s="496">
        <f ca="1">SCH_C2!F35</f>
        <v>-1497124</v>
      </c>
      <c r="P98" s="479"/>
      <c r="Q98" s="479"/>
      <c r="R98" s="479"/>
      <c r="S98" s="479"/>
      <c r="T98" s="479"/>
      <c r="U98" s="479"/>
      <c r="V98" s="479"/>
      <c r="W98" s="479"/>
      <c r="X98" s="479"/>
      <c r="Y98" s="479"/>
      <c r="Z98" s="479"/>
      <c r="AA98" s="479"/>
      <c r="AB98" s="479"/>
      <c r="AC98" s="479"/>
      <c r="AD98" s="479"/>
      <c r="AE98" s="479"/>
      <c r="AF98" s="479"/>
      <c r="AG98" s="479"/>
      <c r="AH98" s="479"/>
      <c r="AI98" s="479"/>
      <c r="AJ98" s="479"/>
      <c r="AK98" s="479"/>
      <c r="AL98" s="479"/>
      <c r="AM98" s="479"/>
      <c r="AN98" s="479"/>
      <c r="AO98" s="479"/>
      <c r="AP98" s="479"/>
      <c r="AQ98" s="479"/>
      <c r="AR98" s="479"/>
      <c r="AS98" s="479"/>
      <c r="AT98" s="479"/>
      <c r="AU98" s="479"/>
    </row>
    <row r="99" spans="1:47">
      <c r="A99" s="1320">
        <v>21</v>
      </c>
      <c r="B99" s="479"/>
      <c r="C99" s="485" t="s">
        <v>1509</v>
      </c>
      <c r="D99" s="479"/>
      <c r="E99" s="496"/>
      <c r="F99" s="479"/>
      <c r="G99" s="496"/>
      <c r="H99" s="479"/>
      <c r="I99" s="496"/>
      <c r="J99" s="496"/>
      <c r="K99" s="496"/>
      <c r="L99" s="496"/>
      <c r="M99" s="496"/>
      <c r="N99" s="496"/>
      <c r="O99" s="496"/>
      <c r="P99" s="479"/>
      <c r="Q99" s="479"/>
      <c r="R99" s="479"/>
      <c r="S99" s="479"/>
      <c r="T99" s="479"/>
      <c r="U99" s="479"/>
      <c r="V99" s="479"/>
      <c r="W99" s="479"/>
      <c r="X99" s="479"/>
      <c r="Y99" s="479"/>
      <c r="Z99" s="479"/>
      <c r="AA99" s="479"/>
      <c r="AB99" s="479"/>
      <c r="AC99" s="479"/>
      <c r="AD99" s="479"/>
      <c r="AE99" s="479"/>
      <c r="AF99" s="479"/>
      <c r="AG99" s="479"/>
      <c r="AH99" s="479"/>
      <c r="AI99" s="479"/>
      <c r="AJ99" s="479"/>
      <c r="AK99" s="479"/>
      <c r="AL99" s="479"/>
      <c r="AM99" s="479"/>
      <c r="AN99" s="479"/>
      <c r="AO99" s="479"/>
      <c r="AP99" s="479"/>
      <c r="AQ99" s="479"/>
      <c r="AR99" s="479"/>
      <c r="AS99" s="479"/>
      <c r="AT99" s="479"/>
      <c r="AU99" s="479"/>
    </row>
    <row r="100" spans="1:47">
      <c r="A100" s="1320">
        <v>22</v>
      </c>
      <c r="B100" s="479"/>
      <c r="C100" s="485" t="s">
        <v>1838</v>
      </c>
      <c r="D100" s="479"/>
      <c r="E100" s="497">
        <f ca="1">E90+SUM(E92:E99)</f>
        <v>79447</v>
      </c>
      <c r="F100" s="479"/>
      <c r="G100" s="497">
        <f ca="1">G90+SUM(G92:G99)</f>
        <v>-43555</v>
      </c>
      <c r="H100" s="479"/>
      <c r="I100" s="497">
        <f ca="1">I90+SUM(I92:I99)</f>
        <v>671968</v>
      </c>
      <c r="J100" s="496"/>
      <c r="K100" s="497">
        <f ca="1">K90+SUM(K92:K99)</f>
        <v>183121</v>
      </c>
      <c r="L100" s="496"/>
      <c r="M100" s="497">
        <f ca="1">M90+SUM(M92:M99)</f>
        <v>-151501</v>
      </c>
      <c r="N100" s="496"/>
      <c r="O100" s="497">
        <f ca="1">O90+SUM(O92:O99)</f>
        <v>-1497124</v>
      </c>
      <c r="P100" s="479"/>
      <c r="Q100" s="479"/>
      <c r="R100" s="479"/>
      <c r="S100" s="479"/>
      <c r="T100" s="479"/>
      <c r="U100" s="479"/>
      <c r="V100" s="479"/>
      <c r="W100" s="479"/>
      <c r="X100" s="479"/>
      <c r="Y100" s="479"/>
      <c r="Z100" s="479"/>
      <c r="AA100" s="479"/>
      <c r="AB100" s="479"/>
      <c r="AC100" s="479"/>
      <c r="AD100" s="479"/>
      <c r="AE100" s="479"/>
      <c r="AF100" s="479"/>
      <c r="AG100" s="479"/>
      <c r="AH100" s="479"/>
      <c r="AI100" s="479"/>
      <c r="AJ100" s="479"/>
      <c r="AK100" s="479"/>
      <c r="AL100" s="479"/>
      <c r="AM100" s="479"/>
      <c r="AN100" s="479"/>
      <c r="AO100" s="479"/>
      <c r="AP100" s="479"/>
      <c r="AQ100" s="479"/>
      <c r="AR100" s="479"/>
      <c r="AS100" s="479"/>
      <c r="AT100" s="479"/>
      <c r="AU100" s="479"/>
    </row>
    <row r="101" spans="1:47">
      <c r="A101" s="1320">
        <v>23</v>
      </c>
      <c r="B101" s="479"/>
      <c r="C101" s="479"/>
      <c r="D101" s="479"/>
      <c r="E101" s="498"/>
      <c r="F101" s="479"/>
      <c r="G101" s="498"/>
      <c r="H101" s="479"/>
      <c r="I101" s="498"/>
      <c r="J101" s="498"/>
      <c r="K101" s="498"/>
      <c r="L101" s="498"/>
      <c r="M101" s="498"/>
      <c r="N101" s="498"/>
      <c r="O101" s="498"/>
      <c r="P101" s="479"/>
      <c r="Q101" s="479"/>
      <c r="R101" s="479"/>
      <c r="S101" s="479"/>
      <c r="T101" s="479"/>
      <c r="U101" s="479"/>
      <c r="V101" s="479"/>
      <c r="W101" s="479"/>
      <c r="X101" s="479"/>
      <c r="Y101" s="479"/>
      <c r="Z101" s="479"/>
      <c r="AA101" s="479"/>
      <c r="AB101" s="479"/>
      <c r="AC101" s="479"/>
      <c r="AD101" s="479"/>
      <c r="AE101" s="479"/>
      <c r="AF101" s="479"/>
      <c r="AG101" s="479"/>
      <c r="AH101" s="479"/>
      <c r="AI101" s="479"/>
      <c r="AJ101" s="479"/>
      <c r="AK101" s="479"/>
      <c r="AL101" s="479"/>
      <c r="AM101" s="479"/>
      <c r="AN101" s="479"/>
      <c r="AO101" s="479"/>
      <c r="AP101" s="479"/>
      <c r="AQ101" s="479"/>
      <c r="AR101" s="479"/>
      <c r="AS101" s="479"/>
      <c r="AT101" s="479"/>
      <c r="AU101" s="479"/>
    </row>
    <row r="102" spans="1:47">
      <c r="A102" s="1320">
        <v>24</v>
      </c>
      <c r="B102" s="479"/>
      <c r="C102" s="485" t="s">
        <v>805</v>
      </c>
      <c r="D102" s="479"/>
      <c r="E102" s="502"/>
      <c r="F102" s="479"/>
      <c r="G102" s="502"/>
      <c r="H102" s="479"/>
      <c r="I102" s="502"/>
      <c r="J102" s="496"/>
      <c r="K102" s="502"/>
      <c r="L102" s="496"/>
      <c r="M102" s="502"/>
      <c r="N102" s="496"/>
      <c r="O102" s="502"/>
      <c r="P102" s="479"/>
      <c r="Q102" s="479"/>
      <c r="R102" s="479"/>
      <c r="S102" s="479"/>
      <c r="T102" s="479"/>
      <c r="U102" s="479"/>
      <c r="V102" s="479"/>
      <c r="W102" s="479"/>
      <c r="X102" s="479"/>
      <c r="Y102" s="479"/>
      <c r="Z102" s="479"/>
      <c r="AA102" s="479"/>
      <c r="AB102" s="479"/>
      <c r="AC102" s="479"/>
      <c r="AD102" s="479"/>
      <c r="AE102" s="479"/>
      <c r="AF102" s="479"/>
      <c r="AG102" s="479"/>
      <c r="AH102" s="479"/>
      <c r="AI102" s="479"/>
      <c r="AJ102" s="479"/>
      <c r="AK102" s="479"/>
      <c r="AL102" s="479"/>
      <c r="AM102" s="479"/>
      <c r="AN102" s="479"/>
      <c r="AO102" s="479"/>
      <c r="AP102" s="479"/>
      <c r="AQ102" s="479"/>
      <c r="AR102" s="479"/>
      <c r="AS102" s="479"/>
      <c r="AT102" s="479"/>
      <c r="AU102" s="479"/>
    </row>
    <row r="103" spans="1:47">
      <c r="A103" s="1320">
        <v>25</v>
      </c>
      <c r="B103" s="479"/>
      <c r="C103" s="479"/>
      <c r="D103" s="479"/>
      <c r="E103" s="498"/>
      <c r="F103" s="479"/>
      <c r="G103" s="498"/>
      <c r="H103" s="479"/>
      <c r="I103" s="498"/>
      <c r="J103" s="498"/>
      <c r="K103" s="498"/>
      <c r="L103" s="498"/>
      <c r="M103" s="498"/>
      <c r="N103" s="498"/>
      <c r="O103" s="498"/>
      <c r="P103" s="479"/>
      <c r="Q103" s="479"/>
      <c r="R103" s="479"/>
      <c r="S103" s="479"/>
      <c r="T103" s="479"/>
      <c r="U103" s="479"/>
      <c r="V103" s="479"/>
      <c r="W103" s="479"/>
      <c r="X103" s="479"/>
      <c r="Y103" s="479"/>
      <c r="Z103" s="479"/>
      <c r="AA103" s="479"/>
      <c r="AB103" s="479"/>
      <c r="AC103" s="479"/>
      <c r="AD103" s="479"/>
      <c r="AE103" s="479"/>
      <c r="AF103" s="479"/>
      <c r="AG103" s="479"/>
      <c r="AH103" s="479"/>
      <c r="AI103" s="479"/>
      <c r="AJ103" s="479"/>
      <c r="AK103" s="479"/>
      <c r="AL103" s="479"/>
      <c r="AM103" s="479"/>
      <c r="AN103" s="479"/>
      <c r="AO103" s="479"/>
      <c r="AP103" s="479"/>
      <c r="AQ103" s="479"/>
      <c r="AR103" s="479"/>
      <c r="AS103" s="479"/>
      <c r="AT103" s="479"/>
      <c r="AU103" s="479"/>
    </row>
    <row r="104" spans="1:47">
      <c r="A104" s="1320">
        <v>26</v>
      </c>
      <c r="B104" s="479"/>
      <c r="C104" s="485" t="s">
        <v>1932</v>
      </c>
      <c r="D104" s="479"/>
      <c r="E104" s="479"/>
      <c r="F104" s="479"/>
      <c r="G104" s="479"/>
      <c r="H104" s="479"/>
      <c r="I104" s="479"/>
      <c r="J104" s="479"/>
      <c r="K104" s="479"/>
      <c r="L104" s="479"/>
      <c r="M104" s="479"/>
      <c r="N104" s="479"/>
      <c r="O104" s="479"/>
      <c r="P104" s="479"/>
      <c r="Q104" s="479"/>
      <c r="R104" s="479"/>
      <c r="S104" s="479"/>
      <c r="T104" s="479"/>
      <c r="U104" s="479"/>
      <c r="V104" s="479"/>
      <c r="W104" s="479"/>
      <c r="X104" s="479"/>
      <c r="Y104" s="479"/>
      <c r="Z104" s="479"/>
      <c r="AA104" s="479"/>
      <c r="AB104" s="479"/>
      <c r="AC104" s="479"/>
      <c r="AD104" s="479"/>
      <c r="AE104" s="479"/>
      <c r="AF104" s="479"/>
      <c r="AG104" s="479"/>
      <c r="AH104" s="479"/>
      <c r="AI104" s="479"/>
      <c r="AJ104" s="479"/>
      <c r="AK104" s="479"/>
      <c r="AL104" s="479"/>
      <c r="AM104" s="479"/>
      <c r="AN104" s="479"/>
      <c r="AO104" s="479"/>
      <c r="AP104" s="479"/>
      <c r="AQ104" s="479"/>
      <c r="AR104" s="479"/>
      <c r="AS104" s="479"/>
      <c r="AT104" s="479"/>
      <c r="AU104" s="479"/>
    </row>
    <row r="105" spans="1:47">
      <c r="A105" s="1320">
        <v>27</v>
      </c>
      <c r="B105" s="479"/>
      <c r="C105" s="485" t="s">
        <v>1210</v>
      </c>
      <c r="D105" s="479"/>
      <c r="E105" s="496"/>
      <c r="F105" s="479"/>
      <c r="G105" s="496"/>
      <c r="H105" s="479"/>
      <c r="I105" s="496"/>
      <c r="J105" s="496"/>
      <c r="K105" s="496"/>
      <c r="L105" s="496"/>
      <c r="M105" s="496"/>
      <c r="N105" s="496"/>
      <c r="O105" s="496"/>
      <c r="P105" s="479"/>
      <c r="Q105" s="479"/>
      <c r="R105" s="479"/>
      <c r="S105" s="479"/>
      <c r="T105" s="479"/>
      <c r="U105" s="479"/>
      <c r="V105" s="479"/>
      <c r="W105" s="479"/>
      <c r="X105" s="479"/>
      <c r="Y105" s="479"/>
      <c r="Z105" s="479"/>
      <c r="AA105" s="479"/>
      <c r="AB105" s="479"/>
      <c r="AC105" s="479"/>
      <c r="AD105" s="479"/>
      <c r="AE105" s="479"/>
      <c r="AF105" s="479"/>
      <c r="AG105" s="479"/>
      <c r="AH105" s="479"/>
      <c r="AI105" s="479"/>
      <c r="AJ105" s="479"/>
      <c r="AK105" s="479"/>
      <c r="AL105" s="479"/>
      <c r="AM105" s="479"/>
      <c r="AN105" s="479"/>
      <c r="AO105" s="479"/>
      <c r="AP105" s="479"/>
      <c r="AQ105" s="479"/>
      <c r="AR105" s="479"/>
      <c r="AS105" s="479"/>
      <c r="AT105" s="479"/>
      <c r="AU105" s="479"/>
    </row>
    <row r="106" spans="1:47">
      <c r="A106" s="1320">
        <v>28</v>
      </c>
      <c r="B106" s="479"/>
      <c r="C106" s="485" t="s">
        <v>1212</v>
      </c>
      <c r="D106" s="479"/>
      <c r="E106" s="496"/>
      <c r="F106" s="479"/>
      <c r="G106" s="496"/>
      <c r="H106" s="479"/>
      <c r="I106" s="496"/>
      <c r="J106" s="496"/>
      <c r="K106" s="496"/>
      <c r="L106" s="496"/>
      <c r="M106" s="496"/>
      <c r="N106" s="496"/>
      <c r="O106" s="496"/>
      <c r="P106" s="479"/>
      <c r="Q106" s="479"/>
      <c r="R106" s="479"/>
      <c r="S106" s="479"/>
      <c r="T106" s="479"/>
      <c r="U106" s="479"/>
      <c r="V106" s="479"/>
      <c r="W106" s="479"/>
      <c r="X106" s="479"/>
      <c r="Y106" s="479"/>
      <c r="Z106" s="479"/>
      <c r="AA106" s="479"/>
      <c r="AB106" s="479"/>
      <c r="AC106" s="479"/>
      <c r="AD106" s="479"/>
      <c r="AE106" s="479"/>
      <c r="AF106" s="479"/>
      <c r="AG106" s="479"/>
      <c r="AH106" s="479"/>
      <c r="AI106" s="479"/>
      <c r="AJ106" s="479"/>
      <c r="AK106" s="479"/>
      <c r="AL106" s="479"/>
      <c r="AM106" s="479"/>
      <c r="AN106" s="479"/>
      <c r="AO106" s="479"/>
      <c r="AP106" s="479"/>
      <c r="AQ106" s="479"/>
      <c r="AR106" s="479"/>
      <c r="AS106" s="479"/>
      <c r="AT106" s="479"/>
      <c r="AU106" s="479"/>
    </row>
    <row r="107" spans="1:47">
      <c r="A107" s="1320">
        <v>29</v>
      </c>
      <c r="B107" s="479"/>
      <c r="C107" s="485" t="s">
        <v>1842</v>
      </c>
      <c r="D107" s="479"/>
      <c r="E107" s="497">
        <f>SUM(E105:E106)</f>
        <v>0</v>
      </c>
      <c r="F107" s="479"/>
      <c r="G107" s="497">
        <f>SUM(G105:G106)</f>
        <v>0</v>
      </c>
      <c r="H107" s="479"/>
      <c r="I107" s="497">
        <f>SUM(I105:I106)</f>
        <v>0</v>
      </c>
      <c r="J107" s="496"/>
      <c r="K107" s="497">
        <f>SUM(K105:K106)</f>
        <v>0</v>
      </c>
      <c r="L107" s="496"/>
      <c r="M107" s="497">
        <f>SUM(M105:M106)</f>
        <v>0</v>
      </c>
      <c r="N107" s="496"/>
      <c r="O107" s="497">
        <f>SUM(O105:O106)</f>
        <v>0</v>
      </c>
      <c r="P107" s="479"/>
      <c r="Q107" s="479"/>
      <c r="R107" s="479"/>
      <c r="S107" s="479"/>
      <c r="T107" s="479"/>
      <c r="U107" s="504"/>
      <c r="V107" s="504"/>
      <c r="W107" s="479"/>
      <c r="X107" s="479"/>
      <c r="Y107" s="479"/>
      <c r="Z107" s="479"/>
      <c r="AA107" s="479"/>
      <c r="AB107" s="479"/>
      <c r="AC107" s="479"/>
      <c r="AD107" s="479"/>
      <c r="AE107" s="479"/>
      <c r="AF107" s="479"/>
      <c r="AG107" s="479"/>
      <c r="AH107" s="479"/>
      <c r="AI107" s="479"/>
      <c r="AJ107" s="479"/>
      <c r="AK107" s="479"/>
      <c r="AL107" s="479"/>
      <c r="AM107" s="479"/>
      <c r="AN107" s="479"/>
      <c r="AO107" s="479"/>
      <c r="AP107" s="479"/>
      <c r="AQ107" s="479"/>
      <c r="AR107" s="479"/>
      <c r="AS107" s="479"/>
      <c r="AT107" s="479"/>
      <c r="AU107" s="479"/>
    </row>
    <row r="108" spans="1:47">
      <c r="A108" s="1320">
        <v>30</v>
      </c>
      <c r="B108" s="479"/>
      <c r="C108" s="485"/>
      <c r="D108" s="479"/>
      <c r="E108" s="501"/>
      <c r="F108" s="479"/>
      <c r="G108" s="501"/>
      <c r="H108" s="479"/>
      <c r="I108" s="501"/>
      <c r="J108" s="496"/>
      <c r="K108" s="501"/>
      <c r="L108" s="496"/>
      <c r="M108" s="501"/>
      <c r="N108" s="496"/>
      <c r="O108" s="501"/>
      <c r="P108" s="479"/>
      <c r="Q108" s="479"/>
      <c r="R108" s="479"/>
      <c r="S108" s="479"/>
      <c r="T108" s="479"/>
      <c r="U108" s="479"/>
      <c r="V108" s="479"/>
      <c r="W108" s="479"/>
      <c r="X108" s="479"/>
      <c r="Y108" s="479"/>
      <c r="Z108" s="479"/>
      <c r="AA108" s="479"/>
      <c r="AB108" s="479"/>
      <c r="AC108" s="479"/>
      <c r="AD108" s="479"/>
      <c r="AE108" s="479"/>
      <c r="AF108" s="479"/>
      <c r="AG108" s="479"/>
      <c r="AH108" s="479"/>
      <c r="AI108" s="479"/>
      <c r="AJ108" s="479"/>
      <c r="AK108" s="479"/>
      <c r="AL108" s="479"/>
      <c r="AM108" s="479"/>
      <c r="AN108" s="479"/>
      <c r="AO108" s="479"/>
      <c r="AP108" s="479"/>
      <c r="AQ108" s="479"/>
      <c r="AR108" s="479"/>
      <c r="AS108" s="479"/>
      <c r="AT108" s="479"/>
      <c r="AU108" s="479"/>
    </row>
    <row r="109" spans="1:47">
      <c r="A109" s="1320">
        <v>31</v>
      </c>
      <c r="B109" s="479"/>
      <c r="C109" s="485" t="s">
        <v>1843</v>
      </c>
      <c r="D109" s="479"/>
      <c r="E109" s="479"/>
      <c r="F109" s="479"/>
      <c r="G109" s="479"/>
      <c r="H109" s="479"/>
      <c r="I109" s="479"/>
      <c r="J109" s="479"/>
      <c r="K109" s="479"/>
      <c r="L109" s="479"/>
      <c r="M109" s="479"/>
      <c r="N109" s="479"/>
      <c r="O109" s="479"/>
      <c r="P109" s="479"/>
      <c r="Q109" s="479"/>
      <c r="R109" s="479"/>
      <c r="S109" s="479"/>
      <c r="T109" s="479"/>
      <c r="U109" s="479"/>
      <c r="V109" s="479"/>
      <c r="W109" s="479"/>
      <c r="X109" s="479"/>
      <c r="Y109" s="479"/>
      <c r="Z109" s="479"/>
      <c r="AA109" s="479"/>
      <c r="AB109" s="479"/>
      <c r="AC109" s="479"/>
      <c r="AD109" s="479"/>
      <c r="AE109" s="479"/>
      <c r="AF109" s="479"/>
      <c r="AG109" s="479"/>
      <c r="AH109" s="479"/>
      <c r="AI109" s="479"/>
      <c r="AJ109" s="479"/>
      <c r="AK109" s="479"/>
      <c r="AL109" s="479"/>
      <c r="AM109" s="479"/>
      <c r="AN109" s="479"/>
      <c r="AO109" s="479"/>
      <c r="AP109" s="479"/>
      <c r="AQ109" s="479"/>
      <c r="AR109" s="479"/>
      <c r="AS109" s="479"/>
      <c r="AT109" s="479"/>
      <c r="AU109" s="479"/>
    </row>
    <row r="110" spans="1:47">
      <c r="A110" s="1320">
        <v>32</v>
      </c>
      <c r="B110" s="479"/>
      <c r="C110" s="485" t="s">
        <v>910</v>
      </c>
      <c r="D110" s="479"/>
      <c r="E110" s="496">
        <f ca="1">ROUND((E83-E100-E102-E107)*SIT*APPORT,0)</f>
        <v>-4247</v>
      </c>
      <c r="F110" s="479"/>
      <c r="G110" s="496">
        <f ca="1">ROUND((G83-G100-G102-G107)*SIT*APPORT,0)</f>
        <v>2328</v>
      </c>
      <c r="H110" s="479"/>
      <c r="I110" s="496">
        <f ca="1">ROUND((I83-I100-I102-I107)*SIT*APPORT,0)</f>
        <v>-35918</v>
      </c>
      <c r="J110" s="496"/>
      <c r="K110" s="496">
        <f ca="1">ROUND((K83-K100-K102-K107)*SIT*APPORT,0)</f>
        <v>-9788</v>
      </c>
      <c r="L110" s="496"/>
      <c r="M110" s="496">
        <f ca="1">ROUND((M83-M100-M102-M107)*SIT*APPORT,0)</f>
        <v>8098</v>
      </c>
      <c r="N110" s="496"/>
      <c r="O110" s="496">
        <f ca="1">ROUND((O83-O100-O102-O107)*SIT*APPORT,0)</f>
        <v>80024</v>
      </c>
      <c r="P110" s="479"/>
      <c r="Q110" s="479"/>
      <c r="R110" s="479"/>
      <c r="S110" s="479"/>
      <c r="T110" s="479"/>
      <c r="U110" s="479"/>
      <c r="V110" s="479"/>
      <c r="W110" s="504"/>
      <c r="X110" s="479"/>
      <c r="Y110" s="479"/>
      <c r="Z110" s="479"/>
      <c r="AA110" s="479"/>
      <c r="AB110" s="479"/>
      <c r="AC110" s="479"/>
      <c r="AD110" s="479"/>
      <c r="AE110" s="479"/>
      <c r="AF110" s="479"/>
      <c r="AG110" s="479"/>
      <c r="AH110" s="479"/>
      <c r="AI110" s="479"/>
      <c r="AJ110" s="479"/>
      <c r="AK110" s="479"/>
      <c r="AL110" s="479"/>
      <c r="AM110" s="479"/>
      <c r="AN110" s="479"/>
      <c r="AO110" s="479"/>
      <c r="AP110" s="479"/>
      <c r="AQ110" s="479"/>
      <c r="AR110" s="479"/>
      <c r="AS110" s="479"/>
      <c r="AT110" s="479"/>
      <c r="AU110" s="479"/>
    </row>
    <row r="111" spans="1:47">
      <c r="A111" s="1320">
        <v>33</v>
      </c>
      <c r="B111" s="479"/>
      <c r="C111" s="485" t="s">
        <v>1800</v>
      </c>
      <c r="D111" s="479"/>
      <c r="E111" s="508"/>
      <c r="F111" s="479"/>
      <c r="G111" s="508"/>
      <c r="H111" s="479"/>
      <c r="I111" s="508"/>
      <c r="J111" s="496"/>
      <c r="K111" s="496"/>
      <c r="L111" s="496"/>
      <c r="M111" s="496"/>
      <c r="N111" s="496"/>
      <c r="O111" s="496"/>
      <c r="P111" s="479"/>
      <c r="Q111" s="479"/>
      <c r="R111" s="479"/>
      <c r="S111" s="479"/>
      <c r="T111" s="479"/>
      <c r="U111" s="479"/>
      <c r="V111" s="479"/>
      <c r="W111" s="479"/>
      <c r="X111" s="479"/>
      <c r="Y111" s="479"/>
      <c r="Z111" s="479"/>
      <c r="AA111" s="479"/>
      <c r="AB111" s="479"/>
      <c r="AC111" s="479"/>
      <c r="AD111" s="479"/>
      <c r="AE111" s="479"/>
      <c r="AF111" s="479"/>
      <c r="AG111" s="479"/>
      <c r="AH111" s="479"/>
      <c r="AI111" s="479"/>
      <c r="AJ111" s="479"/>
      <c r="AK111" s="479"/>
      <c r="AL111" s="479"/>
      <c r="AM111" s="479"/>
      <c r="AN111" s="479"/>
      <c r="AO111" s="479"/>
      <c r="AP111" s="479"/>
      <c r="AQ111" s="479"/>
      <c r="AR111" s="479"/>
      <c r="AS111" s="479"/>
      <c r="AT111" s="479"/>
      <c r="AU111" s="479"/>
    </row>
    <row r="112" spans="1:47">
      <c r="A112" s="1320">
        <v>34</v>
      </c>
      <c r="B112" s="479"/>
      <c r="C112" s="485" t="s">
        <v>1848</v>
      </c>
      <c r="D112" s="479"/>
      <c r="E112" s="497">
        <f ca="1">SUM(E110:E111)</f>
        <v>-4247</v>
      </c>
      <c r="F112" s="479"/>
      <c r="G112" s="497">
        <f ca="1">SUM(G110:G111)</f>
        <v>2328</v>
      </c>
      <c r="H112" s="479"/>
      <c r="I112" s="497">
        <f ca="1">SUM(I110:I111)</f>
        <v>-35918</v>
      </c>
      <c r="J112" s="496"/>
      <c r="K112" s="497">
        <f ca="1">SUM(K110:K111)</f>
        <v>-9788</v>
      </c>
      <c r="L112" s="496"/>
      <c r="M112" s="497">
        <f ca="1">SUM(M110:M111)</f>
        <v>8098</v>
      </c>
      <c r="N112" s="496"/>
      <c r="O112" s="497">
        <f ca="1">SUM(O110:O111)</f>
        <v>80024</v>
      </c>
      <c r="P112" s="479"/>
      <c r="Q112" s="479"/>
      <c r="R112" s="479"/>
      <c r="S112" s="479"/>
      <c r="T112" s="479"/>
      <c r="U112" s="479"/>
      <c r="V112" s="479"/>
      <c r="W112" s="479"/>
      <c r="X112" s="479"/>
      <c r="Y112" s="479"/>
      <c r="Z112" s="479"/>
      <c r="AA112" s="479"/>
      <c r="AB112" s="479"/>
      <c r="AC112" s="479"/>
      <c r="AD112" s="479"/>
      <c r="AE112" s="479"/>
      <c r="AF112" s="479"/>
      <c r="AG112" s="479"/>
      <c r="AH112" s="479"/>
      <c r="AI112" s="479"/>
      <c r="AJ112" s="479"/>
      <c r="AK112" s="479"/>
      <c r="AL112" s="479"/>
      <c r="AM112" s="479"/>
      <c r="AN112" s="479"/>
      <c r="AO112" s="479"/>
      <c r="AP112" s="479"/>
      <c r="AQ112" s="479"/>
      <c r="AR112" s="479"/>
      <c r="AS112" s="479"/>
      <c r="AT112" s="479"/>
      <c r="AU112" s="479"/>
    </row>
    <row r="113" spans="1:47">
      <c r="A113" s="1320">
        <v>35</v>
      </c>
      <c r="B113" s="479"/>
      <c r="C113" s="479"/>
      <c r="D113" s="479"/>
      <c r="E113" s="498"/>
      <c r="F113" s="479"/>
      <c r="G113" s="498"/>
      <c r="H113" s="479"/>
      <c r="I113" s="498"/>
      <c r="J113" s="498"/>
      <c r="K113" s="498"/>
      <c r="L113" s="498"/>
      <c r="M113" s="498"/>
      <c r="N113" s="498"/>
      <c r="O113" s="498"/>
      <c r="P113" s="479"/>
      <c r="Q113" s="479"/>
      <c r="R113" s="479"/>
      <c r="S113" s="479"/>
      <c r="T113" s="479"/>
      <c r="U113" s="479"/>
      <c r="V113" s="479"/>
      <c r="W113" s="479"/>
      <c r="X113" s="479"/>
      <c r="Y113" s="479"/>
      <c r="Z113" s="479"/>
      <c r="AA113" s="479"/>
      <c r="AB113" s="479"/>
      <c r="AC113" s="479"/>
      <c r="AD113" s="479"/>
      <c r="AE113" s="479"/>
      <c r="AF113" s="479"/>
      <c r="AG113" s="479"/>
      <c r="AH113" s="479"/>
      <c r="AI113" s="479"/>
      <c r="AJ113" s="479"/>
      <c r="AK113" s="479"/>
      <c r="AL113" s="479"/>
      <c r="AM113" s="479"/>
      <c r="AN113" s="479"/>
      <c r="AO113" s="479"/>
      <c r="AP113" s="479"/>
      <c r="AQ113" s="479"/>
      <c r="AR113" s="479"/>
      <c r="AS113" s="479"/>
      <c r="AT113" s="479"/>
      <c r="AU113" s="479"/>
    </row>
    <row r="114" spans="1:47">
      <c r="A114" s="1320">
        <v>36</v>
      </c>
      <c r="B114" s="479"/>
      <c r="C114" s="485" t="s">
        <v>379</v>
      </c>
      <c r="D114" s="479"/>
      <c r="E114" s="479"/>
      <c r="F114" s="479"/>
      <c r="G114" s="479"/>
      <c r="H114" s="479"/>
      <c r="I114" s="479"/>
      <c r="J114" s="479"/>
      <c r="K114" s="479"/>
      <c r="L114" s="479"/>
      <c r="M114" s="479"/>
      <c r="N114" s="479"/>
      <c r="O114" s="479"/>
      <c r="P114" s="479"/>
      <c r="Q114" s="479"/>
      <c r="R114" s="479"/>
      <c r="S114" s="479"/>
      <c r="T114" s="479"/>
      <c r="U114" s="479"/>
      <c r="V114" s="479"/>
      <c r="W114" s="479"/>
      <c r="X114" s="479"/>
      <c r="Y114" s="479"/>
      <c r="Z114" s="479"/>
      <c r="AA114" s="479"/>
      <c r="AB114" s="479"/>
      <c r="AC114" s="479"/>
      <c r="AD114" s="479"/>
      <c r="AE114" s="479"/>
      <c r="AF114" s="479"/>
      <c r="AG114" s="479"/>
      <c r="AH114" s="479"/>
      <c r="AI114" s="479"/>
      <c r="AJ114" s="479"/>
      <c r="AK114" s="479"/>
      <c r="AL114" s="479"/>
      <c r="AM114" s="479"/>
      <c r="AN114" s="479"/>
      <c r="AO114" s="479"/>
      <c r="AP114" s="479"/>
      <c r="AQ114" s="479"/>
      <c r="AR114" s="479"/>
      <c r="AS114" s="479"/>
      <c r="AT114" s="479"/>
      <c r="AU114" s="479"/>
    </row>
    <row r="115" spans="1:47">
      <c r="A115" s="1320">
        <v>37</v>
      </c>
      <c r="B115" s="479"/>
      <c r="C115" s="485" t="s">
        <v>910</v>
      </c>
      <c r="D115" s="479"/>
      <c r="E115" s="496">
        <f ca="1">ROUND((E83-E100-E102-E107-E110)*FIT,0)</f>
        <v>-26320</v>
      </c>
      <c r="F115" s="479"/>
      <c r="G115" s="496">
        <f ca="1">ROUND((G83-G100-G102-G107-G110)*FIT,0)</f>
        <v>14429</v>
      </c>
      <c r="H115" s="479"/>
      <c r="I115" s="496">
        <f ca="1">ROUND((I83-I100-I102-I107-I110)*FIT,0)</f>
        <v>-222618</v>
      </c>
      <c r="J115" s="496"/>
      <c r="K115" s="496">
        <f ca="1">ROUND((K83-K100-K102-K107-K110)*FIT,0)</f>
        <v>-60667</v>
      </c>
      <c r="L115" s="496"/>
      <c r="M115" s="496">
        <f ca="1">ROUND((M83-M100-M102-M107-M110)*FIT,0)</f>
        <v>50191</v>
      </c>
      <c r="N115" s="496"/>
      <c r="O115" s="496">
        <f ca="1">ROUND((O83-O100-O102-O107-O110)*FIT,0)</f>
        <v>495985</v>
      </c>
      <c r="P115" s="479"/>
      <c r="Q115" s="479"/>
      <c r="R115" s="479"/>
      <c r="S115" s="479"/>
      <c r="T115" s="479"/>
      <c r="U115" s="479"/>
      <c r="V115" s="479"/>
      <c r="W115" s="479"/>
      <c r="X115" s="504"/>
      <c r="Y115" s="479"/>
      <c r="Z115" s="479"/>
      <c r="AA115" s="479"/>
      <c r="AB115" s="479"/>
      <c r="AC115" s="479"/>
      <c r="AD115" s="479"/>
      <c r="AE115" s="479"/>
      <c r="AF115" s="479"/>
      <c r="AG115" s="479"/>
      <c r="AH115" s="479"/>
      <c r="AI115" s="479"/>
      <c r="AJ115" s="479"/>
      <c r="AK115" s="479"/>
      <c r="AL115" s="479"/>
      <c r="AM115" s="479"/>
      <c r="AN115" s="479"/>
      <c r="AO115" s="479"/>
      <c r="AP115" s="479"/>
      <c r="AQ115" s="479"/>
      <c r="AR115" s="479"/>
      <c r="AS115" s="479"/>
      <c r="AT115" s="479"/>
      <c r="AU115" s="479"/>
    </row>
    <row r="116" spans="1:47">
      <c r="A116" s="1320">
        <v>38</v>
      </c>
      <c r="B116" s="479"/>
      <c r="C116" s="485" t="s">
        <v>1800</v>
      </c>
      <c r="D116" s="479"/>
      <c r="E116" s="508"/>
      <c r="F116" s="479"/>
      <c r="G116" s="508"/>
      <c r="H116" s="479"/>
      <c r="I116" s="508"/>
      <c r="J116" s="496"/>
      <c r="K116" s="496"/>
      <c r="L116" s="496"/>
      <c r="M116" s="496"/>
      <c r="N116" s="496"/>
      <c r="O116" s="496"/>
      <c r="P116" s="479"/>
      <c r="Q116" s="479"/>
      <c r="R116" s="479"/>
      <c r="S116" s="479"/>
      <c r="T116" s="479"/>
      <c r="U116" s="479"/>
      <c r="V116" s="479"/>
      <c r="W116" s="479"/>
      <c r="X116" s="479"/>
      <c r="Y116" s="479"/>
      <c r="Z116" s="479"/>
      <c r="AA116" s="479"/>
      <c r="AB116" s="479"/>
      <c r="AC116" s="479"/>
      <c r="AD116" s="479"/>
      <c r="AE116" s="479"/>
      <c r="AF116" s="479"/>
      <c r="AG116" s="479"/>
      <c r="AH116" s="479"/>
      <c r="AI116" s="479"/>
      <c r="AJ116" s="479"/>
      <c r="AK116" s="479"/>
      <c r="AL116" s="479"/>
      <c r="AM116" s="479"/>
      <c r="AN116" s="479"/>
      <c r="AO116" s="479"/>
      <c r="AP116" s="479"/>
      <c r="AQ116" s="479"/>
      <c r="AR116" s="479"/>
      <c r="AS116" s="479"/>
      <c r="AT116" s="479"/>
      <c r="AU116" s="479"/>
    </row>
    <row r="117" spans="1:47">
      <c r="A117" s="1320">
        <v>39</v>
      </c>
      <c r="B117" s="479"/>
      <c r="C117" s="485" t="s">
        <v>1021</v>
      </c>
      <c r="D117" s="479"/>
      <c r="E117" s="508"/>
      <c r="F117" s="479"/>
      <c r="G117" s="508"/>
      <c r="H117" s="479"/>
      <c r="I117" s="496"/>
      <c r="J117" s="496"/>
      <c r="K117" s="496"/>
      <c r="L117" s="496"/>
      <c r="M117" s="496"/>
      <c r="N117" s="496"/>
      <c r="O117" s="496"/>
      <c r="P117" s="479"/>
      <c r="Q117" s="479"/>
      <c r="R117" s="479"/>
      <c r="S117" s="479"/>
      <c r="T117" s="479"/>
      <c r="U117" s="479"/>
      <c r="V117" s="479"/>
      <c r="W117" s="479"/>
      <c r="X117" s="479"/>
      <c r="Y117" s="479"/>
      <c r="Z117" s="479"/>
      <c r="AA117" s="479"/>
      <c r="AB117" s="479"/>
      <c r="AC117" s="479"/>
      <c r="AD117" s="479"/>
      <c r="AE117" s="479"/>
      <c r="AF117" s="479"/>
      <c r="AG117" s="479"/>
      <c r="AH117" s="479"/>
      <c r="AI117" s="479"/>
      <c r="AJ117" s="479"/>
      <c r="AK117" s="479"/>
      <c r="AL117" s="479"/>
      <c r="AM117" s="479"/>
      <c r="AN117" s="479"/>
      <c r="AO117" s="479"/>
      <c r="AP117" s="479"/>
      <c r="AQ117" s="479"/>
      <c r="AR117" s="479"/>
      <c r="AS117" s="479"/>
      <c r="AT117" s="479"/>
      <c r="AU117" s="479"/>
    </row>
    <row r="118" spans="1:47">
      <c r="A118" s="1320">
        <v>40</v>
      </c>
      <c r="B118" s="479"/>
      <c r="C118" s="485" t="s">
        <v>1850</v>
      </c>
      <c r="D118" s="479"/>
      <c r="E118" s="497">
        <f ca="1">SUM(E115:E117)</f>
        <v>-26320</v>
      </c>
      <c r="F118" s="479"/>
      <c r="G118" s="497">
        <f ca="1">SUM(G115:G117)</f>
        <v>14429</v>
      </c>
      <c r="H118" s="479"/>
      <c r="I118" s="497">
        <f ca="1">SUM(I115:I117)</f>
        <v>-222618</v>
      </c>
      <c r="J118" s="496"/>
      <c r="K118" s="497">
        <f ca="1">SUM(K115:K117)</f>
        <v>-60667</v>
      </c>
      <c r="L118" s="496"/>
      <c r="M118" s="497">
        <f ca="1">SUM(M115:M117)</f>
        <v>50191</v>
      </c>
      <c r="N118" s="496"/>
      <c r="O118" s="497">
        <f ca="1">SUM(O115:O117)</f>
        <v>495985</v>
      </c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</row>
    <row r="119" spans="1:47">
      <c r="A119" s="1320">
        <v>41</v>
      </c>
      <c r="B119" s="479"/>
      <c r="C119" s="479"/>
      <c r="D119" s="479"/>
      <c r="E119" s="498"/>
      <c r="F119" s="479"/>
      <c r="G119" s="498"/>
      <c r="H119" s="479"/>
      <c r="I119" s="498"/>
      <c r="J119" s="498"/>
      <c r="K119" s="498"/>
      <c r="L119" s="498"/>
      <c r="M119" s="498"/>
      <c r="N119" s="498"/>
      <c r="O119" s="498"/>
      <c r="P119" s="479"/>
      <c r="Q119" s="479"/>
      <c r="R119" s="479"/>
      <c r="S119" s="479"/>
      <c r="T119" s="479"/>
      <c r="U119" s="479"/>
      <c r="V119" s="479"/>
      <c r="W119" s="479"/>
      <c r="X119" s="479"/>
      <c r="Y119" s="479"/>
      <c r="Z119" s="479"/>
      <c r="AA119" s="479"/>
      <c r="AB119" s="479"/>
      <c r="AC119" s="479"/>
      <c r="AD119" s="479"/>
      <c r="AE119" s="479"/>
      <c r="AF119" s="479"/>
      <c r="AG119" s="479"/>
      <c r="AH119" s="479"/>
      <c r="AI119" s="479"/>
      <c r="AJ119" s="479"/>
      <c r="AK119" s="479"/>
      <c r="AL119" s="479"/>
      <c r="AM119" s="479"/>
      <c r="AN119" s="479"/>
      <c r="AO119" s="479"/>
      <c r="AP119" s="479"/>
      <c r="AQ119" s="479"/>
      <c r="AR119" s="479"/>
      <c r="AS119" s="479"/>
      <c r="AT119" s="479"/>
      <c r="AU119" s="479"/>
    </row>
    <row r="120" spans="1:47">
      <c r="A120" s="1320">
        <v>42</v>
      </c>
      <c r="B120" s="479"/>
      <c r="C120" s="485" t="s">
        <v>1851</v>
      </c>
      <c r="D120" s="479"/>
      <c r="E120" s="502">
        <f ca="1">E100+E102+E107+E112+E118</f>
        <v>48880</v>
      </c>
      <c r="F120" s="479"/>
      <c r="G120" s="502">
        <f ca="1">G100+G102+G107+G112+G118</f>
        <v>-26798</v>
      </c>
      <c r="H120" s="479"/>
      <c r="I120" s="502">
        <f ca="1">I100+I102+I107+I112+I118</f>
        <v>413432</v>
      </c>
      <c r="J120" s="496"/>
      <c r="K120" s="502">
        <f ca="1">K100+K102+K107+K112+K118</f>
        <v>112666</v>
      </c>
      <c r="L120" s="496"/>
      <c r="M120" s="502">
        <f ca="1">M100+M102+M107+M112+M118</f>
        <v>-93212</v>
      </c>
      <c r="N120" s="496"/>
      <c r="O120" s="502">
        <f ca="1">O100+O102+O107+O112+O118</f>
        <v>-921115</v>
      </c>
      <c r="P120" s="479"/>
      <c r="Q120" s="479"/>
      <c r="R120" s="479"/>
      <c r="S120" s="479"/>
      <c r="T120" s="479"/>
      <c r="U120" s="479"/>
      <c r="V120" s="479"/>
      <c r="W120" s="479"/>
      <c r="X120" s="479"/>
      <c r="Y120" s="479"/>
      <c r="Z120" s="479"/>
      <c r="AA120" s="479"/>
      <c r="AB120" s="479"/>
      <c r="AC120" s="479"/>
      <c r="AD120" s="479"/>
      <c r="AE120" s="479"/>
      <c r="AF120" s="479"/>
      <c r="AG120" s="479"/>
      <c r="AH120" s="479"/>
      <c r="AI120" s="479"/>
      <c r="AJ120" s="479"/>
      <c r="AK120" s="479"/>
      <c r="AL120" s="479"/>
      <c r="AM120" s="479"/>
      <c r="AN120" s="479"/>
      <c r="AO120" s="479"/>
      <c r="AP120" s="479"/>
      <c r="AQ120" s="479"/>
      <c r="AR120" s="479"/>
      <c r="AS120" s="479"/>
      <c r="AT120" s="479"/>
      <c r="AU120" s="479"/>
    </row>
    <row r="121" spans="1:47">
      <c r="A121" s="1320">
        <v>43</v>
      </c>
      <c r="B121" s="479"/>
      <c r="C121" s="479"/>
      <c r="D121" s="479"/>
      <c r="E121" s="498"/>
      <c r="F121" s="479"/>
      <c r="G121" s="498"/>
      <c r="H121" s="479"/>
      <c r="I121" s="498"/>
      <c r="J121" s="498"/>
      <c r="K121" s="498"/>
      <c r="L121" s="498"/>
      <c r="M121" s="498"/>
      <c r="N121" s="498"/>
      <c r="O121" s="498"/>
      <c r="P121" s="479"/>
      <c r="Q121" s="479"/>
      <c r="R121" s="479"/>
      <c r="S121" s="479"/>
      <c r="T121" s="479"/>
      <c r="U121" s="479"/>
      <c r="V121" s="479"/>
      <c r="W121" s="479"/>
      <c r="X121" s="479"/>
      <c r="Y121" s="479"/>
      <c r="Z121" s="479"/>
      <c r="AA121" s="479"/>
      <c r="AB121" s="479"/>
      <c r="AC121" s="479"/>
      <c r="AD121" s="479"/>
      <c r="AE121" s="479"/>
      <c r="AF121" s="479"/>
      <c r="AG121" s="479"/>
      <c r="AH121" s="479"/>
      <c r="AI121" s="479"/>
      <c r="AJ121" s="479"/>
      <c r="AK121" s="479"/>
      <c r="AL121" s="479"/>
      <c r="AM121" s="479"/>
      <c r="AN121" s="479"/>
      <c r="AO121" s="479"/>
      <c r="AP121" s="479"/>
      <c r="AQ121" s="479"/>
      <c r="AR121" s="479"/>
      <c r="AS121" s="479"/>
      <c r="AT121" s="479"/>
      <c r="AU121" s="479"/>
    </row>
    <row r="122" spans="1:47" ht="13.5" thickBot="1">
      <c r="A122" s="1320">
        <v>44</v>
      </c>
      <c r="B122" s="479"/>
      <c r="C122" s="485" t="s">
        <v>1492</v>
      </c>
      <c r="D122" s="479"/>
      <c r="E122" s="505">
        <f ca="1">E83-E120</f>
        <v>-48880</v>
      </c>
      <c r="F122" s="479"/>
      <c r="G122" s="505">
        <f ca="1">G83-G120</f>
        <v>26798</v>
      </c>
      <c r="H122" s="479"/>
      <c r="I122" s="505">
        <f ca="1">I83-I120</f>
        <v>-413432</v>
      </c>
      <c r="J122" s="496"/>
      <c r="K122" s="505">
        <f ca="1">K83-K120</f>
        <v>-112666</v>
      </c>
      <c r="L122" s="496"/>
      <c r="M122" s="505">
        <f ca="1">M83-M120</f>
        <v>93212</v>
      </c>
      <c r="N122" s="496"/>
      <c r="O122" s="505">
        <f ca="1">O83-O120</f>
        <v>921115</v>
      </c>
      <c r="P122" s="479"/>
      <c r="Q122" s="479"/>
      <c r="R122" s="479"/>
      <c r="S122" s="479"/>
      <c r="T122" s="479"/>
      <c r="U122" s="479"/>
      <c r="V122" s="479"/>
      <c r="W122" s="479"/>
      <c r="X122" s="479"/>
      <c r="Y122" s="479"/>
      <c r="Z122" s="479"/>
      <c r="AA122" s="479"/>
      <c r="AB122" s="479"/>
      <c r="AC122" s="479"/>
      <c r="AD122" s="479"/>
      <c r="AE122" s="479"/>
      <c r="AF122" s="479"/>
      <c r="AG122" s="479"/>
      <c r="AH122" s="479"/>
      <c r="AI122" s="479"/>
      <c r="AJ122" s="479"/>
      <c r="AK122" s="479"/>
      <c r="AL122" s="479"/>
      <c r="AM122" s="479"/>
      <c r="AN122" s="479"/>
      <c r="AO122" s="479"/>
      <c r="AP122" s="479"/>
      <c r="AQ122" s="479"/>
      <c r="AR122" s="479"/>
      <c r="AS122" s="479"/>
      <c r="AT122" s="479"/>
      <c r="AU122" s="479"/>
    </row>
    <row r="123" spans="1:47" ht="13.5" thickTop="1">
      <c r="A123" s="479"/>
      <c r="B123" s="479"/>
      <c r="C123" s="479"/>
      <c r="D123" s="496"/>
      <c r="E123" s="506">
        <f ca="1">IF(ISERR(ROUND((E112+E118)/(E122+E112+E118),4)=TRUE)," ",ROUND((E112+E118)/(E122+E112+E118),4))</f>
        <v>0.38469999999999999</v>
      </c>
      <c r="F123" s="479"/>
      <c r="G123" s="506">
        <f ca="1">IF(ISERR(ROUND((G112+G118)/(G122+G112+G118),4)=TRUE)," ",ROUND((G112+G118)/(G122+G112+G118),4))</f>
        <v>0.38469999999999999</v>
      </c>
      <c r="H123" s="506"/>
      <c r="I123" s="506">
        <f ca="1">IF(ISERR(ROUND((I112+I118)/(I122+I112+I118),4)=TRUE)," ",ROUND((I112+I118)/(I122+I112+I118),4))</f>
        <v>0.38469999999999999</v>
      </c>
      <c r="J123" s="506"/>
      <c r="K123" s="506">
        <f ca="1">IF(ISERR(ROUND((K112+K118)/(K122+K112+K118),4)=TRUE)," ",ROUND((K112+K118)/(K122+K112+K118),4))</f>
        <v>0.38469999999999999</v>
      </c>
      <c r="L123" s="506"/>
      <c r="M123" s="506">
        <f ca="1">IF(ISERR(ROUND((M112+M118)/(M122+M112+M118),4)=TRUE)," ",ROUND((M112+M118)/(M122+M112+M118),4))</f>
        <v>0.38469999999999999</v>
      </c>
      <c r="N123" s="506"/>
      <c r="O123" s="506">
        <f ca="1">IF(ISERR(ROUND((O112+O118)/(O122+O112+O118),4)=TRUE)," ",ROUND((O112+O118)/(O122+O112+O118),4))</f>
        <v>0.38469999999999999</v>
      </c>
      <c r="P123" s="479"/>
      <c r="Q123" s="479"/>
      <c r="R123" s="479"/>
      <c r="S123" s="479"/>
      <c r="T123" s="479"/>
      <c r="U123" s="479"/>
      <c r="V123" s="479"/>
      <c r="W123" s="479"/>
      <c r="X123" s="479"/>
      <c r="Y123" s="479"/>
      <c r="Z123" s="479"/>
      <c r="AA123" s="479"/>
      <c r="AB123" s="479"/>
      <c r="AC123" s="479"/>
      <c r="AD123" s="479"/>
      <c r="AE123" s="479"/>
      <c r="AF123" s="479"/>
      <c r="AG123" s="479"/>
      <c r="AH123" s="479"/>
      <c r="AI123" s="479"/>
      <c r="AJ123" s="479"/>
      <c r="AK123" s="479"/>
      <c r="AL123" s="479"/>
      <c r="AM123" s="479"/>
      <c r="AN123" s="479"/>
      <c r="AO123" s="479"/>
      <c r="AP123" s="479"/>
      <c r="AQ123" s="479"/>
      <c r="AR123" s="479"/>
      <c r="AS123" s="479"/>
      <c r="AT123" s="479"/>
      <c r="AU123" s="479"/>
    </row>
    <row r="124" spans="1:47">
      <c r="A124" s="485"/>
      <c r="B124" s="479"/>
      <c r="C124" s="479"/>
      <c r="D124" s="479"/>
      <c r="E124" s="479"/>
      <c r="F124" s="479"/>
      <c r="G124" s="479"/>
      <c r="H124" s="479"/>
      <c r="I124" s="479"/>
      <c r="J124" s="479"/>
      <c r="K124" s="479"/>
      <c r="L124" s="479"/>
      <c r="M124" s="479"/>
      <c r="N124" s="479"/>
      <c r="O124" s="479"/>
      <c r="P124" s="479"/>
      <c r="Q124" s="479"/>
      <c r="R124" s="479"/>
      <c r="S124" s="479"/>
      <c r="T124" s="479"/>
      <c r="U124" s="479"/>
      <c r="V124" s="479"/>
      <c r="W124" s="479"/>
      <c r="X124" s="479"/>
      <c r="Y124" s="479"/>
      <c r="Z124" s="479"/>
      <c r="AA124" s="479"/>
      <c r="AB124" s="479"/>
      <c r="AC124" s="479"/>
      <c r="AD124" s="479"/>
      <c r="AE124" s="479"/>
      <c r="AF124" s="479"/>
      <c r="AG124" s="479"/>
      <c r="AH124" s="479"/>
      <c r="AI124" s="479"/>
      <c r="AJ124" s="479"/>
      <c r="AK124" s="479"/>
      <c r="AL124" s="479"/>
      <c r="AM124" s="479"/>
      <c r="AN124" s="479"/>
      <c r="AO124" s="479"/>
      <c r="AP124" s="479"/>
      <c r="AQ124" s="479"/>
      <c r="AR124" s="479"/>
      <c r="AS124" s="479"/>
      <c r="AT124" s="479"/>
      <c r="AU124" s="479"/>
    </row>
    <row r="125" spans="1:47">
      <c r="A125" s="477" t="str">
        <f>COMPANY</f>
        <v>DUKE ENERGY KENTUCKY, INC.</v>
      </c>
      <c r="B125" s="478"/>
      <c r="C125" s="478"/>
      <c r="D125" s="478"/>
      <c r="E125" s="478"/>
      <c r="F125" s="478"/>
      <c r="G125" s="478"/>
      <c r="H125" s="478"/>
      <c r="I125" s="478"/>
      <c r="J125" s="478"/>
      <c r="K125" s="478"/>
      <c r="L125" s="478"/>
      <c r="M125" s="478"/>
      <c r="N125" s="478"/>
      <c r="O125" s="478"/>
      <c r="P125" s="479"/>
      <c r="Q125" s="479"/>
      <c r="R125" s="479"/>
      <c r="S125" s="479"/>
      <c r="T125" s="479"/>
      <c r="U125" s="479"/>
      <c r="V125" s="479"/>
      <c r="W125" s="479"/>
      <c r="X125" s="479"/>
      <c r="Y125" s="479"/>
      <c r="Z125" s="479"/>
      <c r="AA125" s="479"/>
      <c r="AB125" s="479"/>
      <c r="AC125" s="479"/>
      <c r="AD125" s="479"/>
      <c r="AE125" s="479"/>
      <c r="AF125" s="479"/>
      <c r="AG125" s="479"/>
      <c r="AH125" s="479"/>
      <c r="AI125" s="479"/>
      <c r="AJ125" s="479"/>
      <c r="AK125" s="479"/>
      <c r="AL125" s="479"/>
      <c r="AM125" s="479"/>
      <c r="AN125" s="479"/>
      <c r="AO125" s="479"/>
      <c r="AP125" s="479"/>
      <c r="AQ125" s="479"/>
      <c r="AR125" s="479"/>
      <c r="AS125" s="479"/>
      <c r="AT125" s="479"/>
      <c r="AU125" s="479"/>
    </row>
    <row r="126" spans="1:47">
      <c r="A126" s="477" t="str">
        <f>CASE</f>
        <v>CASE NO. 2017-00321</v>
      </c>
      <c r="B126" s="478"/>
      <c r="C126" s="478"/>
      <c r="D126" s="478"/>
      <c r="E126" s="480"/>
      <c r="F126" s="480"/>
      <c r="G126" s="478"/>
      <c r="H126" s="478"/>
      <c r="I126" s="478"/>
      <c r="J126" s="478"/>
      <c r="K126" s="478"/>
      <c r="L126" s="478"/>
      <c r="M126" s="478"/>
      <c r="N126" s="478"/>
      <c r="O126" s="478"/>
      <c r="P126" s="479"/>
      <c r="Q126" s="479"/>
      <c r="R126" s="479"/>
      <c r="S126" s="479"/>
      <c r="T126" s="479"/>
      <c r="U126" s="479"/>
      <c r="V126" s="479"/>
      <c r="W126" s="479"/>
      <c r="X126" s="479"/>
      <c r="Y126" s="479"/>
      <c r="Z126" s="479"/>
      <c r="AA126" s="479"/>
      <c r="AB126" s="479"/>
      <c r="AC126" s="479"/>
      <c r="AD126" s="479"/>
      <c r="AE126" s="479"/>
      <c r="AF126" s="479"/>
      <c r="AG126" s="479"/>
      <c r="AH126" s="479"/>
      <c r="AI126" s="479"/>
      <c r="AJ126" s="479"/>
      <c r="AK126" s="479"/>
      <c r="AL126" s="479"/>
      <c r="AM126" s="479"/>
      <c r="AN126" s="479"/>
      <c r="AO126" s="479"/>
      <c r="AP126" s="479"/>
      <c r="AQ126" s="479"/>
      <c r="AR126" s="479"/>
      <c r="AS126" s="479"/>
      <c r="AT126" s="479"/>
      <c r="AU126" s="479"/>
    </row>
    <row r="127" spans="1:47">
      <c r="A127" s="481" t="str">
        <f>$AG$501</f>
        <v>SUMMARY OF UTILITY JURISDICTIONAL ADJUSTMENTS TO</v>
      </c>
      <c r="B127" s="478"/>
      <c r="C127" s="478"/>
      <c r="D127" s="478"/>
      <c r="E127" s="478"/>
      <c r="F127" s="478"/>
      <c r="G127" s="478"/>
      <c r="H127" s="478"/>
      <c r="I127" s="478"/>
      <c r="J127" s="478"/>
      <c r="K127" s="478"/>
      <c r="L127" s="478"/>
      <c r="M127" s="478"/>
      <c r="N127" s="478"/>
      <c r="O127" s="478"/>
      <c r="P127" s="479"/>
      <c r="Q127" s="479"/>
      <c r="R127" s="479"/>
      <c r="S127" s="479"/>
      <c r="T127" s="479"/>
      <c r="U127" s="479"/>
      <c r="V127" s="479"/>
      <c r="W127" s="479"/>
      <c r="X127" s="479"/>
      <c r="Y127" s="479"/>
      <c r="Z127" s="479"/>
      <c r="AA127" s="479"/>
      <c r="AB127" s="479"/>
      <c r="AC127" s="479"/>
      <c r="AD127" s="479"/>
      <c r="AE127" s="479"/>
      <c r="AF127" s="479"/>
      <c r="AG127" s="479"/>
      <c r="AH127" s="479"/>
      <c r="AI127" s="479"/>
      <c r="AJ127" s="479"/>
      <c r="AK127" s="479"/>
      <c r="AL127" s="479"/>
      <c r="AM127" s="479"/>
      <c r="AN127" s="479"/>
      <c r="AO127" s="479"/>
      <c r="AP127" s="479"/>
      <c r="AQ127" s="479"/>
      <c r="AR127" s="479"/>
      <c r="AS127" s="479"/>
      <c r="AT127" s="479"/>
      <c r="AU127" s="479"/>
    </row>
    <row r="128" spans="1:47">
      <c r="A128" s="481" t="str">
        <f>$AG$502</f>
        <v>OPERATING INCOME BY MAJOR ACCOUNTS</v>
      </c>
      <c r="B128" s="478"/>
      <c r="C128" s="478"/>
      <c r="D128" s="478"/>
      <c r="E128" s="478"/>
      <c r="F128" s="478"/>
      <c r="G128" s="478"/>
      <c r="H128" s="478"/>
      <c r="I128" s="478"/>
      <c r="J128" s="478"/>
      <c r="K128" s="478"/>
      <c r="L128" s="478"/>
      <c r="M128" s="478"/>
      <c r="N128" s="478"/>
      <c r="O128" s="478"/>
      <c r="P128" s="479"/>
      <c r="Q128" s="479"/>
      <c r="R128" s="479"/>
      <c r="S128" s="479"/>
      <c r="T128" s="479"/>
      <c r="U128" s="479"/>
      <c r="V128" s="479"/>
      <c r="W128" s="479"/>
      <c r="X128" s="479"/>
      <c r="Y128" s="479"/>
      <c r="Z128" s="479"/>
      <c r="AA128" s="479"/>
      <c r="AB128" s="479"/>
      <c r="AC128" s="479"/>
      <c r="AD128" s="479"/>
      <c r="AE128" s="479"/>
      <c r="AF128" s="479"/>
      <c r="AG128" s="479"/>
      <c r="AH128" s="479"/>
      <c r="AI128" s="479"/>
      <c r="AJ128" s="479"/>
      <c r="AK128" s="479"/>
      <c r="AL128" s="479"/>
      <c r="AM128" s="479"/>
      <c r="AN128" s="479"/>
      <c r="AO128" s="479"/>
      <c r="AP128" s="479"/>
      <c r="AQ128" s="479"/>
      <c r="AR128" s="479"/>
      <c r="AS128" s="479"/>
      <c r="AT128" s="479"/>
      <c r="AU128" s="479"/>
    </row>
    <row r="129" spans="1:47">
      <c r="A129" s="482" t="str">
        <f>A5</f>
        <v>ADJUSTMENTS TO THE BASE PERIOD</v>
      </c>
      <c r="B129" s="478"/>
      <c r="C129" s="478"/>
      <c r="D129" s="478"/>
      <c r="E129" s="478"/>
      <c r="F129" s="478"/>
      <c r="G129" s="478"/>
      <c r="H129" s="478"/>
      <c r="I129" s="478"/>
      <c r="J129" s="478"/>
      <c r="K129" s="478"/>
      <c r="L129" s="478"/>
      <c r="M129" s="478"/>
      <c r="N129" s="478"/>
      <c r="O129" s="478"/>
      <c r="P129" s="479"/>
      <c r="Q129" s="479"/>
      <c r="R129" s="479"/>
      <c r="S129" s="479"/>
      <c r="T129" s="479"/>
      <c r="U129" s="479"/>
      <c r="V129" s="479"/>
      <c r="W129" s="479"/>
      <c r="X129" s="479"/>
      <c r="Y129" s="479"/>
      <c r="Z129" s="479"/>
      <c r="AA129" s="479"/>
      <c r="AB129" s="479"/>
      <c r="AC129" s="479"/>
      <c r="AD129" s="479"/>
      <c r="AE129" s="479"/>
      <c r="AF129" s="479"/>
      <c r="AG129" s="479"/>
      <c r="AH129" s="479"/>
      <c r="AI129" s="479"/>
      <c r="AJ129" s="479"/>
      <c r="AK129" s="479"/>
      <c r="AL129" s="479"/>
      <c r="AM129" s="479"/>
      <c r="AN129" s="479"/>
      <c r="AO129" s="479"/>
      <c r="AP129" s="479"/>
      <c r="AQ129" s="479"/>
      <c r="AR129" s="479"/>
      <c r="AS129" s="479"/>
      <c r="AT129" s="479"/>
      <c r="AU129" s="479"/>
    </row>
    <row r="130" spans="1:47">
      <c r="A130" s="477" t="str">
        <f>A6</f>
        <v>FOR THE TWELVE MONTHS ENDED NOVEMBER 30, 2017</v>
      </c>
      <c r="B130" s="478"/>
      <c r="C130" s="478"/>
      <c r="D130" s="478"/>
      <c r="E130" s="478"/>
      <c r="F130" s="478"/>
      <c r="G130" s="478"/>
      <c r="H130" s="478"/>
      <c r="I130" s="478"/>
      <c r="J130" s="478"/>
      <c r="K130" s="478"/>
      <c r="L130" s="478"/>
      <c r="M130" s="478"/>
      <c r="N130" s="478"/>
      <c r="O130" s="478"/>
      <c r="P130" s="479"/>
      <c r="Q130" s="479"/>
      <c r="R130" s="479"/>
      <c r="S130" s="479"/>
      <c r="T130" s="479"/>
      <c r="U130" s="479"/>
      <c r="V130" s="479"/>
      <c r="W130" s="479"/>
      <c r="X130" s="479"/>
      <c r="Y130" s="479"/>
      <c r="Z130" s="479"/>
      <c r="AA130" s="479"/>
      <c r="AB130" s="479"/>
      <c r="AC130" s="479"/>
      <c r="AD130" s="479"/>
      <c r="AE130" s="479"/>
      <c r="AF130" s="479"/>
      <c r="AG130" s="479"/>
      <c r="AH130" s="479"/>
      <c r="AI130" s="479"/>
      <c r="AJ130" s="479"/>
      <c r="AK130" s="479"/>
      <c r="AL130" s="479"/>
      <c r="AM130" s="479"/>
      <c r="AN130" s="479"/>
      <c r="AO130" s="479"/>
      <c r="AP130" s="479"/>
      <c r="AQ130" s="479"/>
      <c r="AR130" s="479"/>
      <c r="AS130" s="479"/>
      <c r="AT130" s="479"/>
      <c r="AU130" s="479"/>
    </row>
    <row r="131" spans="1:47">
      <c r="A131" s="479"/>
      <c r="B131" s="479"/>
      <c r="C131" s="479"/>
      <c r="D131" s="483"/>
      <c r="E131" s="479"/>
      <c r="F131" s="479"/>
      <c r="G131" s="479"/>
      <c r="H131" s="479"/>
      <c r="I131" s="479"/>
      <c r="J131" s="479"/>
      <c r="K131" s="479"/>
      <c r="L131" s="479"/>
      <c r="M131" s="479"/>
      <c r="N131" s="479"/>
      <c r="O131" s="479"/>
      <c r="P131" s="479"/>
      <c r="Q131" s="479"/>
      <c r="R131" s="479"/>
      <c r="S131" s="479"/>
      <c r="T131" s="479"/>
      <c r="U131" s="479"/>
      <c r="V131" s="479"/>
      <c r="W131" s="479"/>
      <c r="X131" s="479"/>
      <c r="Y131" s="479"/>
      <c r="Z131" s="479"/>
      <c r="AA131" s="479"/>
      <c r="AB131" s="479"/>
      <c r="AC131" s="479"/>
      <c r="AD131" s="479"/>
      <c r="AE131" s="479"/>
      <c r="AF131" s="479"/>
      <c r="AG131" s="479"/>
      <c r="AH131" s="479"/>
      <c r="AI131" s="479"/>
      <c r="AJ131" s="479"/>
      <c r="AK131" s="479"/>
      <c r="AL131" s="479"/>
      <c r="AM131" s="479"/>
      <c r="AN131" s="479"/>
      <c r="AO131" s="479"/>
      <c r="AP131" s="479"/>
      <c r="AQ131" s="479"/>
      <c r="AR131" s="479"/>
      <c r="AS131" s="479"/>
      <c r="AT131" s="479"/>
      <c r="AU131" s="479"/>
    </row>
    <row r="132" spans="1:47">
      <c r="A132" s="483" t="str">
        <f>Data</f>
        <v>DATA: "X" BASE PERIOD   FORECASTED PERIOD</v>
      </c>
      <c r="B132" s="479"/>
      <c r="C132" s="479"/>
      <c r="D132" s="479"/>
      <c r="E132" s="479"/>
      <c r="F132" s="479"/>
      <c r="G132" s="479"/>
      <c r="H132" s="479"/>
      <c r="I132" s="479"/>
      <c r="J132" s="479"/>
      <c r="K132" s="479"/>
      <c r="L132" s="479"/>
      <c r="M132" s="484" t="s">
        <v>704</v>
      </c>
      <c r="N132" s="485"/>
      <c r="O132" s="485"/>
      <c r="P132" s="479"/>
      <c r="Q132" s="479"/>
      <c r="R132" s="479"/>
      <c r="S132" s="479"/>
      <c r="T132" s="479"/>
      <c r="U132" s="479"/>
      <c r="V132" s="479"/>
      <c r="W132" s="479"/>
      <c r="X132" s="479"/>
      <c r="Y132" s="479"/>
      <c r="Z132" s="479"/>
      <c r="AA132" s="479"/>
      <c r="AB132" s="479"/>
      <c r="AC132" s="479"/>
      <c r="AD132" s="479"/>
      <c r="AE132" s="479"/>
      <c r="AF132" s="479"/>
      <c r="AG132" s="479"/>
      <c r="AH132" s="479"/>
      <c r="AI132" s="479"/>
      <c r="AJ132" s="479"/>
      <c r="AK132" s="479"/>
      <c r="AL132" s="479"/>
      <c r="AM132" s="479"/>
      <c r="AN132" s="479"/>
      <c r="AO132" s="479"/>
      <c r="AP132" s="479"/>
      <c r="AQ132" s="479"/>
      <c r="AR132" s="479"/>
      <c r="AS132" s="479"/>
      <c r="AT132" s="479"/>
      <c r="AU132" s="479"/>
    </row>
    <row r="133" spans="1:47">
      <c r="A133" s="483" t="str">
        <f>Type</f>
        <v xml:space="preserve">TYPE OF FILING:  "X" ORIGINAL   UPDATED    REVISED  </v>
      </c>
      <c r="B133" s="479"/>
      <c r="C133" s="479"/>
      <c r="D133" s="479"/>
      <c r="E133" s="479"/>
      <c r="F133" s="479"/>
      <c r="G133" s="479"/>
      <c r="H133" s="479"/>
      <c r="I133" s="479"/>
      <c r="J133" s="479"/>
      <c r="K133" s="479"/>
      <c r="L133" s="479"/>
      <c r="M133" s="485" t="s">
        <v>3177</v>
      </c>
      <c r="N133" s="485"/>
      <c r="O133" s="485"/>
      <c r="P133" s="479"/>
      <c r="Q133" s="479"/>
      <c r="R133" s="479"/>
      <c r="S133" s="479"/>
      <c r="T133" s="479"/>
      <c r="U133" s="479"/>
      <c r="V133" s="479"/>
      <c r="W133" s="479"/>
      <c r="X133" s="479"/>
      <c r="Y133" s="479"/>
      <c r="Z133" s="479"/>
      <c r="AA133" s="479"/>
      <c r="AB133" s="479"/>
      <c r="AC133" s="479"/>
      <c r="AD133" s="479"/>
      <c r="AE133" s="479"/>
      <c r="AF133" s="479"/>
      <c r="AG133" s="479"/>
      <c r="AH133" s="479"/>
      <c r="AI133" s="479"/>
      <c r="AJ133" s="479"/>
      <c r="AK133" s="479"/>
      <c r="AL133" s="479"/>
      <c r="AM133" s="479"/>
      <c r="AN133" s="479"/>
      <c r="AO133" s="479"/>
      <c r="AP133" s="479"/>
      <c r="AQ133" s="479"/>
      <c r="AR133" s="479"/>
      <c r="AS133" s="479"/>
      <c r="AT133" s="479"/>
      <c r="AU133" s="479"/>
    </row>
    <row r="134" spans="1:47">
      <c r="A134" s="485" t="s">
        <v>621</v>
      </c>
      <c r="B134" s="479"/>
      <c r="C134" s="479"/>
      <c r="D134" s="479"/>
      <c r="E134" s="479"/>
      <c r="F134" s="479"/>
      <c r="G134" s="479"/>
      <c r="H134" s="479"/>
      <c r="I134" s="479"/>
      <c r="J134" s="479"/>
      <c r="K134" s="479"/>
      <c r="L134" s="479"/>
      <c r="M134" s="484" t="s">
        <v>705</v>
      </c>
      <c r="N134" s="485"/>
      <c r="O134" s="485"/>
      <c r="P134" s="479"/>
      <c r="Q134" s="479"/>
      <c r="R134" s="479"/>
      <c r="S134" s="479"/>
      <c r="T134" s="479"/>
      <c r="U134" s="479"/>
      <c r="V134" s="479"/>
      <c r="W134" s="479"/>
      <c r="X134" s="479"/>
      <c r="Y134" s="479"/>
      <c r="Z134" s="479"/>
      <c r="AA134" s="479"/>
      <c r="AB134" s="479"/>
      <c r="AC134" s="479"/>
      <c r="AD134" s="479"/>
      <c r="AE134" s="479"/>
      <c r="AF134" s="479"/>
      <c r="AG134" s="479"/>
      <c r="AH134" s="479"/>
      <c r="AI134" s="479"/>
      <c r="AJ134" s="479"/>
      <c r="AK134" s="479"/>
      <c r="AL134" s="479"/>
      <c r="AM134" s="479"/>
      <c r="AN134" s="479"/>
      <c r="AO134" s="479"/>
      <c r="AP134" s="479"/>
      <c r="AQ134" s="479"/>
      <c r="AR134" s="479"/>
      <c r="AS134" s="479"/>
      <c r="AT134" s="479"/>
      <c r="AU134" s="479"/>
    </row>
    <row r="135" spans="1:47">
      <c r="A135" s="479"/>
      <c r="B135" s="479"/>
      <c r="C135" s="479"/>
      <c r="D135" s="479"/>
      <c r="E135" s="479"/>
      <c r="F135" s="479"/>
      <c r="G135" s="479"/>
      <c r="H135" s="479"/>
      <c r="I135" s="479"/>
      <c r="J135" s="479"/>
      <c r="K135" s="479"/>
      <c r="L135" s="479"/>
      <c r="M135" s="485" t="str">
        <f>"          "&amp;_WIT1</f>
        <v xml:space="preserve">          S. E. LAWLER</v>
      </c>
      <c r="N135" s="485"/>
      <c r="O135" s="485"/>
      <c r="P135" s="479"/>
      <c r="Q135" s="479"/>
      <c r="R135" s="479"/>
      <c r="S135" s="479"/>
      <c r="T135" s="479"/>
      <c r="U135" s="479"/>
      <c r="V135" s="479"/>
      <c r="W135" s="479"/>
      <c r="X135" s="479"/>
      <c r="Y135" s="479"/>
      <c r="Z135" s="479"/>
      <c r="AA135" s="479"/>
      <c r="AB135" s="479"/>
      <c r="AC135" s="479"/>
      <c r="AD135" s="479"/>
      <c r="AE135" s="479"/>
      <c r="AF135" s="479"/>
      <c r="AG135" s="479"/>
      <c r="AH135" s="479"/>
      <c r="AI135" s="479"/>
      <c r="AJ135" s="479"/>
      <c r="AK135" s="479"/>
      <c r="AL135" s="479"/>
      <c r="AM135" s="479"/>
      <c r="AN135" s="479"/>
      <c r="AO135" s="479"/>
      <c r="AP135" s="479"/>
      <c r="AQ135" s="479"/>
      <c r="AR135" s="479"/>
      <c r="AS135" s="479"/>
      <c r="AT135" s="479"/>
      <c r="AU135" s="479"/>
    </row>
    <row r="136" spans="1:47">
      <c r="A136" s="486"/>
      <c r="B136" s="486"/>
      <c r="C136" s="486"/>
      <c r="D136" s="486"/>
      <c r="E136" s="489"/>
      <c r="F136" s="479"/>
      <c r="G136" s="489"/>
      <c r="H136" s="486"/>
      <c r="I136" s="486"/>
      <c r="J136" s="486"/>
      <c r="K136" s="489"/>
      <c r="L136" s="486"/>
      <c r="M136" s="489"/>
      <c r="N136" s="490"/>
      <c r="O136" s="486"/>
      <c r="P136" s="479"/>
      <c r="Q136" s="479"/>
      <c r="R136" s="479"/>
      <c r="S136" s="479"/>
      <c r="T136" s="479"/>
      <c r="U136" s="479"/>
      <c r="V136" s="479"/>
      <c r="W136" s="479"/>
      <c r="X136" s="479"/>
      <c r="Y136" s="479"/>
      <c r="Z136" s="479"/>
      <c r="AA136" s="479"/>
      <c r="AB136" s="479"/>
      <c r="AC136" s="479"/>
      <c r="AD136" s="479"/>
      <c r="AE136" s="479"/>
      <c r="AF136" s="479"/>
      <c r="AG136" s="479"/>
      <c r="AH136" s="479"/>
      <c r="AI136" s="479"/>
      <c r="AJ136" s="479"/>
      <c r="AK136" s="479"/>
      <c r="AL136" s="479"/>
      <c r="AM136" s="479"/>
      <c r="AN136" s="479"/>
      <c r="AO136" s="479"/>
      <c r="AP136" s="479"/>
      <c r="AQ136" s="479"/>
      <c r="AR136" s="479"/>
      <c r="AS136" s="479"/>
      <c r="AT136" s="479"/>
      <c r="AU136" s="479"/>
    </row>
    <row r="137" spans="1:47">
      <c r="A137" s="479"/>
      <c r="B137" s="479"/>
      <c r="C137" s="479"/>
      <c r="D137" s="479"/>
      <c r="E137" s="1320" t="s">
        <v>706</v>
      </c>
      <c r="F137" s="509"/>
      <c r="G137" s="1320" t="s">
        <v>706</v>
      </c>
      <c r="H137" s="479"/>
      <c r="I137" s="1320" t="s">
        <v>706</v>
      </c>
      <c r="J137" s="1320"/>
      <c r="K137" s="1320" t="s">
        <v>706</v>
      </c>
      <c r="L137" s="1320"/>
      <c r="M137" s="510"/>
      <c r="N137" s="510"/>
      <c r="O137" s="510"/>
      <c r="P137" s="479"/>
      <c r="Q137" s="479"/>
      <c r="R137" s="479"/>
      <c r="S137" s="479"/>
      <c r="T137" s="479"/>
      <c r="U137" s="479"/>
      <c r="V137" s="479"/>
      <c r="W137" s="479"/>
      <c r="X137" s="479"/>
      <c r="Y137" s="479"/>
      <c r="Z137" s="479"/>
      <c r="AA137" s="479"/>
      <c r="AB137" s="479"/>
      <c r="AC137" s="479"/>
      <c r="AD137" s="479"/>
      <c r="AE137" s="479"/>
      <c r="AF137" s="479"/>
      <c r="AG137" s="479"/>
      <c r="AH137" s="479"/>
      <c r="AI137" s="479"/>
      <c r="AJ137" s="479"/>
      <c r="AK137" s="479"/>
      <c r="AL137" s="479"/>
      <c r="AM137" s="479"/>
      <c r="AN137" s="479"/>
      <c r="AO137" s="479"/>
      <c r="AP137" s="479"/>
      <c r="AQ137" s="479"/>
      <c r="AR137" s="479"/>
      <c r="AS137" s="479"/>
      <c r="AT137" s="479"/>
      <c r="AU137" s="479"/>
    </row>
    <row r="138" spans="1:47">
      <c r="A138" s="1320" t="s">
        <v>1961</v>
      </c>
      <c r="B138" s="479"/>
      <c r="C138" s="479"/>
      <c r="D138" s="479"/>
      <c r="E138" s="1320" t="s">
        <v>1521</v>
      </c>
      <c r="F138" s="479"/>
      <c r="G138" s="1320" t="s">
        <v>249</v>
      </c>
      <c r="H138" s="479"/>
      <c r="I138" s="1320" t="s">
        <v>1498</v>
      </c>
      <c r="J138" s="1320"/>
      <c r="K138" s="1320" t="s">
        <v>1858</v>
      </c>
      <c r="L138" s="511"/>
      <c r="M138" s="511"/>
      <c r="N138" s="511"/>
      <c r="O138" s="511"/>
      <c r="P138" s="479"/>
      <c r="Q138" s="479"/>
      <c r="R138" s="479"/>
      <c r="S138" s="479"/>
      <c r="T138" s="479"/>
      <c r="U138" s="479"/>
      <c r="V138" s="479"/>
      <c r="W138" s="479"/>
      <c r="X138" s="479"/>
      <c r="Y138" s="479"/>
      <c r="Z138" s="479"/>
      <c r="AA138" s="479"/>
      <c r="AB138" s="479"/>
      <c r="AC138" s="479"/>
      <c r="AD138" s="479"/>
      <c r="AE138" s="479"/>
      <c r="AF138" s="479"/>
      <c r="AG138" s="479"/>
      <c r="AH138" s="479"/>
      <c r="AI138" s="479"/>
      <c r="AJ138" s="479"/>
      <c r="AK138" s="479"/>
      <c r="AL138" s="479"/>
      <c r="AM138" s="479"/>
      <c r="AN138" s="479"/>
      <c r="AO138" s="479"/>
      <c r="AP138" s="479"/>
      <c r="AQ138" s="479"/>
      <c r="AR138" s="479"/>
      <c r="AS138" s="479"/>
      <c r="AT138" s="479"/>
      <c r="AU138" s="479"/>
    </row>
    <row r="139" spans="1:47">
      <c r="A139" s="489" t="s">
        <v>90</v>
      </c>
      <c r="B139" s="490"/>
      <c r="C139" s="489" t="s">
        <v>26</v>
      </c>
      <c r="D139" s="490"/>
      <c r="E139" s="492" t="s">
        <v>1195</v>
      </c>
      <c r="F139" s="479"/>
      <c r="G139" s="492" t="s">
        <v>1195</v>
      </c>
      <c r="H139" s="479"/>
      <c r="I139" s="492" t="s">
        <v>252</v>
      </c>
      <c r="J139" s="489"/>
      <c r="K139" s="489" t="s">
        <v>1859</v>
      </c>
      <c r="L139" s="511"/>
      <c r="M139" s="511"/>
      <c r="N139" s="511"/>
      <c r="O139" s="511"/>
      <c r="P139" s="479"/>
      <c r="Q139" s="479"/>
      <c r="R139" s="479"/>
      <c r="S139" s="479"/>
      <c r="T139" s="479"/>
      <c r="U139" s="479"/>
      <c r="V139" s="479"/>
      <c r="W139" s="479"/>
      <c r="X139" s="479"/>
      <c r="Y139" s="479"/>
      <c r="Z139" s="479"/>
      <c r="AA139" s="479"/>
      <c r="AB139" s="479"/>
      <c r="AC139" s="479"/>
      <c r="AD139" s="479"/>
      <c r="AE139" s="479"/>
      <c r="AF139" s="479"/>
      <c r="AG139" s="479"/>
      <c r="AH139" s="479"/>
      <c r="AI139" s="479"/>
      <c r="AJ139" s="479"/>
      <c r="AK139" s="479"/>
      <c r="AL139" s="479"/>
      <c r="AM139" s="479"/>
      <c r="AN139" s="479"/>
      <c r="AO139" s="479"/>
      <c r="AP139" s="479"/>
      <c r="AQ139" s="479"/>
      <c r="AR139" s="479"/>
      <c r="AS139" s="479"/>
      <c r="AT139" s="479"/>
      <c r="AU139" s="479"/>
    </row>
    <row r="140" spans="1:47">
      <c r="A140" s="490"/>
      <c r="B140" s="490"/>
      <c r="C140" s="493" t="s">
        <v>957</v>
      </c>
      <c r="D140" s="490"/>
      <c r="E140" s="489" t="s">
        <v>810</v>
      </c>
      <c r="F140" s="494"/>
      <c r="G140" s="489" t="s">
        <v>811</v>
      </c>
      <c r="H140" s="489"/>
      <c r="I140" s="489" t="s">
        <v>812</v>
      </c>
      <c r="J140" s="489"/>
      <c r="K140" s="489" t="s">
        <v>813</v>
      </c>
      <c r="L140" s="511"/>
      <c r="M140" s="511"/>
      <c r="N140" s="511"/>
      <c r="O140" s="511"/>
      <c r="P140" s="479"/>
      <c r="Q140" s="479"/>
      <c r="R140" s="479"/>
      <c r="S140" s="479"/>
      <c r="T140" s="479"/>
      <c r="U140" s="479"/>
      <c r="V140" s="479"/>
      <c r="W140" s="479"/>
      <c r="X140" s="479"/>
      <c r="Y140" s="479"/>
      <c r="Z140" s="479"/>
      <c r="AA140" s="479"/>
      <c r="AB140" s="479"/>
      <c r="AC140" s="479"/>
      <c r="AD140" s="479"/>
      <c r="AE140" s="479"/>
      <c r="AF140" s="479"/>
      <c r="AG140" s="479"/>
      <c r="AH140" s="479"/>
      <c r="AI140" s="479"/>
      <c r="AJ140" s="479"/>
      <c r="AK140" s="479"/>
      <c r="AL140" s="479"/>
      <c r="AM140" s="479"/>
      <c r="AN140" s="479"/>
      <c r="AO140" s="479"/>
      <c r="AP140" s="479"/>
      <c r="AQ140" s="479"/>
      <c r="AR140" s="479"/>
      <c r="AS140" s="479"/>
      <c r="AT140" s="479"/>
      <c r="AU140" s="479"/>
    </row>
    <row r="141" spans="1:47">
      <c r="A141" s="1320">
        <v>1</v>
      </c>
      <c r="B141" s="507" t="s">
        <v>1199</v>
      </c>
      <c r="C141" s="479"/>
      <c r="D141" s="479"/>
      <c r="E141" s="479"/>
      <c r="F141" s="479"/>
      <c r="G141" s="479"/>
      <c r="H141" s="479"/>
      <c r="I141" s="479"/>
      <c r="J141" s="479"/>
      <c r="K141" s="479"/>
      <c r="L141" s="500"/>
      <c r="M141" s="500"/>
      <c r="N141" s="500"/>
      <c r="O141" s="500"/>
      <c r="P141" s="479"/>
      <c r="Q141" s="479"/>
      <c r="R141" s="479"/>
      <c r="S141" s="479"/>
      <c r="T141" s="479"/>
      <c r="U141" s="479"/>
      <c r="V141" s="479"/>
      <c r="W141" s="479"/>
      <c r="X141" s="479"/>
      <c r="Y141" s="479"/>
      <c r="Z141" s="479"/>
      <c r="AA141" s="479"/>
      <c r="AB141" s="479"/>
      <c r="AC141" s="479"/>
      <c r="AD141" s="479"/>
      <c r="AE141" s="479"/>
      <c r="AF141" s="479"/>
      <c r="AG141" s="479"/>
      <c r="AH141" s="479"/>
      <c r="AI141" s="479"/>
      <c r="AJ141" s="479"/>
      <c r="AK141" s="479"/>
      <c r="AL141" s="479"/>
      <c r="AM141" s="479"/>
      <c r="AN141" s="479"/>
      <c r="AO141" s="479"/>
      <c r="AP141" s="479"/>
      <c r="AQ141" s="479"/>
      <c r="AR141" s="479"/>
      <c r="AS141" s="479"/>
      <c r="AT141" s="479"/>
      <c r="AU141" s="479"/>
    </row>
    <row r="142" spans="1:47">
      <c r="A142" s="1320">
        <v>2</v>
      </c>
      <c r="B142" s="479"/>
      <c r="C142" s="485" t="s">
        <v>1200</v>
      </c>
      <c r="D142" s="479"/>
      <c r="E142" s="496"/>
      <c r="F142" s="479"/>
      <c r="G142" s="496"/>
      <c r="H142" s="479"/>
      <c r="I142" s="496"/>
      <c r="J142" s="496"/>
      <c r="K142" s="496"/>
      <c r="L142" s="501"/>
      <c r="M142" s="501"/>
      <c r="N142" s="501"/>
      <c r="O142" s="501"/>
      <c r="P142" s="479"/>
      <c r="Q142" s="479"/>
      <c r="R142" s="479"/>
      <c r="S142" s="479"/>
      <c r="T142" s="479"/>
      <c r="U142" s="479"/>
      <c r="V142" s="479"/>
      <c r="W142" s="479"/>
      <c r="X142" s="479"/>
      <c r="Y142" s="479"/>
      <c r="Z142" s="479"/>
      <c r="AA142" s="479"/>
      <c r="AB142" s="479"/>
      <c r="AC142" s="479"/>
      <c r="AD142" s="479"/>
      <c r="AE142" s="479"/>
      <c r="AF142" s="479"/>
      <c r="AG142" s="479"/>
      <c r="AH142" s="479"/>
      <c r="AI142" s="479"/>
      <c r="AJ142" s="479"/>
      <c r="AK142" s="479"/>
      <c r="AL142" s="479"/>
      <c r="AM142" s="479"/>
      <c r="AN142" s="479"/>
      <c r="AO142" s="479"/>
      <c r="AP142" s="479"/>
      <c r="AQ142" s="479"/>
      <c r="AR142" s="479"/>
      <c r="AS142" s="479"/>
      <c r="AT142" s="479"/>
      <c r="AU142" s="479"/>
    </row>
    <row r="143" spans="1:47">
      <c r="A143" s="1320">
        <v>3</v>
      </c>
      <c r="B143" s="479"/>
      <c r="C143" s="485" t="s">
        <v>1823</v>
      </c>
      <c r="D143" s="479"/>
      <c r="E143" s="496"/>
      <c r="F143" s="479"/>
      <c r="G143" s="496"/>
      <c r="H143" s="479"/>
      <c r="I143" s="496"/>
      <c r="J143" s="496"/>
      <c r="K143" s="496"/>
      <c r="L143" s="501"/>
      <c r="M143" s="501"/>
      <c r="N143" s="501"/>
      <c r="O143" s="501"/>
      <c r="P143" s="479"/>
      <c r="Q143" s="479"/>
      <c r="R143" s="479"/>
      <c r="S143" s="479"/>
      <c r="T143" s="479"/>
      <c r="U143" s="479"/>
      <c r="V143" s="479"/>
      <c r="W143" s="479"/>
      <c r="X143" s="479"/>
      <c r="Y143" s="479"/>
      <c r="Z143" s="479"/>
      <c r="AA143" s="479"/>
      <c r="AB143" s="479"/>
      <c r="AC143" s="479"/>
      <c r="AD143" s="479"/>
      <c r="AE143" s="479"/>
      <c r="AF143" s="479"/>
      <c r="AG143" s="479"/>
      <c r="AH143" s="479"/>
      <c r="AI143" s="479"/>
      <c r="AJ143" s="479"/>
      <c r="AK143" s="479"/>
      <c r="AL143" s="479"/>
      <c r="AM143" s="479"/>
      <c r="AN143" s="479"/>
      <c r="AO143" s="479"/>
      <c r="AP143" s="479"/>
      <c r="AQ143" s="479"/>
      <c r="AR143" s="479"/>
      <c r="AS143" s="479"/>
      <c r="AT143" s="479"/>
      <c r="AU143" s="479"/>
    </row>
    <row r="144" spans="1:47">
      <c r="A144" s="1320">
        <v>4</v>
      </c>
      <c r="B144" s="479"/>
      <c r="C144" s="485" t="s">
        <v>1201</v>
      </c>
      <c r="D144" s="479"/>
      <c r="E144" s="496"/>
      <c r="F144" s="479"/>
      <c r="G144" s="496"/>
      <c r="H144" s="479"/>
      <c r="I144" s="496"/>
      <c r="J144" s="496"/>
      <c r="K144" s="496"/>
      <c r="L144" s="501"/>
      <c r="M144" s="501"/>
      <c r="N144" s="501"/>
      <c r="O144" s="501"/>
      <c r="P144" s="479"/>
      <c r="Q144" s="479"/>
      <c r="R144" s="479"/>
      <c r="S144" s="479"/>
      <c r="T144" s="479"/>
      <c r="U144" s="479"/>
      <c r="V144" s="479"/>
      <c r="W144" s="479"/>
      <c r="X144" s="479"/>
      <c r="Y144" s="479"/>
      <c r="Z144" s="479"/>
      <c r="AA144" s="479"/>
      <c r="AB144" s="479"/>
      <c r="AC144" s="479"/>
      <c r="AD144" s="479"/>
      <c r="AE144" s="479"/>
      <c r="AF144" s="479"/>
      <c r="AG144" s="479"/>
      <c r="AH144" s="479"/>
      <c r="AI144" s="479"/>
      <c r="AJ144" s="479"/>
      <c r="AK144" s="479"/>
      <c r="AL144" s="479"/>
      <c r="AM144" s="479"/>
      <c r="AN144" s="479"/>
      <c r="AO144" s="479"/>
      <c r="AP144" s="479"/>
      <c r="AQ144" s="479"/>
      <c r="AR144" s="479"/>
      <c r="AS144" s="479"/>
      <c r="AT144" s="479"/>
      <c r="AU144" s="479"/>
    </row>
    <row r="145" spans="1:47">
      <c r="A145" s="1320">
        <v>5</v>
      </c>
      <c r="B145" s="479"/>
      <c r="C145" s="485" t="s">
        <v>1202</v>
      </c>
      <c r="D145" s="479"/>
      <c r="E145" s="497">
        <f>SUM(E142:E144)</f>
        <v>0</v>
      </c>
      <c r="F145" s="479"/>
      <c r="G145" s="497">
        <f>SUM(G142:G144)</f>
        <v>0</v>
      </c>
      <c r="H145" s="479"/>
      <c r="I145" s="497">
        <f>SUM(I142:I144)</f>
        <v>0</v>
      </c>
      <c r="J145" s="496"/>
      <c r="K145" s="497">
        <f>SUM(K142:K144)</f>
        <v>0</v>
      </c>
      <c r="L145" s="501"/>
      <c r="M145" s="501"/>
      <c r="N145" s="501"/>
      <c r="O145" s="501"/>
      <c r="P145" s="479"/>
      <c r="Q145" s="479"/>
      <c r="R145" s="479"/>
      <c r="S145" s="479"/>
      <c r="T145" s="479"/>
      <c r="U145" s="479"/>
      <c r="V145" s="479"/>
      <c r="W145" s="479"/>
      <c r="X145" s="479"/>
      <c r="Y145" s="479"/>
      <c r="Z145" s="479"/>
      <c r="AA145" s="479"/>
      <c r="AB145" s="479"/>
      <c r="AC145" s="479"/>
      <c r="AD145" s="479"/>
      <c r="AE145" s="479"/>
      <c r="AF145" s="479"/>
      <c r="AG145" s="479"/>
      <c r="AH145" s="479"/>
      <c r="AI145" s="479"/>
      <c r="AJ145" s="479"/>
      <c r="AK145" s="479"/>
      <c r="AL145" s="479"/>
      <c r="AM145" s="479"/>
      <c r="AN145" s="479"/>
      <c r="AO145" s="479"/>
      <c r="AP145" s="479"/>
      <c r="AQ145" s="479"/>
      <c r="AR145" s="479"/>
      <c r="AS145" s="479"/>
      <c r="AT145" s="479"/>
      <c r="AU145" s="479"/>
    </row>
    <row r="146" spans="1:47">
      <c r="A146" s="1320">
        <v>6</v>
      </c>
      <c r="B146" s="479"/>
      <c r="C146" s="479"/>
      <c r="D146" s="479"/>
      <c r="E146" s="498"/>
      <c r="F146" s="479"/>
      <c r="G146" s="498"/>
      <c r="H146" s="479"/>
      <c r="I146" s="498"/>
      <c r="J146" s="498"/>
      <c r="K146" s="498"/>
      <c r="L146" s="512"/>
      <c r="M146" s="512"/>
      <c r="N146" s="512"/>
      <c r="O146" s="512"/>
      <c r="P146" s="479"/>
      <c r="Q146" s="479"/>
      <c r="R146" s="479"/>
      <c r="S146" s="479"/>
      <c r="T146" s="479"/>
      <c r="U146" s="479"/>
      <c r="V146" s="479"/>
      <c r="W146" s="479"/>
      <c r="X146" s="479"/>
      <c r="Y146" s="479"/>
      <c r="Z146" s="479"/>
      <c r="AA146" s="479"/>
      <c r="AB146" s="479"/>
      <c r="AC146" s="479"/>
      <c r="AD146" s="479"/>
      <c r="AE146" s="479"/>
      <c r="AF146" s="479"/>
      <c r="AG146" s="479"/>
      <c r="AH146" s="479"/>
      <c r="AI146" s="479"/>
      <c r="AJ146" s="479"/>
      <c r="AK146" s="479"/>
      <c r="AL146" s="479"/>
      <c r="AM146" s="479"/>
      <c r="AN146" s="479"/>
      <c r="AO146" s="479"/>
      <c r="AP146" s="479"/>
      <c r="AQ146" s="479"/>
      <c r="AR146" s="479"/>
      <c r="AS146" s="479"/>
      <c r="AT146" s="479"/>
      <c r="AU146" s="479"/>
    </row>
    <row r="147" spans="1:47">
      <c r="A147" s="1320">
        <v>7</v>
      </c>
      <c r="B147" s="507" t="s">
        <v>1152</v>
      </c>
      <c r="C147" s="479"/>
      <c r="D147" s="479"/>
      <c r="E147" s="479"/>
      <c r="F147" s="479"/>
      <c r="G147" s="496"/>
      <c r="H147" s="479"/>
      <c r="I147" s="479"/>
      <c r="J147" s="479"/>
      <c r="K147" s="479"/>
      <c r="L147" s="500"/>
      <c r="M147" s="500"/>
      <c r="N147" s="500"/>
      <c r="O147" s="500"/>
      <c r="P147" s="479"/>
      <c r="Q147" s="479"/>
      <c r="R147" s="479"/>
      <c r="S147" s="479"/>
      <c r="T147" s="479"/>
      <c r="U147" s="479"/>
      <c r="V147" s="479"/>
      <c r="W147" s="479"/>
      <c r="X147" s="479"/>
      <c r="Y147" s="479"/>
      <c r="Z147" s="479"/>
      <c r="AA147" s="479"/>
      <c r="AB147" s="479"/>
      <c r="AC147" s="479"/>
      <c r="AD147" s="479"/>
      <c r="AE147" s="479"/>
      <c r="AF147" s="479"/>
      <c r="AG147" s="479"/>
      <c r="AH147" s="479"/>
      <c r="AI147" s="479"/>
      <c r="AJ147" s="479"/>
      <c r="AK147" s="479"/>
      <c r="AL147" s="479"/>
      <c r="AM147" s="479"/>
      <c r="AN147" s="479"/>
      <c r="AO147" s="479"/>
      <c r="AP147" s="479"/>
      <c r="AQ147" s="479"/>
      <c r="AR147" s="479"/>
      <c r="AS147" s="479"/>
      <c r="AT147" s="479"/>
      <c r="AU147" s="479"/>
    </row>
    <row r="148" spans="1:47">
      <c r="A148" s="1320">
        <v>8</v>
      </c>
      <c r="B148" s="479"/>
      <c r="C148" s="485" t="s">
        <v>1203</v>
      </c>
      <c r="D148" s="479"/>
      <c r="E148" s="479"/>
      <c r="F148" s="479"/>
      <c r="G148" s="496"/>
      <c r="H148" s="479"/>
      <c r="I148" s="479"/>
      <c r="J148" s="479"/>
      <c r="K148" s="479"/>
      <c r="L148" s="500"/>
      <c r="M148" s="500"/>
      <c r="N148" s="500"/>
      <c r="O148" s="500"/>
      <c r="P148" s="479"/>
      <c r="Q148" s="479"/>
      <c r="R148" s="479"/>
      <c r="S148" s="479"/>
      <c r="T148" s="479"/>
      <c r="U148" s="479"/>
      <c r="V148" s="479"/>
      <c r="W148" s="479"/>
      <c r="X148" s="479"/>
      <c r="Y148" s="479"/>
      <c r="Z148" s="479"/>
      <c r="AA148" s="479"/>
      <c r="AB148" s="479"/>
      <c r="AC148" s="479"/>
      <c r="AD148" s="479"/>
      <c r="AE148" s="479"/>
      <c r="AF148" s="479"/>
      <c r="AG148" s="479"/>
      <c r="AH148" s="479"/>
      <c r="AI148" s="479"/>
      <c r="AJ148" s="479"/>
      <c r="AK148" s="479"/>
      <c r="AL148" s="479"/>
      <c r="AM148" s="479"/>
      <c r="AN148" s="479"/>
      <c r="AO148" s="479"/>
      <c r="AP148" s="479"/>
      <c r="AQ148" s="479"/>
      <c r="AR148" s="479"/>
      <c r="AS148" s="479"/>
      <c r="AT148" s="479"/>
      <c r="AU148" s="479"/>
    </row>
    <row r="149" spans="1:47">
      <c r="A149" s="1320">
        <v>9</v>
      </c>
      <c r="B149" s="479"/>
      <c r="C149" s="485" t="s">
        <v>257</v>
      </c>
      <c r="D149" s="479"/>
      <c r="E149" s="479"/>
      <c r="F149" s="479"/>
      <c r="G149" s="496"/>
      <c r="H149" s="479"/>
      <c r="I149" s="479"/>
      <c r="J149" s="479"/>
      <c r="K149" s="479"/>
      <c r="L149" s="500"/>
      <c r="M149" s="500"/>
      <c r="N149" s="500"/>
      <c r="O149" s="500"/>
      <c r="P149" s="479"/>
      <c r="Q149" s="479"/>
      <c r="R149" s="479"/>
      <c r="S149" s="479"/>
      <c r="T149" s="479"/>
      <c r="U149" s="479"/>
      <c r="V149" s="479"/>
      <c r="W149" s="479"/>
      <c r="X149" s="479"/>
      <c r="Y149" s="479"/>
      <c r="Z149" s="479"/>
      <c r="AA149" s="479"/>
      <c r="AB149" s="479"/>
      <c r="AC149" s="479"/>
      <c r="AD149" s="479"/>
      <c r="AE149" s="479"/>
      <c r="AF149" s="479"/>
      <c r="AG149" s="479"/>
      <c r="AH149" s="479"/>
      <c r="AI149" s="479"/>
      <c r="AJ149" s="479"/>
      <c r="AK149" s="479"/>
      <c r="AL149" s="479"/>
      <c r="AM149" s="479"/>
      <c r="AN149" s="479"/>
      <c r="AO149" s="479"/>
      <c r="AP149" s="479"/>
      <c r="AQ149" s="479"/>
      <c r="AR149" s="479"/>
      <c r="AS149" s="479"/>
      <c r="AT149" s="479"/>
      <c r="AU149" s="479"/>
    </row>
    <row r="150" spans="1:47">
      <c r="A150" s="1320">
        <v>10</v>
      </c>
      <c r="B150" s="479"/>
      <c r="C150" s="358" t="s">
        <v>348</v>
      </c>
      <c r="D150" s="479"/>
      <c r="E150" s="496"/>
      <c r="F150" s="479"/>
      <c r="G150" s="496"/>
      <c r="H150" s="479"/>
      <c r="I150" s="496"/>
      <c r="J150" s="496"/>
      <c r="K150" s="496"/>
      <c r="L150" s="501"/>
      <c r="M150" s="501"/>
      <c r="N150" s="501"/>
      <c r="O150" s="501"/>
      <c r="P150" s="479"/>
      <c r="Q150" s="479"/>
      <c r="R150" s="479"/>
      <c r="S150" s="479"/>
      <c r="T150" s="479"/>
      <c r="U150" s="479"/>
      <c r="V150" s="479"/>
      <c r="W150" s="479"/>
      <c r="X150" s="479"/>
      <c r="Y150" s="479"/>
      <c r="Z150" s="479"/>
      <c r="AA150" s="479"/>
      <c r="AB150" s="479"/>
      <c r="AC150" s="479"/>
      <c r="AD150" s="479"/>
      <c r="AE150" s="479"/>
      <c r="AF150" s="479"/>
      <c r="AG150" s="479"/>
      <c r="AH150" s="479"/>
      <c r="AI150" s="479"/>
      <c r="AJ150" s="479"/>
      <c r="AK150" s="479"/>
      <c r="AL150" s="479"/>
      <c r="AM150" s="479"/>
      <c r="AN150" s="479"/>
      <c r="AO150" s="479"/>
      <c r="AP150" s="479"/>
      <c r="AQ150" s="479"/>
      <c r="AR150" s="479"/>
      <c r="AS150" s="479"/>
      <c r="AT150" s="479"/>
      <c r="AU150" s="479"/>
    </row>
    <row r="151" spans="1:47">
      <c r="A151" s="1320">
        <v>11</v>
      </c>
      <c r="B151" s="479"/>
      <c r="C151" s="485" t="s">
        <v>425</v>
      </c>
      <c r="D151" s="479"/>
      <c r="E151" s="496"/>
      <c r="F151" s="479"/>
      <c r="G151" s="496"/>
      <c r="H151" s="479"/>
      <c r="I151" s="496"/>
      <c r="J151" s="496"/>
      <c r="K151" s="496"/>
      <c r="L151" s="501"/>
      <c r="M151" s="501"/>
      <c r="N151" s="501"/>
      <c r="O151" s="501"/>
      <c r="P151" s="479"/>
      <c r="Q151" s="479"/>
      <c r="R151" s="479"/>
      <c r="S151" s="479"/>
      <c r="T151" s="479"/>
      <c r="U151" s="479"/>
      <c r="V151" s="479"/>
      <c r="W151" s="479"/>
      <c r="X151" s="479"/>
      <c r="Y151" s="479"/>
      <c r="Z151" s="479"/>
      <c r="AA151" s="479"/>
      <c r="AB151" s="479"/>
      <c r="AC151" s="479"/>
      <c r="AD151" s="479"/>
      <c r="AE151" s="479"/>
      <c r="AF151" s="479"/>
      <c r="AG151" s="479"/>
      <c r="AH151" s="479"/>
      <c r="AI151" s="479"/>
      <c r="AJ151" s="479"/>
      <c r="AK151" s="479"/>
      <c r="AL151" s="479"/>
      <c r="AM151" s="479"/>
      <c r="AN151" s="479"/>
      <c r="AO151" s="479"/>
      <c r="AP151" s="479"/>
      <c r="AQ151" s="479"/>
      <c r="AR151" s="479"/>
      <c r="AS151" s="479"/>
      <c r="AT151" s="479"/>
      <c r="AU151" s="479"/>
    </row>
    <row r="152" spans="1:47">
      <c r="A152" s="1320">
        <v>12</v>
      </c>
      <c r="B152" s="479"/>
      <c r="C152" s="485" t="s">
        <v>1204</v>
      </c>
      <c r="D152" s="479"/>
      <c r="E152" s="499">
        <f>SUM(E149:E151)</f>
        <v>0</v>
      </c>
      <c r="F152" s="479"/>
      <c r="G152" s="499">
        <f>SUM(G149:G151)</f>
        <v>0</v>
      </c>
      <c r="H152" s="500"/>
      <c r="I152" s="499">
        <f>SUM(I149:I151)</f>
        <v>0</v>
      </c>
      <c r="J152" s="501"/>
      <c r="K152" s="499">
        <f>SUM(K149:K151)</f>
        <v>0</v>
      </c>
      <c r="L152" s="501"/>
      <c r="M152" s="501"/>
      <c r="N152" s="501"/>
      <c r="O152" s="501"/>
      <c r="P152" s="479"/>
      <c r="Q152" s="479"/>
      <c r="R152" s="479"/>
      <c r="S152" s="479"/>
      <c r="T152" s="479"/>
      <c r="U152" s="479"/>
      <c r="V152" s="479"/>
      <c r="W152" s="479"/>
      <c r="X152" s="479"/>
      <c r="Y152" s="479"/>
      <c r="Z152" s="479"/>
      <c r="AA152" s="479"/>
      <c r="AB152" s="479"/>
      <c r="AC152" s="479"/>
      <c r="AD152" s="479"/>
      <c r="AE152" s="479"/>
      <c r="AF152" s="479"/>
      <c r="AG152" s="479"/>
      <c r="AH152" s="479"/>
      <c r="AI152" s="479"/>
      <c r="AJ152" s="479"/>
      <c r="AK152" s="479"/>
      <c r="AL152" s="479"/>
      <c r="AM152" s="479"/>
      <c r="AN152" s="479"/>
      <c r="AO152" s="479"/>
      <c r="AP152" s="479"/>
      <c r="AQ152" s="479"/>
      <c r="AR152" s="479"/>
      <c r="AS152" s="479"/>
      <c r="AT152" s="479"/>
      <c r="AU152" s="479"/>
    </row>
    <row r="153" spans="1:47">
      <c r="A153" s="1320">
        <v>13</v>
      </c>
      <c r="B153" s="479"/>
      <c r="C153" s="479"/>
      <c r="D153" s="479"/>
      <c r="E153" s="498"/>
      <c r="F153" s="479"/>
      <c r="G153" s="498"/>
      <c r="H153" s="479"/>
      <c r="I153" s="498"/>
      <c r="J153" s="498"/>
      <c r="K153" s="498"/>
      <c r="L153" s="512"/>
      <c r="M153" s="512"/>
      <c r="N153" s="512"/>
      <c r="O153" s="512"/>
      <c r="P153" s="479"/>
      <c r="Q153" s="479"/>
      <c r="R153" s="479"/>
      <c r="S153" s="479"/>
      <c r="T153" s="479"/>
      <c r="U153" s="479"/>
      <c r="V153" s="479"/>
      <c r="W153" s="479"/>
      <c r="X153" s="479"/>
      <c r="Y153" s="479"/>
      <c r="Z153" s="479"/>
      <c r="AA153" s="479"/>
      <c r="AB153" s="479"/>
      <c r="AC153" s="479"/>
      <c r="AD153" s="479"/>
      <c r="AE153" s="479"/>
      <c r="AF153" s="479"/>
      <c r="AG153" s="479"/>
      <c r="AH153" s="479"/>
      <c r="AI153" s="479"/>
      <c r="AJ153" s="479"/>
      <c r="AK153" s="479"/>
      <c r="AL153" s="479"/>
      <c r="AM153" s="479"/>
      <c r="AN153" s="479"/>
      <c r="AO153" s="479"/>
      <c r="AP153" s="479"/>
      <c r="AQ153" s="479"/>
      <c r="AR153" s="479"/>
      <c r="AS153" s="479"/>
      <c r="AT153" s="479"/>
      <c r="AU153" s="479"/>
    </row>
    <row r="154" spans="1:47">
      <c r="A154" s="1320">
        <v>14</v>
      </c>
      <c r="B154" s="479"/>
      <c r="C154" s="485" t="s">
        <v>198</v>
      </c>
      <c r="D154" s="479"/>
      <c r="E154" s="498"/>
      <c r="F154" s="479"/>
      <c r="G154" s="498"/>
      <c r="H154" s="479"/>
      <c r="I154" s="498"/>
      <c r="J154" s="498"/>
      <c r="K154" s="498"/>
      <c r="L154" s="512"/>
      <c r="M154" s="512"/>
      <c r="N154" s="512"/>
      <c r="O154" s="512"/>
      <c r="P154" s="479"/>
      <c r="Q154" s="479"/>
      <c r="R154" s="479"/>
      <c r="S154" s="479"/>
      <c r="T154" s="479"/>
      <c r="U154" s="479"/>
      <c r="V154" s="479"/>
      <c r="W154" s="479"/>
      <c r="X154" s="479"/>
      <c r="Y154" s="479"/>
      <c r="Z154" s="479"/>
      <c r="AA154" s="479"/>
      <c r="AB154" s="479"/>
      <c r="AC154" s="479"/>
      <c r="AD154" s="479"/>
      <c r="AE154" s="479"/>
      <c r="AF154" s="479"/>
      <c r="AG154" s="479"/>
      <c r="AH154" s="479"/>
      <c r="AI154" s="479"/>
      <c r="AJ154" s="479"/>
      <c r="AK154" s="479"/>
      <c r="AL154" s="479"/>
      <c r="AM154" s="479"/>
      <c r="AN154" s="479"/>
      <c r="AO154" s="479"/>
      <c r="AP154" s="479"/>
      <c r="AQ154" s="479"/>
      <c r="AR154" s="479"/>
      <c r="AS154" s="479"/>
      <c r="AT154" s="479"/>
      <c r="AU154" s="479"/>
    </row>
    <row r="155" spans="1:47">
      <c r="A155" s="1320">
        <v>15</v>
      </c>
      <c r="B155" s="479"/>
      <c r="C155" s="485" t="s">
        <v>2253</v>
      </c>
      <c r="D155" s="479"/>
      <c r="E155" s="498"/>
      <c r="F155" s="479"/>
      <c r="G155" s="498"/>
      <c r="H155" s="479"/>
      <c r="I155" s="498"/>
      <c r="J155" s="498"/>
      <c r="K155" s="498"/>
      <c r="L155" s="512"/>
      <c r="M155" s="512"/>
      <c r="N155" s="512"/>
      <c r="O155" s="512"/>
      <c r="P155" s="479"/>
      <c r="Q155" s="479"/>
      <c r="R155" s="479"/>
      <c r="S155" s="479"/>
      <c r="T155" s="479"/>
      <c r="U155" s="479"/>
      <c r="V155" s="479"/>
      <c r="W155" s="479"/>
      <c r="X155" s="479"/>
      <c r="Y155" s="479"/>
      <c r="Z155" s="479"/>
      <c r="AA155" s="479"/>
      <c r="AB155" s="479"/>
      <c r="AC155" s="479"/>
      <c r="AD155" s="479"/>
      <c r="AE155" s="479"/>
      <c r="AF155" s="479"/>
      <c r="AG155" s="479"/>
      <c r="AH155" s="479"/>
      <c r="AI155" s="479"/>
      <c r="AJ155" s="479"/>
      <c r="AK155" s="479"/>
      <c r="AL155" s="479"/>
      <c r="AM155" s="479"/>
      <c r="AN155" s="479"/>
      <c r="AO155" s="479"/>
      <c r="AP155" s="479"/>
      <c r="AQ155" s="479"/>
      <c r="AR155" s="479"/>
      <c r="AS155" s="479"/>
      <c r="AT155" s="479"/>
      <c r="AU155" s="479"/>
    </row>
    <row r="156" spans="1:47">
      <c r="A156" s="1320">
        <v>16</v>
      </c>
      <c r="B156" s="479"/>
      <c r="C156" s="485" t="s">
        <v>258</v>
      </c>
      <c r="D156" s="479"/>
      <c r="E156" s="496"/>
      <c r="F156" s="479"/>
      <c r="G156" s="496"/>
      <c r="H156" s="479"/>
      <c r="I156" s="496"/>
      <c r="J156" s="496"/>
      <c r="K156" s="496"/>
      <c r="L156" s="501"/>
      <c r="M156" s="501"/>
      <c r="N156" s="501"/>
      <c r="O156" s="501"/>
      <c r="P156" s="479"/>
      <c r="Q156" s="479"/>
      <c r="R156" s="479"/>
      <c r="S156" s="479"/>
      <c r="T156" s="479"/>
      <c r="U156" s="479"/>
      <c r="V156" s="479"/>
      <c r="W156" s="479"/>
      <c r="X156" s="479"/>
      <c r="Y156" s="479"/>
      <c r="Z156" s="479"/>
      <c r="AA156" s="479"/>
      <c r="AB156" s="479"/>
      <c r="AC156" s="479"/>
      <c r="AD156" s="479"/>
      <c r="AE156" s="479"/>
      <c r="AF156" s="479"/>
      <c r="AG156" s="479"/>
      <c r="AH156" s="479"/>
      <c r="AI156" s="479"/>
      <c r="AJ156" s="479"/>
      <c r="AK156" s="479"/>
      <c r="AL156" s="479"/>
      <c r="AM156" s="479"/>
      <c r="AN156" s="479"/>
      <c r="AO156" s="479"/>
      <c r="AP156" s="479"/>
      <c r="AQ156" s="479"/>
      <c r="AR156" s="479"/>
      <c r="AS156" s="479"/>
      <c r="AT156" s="479"/>
      <c r="AU156" s="479"/>
    </row>
    <row r="157" spans="1:47">
      <c r="A157" s="1320">
        <v>17</v>
      </c>
      <c r="B157" s="479"/>
      <c r="C157" s="485" t="s">
        <v>259</v>
      </c>
      <c r="D157" s="479"/>
      <c r="E157" s="496"/>
      <c r="F157" s="479"/>
      <c r="G157" s="496"/>
      <c r="H157" s="479"/>
      <c r="I157" s="496"/>
      <c r="J157" s="496"/>
      <c r="K157" s="496"/>
      <c r="L157" s="501"/>
      <c r="M157" s="501"/>
      <c r="N157" s="501"/>
      <c r="O157" s="501"/>
      <c r="P157" s="479"/>
      <c r="Q157" s="479"/>
      <c r="R157" s="479"/>
      <c r="S157" s="479"/>
      <c r="T157" s="479"/>
      <c r="U157" s="479"/>
      <c r="V157" s="479"/>
      <c r="W157" s="479"/>
      <c r="X157" s="479"/>
      <c r="Y157" s="479"/>
      <c r="Z157" s="479"/>
      <c r="AA157" s="479"/>
      <c r="AB157" s="479"/>
      <c r="AC157" s="479"/>
      <c r="AD157" s="479"/>
      <c r="AE157" s="479"/>
      <c r="AF157" s="479"/>
      <c r="AG157" s="479"/>
      <c r="AH157" s="479"/>
      <c r="AI157" s="479"/>
      <c r="AJ157" s="479"/>
      <c r="AK157" s="479"/>
      <c r="AL157" s="479"/>
      <c r="AM157" s="479"/>
      <c r="AN157" s="479"/>
      <c r="AO157" s="479"/>
      <c r="AP157" s="479"/>
      <c r="AQ157" s="479"/>
      <c r="AR157" s="479"/>
      <c r="AS157" s="479"/>
      <c r="AT157" s="479"/>
      <c r="AU157" s="479"/>
    </row>
    <row r="158" spans="1:47">
      <c r="A158" s="1320">
        <v>18</v>
      </c>
      <c r="B158" s="479"/>
      <c r="C158" s="485" t="s">
        <v>260</v>
      </c>
      <c r="D158" s="479"/>
      <c r="E158" s="496"/>
      <c r="F158" s="479"/>
      <c r="G158" s="496"/>
      <c r="H158" s="479"/>
      <c r="I158" s="496"/>
      <c r="J158" s="496"/>
      <c r="K158" s="496"/>
      <c r="L158" s="501"/>
      <c r="M158" s="501"/>
      <c r="N158" s="501"/>
      <c r="O158" s="501"/>
      <c r="P158" s="479"/>
      <c r="Q158" s="479"/>
      <c r="R158" s="479"/>
      <c r="S158" s="479"/>
      <c r="T158" s="479"/>
      <c r="U158" s="479"/>
      <c r="V158" s="479"/>
      <c r="W158" s="479"/>
      <c r="X158" s="479"/>
      <c r="Y158" s="479"/>
      <c r="Z158" s="479"/>
      <c r="AA158" s="479"/>
      <c r="AB158" s="479"/>
      <c r="AC158" s="479"/>
      <c r="AD158" s="479"/>
      <c r="AE158" s="479"/>
      <c r="AF158" s="479"/>
      <c r="AG158" s="479"/>
      <c r="AH158" s="479"/>
      <c r="AI158" s="479"/>
      <c r="AJ158" s="479"/>
      <c r="AK158" s="479"/>
      <c r="AL158" s="479"/>
      <c r="AM158" s="479"/>
      <c r="AN158" s="479"/>
      <c r="AO158" s="479"/>
      <c r="AP158" s="479"/>
      <c r="AQ158" s="479"/>
      <c r="AR158" s="479"/>
      <c r="AS158" s="479"/>
      <c r="AT158" s="479"/>
      <c r="AU158" s="479"/>
    </row>
    <row r="159" spans="1:47">
      <c r="A159" s="1320">
        <v>19</v>
      </c>
      <c r="B159" s="479"/>
      <c r="C159" s="485" t="s">
        <v>261</v>
      </c>
      <c r="D159" s="479"/>
      <c r="E159" s="496"/>
      <c r="F159" s="479"/>
      <c r="G159" s="496"/>
      <c r="H159" s="479"/>
      <c r="I159" s="496"/>
      <c r="J159" s="496"/>
      <c r="K159" s="496"/>
      <c r="L159" s="501"/>
      <c r="M159" s="501"/>
      <c r="N159" s="501"/>
      <c r="O159" s="501"/>
      <c r="P159" s="479"/>
      <c r="Q159" s="479"/>
      <c r="R159" s="479"/>
      <c r="S159" s="479"/>
      <c r="T159" s="479"/>
      <c r="U159" s="479"/>
      <c r="V159" s="479"/>
      <c r="W159" s="479"/>
      <c r="X159" s="479"/>
      <c r="Y159" s="479"/>
      <c r="Z159" s="479"/>
      <c r="AA159" s="479"/>
      <c r="AB159" s="479"/>
      <c r="AC159" s="479"/>
      <c r="AD159" s="479"/>
      <c r="AE159" s="479"/>
      <c r="AF159" s="479"/>
      <c r="AG159" s="479"/>
      <c r="AH159" s="479"/>
      <c r="AI159" s="479"/>
      <c r="AJ159" s="479"/>
      <c r="AK159" s="479"/>
      <c r="AL159" s="479"/>
      <c r="AM159" s="479"/>
      <c r="AN159" s="479"/>
      <c r="AO159" s="479"/>
      <c r="AP159" s="479"/>
      <c r="AQ159" s="479"/>
      <c r="AR159" s="479"/>
      <c r="AS159" s="479"/>
      <c r="AT159" s="479"/>
      <c r="AU159" s="479"/>
    </row>
    <row r="160" spans="1:47">
      <c r="A160" s="1320">
        <v>20</v>
      </c>
      <c r="B160" s="479"/>
      <c r="C160" s="485" t="s">
        <v>262</v>
      </c>
      <c r="D160" s="479"/>
      <c r="E160" s="496"/>
      <c r="F160" s="479"/>
      <c r="G160" s="496"/>
      <c r="H160" s="479"/>
      <c r="I160" s="496"/>
      <c r="J160" s="496"/>
      <c r="K160" s="496"/>
      <c r="L160" s="501"/>
      <c r="M160" s="501"/>
      <c r="N160" s="501"/>
      <c r="O160" s="501"/>
      <c r="P160" s="479"/>
      <c r="Q160" s="479"/>
      <c r="R160" s="479"/>
      <c r="S160" s="479"/>
      <c r="T160" s="479"/>
      <c r="U160" s="479"/>
      <c r="V160" s="479"/>
      <c r="W160" s="479"/>
      <c r="X160" s="479"/>
      <c r="Y160" s="479"/>
      <c r="Z160" s="479"/>
      <c r="AA160" s="479"/>
      <c r="AB160" s="479"/>
      <c r="AC160" s="479"/>
      <c r="AD160" s="479"/>
      <c r="AE160" s="479"/>
      <c r="AF160" s="479"/>
      <c r="AG160" s="479"/>
      <c r="AH160" s="479"/>
      <c r="AI160" s="479"/>
      <c r="AJ160" s="479"/>
      <c r="AK160" s="479"/>
      <c r="AL160" s="479"/>
      <c r="AM160" s="479"/>
      <c r="AN160" s="479"/>
      <c r="AO160" s="479"/>
      <c r="AP160" s="479"/>
      <c r="AQ160" s="479"/>
      <c r="AR160" s="479"/>
      <c r="AS160" s="479"/>
      <c r="AT160" s="479"/>
      <c r="AU160" s="479"/>
    </row>
    <row r="161" spans="1:47">
      <c r="A161" s="1320">
        <v>21</v>
      </c>
      <c r="B161" s="479"/>
      <c r="C161" s="485" t="s">
        <v>1509</v>
      </c>
      <c r="D161" s="479"/>
      <c r="E161" s="502">
        <f>SCH_C2!F36</f>
        <v>2680605</v>
      </c>
      <c r="F161" s="479"/>
      <c r="G161" s="496"/>
      <c r="H161" s="479"/>
      <c r="I161" s="496"/>
      <c r="J161" s="496"/>
      <c r="K161" s="496"/>
      <c r="L161" s="501"/>
      <c r="M161" s="501"/>
      <c r="N161" s="501"/>
      <c r="O161" s="501"/>
      <c r="P161" s="479"/>
      <c r="Q161" s="479"/>
      <c r="R161" s="479"/>
      <c r="S161" s="479"/>
      <c r="T161" s="479"/>
      <c r="U161" s="479"/>
      <c r="V161" s="479"/>
      <c r="W161" s="479"/>
      <c r="X161" s="479"/>
      <c r="Y161" s="479"/>
      <c r="Z161" s="479"/>
      <c r="AA161" s="479"/>
      <c r="AB161" s="479"/>
      <c r="AC161" s="479"/>
      <c r="AD161" s="479"/>
      <c r="AE161" s="479"/>
      <c r="AF161" s="479"/>
      <c r="AG161" s="479"/>
      <c r="AH161" s="479"/>
      <c r="AI161" s="479"/>
      <c r="AJ161" s="479"/>
      <c r="AK161" s="479"/>
      <c r="AL161" s="479"/>
      <c r="AM161" s="479"/>
      <c r="AN161" s="479"/>
      <c r="AO161" s="479"/>
      <c r="AP161" s="479"/>
      <c r="AQ161" s="479"/>
      <c r="AR161" s="479"/>
      <c r="AS161" s="479"/>
      <c r="AT161" s="479"/>
      <c r="AU161" s="479"/>
    </row>
    <row r="162" spans="1:47">
      <c r="A162" s="1320">
        <v>22</v>
      </c>
      <c r="B162" s="479"/>
      <c r="C162" s="485" t="s">
        <v>1838</v>
      </c>
      <c r="D162" s="479"/>
      <c r="E162" s="497">
        <f>E152+SUM(E154:E161)</f>
        <v>2680605</v>
      </c>
      <c r="F162" s="479"/>
      <c r="G162" s="497">
        <f>G152+SUM(G154:G161)</f>
        <v>0</v>
      </c>
      <c r="H162" s="479"/>
      <c r="I162" s="497">
        <f>I152+SUM(I154:I161)</f>
        <v>0</v>
      </c>
      <c r="J162" s="496"/>
      <c r="K162" s="497">
        <f>K152+SUM(K154:K161)</f>
        <v>0</v>
      </c>
      <c r="L162" s="501"/>
      <c r="M162" s="501"/>
      <c r="N162" s="501"/>
      <c r="O162" s="501"/>
      <c r="P162" s="479"/>
      <c r="Q162" s="479"/>
      <c r="R162" s="479"/>
      <c r="S162" s="479"/>
      <c r="T162" s="479"/>
      <c r="U162" s="479"/>
      <c r="V162" s="479"/>
      <c r="W162" s="479"/>
      <c r="X162" s="479"/>
      <c r="Y162" s="479"/>
      <c r="Z162" s="479"/>
      <c r="AA162" s="479"/>
      <c r="AB162" s="479"/>
      <c r="AC162" s="479"/>
      <c r="AD162" s="479"/>
      <c r="AE162" s="479"/>
      <c r="AF162" s="479"/>
      <c r="AG162" s="479"/>
      <c r="AH162" s="479"/>
      <c r="AI162" s="479"/>
      <c r="AJ162" s="479"/>
      <c r="AK162" s="479"/>
      <c r="AL162" s="479"/>
      <c r="AM162" s="479"/>
      <c r="AN162" s="479"/>
      <c r="AO162" s="479"/>
      <c r="AP162" s="479"/>
      <c r="AQ162" s="479"/>
      <c r="AR162" s="479"/>
      <c r="AS162" s="479"/>
      <c r="AT162" s="479"/>
      <c r="AU162" s="479"/>
    </row>
    <row r="163" spans="1:47">
      <c r="A163" s="1320">
        <v>23</v>
      </c>
      <c r="B163" s="479"/>
      <c r="C163" s="479"/>
      <c r="D163" s="479"/>
      <c r="E163" s="498"/>
      <c r="F163" s="479"/>
      <c r="G163" s="498"/>
      <c r="H163" s="479"/>
      <c r="I163" s="498"/>
      <c r="J163" s="498"/>
      <c r="K163" s="498"/>
      <c r="L163" s="512"/>
      <c r="M163" s="512"/>
      <c r="N163" s="512"/>
      <c r="O163" s="512"/>
      <c r="P163" s="479"/>
      <c r="Q163" s="479"/>
      <c r="R163" s="479"/>
      <c r="S163" s="479"/>
      <c r="T163" s="479"/>
      <c r="U163" s="479"/>
      <c r="V163" s="479"/>
      <c r="W163" s="479"/>
      <c r="X163" s="479"/>
      <c r="Y163" s="479"/>
      <c r="Z163" s="479"/>
      <c r="AA163" s="479"/>
      <c r="AB163" s="479"/>
      <c r="AC163" s="479"/>
      <c r="AD163" s="479"/>
      <c r="AE163" s="479"/>
      <c r="AF163" s="479"/>
      <c r="AG163" s="479"/>
      <c r="AH163" s="479"/>
      <c r="AI163" s="479"/>
      <c r="AJ163" s="479"/>
      <c r="AK163" s="479"/>
      <c r="AL163" s="479"/>
      <c r="AM163" s="479"/>
      <c r="AN163" s="479"/>
      <c r="AO163" s="479"/>
      <c r="AP163" s="479"/>
      <c r="AQ163" s="479"/>
      <c r="AR163" s="479"/>
      <c r="AS163" s="479"/>
      <c r="AT163" s="479"/>
      <c r="AU163" s="479"/>
    </row>
    <row r="164" spans="1:47">
      <c r="A164" s="1320">
        <v>24</v>
      </c>
      <c r="B164" s="479"/>
      <c r="C164" s="485" t="s">
        <v>805</v>
      </c>
      <c r="D164" s="479"/>
      <c r="E164" s="502"/>
      <c r="F164" s="479"/>
      <c r="G164" s="502">
        <f ca="1">SCH_C2!F39</f>
        <v>9166332</v>
      </c>
      <c r="H164" s="479"/>
      <c r="I164" s="502">
        <v>0</v>
      </c>
      <c r="J164" s="496"/>
      <c r="K164" s="502">
        <v>0</v>
      </c>
      <c r="L164" s="501"/>
      <c r="M164" s="501"/>
      <c r="N164" s="501"/>
      <c r="O164" s="501"/>
      <c r="P164" s="479"/>
      <c r="Q164" s="479"/>
      <c r="R164" s="479"/>
      <c r="S164" s="479"/>
      <c r="T164" s="479"/>
      <c r="U164" s="479"/>
      <c r="V164" s="479"/>
      <c r="W164" s="479"/>
      <c r="X164" s="479"/>
      <c r="Y164" s="479"/>
      <c r="Z164" s="479"/>
      <c r="AA164" s="479"/>
      <c r="AB164" s="479"/>
      <c r="AC164" s="479"/>
      <c r="AD164" s="479"/>
      <c r="AE164" s="479"/>
      <c r="AF164" s="479"/>
      <c r="AG164" s="479"/>
      <c r="AH164" s="479"/>
      <c r="AI164" s="479"/>
      <c r="AJ164" s="479"/>
      <c r="AK164" s="479"/>
      <c r="AL164" s="479"/>
      <c r="AM164" s="479"/>
      <c r="AN164" s="479"/>
      <c r="AO164" s="479"/>
      <c r="AP164" s="479"/>
      <c r="AQ164" s="479"/>
      <c r="AR164" s="479"/>
      <c r="AS164" s="479"/>
      <c r="AT164" s="479"/>
      <c r="AU164" s="479"/>
    </row>
    <row r="165" spans="1:47">
      <c r="A165" s="1320">
        <v>25</v>
      </c>
      <c r="B165" s="479"/>
      <c r="C165" s="479"/>
      <c r="D165" s="479"/>
      <c r="E165" s="498"/>
      <c r="F165" s="479"/>
      <c r="G165" s="498"/>
      <c r="H165" s="479"/>
      <c r="I165" s="498"/>
      <c r="J165" s="498"/>
      <c r="K165" s="498"/>
      <c r="L165" s="512"/>
      <c r="M165" s="512"/>
      <c r="N165" s="512"/>
      <c r="O165" s="512"/>
      <c r="P165" s="479"/>
      <c r="Q165" s="479"/>
      <c r="R165" s="479"/>
      <c r="S165" s="479"/>
      <c r="T165" s="479"/>
      <c r="U165" s="479"/>
      <c r="V165" s="479"/>
      <c r="W165" s="479"/>
      <c r="X165" s="479"/>
      <c r="Y165" s="479"/>
      <c r="Z165" s="479"/>
      <c r="AA165" s="479"/>
      <c r="AB165" s="479"/>
      <c r="AC165" s="479"/>
      <c r="AD165" s="479"/>
      <c r="AE165" s="479"/>
      <c r="AF165" s="479"/>
      <c r="AG165" s="479"/>
      <c r="AH165" s="479"/>
      <c r="AI165" s="479"/>
      <c r="AJ165" s="479"/>
      <c r="AK165" s="479"/>
      <c r="AL165" s="479"/>
      <c r="AM165" s="479"/>
      <c r="AN165" s="479"/>
      <c r="AO165" s="479"/>
      <c r="AP165" s="479"/>
      <c r="AQ165" s="479"/>
      <c r="AR165" s="479"/>
      <c r="AS165" s="479"/>
      <c r="AT165" s="479"/>
      <c r="AU165" s="479"/>
    </row>
    <row r="166" spans="1:47">
      <c r="A166" s="1320">
        <v>26</v>
      </c>
      <c r="B166" s="479"/>
      <c r="C166" s="485" t="s">
        <v>1932</v>
      </c>
      <c r="D166" s="479"/>
      <c r="E166" s="479"/>
      <c r="F166" s="479"/>
      <c r="G166" s="496"/>
      <c r="H166" s="479"/>
      <c r="I166" s="479"/>
      <c r="J166" s="479"/>
      <c r="K166" s="479"/>
      <c r="L166" s="500"/>
      <c r="M166" s="500"/>
      <c r="N166" s="500"/>
      <c r="O166" s="500"/>
      <c r="P166" s="479"/>
      <c r="Q166" s="479"/>
      <c r="R166" s="479"/>
      <c r="S166" s="479"/>
      <c r="T166" s="479"/>
      <c r="U166" s="479"/>
      <c r="V166" s="479"/>
      <c r="W166" s="479"/>
      <c r="X166" s="479"/>
      <c r="Y166" s="479"/>
      <c r="Z166" s="479"/>
      <c r="AA166" s="479"/>
      <c r="AB166" s="479"/>
      <c r="AC166" s="479"/>
      <c r="AD166" s="479"/>
      <c r="AE166" s="479"/>
      <c r="AF166" s="479"/>
      <c r="AG166" s="479"/>
      <c r="AH166" s="479"/>
      <c r="AI166" s="479"/>
      <c r="AJ166" s="479"/>
      <c r="AK166" s="479"/>
      <c r="AL166" s="479"/>
      <c r="AM166" s="479"/>
      <c r="AN166" s="479"/>
      <c r="AO166" s="479"/>
      <c r="AP166" s="479"/>
      <c r="AQ166" s="479"/>
      <c r="AR166" s="479"/>
      <c r="AS166" s="479"/>
      <c r="AT166" s="479"/>
      <c r="AU166" s="479"/>
    </row>
    <row r="167" spans="1:47">
      <c r="A167" s="1320">
        <v>27</v>
      </c>
      <c r="B167" s="479"/>
      <c r="C167" s="485" t="s">
        <v>1210</v>
      </c>
      <c r="D167" s="479"/>
      <c r="E167" s="496"/>
      <c r="F167" s="479"/>
      <c r="G167" s="496"/>
      <c r="H167" s="479"/>
      <c r="I167" s="496">
        <f>SCH_C2!F42</f>
        <v>5147</v>
      </c>
      <c r="J167" s="496"/>
      <c r="K167" s="496"/>
      <c r="L167" s="501"/>
      <c r="M167" s="501"/>
      <c r="N167" s="501"/>
      <c r="O167" s="501"/>
      <c r="P167" s="479"/>
      <c r="Q167" s="479"/>
      <c r="R167" s="479"/>
      <c r="S167" s="479"/>
      <c r="T167" s="479"/>
      <c r="U167" s="479"/>
      <c r="V167" s="479"/>
      <c r="W167" s="479"/>
      <c r="X167" s="479"/>
      <c r="Y167" s="479"/>
      <c r="Z167" s="479"/>
      <c r="AA167" s="479"/>
      <c r="AB167" s="479"/>
      <c r="AC167" s="479"/>
      <c r="AD167" s="479"/>
      <c r="AE167" s="479"/>
      <c r="AF167" s="479"/>
      <c r="AG167" s="479"/>
      <c r="AH167" s="479"/>
      <c r="AI167" s="479"/>
      <c r="AJ167" s="479"/>
      <c r="AK167" s="479"/>
      <c r="AL167" s="479"/>
      <c r="AM167" s="479"/>
      <c r="AN167" s="479"/>
      <c r="AO167" s="479"/>
      <c r="AP167" s="479"/>
      <c r="AQ167" s="479"/>
      <c r="AR167" s="479"/>
      <c r="AS167" s="479"/>
      <c r="AT167" s="479"/>
      <c r="AU167" s="479"/>
    </row>
    <row r="168" spans="1:47">
      <c r="A168" s="1320">
        <v>28</v>
      </c>
      <c r="B168" s="479"/>
      <c r="C168" s="485" t="s">
        <v>1212</v>
      </c>
      <c r="D168" s="479"/>
      <c r="E168" s="496"/>
      <c r="F168" s="479"/>
      <c r="G168" s="496"/>
      <c r="H168" s="479"/>
      <c r="I168" s="496">
        <f>SCH_C2!F43</f>
        <v>2100462</v>
      </c>
      <c r="J168" s="496"/>
      <c r="K168" s="496"/>
      <c r="L168" s="501"/>
      <c r="M168" s="501"/>
      <c r="N168" s="501"/>
      <c r="O168" s="501"/>
      <c r="P168" s="479"/>
      <c r="Q168" s="479"/>
      <c r="R168" s="479"/>
      <c r="S168" s="479"/>
      <c r="T168" s="479"/>
      <c r="U168" s="479"/>
      <c r="V168" s="479"/>
      <c r="W168" s="479"/>
      <c r="X168" s="479"/>
      <c r="Y168" s="479"/>
      <c r="Z168" s="479"/>
      <c r="AA168" s="479"/>
      <c r="AB168" s="479"/>
      <c r="AC168" s="479"/>
      <c r="AD168" s="479"/>
      <c r="AE168" s="479"/>
      <c r="AF168" s="479"/>
      <c r="AG168" s="479"/>
      <c r="AH168" s="479"/>
      <c r="AI168" s="479"/>
      <c r="AJ168" s="479"/>
      <c r="AK168" s="479"/>
      <c r="AL168" s="479"/>
      <c r="AM168" s="479"/>
      <c r="AN168" s="479"/>
      <c r="AO168" s="479"/>
      <c r="AP168" s="479"/>
      <c r="AQ168" s="479"/>
      <c r="AR168" s="479"/>
      <c r="AS168" s="479"/>
      <c r="AT168" s="479"/>
      <c r="AU168" s="479"/>
    </row>
    <row r="169" spans="1:47">
      <c r="A169" s="1320">
        <v>29</v>
      </c>
      <c r="B169" s="479"/>
      <c r="C169" s="485" t="s">
        <v>1842</v>
      </c>
      <c r="D169" s="479"/>
      <c r="E169" s="497">
        <f>SUM(E167:E168)</f>
        <v>0</v>
      </c>
      <c r="F169" s="479"/>
      <c r="G169" s="497">
        <f>SUM(G167:G168)</f>
        <v>0</v>
      </c>
      <c r="H169" s="479"/>
      <c r="I169" s="497">
        <f>SUM(I167:I168)</f>
        <v>2105609</v>
      </c>
      <c r="J169" s="496"/>
      <c r="K169" s="497">
        <f>SUM(K167:K168)</f>
        <v>0</v>
      </c>
      <c r="L169" s="501"/>
      <c r="M169" s="501"/>
      <c r="N169" s="501"/>
      <c r="O169" s="501"/>
      <c r="P169" s="479"/>
      <c r="Q169" s="479"/>
      <c r="R169" s="479"/>
      <c r="S169" s="479"/>
      <c r="T169" s="479"/>
      <c r="U169" s="504"/>
      <c r="V169" s="504"/>
      <c r="W169" s="479"/>
      <c r="X169" s="479"/>
      <c r="Y169" s="479"/>
      <c r="Z169" s="479"/>
      <c r="AA169" s="479"/>
      <c r="AB169" s="479"/>
      <c r="AC169" s="479"/>
      <c r="AD169" s="479"/>
      <c r="AE169" s="479"/>
      <c r="AF169" s="479"/>
      <c r="AG169" s="479"/>
      <c r="AH169" s="479"/>
      <c r="AI169" s="479"/>
      <c r="AJ169" s="479"/>
      <c r="AK169" s="479"/>
      <c r="AL169" s="479"/>
      <c r="AM169" s="479"/>
      <c r="AN169" s="479"/>
      <c r="AO169" s="479"/>
      <c r="AP169" s="479"/>
      <c r="AQ169" s="479"/>
      <c r="AR169" s="479"/>
      <c r="AS169" s="479"/>
      <c r="AT169" s="479"/>
      <c r="AU169" s="479"/>
    </row>
    <row r="170" spans="1:47">
      <c r="A170" s="1320">
        <v>30</v>
      </c>
      <c r="B170" s="479"/>
      <c r="C170" s="485"/>
      <c r="D170" s="479"/>
      <c r="E170" s="501"/>
      <c r="F170" s="479"/>
      <c r="G170" s="501"/>
      <c r="H170" s="479"/>
      <c r="I170" s="501"/>
      <c r="J170" s="496"/>
      <c r="K170" s="501"/>
      <c r="L170" s="501"/>
      <c r="M170" s="501"/>
      <c r="N170" s="501"/>
      <c r="O170" s="501"/>
      <c r="P170" s="479"/>
      <c r="Q170" s="479"/>
      <c r="R170" s="479"/>
      <c r="S170" s="479"/>
      <c r="T170" s="479"/>
      <c r="U170" s="479"/>
      <c r="V170" s="479"/>
      <c r="W170" s="479"/>
      <c r="X170" s="479"/>
      <c r="Y170" s="479"/>
      <c r="Z170" s="479"/>
      <c r="AA170" s="479"/>
      <c r="AB170" s="479"/>
      <c r="AC170" s="479"/>
      <c r="AD170" s="479"/>
      <c r="AE170" s="479"/>
      <c r="AF170" s="479"/>
      <c r="AG170" s="479"/>
      <c r="AH170" s="479"/>
      <c r="AI170" s="479"/>
      <c r="AJ170" s="479"/>
      <c r="AK170" s="479"/>
      <c r="AL170" s="479"/>
      <c r="AM170" s="479"/>
      <c r="AN170" s="479"/>
      <c r="AO170" s="479"/>
      <c r="AP170" s="479"/>
      <c r="AQ170" s="479"/>
      <c r="AR170" s="479"/>
      <c r="AS170" s="479"/>
      <c r="AT170" s="479"/>
      <c r="AU170" s="479"/>
    </row>
    <row r="171" spans="1:47">
      <c r="A171" s="1320">
        <v>31</v>
      </c>
      <c r="B171" s="479"/>
      <c r="C171" s="485" t="s">
        <v>1843</v>
      </c>
      <c r="D171" s="479"/>
      <c r="E171" s="479"/>
      <c r="F171" s="479"/>
      <c r="G171" s="479"/>
      <c r="H171" s="479"/>
      <c r="I171" s="479"/>
      <c r="J171" s="479"/>
      <c r="K171" s="479"/>
      <c r="L171" s="500"/>
      <c r="M171" s="500"/>
      <c r="N171" s="500"/>
      <c r="O171" s="500"/>
      <c r="P171" s="479"/>
      <c r="Q171" s="479"/>
      <c r="R171" s="479"/>
      <c r="S171" s="479"/>
      <c r="T171" s="479"/>
      <c r="U171" s="479"/>
      <c r="V171" s="479"/>
      <c r="W171" s="479"/>
      <c r="X171" s="479"/>
      <c r="Y171" s="479"/>
      <c r="Z171" s="479"/>
      <c r="AA171" s="479"/>
      <c r="AB171" s="479"/>
      <c r="AC171" s="479"/>
      <c r="AD171" s="479"/>
      <c r="AE171" s="479"/>
      <c r="AF171" s="479"/>
      <c r="AG171" s="479"/>
      <c r="AH171" s="479"/>
      <c r="AI171" s="479"/>
      <c r="AJ171" s="479"/>
      <c r="AK171" s="479"/>
      <c r="AL171" s="479"/>
      <c r="AM171" s="479"/>
      <c r="AN171" s="479"/>
      <c r="AO171" s="479"/>
      <c r="AP171" s="479"/>
      <c r="AQ171" s="479"/>
      <c r="AR171" s="479"/>
      <c r="AS171" s="479"/>
      <c r="AT171" s="479"/>
      <c r="AU171" s="479"/>
    </row>
    <row r="172" spans="1:47">
      <c r="A172" s="1320">
        <v>32</v>
      </c>
      <c r="B172" s="479"/>
      <c r="C172" s="485" t="s">
        <v>910</v>
      </c>
      <c r="D172" s="479"/>
      <c r="E172" s="496">
        <f>ROUND((E145-E162-E164-E169)*SIT*APPORT,0)</f>
        <v>-143284</v>
      </c>
      <c r="F172" s="479"/>
      <c r="G172" s="496">
        <f ca="1">ROUND((G145-G162-G164-G169)*SIT*APPORT,0)</f>
        <v>-489959</v>
      </c>
      <c r="H172" s="479"/>
      <c r="I172" s="496">
        <f>ROUND((I145-I162-I164-I169)*SIT*APPORT,0)</f>
        <v>-112549</v>
      </c>
      <c r="J172" s="496"/>
      <c r="K172" s="496">
        <f ca="1">SCH_D2.15!J22</f>
        <v>1974854</v>
      </c>
      <c r="L172" s="501"/>
      <c r="M172" s="501"/>
      <c r="N172" s="501"/>
      <c r="O172" s="501"/>
      <c r="P172" s="479"/>
      <c r="Q172" s="479"/>
      <c r="R172" s="479"/>
      <c r="S172" s="479"/>
      <c r="T172" s="479"/>
      <c r="U172" s="479"/>
      <c r="V172" s="479"/>
      <c r="W172" s="504"/>
      <c r="X172" s="479"/>
      <c r="Y172" s="479"/>
      <c r="Z172" s="479"/>
      <c r="AA172" s="479"/>
      <c r="AB172" s="479"/>
      <c r="AC172" s="479"/>
      <c r="AD172" s="479"/>
      <c r="AE172" s="479"/>
      <c r="AF172" s="479"/>
      <c r="AG172" s="479"/>
      <c r="AH172" s="479"/>
      <c r="AI172" s="479"/>
      <c r="AJ172" s="479"/>
      <c r="AK172" s="479"/>
      <c r="AL172" s="479"/>
      <c r="AM172" s="479"/>
      <c r="AN172" s="479"/>
      <c r="AO172" s="479"/>
      <c r="AP172" s="479"/>
      <c r="AQ172" s="479"/>
      <c r="AR172" s="479"/>
      <c r="AS172" s="479"/>
      <c r="AT172" s="479"/>
      <c r="AU172" s="479"/>
    </row>
    <row r="173" spans="1:47">
      <c r="A173" s="1320">
        <v>33</v>
      </c>
      <c r="B173" s="479"/>
      <c r="C173" s="485" t="s">
        <v>1800</v>
      </c>
      <c r="D173" s="479"/>
      <c r="E173" s="496"/>
      <c r="F173" s="479"/>
      <c r="G173" s="496"/>
      <c r="H173" s="479"/>
      <c r="I173" s="496"/>
      <c r="J173" s="496"/>
      <c r="K173" s="496">
        <f ca="1">SCH_D2.15!J23</f>
        <v>-2269312.154492442</v>
      </c>
      <c r="L173" s="501"/>
      <c r="M173" s="501"/>
      <c r="N173" s="501"/>
      <c r="O173" s="501"/>
      <c r="P173" s="479"/>
      <c r="Q173" s="479"/>
      <c r="R173" s="479"/>
      <c r="S173" s="479"/>
      <c r="T173" s="479"/>
      <c r="U173" s="479"/>
      <c r="V173" s="479"/>
      <c r="W173" s="479"/>
      <c r="X173" s="479"/>
      <c r="Y173" s="479"/>
      <c r="Z173" s="479"/>
      <c r="AA173" s="479"/>
      <c r="AB173" s="479"/>
      <c r="AC173" s="479"/>
      <c r="AD173" s="479"/>
      <c r="AE173" s="479"/>
      <c r="AF173" s="479"/>
      <c r="AG173" s="479"/>
      <c r="AH173" s="479"/>
      <c r="AI173" s="479"/>
      <c r="AJ173" s="479"/>
      <c r="AK173" s="479"/>
      <c r="AL173" s="479"/>
      <c r="AM173" s="479"/>
      <c r="AN173" s="479"/>
      <c r="AO173" s="479"/>
      <c r="AP173" s="479"/>
      <c r="AQ173" s="479"/>
      <c r="AR173" s="479"/>
      <c r="AS173" s="479"/>
      <c r="AT173" s="479"/>
      <c r="AU173" s="479"/>
    </row>
    <row r="174" spans="1:47">
      <c r="A174" s="1320">
        <v>34</v>
      </c>
      <c r="B174" s="479"/>
      <c r="C174" s="485" t="s">
        <v>1848</v>
      </c>
      <c r="D174" s="479"/>
      <c r="E174" s="497">
        <f>SUM(E172:E173)</f>
        <v>-143284</v>
      </c>
      <c r="F174" s="479"/>
      <c r="G174" s="497">
        <f ca="1">SUM(G172:G173)</f>
        <v>-489959</v>
      </c>
      <c r="H174" s="479"/>
      <c r="I174" s="497">
        <f>SUM(I172:I173)</f>
        <v>-112549</v>
      </c>
      <c r="J174" s="496"/>
      <c r="K174" s="497">
        <f ca="1">SUM(K172:K173)</f>
        <v>-294458.15449244203</v>
      </c>
      <c r="L174" s="501"/>
      <c r="M174" s="501"/>
      <c r="N174" s="501"/>
      <c r="O174" s="501"/>
      <c r="P174" s="479"/>
      <c r="Q174" s="479"/>
      <c r="R174" s="479"/>
      <c r="S174" s="479"/>
      <c r="T174" s="479"/>
      <c r="U174" s="479"/>
      <c r="V174" s="479"/>
      <c r="W174" s="479"/>
      <c r="X174" s="479"/>
      <c r="Y174" s="479"/>
      <c r="Z174" s="479"/>
      <c r="AA174" s="479"/>
      <c r="AB174" s="479"/>
      <c r="AC174" s="479"/>
      <c r="AD174" s="479"/>
      <c r="AE174" s="479"/>
      <c r="AF174" s="479"/>
      <c r="AG174" s="479"/>
      <c r="AH174" s="479"/>
      <c r="AI174" s="479"/>
      <c r="AJ174" s="479"/>
      <c r="AK174" s="479"/>
      <c r="AL174" s="479"/>
      <c r="AM174" s="479"/>
      <c r="AN174" s="479"/>
      <c r="AO174" s="479"/>
      <c r="AP174" s="479"/>
      <c r="AQ174" s="479"/>
      <c r="AR174" s="479"/>
      <c r="AS174" s="479"/>
      <c r="AT174" s="479"/>
      <c r="AU174" s="479"/>
    </row>
    <row r="175" spans="1:47">
      <c r="A175" s="1320">
        <v>35</v>
      </c>
      <c r="B175" s="479"/>
      <c r="C175" s="479"/>
      <c r="D175" s="479"/>
      <c r="E175" s="498"/>
      <c r="F175" s="479"/>
      <c r="G175" s="498"/>
      <c r="H175" s="479"/>
      <c r="I175" s="498"/>
      <c r="J175" s="498"/>
      <c r="K175" s="498"/>
      <c r="L175" s="512"/>
      <c r="M175" s="512"/>
      <c r="N175" s="512"/>
      <c r="O175" s="512"/>
      <c r="P175" s="479"/>
      <c r="Q175" s="479"/>
      <c r="R175" s="479"/>
      <c r="S175" s="479"/>
      <c r="T175" s="479"/>
      <c r="U175" s="479"/>
      <c r="V175" s="479"/>
      <c r="W175" s="479"/>
      <c r="X175" s="479"/>
      <c r="Y175" s="479"/>
      <c r="Z175" s="479"/>
      <c r="AA175" s="479"/>
      <c r="AB175" s="479"/>
      <c r="AC175" s="479"/>
      <c r="AD175" s="479"/>
      <c r="AE175" s="479"/>
      <c r="AF175" s="479"/>
      <c r="AG175" s="479"/>
      <c r="AH175" s="479"/>
      <c r="AI175" s="479"/>
      <c r="AJ175" s="479"/>
      <c r="AK175" s="479"/>
      <c r="AL175" s="479"/>
      <c r="AM175" s="479"/>
      <c r="AN175" s="479"/>
      <c r="AO175" s="479"/>
      <c r="AP175" s="479"/>
      <c r="AQ175" s="479"/>
      <c r="AR175" s="479"/>
      <c r="AS175" s="479"/>
      <c r="AT175" s="479"/>
      <c r="AU175" s="479"/>
    </row>
    <row r="176" spans="1:47">
      <c r="A176" s="1320">
        <v>36</v>
      </c>
      <c r="B176" s="479"/>
      <c r="C176" s="485" t="s">
        <v>379</v>
      </c>
      <c r="D176" s="479"/>
      <c r="E176" s="479"/>
      <c r="F176" s="479"/>
      <c r="G176" s="479"/>
      <c r="H176" s="479"/>
      <c r="I176" s="479"/>
      <c r="J176" s="479"/>
      <c r="K176" s="479"/>
      <c r="L176" s="500"/>
      <c r="M176" s="500"/>
      <c r="N176" s="500"/>
      <c r="O176" s="500"/>
      <c r="P176" s="479"/>
      <c r="Q176" s="479"/>
      <c r="R176" s="479"/>
      <c r="S176" s="479"/>
      <c r="T176" s="479"/>
      <c r="U176" s="479"/>
      <c r="V176" s="479"/>
      <c r="W176" s="479"/>
      <c r="X176" s="479"/>
      <c r="Y176" s="479"/>
      <c r="Z176" s="479"/>
      <c r="AA176" s="479"/>
      <c r="AB176" s="479"/>
      <c r="AC176" s="479"/>
      <c r="AD176" s="479"/>
      <c r="AE176" s="479"/>
      <c r="AF176" s="479"/>
      <c r="AG176" s="479"/>
      <c r="AH176" s="479"/>
      <c r="AI176" s="479"/>
      <c r="AJ176" s="479"/>
      <c r="AK176" s="479"/>
      <c r="AL176" s="479"/>
      <c r="AM176" s="479"/>
      <c r="AN176" s="479"/>
      <c r="AO176" s="479"/>
      <c r="AP176" s="479"/>
      <c r="AQ176" s="479"/>
      <c r="AR176" s="479"/>
      <c r="AS176" s="479"/>
      <c r="AT176" s="479"/>
      <c r="AU176" s="479"/>
    </row>
    <row r="177" spans="1:47">
      <c r="A177" s="1320">
        <v>37</v>
      </c>
      <c r="B177" s="479"/>
      <c r="C177" s="485" t="s">
        <v>910</v>
      </c>
      <c r="D177" s="479"/>
      <c r="E177" s="496">
        <f>ROUND((E145-E162-E164-E169-E172)*FIT,0)</f>
        <v>-888062</v>
      </c>
      <c r="F177" s="479"/>
      <c r="G177" s="496">
        <f ca="1">ROUND((G145-G162-G164-G169-G172)*FIT,0)</f>
        <v>-3036731</v>
      </c>
      <c r="H177" s="479"/>
      <c r="I177" s="496">
        <f>ROUND((I145-I162-I164-I169-I172)*FIT,0)</f>
        <v>-697571</v>
      </c>
      <c r="J177" s="496"/>
      <c r="K177" s="496">
        <f ca="1">SCH_D2.15!J26</f>
        <v>8852881</v>
      </c>
      <c r="L177" s="501"/>
      <c r="M177" s="501"/>
      <c r="N177" s="501"/>
      <c r="O177" s="501"/>
      <c r="P177" s="479"/>
      <c r="Q177" s="479"/>
      <c r="R177" s="479"/>
      <c r="S177" s="479"/>
      <c r="T177" s="479"/>
      <c r="U177" s="479"/>
      <c r="V177" s="479"/>
      <c r="W177" s="479"/>
      <c r="X177" s="504"/>
      <c r="Y177" s="479"/>
      <c r="Z177" s="479"/>
      <c r="AA177" s="479"/>
      <c r="AB177" s="479"/>
      <c r="AC177" s="479"/>
      <c r="AD177" s="479"/>
      <c r="AE177" s="479"/>
      <c r="AF177" s="479"/>
      <c r="AG177" s="479"/>
      <c r="AH177" s="479"/>
      <c r="AI177" s="479"/>
      <c r="AJ177" s="479"/>
      <c r="AK177" s="479"/>
      <c r="AL177" s="479"/>
      <c r="AM177" s="479"/>
      <c r="AN177" s="479"/>
      <c r="AO177" s="479"/>
      <c r="AP177" s="479"/>
      <c r="AQ177" s="479"/>
      <c r="AR177" s="479"/>
      <c r="AS177" s="479"/>
      <c r="AT177" s="479"/>
      <c r="AU177" s="479"/>
    </row>
    <row r="178" spans="1:47">
      <c r="A178" s="1320">
        <v>38</v>
      </c>
      <c r="B178" s="479"/>
      <c r="C178" s="485" t="s">
        <v>1800</v>
      </c>
      <c r="D178" s="479"/>
      <c r="E178" s="496"/>
      <c r="F178" s="479"/>
      <c r="G178" s="496"/>
      <c r="H178" s="479"/>
      <c r="I178" s="496"/>
      <c r="J178" s="496"/>
      <c r="K178" s="496">
        <f ca="1">SCH_D2.15!J27</f>
        <v>-10218968.845507558</v>
      </c>
      <c r="L178" s="501"/>
      <c r="M178" s="501"/>
      <c r="N178" s="501"/>
      <c r="O178" s="501"/>
      <c r="P178" s="479"/>
      <c r="Q178" s="479"/>
      <c r="R178" s="479"/>
      <c r="S178" s="479"/>
      <c r="T178" s="479"/>
      <c r="U178" s="479"/>
      <c r="V178" s="479"/>
      <c r="W178" s="479"/>
      <c r="X178" s="479"/>
      <c r="Y178" s="479"/>
      <c r="Z178" s="479"/>
      <c r="AA178" s="479"/>
      <c r="AB178" s="479"/>
      <c r="AC178" s="479"/>
      <c r="AD178" s="479"/>
      <c r="AE178" s="479"/>
      <c r="AF178" s="479"/>
      <c r="AG178" s="479"/>
      <c r="AH178" s="479"/>
      <c r="AI178" s="479"/>
      <c r="AJ178" s="479"/>
      <c r="AK178" s="479"/>
      <c r="AL178" s="479"/>
      <c r="AM178" s="479"/>
      <c r="AN178" s="479"/>
      <c r="AO178" s="479"/>
      <c r="AP178" s="479"/>
      <c r="AQ178" s="479"/>
      <c r="AR178" s="479"/>
      <c r="AS178" s="479"/>
      <c r="AT178" s="479"/>
      <c r="AU178" s="479"/>
    </row>
    <row r="179" spans="1:47">
      <c r="A179" s="1320">
        <v>39</v>
      </c>
      <c r="B179" s="479"/>
      <c r="C179" s="485" t="s">
        <v>1021</v>
      </c>
      <c r="D179" s="479"/>
      <c r="E179" s="496"/>
      <c r="F179" s="479"/>
      <c r="G179" s="496"/>
      <c r="H179" s="479"/>
      <c r="I179" s="496"/>
      <c r="J179" s="496"/>
      <c r="K179" s="496">
        <f>SCH_D2.15!J28</f>
        <v>634</v>
      </c>
      <c r="L179" s="501"/>
      <c r="M179" s="501"/>
      <c r="N179" s="501"/>
      <c r="O179" s="501"/>
      <c r="P179" s="479"/>
      <c r="Q179" s="479"/>
      <c r="R179" s="479"/>
      <c r="S179" s="479"/>
      <c r="T179" s="479"/>
      <c r="U179" s="479"/>
      <c r="V179" s="479"/>
      <c r="W179" s="479"/>
      <c r="X179" s="479"/>
      <c r="Y179" s="479"/>
      <c r="Z179" s="479"/>
      <c r="AA179" s="479"/>
      <c r="AB179" s="479"/>
      <c r="AC179" s="479"/>
      <c r="AD179" s="479"/>
      <c r="AE179" s="479"/>
      <c r="AF179" s="479"/>
      <c r="AG179" s="479"/>
      <c r="AH179" s="479"/>
      <c r="AI179" s="479"/>
      <c r="AJ179" s="479"/>
      <c r="AK179" s="479"/>
      <c r="AL179" s="479"/>
      <c r="AM179" s="479"/>
      <c r="AN179" s="479"/>
      <c r="AO179" s="479"/>
      <c r="AP179" s="479"/>
      <c r="AQ179" s="479"/>
      <c r="AR179" s="479"/>
      <c r="AS179" s="479"/>
      <c r="AT179" s="479"/>
      <c r="AU179" s="479"/>
    </row>
    <row r="180" spans="1:47">
      <c r="A180" s="1320">
        <v>40</v>
      </c>
      <c r="B180" s="479"/>
      <c r="C180" s="485" t="s">
        <v>1850</v>
      </c>
      <c r="D180" s="479"/>
      <c r="E180" s="497">
        <f>SUM(E177:E179)</f>
        <v>-888062</v>
      </c>
      <c r="F180" s="479"/>
      <c r="G180" s="497">
        <f ca="1">SUM(G177:G179)</f>
        <v>-3036731</v>
      </c>
      <c r="H180" s="479"/>
      <c r="I180" s="497">
        <f>SUM(I177:I179)</f>
        <v>-697571</v>
      </c>
      <c r="J180" s="496"/>
      <c r="K180" s="497">
        <f ca="1">SUM(K177:K179)</f>
        <v>-1365453.8455075584</v>
      </c>
      <c r="L180" s="501"/>
      <c r="M180" s="501"/>
      <c r="N180" s="501"/>
      <c r="O180" s="501"/>
      <c r="P180" s="496"/>
      <c r="Q180" s="479"/>
      <c r="R180" s="479"/>
      <c r="S180" s="479"/>
      <c r="T180" s="479"/>
      <c r="U180" s="479"/>
      <c r="V180" s="479"/>
      <c r="W180" s="479"/>
      <c r="X180" s="479"/>
      <c r="Y180" s="479"/>
      <c r="Z180" s="479"/>
      <c r="AA180" s="479"/>
      <c r="AB180" s="479"/>
      <c r="AC180" s="479"/>
      <c r="AD180" s="479"/>
      <c r="AE180" s="479"/>
      <c r="AF180" s="479"/>
      <c r="AG180" s="479"/>
      <c r="AH180" s="479"/>
      <c r="AI180" s="479"/>
      <c r="AJ180" s="479"/>
      <c r="AK180" s="479"/>
      <c r="AL180" s="479"/>
      <c r="AM180" s="479"/>
      <c r="AN180" s="479"/>
      <c r="AO180" s="479"/>
      <c r="AP180" s="479"/>
      <c r="AQ180" s="479"/>
      <c r="AR180" s="479"/>
      <c r="AS180" s="479"/>
      <c r="AT180" s="479"/>
      <c r="AU180" s="479"/>
    </row>
    <row r="181" spans="1:47">
      <c r="A181" s="1320">
        <v>41</v>
      </c>
      <c r="B181" s="479"/>
      <c r="C181" s="479"/>
      <c r="D181" s="479"/>
      <c r="E181" s="498"/>
      <c r="F181" s="479"/>
      <c r="G181" s="498"/>
      <c r="H181" s="479"/>
      <c r="I181" s="498"/>
      <c r="J181" s="498"/>
      <c r="K181" s="498"/>
      <c r="L181" s="512"/>
      <c r="M181" s="512"/>
      <c r="N181" s="512"/>
      <c r="O181" s="512"/>
      <c r="P181" s="496"/>
      <c r="Q181" s="479"/>
      <c r="R181" s="479"/>
      <c r="S181" s="479"/>
      <c r="T181" s="479"/>
      <c r="U181" s="479"/>
      <c r="V181" s="479"/>
      <c r="W181" s="479"/>
      <c r="X181" s="479"/>
      <c r="Y181" s="479"/>
      <c r="Z181" s="479"/>
      <c r="AA181" s="479"/>
      <c r="AB181" s="479"/>
      <c r="AC181" s="479"/>
      <c r="AD181" s="479"/>
      <c r="AE181" s="479"/>
      <c r="AF181" s="479"/>
      <c r="AG181" s="479"/>
      <c r="AH181" s="479"/>
      <c r="AI181" s="479"/>
      <c r="AJ181" s="479"/>
      <c r="AK181" s="479"/>
      <c r="AL181" s="479"/>
      <c r="AM181" s="479"/>
      <c r="AN181" s="479"/>
      <c r="AO181" s="479"/>
      <c r="AP181" s="479"/>
      <c r="AQ181" s="479"/>
      <c r="AR181" s="479"/>
      <c r="AS181" s="479"/>
      <c r="AT181" s="479"/>
      <c r="AU181" s="479"/>
    </row>
    <row r="182" spans="1:47">
      <c r="A182" s="1320">
        <v>42</v>
      </c>
      <c r="B182" s="479"/>
      <c r="C182" s="485" t="s">
        <v>1851</v>
      </c>
      <c r="D182" s="479"/>
      <c r="E182" s="502">
        <f>E162+E164+E169+E174+E180</f>
        <v>1649259</v>
      </c>
      <c r="F182" s="479"/>
      <c r="G182" s="502">
        <f ca="1">G162+G164+G169+G174+G180</f>
        <v>5639642</v>
      </c>
      <c r="H182" s="479"/>
      <c r="I182" s="502">
        <f>I162+I164+I169+I174+I180</f>
        <v>1295489</v>
      </c>
      <c r="J182" s="496"/>
      <c r="K182" s="502">
        <f ca="1">K162+K164+K169+K174+K180</f>
        <v>-1659912.0000000005</v>
      </c>
      <c r="L182" s="501"/>
      <c r="M182" s="501"/>
      <c r="N182" s="501"/>
      <c r="O182" s="501"/>
      <c r="P182" s="479"/>
      <c r="Q182" s="479"/>
      <c r="R182" s="479"/>
      <c r="S182" s="479"/>
      <c r="T182" s="479"/>
      <c r="U182" s="479"/>
      <c r="V182" s="479"/>
      <c r="W182" s="479"/>
      <c r="X182" s="479"/>
      <c r="Y182" s="479"/>
      <c r="Z182" s="479"/>
      <c r="AA182" s="479"/>
      <c r="AB182" s="479"/>
      <c r="AC182" s="479"/>
      <c r="AD182" s="479"/>
      <c r="AE182" s="479"/>
      <c r="AF182" s="479"/>
      <c r="AG182" s="479"/>
      <c r="AH182" s="479"/>
      <c r="AI182" s="479"/>
      <c r="AJ182" s="479"/>
      <c r="AK182" s="479"/>
      <c r="AL182" s="479"/>
      <c r="AM182" s="479"/>
      <c r="AN182" s="479"/>
      <c r="AO182" s="479"/>
      <c r="AP182" s="479"/>
      <c r="AQ182" s="479"/>
      <c r="AR182" s="479"/>
      <c r="AS182" s="479"/>
      <c r="AT182" s="479"/>
      <c r="AU182" s="479"/>
    </row>
    <row r="183" spans="1:47">
      <c r="A183" s="1320">
        <v>43</v>
      </c>
      <c r="B183" s="479"/>
      <c r="C183" s="479"/>
      <c r="D183" s="479"/>
      <c r="E183" s="498"/>
      <c r="F183" s="479"/>
      <c r="G183" s="498"/>
      <c r="H183" s="479"/>
      <c r="I183" s="498"/>
      <c r="J183" s="498"/>
      <c r="K183" s="498"/>
      <c r="L183" s="512"/>
      <c r="M183" s="512"/>
      <c r="N183" s="512"/>
      <c r="O183" s="512"/>
      <c r="P183" s="479"/>
      <c r="Q183" s="479"/>
      <c r="R183" s="479"/>
      <c r="S183" s="479"/>
      <c r="T183" s="479"/>
      <c r="U183" s="479"/>
      <c r="V183" s="479"/>
      <c r="W183" s="479"/>
      <c r="X183" s="479"/>
      <c r="Y183" s="479"/>
      <c r="Z183" s="479"/>
      <c r="AA183" s="479"/>
      <c r="AB183" s="479"/>
      <c r="AC183" s="479"/>
      <c r="AD183" s="479"/>
      <c r="AE183" s="479"/>
      <c r="AF183" s="479"/>
      <c r="AG183" s="479"/>
      <c r="AH183" s="479"/>
      <c r="AI183" s="479"/>
      <c r="AJ183" s="479"/>
      <c r="AK183" s="479"/>
      <c r="AL183" s="479"/>
      <c r="AM183" s="479"/>
      <c r="AN183" s="479"/>
      <c r="AO183" s="479"/>
      <c r="AP183" s="479"/>
      <c r="AQ183" s="479"/>
      <c r="AR183" s="479"/>
      <c r="AS183" s="479"/>
      <c r="AT183" s="479"/>
      <c r="AU183" s="479"/>
    </row>
    <row r="184" spans="1:47" ht="13.5" thickBot="1">
      <c r="A184" s="1320">
        <v>44</v>
      </c>
      <c r="B184" s="479"/>
      <c r="C184" s="485" t="s">
        <v>1492</v>
      </c>
      <c r="D184" s="479"/>
      <c r="E184" s="505">
        <f>E145-E182</f>
        <v>-1649259</v>
      </c>
      <c r="F184" s="479"/>
      <c r="G184" s="505">
        <f ca="1">G145-G182</f>
        <v>-5639642</v>
      </c>
      <c r="H184" s="479"/>
      <c r="I184" s="505">
        <f>I145-I182</f>
        <v>-1295489</v>
      </c>
      <c r="J184" s="496"/>
      <c r="K184" s="505">
        <f ca="1">K145-K182</f>
        <v>1659912.0000000005</v>
      </c>
      <c r="L184" s="501"/>
      <c r="M184" s="501"/>
      <c r="N184" s="501"/>
      <c r="O184" s="501"/>
      <c r="P184" s="479"/>
      <c r="Q184" s="479"/>
      <c r="R184" s="479"/>
      <c r="S184" s="479"/>
      <c r="T184" s="479"/>
      <c r="U184" s="479"/>
      <c r="V184" s="479"/>
      <c r="W184" s="479"/>
      <c r="X184" s="479"/>
      <c r="Y184" s="479"/>
      <c r="Z184" s="479"/>
      <c r="AA184" s="479"/>
      <c r="AB184" s="479"/>
      <c r="AC184" s="479"/>
      <c r="AD184" s="479"/>
      <c r="AE184" s="479"/>
      <c r="AF184" s="479"/>
      <c r="AG184" s="479"/>
      <c r="AH184" s="479"/>
      <c r="AI184" s="479"/>
      <c r="AJ184" s="479"/>
      <c r="AK184" s="479"/>
      <c r="AL184" s="479"/>
      <c r="AM184" s="479"/>
      <c r="AN184" s="479"/>
      <c r="AO184" s="479"/>
      <c r="AP184" s="479"/>
      <c r="AQ184" s="479"/>
      <c r="AR184" s="479"/>
      <c r="AS184" s="479"/>
      <c r="AT184" s="479"/>
      <c r="AU184" s="479"/>
    </row>
    <row r="185" spans="1:47" ht="13.5" thickTop="1">
      <c r="A185" s="479"/>
      <c r="B185" s="479"/>
      <c r="C185" s="479"/>
      <c r="D185" s="496"/>
      <c r="E185" s="506">
        <f>IF(ISERR(ROUND((E174+E180)/(E184+E174+E180),4)=TRUE)," ",ROUND((E174+E180)/(E184+E174+E180),4))</f>
        <v>0.38469999999999999</v>
      </c>
      <c r="F185" s="479"/>
      <c r="G185" s="506">
        <f ca="1">IF(ISERR(ROUND((G174+G180)/(G184+G174+G180),4)=TRUE)," ",ROUND((G174+G180)/(G184+G174+G180),4))</f>
        <v>0.38469999999999999</v>
      </c>
      <c r="H185" s="506"/>
      <c r="I185" s="506">
        <f>IF(ISERR(ROUND((I174+I180)/(I184+I174+I180),4)=TRUE)," ",ROUND((I174+I180)/(I184+I174+I180),4))</f>
        <v>0.38469999999999999</v>
      </c>
      <c r="J185" s="506"/>
      <c r="K185" s="506" t="str">
        <f ca="1">IF(ISERR(ROUND((K174+K180)/(K184+K174+K180),4)=TRUE)," ",ROUND((K174+K180)/(K184+K174+K180),4))</f>
        <v xml:space="preserve"> </v>
      </c>
      <c r="L185" s="506"/>
      <c r="M185" s="506" t="str">
        <f>IF(ISERR(ROUND((M174+M180)/(M184+M174+M180),4)=TRUE)," ",ROUND((M174+M180)/(M184+M174+M180),4))</f>
        <v xml:space="preserve"> </v>
      </c>
      <c r="N185" s="506"/>
      <c r="O185" s="506" t="str">
        <f>IF(ISERR(ROUND((O174+O180)/(O184+O174+O180),4)=TRUE)," ",ROUND((O174+O180)/(O184+O174+O180),4))</f>
        <v xml:space="preserve"> </v>
      </c>
      <c r="P185" s="479"/>
      <c r="Q185" s="479"/>
      <c r="R185" s="479"/>
      <c r="S185" s="479"/>
      <c r="T185" s="479"/>
      <c r="U185" s="479"/>
      <c r="V185" s="479"/>
      <c r="W185" s="479"/>
      <c r="X185" s="479"/>
      <c r="Y185" s="479"/>
      <c r="Z185" s="479"/>
      <c r="AA185" s="479"/>
      <c r="AB185" s="479"/>
      <c r="AC185" s="479"/>
      <c r="AD185" s="479"/>
      <c r="AE185" s="479"/>
      <c r="AF185" s="479"/>
      <c r="AG185" s="479"/>
      <c r="AH185" s="479"/>
      <c r="AI185" s="479"/>
      <c r="AJ185" s="479"/>
      <c r="AK185" s="479"/>
      <c r="AL185" s="479"/>
      <c r="AM185" s="479"/>
      <c r="AN185" s="479"/>
      <c r="AO185" s="479"/>
      <c r="AP185" s="479"/>
      <c r="AQ185" s="479"/>
      <c r="AR185" s="479"/>
      <c r="AS185" s="479"/>
      <c r="AT185" s="479"/>
      <c r="AU185" s="479"/>
    </row>
    <row r="186" spans="1:47">
      <c r="A186" s="485"/>
      <c r="B186" s="479"/>
      <c r="C186" s="479"/>
      <c r="D186" s="479"/>
      <c r="E186" s="479"/>
      <c r="F186" s="479"/>
      <c r="G186" s="479"/>
      <c r="H186" s="479"/>
      <c r="I186" s="479"/>
      <c r="J186" s="479"/>
      <c r="K186" s="479"/>
      <c r="L186" s="479"/>
      <c r="M186" s="479"/>
      <c r="N186" s="479"/>
      <c r="O186" s="498"/>
      <c r="P186" s="479"/>
      <c r="Q186" s="479"/>
      <c r="R186" s="479"/>
      <c r="S186" s="479"/>
      <c r="T186" s="479"/>
      <c r="U186" s="479"/>
      <c r="V186" s="479"/>
      <c r="W186" s="479"/>
      <c r="X186" s="479"/>
      <c r="Y186" s="479"/>
      <c r="Z186" s="479"/>
      <c r="AA186" s="479"/>
      <c r="AB186" s="479"/>
      <c r="AC186" s="479"/>
      <c r="AD186" s="479"/>
      <c r="AE186" s="479"/>
      <c r="AF186" s="479"/>
      <c r="AG186" s="479"/>
      <c r="AH186" s="479"/>
      <c r="AI186" s="479"/>
      <c r="AJ186" s="479"/>
      <c r="AK186" s="479"/>
      <c r="AL186" s="479"/>
      <c r="AM186" s="479"/>
      <c r="AN186" s="479"/>
      <c r="AO186" s="479"/>
      <c r="AP186" s="479"/>
      <c r="AQ186" s="479"/>
      <c r="AR186" s="479"/>
      <c r="AS186" s="479"/>
      <c r="AT186" s="479"/>
      <c r="AU186" s="479"/>
    </row>
    <row r="187" spans="1:47">
      <c r="A187" s="479"/>
      <c r="B187" s="479"/>
      <c r="C187" s="479"/>
      <c r="D187" s="479"/>
      <c r="E187" s="479"/>
      <c r="F187" s="479"/>
      <c r="G187" s="479"/>
      <c r="H187" s="479"/>
      <c r="I187" s="479"/>
      <c r="J187" s="479"/>
      <c r="K187" s="479"/>
      <c r="L187" s="479"/>
      <c r="M187" s="479"/>
      <c r="N187" s="479"/>
      <c r="O187" s="479"/>
      <c r="P187" s="479"/>
      <c r="Q187" s="477" t="str">
        <f>COMPANY</f>
        <v>DUKE ENERGY KENTUCKY, INC.</v>
      </c>
      <c r="R187" s="478"/>
      <c r="S187" s="478"/>
      <c r="T187" s="478"/>
      <c r="U187" s="478"/>
      <c r="V187" s="478"/>
      <c r="W187" s="478"/>
      <c r="X187" s="478"/>
      <c r="Y187" s="478"/>
      <c r="Z187" s="478"/>
      <c r="AA187" s="478"/>
      <c r="AB187" s="478"/>
      <c r="AC187" s="478"/>
      <c r="AD187" s="478"/>
      <c r="AE187" s="478"/>
      <c r="AF187" s="479"/>
      <c r="AG187" s="479"/>
      <c r="AH187" s="479"/>
      <c r="AI187" s="479"/>
      <c r="AJ187" s="479"/>
      <c r="AK187" s="479"/>
      <c r="AL187" s="479"/>
      <c r="AM187" s="479"/>
      <c r="AN187" s="479"/>
      <c r="AO187" s="479"/>
      <c r="AP187" s="479"/>
      <c r="AQ187" s="479"/>
      <c r="AR187" s="479"/>
      <c r="AS187" s="479"/>
      <c r="AT187" s="479"/>
      <c r="AU187" s="479"/>
    </row>
    <row r="188" spans="1:47">
      <c r="A188" s="479"/>
      <c r="B188" s="479"/>
      <c r="C188" s="479"/>
      <c r="D188" s="479"/>
      <c r="E188" s="479"/>
      <c r="F188" s="479"/>
      <c r="G188" s="479"/>
      <c r="H188" s="479"/>
      <c r="I188" s="479"/>
      <c r="J188" s="479"/>
      <c r="K188" s="479"/>
      <c r="L188" s="479"/>
      <c r="M188" s="479"/>
      <c r="N188" s="479"/>
      <c r="O188" s="479"/>
      <c r="P188" s="479"/>
      <c r="Q188" s="477" t="str">
        <f>CASE</f>
        <v>CASE NO. 2017-00321</v>
      </c>
      <c r="R188" s="478"/>
      <c r="S188" s="478"/>
      <c r="T188" s="478"/>
      <c r="U188" s="480"/>
      <c r="V188" s="480"/>
      <c r="W188" s="478"/>
      <c r="X188" s="478"/>
      <c r="Y188" s="478"/>
      <c r="Z188" s="478"/>
      <c r="AA188" s="478"/>
      <c r="AB188" s="478"/>
      <c r="AC188" s="478"/>
      <c r="AD188" s="478"/>
      <c r="AE188" s="478"/>
      <c r="AF188" s="479"/>
      <c r="AG188" s="479"/>
      <c r="AH188" s="479"/>
      <c r="AI188" s="479"/>
      <c r="AJ188" s="479"/>
      <c r="AK188" s="479"/>
      <c r="AL188" s="479"/>
      <c r="AM188" s="479"/>
      <c r="AN188" s="479"/>
      <c r="AO188" s="479"/>
      <c r="AP188" s="479"/>
      <c r="AQ188" s="479"/>
      <c r="AR188" s="479"/>
      <c r="AS188" s="479"/>
      <c r="AT188" s="479"/>
      <c r="AU188" s="479"/>
    </row>
    <row r="189" spans="1:47">
      <c r="A189" s="479"/>
      <c r="B189" s="479"/>
      <c r="C189" s="479"/>
      <c r="D189" s="479"/>
      <c r="E189" s="479"/>
      <c r="F189" s="479"/>
      <c r="G189" s="479"/>
      <c r="H189" s="479"/>
      <c r="I189" s="479"/>
      <c r="J189" s="479"/>
      <c r="K189" s="479"/>
      <c r="L189" s="479"/>
      <c r="M189" s="479"/>
      <c r="N189" s="479"/>
      <c r="O189" s="479"/>
      <c r="P189" s="479"/>
      <c r="Q189" s="481" t="str">
        <f>$AG$501</f>
        <v>SUMMARY OF UTILITY JURISDICTIONAL ADJUSTMENTS TO</v>
      </c>
      <c r="R189" s="478"/>
      <c r="S189" s="478"/>
      <c r="T189" s="478"/>
      <c r="U189" s="478"/>
      <c r="V189" s="478"/>
      <c r="W189" s="478"/>
      <c r="X189" s="478"/>
      <c r="Y189" s="478"/>
      <c r="Z189" s="478"/>
      <c r="AA189" s="478"/>
      <c r="AB189" s="478"/>
      <c r="AC189" s="478"/>
      <c r="AD189" s="478"/>
      <c r="AE189" s="478"/>
      <c r="AF189" s="479"/>
      <c r="AG189" s="479"/>
      <c r="AH189" s="479"/>
      <c r="AI189" s="479"/>
      <c r="AJ189" s="479"/>
      <c r="AK189" s="479"/>
      <c r="AL189" s="479"/>
      <c r="AM189" s="479"/>
      <c r="AN189" s="479"/>
      <c r="AO189" s="479"/>
      <c r="AP189" s="479"/>
      <c r="AQ189" s="479"/>
      <c r="AR189" s="479"/>
      <c r="AS189" s="479"/>
      <c r="AT189" s="479"/>
      <c r="AU189" s="479"/>
    </row>
    <row r="190" spans="1:47">
      <c r="A190" s="479"/>
      <c r="B190" s="479"/>
      <c r="C190" s="479"/>
      <c r="D190" s="479"/>
      <c r="E190" s="479"/>
      <c r="F190" s="479"/>
      <c r="G190" s="479"/>
      <c r="H190" s="479"/>
      <c r="I190" s="479"/>
      <c r="J190" s="479"/>
      <c r="K190" s="479"/>
      <c r="L190" s="479"/>
      <c r="M190" s="479"/>
      <c r="N190" s="479"/>
      <c r="O190" s="479"/>
      <c r="P190" s="479"/>
      <c r="Q190" s="481" t="str">
        <f>$AG$502</f>
        <v>OPERATING INCOME BY MAJOR ACCOUNTS</v>
      </c>
      <c r="R190" s="478"/>
      <c r="S190" s="478"/>
      <c r="T190" s="478"/>
      <c r="U190" s="478"/>
      <c r="V190" s="478"/>
      <c r="W190" s="478"/>
      <c r="X190" s="478"/>
      <c r="Y190" s="478"/>
      <c r="Z190" s="478"/>
      <c r="AA190" s="478"/>
      <c r="AB190" s="478"/>
      <c r="AC190" s="478"/>
      <c r="AD190" s="478"/>
      <c r="AE190" s="478"/>
      <c r="AF190" s="479"/>
      <c r="AG190" s="479"/>
      <c r="AH190" s="479"/>
      <c r="AI190" s="479"/>
      <c r="AJ190" s="479"/>
      <c r="AK190" s="479"/>
      <c r="AL190" s="479"/>
      <c r="AM190" s="479"/>
      <c r="AN190" s="479"/>
      <c r="AO190" s="479"/>
      <c r="AP190" s="479"/>
      <c r="AQ190" s="479"/>
      <c r="AR190" s="479"/>
      <c r="AS190" s="479"/>
      <c r="AT190" s="479"/>
      <c r="AU190" s="479"/>
    </row>
    <row r="191" spans="1:47">
      <c r="A191" s="479"/>
      <c r="B191" s="479"/>
      <c r="C191" s="479"/>
      <c r="D191" s="479"/>
      <c r="E191" s="479"/>
      <c r="F191" s="479"/>
      <c r="G191" s="479"/>
      <c r="H191" s="479"/>
      <c r="I191" s="479"/>
      <c r="J191" s="479"/>
      <c r="K191" s="479"/>
      <c r="L191" s="479"/>
      <c r="M191" s="479"/>
      <c r="N191" s="479"/>
      <c r="O191" s="479"/>
      <c r="P191" s="479"/>
      <c r="Q191" s="482" t="s">
        <v>1405</v>
      </c>
      <c r="R191" s="478"/>
      <c r="S191" s="478"/>
      <c r="T191" s="478"/>
      <c r="U191" s="478"/>
      <c r="V191" s="478"/>
      <c r="W191" s="478"/>
      <c r="X191" s="478"/>
      <c r="Y191" s="478"/>
      <c r="Z191" s="478"/>
      <c r="AA191" s="478"/>
      <c r="AB191" s="478"/>
      <c r="AC191" s="478"/>
      <c r="AD191" s="478"/>
      <c r="AE191" s="478"/>
      <c r="AF191" s="479"/>
      <c r="AG191" s="479"/>
      <c r="AH191" s="479"/>
      <c r="AI191" s="479"/>
      <c r="AJ191" s="479"/>
      <c r="AK191" s="479"/>
      <c r="AL191" s="479"/>
      <c r="AM191" s="479"/>
      <c r="AN191" s="479"/>
      <c r="AO191" s="479"/>
      <c r="AP191" s="479"/>
      <c r="AQ191" s="479"/>
      <c r="AR191" s="479"/>
      <c r="AS191" s="479"/>
      <c r="AT191" s="479"/>
      <c r="AU191" s="479"/>
    </row>
    <row r="192" spans="1:47">
      <c r="A192" s="479"/>
      <c r="B192" s="479"/>
      <c r="C192" s="479"/>
      <c r="D192" s="479"/>
      <c r="E192" s="479"/>
      <c r="F192" s="479"/>
      <c r="G192" s="479"/>
      <c r="H192" s="479"/>
      <c r="I192" s="479"/>
      <c r="J192" s="479"/>
      <c r="K192" s="479"/>
      <c r="L192" s="479"/>
      <c r="M192" s="479"/>
      <c r="N192" s="479"/>
      <c r="O192" s="479"/>
      <c r="P192" s="479"/>
      <c r="Q192" s="477" t="str">
        <f>PeriodF</f>
        <v>FOR THE TWELVE MONTHS ENDED MARCH 31, 2019</v>
      </c>
      <c r="R192" s="478"/>
      <c r="S192" s="478"/>
      <c r="T192" s="478"/>
      <c r="U192" s="478"/>
      <c r="V192" s="478"/>
      <c r="W192" s="478"/>
      <c r="X192" s="478"/>
      <c r="Y192" s="478"/>
      <c r="Z192" s="478"/>
      <c r="AA192" s="478"/>
      <c r="AB192" s="478"/>
      <c r="AC192" s="478"/>
      <c r="AD192" s="478"/>
      <c r="AE192" s="478"/>
      <c r="AF192" s="479"/>
      <c r="AG192" s="479"/>
      <c r="AH192" s="479"/>
      <c r="AI192" s="479"/>
      <c r="AJ192" s="479"/>
      <c r="AK192" s="479"/>
      <c r="AL192" s="479"/>
      <c r="AM192" s="479"/>
      <c r="AN192" s="479"/>
      <c r="AO192" s="479"/>
      <c r="AP192" s="479"/>
      <c r="AQ192" s="479"/>
      <c r="AR192" s="479"/>
      <c r="AS192" s="479"/>
      <c r="AT192" s="479"/>
      <c r="AU192" s="479"/>
    </row>
    <row r="193" spans="1:47">
      <c r="A193" s="479"/>
      <c r="B193" s="479"/>
      <c r="C193" s="479"/>
      <c r="D193" s="479"/>
      <c r="E193" s="479"/>
      <c r="F193" s="479"/>
      <c r="G193" s="479"/>
      <c r="H193" s="479"/>
      <c r="I193" s="479"/>
      <c r="J193" s="479"/>
      <c r="K193" s="479"/>
      <c r="L193" s="479"/>
      <c r="M193" s="479"/>
      <c r="N193" s="479"/>
      <c r="O193" s="479"/>
      <c r="P193" s="479"/>
      <c r="Q193" s="479"/>
      <c r="R193" s="479"/>
      <c r="S193" s="479"/>
      <c r="T193" s="483"/>
      <c r="U193" s="479"/>
      <c r="V193" s="479"/>
      <c r="W193" s="479"/>
      <c r="X193" s="479"/>
      <c r="Y193" s="479"/>
      <c r="Z193" s="479"/>
      <c r="AA193" s="479"/>
      <c r="AB193" s="479"/>
      <c r="AC193" s="479"/>
      <c r="AD193" s="479"/>
      <c r="AE193" s="479"/>
      <c r="AF193" s="479"/>
      <c r="AG193" s="479"/>
      <c r="AH193" s="479"/>
      <c r="AI193" s="479"/>
      <c r="AJ193" s="479"/>
      <c r="AK193" s="479"/>
      <c r="AL193" s="479"/>
      <c r="AM193" s="479"/>
      <c r="AN193" s="479"/>
      <c r="AO193" s="479"/>
      <c r="AP193" s="479"/>
      <c r="AQ193" s="479"/>
      <c r="AR193" s="479"/>
      <c r="AS193" s="479"/>
      <c r="AT193" s="479"/>
      <c r="AU193" s="479"/>
    </row>
    <row r="194" spans="1:47">
      <c r="A194" s="479"/>
      <c r="B194" s="479"/>
      <c r="C194" s="479"/>
      <c r="D194" s="479"/>
      <c r="E194" s="479"/>
      <c r="F194" s="479"/>
      <c r="G194" s="479"/>
      <c r="H194" s="479"/>
      <c r="I194" s="479"/>
      <c r="J194" s="479"/>
      <c r="K194" s="479"/>
      <c r="L194" s="479"/>
      <c r="M194" s="479"/>
      <c r="N194" s="479"/>
      <c r="O194" s="479"/>
      <c r="P194" s="479"/>
      <c r="Q194" s="483" t="str">
        <f>DataF</f>
        <v>DATA:  BASE PERIOD  "X" FORECASTED PERIOD</v>
      </c>
      <c r="R194" s="479"/>
      <c r="S194" s="479"/>
      <c r="T194" s="479"/>
      <c r="U194" s="479"/>
      <c r="V194" s="479"/>
      <c r="W194" s="479"/>
      <c r="X194" s="479"/>
      <c r="Y194" s="479"/>
      <c r="Z194" s="479"/>
      <c r="AA194" s="479"/>
      <c r="AB194" s="479"/>
      <c r="AC194" s="484" t="s">
        <v>704</v>
      </c>
      <c r="AD194" s="485"/>
      <c r="AE194" s="479"/>
      <c r="AF194" s="479"/>
      <c r="AG194" s="479"/>
      <c r="AH194" s="479"/>
      <c r="AI194" s="479"/>
      <c r="AJ194" s="479"/>
      <c r="AK194" s="479"/>
      <c r="AL194" s="479"/>
      <c r="AM194" s="479"/>
      <c r="AN194" s="479"/>
      <c r="AO194" s="479"/>
      <c r="AP194" s="479"/>
      <c r="AQ194" s="479"/>
      <c r="AR194" s="479"/>
      <c r="AS194" s="479"/>
      <c r="AT194" s="479"/>
      <c r="AU194" s="479"/>
    </row>
    <row r="195" spans="1:47">
      <c r="A195" s="479"/>
      <c r="B195" s="479"/>
      <c r="C195" s="479"/>
      <c r="D195" s="479"/>
      <c r="E195" s="479"/>
      <c r="F195" s="479"/>
      <c r="G195" s="479"/>
      <c r="H195" s="479"/>
      <c r="I195" s="479"/>
      <c r="J195" s="479"/>
      <c r="K195" s="479"/>
      <c r="L195" s="479"/>
      <c r="M195" s="479"/>
      <c r="N195" s="479"/>
      <c r="O195" s="479"/>
      <c r="P195" s="479"/>
      <c r="Q195" s="483" t="str">
        <f>Type</f>
        <v xml:space="preserve">TYPE OF FILING:  "X" ORIGINAL   UPDATED    REVISED  </v>
      </c>
      <c r="R195" s="479"/>
      <c r="S195" s="479"/>
      <c r="T195" s="479"/>
      <c r="U195" s="479"/>
      <c r="V195" s="479"/>
      <c r="W195" s="479"/>
      <c r="X195" s="479"/>
      <c r="Y195" s="479"/>
      <c r="Z195" s="479"/>
      <c r="AA195" s="479"/>
      <c r="AB195" s="479"/>
      <c r="AC195" s="485" t="s">
        <v>3178</v>
      </c>
      <c r="AD195" s="485"/>
      <c r="AE195" s="479"/>
      <c r="AF195" s="479"/>
      <c r="AG195" s="479"/>
      <c r="AH195" s="479"/>
      <c r="AI195" s="479"/>
      <c r="AJ195" s="479"/>
      <c r="AK195" s="479"/>
      <c r="AL195" s="479"/>
      <c r="AM195" s="479"/>
      <c r="AN195" s="479"/>
      <c r="AO195" s="479"/>
      <c r="AP195" s="479"/>
      <c r="AQ195" s="479"/>
      <c r="AR195" s="479"/>
      <c r="AS195" s="479"/>
      <c r="AT195" s="479"/>
      <c r="AU195" s="479"/>
    </row>
    <row r="196" spans="1:47">
      <c r="A196" s="479"/>
      <c r="B196" s="479"/>
      <c r="C196" s="479"/>
      <c r="D196" s="479"/>
      <c r="E196" s="479"/>
      <c r="F196" s="479"/>
      <c r="G196" s="479"/>
      <c r="H196" s="479"/>
      <c r="I196" s="479"/>
      <c r="J196" s="479"/>
      <c r="K196" s="479"/>
      <c r="L196" s="479"/>
      <c r="M196" s="479"/>
      <c r="N196" s="479"/>
      <c r="O196" s="479"/>
      <c r="P196" s="479"/>
      <c r="Q196" s="485" t="s">
        <v>621</v>
      </c>
      <c r="R196" s="479"/>
      <c r="S196" s="479"/>
      <c r="T196" s="479"/>
      <c r="U196" s="479"/>
      <c r="V196" s="479"/>
      <c r="W196" s="479"/>
      <c r="X196" s="479"/>
      <c r="Y196" s="479"/>
      <c r="Z196" s="479"/>
      <c r="AA196" s="479"/>
      <c r="AB196" s="479"/>
      <c r="AC196" s="484" t="s">
        <v>705</v>
      </c>
      <c r="AD196" s="485"/>
      <c r="AE196" s="479"/>
      <c r="AF196" s="479"/>
      <c r="AG196" s="479"/>
      <c r="AH196" s="479"/>
      <c r="AI196" s="479"/>
      <c r="AJ196" s="479"/>
      <c r="AK196" s="479"/>
      <c r="AL196" s="479"/>
      <c r="AM196" s="479"/>
      <c r="AN196" s="479"/>
      <c r="AO196" s="479"/>
      <c r="AP196" s="479"/>
      <c r="AQ196" s="479"/>
      <c r="AR196" s="479"/>
      <c r="AS196" s="479"/>
      <c r="AT196" s="479"/>
      <c r="AU196" s="479"/>
    </row>
    <row r="197" spans="1:47">
      <c r="A197" s="479"/>
      <c r="B197" s="479"/>
      <c r="C197" s="479"/>
      <c r="D197" s="479"/>
      <c r="E197" s="479"/>
      <c r="F197" s="479"/>
      <c r="G197" s="479"/>
      <c r="H197" s="479"/>
      <c r="I197" s="479"/>
      <c r="J197" s="479"/>
      <c r="K197" s="479"/>
      <c r="L197" s="479"/>
      <c r="M197" s="479"/>
      <c r="N197" s="479"/>
      <c r="O197" s="479"/>
      <c r="P197" s="479"/>
      <c r="Q197" s="479"/>
      <c r="R197" s="479"/>
      <c r="S197" s="479"/>
      <c r="T197" s="479"/>
      <c r="U197" s="479"/>
      <c r="V197" s="479"/>
      <c r="W197" s="1567"/>
      <c r="X197" s="479"/>
      <c r="Y197" s="479"/>
      <c r="Z197" s="479"/>
      <c r="AA197" s="479"/>
      <c r="AB197" s="479"/>
      <c r="AC197" s="485" t="str">
        <f>"          "&amp;_WIT1</f>
        <v xml:space="preserve">          S. E. LAWLER</v>
      </c>
      <c r="AD197" s="485"/>
      <c r="AE197" s="479"/>
      <c r="AF197" s="479"/>
      <c r="AG197" s="479"/>
      <c r="AH197" s="479"/>
      <c r="AI197" s="479"/>
      <c r="AJ197" s="479"/>
      <c r="AK197" s="479"/>
      <c r="AL197" s="479"/>
      <c r="AM197" s="479"/>
      <c r="AN197" s="479"/>
      <c r="AO197" s="479"/>
      <c r="AP197" s="479"/>
      <c r="AQ197" s="479"/>
      <c r="AR197" s="479"/>
      <c r="AS197" s="479"/>
      <c r="AT197" s="479"/>
      <c r="AU197" s="479"/>
    </row>
    <row r="198" spans="1:47">
      <c r="A198" s="479"/>
      <c r="B198" s="479"/>
      <c r="C198" s="479"/>
      <c r="D198" s="479"/>
      <c r="E198" s="479"/>
      <c r="F198" s="479"/>
      <c r="G198" s="479"/>
      <c r="H198" s="479"/>
      <c r="I198" s="479"/>
      <c r="J198" s="479"/>
      <c r="K198" s="479"/>
      <c r="L198" s="479"/>
      <c r="M198" s="479"/>
      <c r="N198" s="479"/>
      <c r="O198" s="479"/>
      <c r="P198" s="479"/>
      <c r="Q198" s="486"/>
      <c r="R198" s="486"/>
      <c r="S198" s="486"/>
      <c r="T198" s="486"/>
      <c r="U198" s="486"/>
      <c r="V198" s="486"/>
      <c r="W198" s="1566"/>
      <c r="X198" s="479"/>
      <c r="Y198" s="486"/>
      <c r="Z198" s="486"/>
      <c r="AA198" s="486"/>
      <c r="AB198" s="486"/>
      <c r="AC198" s="486"/>
      <c r="AD198" s="486"/>
      <c r="AE198" s="486"/>
      <c r="AF198" s="479"/>
      <c r="AG198" s="479"/>
      <c r="AH198" s="479"/>
      <c r="AI198" s="479"/>
      <c r="AJ198" s="479"/>
      <c r="AK198" s="479"/>
      <c r="AL198" s="479"/>
      <c r="AM198" s="479"/>
      <c r="AN198" s="479"/>
      <c r="AO198" s="479"/>
      <c r="AP198" s="479"/>
      <c r="AQ198" s="479"/>
      <c r="AR198" s="479"/>
      <c r="AS198" s="479"/>
      <c r="AT198" s="479"/>
      <c r="AU198" s="479"/>
    </row>
    <row r="199" spans="1:47">
      <c r="A199" s="479"/>
      <c r="B199" s="479"/>
      <c r="C199" s="479"/>
      <c r="D199" s="479"/>
      <c r="E199" s="479"/>
      <c r="F199" s="479"/>
      <c r="G199" s="479"/>
      <c r="H199" s="479"/>
      <c r="I199" s="479"/>
      <c r="J199" s="479"/>
      <c r="K199" s="479"/>
      <c r="L199" s="479"/>
      <c r="M199" s="479"/>
      <c r="N199" s="479"/>
      <c r="O199" s="479"/>
      <c r="P199" s="479"/>
      <c r="Q199" s="479"/>
      <c r="R199" s="479"/>
      <c r="S199" s="479"/>
      <c r="T199" s="479"/>
      <c r="U199" s="1320" t="s">
        <v>1035</v>
      </c>
      <c r="V199" s="479"/>
      <c r="W199" s="1320" t="s">
        <v>1615</v>
      </c>
      <c r="X199" s="2663"/>
      <c r="Y199" s="1320" t="s">
        <v>806</v>
      </c>
      <c r="Z199" s="479"/>
      <c r="AA199" s="1320" t="s">
        <v>807</v>
      </c>
      <c r="AB199" s="1320"/>
      <c r="AC199" s="510"/>
      <c r="AD199" s="510"/>
      <c r="AE199" s="1320" t="s">
        <v>807</v>
      </c>
      <c r="AF199" s="479"/>
      <c r="AG199" s="479"/>
      <c r="AH199" s="479"/>
      <c r="AI199" s="479"/>
      <c r="AJ199" s="479"/>
      <c r="AK199" s="479"/>
      <c r="AL199" s="479"/>
      <c r="AM199" s="479"/>
      <c r="AN199" s="479"/>
      <c r="AO199" s="479"/>
      <c r="AP199" s="479"/>
      <c r="AQ199" s="479"/>
      <c r="AR199" s="479"/>
      <c r="AS199" s="479"/>
      <c r="AT199" s="479"/>
      <c r="AU199" s="479"/>
    </row>
    <row r="200" spans="1:47">
      <c r="A200" s="479"/>
      <c r="B200" s="479"/>
      <c r="C200" s="479"/>
      <c r="D200" s="479"/>
      <c r="E200" s="479"/>
      <c r="F200" s="479"/>
      <c r="G200" s="479"/>
      <c r="H200" s="479"/>
      <c r="I200" s="479"/>
      <c r="J200" s="479"/>
      <c r="K200" s="479"/>
      <c r="L200" s="479"/>
      <c r="M200" s="479"/>
      <c r="N200" s="479"/>
      <c r="O200" s="479"/>
      <c r="P200" s="479"/>
      <c r="Q200" s="1320" t="s">
        <v>1961</v>
      </c>
      <c r="R200" s="479"/>
      <c r="S200" s="479"/>
      <c r="T200" s="479"/>
      <c r="U200" s="1320" t="s">
        <v>561</v>
      </c>
      <c r="V200" s="479"/>
      <c r="W200" s="511" t="s">
        <v>2697</v>
      </c>
      <c r="X200" s="1320"/>
      <c r="Y200" s="1320" t="s">
        <v>809</v>
      </c>
      <c r="Z200" s="1320"/>
      <c r="AA200" s="511" t="s">
        <v>3087</v>
      </c>
      <c r="AB200" s="1320"/>
      <c r="AC200" s="1320" t="s">
        <v>808</v>
      </c>
      <c r="AD200" s="479"/>
      <c r="AE200" s="1320" t="s">
        <v>972</v>
      </c>
      <c r="AF200" s="479"/>
      <c r="AG200" s="479"/>
      <c r="AH200" s="479"/>
      <c r="AI200" s="479"/>
      <c r="AJ200" s="479"/>
      <c r="AK200" s="479"/>
      <c r="AL200" s="479"/>
      <c r="AM200" s="479"/>
      <c r="AN200" s="479"/>
      <c r="AO200" s="479"/>
      <c r="AP200" s="479"/>
      <c r="AQ200" s="479"/>
      <c r="AR200" s="479"/>
      <c r="AS200" s="479"/>
      <c r="AT200" s="479"/>
      <c r="AU200" s="479"/>
    </row>
    <row r="201" spans="1:47">
      <c r="A201" s="479"/>
      <c r="B201" s="479"/>
      <c r="C201" s="479"/>
      <c r="D201" s="479"/>
      <c r="E201" s="479"/>
      <c r="F201" s="479"/>
      <c r="G201" s="479"/>
      <c r="H201" s="479"/>
      <c r="I201" s="479"/>
      <c r="J201" s="479"/>
      <c r="K201" s="479"/>
      <c r="L201" s="479"/>
      <c r="M201" s="479"/>
      <c r="N201" s="479"/>
      <c r="O201" s="479"/>
      <c r="P201" s="479"/>
      <c r="Q201" s="489" t="s">
        <v>90</v>
      </c>
      <c r="R201" s="490"/>
      <c r="S201" s="489" t="s">
        <v>26</v>
      </c>
      <c r="T201" s="490"/>
      <c r="U201" s="489" t="s">
        <v>560</v>
      </c>
      <c r="V201" s="479"/>
      <c r="W201" s="489" t="s">
        <v>3043</v>
      </c>
      <c r="X201" s="489"/>
      <c r="Y201" s="489" t="s">
        <v>1195</v>
      </c>
      <c r="Z201" s="489"/>
      <c r="AA201" s="489" t="s">
        <v>3088</v>
      </c>
      <c r="AB201" s="489"/>
      <c r="AC201" s="492" t="s">
        <v>1195</v>
      </c>
      <c r="AD201" s="479"/>
      <c r="AE201" s="489" t="s">
        <v>308</v>
      </c>
      <c r="AF201" s="479"/>
      <c r="AG201" s="479"/>
      <c r="AH201" s="479"/>
      <c r="AI201" s="479"/>
      <c r="AJ201" s="479"/>
      <c r="AK201" s="479"/>
      <c r="AL201" s="479"/>
      <c r="AM201" s="479"/>
      <c r="AN201" s="479"/>
      <c r="AO201" s="479"/>
      <c r="AP201" s="479"/>
      <c r="AQ201" s="479"/>
      <c r="AR201" s="479"/>
      <c r="AS201" s="479"/>
      <c r="AT201" s="479"/>
      <c r="AU201" s="479"/>
    </row>
    <row r="202" spans="1:47">
      <c r="A202" s="479"/>
      <c r="B202" s="479"/>
      <c r="C202" s="479"/>
      <c r="D202" s="479"/>
      <c r="E202" s="479"/>
      <c r="F202" s="479"/>
      <c r="G202" s="479"/>
      <c r="H202" s="479"/>
      <c r="I202" s="479"/>
      <c r="J202" s="479"/>
      <c r="K202" s="479"/>
      <c r="L202" s="479"/>
      <c r="M202" s="479"/>
      <c r="N202" s="479"/>
      <c r="O202" s="479"/>
      <c r="P202" s="479"/>
      <c r="Q202" s="490"/>
      <c r="R202" s="490"/>
      <c r="S202" s="493" t="s">
        <v>957</v>
      </c>
      <c r="T202" s="490"/>
      <c r="U202" s="489" t="s">
        <v>3163</v>
      </c>
      <c r="V202" s="494"/>
      <c r="W202" s="489" t="s">
        <v>814</v>
      </c>
      <c r="X202" s="489"/>
      <c r="Y202" s="489" t="s">
        <v>1309</v>
      </c>
      <c r="Z202" s="489"/>
      <c r="AA202" s="489" t="s">
        <v>815</v>
      </c>
      <c r="AB202" s="489"/>
      <c r="AC202" s="489" t="s">
        <v>816</v>
      </c>
      <c r="AD202" s="494"/>
      <c r="AE202" s="489" t="s">
        <v>817</v>
      </c>
      <c r="AF202" s="479"/>
      <c r="AG202" s="479"/>
      <c r="AH202" s="479"/>
      <c r="AI202" s="479"/>
      <c r="AJ202" s="479"/>
      <c r="AK202" s="479"/>
      <c r="AL202" s="479"/>
      <c r="AM202" s="479"/>
      <c r="AN202" s="479"/>
      <c r="AO202" s="479"/>
      <c r="AP202" s="479"/>
      <c r="AQ202" s="479"/>
      <c r="AR202" s="479"/>
      <c r="AS202" s="479"/>
      <c r="AT202" s="479"/>
      <c r="AU202" s="479"/>
    </row>
    <row r="203" spans="1:47">
      <c r="A203" s="479"/>
      <c r="B203" s="479"/>
      <c r="C203" s="479"/>
      <c r="D203" s="479"/>
      <c r="E203" s="479"/>
      <c r="F203" s="479"/>
      <c r="G203" s="479"/>
      <c r="H203" s="479"/>
      <c r="I203" s="479"/>
      <c r="J203" s="479"/>
      <c r="K203" s="479"/>
      <c r="L203" s="479"/>
      <c r="M203" s="479"/>
      <c r="N203" s="479"/>
      <c r="O203" s="479"/>
      <c r="P203" s="479"/>
      <c r="Q203" s="1320">
        <v>1</v>
      </c>
      <c r="R203" s="495" t="s">
        <v>1199</v>
      </c>
      <c r="S203" s="479"/>
      <c r="T203" s="479"/>
      <c r="U203" s="479"/>
      <c r="V203" s="479"/>
      <c r="W203" s="479"/>
      <c r="X203" s="479"/>
      <c r="Y203" s="479"/>
      <c r="Z203" s="479"/>
      <c r="AA203" s="479"/>
      <c r="AB203" s="479"/>
      <c r="AC203" s="479"/>
      <c r="AD203" s="479"/>
      <c r="AE203" s="479"/>
      <c r="AF203" s="479"/>
      <c r="AG203" s="479"/>
      <c r="AH203" s="479"/>
      <c r="AI203" s="479"/>
      <c r="AJ203" s="479"/>
      <c r="AK203" s="479"/>
      <c r="AL203" s="479"/>
      <c r="AM203" s="479"/>
      <c r="AN203" s="479"/>
      <c r="AO203" s="479"/>
      <c r="AP203" s="479"/>
      <c r="AQ203" s="479"/>
      <c r="AR203" s="479"/>
      <c r="AS203" s="479"/>
      <c r="AT203" s="479"/>
      <c r="AU203" s="479"/>
    </row>
    <row r="204" spans="1:47">
      <c r="A204" s="479"/>
      <c r="B204" s="479"/>
      <c r="C204" s="479"/>
      <c r="D204" s="479"/>
      <c r="E204" s="479"/>
      <c r="F204" s="479"/>
      <c r="G204" s="479"/>
      <c r="H204" s="479"/>
      <c r="I204" s="479"/>
      <c r="J204" s="479"/>
      <c r="K204" s="479"/>
      <c r="L204" s="479"/>
      <c r="M204" s="479"/>
      <c r="N204" s="479"/>
      <c r="O204" s="479"/>
      <c r="P204" s="479"/>
      <c r="Q204" s="1320">
        <v>2</v>
      </c>
      <c r="R204" s="479"/>
      <c r="S204" s="485" t="s">
        <v>1200</v>
      </c>
      <c r="T204" s="479"/>
      <c r="U204" s="496">
        <f>SUM(W204:AE204)+SUM(U266:AE266)+SUM(U328:AE328)+SUM(U390:AE390)+SUM(U452:AE452)</f>
        <v>-3438797</v>
      </c>
      <c r="V204" s="479"/>
      <c r="W204" s="496"/>
      <c r="X204" s="496"/>
      <c r="Y204" s="496"/>
      <c r="Z204" s="496"/>
      <c r="AA204" s="496"/>
      <c r="AB204" s="496"/>
      <c r="AC204" s="496"/>
      <c r="AD204" s="479"/>
      <c r="AE204" s="496">
        <f>SCH_D2.20!H23</f>
        <v>2401046</v>
      </c>
      <c r="AF204" s="479"/>
      <c r="AG204" s="479"/>
      <c r="AH204" s="479"/>
      <c r="AI204" s="479"/>
      <c r="AJ204" s="479"/>
      <c r="AK204" s="479"/>
      <c r="AL204" s="479"/>
      <c r="AM204" s="479"/>
      <c r="AN204" s="479"/>
      <c r="AO204" s="479"/>
      <c r="AP204" s="479"/>
      <c r="AQ204" s="479"/>
      <c r="AR204" s="479"/>
      <c r="AS204" s="479"/>
      <c r="AT204" s="479"/>
      <c r="AU204" s="479"/>
    </row>
    <row r="205" spans="1:47">
      <c r="A205" s="479"/>
      <c r="B205" s="479"/>
      <c r="C205" s="479"/>
      <c r="D205" s="479"/>
      <c r="E205" s="479"/>
      <c r="F205" s="479"/>
      <c r="G205" s="479"/>
      <c r="H205" s="479"/>
      <c r="I205" s="479"/>
      <c r="J205" s="479"/>
      <c r="K205" s="479"/>
      <c r="L205" s="479"/>
      <c r="M205" s="479"/>
      <c r="N205" s="479"/>
      <c r="O205" s="479"/>
      <c r="P205" s="479"/>
      <c r="Q205" s="1320">
        <v>3</v>
      </c>
      <c r="R205" s="479"/>
      <c r="S205" s="485" t="s">
        <v>1823</v>
      </c>
      <c r="T205" s="479"/>
      <c r="U205" s="496">
        <f>SUM(W205:AE205)+SUM(U267:AE267)+SUM(U329:AE329)+SUM(U391:AE391)+SUM(U453:AE453)</f>
        <v>4635613</v>
      </c>
      <c r="V205" s="479"/>
      <c r="W205" s="496"/>
      <c r="X205" s="496"/>
      <c r="Y205" s="496"/>
      <c r="Z205" s="496"/>
      <c r="AA205" s="496"/>
      <c r="AB205" s="496"/>
      <c r="AC205" s="496"/>
      <c r="AD205" s="479"/>
      <c r="AE205" s="496"/>
      <c r="AF205" s="479"/>
      <c r="AG205" s="479"/>
      <c r="AH205" s="479"/>
      <c r="AI205" s="479"/>
      <c r="AJ205" s="479"/>
      <c r="AK205" s="479"/>
      <c r="AL205" s="479"/>
      <c r="AM205" s="479"/>
      <c r="AN205" s="479"/>
      <c r="AO205" s="479"/>
      <c r="AP205" s="479"/>
      <c r="AQ205" s="479"/>
      <c r="AR205" s="479"/>
      <c r="AS205" s="479"/>
      <c r="AT205" s="479"/>
      <c r="AU205" s="479"/>
    </row>
    <row r="206" spans="1:47">
      <c r="A206" s="479"/>
      <c r="B206" s="479"/>
      <c r="C206" s="479"/>
      <c r="D206" s="479"/>
      <c r="E206" s="479"/>
      <c r="F206" s="479"/>
      <c r="G206" s="479"/>
      <c r="H206" s="479"/>
      <c r="I206" s="479"/>
      <c r="J206" s="479"/>
      <c r="K206" s="479"/>
      <c r="L206" s="479"/>
      <c r="M206" s="479"/>
      <c r="N206" s="479"/>
      <c r="O206" s="479"/>
      <c r="P206" s="479"/>
      <c r="Q206" s="1320">
        <v>4</v>
      </c>
      <c r="R206" s="479"/>
      <c r="S206" s="485" t="s">
        <v>1201</v>
      </c>
      <c r="T206" s="479"/>
      <c r="U206" s="496">
        <f>SUM(W206:AE206)+SUM(U268:AE268)+SUM(U330:AE330)+SUM(U392:AE392)+SUM(U454:AE454)</f>
        <v>-13657824</v>
      </c>
      <c r="V206" s="479"/>
      <c r="W206" s="1321"/>
      <c r="X206" s="496"/>
      <c r="Y206" s="496"/>
      <c r="Z206" s="496"/>
      <c r="AA206" s="496"/>
      <c r="AB206" s="496"/>
      <c r="AC206" s="496"/>
      <c r="AD206" s="479"/>
      <c r="AE206" s="496">
        <f>SCH_D2.20!H24-SCH_D1!AE204</f>
        <v>-13840230</v>
      </c>
      <c r="AF206" s="479"/>
      <c r="AG206" s="479"/>
      <c r="AH206" s="479"/>
      <c r="AI206" s="479"/>
      <c r="AJ206" s="479"/>
      <c r="AK206" s="479"/>
      <c r="AL206" s="479"/>
      <c r="AM206" s="479"/>
      <c r="AN206" s="479"/>
      <c r="AO206" s="479"/>
      <c r="AP206" s="479"/>
      <c r="AQ206" s="479"/>
      <c r="AR206" s="479"/>
      <c r="AS206" s="479"/>
      <c r="AT206" s="479"/>
      <c r="AU206" s="479"/>
    </row>
    <row r="207" spans="1:47">
      <c r="A207" s="479"/>
      <c r="B207" s="479"/>
      <c r="C207" s="479"/>
      <c r="D207" s="479"/>
      <c r="E207" s="479"/>
      <c r="F207" s="479"/>
      <c r="G207" s="479"/>
      <c r="H207" s="479"/>
      <c r="I207" s="479"/>
      <c r="J207" s="479"/>
      <c r="K207" s="479"/>
      <c r="L207" s="479"/>
      <c r="M207" s="479"/>
      <c r="N207" s="479"/>
      <c r="O207" s="479"/>
      <c r="P207" s="479"/>
      <c r="Q207" s="1320">
        <v>5</v>
      </c>
      <c r="R207" s="479"/>
      <c r="S207" s="485" t="s">
        <v>1202</v>
      </c>
      <c r="T207" s="479"/>
      <c r="U207" s="497">
        <f>SUM(U204:U206)</f>
        <v>-12461008</v>
      </c>
      <c r="V207" s="479"/>
      <c r="W207" s="497">
        <f>SUM(W204:W206)</f>
        <v>0</v>
      </c>
      <c r="X207" s="496"/>
      <c r="Y207" s="497">
        <f>SUM(Y204:Y206)</f>
        <v>0</v>
      </c>
      <c r="Z207" s="496"/>
      <c r="AA207" s="497">
        <f>SUM(AA204:AA206)</f>
        <v>0</v>
      </c>
      <c r="AB207" s="496"/>
      <c r="AC207" s="497">
        <f>SUM(AC204:AC206)</f>
        <v>0</v>
      </c>
      <c r="AD207" s="479"/>
      <c r="AE207" s="497">
        <f>SUM(AE204:AE206)</f>
        <v>-11439184</v>
      </c>
      <c r="AF207" s="479"/>
      <c r="AG207" s="479"/>
      <c r="AH207" s="479"/>
      <c r="AI207" s="479"/>
      <c r="AJ207" s="479"/>
      <c r="AK207" s="479"/>
      <c r="AL207" s="479"/>
      <c r="AM207" s="479"/>
      <c r="AN207" s="479"/>
      <c r="AO207" s="479"/>
      <c r="AP207" s="479"/>
      <c r="AQ207" s="479"/>
      <c r="AR207" s="479"/>
      <c r="AS207" s="479"/>
      <c r="AT207" s="479"/>
      <c r="AU207" s="479"/>
    </row>
    <row r="208" spans="1:47">
      <c r="A208" s="479"/>
      <c r="B208" s="479"/>
      <c r="C208" s="479"/>
      <c r="D208" s="479"/>
      <c r="E208" s="479"/>
      <c r="F208" s="479"/>
      <c r="G208" s="479"/>
      <c r="H208" s="479"/>
      <c r="I208" s="479"/>
      <c r="J208" s="479"/>
      <c r="K208" s="479"/>
      <c r="L208" s="479"/>
      <c r="M208" s="479"/>
      <c r="N208" s="479"/>
      <c r="O208" s="479"/>
      <c r="P208" s="479"/>
      <c r="Q208" s="1320">
        <v>6</v>
      </c>
      <c r="R208" s="479"/>
      <c r="S208" s="479"/>
      <c r="T208" s="479"/>
      <c r="U208" s="498"/>
      <c r="V208" s="479"/>
      <c r="W208" s="498"/>
      <c r="X208" s="498"/>
      <c r="Y208" s="498"/>
      <c r="Z208" s="498"/>
      <c r="AA208" s="498"/>
      <c r="AB208" s="498"/>
      <c r="AC208" s="498"/>
      <c r="AD208" s="479"/>
      <c r="AE208" s="498"/>
      <c r="AF208" s="479"/>
      <c r="AG208" s="479"/>
      <c r="AH208" s="479"/>
      <c r="AI208" s="479"/>
      <c r="AJ208" s="479"/>
      <c r="AK208" s="479"/>
      <c r="AL208" s="479"/>
      <c r="AM208" s="479"/>
      <c r="AN208" s="479"/>
      <c r="AO208" s="479"/>
      <c r="AP208" s="479"/>
      <c r="AQ208" s="479"/>
      <c r="AR208" s="479"/>
      <c r="AS208" s="479"/>
      <c r="AT208" s="479"/>
      <c r="AU208" s="479"/>
    </row>
    <row r="209" spans="1:47">
      <c r="A209" s="479"/>
      <c r="B209" s="479"/>
      <c r="C209" s="479"/>
      <c r="D209" s="479"/>
      <c r="E209" s="479"/>
      <c r="F209" s="479"/>
      <c r="G209" s="479"/>
      <c r="H209" s="479"/>
      <c r="I209" s="479"/>
      <c r="J209" s="479"/>
      <c r="K209" s="479"/>
      <c r="L209" s="479"/>
      <c r="M209" s="479"/>
      <c r="N209" s="479"/>
      <c r="O209" s="479"/>
      <c r="P209" s="479"/>
      <c r="Q209" s="1320">
        <v>7</v>
      </c>
      <c r="R209" s="495" t="s">
        <v>1152</v>
      </c>
      <c r="S209" s="479"/>
      <c r="T209" s="479"/>
      <c r="U209" s="479"/>
      <c r="V209" s="479"/>
      <c r="W209" s="479"/>
      <c r="X209" s="479"/>
      <c r="Y209" s="479"/>
      <c r="Z209" s="479"/>
      <c r="AA209" s="479"/>
      <c r="AB209" s="479"/>
      <c r="AC209" s="479"/>
      <c r="AD209" s="479"/>
      <c r="AE209" s="479"/>
      <c r="AF209" s="479"/>
      <c r="AG209" s="479"/>
      <c r="AH209" s="479"/>
      <c r="AI209" s="479"/>
      <c r="AJ209" s="479"/>
      <c r="AK209" s="479"/>
      <c r="AL209" s="479"/>
      <c r="AM209" s="479"/>
      <c r="AN209" s="479"/>
      <c r="AO209" s="479"/>
      <c r="AP209" s="479"/>
      <c r="AQ209" s="479"/>
      <c r="AR209" s="479"/>
      <c r="AS209" s="479"/>
      <c r="AT209" s="479"/>
      <c r="AU209" s="479"/>
    </row>
    <row r="210" spans="1:47">
      <c r="A210" s="479"/>
      <c r="B210" s="479"/>
      <c r="C210" s="479"/>
      <c r="D210" s="479"/>
      <c r="E210" s="479"/>
      <c r="F210" s="479"/>
      <c r="G210" s="479"/>
      <c r="H210" s="479"/>
      <c r="I210" s="479"/>
      <c r="J210" s="479"/>
      <c r="K210" s="479"/>
      <c r="L210" s="479"/>
      <c r="M210" s="479"/>
      <c r="N210" s="479"/>
      <c r="O210" s="479"/>
      <c r="P210" s="479"/>
      <c r="Q210" s="1320">
        <v>8</v>
      </c>
      <c r="R210" s="479"/>
      <c r="S210" s="485" t="s">
        <v>1203</v>
      </c>
      <c r="T210" s="479"/>
      <c r="U210" s="479"/>
      <c r="V210" s="479"/>
      <c r="W210" s="479"/>
      <c r="X210" s="479"/>
      <c r="Y210" s="479"/>
      <c r="Z210" s="479"/>
      <c r="AA210" s="479"/>
      <c r="AB210" s="479"/>
      <c r="AC210" s="479"/>
      <c r="AD210" s="479"/>
      <c r="AE210" s="479"/>
      <c r="AF210" s="479"/>
      <c r="AG210" s="479"/>
      <c r="AH210" s="479"/>
      <c r="AI210" s="479"/>
      <c r="AJ210" s="479"/>
      <c r="AK210" s="479"/>
      <c r="AL210" s="479"/>
      <c r="AM210" s="479"/>
      <c r="AN210" s="479"/>
      <c r="AO210" s="479"/>
      <c r="AP210" s="479"/>
      <c r="AQ210" s="479"/>
      <c r="AR210" s="479"/>
      <c r="AS210" s="479"/>
      <c r="AT210" s="479"/>
      <c r="AU210" s="479"/>
    </row>
    <row r="211" spans="1:47">
      <c r="A211" s="479"/>
      <c r="B211" s="479"/>
      <c r="C211" s="479"/>
      <c r="D211" s="479"/>
      <c r="E211" s="479"/>
      <c r="F211" s="479"/>
      <c r="G211" s="479"/>
      <c r="H211" s="479"/>
      <c r="I211" s="479"/>
      <c r="J211" s="479"/>
      <c r="K211" s="479"/>
      <c r="L211" s="479"/>
      <c r="M211" s="479"/>
      <c r="N211" s="479"/>
      <c r="O211" s="479"/>
      <c r="P211" s="479"/>
      <c r="Q211" s="1320">
        <v>9</v>
      </c>
      <c r="R211" s="479"/>
      <c r="S211" s="485" t="s">
        <v>257</v>
      </c>
      <c r="T211" s="479"/>
      <c r="U211" s="479"/>
      <c r="V211" s="479"/>
      <c r="W211" s="479"/>
      <c r="X211" s="479"/>
      <c r="Y211" s="479"/>
      <c r="Z211" s="479"/>
      <c r="AA211" s="479"/>
      <c r="AB211" s="479"/>
      <c r="AC211" s="479"/>
      <c r="AD211" s="479"/>
      <c r="AE211" s="479"/>
      <c r="AF211" s="479"/>
      <c r="AG211" s="479"/>
      <c r="AH211" s="479"/>
      <c r="AI211" s="479"/>
      <c r="AJ211" s="479"/>
      <c r="AK211" s="479"/>
      <c r="AL211" s="479"/>
      <c r="AM211" s="479"/>
      <c r="AN211" s="479"/>
      <c r="AO211" s="479"/>
      <c r="AP211" s="479"/>
      <c r="AQ211" s="479"/>
      <c r="AR211" s="479"/>
      <c r="AS211" s="479"/>
      <c r="AT211" s="479"/>
      <c r="AU211" s="479"/>
    </row>
    <row r="212" spans="1:47">
      <c r="A212" s="479"/>
      <c r="B212" s="479"/>
      <c r="C212" s="479"/>
      <c r="D212" s="479"/>
      <c r="E212" s="479"/>
      <c r="F212" s="479"/>
      <c r="G212" s="479"/>
      <c r="H212" s="479"/>
      <c r="I212" s="479"/>
      <c r="J212" s="479"/>
      <c r="K212" s="479"/>
      <c r="L212" s="479"/>
      <c r="M212" s="479"/>
      <c r="N212" s="479"/>
      <c r="O212" s="479"/>
      <c r="P212" s="479"/>
      <c r="Q212" s="1320">
        <v>10</v>
      </c>
      <c r="R212" s="479"/>
      <c r="S212" s="358" t="s">
        <v>348</v>
      </c>
      <c r="T212" s="479"/>
      <c r="U212" s="496">
        <f>SUM(W212:AE212)+SUM(U274:AE274)+SUM(U336:AE336)+SUM(U398:AE398)+SUM(U460:AE460)</f>
        <v>-7778359.5999999996</v>
      </c>
      <c r="V212" s="479"/>
      <c r="W212" s="496"/>
      <c r="X212" s="496"/>
      <c r="Y212" s="496"/>
      <c r="Z212" s="496"/>
      <c r="AA212" s="496"/>
      <c r="AB212" s="496"/>
      <c r="AC212" s="496"/>
      <c r="AD212" s="479"/>
      <c r="AE212" s="496">
        <f>SCH_D2.20!H39</f>
        <v>-8553307</v>
      </c>
      <c r="AF212" s="479"/>
      <c r="AG212" s="479"/>
      <c r="AH212" s="479"/>
      <c r="AI212" s="479"/>
      <c r="AJ212" s="479"/>
      <c r="AK212" s="479"/>
      <c r="AL212" s="479"/>
      <c r="AM212" s="479"/>
      <c r="AN212" s="479"/>
      <c r="AO212" s="479"/>
      <c r="AP212" s="479"/>
      <c r="AQ212" s="479"/>
      <c r="AR212" s="479"/>
      <c r="AS212" s="479"/>
      <c r="AT212" s="479"/>
      <c r="AU212" s="479"/>
    </row>
    <row r="213" spans="1:47">
      <c r="A213" s="479"/>
      <c r="B213" s="479"/>
      <c r="C213" s="479"/>
      <c r="D213" s="479"/>
      <c r="E213" s="479"/>
      <c r="F213" s="479"/>
      <c r="G213" s="479"/>
      <c r="H213" s="479"/>
      <c r="I213" s="479"/>
      <c r="J213" s="479"/>
      <c r="K213" s="479"/>
      <c r="L213" s="479"/>
      <c r="M213" s="479"/>
      <c r="N213" s="479"/>
      <c r="O213" s="479"/>
      <c r="P213" s="479"/>
      <c r="Q213" s="1320">
        <v>11</v>
      </c>
      <c r="R213" s="479"/>
      <c r="S213" s="485" t="s">
        <v>425</v>
      </c>
      <c r="T213" s="479"/>
      <c r="U213" s="496">
        <f>SUM(W213:AE213)+SUM(U275:AE275)+SUM(U337:AE337)+SUM(U399:AE399)+SUM(U461:AE461)</f>
        <v>-15451196.399999999</v>
      </c>
      <c r="V213" s="479"/>
      <c r="W213" s="496"/>
      <c r="X213" s="496"/>
      <c r="Y213" s="496"/>
      <c r="Z213" s="496"/>
      <c r="AA213" s="1321">
        <f>SCH_D2.18!H26</f>
        <v>-12398573</v>
      </c>
      <c r="AB213" s="496"/>
      <c r="AC213" s="496"/>
      <c r="AD213" s="479"/>
      <c r="AE213" s="496">
        <f>SCH_D2.20!H42</f>
        <v>-241</v>
      </c>
      <c r="AF213" s="479"/>
      <c r="AG213" s="479"/>
      <c r="AH213" s="479"/>
      <c r="AI213" s="479"/>
      <c r="AJ213" s="479"/>
      <c r="AK213" s="479"/>
      <c r="AL213" s="479"/>
      <c r="AM213" s="479"/>
      <c r="AN213" s="479"/>
      <c r="AO213" s="479"/>
      <c r="AP213" s="479"/>
      <c r="AQ213" s="479"/>
      <c r="AR213" s="479"/>
      <c r="AS213" s="479"/>
      <c r="AT213" s="479"/>
      <c r="AU213" s="479"/>
    </row>
    <row r="214" spans="1:47">
      <c r="A214" s="479"/>
      <c r="B214" s="479"/>
      <c r="C214" s="479"/>
      <c r="D214" s="479"/>
      <c r="E214" s="479"/>
      <c r="F214" s="479"/>
      <c r="G214" s="479"/>
      <c r="H214" s="479"/>
      <c r="I214" s="479"/>
      <c r="J214" s="479"/>
      <c r="K214" s="479"/>
      <c r="L214" s="479"/>
      <c r="M214" s="479"/>
      <c r="N214" s="479"/>
      <c r="O214" s="479"/>
      <c r="P214" s="479"/>
      <c r="Q214" s="1320">
        <v>12</v>
      </c>
      <c r="R214" s="479"/>
      <c r="S214" s="485" t="s">
        <v>1204</v>
      </c>
      <c r="T214" s="479"/>
      <c r="U214" s="499">
        <f>SUM(U211:U213)</f>
        <v>-23229556</v>
      </c>
      <c r="V214" s="500"/>
      <c r="W214" s="499">
        <f>SUM(W211:W213)</f>
        <v>0</v>
      </c>
      <c r="X214" s="501"/>
      <c r="Y214" s="499">
        <f>SUM(Y211:Y213)</f>
        <v>0</v>
      </c>
      <c r="Z214" s="501"/>
      <c r="AA214" s="499">
        <f>SUM(AA211:AA213)</f>
        <v>-12398573</v>
      </c>
      <c r="AB214" s="501"/>
      <c r="AC214" s="499">
        <f>SUM(AC211:AC213)</f>
        <v>0</v>
      </c>
      <c r="AD214" s="500"/>
      <c r="AE214" s="499">
        <f>SUM(AE211:AE213)</f>
        <v>-8553548</v>
      </c>
      <c r="AF214" s="500"/>
      <c r="AG214" s="479"/>
      <c r="AH214" s="479"/>
      <c r="AI214" s="479"/>
      <c r="AJ214" s="479"/>
      <c r="AK214" s="479"/>
      <c r="AL214" s="479"/>
      <c r="AM214" s="479"/>
      <c r="AN214" s="479"/>
      <c r="AO214" s="479"/>
      <c r="AP214" s="479"/>
      <c r="AQ214" s="479"/>
      <c r="AR214" s="479"/>
      <c r="AS214" s="479"/>
      <c r="AT214" s="479"/>
      <c r="AU214" s="479"/>
    </row>
    <row r="215" spans="1:47">
      <c r="A215" s="479"/>
      <c r="B215" s="479"/>
      <c r="C215" s="479"/>
      <c r="D215" s="479"/>
      <c r="E215" s="479"/>
      <c r="F215" s="479"/>
      <c r="G215" s="479"/>
      <c r="H215" s="479"/>
      <c r="I215" s="479"/>
      <c r="J215" s="479"/>
      <c r="K215" s="479"/>
      <c r="L215" s="479"/>
      <c r="M215" s="479"/>
      <c r="N215" s="479"/>
      <c r="O215" s="479"/>
      <c r="P215" s="479"/>
      <c r="Q215" s="1320">
        <v>13</v>
      </c>
      <c r="R215" s="479"/>
      <c r="S215" s="485"/>
      <c r="T215" s="479"/>
      <c r="U215" s="498"/>
      <c r="V215" s="479"/>
      <c r="W215" s="498"/>
      <c r="X215" s="498"/>
      <c r="Y215" s="498"/>
      <c r="Z215" s="498"/>
      <c r="AA215" s="498"/>
      <c r="AB215" s="496"/>
      <c r="AC215" s="498"/>
      <c r="AD215" s="479"/>
      <c r="AE215" s="498"/>
      <c r="AF215" s="479"/>
      <c r="AG215" s="479"/>
      <c r="AH215" s="479"/>
      <c r="AI215" s="479"/>
      <c r="AJ215" s="479"/>
      <c r="AK215" s="479"/>
      <c r="AL215" s="479"/>
      <c r="AM215" s="479"/>
      <c r="AN215" s="479"/>
      <c r="AO215" s="479"/>
      <c r="AP215" s="479"/>
      <c r="AQ215" s="479"/>
      <c r="AR215" s="479"/>
      <c r="AS215" s="479"/>
      <c r="AT215" s="479"/>
      <c r="AU215" s="479"/>
    </row>
    <row r="216" spans="1:47">
      <c r="A216" s="479"/>
      <c r="B216" s="479"/>
      <c r="C216" s="479"/>
      <c r="D216" s="479"/>
      <c r="E216" s="479"/>
      <c r="F216" s="479"/>
      <c r="G216" s="479"/>
      <c r="H216" s="479"/>
      <c r="I216" s="479"/>
      <c r="J216" s="479"/>
      <c r="K216" s="479"/>
      <c r="L216" s="479"/>
      <c r="M216" s="479"/>
      <c r="N216" s="479"/>
      <c r="O216" s="479"/>
      <c r="P216" s="479"/>
      <c r="Q216" s="1320">
        <v>14</v>
      </c>
      <c r="R216" s="479"/>
      <c r="S216" s="485" t="s">
        <v>197</v>
      </c>
      <c r="T216" s="479"/>
      <c r="U216" s="498">
        <f t="shared" ref="U216:U223" si="1">SUM(W216:AE216)+SUM(U278:AE278)+SUM(U340:AE340)+SUM(U402:AE402)+SUM(U464:AE464)</f>
        <v>917833</v>
      </c>
      <c r="V216" s="479"/>
      <c r="W216" s="1321"/>
      <c r="X216" s="498"/>
      <c r="Y216" s="498"/>
      <c r="Z216" s="498"/>
      <c r="AA216" s="498"/>
      <c r="AB216" s="498"/>
      <c r="AC216" s="498"/>
      <c r="AD216" s="479"/>
      <c r="AE216" s="498">
        <f>SCH_D2.20!H43</f>
        <v>-1062000</v>
      </c>
      <c r="AF216" s="479"/>
      <c r="AG216" s="479"/>
      <c r="AH216" s="479"/>
      <c r="AI216" s="479"/>
      <c r="AJ216" s="479"/>
      <c r="AK216" s="479"/>
      <c r="AL216" s="479"/>
      <c r="AM216" s="479"/>
      <c r="AN216" s="479"/>
      <c r="AO216" s="479"/>
      <c r="AP216" s="479"/>
      <c r="AQ216" s="479"/>
      <c r="AR216" s="479"/>
      <c r="AS216" s="479"/>
      <c r="AT216" s="479"/>
      <c r="AU216" s="479"/>
    </row>
    <row r="217" spans="1:47">
      <c r="A217" s="479"/>
      <c r="B217" s="479"/>
      <c r="C217" s="479"/>
      <c r="D217" s="479"/>
      <c r="E217" s="479"/>
      <c r="F217" s="479"/>
      <c r="G217" s="479"/>
      <c r="H217" s="479"/>
      <c r="I217" s="479"/>
      <c r="J217" s="479"/>
      <c r="K217" s="479"/>
      <c r="L217" s="479"/>
      <c r="M217" s="479"/>
      <c r="N217" s="479"/>
      <c r="O217" s="479"/>
      <c r="P217" s="479"/>
      <c r="Q217" s="1320">
        <v>15</v>
      </c>
      <c r="R217" s="479"/>
      <c r="S217" s="485" t="s">
        <v>2252</v>
      </c>
      <c r="T217" s="479"/>
      <c r="U217" s="498">
        <f t="shared" si="1"/>
        <v>0</v>
      </c>
      <c r="V217" s="479"/>
      <c r="W217" s="498"/>
      <c r="X217" s="498"/>
      <c r="Y217" s="498"/>
      <c r="Z217" s="498"/>
      <c r="AA217" s="498"/>
      <c r="AB217" s="498"/>
      <c r="AC217" s="498"/>
      <c r="AD217" s="479"/>
      <c r="AE217" s="498"/>
      <c r="AF217" s="479"/>
      <c r="AG217" s="479"/>
      <c r="AH217" s="479"/>
      <c r="AI217" s="479"/>
      <c r="AJ217" s="479"/>
      <c r="AK217" s="479"/>
      <c r="AL217" s="479"/>
      <c r="AM217" s="479"/>
      <c r="AN217" s="479"/>
      <c r="AO217" s="479"/>
      <c r="AP217" s="479"/>
      <c r="AQ217" s="479"/>
      <c r="AR217" s="479"/>
      <c r="AS217" s="479"/>
      <c r="AT217" s="479"/>
      <c r="AU217" s="479"/>
    </row>
    <row r="218" spans="1:47">
      <c r="A218" s="479"/>
      <c r="B218" s="479"/>
      <c r="C218" s="479"/>
      <c r="D218" s="479"/>
      <c r="E218" s="479"/>
      <c r="F218" s="479"/>
      <c r="G218" s="479"/>
      <c r="H218" s="479"/>
      <c r="I218" s="479"/>
      <c r="J218" s="479"/>
      <c r="K218" s="479"/>
      <c r="L218" s="479"/>
      <c r="M218" s="479"/>
      <c r="N218" s="479"/>
      <c r="O218" s="479"/>
      <c r="P218" s="479"/>
      <c r="Q218" s="1320">
        <v>16</v>
      </c>
      <c r="R218" s="479"/>
      <c r="S218" s="485" t="s">
        <v>1205</v>
      </c>
      <c r="T218" s="479"/>
      <c r="U218" s="496">
        <f t="shared" si="1"/>
        <v>0</v>
      </c>
      <c r="V218" s="479"/>
      <c r="W218" s="496"/>
      <c r="X218" s="496"/>
      <c r="Y218" s="496"/>
      <c r="Z218" s="496"/>
      <c r="AA218" s="1321"/>
      <c r="AB218" s="496"/>
      <c r="AC218" s="496"/>
      <c r="AD218" s="479"/>
      <c r="AE218" s="496"/>
      <c r="AF218" s="479"/>
      <c r="AG218" s="479"/>
      <c r="AH218" s="479"/>
      <c r="AI218" s="479"/>
      <c r="AJ218" s="479"/>
      <c r="AK218" s="479"/>
      <c r="AL218" s="479"/>
      <c r="AM218" s="479"/>
      <c r="AN218" s="479"/>
      <c r="AO218" s="479"/>
      <c r="AP218" s="479"/>
      <c r="AQ218" s="479"/>
      <c r="AR218" s="479"/>
      <c r="AS218" s="479"/>
      <c r="AT218" s="479"/>
      <c r="AU218" s="479"/>
    </row>
    <row r="219" spans="1:47">
      <c r="A219" s="479"/>
      <c r="B219" s="479"/>
      <c r="C219" s="479"/>
      <c r="D219" s="479"/>
      <c r="E219" s="479"/>
      <c r="F219" s="479"/>
      <c r="G219" s="479"/>
      <c r="H219" s="479"/>
      <c r="I219" s="479"/>
      <c r="J219" s="479"/>
      <c r="K219" s="479"/>
      <c r="L219" s="479"/>
      <c r="M219" s="479"/>
      <c r="N219" s="479"/>
      <c r="O219" s="479"/>
      <c r="P219" s="479"/>
      <c r="Q219" s="1320">
        <v>17</v>
      </c>
      <c r="R219" s="479"/>
      <c r="S219" s="485" t="s">
        <v>1206</v>
      </c>
      <c r="T219" s="479"/>
      <c r="U219" s="496">
        <f t="shared" ca="1" si="1"/>
        <v>-3761971</v>
      </c>
      <c r="V219" s="479"/>
      <c r="W219" s="496"/>
      <c r="X219" s="496"/>
      <c r="Y219" s="496"/>
      <c r="Z219" s="496"/>
      <c r="AA219" s="496"/>
      <c r="AB219" s="496"/>
      <c r="AC219" s="496"/>
      <c r="AD219" s="479"/>
      <c r="AE219" s="496"/>
      <c r="AF219" s="479"/>
      <c r="AG219" s="479"/>
      <c r="AH219" s="479"/>
      <c r="AI219" s="479"/>
      <c r="AJ219" s="479"/>
      <c r="AK219" s="479"/>
      <c r="AL219" s="479"/>
      <c r="AM219" s="479"/>
      <c r="AN219" s="479"/>
      <c r="AO219" s="479"/>
      <c r="AP219" s="479"/>
      <c r="AQ219" s="479"/>
      <c r="AR219" s="479"/>
      <c r="AS219" s="479"/>
      <c r="AT219" s="479"/>
      <c r="AU219" s="479"/>
    </row>
    <row r="220" spans="1:47">
      <c r="A220" s="479"/>
      <c r="B220" s="479"/>
      <c r="C220" s="479"/>
      <c r="D220" s="479"/>
      <c r="E220" s="479"/>
      <c r="F220" s="479"/>
      <c r="G220" s="479"/>
      <c r="H220" s="479"/>
      <c r="I220" s="479"/>
      <c r="J220" s="479"/>
      <c r="K220" s="479"/>
      <c r="L220" s="479"/>
      <c r="M220" s="479"/>
      <c r="N220" s="479"/>
      <c r="O220" s="479"/>
      <c r="P220" s="479"/>
      <c r="Q220" s="1320">
        <v>18</v>
      </c>
      <c r="R220" s="479"/>
      <c r="S220" s="485" t="s">
        <v>1207</v>
      </c>
      <c r="T220" s="479"/>
      <c r="U220" s="496">
        <f t="shared" si="1"/>
        <v>0</v>
      </c>
      <c r="V220" s="479"/>
      <c r="W220" s="496"/>
      <c r="X220" s="496"/>
      <c r="Y220" s="496"/>
      <c r="Z220" s="496"/>
      <c r="AA220" s="496"/>
      <c r="AB220" s="496"/>
      <c r="AC220" s="496"/>
      <c r="AD220" s="479"/>
      <c r="AE220" s="496"/>
      <c r="AF220" s="479"/>
      <c r="AG220" s="479"/>
      <c r="AH220" s="479"/>
      <c r="AI220" s="479"/>
      <c r="AJ220" s="479"/>
      <c r="AK220" s="479"/>
      <c r="AL220" s="479"/>
      <c r="AM220" s="479"/>
      <c r="AN220" s="479"/>
      <c r="AO220" s="479"/>
      <c r="AP220" s="479"/>
      <c r="AQ220" s="479"/>
      <c r="AR220" s="479"/>
      <c r="AS220" s="479"/>
      <c r="AT220" s="479"/>
      <c r="AU220" s="479"/>
    </row>
    <row r="221" spans="1:47">
      <c r="A221" s="479"/>
      <c r="B221" s="479"/>
      <c r="C221" s="479"/>
      <c r="D221" s="479"/>
      <c r="E221" s="479"/>
      <c r="F221" s="479"/>
      <c r="G221" s="479"/>
      <c r="H221" s="479"/>
      <c r="I221" s="479"/>
      <c r="J221" s="479"/>
      <c r="K221" s="479"/>
      <c r="L221" s="479"/>
      <c r="M221" s="479"/>
      <c r="N221" s="479"/>
      <c r="O221" s="479"/>
      <c r="P221" s="479"/>
      <c r="Q221" s="1320">
        <v>19</v>
      </c>
      <c r="R221" s="479"/>
      <c r="S221" s="485" t="s">
        <v>784</v>
      </c>
      <c r="T221" s="479"/>
      <c r="U221" s="496">
        <f t="shared" si="1"/>
        <v>-122062</v>
      </c>
      <c r="V221" s="479"/>
      <c r="W221" s="496"/>
      <c r="X221" s="496"/>
      <c r="Y221" s="496"/>
      <c r="Z221" s="496"/>
      <c r="AA221" s="496"/>
      <c r="AB221" s="496"/>
      <c r="AC221" s="496"/>
      <c r="AD221" s="479"/>
      <c r="AE221" s="496"/>
      <c r="AF221" s="479"/>
      <c r="AG221" s="479"/>
      <c r="AH221" s="479"/>
      <c r="AI221" s="479"/>
      <c r="AJ221" s="479"/>
      <c r="AK221" s="479"/>
      <c r="AL221" s="479"/>
      <c r="AM221" s="479"/>
      <c r="AN221" s="479"/>
      <c r="AO221" s="479"/>
      <c r="AP221" s="479"/>
      <c r="AQ221" s="479"/>
      <c r="AR221" s="479"/>
      <c r="AS221" s="479"/>
      <c r="AT221" s="479"/>
      <c r="AU221" s="479"/>
    </row>
    <row r="222" spans="1:47">
      <c r="A222" s="479"/>
      <c r="B222" s="479"/>
      <c r="C222" s="479"/>
      <c r="D222" s="479"/>
      <c r="E222" s="479"/>
      <c r="F222" s="479"/>
      <c r="G222" s="479"/>
      <c r="H222" s="479"/>
      <c r="I222" s="479"/>
      <c r="J222" s="479"/>
      <c r="K222" s="479"/>
      <c r="L222" s="479"/>
      <c r="M222" s="479"/>
      <c r="N222" s="479"/>
      <c r="O222" s="479"/>
      <c r="P222" s="479"/>
      <c r="Q222" s="1320">
        <v>20</v>
      </c>
      <c r="R222" s="479"/>
      <c r="S222" s="485" t="s">
        <v>1837</v>
      </c>
      <c r="T222" s="479"/>
      <c r="U222" s="496">
        <f t="shared" si="1"/>
        <v>-725144</v>
      </c>
      <c r="V222" s="479"/>
      <c r="W222" s="496"/>
      <c r="X222" s="496"/>
      <c r="Y222" s="479"/>
      <c r="Z222" s="496"/>
      <c r="AA222" s="496"/>
      <c r="AB222" s="496"/>
      <c r="AC222" s="496"/>
      <c r="AD222" s="479"/>
      <c r="AE222" s="496"/>
      <c r="AF222" s="479"/>
      <c r="AG222" s="479"/>
      <c r="AH222" s="479"/>
      <c r="AI222" s="479"/>
      <c r="AJ222" s="479"/>
      <c r="AK222" s="479"/>
      <c r="AL222" s="479"/>
      <c r="AM222" s="479"/>
      <c r="AN222" s="479"/>
      <c r="AO222" s="479"/>
      <c r="AP222" s="479"/>
      <c r="AQ222" s="479"/>
      <c r="AR222" s="479"/>
      <c r="AS222" s="479"/>
      <c r="AT222" s="479"/>
      <c r="AU222" s="479"/>
    </row>
    <row r="223" spans="1:47">
      <c r="A223" s="479"/>
      <c r="B223" s="479"/>
      <c r="C223" s="479"/>
      <c r="D223" s="479"/>
      <c r="E223" s="479"/>
      <c r="F223" s="479"/>
      <c r="G223" s="479"/>
      <c r="H223" s="479"/>
      <c r="I223" s="479"/>
      <c r="J223" s="479"/>
      <c r="K223" s="479"/>
      <c r="L223" s="479"/>
      <c r="M223" s="479"/>
      <c r="N223" s="479"/>
      <c r="O223" s="479"/>
      <c r="P223" s="479"/>
      <c r="Q223" s="1320">
        <v>21</v>
      </c>
      <c r="R223" s="479"/>
      <c r="S223" s="485" t="s">
        <v>1698</v>
      </c>
      <c r="T223" s="479"/>
      <c r="U223" s="496">
        <f t="shared" si="1"/>
        <v>6832092</v>
      </c>
      <c r="V223" s="479"/>
      <c r="W223" s="496">
        <f>SCH_D2.16!G23</f>
        <v>463931</v>
      </c>
      <c r="X223" s="496"/>
      <c r="Y223" s="496">
        <f>SCH_D2.17!J26</f>
        <v>120538</v>
      </c>
      <c r="Z223" s="496"/>
      <c r="AA223" s="496"/>
      <c r="AB223" s="496"/>
      <c r="AC223" s="496"/>
      <c r="AD223" s="479"/>
      <c r="AE223" s="496"/>
      <c r="AF223" s="479"/>
      <c r="AG223" s="479"/>
      <c r="AH223" s="479"/>
      <c r="AI223" s="479"/>
      <c r="AJ223" s="479"/>
      <c r="AK223" s="479"/>
      <c r="AL223" s="479"/>
      <c r="AM223" s="479"/>
      <c r="AN223" s="479"/>
      <c r="AO223" s="479"/>
      <c r="AP223" s="479"/>
      <c r="AQ223" s="479"/>
      <c r="AR223" s="479"/>
      <c r="AS223" s="479"/>
      <c r="AT223" s="479"/>
      <c r="AU223" s="479"/>
    </row>
    <row r="224" spans="1:47">
      <c r="A224" s="479"/>
      <c r="B224" s="479"/>
      <c r="C224" s="479"/>
      <c r="D224" s="479"/>
      <c r="E224" s="479"/>
      <c r="F224" s="479"/>
      <c r="G224" s="479"/>
      <c r="H224" s="479"/>
      <c r="I224" s="479"/>
      <c r="J224" s="479"/>
      <c r="K224" s="479"/>
      <c r="L224" s="479"/>
      <c r="M224" s="479"/>
      <c r="N224" s="479"/>
      <c r="O224" s="479"/>
      <c r="P224" s="479"/>
      <c r="Q224" s="1320">
        <v>22</v>
      </c>
      <c r="R224" s="479"/>
      <c r="S224" s="485" t="s">
        <v>1838</v>
      </c>
      <c r="T224" s="479"/>
      <c r="U224" s="497">
        <f ca="1">U214+SUM(U216:U223)</f>
        <v>-20088808</v>
      </c>
      <c r="V224" s="479"/>
      <c r="W224" s="497">
        <f>W214+SUM(W216:W223)</f>
        <v>463931</v>
      </c>
      <c r="X224" s="496"/>
      <c r="Y224" s="497">
        <f>Y214+SUM(Y216:Y223)</f>
        <v>120538</v>
      </c>
      <c r="Z224" s="496"/>
      <c r="AA224" s="497">
        <f>AA214+SUM(AA216:AA223)</f>
        <v>-12398573</v>
      </c>
      <c r="AB224" s="496"/>
      <c r="AC224" s="497">
        <f>AC214+SUM(AC216:AC223)</f>
        <v>0</v>
      </c>
      <c r="AD224" s="479"/>
      <c r="AE224" s="497">
        <f>AE214+SUM(AE216:AE223)</f>
        <v>-9615548</v>
      </c>
      <c r="AF224" s="479"/>
      <c r="AG224" s="479"/>
      <c r="AH224" s="479"/>
      <c r="AI224" s="479"/>
      <c r="AJ224" s="479"/>
      <c r="AK224" s="479"/>
      <c r="AL224" s="479"/>
      <c r="AM224" s="479"/>
      <c r="AN224" s="479"/>
      <c r="AO224" s="479"/>
      <c r="AP224" s="479"/>
      <c r="AQ224" s="479"/>
      <c r="AR224" s="479"/>
      <c r="AS224" s="479"/>
      <c r="AT224" s="479"/>
      <c r="AU224" s="479"/>
    </row>
    <row r="225" spans="1:47">
      <c r="A225" s="479"/>
      <c r="B225" s="479"/>
      <c r="C225" s="479"/>
      <c r="D225" s="479"/>
      <c r="E225" s="479"/>
      <c r="F225" s="479"/>
      <c r="G225" s="479"/>
      <c r="H225" s="479"/>
      <c r="I225" s="479"/>
      <c r="J225" s="479"/>
      <c r="K225" s="479"/>
      <c r="L225" s="479"/>
      <c r="M225" s="479"/>
      <c r="N225" s="479"/>
      <c r="O225" s="479"/>
      <c r="P225" s="479"/>
      <c r="Q225" s="1320">
        <v>23</v>
      </c>
      <c r="R225" s="479"/>
      <c r="S225" s="479"/>
      <c r="T225" s="479"/>
      <c r="U225" s="498"/>
      <c r="V225" s="479"/>
      <c r="W225" s="498"/>
      <c r="X225" s="498"/>
      <c r="Y225" s="498"/>
      <c r="Z225" s="498"/>
      <c r="AA225" s="498"/>
      <c r="AB225" s="498"/>
      <c r="AC225" s="498"/>
      <c r="AD225" s="479"/>
      <c r="AE225" s="498"/>
      <c r="AF225" s="479"/>
      <c r="AG225" s="479"/>
      <c r="AH225" s="479"/>
      <c r="AI225" s="479"/>
      <c r="AJ225" s="479"/>
      <c r="AK225" s="479"/>
      <c r="AL225" s="479"/>
      <c r="AM225" s="479"/>
      <c r="AN225" s="479"/>
      <c r="AO225" s="479"/>
      <c r="AP225" s="479"/>
      <c r="AQ225" s="479"/>
      <c r="AR225" s="479"/>
      <c r="AS225" s="479"/>
      <c r="AT225" s="479"/>
      <c r="AU225" s="479"/>
    </row>
    <row r="226" spans="1:47">
      <c r="A226" s="479"/>
      <c r="B226" s="479"/>
      <c r="C226" s="479"/>
      <c r="D226" s="479"/>
      <c r="E226" s="479"/>
      <c r="F226" s="479"/>
      <c r="G226" s="479"/>
      <c r="H226" s="479"/>
      <c r="I226" s="479"/>
      <c r="J226" s="479"/>
      <c r="K226" s="479"/>
      <c r="L226" s="479"/>
      <c r="M226" s="479"/>
      <c r="N226" s="479"/>
      <c r="O226" s="479"/>
      <c r="P226" s="479"/>
      <c r="Q226" s="1320">
        <v>24</v>
      </c>
      <c r="R226" s="479"/>
      <c r="S226" s="485" t="s">
        <v>1839</v>
      </c>
      <c r="T226" s="479"/>
      <c r="U226" s="502">
        <f ca="1">SUM(W226:AE226)+SUM(U288:AE288)+SUM(U350:AE350)+SUM(U412:AE412)+SUM(U474:AE474)</f>
        <v>6427052</v>
      </c>
      <c r="V226" s="479"/>
      <c r="W226" s="502">
        <v>0</v>
      </c>
      <c r="X226" s="496"/>
      <c r="Y226" s="502">
        <v>0</v>
      </c>
      <c r="Z226" s="496"/>
      <c r="AA226" s="502">
        <v>0</v>
      </c>
      <c r="AB226" s="496"/>
      <c r="AC226" s="502">
        <v>0</v>
      </c>
      <c r="AD226" s="479"/>
      <c r="AE226" s="502">
        <v>0</v>
      </c>
      <c r="AF226" s="479"/>
      <c r="AG226" s="479"/>
      <c r="AH226" s="479"/>
      <c r="AI226" s="479"/>
      <c r="AJ226" s="479"/>
      <c r="AK226" s="479"/>
      <c r="AL226" s="479"/>
      <c r="AM226" s="479"/>
      <c r="AN226" s="479"/>
      <c r="AO226" s="479"/>
      <c r="AP226" s="479"/>
      <c r="AQ226" s="479"/>
      <c r="AR226" s="479"/>
      <c r="AS226" s="479"/>
      <c r="AT226" s="479"/>
      <c r="AU226" s="479"/>
    </row>
    <row r="227" spans="1:47">
      <c r="A227" s="479"/>
      <c r="B227" s="479"/>
      <c r="C227" s="479"/>
      <c r="D227" s="479"/>
      <c r="E227" s="479"/>
      <c r="F227" s="479"/>
      <c r="G227" s="479"/>
      <c r="H227" s="479"/>
      <c r="I227" s="479"/>
      <c r="J227" s="479"/>
      <c r="K227" s="479"/>
      <c r="L227" s="479"/>
      <c r="M227" s="479"/>
      <c r="N227" s="479"/>
      <c r="O227" s="479"/>
      <c r="P227" s="479"/>
      <c r="Q227" s="1320">
        <v>25</v>
      </c>
      <c r="R227" s="479"/>
      <c r="S227" s="479"/>
      <c r="T227" s="479"/>
      <c r="U227" s="498"/>
      <c r="V227" s="479"/>
      <c r="W227" s="498"/>
      <c r="X227" s="498"/>
      <c r="Y227" s="498"/>
      <c r="Z227" s="498"/>
      <c r="AA227" s="498"/>
      <c r="AB227" s="498"/>
      <c r="AC227" s="498"/>
      <c r="AD227" s="479"/>
      <c r="AE227" s="498"/>
      <c r="AF227" s="479"/>
      <c r="AG227" s="479"/>
      <c r="AH227" s="479"/>
      <c r="AI227" s="479"/>
      <c r="AJ227" s="479"/>
      <c r="AK227" s="479"/>
      <c r="AL227" s="479"/>
      <c r="AM227" s="479"/>
      <c r="AN227" s="479"/>
      <c r="AO227" s="479"/>
      <c r="AP227" s="479"/>
      <c r="AQ227" s="479"/>
      <c r="AR227" s="479"/>
      <c r="AS227" s="479"/>
      <c r="AT227" s="479"/>
      <c r="AU227" s="479"/>
    </row>
    <row r="228" spans="1:47">
      <c r="A228" s="479"/>
      <c r="B228" s="479"/>
      <c r="C228" s="479"/>
      <c r="D228" s="479"/>
      <c r="E228" s="479"/>
      <c r="F228" s="479"/>
      <c r="G228" s="479"/>
      <c r="H228" s="479"/>
      <c r="I228" s="479"/>
      <c r="J228" s="479"/>
      <c r="K228" s="479"/>
      <c r="L228" s="479"/>
      <c r="M228" s="479"/>
      <c r="N228" s="479"/>
      <c r="O228" s="479"/>
      <c r="P228" s="479"/>
      <c r="Q228" s="1320">
        <v>26</v>
      </c>
      <c r="R228" s="479"/>
      <c r="S228" s="485" t="s">
        <v>1932</v>
      </c>
      <c r="T228" s="479"/>
      <c r="U228" s="479"/>
      <c r="V228" s="479"/>
      <c r="W228" s="479"/>
      <c r="X228" s="479"/>
      <c r="Y228" s="479"/>
      <c r="Z228" s="479"/>
      <c r="AA228" s="479"/>
      <c r="AB228" s="479"/>
      <c r="AC228" s="479"/>
      <c r="AD228" s="479"/>
      <c r="AE228" s="479"/>
      <c r="AF228" s="479"/>
      <c r="AG228" s="479"/>
      <c r="AH228" s="479"/>
      <c r="AI228" s="479"/>
      <c r="AJ228" s="479"/>
      <c r="AK228" s="479"/>
      <c r="AL228" s="479"/>
      <c r="AM228" s="479"/>
      <c r="AN228" s="479"/>
      <c r="AO228" s="479"/>
      <c r="AP228" s="479"/>
      <c r="AQ228" s="479"/>
      <c r="AR228" s="479"/>
      <c r="AS228" s="479"/>
      <c r="AT228" s="479"/>
      <c r="AU228" s="479"/>
    </row>
    <row r="229" spans="1:47">
      <c r="A229" s="479"/>
      <c r="B229" s="479"/>
      <c r="C229" s="479"/>
      <c r="D229" s="479"/>
      <c r="E229" s="479"/>
      <c r="F229" s="479"/>
      <c r="G229" s="479"/>
      <c r="H229" s="479"/>
      <c r="I229" s="479"/>
      <c r="J229" s="479"/>
      <c r="K229" s="479"/>
      <c r="L229" s="479"/>
      <c r="M229" s="479"/>
      <c r="N229" s="479"/>
      <c r="O229" s="479"/>
      <c r="P229" s="479"/>
      <c r="Q229" s="1320">
        <v>27</v>
      </c>
      <c r="R229" s="479"/>
      <c r="S229" s="485" t="s">
        <v>1840</v>
      </c>
      <c r="T229" s="479"/>
      <c r="U229" s="496">
        <f>SUM(W229:AE229)+SUM(U291:AE291)+SUM(U353:AE353)+SUM(U415:AE415)+SUM(U477:AE477)</f>
        <v>0</v>
      </c>
      <c r="V229" s="479"/>
      <c r="W229" s="496"/>
      <c r="X229" s="496"/>
      <c r="Y229" s="496"/>
      <c r="Z229" s="496"/>
      <c r="AA229" s="496"/>
      <c r="AB229" s="496"/>
      <c r="AC229" s="496"/>
      <c r="AD229" s="479"/>
      <c r="AE229" s="496"/>
      <c r="AF229" s="479"/>
      <c r="AG229" s="479"/>
      <c r="AH229" s="479"/>
      <c r="AI229" s="479"/>
      <c r="AJ229" s="479"/>
      <c r="AK229" s="479"/>
      <c r="AL229" s="479"/>
      <c r="AM229" s="479"/>
      <c r="AN229" s="479"/>
      <c r="AO229" s="479"/>
      <c r="AP229" s="479"/>
      <c r="AQ229" s="479"/>
      <c r="AR229" s="479"/>
      <c r="AS229" s="479"/>
      <c r="AT229" s="479"/>
      <c r="AU229" s="479"/>
    </row>
    <row r="230" spans="1:47">
      <c r="A230" s="479"/>
      <c r="B230" s="479"/>
      <c r="C230" s="479"/>
      <c r="D230" s="479"/>
      <c r="E230" s="479"/>
      <c r="F230" s="479"/>
      <c r="G230" s="479"/>
      <c r="H230" s="479"/>
      <c r="I230" s="479"/>
      <c r="J230" s="479"/>
      <c r="K230" s="479"/>
      <c r="L230" s="479"/>
      <c r="M230" s="479"/>
      <c r="N230" s="479"/>
      <c r="O230" s="479"/>
      <c r="P230" s="479"/>
      <c r="Q230" s="1320">
        <v>28</v>
      </c>
      <c r="R230" s="479"/>
      <c r="S230" s="485" t="s">
        <v>1841</v>
      </c>
      <c r="T230" s="479"/>
      <c r="U230" s="496">
        <f>SUM(W230:AE230)+SUM(U292:AE292)+SUM(U354:AE354)+SUM(U416:AE416)+SUM(U478:AE478)</f>
        <v>-51559</v>
      </c>
      <c r="V230" s="479"/>
      <c r="W230" s="496"/>
      <c r="X230" s="496"/>
      <c r="Y230" s="496"/>
      <c r="Z230" s="496"/>
      <c r="AA230" s="496"/>
      <c r="AB230" s="496"/>
      <c r="AC230" s="496"/>
      <c r="AD230" s="479"/>
      <c r="AE230" s="496"/>
      <c r="AF230" s="479"/>
      <c r="AG230" s="479"/>
      <c r="AH230" s="479"/>
      <c r="AI230" s="479"/>
      <c r="AJ230" s="479"/>
      <c r="AK230" s="479"/>
      <c r="AL230" s="479"/>
      <c r="AM230" s="479"/>
      <c r="AN230" s="479"/>
      <c r="AO230" s="479"/>
      <c r="AP230" s="479"/>
      <c r="AQ230" s="479"/>
      <c r="AR230" s="479"/>
      <c r="AS230" s="479"/>
      <c r="AT230" s="479"/>
      <c r="AU230" s="479"/>
    </row>
    <row r="231" spans="1:47">
      <c r="A231" s="479"/>
      <c r="B231" s="479"/>
      <c r="C231" s="479"/>
      <c r="D231" s="479"/>
      <c r="E231" s="479"/>
      <c r="F231" s="479"/>
      <c r="G231" s="479"/>
      <c r="H231" s="479"/>
      <c r="I231" s="479"/>
      <c r="J231" s="479"/>
      <c r="K231" s="479"/>
      <c r="L231" s="479"/>
      <c r="M231" s="479"/>
      <c r="N231" s="479"/>
      <c r="O231" s="504"/>
      <c r="P231" s="479"/>
      <c r="Q231" s="1320">
        <v>29</v>
      </c>
      <c r="R231" s="479"/>
      <c r="S231" s="485" t="s">
        <v>1842</v>
      </c>
      <c r="T231" s="479"/>
      <c r="U231" s="497">
        <f>SUM(U229:U230)</f>
        <v>-51559</v>
      </c>
      <c r="V231" s="479"/>
      <c r="W231" s="497">
        <f>SUM(W229:W230)</f>
        <v>0</v>
      </c>
      <c r="X231" s="496"/>
      <c r="Y231" s="497">
        <f>SUM(Y229:Y230)</f>
        <v>0</v>
      </c>
      <c r="Z231" s="496"/>
      <c r="AA231" s="497">
        <f>SUM(AA229:AA230)</f>
        <v>0</v>
      </c>
      <c r="AB231" s="496"/>
      <c r="AC231" s="497">
        <f>SUM(AC229:AC230)</f>
        <v>0</v>
      </c>
      <c r="AD231" s="479"/>
      <c r="AE231" s="497">
        <f>SUM(AE229:AE230)</f>
        <v>0</v>
      </c>
      <c r="AF231" s="479"/>
      <c r="AG231" s="479"/>
      <c r="AH231" s="479"/>
      <c r="AI231" s="479"/>
      <c r="AJ231" s="479"/>
      <c r="AK231" s="479"/>
      <c r="AL231" s="479"/>
      <c r="AM231" s="479"/>
      <c r="AN231" s="479"/>
      <c r="AO231" s="479"/>
      <c r="AP231" s="479"/>
      <c r="AQ231" s="479"/>
      <c r="AR231" s="479"/>
      <c r="AS231" s="479"/>
      <c r="AT231" s="479"/>
      <c r="AU231" s="479"/>
    </row>
    <row r="232" spans="1:47">
      <c r="A232" s="479"/>
      <c r="B232" s="479"/>
      <c r="C232" s="479"/>
      <c r="D232" s="479"/>
      <c r="E232" s="479"/>
      <c r="F232" s="479"/>
      <c r="G232" s="479"/>
      <c r="H232" s="479"/>
      <c r="I232" s="479"/>
      <c r="J232" s="479"/>
      <c r="K232" s="479"/>
      <c r="L232" s="479"/>
      <c r="M232" s="479"/>
      <c r="N232" s="479"/>
      <c r="O232" s="504"/>
      <c r="P232" s="479"/>
      <c r="Q232" s="1320">
        <v>30</v>
      </c>
      <c r="R232" s="479"/>
      <c r="S232" s="485"/>
      <c r="T232" s="479"/>
      <c r="U232" s="501"/>
      <c r="V232" s="479"/>
      <c r="W232" s="501"/>
      <c r="X232" s="496"/>
      <c r="Y232" s="501"/>
      <c r="Z232" s="496"/>
      <c r="AA232" s="501"/>
      <c r="AB232" s="496"/>
      <c r="AC232" s="501"/>
      <c r="AD232" s="479"/>
      <c r="AE232" s="498"/>
      <c r="AF232" s="479"/>
      <c r="AG232" s="479"/>
      <c r="AH232" s="479"/>
      <c r="AI232" s="479"/>
      <c r="AJ232" s="479"/>
      <c r="AK232" s="479"/>
      <c r="AL232" s="479"/>
      <c r="AM232" s="479"/>
      <c r="AN232" s="479"/>
      <c r="AO232" s="479"/>
      <c r="AP232" s="479"/>
      <c r="AQ232" s="479"/>
      <c r="AR232" s="479"/>
      <c r="AS232" s="479"/>
      <c r="AT232" s="479"/>
      <c r="AU232" s="479"/>
    </row>
    <row r="233" spans="1:47">
      <c r="A233" s="479"/>
      <c r="B233" s="479"/>
      <c r="C233" s="479"/>
      <c r="D233" s="479"/>
      <c r="E233" s="479"/>
      <c r="F233" s="479"/>
      <c r="G233" s="479"/>
      <c r="H233" s="479"/>
      <c r="I233" s="479"/>
      <c r="J233" s="479"/>
      <c r="K233" s="479"/>
      <c r="L233" s="479"/>
      <c r="M233" s="479"/>
      <c r="N233" s="479"/>
      <c r="O233" s="504"/>
      <c r="P233" s="479"/>
      <c r="Q233" s="1320">
        <v>31</v>
      </c>
      <c r="R233" s="479"/>
      <c r="S233" s="485" t="s">
        <v>1843</v>
      </c>
      <c r="T233" s="479"/>
      <c r="U233" s="479"/>
      <c r="V233" s="479"/>
      <c r="W233" s="479"/>
      <c r="X233" s="479"/>
      <c r="Y233" s="479"/>
      <c r="Z233" s="479"/>
      <c r="AA233" s="479"/>
      <c r="AB233" s="479"/>
      <c r="AC233" s="479"/>
      <c r="AD233" s="479"/>
      <c r="AE233" s="479"/>
      <c r="AF233" s="479"/>
      <c r="AG233" s="479"/>
      <c r="AH233" s="479"/>
      <c r="AI233" s="479"/>
      <c r="AJ233" s="479"/>
      <c r="AK233" s="479"/>
      <c r="AL233" s="479"/>
      <c r="AM233" s="479"/>
      <c r="AN233" s="479"/>
      <c r="AO233" s="479"/>
      <c r="AP233" s="479"/>
      <c r="AQ233" s="479"/>
      <c r="AR233" s="479"/>
      <c r="AS233" s="479"/>
      <c r="AT233" s="479"/>
      <c r="AU233" s="479"/>
    </row>
    <row r="234" spans="1:47">
      <c r="A234" s="479"/>
      <c r="B234" s="479"/>
      <c r="C234" s="479"/>
      <c r="D234" s="479"/>
      <c r="E234" s="479"/>
      <c r="F234" s="479"/>
      <c r="G234" s="479"/>
      <c r="H234" s="479"/>
      <c r="I234" s="479"/>
      <c r="J234" s="479"/>
      <c r="K234" s="479"/>
      <c r="L234" s="479"/>
      <c r="M234" s="479"/>
      <c r="N234" s="479"/>
      <c r="O234" s="504"/>
      <c r="P234" s="479"/>
      <c r="Q234" s="1320">
        <v>32</v>
      </c>
      <c r="R234" s="479"/>
      <c r="S234" s="485" t="s">
        <v>910</v>
      </c>
      <c r="T234" s="479"/>
      <c r="U234" s="496">
        <f ca="1">SUM(W234:AE234)+SUM(U296:AE296)+SUM(U358:AE358)+SUM(U420:AE420)+SUM(U482:AE482)</f>
        <v>395485</v>
      </c>
      <c r="V234" s="479"/>
      <c r="W234" s="496">
        <f>ROUND((W207-W224-W226-W231)*SIT*APPORT,0)</f>
        <v>-24798</v>
      </c>
      <c r="X234" s="496"/>
      <c r="Y234" s="496">
        <f>ROUND((Y207-Y224-Y226-Y231)*SIT*APPORT,0)</f>
        <v>-6443</v>
      </c>
      <c r="Z234" s="496"/>
      <c r="AA234" s="496">
        <f>ROUND((AA207-AA224-AA226-AA231)*SIT*APPORT,0)</f>
        <v>662729</v>
      </c>
      <c r="AB234" s="496"/>
      <c r="AC234" s="496">
        <f ca="1">SCH_D2.19!T61</f>
        <v>-14991</v>
      </c>
      <c r="AD234" s="479"/>
      <c r="AE234" s="496">
        <f>ROUND((AE207-AE224-AE226-AE231)*SIT*APPORT,0)</f>
        <v>-97477</v>
      </c>
      <c r="AF234" s="479"/>
      <c r="AG234" s="479"/>
      <c r="AH234" s="479"/>
      <c r="AI234" s="479"/>
      <c r="AJ234" s="479"/>
      <c r="AK234" s="479"/>
      <c r="AL234" s="479"/>
      <c r="AM234" s="479"/>
      <c r="AN234" s="479"/>
      <c r="AO234" s="479"/>
      <c r="AP234" s="479"/>
      <c r="AQ234" s="479"/>
      <c r="AR234" s="479"/>
      <c r="AS234" s="479"/>
      <c r="AT234" s="479"/>
      <c r="AU234" s="479"/>
    </row>
    <row r="235" spans="1:47">
      <c r="A235" s="479"/>
      <c r="B235" s="479"/>
      <c r="C235" s="479"/>
      <c r="D235" s="479"/>
      <c r="E235" s="479"/>
      <c r="F235" s="479"/>
      <c r="G235" s="479"/>
      <c r="H235" s="479"/>
      <c r="I235" s="479"/>
      <c r="J235" s="479"/>
      <c r="K235" s="479"/>
      <c r="L235" s="479"/>
      <c r="M235" s="479"/>
      <c r="N235" s="479"/>
      <c r="O235" s="504"/>
      <c r="P235" s="479"/>
      <c r="Q235" s="1320">
        <v>33</v>
      </c>
      <c r="R235" s="479"/>
      <c r="S235" s="485" t="s">
        <v>1800</v>
      </c>
      <c r="T235" s="479"/>
      <c r="U235" s="496">
        <f ca="1">SUM(W235:AE235)+SUM(U297:AE297)+SUM(U359:AE359)+SUM(U421:AE421)+SUM(U483:AE483)</f>
        <v>-343539</v>
      </c>
      <c r="V235" s="479"/>
      <c r="W235" s="496"/>
      <c r="X235" s="496"/>
      <c r="Y235" s="496"/>
      <c r="Z235" s="496"/>
      <c r="AA235" s="496"/>
      <c r="AB235" s="496"/>
      <c r="AC235" s="496"/>
      <c r="AD235" s="479"/>
      <c r="AE235" s="496"/>
      <c r="AF235" s="479"/>
      <c r="AG235" s="479"/>
      <c r="AH235" s="479"/>
      <c r="AI235" s="479"/>
      <c r="AJ235" s="479"/>
      <c r="AK235" s="479"/>
      <c r="AL235" s="479"/>
      <c r="AM235" s="479"/>
      <c r="AN235" s="479"/>
      <c r="AO235" s="479"/>
      <c r="AP235" s="479"/>
      <c r="AQ235" s="479"/>
      <c r="AR235" s="479"/>
      <c r="AS235" s="479"/>
      <c r="AT235" s="479"/>
      <c r="AU235" s="479"/>
    </row>
    <row r="236" spans="1:47">
      <c r="A236" s="479"/>
      <c r="B236" s="479"/>
      <c r="C236" s="479"/>
      <c r="D236" s="479"/>
      <c r="E236" s="479"/>
      <c r="F236" s="479"/>
      <c r="G236" s="479"/>
      <c r="H236" s="479"/>
      <c r="I236" s="479"/>
      <c r="J236" s="479"/>
      <c r="K236" s="479"/>
      <c r="L236" s="479"/>
      <c r="M236" s="479"/>
      <c r="N236" s="479"/>
      <c r="O236" s="479"/>
      <c r="P236" s="479"/>
      <c r="Q236" s="1320">
        <v>34</v>
      </c>
      <c r="R236" s="479"/>
      <c r="S236" s="485" t="s">
        <v>1848</v>
      </c>
      <c r="T236" s="479"/>
      <c r="U236" s="497">
        <f ca="1">SUM(U234:U235)</f>
        <v>51946</v>
      </c>
      <c r="V236" s="479"/>
      <c r="W236" s="497">
        <f>SUM(W234:W235)</f>
        <v>-24798</v>
      </c>
      <c r="X236" s="496"/>
      <c r="Y236" s="497">
        <f>SUM(Y234:Y235)</f>
        <v>-6443</v>
      </c>
      <c r="Z236" s="496"/>
      <c r="AA236" s="497">
        <f>SUM(AA234:AA235)</f>
        <v>662729</v>
      </c>
      <c r="AB236" s="496"/>
      <c r="AC236" s="497">
        <f ca="1">SUM(AC234:AC235)</f>
        <v>-14991</v>
      </c>
      <c r="AD236" s="479"/>
      <c r="AE236" s="497">
        <f>SUM(AE234:AE235)</f>
        <v>-97477</v>
      </c>
      <c r="AF236" s="479"/>
      <c r="AG236" s="479"/>
      <c r="AH236" s="479"/>
      <c r="AI236" s="479"/>
      <c r="AJ236" s="479"/>
      <c r="AK236" s="479"/>
      <c r="AL236" s="479"/>
      <c r="AM236" s="479"/>
      <c r="AN236" s="479"/>
      <c r="AO236" s="479"/>
      <c r="AP236" s="479"/>
      <c r="AQ236" s="479"/>
      <c r="AR236" s="479"/>
      <c r="AS236" s="479"/>
      <c r="AT236" s="479"/>
      <c r="AU236" s="479"/>
    </row>
    <row r="237" spans="1:47">
      <c r="A237" s="479"/>
      <c r="B237" s="479"/>
      <c r="C237" s="479"/>
      <c r="D237" s="479"/>
      <c r="E237" s="479"/>
      <c r="F237" s="479"/>
      <c r="G237" s="479"/>
      <c r="H237" s="479"/>
      <c r="I237" s="479"/>
      <c r="J237" s="479"/>
      <c r="K237" s="479"/>
      <c r="L237" s="479"/>
      <c r="M237" s="479"/>
      <c r="N237" s="479"/>
      <c r="O237" s="1347"/>
      <c r="P237" s="479"/>
      <c r="Q237" s="1320">
        <v>35</v>
      </c>
      <c r="R237" s="479"/>
      <c r="S237" s="479"/>
      <c r="T237" s="479"/>
      <c r="U237" s="498"/>
      <c r="V237" s="479"/>
      <c r="W237" s="498"/>
      <c r="X237" s="498"/>
      <c r="Y237" s="498"/>
      <c r="Z237" s="498"/>
      <c r="AA237" s="498"/>
      <c r="AB237" s="498"/>
      <c r="AC237" s="498"/>
      <c r="AD237" s="479"/>
      <c r="AE237" s="498"/>
      <c r="AF237" s="479"/>
      <c r="AG237" s="479"/>
      <c r="AH237" s="479"/>
      <c r="AI237" s="479"/>
      <c r="AJ237" s="479"/>
      <c r="AK237" s="479"/>
      <c r="AL237" s="479"/>
      <c r="AM237" s="479"/>
      <c r="AN237" s="479"/>
      <c r="AO237" s="479"/>
      <c r="AP237" s="479"/>
      <c r="AQ237" s="479"/>
      <c r="AR237" s="479"/>
      <c r="AS237" s="479"/>
      <c r="AT237" s="479"/>
      <c r="AU237" s="479"/>
    </row>
    <row r="238" spans="1:47">
      <c r="A238" s="479"/>
      <c r="B238" s="479"/>
      <c r="C238" s="479"/>
      <c r="D238" s="479"/>
      <c r="E238" s="479"/>
      <c r="F238" s="479"/>
      <c r="G238" s="479"/>
      <c r="H238" s="479"/>
      <c r="I238" s="479"/>
      <c r="J238" s="479"/>
      <c r="K238" s="479"/>
      <c r="L238" s="479"/>
      <c r="M238" s="479"/>
      <c r="N238" s="479"/>
      <c r="O238" s="1347"/>
      <c r="P238" s="479"/>
      <c r="Q238" s="1320">
        <v>36</v>
      </c>
      <c r="R238" s="479"/>
      <c r="S238" s="485" t="s">
        <v>379</v>
      </c>
      <c r="T238" s="479"/>
      <c r="U238" s="479"/>
      <c r="V238" s="479"/>
      <c r="W238" s="479"/>
      <c r="X238" s="479"/>
      <c r="Y238" s="479"/>
      <c r="Z238" s="479"/>
      <c r="AA238" s="479"/>
      <c r="AB238" s="479"/>
      <c r="AC238" s="479"/>
      <c r="AD238" s="479"/>
      <c r="AE238" s="479"/>
      <c r="AF238" s="479"/>
      <c r="AG238" s="479"/>
      <c r="AH238" s="479"/>
      <c r="AI238" s="479"/>
      <c r="AJ238" s="479"/>
      <c r="AK238" s="479"/>
      <c r="AL238" s="479"/>
      <c r="AM238" s="479"/>
      <c r="AN238" s="479"/>
      <c r="AO238" s="479"/>
      <c r="AP238" s="479"/>
      <c r="AQ238" s="479"/>
      <c r="AR238" s="479"/>
      <c r="AS238" s="479"/>
      <c r="AT238" s="479"/>
      <c r="AU238" s="479"/>
    </row>
    <row r="239" spans="1:47">
      <c r="A239" s="479"/>
      <c r="B239" s="479"/>
      <c r="C239" s="479"/>
      <c r="D239" s="479"/>
      <c r="E239" s="479"/>
      <c r="F239" s="479"/>
      <c r="G239" s="479"/>
      <c r="H239" s="479"/>
      <c r="I239" s="479"/>
      <c r="J239" s="479"/>
      <c r="K239" s="479"/>
      <c r="L239" s="479"/>
      <c r="M239" s="479"/>
      <c r="N239" s="479"/>
      <c r="P239" s="479"/>
      <c r="Q239" s="1320">
        <v>37</v>
      </c>
      <c r="R239" s="479"/>
      <c r="S239" s="485" t="s">
        <v>910</v>
      </c>
      <c r="T239" s="479"/>
      <c r="U239" s="496">
        <f ca="1">SUM(W239:AE239)+SUM(U301:AE301)+SUM(U363:AE363)+SUM(U425:AE425)+SUM(U487:AE487)</f>
        <v>2451199</v>
      </c>
      <c r="V239" s="479"/>
      <c r="W239" s="496">
        <f>ROUND((W207-W224-W226-W231-W234)*FIT,0)</f>
        <v>-153697</v>
      </c>
      <c r="X239" s="496"/>
      <c r="Y239" s="496">
        <f>ROUND((Y207-Y224-Y226-Y231-Y234)*FIT,0)</f>
        <v>-39933</v>
      </c>
      <c r="Z239" s="496"/>
      <c r="AA239" s="496">
        <f>ROUND((AA207-AA224-AA226-AA231-AA234)*FIT,0)</f>
        <v>4107545</v>
      </c>
      <c r="AB239" s="496"/>
      <c r="AC239" s="496">
        <f ca="1">SCH_D2.19!J28</f>
        <v>-92910</v>
      </c>
      <c r="AD239" s="479"/>
      <c r="AE239" s="496">
        <f>ROUND((AE207-AE224-AE226-AE231-AE234)*FIT,0)</f>
        <v>-604156</v>
      </c>
      <c r="AF239" s="479"/>
      <c r="AG239" s="479"/>
      <c r="AH239" s="479"/>
      <c r="AI239" s="479"/>
      <c r="AJ239" s="479"/>
      <c r="AK239" s="479"/>
      <c r="AL239" s="479"/>
      <c r="AM239" s="479"/>
      <c r="AN239" s="479"/>
      <c r="AO239" s="479"/>
      <c r="AP239" s="479"/>
      <c r="AQ239" s="479"/>
      <c r="AR239" s="479"/>
      <c r="AS239" s="479"/>
      <c r="AT239" s="479"/>
      <c r="AU239" s="479"/>
    </row>
    <row r="240" spans="1:47">
      <c r="A240" s="479"/>
      <c r="B240" s="479"/>
      <c r="C240" s="479"/>
      <c r="D240" s="479"/>
      <c r="E240" s="479"/>
      <c r="F240" s="479"/>
      <c r="G240" s="479"/>
      <c r="H240" s="479"/>
      <c r="I240" s="479"/>
      <c r="J240" s="479"/>
      <c r="K240" s="479"/>
      <c r="L240" s="479"/>
      <c r="M240" s="479"/>
      <c r="N240" s="479"/>
      <c r="P240" s="479"/>
      <c r="Q240" s="1320">
        <v>38</v>
      </c>
      <c r="R240" s="479"/>
      <c r="S240" s="485" t="s">
        <v>1800</v>
      </c>
      <c r="T240" s="479"/>
      <c r="U240" s="496">
        <f ca="1">SUM(W240:AE240)+SUM(U302:AE302)+SUM(U364:AE364)+SUM(U426:AE426)+SUM(U488:AE488)</f>
        <v>-2129230</v>
      </c>
      <c r="V240" s="479"/>
      <c r="W240" s="496"/>
      <c r="X240" s="496"/>
      <c r="Y240" s="496"/>
      <c r="Z240" s="496"/>
      <c r="AA240" s="496"/>
      <c r="AB240" s="496"/>
      <c r="AC240" s="496"/>
      <c r="AD240" s="479"/>
      <c r="AE240" s="496"/>
      <c r="AF240" s="479"/>
      <c r="AG240" s="479"/>
      <c r="AH240" s="479"/>
      <c r="AI240" s="479"/>
      <c r="AJ240" s="479"/>
      <c r="AK240" s="479"/>
      <c r="AL240" s="479"/>
      <c r="AM240" s="479"/>
      <c r="AN240" s="479"/>
      <c r="AO240" s="479"/>
      <c r="AP240" s="479"/>
      <c r="AQ240" s="479"/>
      <c r="AR240" s="479"/>
      <c r="AS240" s="479"/>
      <c r="AT240" s="479"/>
      <c r="AU240" s="479"/>
    </row>
    <row r="241" spans="1:47">
      <c r="A241" s="479"/>
      <c r="B241" s="479"/>
      <c r="C241" s="479"/>
      <c r="D241" s="479"/>
      <c r="E241" s="479"/>
      <c r="F241" s="479"/>
      <c r="G241" s="479"/>
      <c r="H241" s="479"/>
      <c r="I241" s="479"/>
      <c r="J241" s="479"/>
      <c r="K241" s="479"/>
      <c r="L241" s="479"/>
      <c r="M241" s="479"/>
      <c r="N241" s="479"/>
      <c r="O241" s="504"/>
      <c r="P241" s="479"/>
      <c r="Q241" s="1320">
        <v>39</v>
      </c>
      <c r="R241" s="479"/>
      <c r="S241" s="485" t="s">
        <v>1021</v>
      </c>
      <c r="T241" s="479"/>
      <c r="U241" s="496">
        <f>SUM(W241:AE241)+SUM(U303:AE303)+SUM(U365:AE365)+SUM(U427:AE427)+SUM(U489:AE489)</f>
        <v>0</v>
      </c>
      <c r="V241" s="479"/>
      <c r="W241" s="496"/>
      <c r="X241" s="496"/>
      <c r="Y241" s="496"/>
      <c r="Z241" s="496"/>
      <c r="AA241" s="496"/>
      <c r="AB241" s="496"/>
      <c r="AC241" s="496"/>
      <c r="AD241" s="479"/>
      <c r="AE241" s="496"/>
      <c r="AF241" s="479"/>
      <c r="AG241" s="479"/>
      <c r="AH241" s="479"/>
      <c r="AI241" s="479"/>
      <c r="AJ241" s="479"/>
      <c r="AK241" s="479"/>
      <c r="AL241" s="479"/>
      <c r="AM241" s="479"/>
      <c r="AN241" s="479"/>
      <c r="AO241" s="479"/>
      <c r="AP241" s="479"/>
      <c r="AQ241" s="479"/>
      <c r="AR241" s="479"/>
      <c r="AS241" s="479"/>
      <c r="AT241" s="479"/>
      <c r="AU241" s="479"/>
    </row>
    <row r="242" spans="1:47">
      <c r="A242" s="479"/>
      <c r="B242" s="479"/>
      <c r="C242" s="479"/>
      <c r="D242" s="479"/>
      <c r="E242" s="479"/>
      <c r="F242" s="479"/>
      <c r="G242" s="479"/>
      <c r="H242" s="479"/>
      <c r="I242" s="479"/>
      <c r="J242" s="479"/>
      <c r="K242" s="479"/>
      <c r="L242" s="479"/>
      <c r="M242" s="479"/>
      <c r="N242" s="479"/>
      <c r="O242" s="479"/>
      <c r="P242" s="479"/>
      <c r="Q242" s="1320">
        <v>40</v>
      </c>
      <c r="R242" s="479"/>
      <c r="S242" s="485" t="s">
        <v>1850</v>
      </c>
      <c r="T242" s="479"/>
      <c r="U242" s="497">
        <f ca="1">SUM(U239:U241)</f>
        <v>321969</v>
      </c>
      <c r="V242" s="479"/>
      <c r="W242" s="497">
        <f>SUM(W239:W241)</f>
        <v>-153697</v>
      </c>
      <c r="X242" s="496"/>
      <c r="Y242" s="497">
        <f>SUM(Y239:Y241)</f>
        <v>-39933</v>
      </c>
      <c r="Z242" s="496"/>
      <c r="AA242" s="497">
        <f>SUM(AA239:AA241)</f>
        <v>4107545</v>
      </c>
      <c r="AB242" s="496"/>
      <c r="AC242" s="497">
        <f ca="1">SUM(AC239:AC241)</f>
        <v>-92910</v>
      </c>
      <c r="AD242" s="479"/>
      <c r="AE242" s="497">
        <f>SUM(AE239:AE241)</f>
        <v>-604156</v>
      </c>
      <c r="AF242" s="479"/>
      <c r="AG242" s="479"/>
      <c r="AH242" s="479"/>
      <c r="AI242" s="479"/>
      <c r="AJ242" s="479"/>
      <c r="AK242" s="479"/>
      <c r="AL242" s="479"/>
      <c r="AM242" s="479"/>
      <c r="AN242" s="479"/>
      <c r="AO242" s="479"/>
      <c r="AP242" s="479"/>
      <c r="AQ242" s="479"/>
      <c r="AR242" s="479"/>
      <c r="AS242" s="479"/>
      <c r="AT242" s="479"/>
      <c r="AU242" s="479"/>
    </row>
    <row r="243" spans="1:47">
      <c r="A243" s="479"/>
      <c r="B243" s="479"/>
      <c r="C243" s="479"/>
      <c r="D243" s="479"/>
      <c r="E243" s="479"/>
      <c r="F243" s="479"/>
      <c r="G243" s="479"/>
      <c r="H243" s="479"/>
      <c r="I243" s="479"/>
      <c r="J243" s="479"/>
      <c r="K243" s="479"/>
      <c r="L243" s="479"/>
      <c r="M243" s="479"/>
      <c r="N243" s="479"/>
      <c r="O243" s="504"/>
      <c r="P243" s="479"/>
      <c r="Q243" s="1320">
        <v>41</v>
      </c>
      <c r="R243" s="479"/>
      <c r="S243" s="479"/>
      <c r="T243" s="479"/>
      <c r="U243" s="498"/>
      <c r="V243" s="479"/>
      <c r="W243" s="498"/>
      <c r="X243" s="498"/>
      <c r="Y243" s="498"/>
      <c r="Z243" s="498"/>
      <c r="AA243" s="498"/>
      <c r="AB243" s="498"/>
      <c r="AC243" s="498"/>
      <c r="AD243" s="479"/>
      <c r="AE243" s="498"/>
      <c r="AF243" s="479"/>
      <c r="AG243" s="479"/>
      <c r="AH243" s="479"/>
      <c r="AI243" s="479"/>
      <c r="AJ243" s="479"/>
      <c r="AK243" s="479"/>
      <c r="AL243" s="479"/>
      <c r="AM243" s="479"/>
      <c r="AN243" s="479"/>
      <c r="AO243" s="479"/>
      <c r="AP243" s="479"/>
      <c r="AQ243" s="479"/>
      <c r="AR243" s="479"/>
      <c r="AS243" s="479"/>
      <c r="AT243" s="479"/>
      <c r="AU243" s="479"/>
    </row>
    <row r="244" spans="1:47">
      <c r="A244" s="479"/>
      <c r="B244" s="479"/>
      <c r="C244" s="479"/>
      <c r="D244" s="479"/>
      <c r="E244" s="479"/>
      <c r="F244" s="479"/>
      <c r="G244" s="479"/>
      <c r="H244" s="479"/>
      <c r="I244" s="479"/>
      <c r="J244" s="479"/>
      <c r="K244" s="479"/>
      <c r="L244" s="479"/>
      <c r="M244" s="479"/>
      <c r="N244" s="479"/>
      <c r="O244" s="504"/>
      <c r="P244" s="479"/>
      <c r="Q244" s="1320">
        <v>42</v>
      </c>
      <c r="R244" s="479"/>
      <c r="S244" s="485" t="s">
        <v>1851</v>
      </c>
      <c r="T244" s="479"/>
      <c r="U244" s="502">
        <f ca="1">U224+U226+U231+U236+U242</f>
        <v>-13339400</v>
      </c>
      <c r="V244" s="479"/>
      <c r="W244" s="502">
        <f>W224+W226+W231+W236+W242</f>
        <v>285436</v>
      </c>
      <c r="X244" s="496"/>
      <c r="Y244" s="502">
        <f>Y224+Y226+Y231+Y236+Y242</f>
        <v>74162</v>
      </c>
      <c r="Z244" s="496"/>
      <c r="AA244" s="502">
        <f>AA224+AA226+AA231+AA236+AA242</f>
        <v>-7628299</v>
      </c>
      <c r="AB244" s="496"/>
      <c r="AC244" s="502">
        <f ca="1">AC224+AC226+AC231+AC236+AC242</f>
        <v>-107901</v>
      </c>
      <c r="AD244" s="479"/>
      <c r="AE244" s="502">
        <f>AE224+AE226+AE231+AE236+AE242</f>
        <v>-10317181</v>
      </c>
      <c r="AF244" s="479"/>
      <c r="AG244" s="479"/>
      <c r="AH244" s="479"/>
      <c r="AI244" s="479"/>
      <c r="AJ244" s="479"/>
      <c r="AK244" s="479"/>
      <c r="AL244" s="479"/>
      <c r="AM244" s="479"/>
      <c r="AN244" s="479"/>
      <c r="AO244" s="479"/>
      <c r="AP244" s="479"/>
      <c r="AQ244" s="479"/>
      <c r="AR244" s="479"/>
      <c r="AS244" s="479"/>
      <c r="AT244" s="479"/>
      <c r="AU244" s="479"/>
    </row>
    <row r="245" spans="1:47">
      <c r="A245" s="479"/>
      <c r="B245" s="479"/>
      <c r="C245" s="479"/>
      <c r="D245" s="479"/>
      <c r="E245" s="479"/>
      <c r="F245" s="479"/>
      <c r="G245" s="479"/>
      <c r="H245" s="479"/>
      <c r="I245" s="479"/>
      <c r="J245" s="479"/>
      <c r="K245" s="479"/>
      <c r="L245" s="479"/>
      <c r="M245" s="479"/>
      <c r="N245" s="479"/>
      <c r="O245" s="479"/>
      <c r="P245" s="479"/>
      <c r="Q245" s="1320">
        <v>43</v>
      </c>
      <c r="R245" s="479"/>
      <c r="S245" s="479"/>
      <c r="T245" s="479"/>
      <c r="U245" s="498"/>
      <c r="V245" s="479"/>
      <c r="W245" s="498"/>
      <c r="X245" s="498"/>
      <c r="Y245" s="498"/>
      <c r="Z245" s="498"/>
      <c r="AA245" s="498"/>
      <c r="AB245" s="498"/>
      <c r="AC245" s="498"/>
      <c r="AD245" s="479"/>
      <c r="AE245" s="498"/>
      <c r="AF245" s="479"/>
      <c r="AG245" s="479"/>
      <c r="AH245" s="479"/>
      <c r="AI245" s="479"/>
      <c r="AJ245" s="479"/>
      <c r="AK245" s="479"/>
      <c r="AL245" s="479"/>
      <c r="AM245" s="479"/>
      <c r="AN245" s="479"/>
      <c r="AO245" s="479"/>
      <c r="AP245" s="479"/>
      <c r="AQ245" s="479"/>
      <c r="AR245" s="479"/>
      <c r="AS245" s="479"/>
      <c r="AT245" s="479"/>
      <c r="AU245" s="479"/>
    </row>
    <row r="246" spans="1:47" ht="13.5" thickBot="1">
      <c r="A246" s="479"/>
      <c r="B246" s="479"/>
      <c r="C246" s="479"/>
      <c r="D246" s="479"/>
      <c r="E246" s="479"/>
      <c r="F246" s="479"/>
      <c r="G246" s="479"/>
      <c r="H246" s="479"/>
      <c r="I246" s="479"/>
      <c r="J246" s="479"/>
      <c r="K246" s="479"/>
      <c r="L246" s="479"/>
      <c r="M246" s="479"/>
      <c r="N246" s="479"/>
      <c r="O246" s="479"/>
      <c r="P246" s="479"/>
      <c r="Q246" s="1320">
        <v>44</v>
      </c>
      <c r="R246" s="479"/>
      <c r="S246" s="485" t="s">
        <v>1492</v>
      </c>
      <c r="T246" s="479"/>
      <c r="U246" s="505">
        <f ca="1">U207-U244</f>
        <v>878392</v>
      </c>
      <c r="V246" s="479"/>
      <c r="W246" s="505">
        <f>W207-W244</f>
        <v>-285436</v>
      </c>
      <c r="X246" s="496"/>
      <c r="Y246" s="505">
        <f>Y207-Y244</f>
        <v>-74162</v>
      </c>
      <c r="Z246" s="496"/>
      <c r="AA246" s="505">
        <f>AA207-AA244</f>
        <v>7628299</v>
      </c>
      <c r="AB246" s="496"/>
      <c r="AC246" s="505">
        <f ca="1">AC207-AC244</f>
        <v>107901</v>
      </c>
      <c r="AD246" s="479"/>
      <c r="AE246" s="505">
        <f>AE207-AE244</f>
        <v>-1122003</v>
      </c>
      <c r="AF246" s="479"/>
      <c r="AG246" s="479"/>
      <c r="AH246" s="479"/>
      <c r="AI246" s="479"/>
      <c r="AJ246" s="479"/>
      <c r="AK246" s="479"/>
      <c r="AL246" s="479"/>
      <c r="AM246" s="479"/>
      <c r="AN246" s="479"/>
      <c r="AO246" s="479"/>
      <c r="AP246" s="479"/>
      <c r="AQ246" s="479"/>
      <c r="AR246" s="479"/>
      <c r="AS246" s="479"/>
      <c r="AT246" s="479"/>
      <c r="AU246" s="479"/>
    </row>
    <row r="247" spans="1:47" ht="13.5" thickTop="1">
      <c r="A247" s="479"/>
      <c r="B247" s="479"/>
      <c r="C247" s="479"/>
      <c r="D247" s="479"/>
      <c r="E247" s="479"/>
      <c r="F247" s="479"/>
      <c r="G247" s="479"/>
      <c r="H247" s="479"/>
      <c r="I247" s="479"/>
      <c r="J247" s="479"/>
      <c r="K247" s="479"/>
      <c r="L247" s="479"/>
      <c r="M247" s="479"/>
      <c r="N247" s="479"/>
      <c r="O247" s="479"/>
      <c r="P247" s="479"/>
      <c r="Q247" s="479"/>
      <c r="R247" s="479"/>
      <c r="S247" s="479"/>
      <c r="T247" s="479"/>
      <c r="U247" s="506">
        <f ca="1">IF(ISERR(ROUND((U236+U242)/(U246+U236+U242),4)=TRUE)," ",ROUND((U236+U242)/(U246+U236+U242),4))</f>
        <v>0.29859999999999998</v>
      </c>
      <c r="V247" s="479"/>
      <c r="W247" s="506">
        <f>IF(ISERR(ROUND((W236+W242)/(W246+W236+W242),4)=TRUE)," ",ROUND((W236+W242)/(W246+W236+W242),4))</f>
        <v>0.38469999999999999</v>
      </c>
      <c r="X247" s="506"/>
      <c r="Y247" s="506">
        <f>IF(ISERR(ROUND((Y236+Y242)/(Y246+Y236+Y242),4)=TRUE)," ",ROUND((Y236+Y242)/(Y246+Y236+Y242),4))</f>
        <v>0.38469999999999999</v>
      </c>
      <c r="Z247" s="506"/>
      <c r="AA247" s="506">
        <f>IF(ISERR(ROUND((AA236+AA242)/(AA246+AA236+AA242),4)=TRUE)," ",ROUND((AA236+AA242)/(AA246+AA236+AA242),4))</f>
        <v>0.38469999999999999</v>
      </c>
      <c r="AB247" s="506"/>
      <c r="AC247" s="506" t="str">
        <f ca="1">IF(ISERR(ROUND((AC236+AC242)/(AC246+AC236+AC242),4)=TRUE)," ",ROUND((AC236+AC242)/(AC246+AC236+AC242),4))</f>
        <v xml:space="preserve"> </v>
      </c>
      <c r="AD247" s="506"/>
      <c r="AE247" s="506">
        <f>IF(ISERR(ROUND((AE236+AE242)/(AE246+AE236+AE242),4)=TRUE)," ",ROUND((AE236+AE242)/(AE246+AE236+AE242),4))</f>
        <v>0.38469999999999999</v>
      </c>
      <c r="AF247" s="479"/>
      <c r="AG247" s="479"/>
      <c r="AH247" s="479"/>
      <c r="AI247" s="479"/>
      <c r="AJ247" s="479"/>
      <c r="AK247" s="479"/>
      <c r="AL247" s="479"/>
      <c r="AM247" s="479"/>
      <c r="AN247" s="479"/>
      <c r="AO247" s="479"/>
      <c r="AP247" s="479"/>
      <c r="AQ247" s="479"/>
      <c r="AR247" s="479"/>
      <c r="AS247" s="479"/>
      <c r="AT247" s="479"/>
      <c r="AU247" s="479"/>
    </row>
    <row r="248" spans="1:47">
      <c r="A248" s="479"/>
      <c r="B248" s="479"/>
      <c r="C248" s="479"/>
      <c r="D248" s="479"/>
      <c r="E248" s="479"/>
      <c r="F248" s="479"/>
      <c r="G248" s="479"/>
      <c r="H248" s="479"/>
      <c r="I248" s="479"/>
      <c r="J248" s="479"/>
      <c r="K248" s="479"/>
      <c r="L248" s="479"/>
      <c r="M248" s="479"/>
      <c r="N248" s="479"/>
      <c r="O248" s="479"/>
      <c r="P248" s="479"/>
      <c r="Q248" s="485"/>
      <c r="R248" s="479"/>
      <c r="S248" s="479"/>
      <c r="T248" s="479"/>
      <c r="U248" s="496"/>
      <c r="V248" s="479"/>
      <c r="W248" s="504"/>
      <c r="X248" s="479"/>
      <c r="Y248" s="504"/>
      <c r="Z248" s="479"/>
      <c r="AA248" s="504"/>
      <c r="AB248" s="479"/>
      <c r="AC248" s="504"/>
      <c r="AD248" s="479"/>
      <c r="AE248" s="504"/>
      <c r="AF248" s="479"/>
      <c r="AG248" s="479"/>
      <c r="AH248" s="479"/>
      <c r="AI248" s="479"/>
      <c r="AJ248" s="479"/>
      <c r="AK248" s="479"/>
      <c r="AL248" s="479"/>
      <c r="AM248" s="479"/>
      <c r="AN248" s="479"/>
      <c r="AO248" s="479"/>
      <c r="AP248" s="479"/>
      <c r="AQ248" s="479"/>
      <c r="AR248" s="479"/>
      <c r="AS248" s="479"/>
      <c r="AT248" s="479"/>
      <c r="AU248" s="479"/>
    </row>
    <row r="249" spans="1:47">
      <c r="A249" s="479"/>
      <c r="B249" s="479"/>
      <c r="C249" s="479"/>
      <c r="D249" s="479"/>
      <c r="E249" s="479"/>
      <c r="F249" s="479"/>
      <c r="G249" s="479"/>
      <c r="H249" s="479"/>
      <c r="I249" s="479"/>
      <c r="J249" s="479"/>
      <c r="K249" s="479"/>
      <c r="L249" s="479"/>
      <c r="M249" s="479"/>
      <c r="N249" s="479"/>
      <c r="O249" s="479"/>
      <c r="P249" s="479"/>
      <c r="Q249" s="477" t="str">
        <f>COMPANY</f>
        <v>DUKE ENERGY KENTUCKY, INC.</v>
      </c>
      <c r="R249" s="478"/>
      <c r="S249" s="478"/>
      <c r="T249" s="478"/>
      <c r="U249" s="478"/>
      <c r="V249" s="478"/>
      <c r="W249" s="478"/>
      <c r="X249" s="478"/>
      <c r="Y249" s="478"/>
      <c r="Z249" s="478"/>
      <c r="AA249" s="478"/>
      <c r="AB249" s="478"/>
      <c r="AC249" s="478"/>
      <c r="AD249" s="478"/>
      <c r="AE249" s="478"/>
      <c r="AF249" s="479"/>
      <c r="AG249" s="479"/>
      <c r="AH249" s="479"/>
      <c r="AI249" s="479"/>
      <c r="AJ249" s="479"/>
      <c r="AK249" s="479"/>
      <c r="AL249" s="479"/>
      <c r="AM249" s="479"/>
      <c r="AN249" s="479"/>
      <c r="AO249" s="479"/>
      <c r="AP249" s="479"/>
      <c r="AQ249" s="479"/>
      <c r="AR249" s="479"/>
      <c r="AS249" s="479"/>
      <c r="AT249" s="479"/>
      <c r="AU249" s="479"/>
    </row>
    <row r="250" spans="1:47">
      <c r="A250" s="479"/>
      <c r="B250" s="479"/>
      <c r="C250" s="479"/>
      <c r="D250" s="479"/>
      <c r="E250" s="479"/>
      <c r="F250" s="479"/>
      <c r="G250" s="479"/>
      <c r="H250" s="479"/>
      <c r="I250" s="479"/>
      <c r="J250" s="479"/>
      <c r="K250" s="479"/>
      <c r="L250" s="479"/>
      <c r="M250" s="479"/>
      <c r="N250" s="479"/>
      <c r="O250" s="479"/>
      <c r="P250" s="479"/>
      <c r="Q250" s="477" t="str">
        <f>CASE</f>
        <v>CASE NO. 2017-00321</v>
      </c>
      <c r="R250" s="478"/>
      <c r="S250" s="478"/>
      <c r="T250" s="478"/>
      <c r="U250" s="480"/>
      <c r="V250" s="480"/>
      <c r="W250" s="478"/>
      <c r="X250" s="478"/>
      <c r="Y250" s="478"/>
      <c r="Z250" s="478"/>
      <c r="AA250" s="478"/>
      <c r="AB250" s="478"/>
      <c r="AC250" s="478"/>
      <c r="AD250" s="478"/>
      <c r="AE250" s="478"/>
      <c r="AF250" s="479"/>
      <c r="AG250" s="479"/>
      <c r="AH250" s="479"/>
      <c r="AI250" s="479"/>
      <c r="AJ250" s="479"/>
      <c r="AK250" s="479"/>
      <c r="AL250" s="479"/>
      <c r="AM250" s="479"/>
      <c r="AN250" s="479"/>
      <c r="AO250" s="479"/>
      <c r="AP250" s="479"/>
      <c r="AQ250" s="479"/>
      <c r="AR250" s="479"/>
      <c r="AS250" s="479"/>
      <c r="AT250" s="479"/>
      <c r="AU250" s="479"/>
    </row>
    <row r="251" spans="1:47">
      <c r="A251" s="479"/>
      <c r="B251" s="479"/>
      <c r="C251" s="479"/>
      <c r="D251" s="479"/>
      <c r="E251" s="479"/>
      <c r="F251" s="479"/>
      <c r="G251" s="479"/>
      <c r="H251" s="479"/>
      <c r="I251" s="479"/>
      <c r="J251" s="479"/>
      <c r="K251" s="479"/>
      <c r="L251" s="479"/>
      <c r="M251" s="479"/>
      <c r="N251" s="479"/>
      <c r="O251" s="479"/>
      <c r="P251" s="479"/>
      <c r="Q251" s="481" t="str">
        <f>$AG$501</f>
        <v>SUMMARY OF UTILITY JURISDICTIONAL ADJUSTMENTS TO</v>
      </c>
      <c r="R251" s="478"/>
      <c r="S251" s="478"/>
      <c r="T251" s="478"/>
      <c r="U251" s="478"/>
      <c r="V251" s="478"/>
      <c r="W251" s="478"/>
      <c r="X251" s="478"/>
      <c r="Y251" s="478"/>
      <c r="Z251" s="478"/>
      <c r="AA251" s="478"/>
      <c r="AB251" s="478"/>
      <c r="AC251" s="478"/>
      <c r="AD251" s="478"/>
      <c r="AE251" s="478"/>
      <c r="AF251" s="479"/>
      <c r="AG251" s="479"/>
      <c r="AH251" s="479"/>
      <c r="AI251" s="479"/>
      <c r="AJ251" s="479"/>
      <c r="AK251" s="479"/>
      <c r="AL251" s="479"/>
      <c r="AM251" s="479"/>
      <c r="AN251" s="479"/>
      <c r="AO251" s="479"/>
      <c r="AP251" s="479"/>
      <c r="AQ251" s="479"/>
      <c r="AR251" s="479"/>
      <c r="AS251" s="479"/>
      <c r="AT251" s="479"/>
      <c r="AU251" s="479"/>
    </row>
    <row r="252" spans="1:47">
      <c r="A252" s="479"/>
      <c r="B252" s="479"/>
      <c r="C252" s="479"/>
      <c r="D252" s="479"/>
      <c r="E252" s="479"/>
      <c r="F252" s="479"/>
      <c r="G252" s="479"/>
      <c r="H252" s="479"/>
      <c r="I252" s="479"/>
      <c r="J252" s="479"/>
      <c r="K252" s="479"/>
      <c r="L252" s="479"/>
      <c r="M252" s="479"/>
      <c r="N252" s="479"/>
      <c r="O252" s="479"/>
      <c r="P252" s="479"/>
      <c r="Q252" s="481" t="str">
        <f>$AG$502</f>
        <v>OPERATING INCOME BY MAJOR ACCOUNTS</v>
      </c>
      <c r="R252" s="478"/>
      <c r="S252" s="478"/>
      <c r="T252" s="478"/>
      <c r="U252" s="478"/>
      <c r="V252" s="478"/>
      <c r="W252" s="478"/>
      <c r="X252" s="478"/>
      <c r="Y252" s="478"/>
      <c r="Z252" s="478"/>
      <c r="AA252" s="478"/>
      <c r="AB252" s="478"/>
      <c r="AC252" s="478"/>
      <c r="AD252" s="478"/>
      <c r="AE252" s="478"/>
      <c r="AF252" s="479"/>
      <c r="AG252" s="479"/>
      <c r="AH252" s="479"/>
      <c r="AI252" s="479"/>
      <c r="AJ252" s="479"/>
      <c r="AK252" s="479"/>
      <c r="AL252" s="479"/>
      <c r="AM252" s="479"/>
      <c r="AN252" s="479"/>
      <c r="AO252" s="479"/>
      <c r="AP252" s="479"/>
      <c r="AQ252" s="479"/>
      <c r="AR252" s="479"/>
      <c r="AS252" s="479"/>
      <c r="AT252" s="479"/>
      <c r="AU252" s="479"/>
    </row>
    <row r="253" spans="1:47">
      <c r="A253" s="479"/>
      <c r="B253" s="479"/>
      <c r="C253" s="479"/>
      <c r="D253" s="479"/>
      <c r="E253" s="479"/>
      <c r="F253" s="479"/>
      <c r="G253" s="479"/>
      <c r="H253" s="479"/>
      <c r="I253" s="479"/>
      <c r="J253" s="479"/>
      <c r="K253" s="479"/>
      <c r="L253" s="479"/>
      <c r="M253" s="479"/>
      <c r="N253" s="479"/>
      <c r="O253" s="479"/>
      <c r="P253" s="479"/>
      <c r="Q253" s="482" t="str">
        <f>Q191</f>
        <v>PRO FORMA ADJUSTMENTS TO THE FORECASTED PERIOD</v>
      </c>
      <c r="R253" s="478"/>
      <c r="S253" s="478"/>
      <c r="T253" s="478"/>
      <c r="U253" s="478"/>
      <c r="V253" s="478"/>
      <c r="W253" s="478"/>
      <c r="X253" s="478"/>
      <c r="Y253" s="478"/>
      <c r="Z253" s="478"/>
      <c r="AA253" s="478"/>
      <c r="AB253" s="478"/>
      <c r="AC253" s="478"/>
      <c r="AD253" s="478"/>
      <c r="AE253" s="478"/>
      <c r="AF253" s="479"/>
      <c r="AG253" s="479"/>
      <c r="AH253" s="479"/>
      <c r="AI253" s="479"/>
      <c r="AJ253" s="479"/>
      <c r="AK253" s="479"/>
      <c r="AL253" s="479"/>
      <c r="AM253" s="479"/>
      <c r="AN253" s="479"/>
      <c r="AO253" s="479"/>
      <c r="AP253" s="479"/>
      <c r="AQ253" s="479"/>
      <c r="AR253" s="479"/>
      <c r="AS253" s="479"/>
      <c r="AT253" s="479"/>
      <c r="AU253" s="479"/>
    </row>
    <row r="254" spans="1:47">
      <c r="A254" s="479"/>
      <c r="B254" s="479"/>
      <c r="C254" s="479"/>
      <c r="D254" s="479"/>
      <c r="E254" s="479"/>
      <c r="F254" s="479"/>
      <c r="G254" s="479"/>
      <c r="H254" s="479"/>
      <c r="I254" s="479"/>
      <c r="J254" s="479"/>
      <c r="K254" s="479"/>
      <c r="L254" s="479"/>
      <c r="M254" s="479"/>
      <c r="N254" s="479"/>
      <c r="O254" s="479"/>
      <c r="P254" s="479"/>
      <c r="Q254" s="477" t="str">
        <f>PeriodF</f>
        <v>FOR THE TWELVE MONTHS ENDED MARCH 31, 2019</v>
      </c>
      <c r="R254" s="478"/>
      <c r="S254" s="478"/>
      <c r="T254" s="478"/>
      <c r="U254" s="478"/>
      <c r="V254" s="478"/>
      <c r="W254" s="478"/>
      <c r="X254" s="478"/>
      <c r="Y254" s="478"/>
      <c r="Z254" s="478"/>
      <c r="AA254" s="478"/>
      <c r="AB254" s="478"/>
      <c r="AC254" s="478"/>
      <c r="AD254" s="478"/>
      <c r="AE254" s="478"/>
      <c r="AF254" s="479"/>
      <c r="AG254" s="479"/>
      <c r="AH254" s="479"/>
      <c r="AI254" s="479"/>
      <c r="AJ254" s="479"/>
      <c r="AK254" s="479"/>
      <c r="AL254" s="479"/>
      <c r="AM254" s="479"/>
      <c r="AN254" s="479"/>
      <c r="AO254" s="479"/>
      <c r="AP254" s="479"/>
      <c r="AQ254" s="479"/>
      <c r="AR254" s="479"/>
      <c r="AS254" s="479"/>
      <c r="AT254" s="479"/>
      <c r="AU254" s="479"/>
    </row>
    <row r="255" spans="1:47">
      <c r="A255" s="479"/>
      <c r="B255" s="479"/>
      <c r="C255" s="479"/>
      <c r="D255" s="479"/>
      <c r="E255" s="479"/>
      <c r="F255" s="479"/>
      <c r="G255" s="479"/>
      <c r="H255" s="479"/>
      <c r="I255" s="479"/>
      <c r="J255" s="479"/>
      <c r="K255" s="479"/>
      <c r="L255" s="479"/>
      <c r="M255" s="479"/>
      <c r="N255" s="479"/>
      <c r="O255" s="479"/>
      <c r="P255" s="479"/>
      <c r="Q255" s="479"/>
      <c r="R255" s="479"/>
      <c r="S255" s="479"/>
      <c r="T255" s="483"/>
      <c r="U255" s="479"/>
      <c r="V255" s="479"/>
      <c r="W255" s="479"/>
      <c r="X255" s="479"/>
      <c r="Y255" s="479"/>
      <c r="Z255" s="479"/>
      <c r="AA255" s="479"/>
      <c r="AB255" s="479"/>
      <c r="AC255" s="479"/>
      <c r="AD255" s="479"/>
      <c r="AE255" s="479"/>
      <c r="AF255" s="479"/>
      <c r="AG255" s="479"/>
      <c r="AH255" s="479"/>
      <c r="AI255" s="479"/>
      <c r="AJ255" s="479"/>
      <c r="AK255" s="479"/>
      <c r="AL255" s="479"/>
      <c r="AM255" s="479"/>
      <c r="AN255" s="479"/>
      <c r="AO255" s="479"/>
      <c r="AP255" s="479"/>
      <c r="AQ255" s="479"/>
      <c r="AR255" s="479"/>
      <c r="AS255" s="479"/>
      <c r="AT255" s="479"/>
      <c r="AU255" s="479"/>
    </row>
    <row r="256" spans="1:47">
      <c r="A256" s="479"/>
      <c r="B256" s="479"/>
      <c r="C256" s="479"/>
      <c r="D256" s="479"/>
      <c r="E256" s="479"/>
      <c r="F256" s="479"/>
      <c r="G256" s="479"/>
      <c r="H256" s="479"/>
      <c r="I256" s="479"/>
      <c r="J256" s="479"/>
      <c r="K256" s="479"/>
      <c r="L256" s="479"/>
      <c r="M256" s="479"/>
      <c r="N256" s="479"/>
      <c r="O256" s="479"/>
      <c r="P256" s="479"/>
      <c r="Q256" s="483" t="str">
        <f>DataF</f>
        <v>DATA:  BASE PERIOD  "X" FORECASTED PERIOD</v>
      </c>
      <c r="R256" s="479"/>
      <c r="S256" s="479"/>
      <c r="T256" s="479"/>
      <c r="U256" s="479"/>
      <c r="V256" s="479"/>
      <c r="W256" s="479"/>
      <c r="X256" s="479"/>
      <c r="Y256" s="479"/>
      <c r="Z256" s="479"/>
      <c r="AA256" s="479"/>
      <c r="AB256" s="479"/>
      <c r="AC256" s="484" t="s">
        <v>704</v>
      </c>
      <c r="AD256" s="485"/>
      <c r="AE256" s="485"/>
      <c r="AF256" s="479"/>
      <c r="AG256" s="479"/>
      <c r="AH256" s="479"/>
      <c r="AI256" s="479"/>
      <c r="AJ256" s="479"/>
      <c r="AK256" s="479"/>
      <c r="AL256" s="479"/>
      <c r="AM256" s="479"/>
      <c r="AN256" s="479"/>
      <c r="AO256" s="479"/>
      <c r="AP256" s="479"/>
      <c r="AQ256" s="479"/>
      <c r="AR256" s="479"/>
      <c r="AS256" s="479"/>
      <c r="AT256" s="479"/>
      <c r="AU256" s="479"/>
    </row>
    <row r="257" spans="1:47">
      <c r="A257" s="479"/>
      <c r="B257" s="479"/>
      <c r="C257" s="479"/>
      <c r="D257" s="479"/>
      <c r="E257" s="479"/>
      <c r="F257" s="479"/>
      <c r="G257" s="479"/>
      <c r="H257" s="479"/>
      <c r="I257" s="479"/>
      <c r="J257" s="479"/>
      <c r="K257" s="479"/>
      <c r="L257" s="479"/>
      <c r="M257" s="479"/>
      <c r="N257" s="479"/>
      <c r="O257" s="479"/>
      <c r="P257" s="479"/>
      <c r="Q257" s="483" t="str">
        <f>Type</f>
        <v xml:space="preserve">TYPE OF FILING:  "X" ORIGINAL   UPDATED    REVISED  </v>
      </c>
      <c r="R257" s="479"/>
      <c r="S257" s="479"/>
      <c r="T257" s="479"/>
      <c r="U257" s="479"/>
      <c r="V257" s="479"/>
      <c r="W257" s="479"/>
      <c r="X257" s="479"/>
      <c r="Y257" s="479"/>
      <c r="Z257" s="479"/>
      <c r="AA257" s="479"/>
      <c r="AB257" s="479"/>
      <c r="AC257" s="485" t="s">
        <v>3179</v>
      </c>
      <c r="AD257" s="485"/>
      <c r="AE257" s="485"/>
      <c r="AF257" s="479"/>
      <c r="AG257" s="479"/>
      <c r="AH257" s="479"/>
      <c r="AI257" s="479"/>
      <c r="AJ257" s="479"/>
      <c r="AK257" s="479"/>
      <c r="AL257" s="479"/>
      <c r="AM257" s="479"/>
      <c r="AN257" s="479"/>
      <c r="AO257" s="479"/>
      <c r="AP257" s="479"/>
      <c r="AQ257" s="479"/>
      <c r="AR257" s="479"/>
      <c r="AS257" s="479"/>
      <c r="AT257" s="479"/>
      <c r="AU257" s="479"/>
    </row>
    <row r="258" spans="1:47">
      <c r="A258" s="479"/>
      <c r="B258" s="479"/>
      <c r="C258" s="479"/>
      <c r="D258" s="479"/>
      <c r="E258" s="479"/>
      <c r="F258" s="479"/>
      <c r="G258" s="479"/>
      <c r="H258" s="479"/>
      <c r="I258" s="479"/>
      <c r="J258" s="479"/>
      <c r="K258" s="479"/>
      <c r="L258" s="479"/>
      <c r="M258" s="479"/>
      <c r="N258" s="479"/>
      <c r="O258" s="479"/>
      <c r="P258" s="479"/>
      <c r="Q258" s="485" t="s">
        <v>621</v>
      </c>
      <c r="R258" s="479"/>
      <c r="S258" s="479"/>
      <c r="T258" s="479"/>
      <c r="U258" s="479"/>
      <c r="V258" s="479"/>
      <c r="W258" s="479"/>
      <c r="X258" s="479"/>
      <c r="Y258" s="479"/>
      <c r="Z258" s="479"/>
      <c r="AA258" s="479"/>
      <c r="AB258" s="479"/>
      <c r="AC258" s="484" t="s">
        <v>705</v>
      </c>
      <c r="AD258" s="485"/>
      <c r="AE258" s="485"/>
      <c r="AF258" s="479"/>
      <c r="AG258" s="479"/>
      <c r="AH258" s="479"/>
      <c r="AI258" s="479"/>
      <c r="AJ258" s="479"/>
      <c r="AK258" s="479"/>
      <c r="AL258" s="479"/>
      <c r="AM258" s="479"/>
      <c r="AN258" s="479"/>
      <c r="AO258" s="479"/>
      <c r="AP258" s="479"/>
      <c r="AQ258" s="479"/>
      <c r="AR258" s="479"/>
      <c r="AS258" s="479"/>
      <c r="AT258" s="479"/>
      <c r="AU258" s="479"/>
    </row>
    <row r="259" spans="1:47">
      <c r="A259" s="479"/>
      <c r="B259" s="479"/>
      <c r="C259" s="479"/>
      <c r="D259" s="479"/>
      <c r="E259" s="479"/>
      <c r="F259" s="479"/>
      <c r="G259" s="479"/>
      <c r="H259" s="479"/>
      <c r="I259" s="479"/>
      <c r="J259" s="479"/>
      <c r="K259" s="479"/>
      <c r="L259" s="479"/>
      <c r="M259" s="479"/>
      <c r="N259" s="479"/>
      <c r="O259" s="479"/>
      <c r="P259" s="479"/>
      <c r="Q259" s="479"/>
      <c r="R259" s="479"/>
      <c r="S259" s="479"/>
      <c r="T259" s="479"/>
      <c r="U259" s="479"/>
      <c r="V259" s="479"/>
      <c r="W259" s="479"/>
      <c r="X259" s="479"/>
      <c r="Y259" s="479"/>
      <c r="Z259" s="479"/>
      <c r="AA259" s="479"/>
      <c r="AB259" s="479"/>
      <c r="AC259" s="485" t="str">
        <f>"          "&amp;_WIT1</f>
        <v xml:space="preserve">          S. E. LAWLER</v>
      </c>
      <c r="AD259" s="485"/>
      <c r="AE259" s="1567"/>
      <c r="AF259" s="479"/>
      <c r="AG259" s="479"/>
      <c r="AH259" s="479"/>
      <c r="AI259" s="479"/>
      <c r="AJ259" s="479"/>
      <c r="AK259" s="479"/>
      <c r="AL259" s="479"/>
      <c r="AM259" s="479"/>
      <c r="AN259" s="479"/>
      <c r="AO259" s="479"/>
      <c r="AP259" s="479"/>
      <c r="AQ259" s="479"/>
      <c r="AR259" s="479"/>
      <c r="AS259" s="479"/>
      <c r="AT259" s="479"/>
      <c r="AU259" s="479"/>
    </row>
    <row r="260" spans="1:47">
      <c r="A260" s="479"/>
      <c r="B260" s="479"/>
      <c r="C260" s="479"/>
      <c r="D260" s="479"/>
      <c r="E260" s="479"/>
      <c r="F260" s="479"/>
      <c r="G260" s="479"/>
      <c r="H260" s="479"/>
      <c r="I260" s="479"/>
      <c r="J260" s="479"/>
      <c r="K260" s="479"/>
      <c r="L260" s="479"/>
      <c r="M260" s="479"/>
      <c r="N260" s="479"/>
      <c r="O260" s="479"/>
      <c r="P260" s="479"/>
      <c r="Q260" s="486"/>
      <c r="R260" s="486"/>
      <c r="S260" s="486"/>
      <c r="T260" s="486"/>
      <c r="U260" s="486"/>
      <c r="V260" s="486"/>
      <c r="W260" s="486"/>
      <c r="X260" s="486"/>
      <c r="Y260" s="490"/>
      <c r="Z260" s="490"/>
      <c r="AA260" s="490"/>
      <c r="AB260" s="486"/>
      <c r="AC260" s="486"/>
      <c r="AD260" s="486"/>
      <c r="AE260" s="1566"/>
      <c r="AF260" s="479"/>
      <c r="AG260" s="479"/>
      <c r="AH260" s="479"/>
      <c r="AI260" s="479"/>
      <c r="AJ260" s="479"/>
      <c r="AK260" s="479"/>
      <c r="AL260" s="479"/>
      <c r="AM260" s="479"/>
      <c r="AN260" s="479"/>
      <c r="AO260" s="479"/>
      <c r="AP260" s="479"/>
      <c r="AQ260" s="479"/>
      <c r="AR260" s="479"/>
      <c r="AS260" s="479"/>
      <c r="AT260" s="479"/>
      <c r="AU260" s="479"/>
    </row>
    <row r="261" spans="1:47">
      <c r="A261" s="479"/>
      <c r="B261" s="479"/>
      <c r="C261" s="479"/>
      <c r="D261" s="479"/>
      <c r="E261" s="479"/>
      <c r="F261" s="479"/>
      <c r="G261" s="479"/>
      <c r="H261" s="479"/>
      <c r="I261" s="479"/>
      <c r="J261" s="479"/>
      <c r="K261" s="479"/>
      <c r="L261" s="479"/>
      <c r="M261" s="479"/>
      <c r="N261" s="479"/>
      <c r="O261" s="479"/>
      <c r="P261" s="479"/>
      <c r="Q261" s="479"/>
      <c r="R261" s="479"/>
      <c r="S261" s="479"/>
      <c r="T261" s="479"/>
      <c r="U261" s="1320" t="s">
        <v>1615</v>
      </c>
      <c r="V261" s="510"/>
      <c r="W261" s="510"/>
      <c r="X261" s="487"/>
      <c r="Y261" s="510" t="s">
        <v>807</v>
      </c>
      <c r="Z261" s="479"/>
      <c r="AA261" s="1320"/>
      <c r="AB261" s="1320"/>
      <c r="AC261" s="503" t="s">
        <v>807</v>
      </c>
      <c r="AD261" s="1320"/>
      <c r="AE261" s="1320" t="s">
        <v>3160</v>
      </c>
      <c r="AF261" s="479"/>
      <c r="AG261" s="479"/>
      <c r="AH261" s="479"/>
      <c r="AI261" s="479"/>
      <c r="AJ261" s="479"/>
      <c r="AK261" s="479"/>
      <c r="AL261" s="479"/>
      <c r="AM261" s="479"/>
      <c r="AN261" s="479"/>
      <c r="AO261" s="479"/>
      <c r="AP261" s="479"/>
      <c r="AQ261" s="479"/>
      <c r="AR261" s="479"/>
      <c r="AS261" s="479"/>
      <c r="AT261" s="479"/>
      <c r="AU261" s="479"/>
    </row>
    <row r="262" spans="1:47">
      <c r="A262" s="479"/>
      <c r="B262" s="479"/>
      <c r="C262" s="479"/>
      <c r="D262" s="479"/>
      <c r="E262" s="479"/>
      <c r="F262" s="479"/>
      <c r="G262" s="479"/>
      <c r="H262" s="479"/>
      <c r="I262" s="479"/>
      <c r="J262" s="479"/>
      <c r="K262" s="479"/>
      <c r="L262" s="479"/>
      <c r="M262" s="479"/>
      <c r="N262" s="479"/>
      <c r="O262" s="479"/>
      <c r="P262" s="479"/>
      <c r="Q262" s="485" t="s">
        <v>1961</v>
      </c>
      <c r="R262" s="479"/>
      <c r="S262" s="479"/>
      <c r="T262" s="479"/>
      <c r="U262" s="511" t="s">
        <v>2697</v>
      </c>
      <c r="V262" s="1320"/>
      <c r="W262" s="511" t="s">
        <v>1554</v>
      </c>
      <c r="X262" s="487"/>
      <c r="Y262" s="511" t="s">
        <v>105</v>
      </c>
      <c r="Z262" s="1320"/>
      <c r="AA262" s="511" t="s">
        <v>1281</v>
      </c>
      <c r="AB262" s="1320"/>
      <c r="AC262" s="511" t="s">
        <v>1316</v>
      </c>
      <c r="AD262" s="1320"/>
      <c r="AE262" s="511" t="s">
        <v>3161</v>
      </c>
      <c r="AF262" s="479"/>
      <c r="AG262" s="479"/>
      <c r="AH262" s="479"/>
      <c r="AI262" s="479"/>
      <c r="AJ262" s="479"/>
      <c r="AK262" s="479"/>
      <c r="AL262" s="479"/>
      <c r="AM262" s="479"/>
      <c r="AN262" s="479"/>
      <c r="AO262" s="479"/>
      <c r="AP262" s="479"/>
      <c r="AQ262" s="479"/>
      <c r="AR262" s="479"/>
      <c r="AS262" s="479"/>
      <c r="AT262" s="479"/>
      <c r="AU262" s="479"/>
    </row>
    <row r="263" spans="1:47">
      <c r="A263" s="479"/>
      <c r="B263" s="479"/>
      <c r="C263" s="479"/>
      <c r="D263" s="479"/>
      <c r="E263" s="479"/>
      <c r="F263" s="479"/>
      <c r="G263" s="479"/>
      <c r="H263" s="479"/>
      <c r="I263" s="479"/>
      <c r="J263" s="479"/>
      <c r="K263" s="479"/>
      <c r="L263" s="479"/>
      <c r="M263" s="479"/>
      <c r="N263" s="479"/>
      <c r="O263" s="479"/>
      <c r="P263" s="479"/>
      <c r="Q263" s="489" t="s">
        <v>90</v>
      </c>
      <c r="R263" s="490"/>
      <c r="S263" s="489" t="s">
        <v>26</v>
      </c>
      <c r="T263" s="486"/>
      <c r="U263" s="489" t="s">
        <v>249</v>
      </c>
      <c r="V263" s="489"/>
      <c r="W263" s="489" t="s">
        <v>1556</v>
      </c>
      <c r="X263" s="486"/>
      <c r="Y263" s="489" t="s">
        <v>1860</v>
      </c>
      <c r="Z263" s="489"/>
      <c r="AA263" s="489" t="s">
        <v>249</v>
      </c>
      <c r="AB263" s="489"/>
      <c r="AC263" s="489" t="s">
        <v>1462</v>
      </c>
      <c r="AD263" s="513"/>
      <c r="AE263" s="489" t="s">
        <v>3162</v>
      </c>
      <c r="AF263" s="479"/>
      <c r="AG263" s="479"/>
      <c r="AH263" s="479"/>
      <c r="AI263" s="479"/>
      <c r="AJ263" s="479"/>
      <c r="AK263" s="479"/>
      <c r="AL263" s="479"/>
      <c r="AM263" s="479"/>
      <c r="AN263" s="479"/>
      <c r="AO263" s="479"/>
      <c r="AP263" s="479"/>
      <c r="AQ263" s="479"/>
      <c r="AR263" s="479"/>
      <c r="AS263" s="479"/>
      <c r="AT263" s="479"/>
      <c r="AU263" s="479"/>
    </row>
    <row r="264" spans="1:47">
      <c r="A264" s="479"/>
      <c r="B264" s="479"/>
      <c r="C264" s="479"/>
      <c r="D264" s="479"/>
      <c r="E264" s="479"/>
      <c r="F264" s="479"/>
      <c r="G264" s="479"/>
      <c r="H264" s="479"/>
      <c r="I264" s="479"/>
      <c r="J264" s="479"/>
      <c r="K264" s="479"/>
      <c r="L264" s="479"/>
      <c r="M264" s="479"/>
      <c r="N264" s="479"/>
      <c r="O264" s="479"/>
      <c r="P264" s="479"/>
      <c r="Q264" s="490"/>
      <c r="R264" s="490"/>
      <c r="S264" s="493" t="s">
        <v>957</v>
      </c>
      <c r="T264" s="490"/>
      <c r="U264" s="489" t="s">
        <v>818</v>
      </c>
      <c r="V264" s="489"/>
      <c r="W264" s="489" t="s">
        <v>819</v>
      </c>
      <c r="X264" s="489"/>
      <c r="Y264" s="489" t="s">
        <v>820</v>
      </c>
      <c r="Z264" s="489"/>
      <c r="AA264" s="489" t="s">
        <v>1315</v>
      </c>
      <c r="AB264" s="514"/>
      <c r="AC264" s="489" t="s">
        <v>1303</v>
      </c>
      <c r="AD264" s="514"/>
      <c r="AE264" s="489" t="s">
        <v>821</v>
      </c>
      <c r="AF264" s="479"/>
      <c r="AG264" s="479"/>
      <c r="AH264" s="479"/>
      <c r="AI264" s="479"/>
      <c r="AJ264" s="479"/>
      <c r="AK264" s="479"/>
      <c r="AL264" s="479"/>
      <c r="AM264" s="479"/>
      <c r="AN264" s="479"/>
      <c r="AO264" s="479"/>
      <c r="AP264" s="479"/>
      <c r="AQ264" s="479"/>
      <c r="AR264" s="479"/>
      <c r="AS264" s="479"/>
      <c r="AT264" s="479"/>
      <c r="AU264" s="479"/>
    </row>
    <row r="265" spans="1:47">
      <c r="A265" s="479"/>
      <c r="B265" s="479"/>
      <c r="C265" s="479"/>
      <c r="D265" s="479"/>
      <c r="E265" s="479"/>
      <c r="F265" s="479"/>
      <c r="G265" s="479"/>
      <c r="H265" s="479"/>
      <c r="I265" s="479"/>
      <c r="J265" s="479"/>
      <c r="K265" s="479"/>
      <c r="L265" s="479"/>
      <c r="M265" s="479"/>
      <c r="N265" s="479"/>
      <c r="O265" s="479"/>
      <c r="P265" s="479"/>
      <c r="Q265" s="1320">
        <v>1</v>
      </c>
      <c r="R265" s="507" t="s">
        <v>1199</v>
      </c>
      <c r="S265" s="479"/>
      <c r="T265" s="479"/>
      <c r="U265" s="479"/>
      <c r="V265" s="479"/>
      <c r="W265" s="479"/>
      <c r="X265" s="479"/>
      <c r="Y265" s="479"/>
      <c r="Z265" s="479"/>
      <c r="AA265" s="479"/>
      <c r="AB265" s="479"/>
      <c r="AC265" s="479"/>
      <c r="AD265" s="500"/>
      <c r="AE265" s="479"/>
      <c r="AF265" s="479"/>
      <c r="AG265" s="479"/>
      <c r="AH265" s="479"/>
      <c r="AI265" s="479"/>
      <c r="AJ265" s="479"/>
      <c r="AK265" s="479"/>
      <c r="AL265" s="479"/>
      <c r="AM265" s="479"/>
      <c r="AN265" s="479"/>
      <c r="AO265" s="479"/>
      <c r="AP265" s="479"/>
      <c r="AQ265" s="479"/>
      <c r="AR265" s="479"/>
      <c r="AS265" s="479"/>
      <c r="AT265" s="479"/>
      <c r="AU265" s="479"/>
    </row>
    <row r="266" spans="1:47">
      <c r="A266" s="479"/>
      <c r="B266" s="479"/>
      <c r="C266" s="479"/>
      <c r="D266" s="479"/>
      <c r="E266" s="479"/>
      <c r="F266" s="479"/>
      <c r="G266" s="479"/>
      <c r="H266" s="479"/>
      <c r="I266" s="479"/>
      <c r="J266" s="479"/>
      <c r="K266" s="479"/>
      <c r="L266" s="479"/>
      <c r="M266" s="479"/>
      <c r="N266" s="479"/>
      <c r="O266" s="479"/>
      <c r="P266" s="479"/>
      <c r="Q266" s="1320">
        <v>2</v>
      </c>
      <c r="R266" s="479"/>
      <c r="S266" s="485" t="s">
        <v>1200</v>
      </c>
      <c r="T266" s="479"/>
      <c r="U266" s="496"/>
      <c r="V266" s="496"/>
      <c r="W266" s="496">
        <f>SCH_D2.22!G26</f>
        <v>-9203902</v>
      </c>
      <c r="X266" s="496"/>
      <c r="Y266" s="496"/>
      <c r="Z266" s="496"/>
      <c r="AA266" s="496"/>
      <c r="AB266" s="496"/>
      <c r="AC266" s="496">
        <f>SCH_D2.25!J25</f>
        <v>3258473</v>
      </c>
      <c r="AD266" s="501"/>
      <c r="AE266" s="496"/>
      <c r="AF266" s="479"/>
      <c r="AG266" s="479"/>
      <c r="AH266" s="479"/>
      <c r="AI266" s="479"/>
      <c r="AJ266" s="479"/>
      <c r="AK266" s="479"/>
      <c r="AL266" s="479"/>
      <c r="AM266" s="479"/>
      <c r="AN266" s="479"/>
      <c r="AO266" s="479"/>
      <c r="AP266" s="479"/>
      <c r="AQ266" s="479"/>
      <c r="AR266" s="479"/>
      <c r="AS266" s="479"/>
      <c r="AT266" s="479"/>
      <c r="AU266" s="479"/>
    </row>
    <row r="267" spans="1:47">
      <c r="A267" s="479"/>
      <c r="B267" s="479"/>
      <c r="C267" s="479"/>
      <c r="D267" s="479"/>
      <c r="E267" s="479"/>
      <c r="F267" s="479"/>
      <c r="G267" s="479"/>
      <c r="H267" s="479"/>
      <c r="I267" s="479"/>
      <c r="J267" s="479"/>
      <c r="K267" s="479"/>
      <c r="L267" s="479"/>
      <c r="M267" s="479"/>
      <c r="N267" s="479"/>
      <c r="O267" s="479"/>
      <c r="P267" s="479"/>
      <c r="Q267" s="1320">
        <v>3</v>
      </c>
      <c r="R267" s="479"/>
      <c r="S267" s="485" t="s">
        <v>1823</v>
      </c>
      <c r="T267" s="479"/>
      <c r="U267" s="496"/>
      <c r="V267" s="496"/>
      <c r="W267" s="496"/>
      <c r="X267" s="496"/>
      <c r="Y267" s="496"/>
      <c r="Z267" s="496"/>
      <c r="AA267" s="496"/>
      <c r="AB267" s="496"/>
      <c r="AC267" s="496"/>
      <c r="AD267" s="501"/>
      <c r="AE267" s="496"/>
      <c r="AF267" s="479"/>
      <c r="AG267" s="479"/>
      <c r="AH267" s="479"/>
      <c r="AI267" s="479"/>
      <c r="AJ267" s="479"/>
      <c r="AK267" s="479"/>
      <c r="AL267" s="479"/>
      <c r="AM267" s="479"/>
      <c r="AN267" s="479"/>
      <c r="AO267" s="479"/>
      <c r="AP267" s="479"/>
      <c r="AQ267" s="479"/>
      <c r="AR267" s="479"/>
      <c r="AS267" s="479"/>
      <c r="AT267" s="479"/>
      <c r="AU267" s="479"/>
    </row>
    <row r="268" spans="1:47">
      <c r="A268" s="479"/>
      <c r="B268" s="479"/>
      <c r="C268" s="479"/>
      <c r="D268" s="479"/>
      <c r="E268" s="479"/>
      <c r="F268" s="479"/>
      <c r="G268" s="479"/>
      <c r="H268" s="479"/>
      <c r="I268" s="479"/>
      <c r="J268" s="479"/>
      <c r="K268" s="479"/>
      <c r="L268" s="479"/>
      <c r="M268" s="479"/>
      <c r="N268" s="479"/>
      <c r="O268" s="479"/>
      <c r="P268" s="479"/>
      <c r="Q268" s="1320">
        <v>4</v>
      </c>
      <c r="R268" s="479"/>
      <c r="S268" s="485" t="s">
        <v>1201</v>
      </c>
      <c r="T268" s="479"/>
      <c r="U268" s="496"/>
      <c r="V268" s="496"/>
      <c r="W268" s="479"/>
      <c r="X268" s="496"/>
      <c r="Y268" s="496"/>
      <c r="Z268" s="496"/>
      <c r="AA268" s="496"/>
      <c r="AB268" s="496"/>
      <c r="AC268" s="479"/>
      <c r="AD268" s="501"/>
      <c r="AE268" s="496"/>
      <c r="AF268" s="479"/>
      <c r="AG268" s="479"/>
      <c r="AH268" s="479"/>
      <c r="AI268" s="479"/>
      <c r="AJ268" s="479"/>
      <c r="AK268" s="479"/>
      <c r="AL268" s="479"/>
      <c r="AM268" s="479"/>
      <c r="AN268" s="479"/>
      <c r="AO268" s="479"/>
      <c r="AP268" s="479"/>
      <c r="AQ268" s="479"/>
      <c r="AR268" s="479"/>
      <c r="AS268" s="479"/>
      <c r="AT268" s="479"/>
      <c r="AU268" s="479"/>
    </row>
    <row r="269" spans="1:47">
      <c r="A269" s="479"/>
      <c r="B269" s="479"/>
      <c r="C269" s="479"/>
      <c r="D269" s="479"/>
      <c r="E269" s="479"/>
      <c r="F269" s="479"/>
      <c r="G269" s="479"/>
      <c r="H269" s="479"/>
      <c r="I269" s="479"/>
      <c r="J269" s="479"/>
      <c r="K269" s="479"/>
      <c r="L269" s="479"/>
      <c r="M269" s="479"/>
      <c r="N269" s="479"/>
      <c r="O269" s="479"/>
      <c r="P269" s="479"/>
      <c r="Q269" s="1320">
        <v>5</v>
      </c>
      <c r="R269" s="479"/>
      <c r="S269" s="485" t="s">
        <v>1202</v>
      </c>
      <c r="T269" s="479"/>
      <c r="U269" s="497">
        <f>SUM(U266:U268)</f>
        <v>0</v>
      </c>
      <c r="V269" s="496"/>
      <c r="W269" s="497">
        <f>SUM(W266:W267)</f>
        <v>-9203902</v>
      </c>
      <c r="X269" s="496"/>
      <c r="Y269" s="497">
        <f>SUM(Y266:Y268)</f>
        <v>0</v>
      </c>
      <c r="Z269" s="496"/>
      <c r="AA269" s="497">
        <f>SUM(AA266:AA268)</f>
        <v>0</v>
      </c>
      <c r="AB269" s="496"/>
      <c r="AC269" s="497">
        <f>SUM(AC266:AC268)</f>
        <v>3258473</v>
      </c>
      <c r="AD269" s="501"/>
      <c r="AE269" s="497">
        <f>SUM(AE266:AE268)</f>
        <v>0</v>
      </c>
      <c r="AF269" s="479"/>
      <c r="AG269" s="479"/>
      <c r="AH269" s="479"/>
      <c r="AI269" s="479"/>
      <c r="AJ269" s="479"/>
      <c r="AK269" s="479"/>
      <c r="AL269" s="479"/>
      <c r="AM269" s="479"/>
      <c r="AN269" s="479"/>
      <c r="AO269" s="479"/>
      <c r="AP269" s="479"/>
      <c r="AQ269" s="479"/>
      <c r="AR269" s="479"/>
      <c r="AS269" s="479"/>
      <c r="AT269" s="479"/>
      <c r="AU269" s="479"/>
    </row>
    <row r="270" spans="1:47">
      <c r="A270" s="479"/>
      <c r="B270" s="479"/>
      <c r="C270" s="479"/>
      <c r="D270" s="479"/>
      <c r="E270" s="479"/>
      <c r="F270" s="479"/>
      <c r="G270" s="479"/>
      <c r="H270" s="479"/>
      <c r="I270" s="479"/>
      <c r="J270" s="479"/>
      <c r="K270" s="479"/>
      <c r="L270" s="479"/>
      <c r="M270" s="479"/>
      <c r="N270" s="479"/>
      <c r="O270" s="479"/>
      <c r="P270" s="479"/>
      <c r="Q270" s="1320">
        <v>6</v>
      </c>
      <c r="R270" s="479"/>
      <c r="S270" s="479"/>
      <c r="T270" s="479"/>
      <c r="U270" s="498"/>
      <c r="V270" s="498"/>
      <c r="W270" s="498"/>
      <c r="X270" s="498"/>
      <c r="Y270" s="498"/>
      <c r="Z270" s="498"/>
      <c r="AA270" s="498"/>
      <c r="AB270" s="498"/>
      <c r="AC270" s="498"/>
      <c r="AD270" s="512"/>
      <c r="AE270" s="498"/>
      <c r="AF270" s="479"/>
      <c r="AG270" s="479"/>
      <c r="AH270" s="479"/>
      <c r="AI270" s="479"/>
      <c r="AJ270" s="479"/>
      <c r="AK270" s="479"/>
      <c r="AL270" s="479"/>
      <c r="AM270" s="479"/>
      <c r="AN270" s="479"/>
      <c r="AO270" s="479"/>
      <c r="AP270" s="479"/>
      <c r="AQ270" s="479"/>
      <c r="AR270" s="479"/>
      <c r="AS270" s="479"/>
      <c r="AT270" s="479"/>
      <c r="AU270" s="479"/>
    </row>
    <row r="271" spans="1:47">
      <c r="A271" s="479"/>
      <c r="B271" s="479"/>
      <c r="C271" s="479"/>
      <c r="D271" s="479"/>
      <c r="E271" s="479"/>
      <c r="F271" s="479"/>
      <c r="G271" s="479"/>
      <c r="H271" s="479"/>
      <c r="I271" s="479"/>
      <c r="J271" s="479"/>
      <c r="K271" s="479"/>
      <c r="L271" s="479"/>
      <c r="M271" s="479"/>
      <c r="N271" s="479"/>
      <c r="O271" s="479"/>
      <c r="P271" s="479"/>
      <c r="Q271" s="1320">
        <v>7</v>
      </c>
      <c r="R271" s="507" t="s">
        <v>1152</v>
      </c>
      <c r="S271" s="479"/>
      <c r="T271" s="479"/>
      <c r="U271" s="479"/>
      <c r="V271" s="479"/>
      <c r="W271" s="479"/>
      <c r="X271" s="479"/>
      <c r="Y271" s="479"/>
      <c r="Z271" s="479"/>
      <c r="AA271" s="479"/>
      <c r="AB271" s="479"/>
      <c r="AC271" s="479"/>
      <c r="AD271" s="500"/>
      <c r="AE271" s="479"/>
      <c r="AF271" s="479"/>
      <c r="AG271" s="479"/>
      <c r="AH271" s="479"/>
      <c r="AI271" s="479"/>
      <c r="AJ271" s="479"/>
      <c r="AK271" s="479"/>
      <c r="AL271" s="479"/>
      <c r="AM271" s="479"/>
      <c r="AN271" s="479"/>
      <c r="AO271" s="479"/>
      <c r="AP271" s="479"/>
      <c r="AQ271" s="479"/>
      <c r="AR271" s="479"/>
      <c r="AS271" s="479"/>
      <c r="AT271" s="479"/>
      <c r="AU271" s="479"/>
    </row>
    <row r="272" spans="1:47">
      <c r="A272" s="479"/>
      <c r="B272" s="479"/>
      <c r="C272" s="479"/>
      <c r="D272" s="479"/>
      <c r="E272" s="479"/>
      <c r="F272" s="479"/>
      <c r="G272" s="479"/>
      <c r="H272" s="479"/>
      <c r="I272" s="479"/>
      <c r="J272" s="479"/>
      <c r="K272" s="479"/>
      <c r="L272" s="479"/>
      <c r="M272" s="479"/>
      <c r="N272" s="479"/>
      <c r="O272" s="479"/>
      <c r="P272" s="479"/>
      <c r="Q272" s="1320">
        <v>8</v>
      </c>
      <c r="R272" s="479"/>
      <c r="S272" s="485" t="s">
        <v>1203</v>
      </c>
      <c r="T272" s="479"/>
      <c r="U272" s="479"/>
      <c r="V272" s="479"/>
      <c r="W272" s="479"/>
      <c r="X272" s="479"/>
      <c r="Y272" s="479"/>
      <c r="Z272" s="479"/>
      <c r="AA272" s="479"/>
      <c r="AB272" s="479"/>
      <c r="AC272" s="479"/>
      <c r="AD272" s="500"/>
      <c r="AE272" s="479"/>
      <c r="AF272" s="479"/>
      <c r="AG272" s="479"/>
      <c r="AH272" s="479"/>
      <c r="AI272" s="479"/>
      <c r="AJ272" s="479"/>
      <c r="AK272" s="479"/>
      <c r="AL272" s="479"/>
      <c r="AM272" s="479"/>
      <c r="AN272" s="479"/>
      <c r="AO272" s="479"/>
      <c r="AP272" s="479"/>
      <c r="AQ272" s="479"/>
      <c r="AR272" s="479"/>
      <c r="AS272" s="479"/>
      <c r="AT272" s="479"/>
      <c r="AU272" s="479"/>
    </row>
    <row r="273" spans="1:47">
      <c r="A273" s="479"/>
      <c r="B273" s="479"/>
      <c r="C273" s="479"/>
      <c r="D273" s="479"/>
      <c r="E273" s="479"/>
      <c r="F273" s="479"/>
      <c r="G273" s="479"/>
      <c r="H273" s="479"/>
      <c r="I273" s="479"/>
      <c r="J273" s="479"/>
      <c r="K273" s="479"/>
      <c r="L273" s="479"/>
      <c r="M273" s="479"/>
      <c r="N273" s="479"/>
      <c r="O273" s="479"/>
      <c r="P273" s="479"/>
      <c r="Q273" s="1320">
        <v>9</v>
      </c>
      <c r="R273" s="479"/>
      <c r="S273" s="485" t="s">
        <v>257</v>
      </c>
      <c r="T273" s="479"/>
      <c r="U273" s="479"/>
      <c r="V273" s="479"/>
      <c r="W273" s="479"/>
      <c r="X273" s="479"/>
      <c r="Y273" s="479"/>
      <c r="Z273" s="479"/>
      <c r="AA273" s="479"/>
      <c r="AB273" s="479"/>
      <c r="AC273" s="479"/>
      <c r="AD273" s="500"/>
      <c r="AE273" s="479"/>
      <c r="AF273" s="479"/>
      <c r="AG273" s="479"/>
      <c r="AH273" s="479"/>
      <c r="AI273" s="479"/>
      <c r="AJ273" s="479"/>
      <c r="AK273" s="479"/>
      <c r="AL273" s="479"/>
      <c r="AM273" s="479"/>
      <c r="AN273" s="479"/>
      <c r="AO273" s="479"/>
      <c r="AP273" s="479"/>
      <c r="AQ273" s="479"/>
      <c r="AR273" s="479"/>
      <c r="AS273" s="479"/>
      <c r="AT273" s="479"/>
      <c r="AU273" s="479"/>
    </row>
    <row r="274" spans="1:47">
      <c r="A274" s="479"/>
      <c r="B274" s="479"/>
      <c r="C274" s="479"/>
      <c r="D274" s="479"/>
      <c r="E274" s="479"/>
      <c r="F274" s="479"/>
      <c r="G274" s="479"/>
      <c r="H274" s="479"/>
      <c r="I274" s="479"/>
      <c r="J274" s="479"/>
      <c r="K274" s="479"/>
      <c r="L274" s="479"/>
      <c r="M274" s="479"/>
      <c r="N274" s="479"/>
      <c r="O274" s="479"/>
      <c r="P274" s="479"/>
      <c r="Q274" s="1320">
        <v>10</v>
      </c>
      <c r="R274" s="479"/>
      <c r="S274" s="358" t="s">
        <v>348</v>
      </c>
      <c r="T274" s="479"/>
      <c r="U274" s="496"/>
      <c r="V274" s="496"/>
      <c r="W274" s="496"/>
      <c r="X274" s="496"/>
      <c r="Y274" s="496"/>
      <c r="Z274" s="496"/>
      <c r="AA274" s="496"/>
      <c r="AB274" s="496"/>
      <c r="AC274" s="496"/>
      <c r="AD274" s="501"/>
      <c r="AE274" s="496"/>
      <c r="AF274" s="479"/>
      <c r="AG274" s="479"/>
      <c r="AH274" s="479"/>
      <c r="AI274" s="479"/>
      <c r="AJ274" s="479"/>
      <c r="AK274" s="479"/>
      <c r="AL274" s="479"/>
      <c r="AM274" s="479"/>
      <c r="AN274" s="479"/>
      <c r="AO274" s="479"/>
      <c r="AP274" s="479"/>
      <c r="AQ274" s="479"/>
      <c r="AR274" s="479"/>
      <c r="AS274" s="479"/>
      <c r="AT274" s="479"/>
      <c r="AU274" s="479"/>
    </row>
    <row r="275" spans="1:47">
      <c r="A275" s="479"/>
      <c r="B275" s="479"/>
      <c r="C275" s="479"/>
      <c r="D275" s="479"/>
      <c r="E275" s="479"/>
      <c r="F275" s="479"/>
      <c r="G275" s="479"/>
      <c r="H275" s="479"/>
      <c r="I275" s="479"/>
      <c r="J275" s="479"/>
      <c r="K275" s="479"/>
      <c r="L275" s="479"/>
      <c r="M275" s="479"/>
      <c r="N275" s="479"/>
      <c r="O275" s="479"/>
      <c r="P275" s="479"/>
      <c r="Q275" s="1320">
        <v>11</v>
      </c>
      <c r="R275" s="479"/>
      <c r="S275" s="485" t="s">
        <v>425</v>
      </c>
      <c r="T275" s="479"/>
      <c r="U275" s="496"/>
      <c r="V275" s="496"/>
      <c r="W275" s="496">
        <f>SCH_D2.22!G29</f>
        <v>-8833523</v>
      </c>
      <c r="X275" s="496"/>
      <c r="Y275" s="496">
        <f>SCH_D2.23!H21</f>
        <v>-1777</v>
      </c>
      <c r="Z275" s="496"/>
      <c r="AA275" s="496"/>
      <c r="AB275" s="496"/>
      <c r="AC275" s="496"/>
      <c r="AD275" s="501"/>
      <c r="AF275" s="479"/>
      <c r="AG275" s="479"/>
      <c r="AH275" s="479"/>
      <c r="AI275" s="479"/>
      <c r="AJ275" s="479"/>
      <c r="AK275" s="479"/>
      <c r="AL275" s="479"/>
      <c r="AM275" s="479"/>
      <c r="AN275" s="479"/>
      <c r="AO275" s="479"/>
      <c r="AP275" s="479"/>
      <c r="AQ275" s="479"/>
      <c r="AR275" s="479"/>
      <c r="AS275" s="479"/>
      <c r="AT275" s="479"/>
      <c r="AU275" s="479"/>
    </row>
    <row r="276" spans="1:47">
      <c r="A276" s="479"/>
      <c r="B276" s="479"/>
      <c r="C276" s="479"/>
      <c r="D276" s="479"/>
      <c r="E276" s="479"/>
      <c r="F276" s="479"/>
      <c r="G276" s="479"/>
      <c r="H276" s="479"/>
      <c r="I276" s="479"/>
      <c r="J276" s="479"/>
      <c r="K276" s="479"/>
      <c r="L276" s="479"/>
      <c r="M276" s="479"/>
      <c r="N276" s="479"/>
      <c r="O276" s="479"/>
      <c r="P276" s="479"/>
      <c r="Q276" s="1320">
        <v>12</v>
      </c>
      <c r="R276" s="479"/>
      <c r="S276" s="485" t="s">
        <v>1204</v>
      </c>
      <c r="T276" s="479"/>
      <c r="U276" s="499">
        <f>SUM(U273:U275)</f>
        <v>0</v>
      </c>
      <c r="V276" s="501"/>
      <c r="W276" s="499">
        <f>SUM(W273:W275)</f>
        <v>-8833523</v>
      </c>
      <c r="X276" s="501"/>
      <c r="Y276" s="499">
        <f>SUM(Y274:Y275)</f>
        <v>-1777</v>
      </c>
      <c r="Z276" s="501"/>
      <c r="AA276" s="499">
        <f>SUM(AA273:AA275)</f>
        <v>0</v>
      </c>
      <c r="AB276" s="501"/>
      <c r="AC276" s="499">
        <f>SUM(AC273:AC275)</f>
        <v>0</v>
      </c>
      <c r="AD276" s="501"/>
      <c r="AE276" s="499">
        <f>SUM(AE273:AE274)</f>
        <v>0</v>
      </c>
      <c r="AF276" s="479"/>
      <c r="AG276" s="479"/>
      <c r="AH276" s="479"/>
      <c r="AI276" s="479"/>
      <c r="AJ276" s="479"/>
      <c r="AK276" s="479"/>
      <c r="AL276" s="479"/>
      <c r="AM276" s="479"/>
      <c r="AN276" s="479"/>
      <c r="AO276" s="479"/>
      <c r="AP276" s="479"/>
      <c r="AQ276" s="479"/>
      <c r="AR276" s="479"/>
      <c r="AS276" s="479"/>
      <c r="AT276" s="479"/>
      <c r="AU276" s="479"/>
    </row>
    <row r="277" spans="1:47">
      <c r="A277" s="479"/>
      <c r="B277" s="479"/>
      <c r="C277" s="479"/>
      <c r="D277" s="479"/>
      <c r="E277" s="479"/>
      <c r="F277" s="479"/>
      <c r="G277" s="479"/>
      <c r="H277" s="479"/>
      <c r="I277" s="479"/>
      <c r="J277" s="479"/>
      <c r="K277" s="479"/>
      <c r="L277" s="479"/>
      <c r="M277" s="479"/>
      <c r="N277" s="479"/>
      <c r="O277" s="479"/>
      <c r="P277" s="479"/>
      <c r="Q277" s="1320">
        <v>13</v>
      </c>
      <c r="R277" s="479"/>
      <c r="S277" s="479"/>
      <c r="T277" s="479"/>
      <c r="U277" s="498"/>
      <c r="V277" s="498"/>
      <c r="W277" s="498"/>
      <c r="X277" s="498"/>
      <c r="Y277" s="498"/>
      <c r="Z277" s="498"/>
      <c r="AA277" s="498"/>
      <c r="AB277" s="498"/>
      <c r="AC277" s="498"/>
      <c r="AD277" s="512"/>
      <c r="AE277" s="498"/>
      <c r="AF277" s="479"/>
      <c r="AG277" s="479"/>
      <c r="AH277" s="479"/>
      <c r="AI277" s="479"/>
      <c r="AJ277" s="479"/>
      <c r="AK277" s="479"/>
      <c r="AL277" s="479"/>
      <c r="AM277" s="479"/>
      <c r="AN277" s="479"/>
      <c r="AO277" s="479"/>
      <c r="AP277" s="479"/>
      <c r="AQ277" s="479"/>
      <c r="AR277" s="479"/>
      <c r="AS277" s="479"/>
      <c r="AT277" s="479"/>
      <c r="AU277" s="479"/>
    </row>
    <row r="278" spans="1:47">
      <c r="A278" s="479"/>
      <c r="B278" s="479"/>
      <c r="C278" s="479"/>
      <c r="D278" s="479"/>
      <c r="E278" s="479"/>
      <c r="F278" s="479"/>
      <c r="G278" s="479"/>
      <c r="H278" s="479"/>
      <c r="I278" s="479"/>
      <c r="J278" s="479"/>
      <c r="K278" s="479"/>
      <c r="L278" s="479"/>
      <c r="M278" s="479"/>
      <c r="N278" s="479"/>
      <c r="O278" s="479"/>
      <c r="P278" s="479"/>
      <c r="Q278" s="1320">
        <v>14</v>
      </c>
      <c r="R278" s="479"/>
      <c r="S278" s="485" t="s">
        <v>198</v>
      </c>
      <c r="T278" s="479"/>
      <c r="U278" s="498"/>
      <c r="V278" s="498"/>
      <c r="W278" s="498"/>
      <c r="X278" s="498"/>
      <c r="Y278" s="496"/>
      <c r="Z278" s="498"/>
      <c r="AA278" s="498"/>
      <c r="AB278" s="498"/>
      <c r="AC278" s="498"/>
      <c r="AD278" s="512"/>
      <c r="AE278" s="498"/>
      <c r="AF278" s="479"/>
      <c r="AG278" s="479"/>
      <c r="AH278" s="479"/>
      <c r="AI278" s="479"/>
      <c r="AJ278" s="479"/>
      <c r="AK278" s="479"/>
      <c r="AL278" s="479"/>
      <c r="AM278" s="479"/>
      <c r="AN278" s="479"/>
      <c r="AO278" s="479"/>
      <c r="AP278" s="479"/>
      <c r="AQ278" s="479"/>
      <c r="AR278" s="479"/>
      <c r="AS278" s="479"/>
      <c r="AT278" s="479"/>
      <c r="AU278" s="479"/>
    </row>
    <row r="279" spans="1:47">
      <c r="A279" s="479"/>
      <c r="B279" s="479"/>
      <c r="C279" s="479"/>
      <c r="D279" s="479"/>
      <c r="E279" s="479"/>
      <c r="F279" s="479"/>
      <c r="G279" s="479"/>
      <c r="H279" s="479"/>
      <c r="I279" s="479"/>
      <c r="J279" s="479"/>
      <c r="K279" s="479"/>
      <c r="L279" s="479"/>
      <c r="M279" s="479"/>
      <c r="N279" s="479"/>
      <c r="O279" s="479"/>
      <c r="P279" s="479"/>
      <c r="Q279" s="1320">
        <v>15</v>
      </c>
      <c r="R279" s="479"/>
      <c r="S279" s="485" t="s">
        <v>2253</v>
      </c>
      <c r="T279" s="479"/>
      <c r="U279" s="498"/>
      <c r="V279" s="498"/>
      <c r="W279" s="498"/>
      <c r="X279" s="498"/>
      <c r="Y279" s="496"/>
      <c r="Z279" s="498"/>
      <c r="AA279" s="498"/>
      <c r="AB279" s="498"/>
      <c r="AC279" s="498"/>
      <c r="AD279" s="512"/>
      <c r="AE279" s="498"/>
      <c r="AF279" s="479"/>
      <c r="AG279" s="479"/>
      <c r="AH279" s="479"/>
      <c r="AI279" s="479"/>
      <c r="AJ279" s="479"/>
      <c r="AK279" s="479"/>
      <c r="AL279" s="479"/>
      <c r="AM279" s="479"/>
      <c r="AN279" s="479"/>
      <c r="AO279" s="479"/>
      <c r="AP279" s="479"/>
      <c r="AQ279" s="479"/>
      <c r="AR279" s="479"/>
      <c r="AS279" s="479"/>
      <c r="AT279" s="479"/>
      <c r="AU279" s="479"/>
    </row>
    <row r="280" spans="1:47">
      <c r="A280" s="479"/>
      <c r="B280" s="479"/>
      <c r="C280" s="479"/>
      <c r="D280" s="479"/>
      <c r="E280" s="479"/>
      <c r="F280" s="479"/>
      <c r="G280" s="479"/>
      <c r="H280" s="479"/>
      <c r="I280" s="479"/>
      <c r="J280" s="479"/>
      <c r="K280" s="479"/>
      <c r="L280" s="479"/>
      <c r="M280" s="479"/>
      <c r="N280" s="479"/>
      <c r="O280" s="479"/>
      <c r="P280" s="479"/>
      <c r="Q280" s="1320">
        <v>16</v>
      </c>
      <c r="R280" s="479"/>
      <c r="S280" s="485" t="s">
        <v>258</v>
      </c>
      <c r="T280" s="479"/>
      <c r="U280" s="496"/>
      <c r="V280" s="496"/>
      <c r="W280" s="496"/>
      <c r="X280" s="496"/>
      <c r="Y280" s="496"/>
      <c r="Z280" s="496"/>
      <c r="AA280" s="496"/>
      <c r="AB280" s="496"/>
      <c r="AC280" s="496"/>
      <c r="AD280" s="501"/>
      <c r="AE280" s="496"/>
      <c r="AF280" s="479"/>
      <c r="AG280" s="479"/>
      <c r="AH280" s="479"/>
      <c r="AI280" s="479"/>
      <c r="AJ280" s="479"/>
      <c r="AK280" s="479"/>
      <c r="AL280" s="479"/>
      <c r="AM280" s="479"/>
      <c r="AN280" s="479"/>
      <c r="AO280" s="479"/>
      <c r="AP280" s="479"/>
      <c r="AQ280" s="479"/>
      <c r="AR280" s="479"/>
      <c r="AS280" s="479"/>
      <c r="AT280" s="479"/>
      <c r="AU280" s="479"/>
    </row>
    <row r="281" spans="1:47">
      <c r="A281" s="479"/>
      <c r="B281" s="479"/>
      <c r="C281" s="479"/>
      <c r="D281" s="479"/>
      <c r="E281" s="479"/>
      <c r="F281" s="479"/>
      <c r="G281" s="479"/>
      <c r="H281" s="479"/>
      <c r="I281" s="479"/>
      <c r="J281" s="479"/>
      <c r="K281" s="479"/>
      <c r="L281" s="479"/>
      <c r="M281" s="479"/>
      <c r="N281" s="479"/>
      <c r="O281" s="479"/>
      <c r="P281" s="479"/>
      <c r="Q281" s="1320">
        <v>17</v>
      </c>
      <c r="R281" s="479"/>
      <c r="S281" s="485" t="s">
        <v>259</v>
      </c>
      <c r="T281" s="479"/>
      <c r="U281" s="496"/>
      <c r="V281" s="496"/>
      <c r="W281" s="496">
        <f>SCH_D2.22!G30</f>
        <v>-3838</v>
      </c>
      <c r="X281" s="496"/>
      <c r="Y281" s="496">
        <f>SCH_D2.23!H24</f>
        <v>-18293</v>
      </c>
      <c r="Z281" s="496"/>
      <c r="AA281" s="496"/>
      <c r="AB281" s="496"/>
      <c r="AC281" s="496"/>
      <c r="AD281" s="501"/>
      <c r="AE281" s="496">
        <f>SCH_D2.26!J24</f>
        <v>-2321137</v>
      </c>
      <c r="AF281" s="479"/>
      <c r="AG281" s="479"/>
      <c r="AH281" s="479"/>
      <c r="AI281" s="479"/>
      <c r="AJ281" s="479"/>
      <c r="AK281" s="479"/>
      <c r="AL281" s="479"/>
      <c r="AM281" s="479"/>
      <c r="AN281" s="479"/>
      <c r="AO281" s="479"/>
      <c r="AP281" s="479"/>
      <c r="AQ281" s="479"/>
      <c r="AR281" s="479"/>
      <c r="AS281" s="479"/>
      <c r="AT281" s="479"/>
      <c r="AU281" s="479"/>
    </row>
    <row r="282" spans="1:47">
      <c r="A282" s="479"/>
      <c r="B282" s="479"/>
      <c r="C282" s="479"/>
      <c r="D282" s="479"/>
      <c r="E282" s="479"/>
      <c r="F282" s="479"/>
      <c r="G282" s="479"/>
      <c r="H282" s="479"/>
      <c r="I282" s="479"/>
      <c r="J282" s="479"/>
      <c r="K282" s="479"/>
      <c r="L282" s="479"/>
      <c r="M282" s="479"/>
      <c r="N282" s="479"/>
      <c r="O282" s="479"/>
      <c r="P282" s="479"/>
      <c r="Q282" s="1320">
        <v>18</v>
      </c>
      <c r="R282" s="479"/>
      <c r="S282" s="485" t="s">
        <v>260</v>
      </c>
      <c r="T282" s="479"/>
      <c r="U282" s="496"/>
      <c r="V282" s="496"/>
      <c r="W282" s="496"/>
      <c r="X282" s="496"/>
      <c r="Y282" s="496"/>
      <c r="Z282" s="496"/>
      <c r="AA282" s="496"/>
      <c r="AB282" s="496"/>
      <c r="AC282" s="496"/>
      <c r="AD282" s="501"/>
      <c r="AE282" s="496"/>
      <c r="AF282" s="479"/>
      <c r="AG282" s="479"/>
      <c r="AH282" s="479"/>
      <c r="AI282" s="479"/>
      <c r="AJ282" s="479"/>
      <c r="AK282" s="479"/>
      <c r="AL282" s="479"/>
      <c r="AM282" s="479"/>
      <c r="AN282" s="479"/>
      <c r="AO282" s="479"/>
      <c r="AP282" s="479"/>
      <c r="AQ282" s="479"/>
      <c r="AR282" s="479"/>
      <c r="AS282" s="479"/>
      <c r="AT282" s="479"/>
      <c r="AU282" s="479"/>
    </row>
    <row r="283" spans="1:47">
      <c r="A283" s="479"/>
      <c r="B283" s="479"/>
      <c r="C283" s="479"/>
      <c r="D283" s="479"/>
      <c r="E283" s="479"/>
      <c r="F283" s="479"/>
      <c r="G283" s="479"/>
      <c r="H283" s="479"/>
      <c r="I283" s="479"/>
      <c r="J283" s="479"/>
      <c r="K283" s="479"/>
      <c r="L283" s="479"/>
      <c r="M283" s="479"/>
      <c r="N283" s="479"/>
      <c r="O283" s="479"/>
      <c r="P283" s="479"/>
      <c r="Q283" s="1320">
        <v>19</v>
      </c>
      <c r="R283" s="479"/>
      <c r="S283" s="485" t="s">
        <v>261</v>
      </c>
      <c r="T283" s="479"/>
      <c r="U283" s="496"/>
      <c r="V283" s="496"/>
      <c r="W283" s="496"/>
      <c r="X283" s="496"/>
      <c r="Y283" s="496">
        <f>SCH_D2.23!H26</f>
        <v>-122062</v>
      </c>
      <c r="Z283" s="496"/>
      <c r="AA283" s="496"/>
      <c r="AB283" s="496"/>
      <c r="AC283" s="496"/>
      <c r="AD283" s="501"/>
      <c r="AE283" s="496"/>
      <c r="AF283" s="479"/>
      <c r="AG283" s="479"/>
      <c r="AH283" s="479"/>
      <c r="AI283" s="479"/>
      <c r="AJ283" s="479"/>
      <c r="AK283" s="479"/>
      <c r="AL283" s="479"/>
      <c r="AM283" s="479"/>
      <c r="AN283" s="479"/>
      <c r="AO283" s="479"/>
      <c r="AP283" s="479"/>
      <c r="AQ283" s="479"/>
      <c r="AR283" s="479"/>
      <c r="AS283" s="479"/>
      <c r="AT283" s="479"/>
      <c r="AU283" s="479"/>
    </row>
    <row r="284" spans="1:47">
      <c r="A284" s="479"/>
      <c r="B284" s="479"/>
      <c r="C284" s="479"/>
      <c r="D284" s="479"/>
      <c r="E284" s="479"/>
      <c r="F284" s="479"/>
      <c r="G284" s="479"/>
      <c r="H284" s="479"/>
      <c r="I284" s="479"/>
      <c r="J284" s="479"/>
      <c r="K284" s="479"/>
      <c r="L284" s="479"/>
      <c r="M284" s="479"/>
      <c r="N284" s="479"/>
      <c r="O284" s="479"/>
      <c r="P284" s="479"/>
      <c r="Q284" s="1320">
        <v>20</v>
      </c>
      <c r="R284" s="479"/>
      <c r="S284" s="485" t="s">
        <v>262</v>
      </c>
      <c r="T284" s="479"/>
      <c r="U284" s="496"/>
      <c r="V284" s="496"/>
      <c r="W284" s="496">
        <f>SCH_D2.22!G31</f>
        <v>-106483</v>
      </c>
      <c r="X284" s="496"/>
      <c r="Y284" s="496">
        <f>SCH_D2.23!H28</f>
        <v>-380881</v>
      </c>
      <c r="Z284" s="496"/>
      <c r="AA284" s="496"/>
      <c r="AB284" s="496"/>
      <c r="AC284" s="496"/>
      <c r="AD284" s="501"/>
      <c r="AE284" s="496"/>
      <c r="AF284" s="479"/>
      <c r="AG284" s="479"/>
      <c r="AH284" s="479"/>
      <c r="AI284" s="479"/>
      <c r="AJ284" s="479"/>
      <c r="AK284" s="479"/>
      <c r="AL284" s="479"/>
      <c r="AM284" s="479"/>
      <c r="AN284" s="479"/>
      <c r="AO284" s="479"/>
      <c r="AP284" s="479"/>
      <c r="AQ284" s="479"/>
      <c r="AR284" s="479"/>
      <c r="AS284" s="479"/>
      <c r="AT284" s="479"/>
      <c r="AU284" s="479"/>
    </row>
    <row r="285" spans="1:47">
      <c r="A285" s="479"/>
      <c r="B285" s="479"/>
      <c r="C285" s="479"/>
      <c r="D285" s="479"/>
      <c r="E285" s="479"/>
      <c r="F285" s="479"/>
      <c r="G285" s="479"/>
      <c r="H285" s="479"/>
      <c r="I285" s="479"/>
      <c r="J285" s="479"/>
      <c r="K285" s="479"/>
      <c r="L285" s="479"/>
      <c r="M285" s="479"/>
      <c r="N285" s="479"/>
      <c r="O285" s="479"/>
      <c r="P285" s="479"/>
      <c r="Q285" s="1320">
        <v>21</v>
      </c>
      <c r="R285" s="479"/>
      <c r="S285" s="485" t="s">
        <v>1509</v>
      </c>
      <c r="T285" s="479"/>
      <c r="U285" s="496"/>
      <c r="V285" s="496"/>
      <c r="W285" s="496"/>
      <c r="X285" s="496"/>
      <c r="Y285" s="496"/>
      <c r="Z285" s="496"/>
      <c r="AA285" s="496"/>
      <c r="AB285" s="496"/>
      <c r="AC285" s="496"/>
      <c r="AD285" s="501"/>
      <c r="AE285" s="496"/>
      <c r="AF285" s="479"/>
      <c r="AG285" s="479"/>
      <c r="AH285" s="479"/>
      <c r="AI285" s="479"/>
      <c r="AJ285" s="479"/>
      <c r="AK285" s="479"/>
      <c r="AL285" s="479"/>
      <c r="AM285" s="479"/>
      <c r="AN285" s="479"/>
      <c r="AO285" s="479"/>
      <c r="AP285" s="479"/>
      <c r="AQ285" s="479"/>
      <c r="AR285" s="479"/>
      <c r="AS285" s="479"/>
      <c r="AT285" s="479"/>
      <c r="AU285" s="479"/>
    </row>
    <row r="286" spans="1:47">
      <c r="A286" s="479"/>
      <c r="B286" s="479"/>
      <c r="C286" s="479"/>
      <c r="D286" s="479"/>
      <c r="E286" s="479"/>
      <c r="F286" s="479"/>
      <c r="G286" s="479"/>
      <c r="H286" s="479"/>
      <c r="I286" s="479"/>
      <c r="J286" s="479"/>
      <c r="K286" s="479"/>
      <c r="L286" s="479"/>
      <c r="M286" s="479"/>
      <c r="N286" s="479"/>
      <c r="O286" s="479"/>
      <c r="P286" s="479"/>
      <c r="Q286" s="1320">
        <v>22</v>
      </c>
      <c r="R286" s="479"/>
      <c r="S286" s="485" t="s">
        <v>1838</v>
      </c>
      <c r="T286" s="479"/>
      <c r="U286" s="497">
        <f>U276+SUM(U278:U285)</f>
        <v>0</v>
      </c>
      <c r="V286" s="496"/>
      <c r="W286" s="497">
        <f>W276+SUM(W278:W285)</f>
        <v>-8943844</v>
      </c>
      <c r="X286" s="496"/>
      <c r="Y286" s="497">
        <f>Y276+SUM(Y278:Y285)</f>
        <v>-523013</v>
      </c>
      <c r="Z286" s="496"/>
      <c r="AA286" s="497">
        <f>AA276+SUM(AA278:AA285)</f>
        <v>0</v>
      </c>
      <c r="AB286" s="496"/>
      <c r="AC286" s="497">
        <f>AC276+SUM(AC278:AC285)</f>
        <v>0</v>
      </c>
      <c r="AD286" s="501"/>
      <c r="AE286" s="497">
        <f>AE276+SUM(AE278:AE285)</f>
        <v>-2321137</v>
      </c>
      <c r="AF286" s="479"/>
      <c r="AG286" s="479"/>
      <c r="AH286" s="479"/>
      <c r="AI286" s="479"/>
      <c r="AJ286" s="479"/>
      <c r="AK286" s="479"/>
      <c r="AL286" s="479"/>
      <c r="AM286" s="479"/>
      <c r="AN286" s="479"/>
      <c r="AO286" s="479"/>
      <c r="AP286" s="479"/>
      <c r="AQ286" s="479"/>
      <c r="AR286" s="479"/>
      <c r="AS286" s="479"/>
      <c r="AT286" s="479"/>
      <c r="AU286" s="479"/>
    </row>
    <row r="287" spans="1:47">
      <c r="A287" s="479"/>
      <c r="B287" s="479"/>
      <c r="C287" s="479"/>
      <c r="D287" s="479"/>
      <c r="E287" s="479"/>
      <c r="F287" s="479"/>
      <c r="G287" s="479"/>
      <c r="H287" s="479"/>
      <c r="I287" s="479"/>
      <c r="J287" s="479"/>
      <c r="K287" s="479"/>
      <c r="L287" s="479"/>
      <c r="M287" s="479"/>
      <c r="N287" s="479"/>
      <c r="O287" s="479"/>
      <c r="P287" s="479"/>
      <c r="Q287" s="1320">
        <v>23</v>
      </c>
      <c r="R287" s="479"/>
      <c r="S287" s="479"/>
      <c r="T287" s="479"/>
      <c r="U287" s="498"/>
      <c r="V287" s="498"/>
      <c r="W287" s="498"/>
      <c r="X287" s="498"/>
      <c r="Y287" s="498"/>
      <c r="Z287" s="498"/>
      <c r="AA287" s="498"/>
      <c r="AB287" s="498"/>
      <c r="AC287" s="498"/>
      <c r="AD287" s="512"/>
      <c r="AE287" s="498"/>
      <c r="AF287" s="479"/>
      <c r="AG287" s="479"/>
      <c r="AH287" s="479"/>
      <c r="AI287" s="479"/>
      <c r="AJ287" s="479"/>
      <c r="AK287" s="479"/>
      <c r="AL287" s="479"/>
      <c r="AM287" s="479"/>
      <c r="AN287" s="479"/>
      <c r="AO287" s="479"/>
      <c r="AP287" s="479"/>
      <c r="AQ287" s="479"/>
      <c r="AR287" s="479"/>
      <c r="AS287" s="479"/>
      <c r="AT287" s="479"/>
      <c r="AU287" s="479"/>
    </row>
    <row r="288" spans="1:47">
      <c r="A288" s="479"/>
      <c r="B288" s="479"/>
      <c r="C288" s="479"/>
      <c r="D288" s="479"/>
      <c r="E288" s="479"/>
      <c r="F288" s="479"/>
      <c r="G288" s="479"/>
      <c r="H288" s="479"/>
      <c r="I288" s="479"/>
      <c r="J288" s="479"/>
      <c r="K288" s="479"/>
      <c r="L288" s="479"/>
      <c r="M288" s="479"/>
      <c r="N288" s="479"/>
      <c r="O288" s="479"/>
      <c r="P288" s="479"/>
      <c r="Q288" s="1320">
        <v>24</v>
      </c>
      <c r="R288" s="479"/>
      <c r="S288" s="485" t="s">
        <v>805</v>
      </c>
      <c r="T288" s="479"/>
      <c r="U288" s="502">
        <f>SCH_D2.21!H24</f>
        <v>490618</v>
      </c>
      <c r="V288" s="496"/>
      <c r="W288" s="502"/>
      <c r="X288" s="496"/>
      <c r="Y288" s="502"/>
      <c r="Z288" s="496"/>
      <c r="AA288" s="502">
        <f ca="1">SCH_D2.24!J27</f>
        <v>5936434</v>
      </c>
      <c r="AB288" s="496"/>
      <c r="AC288" s="502"/>
      <c r="AD288" s="501"/>
      <c r="AE288" s="502"/>
      <c r="AF288" s="479"/>
      <c r="AG288" s="479"/>
      <c r="AH288" s="479"/>
      <c r="AI288" s="479"/>
      <c r="AJ288" s="479"/>
      <c r="AK288" s="479"/>
      <c r="AL288" s="479"/>
      <c r="AM288" s="479"/>
      <c r="AN288" s="479"/>
      <c r="AO288" s="479"/>
      <c r="AP288" s="479"/>
      <c r="AQ288" s="479"/>
      <c r="AR288" s="479"/>
      <c r="AS288" s="479"/>
      <c r="AT288" s="479"/>
      <c r="AU288" s="479"/>
    </row>
    <row r="289" spans="1:47">
      <c r="A289" s="479"/>
      <c r="B289" s="479"/>
      <c r="C289" s="479"/>
      <c r="D289" s="479"/>
      <c r="E289" s="479"/>
      <c r="F289" s="479"/>
      <c r="G289" s="479"/>
      <c r="H289" s="479"/>
      <c r="I289" s="479"/>
      <c r="J289" s="479"/>
      <c r="K289" s="479"/>
      <c r="L289" s="479"/>
      <c r="M289" s="479"/>
      <c r="N289" s="479"/>
      <c r="O289" s="479"/>
      <c r="P289" s="479"/>
      <c r="Q289" s="1320">
        <v>25</v>
      </c>
      <c r="R289" s="479"/>
      <c r="S289" s="479"/>
      <c r="T289" s="479"/>
      <c r="U289" s="498"/>
      <c r="V289" s="498"/>
      <c r="W289" s="498"/>
      <c r="X289" s="498"/>
      <c r="Y289" s="498"/>
      <c r="Z289" s="498"/>
      <c r="AA289" s="498"/>
      <c r="AB289" s="498"/>
      <c r="AC289" s="498"/>
      <c r="AD289" s="512"/>
      <c r="AE289" s="498"/>
      <c r="AF289" s="479"/>
      <c r="AG289" s="479"/>
      <c r="AH289" s="479"/>
      <c r="AI289" s="479"/>
      <c r="AJ289" s="479"/>
      <c r="AK289" s="479"/>
      <c r="AL289" s="479"/>
      <c r="AM289" s="479"/>
      <c r="AN289" s="479"/>
      <c r="AO289" s="479"/>
      <c r="AP289" s="479"/>
      <c r="AQ289" s="479"/>
      <c r="AR289" s="479"/>
      <c r="AS289" s="479"/>
      <c r="AT289" s="479"/>
      <c r="AU289" s="479"/>
    </row>
    <row r="290" spans="1:47">
      <c r="A290" s="479"/>
      <c r="B290" s="479"/>
      <c r="C290" s="479"/>
      <c r="D290" s="479"/>
      <c r="E290" s="479"/>
      <c r="F290" s="479"/>
      <c r="G290" s="479"/>
      <c r="H290" s="479"/>
      <c r="I290" s="479"/>
      <c r="J290" s="479"/>
      <c r="K290" s="479"/>
      <c r="L290" s="479"/>
      <c r="M290" s="479"/>
      <c r="N290" s="479"/>
      <c r="O290" s="479"/>
      <c r="P290" s="479"/>
      <c r="Q290" s="1320">
        <v>26</v>
      </c>
      <c r="R290" s="479"/>
      <c r="S290" s="485" t="s">
        <v>1932</v>
      </c>
      <c r="T290" s="479"/>
      <c r="U290" s="479"/>
      <c r="V290" s="479"/>
      <c r="W290" s="479"/>
      <c r="X290" s="479"/>
      <c r="Y290" s="479"/>
      <c r="Z290" s="479"/>
      <c r="AA290" s="479"/>
      <c r="AB290" s="479"/>
      <c r="AC290" s="479"/>
      <c r="AD290" s="500"/>
      <c r="AE290" s="479"/>
      <c r="AF290" s="479"/>
      <c r="AG290" s="479"/>
      <c r="AH290" s="479"/>
      <c r="AI290" s="479"/>
      <c r="AJ290" s="479"/>
      <c r="AK290" s="479"/>
      <c r="AL290" s="479"/>
      <c r="AM290" s="479"/>
      <c r="AN290" s="479"/>
      <c r="AO290" s="479"/>
      <c r="AP290" s="479"/>
      <c r="AQ290" s="479"/>
      <c r="AR290" s="479"/>
      <c r="AS290" s="479"/>
      <c r="AT290" s="479"/>
      <c r="AU290" s="479"/>
    </row>
    <row r="291" spans="1:47">
      <c r="A291" s="479"/>
      <c r="B291" s="479"/>
      <c r="C291" s="479"/>
      <c r="D291" s="479"/>
      <c r="E291" s="479"/>
      <c r="F291" s="479"/>
      <c r="G291" s="479"/>
      <c r="H291" s="479"/>
      <c r="I291" s="479"/>
      <c r="J291" s="479"/>
      <c r="K291" s="479"/>
      <c r="L291" s="479"/>
      <c r="M291" s="479"/>
      <c r="N291" s="479"/>
      <c r="O291" s="479"/>
      <c r="P291" s="479"/>
      <c r="Q291" s="1320">
        <v>27</v>
      </c>
      <c r="R291" s="479"/>
      <c r="S291" s="485" t="s">
        <v>1210</v>
      </c>
      <c r="T291" s="479"/>
      <c r="U291" s="496"/>
      <c r="V291" s="496"/>
      <c r="W291" s="496"/>
      <c r="X291" s="496"/>
      <c r="Y291" s="496"/>
      <c r="Z291" s="496"/>
      <c r="AA291" s="496"/>
      <c r="AB291" s="496"/>
      <c r="AC291" s="496"/>
      <c r="AD291" s="501"/>
      <c r="AE291" s="496"/>
      <c r="AF291" s="479"/>
      <c r="AG291" s="479"/>
      <c r="AH291" s="479"/>
      <c r="AI291" s="479"/>
      <c r="AJ291" s="479"/>
      <c r="AK291" s="479"/>
      <c r="AL291" s="479"/>
      <c r="AM291" s="479"/>
      <c r="AN291" s="479"/>
      <c r="AO291" s="479"/>
      <c r="AP291" s="479"/>
      <c r="AQ291" s="479"/>
      <c r="AR291" s="479"/>
      <c r="AS291" s="479"/>
      <c r="AT291" s="479"/>
      <c r="AU291" s="479"/>
    </row>
    <row r="292" spans="1:47">
      <c r="A292" s="479"/>
      <c r="B292" s="479"/>
      <c r="C292" s="479"/>
      <c r="D292" s="479"/>
      <c r="E292" s="479"/>
      <c r="F292" s="479"/>
      <c r="G292" s="479"/>
      <c r="H292" s="479"/>
      <c r="I292" s="479"/>
      <c r="J292" s="479"/>
      <c r="K292" s="479"/>
      <c r="L292" s="479"/>
      <c r="M292" s="479"/>
      <c r="N292" s="479"/>
      <c r="O292" s="479"/>
      <c r="P292" s="479"/>
      <c r="Q292" s="1320">
        <v>28</v>
      </c>
      <c r="R292" s="479"/>
      <c r="S292" s="485" t="s">
        <v>1212</v>
      </c>
      <c r="T292" s="479"/>
      <c r="U292" s="496"/>
      <c r="V292" s="496"/>
      <c r="W292" s="496">
        <f>SCH_D2.22!G32</f>
        <v>-34680</v>
      </c>
      <c r="X292" s="496"/>
      <c r="Y292" s="496">
        <f>SCH_D2.23!H27</f>
        <v>-16879</v>
      </c>
      <c r="Z292" s="496"/>
      <c r="AA292" s="496"/>
      <c r="AB292" s="496"/>
      <c r="AC292" s="496"/>
      <c r="AD292" s="501"/>
      <c r="AE292" s="496"/>
      <c r="AF292" s="479"/>
      <c r="AG292" s="479"/>
      <c r="AH292" s="479"/>
      <c r="AI292" s="479"/>
      <c r="AJ292" s="479"/>
      <c r="AK292" s="479"/>
      <c r="AL292" s="479"/>
      <c r="AM292" s="479"/>
      <c r="AN292" s="479"/>
      <c r="AO292" s="479"/>
      <c r="AP292" s="479"/>
      <c r="AQ292" s="479"/>
      <c r="AR292" s="479"/>
      <c r="AS292" s="479"/>
      <c r="AT292" s="479"/>
      <c r="AU292" s="479"/>
    </row>
    <row r="293" spans="1:47">
      <c r="A293" s="479"/>
      <c r="B293" s="479"/>
      <c r="C293" s="479"/>
      <c r="D293" s="479"/>
      <c r="E293" s="479"/>
      <c r="F293" s="479"/>
      <c r="G293" s="479"/>
      <c r="H293" s="479"/>
      <c r="I293" s="479"/>
      <c r="J293" s="479"/>
      <c r="K293" s="479"/>
      <c r="L293" s="479"/>
      <c r="M293" s="479"/>
      <c r="N293" s="479"/>
      <c r="O293" s="479"/>
      <c r="P293" s="479"/>
      <c r="Q293" s="1320">
        <v>29</v>
      </c>
      <c r="R293" s="479"/>
      <c r="S293" s="485" t="s">
        <v>1842</v>
      </c>
      <c r="T293" s="479"/>
      <c r="U293" s="497">
        <f>SUM(U291:U292)</f>
        <v>0</v>
      </c>
      <c r="V293" s="496"/>
      <c r="W293" s="497">
        <f>SUM(W291:W292)</f>
        <v>-34680</v>
      </c>
      <c r="X293" s="496"/>
      <c r="Y293" s="497">
        <f>SUM(Y291:Y292)</f>
        <v>-16879</v>
      </c>
      <c r="Z293" s="496"/>
      <c r="AA293" s="497">
        <f>SUM(AA291:AA292)</f>
        <v>0</v>
      </c>
      <c r="AB293" s="496"/>
      <c r="AC293" s="497">
        <f>SUM(AC291:AC292)</f>
        <v>0</v>
      </c>
      <c r="AD293" s="501"/>
      <c r="AE293" s="497">
        <f>SUM(AE291:AE292)</f>
        <v>0</v>
      </c>
      <c r="AF293" s="479"/>
      <c r="AG293" s="479"/>
      <c r="AH293" s="479"/>
      <c r="AI293" s="479"/>
      <c r="AJ293" s="479"/>
      <c r="AK293" s="479"/>
      <c r="AL293" s="479"/>
      <c r="AM293" s="479"/>
      <c r="AN293" s="479"/>
      <c r="AO293" s="479"/>
      <c r="AP293" s="479"/>
      <c r="AQ293" s="479"/>
      <c r="AR293" s="479"/>
      <c r="AS293" s="479"/>
      <c r="AT293" s="479"/>
      <c r="AU293" s="479"/>
    </row>
    <row r="294" spans="1:47">
      <c r="A294" s="479"/>
      <c r="B294" s="479"/>
      <c r="C294" s="479"/>
      <c r="D294" s="479"/>
      <c r="E294" s="479"/>
      <c r="F294" s="479"/>
      <c r="G294" s="479"/>
      <c r="H294" s="479"/>
      <c r="I294" s="479"/>
      <c r="J294" s="479"/>
      <c r="K294" s="479"/>
      <c r="L294" s="479"/>
      <c r="M294" s="479"/>
      <c r="N294" s="479"/>
      <c r="O294" s="479"/>
      <c r="P294" s="479"/>
      <c r="Q294" s="1320">
        <v>30</v>
      </c>
      <c r="R294" s="479"/>
      <c r="S294" s="485"/>
      <c r="T294" s="479"/>
      <c r="U294" s="498"/>
      <c r="V294" s="498"/>
      <c r="W294" s="498"/>
      <c r="X294" s="496"/>
      <c r="Y294" s="501"/>
      <c r="Z294" s="496"/>
      <c r="AA294" s="501"/>
      <c r="AB294" s="496"/>
      <c r="AC294" s="501"/>
      <c r="AD294" s="501"/>
      <c r="AE294" s="501"/>
      <c r="AF294" s="479"/>
      <c r="AG294" s="479"/>
      <c r="AH294" s="479"/>
      <c r="AI294" s="479"/>
      <c r="AJ294" s="479"/>
      <c r="AK294" s="479"/>
      <c r="AL294" s="479"/>
      <c r="AM294" s="479"/>
      <c r="AN294" s="479"/>
      <c r="AO294" s="479"/>
      <c r="AP294" s="479"/>
      <c r="AQ294" s="479"/>
      <c r="AR294" s="479"/>
      <c r="AS294" s="479"/>
      <c r="AT294" s="479"/>
      <c r="AU294" s="479"/>
    </row>
    <row r="295" spans="1:47">
      <c r="A295" s="479"/>
      <c r="B295" s="479"/>
      <c r="C295" s="479"/>
      <c r="D295" s="479"/>
      <c r="E295" s="479"/>
      <c r="F295" s="479"/>
      <c r="G295" s="479"/>
      <c r="H295" s="479"/>
      <c r="I295" s="479"/>
      <c r="J295" s="479"/>
      <c r="K295" s="479"/>
      <c r="L295" s="479"/>
      <c r="M295" s="479"/>
      <c r="N295" s="479"/>
      <c r="O295" s="479"/>
      <c r="P295" s="479"/>
      <c r="Q295" s="1320">
        <v>31</v>
      </c>
      <c r="R295" s="479"/>
      <c r="S295" s="485" t="s">
        <v>1843</v>
      </c>
      <c r="T295" s="479"/>
      <c r="U295" s="479"/>
      <c r="V295" s="479"/>
      <c r="W295" s="479"/>
      <c r="X295" s="479"/>
      <c r="Y295" s="479"/>
      <c r="Z295" s="479"/>
      <c r="AA295" s="479"/>
      <c r="AB295" s="479"/>
      <c r="AC295" s="479"/>
      <c r="AD295" s="500"/>
      <c r="AE295" s="479"/>
      <c r="AF295" s="479"/>
      <c r="AG295" s="479"/>
      <c r="AH295" s="479"/>
      <c r="AI295" s="479"/>
      <c r="AJ295" s="479"/>
      <c r="AK295" s="479"/>
      <c r="AL295" s="479"/>
      <c r="AM295" s="479"/>
      <c r="AN295" s="479"/>
      <c r="AO295" s="479"/>
      <c r="AP295" s="479"/>
      <c r="AQ295" s="479"/>
      <c r="AR295" s="479"/>
      <c r="AS295" s="479"/>
      <c r="AT295" s="479"/>
      <c r="AU295" s="479"/>
    </row>
    <row r="296" spans="1:47">
      <c r="A296" s="479"/>
      <c r="B296" s="479"/>
      <c r="C296" s="479"/>
      <c r="D296" s="479"/>
      <c r="E296" s="479"/>
      <c r="F296" s="479"/>
      <c r="G296" s="479"/>
      <c r="H296" s="479"/>
      <c r="I296" s="479"/>
      <c r="J296" s="479"/>
      <c r="K296" s="479"/>
      <c r="L296" s="479"/>
      <c r="M296" s="479"/>
      <c r="N296" s="479"/>
      <c r="O296" s="479"/>
      <c r="P296" s="479"/>
      <c r="Q296" s="1320">
        <v>32</v>
      </c>
      <c r="R296" s="479"/>
      <c r="S296" s="485" t="s">
        <v>910</v>
      </c>
      <c r="T296" s="479"/>
      <c r="V296" s="496"/>
      <c r="W296" s="496">
        <f>ROUND((W269-W286-W288-W293)*SIT*APPORT,0)</f>
        <v>-12047</v>
      </c>
      <c r="X296" s="496"/>
      <c r="Y296" s="496">
        <f>ROUND((Y269-Y286-Y288-Y293)*SIT*APPORT,0)</f>
        <v>28858</v>
      </c>
      <c r="Z296" s="496"/>
      <c r="AA296" s="515">
        <v>0</v>
      </c>
      <c r="AB296" s="496"/>
      <c r="AC296" s="496">
        <f>ROUND((AC269-AC286-AC288-AC293)*SIT*APPORT,0)</f>
        <v>174172</v>
      </c>
      <c r="AD296" s="501"/>
      <c r="AE296" s="496">
        <f>ROUND((AE269-AE286-AE288-AE293)*SIT*APPORT,0)</f>
        <v>124069</v>
      </c>
      <c r="AF296" s="479"/>
      <c r="AG296" s="479"/>
      <c r="AH296" s="479"/>
      <c r="AI296" s="479"/>
      <c r="AJ296" s="479"/>
      <c r="AK296" s="479"/>
      <c r="AL296" s="479"/>
      <c r="AM296" s="479"/>
      <c r="AN296" s="479"/>
      <c r="AO296" s="479"/>
      <c r="AP296" s="479"/>
      <c r="AQ296" s="479"/>
      <c r="AR296" s="479"/>
      <c r="AS296" s="479"/>
      <c r="AT296" s="479"/>
      <c r="AU296" s="479"/>
    </row>
    <row r="297" spans="1:47">
      <c r="A297" s="479"/>
      <c r="B297" s="479"/>
      <c r="C297" s="479"/>
      <c r="D297" s="479"/>
      <c r="E297" s="479"/>
      <c r="F297" s="479"/>
      <c r="G297" s="479"/>
      <c r="H297" s="479"/>
      <c r="I297" s="479"/>
      <c r="J297" s="479"/>
      <c r="K297" s="479"/>
      <c r="L297" s="479"/>
      <c r="M297" s="479"/>
      <c r="N297" s="479"/>
      <c r="O297" s="479"/>
      <c r="P297" s="479"/>
      <c r="Q297" s="1320">
        <v>33</v>
      </c>
      <c r="R297" s="479"/>
      <c r="S297" s="485" t="s">
        <v>1800</v>
      </c>
      <c r="T297" s="479"/>
      <c r="U297" s="496">
        <f>ROUND((U269-U286-U288-U293)*SIT*APPORT,0)</f>
        <v>-26225</v>
      </c>
      <c r="V297" s="496"/>
      <c r="W297" s="496"/>
      <c r="X297" s="496"/>
      <c r="Y297" s="496"/>
      <c r="Z297" s="496"/>
      <c r="AA297" s="496">
        <f ca="1">ROUND((AA269-AA286-AA288-AA293)*SIT*APPORT,0)</f>
        <v>-317314</v>
      </c>
      <c r="AB297" s="496"/>
      <c r="AC297" s="496"/>
      <c r="AD297" s="501"/>
      <c r="AE297" s="496"/>
      <c r="AF297" s="479"/>
      <c r="AG297" s="479"/>
      <c r="AH297" s="479"/>
      <c r="AI297" s="479"/>
      <c r="AJ297" s="479"/>
      <c r="AK297" s="479"/>
      <c r="AL297" s="479"/>
      <c r="AM297" s="479"/>
      <c r="AN297" s="479"/>
      <c r="AO297" s="479"/>
      <c r="AP297" s="479"/>
      <c r="AQ297" s="479"/>
      <c r="AR297" s="479"/>
      <c r="AS297" s="479"/>
      <c r="AT297" s="479"/>
      <c r="AU297" s="479"/>
    </row>
    <row r="298" spans="1:47">
      <c r="A298" s="479"/>
      <c r="B298" s="479"/>
      <c r="C298" s="479"/>
      <c r="D298" s="479"/>
      <c r="E298" s="479"/>
      <c r="F298" s="479"/>
      <c r="G298" s="479"/>
      <c r="H298" s="479"/>
      <c r="I298" s="479"/>
      <c r="J298" s="479"/>
      <c r="K298" s="479"/>
      <c r="L298" s="479"/>
      <c r="M298" s="479"/>
      <c r="N298" s="479"/>
      <c r="O298" s="479"/>
      <c r="P298" s="479"/>
      <c r="Q298" s="1320">
        <v>34</v>
      </c>
      <c r="R298" s="479"/>
      <c r="S298" s="485" t="s">
        <v>1848</v>
      </c>
      <c r="T298" s="479"/>
      <c r="U298" s="497">
        <f>SUM(U297:U297)</f>
        <v>-26225</v>
      </c>
      <c r="V298" s="496"/>
      <c r="W298" s="497">
        <f>SUM(W296:W297)</f>
        <v>-12047</v>
      </c>
      <c r="X298" s="496"/>
      <c r="Y298" s="497">
        <f>SUM(Y296:Y297)</f>
        <v>28858</v>
      </c>
      <c r="Z298" s="496"/>
      <c r="AA298" s="497">
        <f ca="1">SUM(AA296:AA297)</f>
        <v>-317314</v>
      </c>
      <c r="AB298" s="496"/>
      <c r="AC298" s="497">
        <f>SUM(AC296:AC297)</f>
        <v>174172</v>
      </c>
      <c r="AD298" s="501"/>
      <c r="AE298" s="497">
        <f>SUM(AE296:AE297)</f>
        <v>124069</v>
      </c>
      <c r="AF298" s="479"/>
      <c r="AG298" s="479"/>
      <c r="AH298" s="479"/>
      <c r="AI298" s="479"/>
      <c r="AJ298" s="479"/>
      <c r="AK298" s="479"/>
      <c r="AL298" s="479"/>
      <c r="AM298" s="479"/>
      <c r="AN298" s="479"/>
      <c r="AO298" s="479"/>
      <c r="AP298" s="479"/>
      <c r="AQ298" s="479"/>
      <c r="AR298" s="479"/>
      <c r="AS298" s="479"/>
      <c r="AT298" s="479"/>
      <c r="AU298" s="479"/>
    </row>
    <row r="299" spans="1:47">
      <c r="A299" s="479"/>
      <c r="B299" s="479"/>
      <c r="C299" s="479"/>
      <c r="D299" s="479"/>
      <c r="E299" s="479"/>
      <c r="F299" s="479"/>
      <c r="G299" s="479"/>
      <c r="H299" s="479"/>
      <c r="I299" s="479"/>
      <c r="J299" s="479"/>
      <c r="K299" s="479"/>
      <c r="L299" s="479"/>
      <c r="M299" s="479"/>
      <c r="N299" s="479"/>
      <c r="O299" s="479"/>
      <c r="P299" s="479"/>
      <c r="Q299" s="1320">
        <v>35</v>
      </c>
      <c r="R299" s="479"/>
      <c r="S299" s="479"/>
      <c r="T299" s="479"/>
      <c r="U299" s="498"/>
      <c r="V299" s="498"/>
      <c r="W299" s="498"/>
      <c r="X299" s="498"/>
      <c r="Y299" s="498"/>
      <c r="Z299" s="498"/>
      <c r="AA299" s="498"/>
      <c r="AB299" s="498"/>
      <c r="AC299" s="498"/>
      <c r="AD299" s="512"/>
      <c r="AE299" s="498"/>
      <c r="AF299" s="479"/>
      <c r="AG299" s="479"/>
      <c r="AH299" s="479"/>
      <c r="AI299" s="479"/>
      <c r="AJ299" s="479"/>
      <c r="AK299" s="479"/>
      <c r="AL299" s="479"/>
      <c r="AM299" s="479"/>
      <c r="AN299" s="479"/>
      <c r="AO299" s="479"/>
      <c r="AP299" s="479"/>
      <c r="AQ299" s="479"/>
      <c r="AR299" s="479"/>
      <c r="AS299" s="479"/>
      <c r="AT299" s="479"/>
      <c r="AU299" s="479"/>
    </row>
    <row r="300" spans="1:47">
      <c r="A300" s="479"/>
      <c r="B300" s="479"/>
      <c r="C300" s="479"/>
      <c r="D300" s="479"/>
      <c r="E300" s="479"/>
      <c r="F300" s="479"/>
      <c r="G300" s="479"/>
      <c r="H300" s="479"/>
      <c r="I300" s="479"/>
      <c r="J300" s="479"/>
      <c r="K300" s="479"/>
      <c r="L300" s="479"/>
      <c r="M300" s="479"/>
      <c r="N300" s="479"/>
      <c r="O300" s="479"/>
      <c r="P300" s="479"/>
      <c r="Q300" s="1320">
        <v>36</v>
      </c>
      <c r="R300" s="479"/>
      <c r="S300" s="485" t="s">
        <v>379</v>
      </c>
      <c r="T300" s="479"/>
      <c r="U300" s="479"/>
      <c r="V300" s="479"/>
      <c r="W300" s="479"/>
      <c r="X300" s="479"/>
      <c r="Y300" s="479"/>
      <c r="Z300" s="479"/>
      <c r="AA300" s="479"/>
      <c r="AB300" s="479"/>
      <c r="AC300" s="479"/>
      <c r="AD300" s="500"/>
      <c r="AE300" s="479"/>
      <c r="AF300" s="479"/>
      <c r="AG300" s="479"/>
      <c r="AH300" s="479"/>
      <c r="AI300" s="479"/>
      <c r="AJ300" s="479"/>
      <c r="AK300" s="479"/>
      <c r="AL300" s="479"/>
      <c r="AM300" s="479"/>
      <c r="AN300" s="479"/>
      <c r="AO300" s="479"/>
      <c r="AP300" s="479"/>
      <c r="AQ300" s="479"/>
      <c r="AR300" s="479"/>
      <c r="AS300" s="479"/>
      <c r="AT300" s="479"/>
      <c r="AU300" s="479"/>
    </row>
    <row r="301" spans="1:47">
      <c r="A301" s="479"/>
      <c r="B301" s="479"/>
      <c r="C301" s="479"/>
      <c r="D301" s="479"/>
      <c r="E301" s="479"/>
      <c r="F301" s="479"/>
      <c r="G301" s="479"/>
      <c r="H301" s="479"/>
      <c r="I301" s="479"/>
      <c r="J301" s="479"/>
      <c r="K301" s="479"/>
      <c r="L301" s="479"/>
      <c r="M301" s="479"/>
      <c r="N301" s="479"/>
      <c r="O301" s="479"/>
      <c r="P301" s="479"/>
      <c r="Q301" s="1320">
        <v>37</v>
      </c>
      <c r="R301" s="479"/>
      <c r="S301" s="485" t="s">
        <v>910</v>
      </c>
      <c r="T301" s="479"/>
      <c r="V301" s="496"/>
      <c r="W301" s="496">
        <f>ROUND((W269-W286-W288-W293-W296)*FIT,0)</f>
        <v>-74666</v>
      </c>
      <c r="X301" s="496"/>
      <c r="Y301" s="496">
        <f>ROUND((Y269-Y286-Y288-Y293-Y296)*FIT,0)</f>
        <v>178862</v>
      </c>
      <c r="Z301" s="496"/>
      <c r="AA301" s="515">
        <v>0</v>
      </c>
      <c r="AB301" s="496"/>
      <c r="AC301" s="496">
        <f>ROUND((AC269-AC286-AC288-AC293-AC296)*FIT,0)</f>
        <v>1079505</v>
      </c>
      <c r="AD301" s="501"/>
      <c r="AE301" s="496">
        <f>ROUND((AE269-AE286-AE288-AE293-AE296)*FIT,0)</f>
        <v>768974</v>
      </c>
      <c r="AF301" s="479"/>
      <c r="AG301" s="479"/>
      <c r="AH301" s="479"/>
      <c r="AI301" s="479"/>
      <c r="AJ301" s="479"/>
      <c r="AK301" s="479"/>
      <c r="AL301" s="479"/>
      <c r="AM301" s="479"/>
      <c r="AN301" s="479"/>
      <c r="AO301" s="479"/>
      <c r="AP301" s="479"/>
      <c r="AQ301" s="479"/>
      <c r="AR301" s="479"/>
      <c r="AS301" s="479"/>
      <c r="AT301" s="479"/>
      <c r="AU301" s="479"/>
    </row>
    <row r="302" spans="1:47">
      <c r="A302" s="479"/>
      <c r="B302" s="479"/>
      <c r="C302" s="479"/>
      <c r="D302" s="479"/>
      <c r="E302" s="479"/>
      <c r="F302" s="479"/>
      <c r="G302" s="479"/>
      <c r="H302" s="479"/>
      <c r="I302" s="479"/>
      <c r="J302" s="479"/>
      <c r="K302" s="479"/>
      <c r="L302" s="479"/>
      <c r="M302" s="479"/>
      <c r="N302" s="479"/>
      <c r="O302" s="479"/>
      <c r="P302" s="479"/>
      <c r="Q302" s="1320">
        <v>38</v>
      </c>
      <c r="R302" s="479"/>
      <c r="S302" s="485" t="s">
        <v>1800</v>
      </c>
      <c r="T302" s="479"/>
      <c r="U302" s="496">
        <f>ROUND((U269-U286-U288-U293-U297)*FIT,0)</f>
        <v>-162538</v>
      </c>
      <c r="V302" s="496"/>
      <c r="W302" s="496"/>
      <c r="X302" s="496"/>
      <c r="Y302" s="496"/>
      <c r="Z302" s="496"/>
      <c r="AA302" s="496">
        <f ca="1">ROUND((AA269-AA286-AA288-AA293-AA297)*FIT,0)</f>
        <v>-1966692</v>
      </c>
      <c r="AB302" s="496"/>
      <c r="AC302" s="496"/>
      <c r="AD302" s="501"/>
      <c r="AE302" s="496"/>
      <c r="AF302" s="479"/>
      <c r="AG302" s="479"/>
      <c r="AH302" s="479"/>
      <c r="AI302" s="479"/>
      <c r="AJ302" s="479"/>
      <c r="AK302" s="479"/>
      <c r="AL302" s="479"/>
      <c r="AM302" s="479"/>
      <c r="AN302" s="479"/>
      <c r="AO302" s="479"/>
      <c r="AP302" s="479"/>
      <c r="AQ302" s="479"/>
      <c r="AR302" s="479"/>
      <c r="AS302" s="479"/>
      <c r="AT302" s="479"/>
      <c r="AU302" s="479"/>
    </row>
    <row r="303" spans="1:47">
      <c r="A303" s="479"/>
      <c r="B303" s="479"/>
      <c r="C303" s="479"/>
      <c r="D303" s="479"/>
      <c r="E303" s="479"/>
      <c r="F303" s="479"/>
      <c r="G303" s="479"/>
      <c r="H303" s="479"/>
      <c r="I303" s="479"/>
      <c r="J303" s="479"/>
      <c r="K303" s="479"/>
      <c r="L303" s="479"/>
      <c r="M303" s="479"/>
      <c r="N303" s="479"/>
      <c r="O303" s="479"/>
      <c r="P303" s="479"/>
      <c r="Q303" s="1320">
        <v>39</v>
      </c>
      <c r="R303" s="479"/>
      <c r="S303" s="485" t="s">
        <v>1021</v>
      </c>
      <c r="T303" s="479"/>
      <c r="U303" s="496"/>
      <c r="V303" s="496"/>
      <c r="W303" s="496"/>
      <c r="X303" s="496"/>
      <c r="Y303" s="496"/>
      <c r="Z303" s="496"/>
      <c r="AA303" s="496"/>
      <c r="AB303" s="496"/>
      <c r="AC303" s="496"/>
      <c r="AD303" s="501"/>
      <c r="AE303" s="496"/>
      <c r="AF303" s="479"/>
      <c r="AG303" s="479"/>
      <c r="AH303" s="479"/>
      <c r="AI303" s="479"/>
      <c r="AJ303" s="479"/>
      <c r="AK303" s="479"/>
      <c r="AL303" s="479"/>
      <c r="AM303" s="479"/>
      <c r="AN303" s="479"/>
      <c r="AO303" s="479"/>
      <c r="AP303" s="479"/>
      <c r="AQ303" s="479"/>
      <c r="AR303" s="479"/>
      <c r="AS303" s="479"/>
      <c r="AT303" s="479"/>
      <c r="AU303" s="479"/>
    </row>
    <row r="304" spans="1:47">
      <c r="A304" s="479"/>
      <c r="B304" s="479"/>
      <c r="C304" s="479"/>
      <c r="D304" s="479"/>
      <c r="E304" s="479"/>
      <c r="F304" s="479"/>
      <c r="G304" s="479"/>
      <c r="H304" s="479"/>
      <c r="I304" s="479"/>
      <c r="J304" s="479"/>
      <c r="K304" s="479"/>
      <c r="L304" s="479"/>
      <c r="M304" s="479"/>
      <c r="N304" s="479"/>
      <c r="O304" s="479"/>
      <c r="P304" s="479"/>
      <c r="Q304" s="1320">
        <v>40</v>
      </c>
      <c r="R304" s="479"/>
      <c r="S304" s="485" t="s">
        <v>1850</v>
      </c>
      <c r="T304" s="479"/>
      <c r="U304" s="497">
        <f>SUM(U302:U303)</f>
        <v>-162538</v>
      </c>
      <c r="V304" s="496"/>
      <c r="W304" s="497">
        <f>SUM(W301:W303)</f>
        <v>-74666</v>
      </c>
      <c r="X304" s="496"/>
      <c r="Y304" s="497">
        <f>SUM(Y301:Y303)</f>
        <v>178862</v>
      </c>
      <c r="Z304" s="496"/>
      <c r="AA304" s="497">
        <f ca="1">SUM(AA301:AA303)</f>
        <v>-1966692</v>
      </c>
      <c r="AB304" s="496"/>
      <c r="AC304" s="497">
        <f>SUM(AC301:AC303)</f>
        <v>1079505</v>
      </c>
      <c r="AD304" s="501"/>
      <c r="AE304" s="497">
        <f>SUM(AE301:AE303)</f>
        <v>768974</v>
      </c>
      <c r="AF304" s="479"/>
      <c r="AG304" s="479"/>
      <c r="AH304" s="479"/>
      <c r="AI304" s="479"/>
      <c r="AJ304" s="479"/>
      <c r="AK304" s="479"/>
      <c r="AL304" s="479"/>
      <c r="AM304" s="479"/>
      <c r="AN304" s="479"/>
      <c r="AO304" s="479"/>
      <c r="AP304" s="479"/>
      <c r="AQ304" s="479"/>
      <c r="AR304" s="479"/>
      <c r="AS304" s="479"/>
      <c r="AT304" s="479"/>
      <c r="AU304" s="479"/>
    </row>
    <row r="305" spans="1:47">
      <c r="A305" s="479"/>
      <c r="B305" s="479"/>
      <c r="C305" s="479"/>
      <c r="D305" s="479"/>
      <c r="E305" s="479"/>
      <c r="F305" s="479"/>
      <c r="G305" s="479"/>
      <c r="H305" s="479"/>
      <c r="I305" s="479"/>
      <c r="J305" s="479"/>
      <c r="K305" s="479"/>
      <c r="L305" s="479"/>
      <c r="M305" s="479"/>
      <c r="N305" s="479"/>
      <c r="O305" s="479"/>
      <c r="P305" s="479"/>
      <c r="Q305" s="1320">
        <v>41</v>
      </c>
      <c r="R305" s="479"/>
      <c r="S305" s="479"/>
      <c r="T305" s="479"/>
      <c r="U305" s="498"/>
      <c r="V305" s="498"/>
      <c r="W305" s="498"/>
      <c r="X305" s="498"/>
      <c r="Y305" s="498"/>
      <c r="Z305" s="498"/>
      <c r="AA305" s="498"/>
      <c r="AB305" s="498"/>
      <c r="AC305" s="498"/>
      <c r="AD305" s="512"/>
      <c r="AE305" s="498"/>
      <c r="AF305" s="479"/>
      <c r="AG305" s="479"/>
      <c r="AH305" s="479"/>
      <c r="AI305" s="479"/>
      <c r="AJ305" s="479"/>
      <c r="AK305" s="479"/>
      <c r="AL305" s="479"/>
      <c r="AM305" s="479"/>
      <c r="AN305" s="479"/>
      <c r="AO305" s="479"/>
      <c r="AP305" s="479"/>
      <c r="AQ305" s="479"/>
      <c r="AR305" s="479"/>
      <c r="AS305" s="479"/>
      <c r="AT305" s="479"/>
      <c r="AU305" s="479"/>
    </row>
    <row r="306" spans="1:47">
      <c r="A306" s="479"/>
      <c r="B306" s="479"/>
      <c r="C306" s="479"/>
      <c r="D306" s="479"/>
      <c r="E306" s="479"/>
      <c r="F306" s="479"/>
      <c r="G306" s="479"/>
      <c r="H306" s="479"/>
      <c r="I306" s="479"/>
      <c r="J306" s="479"/>
      <c r="K306" s="479"/>
      <c r="L306" s="479"/>
      <c r="M306" s="479"/>
      <c r="N306" s="479"/>
      <c r="O306" s="479"/>
      <c r="P306" s="479"/>
      <c r="Q306" s="1320">
        <v>42</v>
      </c>
      <c r="R306" s="479"/>
      <c r="S306" s="485" t="s">
        <v>1851</v>
      </c>
      <c r="T306" s="479"/>
      <c r="U306" s="502">
        <f>U286+U288+U293+U298+U304</f>
        <v>301855</v>
      </c>
      <c r="V306" s="496"/>
      <c r="W306" s="502">
        <f>W286+W288+W293+W298+W304</f>
        <v>-9065237</v>
      </c>
      <c r="X306" s="496"/>
      <c r="Y306" s="502">
        <f>Y286+Y288+Y293+Y298+Y304</f>
        <v>-332172</v>
      </c>
      <c r="Z306" s="496"/>
      <c r="AA306" s="502">
        <f ca="1">AA286+AA288+AA293+AA298+AA304</f>
        <v>3652428</v>
      </c>
      <c r="AB306" s="496"/>
      <c r="AC306" s="502">
        <f>AC286+AC288+AC293+AC298+AC304</f>
        <v>1253677</v>
      </c>
      <c r="AD306" s="501"/>
      <c r="AE306" s="502">
        <f>AE286+AE288+AE293+AE298+AE304</f>
        <v>-1428094</v>
      </c>
      <c r="AF306" s="479"/>
      <c r="AG306" s="479"/>
      <c r="AH306" s="479"/>
      <c r="AI306" s="479"/>
      <c r="AJ306" s="479"/>
      <c r="AK306" s="479"/>
      <c r="AL306" s="479"/>
      <c r="AM306" s="479"/>
      <c r="AN306" s="479"/>
      <c r="AO306" s="479"/>
      <c r="AP306" s="479"/>
      <c r="AQ306" s="479"/>
      <c r="AR306" s="479"/>
      <c r="AS306" s="479"/>
      <c r="AT306" s="479"/>
      <c r="AU306" s="479"/>
    </row>
    <row r="307" spans="1:47">
      <c r="A307" s="479"/>
      <c r="B307" s="479"/>
      <c r="C307" s="479"/>
      <c r="D307" s="479"/>
      <c r="E307" s="479"/>
      <c r="F307" s="479"/>
      <c r="G307" s="479"/>
      <c r="H307" s="479"/>
      <c r="I307" s="479"/>
      <c r="J307" s="479"/>
      <c r="K307" s="479"/>
      <c r="L307" s="479"/>
      <c r="M307" s="479"/>
      <c r="N307" s="479"/>
      <c r="O307" s="479"/>
      <c r="P307" s="479"/>
      <c r="Q307" s="1320">
        <v>43</v>
      </c>
      <c r="R307" s="479"/>
      <c r="S307" s="479"/>
      <c r="T307" s="479"/>
      <c r="U307" s="498"/>
      <c r="V307" s="498"/>
      <c r="W307" s="498"/>
      <c r="X307" s="498"/>
      <c r="Y307" s="498"/>
      <c r="Z307" s="498"/>
      <c r="AA307" s="498"/>
      <c r="AB307" s="498"/>
      <c r="AC307" s="498"/>
      <c r="AD307" s="512"/>
      <c r="AE307" s="498"/>
      <c r="AF307" s="479"/>
      <c r="AG307" s="479"/>
      <c r="AH307" s="479"/>
      <c r="AI307" s="479"/>
      <c r="AJ307" s="479"/>
      <c r="AK307" s="479"/>
      <c r="AL307" s="479"/>
      <c r="AM307" s="479"/>
      <c r="AN307" s="479"/>
      <c r="AO307" s="479"/>
      <c r="AP307" s="479"/>
      <c r="AQ307" s="479"/>
      <c r="AR307" s="479"/>
      <c r="AS307" s="479"/>
      <c r="AT307" s="479"/>
      <c r="AU307" s="479"/>
    </row>
    <row r="308" spans="1:47" ht="13.5" thickBot="1">
      <c r="A308" s="479"/>
      <c r="B308" s="479"/>
      <c r="C308" s="479"/>
      <c r="D308" s="479"/>
      <c r="E308" s="479"/>
      <c r="F308" s="479"/>
      <c r="G308" s="479"/>
      <c r="H308" s="479"/>
      <c r="I308" s="479"/>
      <c r="J308" s="479"/>
      <c r="K308" s="479"/>
      <c r="L308" s="479"/>
      <c r="M308" s="479"/>
      <c r="N308" s="479"/>
      <c r="O308" s="479"/>
      <c r="P308" s="479"/>
      <c r="Q308" s="1320">
        <v>44</v>
      </c>
      <c r="R308" s="479"/>
      <c r="S308" s="485" t="s">
        <v>1492</v>
      </c>
      <c r="T308" s="479"/>
      <c r="U308" s="505">
        <f>U269-U306</f>
        <v>-301855</v>
      </c>
      <c r="V308" s="496"/>
      <c r="W308" s="505">
        <f>W269-W306</f>
        <v>-138665</v>
      </c>
      <c r="X308" s="496"/>
      <c r="Y308" s="505">
        <f>Y269-Y306</f>
        <v>332172</v>
      </c>
      <c r="Z308" s="496"/>
      <c r="AA308" s="505">
        <f ca="1">AA269-AA306</f>
        <v>-3652428</v>
      </c>
      <c r="AB308" s="496"/>
      <c r="AC308" s="505">
        <f>AC269-AC306</f>
        <v>2004796</v>
      </c>
      <c r="AD308" s="501"/>
      <c r="AE308" s="505">
        <f>AE269-AE306</f>
        <v>1428094</v>
      </c>
      <c r="AF308" s="479"/>
      <c r="AG308" s="479"/>
      <c r="AH308" s="479"/>
      <c r="AI308" s="479"/>
      <c r="AJ308" s="479"/>
      <c r="AK308" s="479"/>
      <c r="AL308" s="479"/>
      <c r="AM308" s="479"/>
      <c r="AN308" s="479"/>
      <c r="AO308" s="479"/>
      <c r="AP308" s="479"/>
      <c r="AQ308" s="479"/>
      <c r="AR308" s="479"/>
      <c r="AS308" s="479"/>
      <c r="AT308" s="479"/>
      <c r="AU308" s="479"/>
    </row>
    <row r="309" spans="1:47" ht="13.5" thickTop="1">
      <c r="A309" s="479"/>
      <c r="B309" s="479"/>
      <c r="C309" s="479"/>
      <c r="D309" s="479"/>
      <c r="E309" s="479"/>
      <c r="F309" s="479"/>
      <c r="G309" s="479"/>
      <c r="H309" s="479"/>
      <c r="I309" s="479"/>
      <c r="J309" s="479"/>
      <c r="K309" s="479"/>
      <c r="L309" s="479"/>
      <c r="M309" s="479"/>
      <c r="N309" s="479"/>
      <c r="O309" s="479"/>
      <c r="P309" s="479"/>
      <c r="Q309" s="479"/>
      <c r="R309" s="479"/>
      <c r="S309" s="479"/>
      <c r="T309" s="496"/>
      <c r="U309" s="506">
        <f>IF(ISERR(ROUND((U298+U304)/(U308+U298+U304),4)=TRUE)," ",ROUND((U298+U304)/(U308+U298+U304),4))</f>
        <v>0.38469999999999999</v>
      </c>
      <c r="V309" s="479"/>
      <c r="W309" s="506">
        <f>IF(ISERR(ROUND((W298+W304)/(W308+W298+W304),4)=TRUE)," ",ROUND((W298+W304)/(W308+W298+W304),4))</f>
        <v>0.38469999999999999</v>
      </c>
      <c r="X309" s="506"/>
      <c r="Y309" s="506">
        <f>IF(ISERR(ROUND((Y298+Y304)/(Y308+Y298+Y304),4)=TRUE)," ",ROUND((Y298+Y304)/(Y308+Y298+Y304),4))</f>
        <v>0.38469999999999999</v>
      </c>
      <c r="Z309" s="506"/>
      <c r="AA309" s="506">
        <f ca="1">IF(ISERR(ROUND((AA298+AA304)/(AA308+AA298+AA304),4)=TRUE)," ",ROUND((AA298+AA304)/(AA308+AA298+AA304),4))</f>
        <v>0.38469999999999999</v>
      </c>
      <c r="AB309" s="506"/>
      <c r="AC309" s="506">
        <f>IF(ISERR(ROUND((AC298+AC304)/(AC308+AC298+AC304),4)=TRUE)," ",ROUND((AC298+AC304)/(AC308+AC298+AC304),4))</f>
        <v>0.38469999999999999</v>
      </c>
      <c r="AD309" s="506"/>
      <c r="AE309" s="506">
        <f>IF(ISERR(ROUND((AE298+AE304)/(AE308+AE298+AE304),4)=TRUE)," ",ROUND((AE298+AE304)/(AE308+AE298+AE304),4))</f>
        <v>0.38469999999999999</v>
      </c>
      <c r="AF309" s="479"/>
      <c r="AG309" s="479"/>
      <c r="AH309" s="479"/>
      <c r="AI309" s="479"/>
      <c r="AJ309" s="479"/>
      <c r="AK309" s="479"/>
      <c r="AL309" s="479"/>
      <c r="AM309" s="479"/>
      <c r="AN309" s="479"/>
      <c r="AO309" s="479"/>
      <c r="AP309" s="479"/>
      <c r="AQ309" s="479"/>
      <c r="AR309" s="479"/>
      <c r="AS309" s="479"/>
      <c r="AT309" s="479"/>
      <c r="AU309" s="479"/>
    </row>
    <row r="310" spans="1:47">
      <c r="A310" s="479"/>
      <c r="B310" s="479"/>
      <c r="C310" s="479"/>
      <c r="D310" s="479"/>
      <c r="E310" s="479"/>
      <c r="F310" s="479"/>
      <c r="G310" s="479"/>
      <c r="H310" s="479"/>
      <c r="I310" s="479"/>
      <c r="J310" s="479"/>
      <c r="K310" s="479"/>
      <c r="L310" s="479"/>
      <c r="M310" s="479"/>
      <c r="N310" s="479"/>
      <c r="O310" s="479"/>
      <c r="P310" s="479"/>
      <c r="Q310" s="485"/>
      <c r="R310" s="479"/>
      <c r="S310" s="479"/>
      <c r="T310" s="479"/>
      <c r="U310" s="504"/>
      <c r="V310" s="479"/>
      <c r="W310" s="504"/>
      <c r="X310" s="479"/>
      <c r="Y310" s="504"/>
      <c r="Z310" s="479"/>
      <c r="AA310" s="504"/>
      <c r="AB310" s="479"/>
      <c r="AC310" s="504"/>
      <c r="AD310" s="479"/>
      <c r="AE310" s="504"/>
      <c r="AF310" s="479"/>
      <c r="AG310" s="479"/>
      <c r="AH310" s="479"/>
      <c r="AI310" s="479"/>
      <c r="AJ310" s="479"/>
      <c r="AK310" s="479"/>
      <c r="AL310" s="479"/>
      <c r="AM310" s="479"/>
      <c r="AN310" s="479"/>
      <c r="AO310" s="479"/>
      <c r="AP310" s="479"/>
      <c r="AQ310" s="479"/>
      <c r="AR310" s="479"/>
      <c r="AS310" s="479"/>
      <c r="AT310" s="479"/>
      <c r="AU310" s="479"/>
    </row>
    <row r="311" spans="1:47">
      <c r="A311" s="479"/>
      <c r="B311" s="479"/>
      <c r="C311" s="479"/>
      <c r="D311" s="479"/>
      <c r="E311" s="479"/>
      <c r="F311" s="479"/>
      <c r="G311" s="479"/>
      <c r="H311" s="479"/>
      <c r="I311" s="479"/>
      <c r="J311" s="479"/>
      <c r="K311" s="479"/>
      <c r="L311" s="479"/>
      <c r="M311" s="479"/>
      <c r="N311" s="479"/>
      <c r="O311" s="479"/>
      <c r="P311" s="479"/>
      <c r="Q311" s="477" t="str">
        <f>COMPANY</f>
        <v>DUKE ENERGY KENTUCKY, INC.</v>
      </c>
      <c r="R311" s="478"/>
      <c r="S311" s="478"/>
      <c r="T311" s="478"/>
      <c r="U311" s="478"/>
      <c r="V311" s="478"/>
      <c r="W311" s="478"/>
      <c r="X311" s="478"/>
      <c r="Y311" s="478"/>
      <c r="Z311" s="478"/>
      <c r="AA311" s="478"/>
      <c r="AB311" s="478"/>
      <c r="AC311" s="478"/>
      <c r="AD311" s="478"/>
      <c r="AE311" s="478"/>
      <c r="AF311" s="479"/>
      <c r="AG311" s="479"/>
      <c r="AH311" s="479"/>
      <c r="AI311" s="479"/>
      <c r="AJ311" s="479"/>
      <c r="AK311" s="479"/>
      <c r="AL311" s="479"/>
      <c r="AM311" s="479"/>
      <c r="AN311" s="479"/>
      <c r="AO311" s="479"/>
      <c r="AP311" s="479"/>
      <c r="AQ311" s="479"/>
      <c r="AR311" s="479"/>
      <c r="AS311" s="479"/>
      <c r="AT311" s="479"/>
      <c r="AU311" s="479"/>
    </row>
    <row r="312" spans="1:47">
      <c r="A312" s="479"/>
      <c r="B312" s="479"/>
      <c r="C312" s="479"/>
      <c r="D312" s="479"/>
      <c r="E312" s="479"/>
      <c r="F312" s="479"/>
      <c r="G312" s="479"/>
      <c r="H312" s="479"/>
      <c r="I312" s="479"/>
      <c r="J312" s="479"/>
      <c r="K312" s="479"/>
      <c r="L312" s="479"/>
      <c r="M312" s="479"/>
      <c r="N312" s="479"/>
      <c r="O312" s="479"/>
      <c r="P312" s="479"/>
      <c r="Q312" s="477" t="str">
        <f>CASE</f>
        <v>CASE NO. 2017-00321</v>
      </c>
      <c r="R312" s="478"/>
      <c r="S312" s="478"/>
      <c r="T312" s="478"/>
      <c r="U312" s="480"/>
      <c r="V312" s="480"/>
      <c r="W312" s="478"/>
      <c r="X312" s="478"/>
      <c r="Y312" s="478"/>
      <c r="Z312" s="478"/>
      <c r="AA312" s="478"/>
      <c r="AB312" s="478"/>
      <c r="AC312" s="478"/>
      <c r="AD312" s="478"/>
      <c r="AE312" s="478"/>
      <c r="AF312" s="479"/>
      <c r="AG312" s="479"/>
      <c r="AH312" s="479"/>
      <c r="AI312" s="479"/>
      <c r="AJ312" s="479"/>
      <c r="AK312" s="479"/>
      <c r="AL312" s="479"/>
      <c r="AM312" s="479"/>
      <c r="AN312" s="479"/>
      <c r="AO312" s="479"/>
      <c r="AP312" s="479"/>
      <c r="AQ312" s="479"/>
      <c r="AR312" s="479"/>
      <c r="AS312" s="479"/>
      <c r="AT312" s="479"/>
      <c r="AU312" s="479"/>
    </row>
    <row r="313" spans="1:47">
      <c r="A313" s="479"/>
      <c r="B313" s="479"/>
      <c r="C313" s="479"/>
      <c r="D313" s="479"/>
      <c r="E313" s="479"/>
      <c r="F313" s="479"/>
      <c r="G313" s="479"/>
      <c r="H313" s="479"/>
      <c r="I313" s="479"/>
      <c r="J313" s="479"/>
      <c r="K313" s="479"/>
      <c r="L313" s="479"/>
      <c r="M313" s="479"/>
      <c r="N313" s="479"/>
      <c r="O313" s="479"/>
      <c r="P313" s="479"/>
      <c r="Q313" s="481" t="str">
        <f>$AG$501</f>
        <v>SUMMARY OF UTILITY JURISDICTIONAL ADJUSTMENTS TO</v>
      </c>
      <c r="R313" s="478"/>
      <c r="S313" s="478"/>
      <c r="T313" s="478"/>
      <c r="U313" s="478"/>
      <c r="V313" s="478"/>
      <c r="W313" s="478"/>
      <c r="X313" s="478"/>
      <c r="Y313" s="478"/>
      <c r="Z313" s="478"/>
      <c r="AA313" s="478"/>
      <c r="AB313" s="478"/>
      <c r="AC313" s="478"/>
      <c r="AD313" s="478"/>
      <c r="AE313" s="478"/>
      <c r="AF313" s="479"/>
      <c r="AG313" s="479"/>
      <c r="AH313" s="479"/>
      <c r="AI313" s="479"/>
      <c r="AJ313" s="479"/>
      <c r="AK313" s="479"/>
      <c r="AL313" s="479"/>
      <c r="AM313" s="479"/>
      <c r="AN313" s="479"/>
      <c r="AO313" s="479"/>
      <c r="AP313" s="479"/>
      <c r="AQ313" s="479"/>
      <c r="AR313" s="479"/>
      <c r="AS313" s="479"/>
      <c r="AT313" s="479"/>
      <c r="AU313" s="479"/>
    </row>
    <row r="314" spans="1:47">
      <c r="A314" s="479"/>
      <c r="B314" s="479"/>
      <c r="C314" s="479"/>
      <c r="D314" s="479"/>
      <c r="E314" s="479"/>
      <c r="F314" s="479"/>
      <c r="G314" s="479"/>
      <c r="H314" s="479"/>
      <c r="I314" s="479"/>
      <c r="J314" s="479"/>
      <c r="K314" s="479"/>
      <c r="L314" s="479"/>
      <c r="M314" s="479"/>
      <c r="N314" s="479"/>
      <c r="O314" s="479"/>
      <c r="P314" s="479"/>
      <c r="Q314" s="481" t="str">
        <f>$AG$502</f>
        <v>OPERATING INCOME BY MAJOR ACCOUNTS</v>
      </c>
      <c r="R314" s="478"/>
      <c r="S314" s="478"/>
      <c r="T314" s="478"/>
      <c r="U314" s="478"/>
      <c r="V314" s="478"/>
      <c r="W314" s="478"/>
      <c r="X314" s="478"/>
      <c r="Y314" s="478"/>
      <c r="Z314" s="478"/>
      <c r="AA314" s="478"/>
      <c r="AB314" s="478"/>
      <c r="AC314" s="478"/>
      <c r="AD314" s="478"/>
      <c r="AE314" s="478"/>
      <c r="AF314" s="479"/>
      <c r="AG314" s="479"/>
      <c r="AH314" s="479"/>
      <c r="AI314" s="479"/>
      <c r="AJ314" s="479"/>
      <c r="AK314" s="479"/>
      <c r="AL314" s="479"/>
      <c r="AM314" s="479"/>
      <c r="AN314" s="479"/>
      <c r="AO314" s="479"/>
      <c r="AP314" s="479"/>
      <c r="AQ314" s="479"/>
      <c r="AR314" s="479"/>
      <c r="AS314" s="479"/>
      <c r="AT314" s="479"/>
      <c r="AU314" s="479"/>
    </row>
    <row r="315" spans="1:47">
      <c r="A315" s="479"/>
      <c r="B315" s="479"/>
      <c r="C315" s="479"/>
      <c r="D315" s="479"/>
      <c r="E315" s="479"/>
      <c r="F315" s="479"/>
      <c r="G315" s="479"/>
      <c r="H315" s="479"/>
      <c r="I315" s="479"/>
      <c r="J315" s="479"/>
      <c r="K315" s="479"/>
      <c r="L315" s="479"/>
      <c r="M315" s="479"/>
      <c r="N315" s="479"/>
      <c r="O315" s="479"/>
      <c r="P315" s="479"/>
      <c r="Q315" s="482" t="str">
        <f>Q191</f>
        <v>PRO FORMA ADJUSTMENTS TO THE FORECASTED PERIOD</v>
      </c>
      <c r="R315" s="478"/>
      <c r="S315" s="478"/>
      <c r="T315" s="478"/>
      <c r="U315" s="478"/>
      <c r="V315" s="478"/>
      <c r="W315" s="478"/>
      <c r="X315" s="478"/>
      <c r="Y315" s="478"/>
      <c r="Z315" s="478"/>
      <c r="AA315" s="478"/>
      <c r="AB315" s="478"/>
      <c r="AC315" s="478"/>
      <c r="AD315" s="478"/>
      <c r="AE315" s="478"/>
      <c r="AF315" s="479"/>
      <c r="AG315" s="479"/>
      <c r="AH315" s="479"/>
      <c r="AI315" s="479"/>
      <c r="AJ315" s="479"/>
      <c r="AK315" s="479"/>
      <c r="AL315" s="479"/>
      <c r="AM315" s="479"/>
      <c r="AN315" s="479"/>
      <c r="AO315" s="479"/>
      <c r="AP315" s="479"/>
      <c r="AQ315" s="479"/>
      <c r="AR315" s="479"/>
      <c r="AS315" s="479"/>
      <c r="AT315" s="479"/>
      <c r="AU315" s="479"/>
    </row>
    <row r="316" spans="1:47">
      <c r="A316" s="479"/>
      <c r="B316" s="479"/>
      <c r="C316" s="479"/>
      <c r="D316" s="479"/>
      <c r="E316" s="479"/>
      <c r="F316" s="479"/>
      <c r="G316" s="479"/>
      <c r="H316" s="479"/>
      <c r="I316" s="479"/>
      <c r="J316" s="479"/>
      <c r="K316" s="479"/>
      <c r="L316" s="479"/>
      <c r="M316" s="479"/>
      <c r="N316" s="479"/>
      <c r="O316" s="479"/>
      <c r="P316" s="479"/>
      <c r="Q316" s="477" t="str">
        <f>PeriodF</f>
        <v>FOR THE TWELVE MONTHS ENDED MARCH 31, 2019</v>
      </c>
      <c r="R316" s="478"/>
      <c r="S316" s="478"/>
      <c r="T316" s="478"/>
      <c r="U316" s="478"/>
      <c r="V316" s="478"/>
      <c r="W316" s="478"/>
      <c r="X316" s="478"/>
      <c r="Y316" s="478"/>
      <c r="Z316" s="478"/>
      <c r="AA316" s="478"/>
      <c r="AB316" s="478"/>
      <c r="AC316" s="478"/>
      <c r="AD316" s="478"/>
      <c r="AE316" s="478"/>
      <c r="AF316" s="479"/>
      <c r="AG316" s="479"/>
      <c r="AH316" s="479"/>
      <c r="AI316" s="479"/>
      <c r="AJ316" s="479"/>
      <c r="AK316" s="479"/>
      <c r="AL316" s="479"/>
      <c r="AM316" s="479"/>
      <c r="AN316" s="479"/>
      <c r="AO316" s="479"/>
      <c r="AP316" s="479"/>
      <c r="AQ316" s="479"/>
      <c r="AR316" s="479"/>
      <c r="AS316" s="479"/>
      <c r="AT316" s="479"/>
      <c r="AU316" s="479"/>
    </row>
    <row r="317" spans="1:47">
      <c r="A317" s="479"/>
      <c r="B317" s="479"/>
      <c r="C317" s="479"/>
      <c r="D317" s="479"/>
      <c r="E317" s="479"/>
      <c r="F317" s="479"/>
      <c r="G317" s="479"/>
      <c r="H317" s="479"/>
      <c r="I317" s="479"/>
      <c r="J317" s="479"/>
      <c r="K317" s="479"/>
      <c r="L317" s="479"/>
      <c r="M317" s="479"/>
      <c r="N317" s="479"/>
      <c r="O317" s="479"/>
      <c r="P317" s="479"/>
      <c r="Q317" s="479"/>
      <c r="R317" s="479"/>
      <c r="S317" s="479"/>
      <c r="T317" s="483"/>
      <c r="U317" s="479"/>
      <c r="V317" s="479"/>
      <c r="W317" s="479"/>
      <c r="X317" s="479"/>
      <c r="Y317" s="479"/>
      <c r="Z317" s="479"/>
      <c r="AA317" s="479"/>
      <c r="AB317" s="479"/>
      <c r="AC317" s="479"/>
      <c r="AD317" s="479"/>
      <c r="AE317" s="479"/>
      <c r="AF317" s="479"/>
      <c r="AG317" s="479"/>
      <c r="AH317" s="479"/>
      <c r="AI317" s="479"/>
      <c r="AJ317" s="479"/>
      <c r="AK317" s="479"/>
      <c r="AL317" s="479"/>
      <c r="AM317" s="479"/>
      <c r="AN317" s="479"/>
      <c r="AO317" s="479"/>
      <c r="AP317" s="479"/>
      <c r="AQ317" s="479"/>
      <c r="AR317" s="479"/>
      <c r="AS317" s="479"/>
      <c r="AT317" s="479"/>
      <c r="AU317" s="479"/>
    </row>
    <row r="318" spans="1:47">
      <c r="A318" s="479"/>
      <c r="B318" s="479"/>
      <c r="C318" s="479"/>
      <c r="D318" s="479"/>
      <c r="E318" s="479"/>
      <c r="F318" s="479"/>
      <c r="G318" s="479"/>
      <c r="H318" s="479"/>
      <c r="I318" s="479"/>
      <c r="J318" s="479"/>
      <c r="K318" s="479"/>
      <c r="L318" s="479"/>
      <c r="M318" s="479"/>
      <c r="N318" s="479"/>
      <c r="O318" s="479"/>
      <c r="P318" s="479"/>
      <c r="Q318" s="483" t="str">
        <f>DataF</f>
        <v>DATA:  BASE PERIOD  "X" FORECASTED PERIOD</v>
      </c>
      <c r="R318" s="479"/>
      <c r="S318" s="479"/>
      <c r="T318" s="479"/>
      <c r="U318" s="479"/>
      <c r="V318" s="479"/>
      <c r="W318" s="479"/>
      <c r="X318" s="479"/>
      <c r="Y318" s="479"/>
      <c r="Z318" s="479"/>
      <c r="AA318" s="479"/>
      <c r="AB318" s="479"/>
      <c r="AC318" s="484" t="s">
        <v>704</v>
      </c>
      <c r="AD318" s="485"/>
      <c r="AE318" s="485"/>
      <c r="AF318" s="479"/>
      <c r="AG318" s="479"/>
      <c r="AH318" s="479"/>
      <c r="AI318" s="479"/>
      <c r="AJ318" s="479"/>
      <c r="AK318" s="479"/>
      <c r="AL318" s="479"/>
      <c r="AM318" s="479"/>
      <c r="AN318" s="479"/>
      <c r="AO318" s="479"/>
      <c r="AP318" s="479"/>
      <c r="AQ318" s="479"/>
      <c r="AR318" s="479"/>
      <c r="AS318" s="479"/>
      <c r="AT318" s="479"/>
      <c r="AU318" s="479"/>
    </row>
    <row r="319" spans="1:47">
      <c r="A319" s="479"/>
      <c r="B319" s="479"/>
      <c r="C319" s="479"/>
      <c r="D319" s="479"/>
      <c r="E319" s="479"/>
      <c r="F319" s="479"/>
      <c r="G319" s="479"/>
      <c r="H319" s="479"/>
      <c r="I319" s="479"/>
      <c r="J319" s="479"/>
      <c r="K319" s="479"/>
      <c r="L319" s="479"/>
      <c r="M319" s="479"/>
      <c r="N319" s="479"/>
      <c r="O319" s="479"/>
      <c r="P319" s="479"/>
      <c r="Q319" s="483" t="str">
        <f>Type</f>
        <v xml:space="preserve">TYPE OF FILING:  "X" ORIGINAL   UPDATED    REVISED  </v>
      </c>
      <c r="R319" s="479"/>
      <c r="S319" s="479"/>
      <c r="T319" s="479"/>
      <c r="U319" s="479"/>
      <c r="V319" s="479"/>
      <c r="W319" s="479"/>
      <c r="X319" s="479"/>
      <c r="Y319" s="479"/>
      <c r="Z319" s="479"/>
      <c r="AA319" s="479"/>
      <c r="AB319" s="479"/>
      <c r="AC319" s="485" t="s">
        <v>3180</v>
      </c>
      <c r="AD319" s="485"/>
      <c r="AE319" s="485"/>
      <c r="AF319" s="479"/>
      <c r="AG319" s="479"/>
      <c r="AH319" s="479"/>
      <c r="AI319" s="479"/>
      <c r="AJ319" s="479"/>
      <c r="AK319" s="479"/>
      <c r="AL319" s="479"/>
      <c r="AM319" s="479"/>
      <c r="AN319" s="479"/>
      <c r="AO319" s="479"/>
      <c r="AP319" s="479"/>
      <c r="AQ319" s="479"/>
      <c r="AR319" s="479"/>
      <c r="AS319" s="479"/>
      <c r="AT319" s="479"/>
      <c r="AU319" s="479"/>
    </row>
    <row r="320" spans="1:47">
      <c r="A320" s="479"/>
      <c r="B320" s="479"/>
      <c r="C320" s="479"/>
      <c r="D320" s="479"/>
      <c r="E320" s="479"/>
      <c r="F320" s="479"/>
      <c r="G320" s="479"/>
      <c r="H320" s="479"/>
      <c r="I320" s="479"/>
      <c r="J320" s="479"/>
      <c r="K320" s="479"/>
      <c r="L320" s="479"/>
      <c r="M320" s="479"/>
      <c r="N320" s="479"/>
      <c r="O320" s="479"/>
      <c r="P320" s="479"/>
      <c r="Q320" s="485" t="s">
        <v>621</v>
      </c>
      <c r="R320" s="479"/>
      <c r="S320" s="479"/>
      <c r="T320" s="479"/>
      <c r="U320" s="479"/>
      <c r="V320" s="479"/>
      <c r="W320" s="479"/>
      <c r="X320" s="479"/>
      <c r="Y320" s="479"/>
      <c r="Z320" s="479"/>
      <c r="AA320" s="479"/>
      <c r="AB320" s="479"/>
      <c r="AC320" s="484" t="s">
        <v>705</v>
      </c>
      <c r="AD320" s="485"/>
      <c r="AE320" s="485"/>
      <c r="AF320" s="479"/>
      <c r="AG320" s="479"/>
      <c r="AH320" s="479"/>
      <c r="AI320" s="479"/>
      <c r="AJ320" s="479"/>
      <c r="AK320" s="479"/>
      <c r="AL320" s="479"/>
      <c r="AM320" s="479"/>
      <c r="AN320" s="479"/>
      <c r="AO320" s="479"/>
      <c r="AP320" s="479"/>
      <c r="AQ320" s="479"/>
      <c r="AR320" s="479"/>
      <c r="AS320" s="479"/>
      <c r="AT320" s="479"/>
      <c r="AU320" s="479"/>
    </row>
    <row r="321" spans="1:47">
      <c r="A321" s="479"/>
      <c r="B321" s="479"/>
      <c r="C321" s="479"/>
      <c r="D321" s="479"/>
      <c r="E321" s="479"/>
      <c r="F321" s="479"/>
      <c r="G321" s="479"/>
      <c r="H321" s="479"/>
      <c r="I321" s="479"/>
      <c r="J321" s="479"/>
      <c r="K321" s="479"/>
      <c r="L321" s="479"/>
      <c r="M321" s="479"/>
      <c r="N321" s="479"/>
      <c r="O321" s="479"/>
      <c r="P321" s="479"/>
      <c r="Q321" s="479"/>
      <c r="R321" s="479"/>
      <c r="S321" s="479"/>
      <c r="T321" s="479"/>
      <c r="U321" s="479"/>
      <c r="V321" s="479"/>
      <c r="W321" s="479"/>
      <c r="X321" s="479"/>
      <c r="Y321" s="479"/>
      <c r="Z321" s="479"/>
      <c r="AA321" s="479"/>
      <c r="AB321" s="479"/>
      <c r="AC321" s="485" t="str">
        <f>"          "&amp;_WIT1</f>
        <v xml:space="preserve">          S. E. LAWLER</v>
      </c>
      <c r="AD321" s="485"/>
      <c r="AE321" s="485"/>
      <c r="AF321" s="479"/>
      <c r="AG321" s="479"/>
      <c r="AH321" s="479"/>
      <c r="AI321" s="479"/>
      <c r="AJ321" s="479"/>
      <c r="AK321" s="479"/>
      <c r="AL321" s="479"/>
      <c r="AM321" s="479"/>
      <c r="AN321" s="479"/>
      <c r="AO321" s="479"/>
      <c r="AP321" s="479"/>
      <c r="AQ321" s="479"/>
      <c r="AR321" s="479"/>
      <c r="AS321" s="479"/>
      <c r="AT321" s="479"/>
      <c r="AU321" s="479"/>
    </row>
    <row r="322" spans="1:47">
      <c r="A322" s="479"/>
      <c r="B322" s="479"/>
      <c r="C322" s="479"/>
      <c r="D322" s="479"/>
      <c r="E322" s="479"/>
      <c r="F322" s="479"/>
      <c r="G322" s="479"/>
      <c r="H322" s="479"/>
      <c r="I322" s="479"/>
      <c r="J322" s="479"/>
      <c r="K322" s="479"/>
      <c r="L322" s="479"/>
      <c r="M322" s="479"/>
      <c r="N322" s="479"/>
      <c r="O322" s="479"/>
      <c r="P322" s="479"/>
      <c r="Q322" s="486"/>
      <c r="R322" s="486"/>
      <c r="S322" s="486"/>
      <c r="T322" s="486"/>
      <c r="U322" s="516"/>
      <c r="V322" s="516"/>
      <c r="W322" s="516"/>
      <c r="X322" s="516"/>
      <c r="Y322" s="516"/>
      <c r="Z322" s="516"/>
      <c r="AA322" s="516"/>
      <c r="AB322" s="486"/>
      <c r="AC322" s="489"/>
      <c r="AD322" s="490"/>
      <c r="AE322" s="486"/>
      <c r="AF322" s="479"/>
      <c r="AG322" s="479"/>
      <c r="AH322" s="479"/>
      <c r="AI322" s="479"/>
      <c r="AJ322" s="479"/>
      <c r="AK322" s="479"/>
      <c r="AL322" s="479"/>
      <c r="AM322" s="479"/>
      <c r="AN322" s="479"/>
      <c r="AO322" s="479"/>
      <c r="AP322" s="479"/>
      <c r="AQ322" s="479"/>
      <c r="AR322" s="479"/>
      <c r="AS322" s="479"/>
      <c r="AT322" s="479"/>
      <c r="AU322" s="479"/>
    </row>
    <row r="323" spans="1:47">
      <c r="A323" s="479"/>
      <c r="B323" s="479"/>
      <c r="C323" s="479"/>
      <c r="D323" s="479"/>
      <c r="E323" s="479"/>
      <c r="F323" s="479"/>
      <c r="G323" s="479"/>
      <c r="H323" s="479"/>
      <c r="I323" s="479"/>
      <c r="J323" s="479"/>
      <c r="K323" s="479"/>
      <c r="L323" s="479"/>
      <c r="M323" s="479"/>
      <c r="N323" s="479"/>
      <c r="O323" s="479"/>
      <c r="P323" s="479"/>
      <c r="Q323" s="479"/>
      <c r="R323" s="479"/>
      <c r="S323" s="479"/>
      <c r="T323" s="479"/>
      <c r="U323" s="1320" t="s">
        <v>2698</v>
      </c>
      <c r="V323" s="1320"/>
      <c r="W323" s="1320" t="s">
        <v>1281</v>
      </c>
      <c r="X323" s="1320"/>
      <c r="Y323" s="1320" t="s">
        <v>2733</v>
      </c>
      <c r="Z323" s="479"/>
      <c r="AA323" s="1320" t="s">
        <v>1281</v>
      </c>
      <c r="AB323" s="1320"/>
      <c r="AC323" s="1320" t="s">
        <v>1615</v>
      </c>
      <c r="AD323" s="1320"/>
      <c r="AE323" s="1320" t="s">
        <v>706</v>
      </c>
      <c r="AF323" s="479"/>
      <c r="AG323" s="479"/>
      <c r="AH323" s="479"/>
      <c r="AI323" s="479"/>
      <c r="AJ323" s="479"/>
      <c r="AK323" s="479"/>
      <c r="AL323" s="479"/>
      <c r="AM323" s="479"/>
      <c r="AN323" s="479"/>
      <c r="AO323" s="479"/>
      <c r="AP323" s="479"/>
      <c r="AQ323" s="479"/>
      <c r="AR323" s="479"/>
      <c r="AS323" s="479"/>
      <c r="AT323" s="479"/>
      <c r="AU323" s="479"/>
    </row>
    <row r="324" spans="1:47">
      <c r="A324" s="479"/>
      <c r="B324" s="479"/>
      <c r="C324" s="479"/>
      <c r="D324" s="479"/>
      <c r="E324" s="479"/>
      <c r="F324" s="479"/>
      <c r="G324" s="479"/>
      <c r="H324" s="479"/>
      <c r="I324" s="479"/>
      <c r="J324" s="479"/>
      <c r="K324" s="479"/>
      <c r="L324" s="479"/>
      <c r="M324" s="479"/>
      <c r="N324" s="479"/>
      <c r="O324" s="479"/>
      <c r="P324" s="479"/>
      <c r="Q324" s="1320" t="s">
        <v>1961</v>
      </c>
      <c r="R324" s="479"/>
      <c r="S324" s="479"/>
      <c r="T324" s="479"/>
      <c r="U324" s="511" t="s">
        <v>2699</v>
      </c>
      <c r="V324" s="511"/>
      <c r="W324" s="511" t="s">
        <v>3111</v>
      </c>
      <c r="X324" s="1320"/>
      <c r="Y324" s="511" t="s">
        <v>2734</v>
      </c>
      <c r="Z324" s="1320"/>
      <c r="AA324" s="511" t="s">
        <v>3248</v>
      </c>
      <c r="AB324" s="1320"/>
      <c r="AC324" s="511" t="s">
        <v>2697</v>
      </c>
      <c r="AD324" s="1320"/>
      <c r="AE324" s="511" t="s">
        <v>159</v>
      </c>
      <c r="AF324" s="479"/>
      <c r="AG324" s="479"/>
      <c r="AH324" s="479"/>
      <c r="AI324" s="479"/>
      <c r="AJ324" s="479"/>
      <c r="AK324" s="479"/>
      <c r="AL324" s="479"/>
      <c r="AM324" s="479"/>
      <c r="AN324" s="479"/>
      <c r="AO324" s="479"/>
      <c r="AP324" s="479"/>
      <c r="AQ324" s="479"/>
      <c r="AR324" s="479"/>
      <c r="AS324" s="479"/>
      <c r="AT324" s="479"/>
      <c r="AU324" s="479"/>
    </row>
    <row r="325" spans="1:47">
      <c r="A325" s="479"/>
      <c r="B325" s="479"/>
      <c r="C325" s="479"/>
      <c r="D325" s="479"/>
      <c r="E325" s="479"/>
      <c r="F325" s="479"/>
      <c r="G325" s="479"/>
      <c r="H325" s="479"/>
      <c r="I325" s="479"/>
      <c r="J325" s="479"/>
      <c r="K325" s="479"/>
      <c r="L325" s="479"/>
      <c r="M325" s="479"/>
      <c r="N325" s="479"/>
      <c r="O325" s="479"/>
      <c r="P325" s="479"/>
      <c r="Q325" s="489" t="s">
        <v>90</v>
      </c>
      <c r="R325" s="490"/>
      <c r="S325" s="489" t="s">
        <v>26</v>
      </c>
      <c r="T325" s="490"/>
      <c r="U325" s="489" t="s">
        <v>1195</v>
      </c>
      <c r="V325" s="489"/>
      <c r="W325" s="489" t="s">
        <v>3112</v>
      </c>
      <c r="X325" s="489"/>
      <c r="Y325" s="489" t="s">
        <v>2735</v>
      </c>
      <c r="Z325" s="489"/>
      <c r="AA325" s="489" t="s">
        <v>3249</v>
      </c>
      <c r="AB325" s="489"/>
      <c r="AC325" s="489" t="s">
        <v>1860</v>
      </c>
      <c r="AD325" s="486"/>
      <c r="AE325" s="489" t="s">
        <v>1195</v>
      </c>
      <c r="AF325" s="479"/>
      <c r="AG325" s="479"/>
      <c r="AH325" s="479"/>
      <c r="AI325" s="479"/>
      <c r="AJ325" s="479"/>
      <c r="AK325" s="479"/>
      <c r="AL325" s="479"/>
      <c r="AM325" s="479"/>
      <c r="AN325" s="479"/>
      <c r="AO325" s="479"/>
      <c r="AP325" s="479"/>
      <c r="AQ325" s="479"/>
      <c r="AR325" s="479"/>
      <c r="AS325" s="479"/>
      <c r="AT325" s="479"/>
      <c r="AU325" s="479"/>
    </row>
    <row r="326" spans="1:47">
      <c r="A326" s="479"/>
      <c r="B326" s="479"/>
      <c r="C326" s="479"/>
      <c r="D326" s="479"/>
      <c r="E326" s="479"/>
      <c r="F326" s="479"/>
      <c r="G326" s="479"/>
      <c r="H326" s="479"/>
      <c r="I326" s="479"/>
      <c r="J326" s="479"/>
      <c r="K326" s="479"/>
      <c r="L326" s="479"/>
      <c r="M326" s="479"/>
      <c r="N326" s="479"/>
      <c r="O326" s="479"/>
      <c r="P326" s="479"/>
      <c r="Q326" s="490"/>
      <c r="R326" s="490"/>
      <c r="S326" s="493" t="s">
        <v>957</v>
      </c>
      <c r="T326" s="490"/>
      <c r="U326" s="489" t="s">
        <v>822</v>
      </c>
      <c r="V326" s="489"/>
      <c r="W326" s="489" t="s">
        <v>823</v>
      </c>
      <c r="X326" s="489"/>
      <c r="Y326" s="489" t="s">
        <v>824</v>
      </c>
      <c r="Z326" s="489"/>
      <c r="AA326" s="489" t="s">
        <v>42</v>
      </c>
      <c r="AB326" s="489"/>
      <c r="AC326" s="489" t="s">
        <v>43</v>
      </c>
      <c r="AD326" s="489"/>
      <c r="AE326" s="489" t="s">
        <v>276</v>
      </c>
      <c r="AF326" s="479"/>
      <c r="AG326" s="479"/>
      <c r="AH326" s="479"/>
      <c r="AI326" s="479"/>
      <c r="AJ326" s="479"/>
      <c r="AK326" s="479"/>
      <c r="AL326" s="479"/>
      <c r="AM326" s="479"/>
      <c r="AN326" s="479"/>
      <c r="AO326" s="479"/>
      <c r="AP326" s="479"/>
      <c r="AQ326" s="479"/>
      <c r="AR326" s="479"/>
      <c r="AS326" s="479"/>
      <c r="AT326" s="479"/>
      <c r="AU326" s="479"/>
    </row>
    <row r="327" spans="1:47">
      <c r="A327" s="479"/>
      <c r="B327" s="479"/>
      <c r="C327" s="479"/>
      <c r="D327" s="479"/>
      <c r="E327" s="479"/>
      <c r="F327" s="479"/>
      <c r="G327" s="479"/>
      <c r="H327" s="479"/>
      <c r="I327" s="479"/>
      <c r="J327" s="479"/>
      <c r="K327" s="479"/>
      <c r="L327" s="479"/>
      <c r="M327" s="479"/>
      <c r="N327" s="479"/>
      <c r="O327" s="479"/>
      <c r="P327" s="479"/>
      <c r="Q327" s="1320">
        <v>1</v>
      </c>
      <c r="R327" s="507" t="s">
        <v>1199</v>
      </c>
      <c r="S327" s="479"/>
      <c r="T327" s="479"/>
      <c r="U327" s="479"/>
      <c r="V327" s="479"/>
      <c r="W327" s="479"/>
      <c r="X327" s="479"/>
      <c r="Y327" s="479"/>
      <c r="Z327" s="479"/>
      <c r="AA327" s="479"/>
      <c r="AB327" s="479"/>
      <c r="AC327" s="479"/>
      <c r="AD327" s="479"/>
      <c r="AE327" s="479"/>
      <c r="AF327" s="479"/>
      <c r="AG327" s="479"/>
      <c r="AH327" s="479"/>
      <c r="AI327" s="479"/>
      <c r="AJ327" s="479"/>
      <c r="AK327" s="479"/>
      <c r="AL327" s="479"/>
      <c r="AM327" s="479"/>
      <c r="AN327" s="479"/>
      <c r="AO327" s="479"/>
      <c r="AP327" s="479"/>
      <c r="AQ327" s="479"/>
      <c r="AR327" s="479"/>
      <c r="AS327" s="479"/>
      <c r="AT327" s="479"/>
      <c r="AU327" s="479"/>
    </row>
    <row r="328" spans="1:47">
      <c r="A328" s="479"/>
      <c r="B328" s="479"/>
      <c r="C328" s="479"/>
      <c r="D328" s="479"/>
      <c r="E328" s="479"/>
      <c r="F328" s="479"/>
      <c r="G328" s="479"/>
      <c r="H328" s="479"/>
      <c r="I328" s="479"/>
      <c r="J328" s="479"/>
      <c r="K328" s="479"/>
      <c r="L328" s="479"/>
      <c r="M328" s="479"/>
      <c r="N328" s="479"/>
      <c r="O328" s="479"/>
      <c r="P328" s="479"/>
      <c r="Q328" s="1320">
        <v>2</v>
      </c>
      <c r="R328" s="479"/>
      <c r="S328" s="485" t="s">
        <v>1200</v>
      </c>
      <c r="T328" s="479"/>
      <c r="U328" s="496"/>
      <c r="V328" s="479"/>
      <c r="W328" s="496"/>
      <c r="X328" s="496"/>
      <c r="Y328" s="496"/>
      <c r="Z328" s="496"/>
      <c r="AA328" s="496"/>
      <c r="AB328" s="496"/>
      <c r="AC328" s="496"/>
      <c r="AD328" s="496"/>
      <c r="AE328" s="496"/>
      <c r="AF328" s="479"/>
      <c r="AG328" s="479"/>
      <c r="AH328" s="479"/>
      <c r="AI328" s="479"/>
      <c r="AJ328" s="479"/>
      <c r="AK328" s="479"/>
      <c r="AL328" s="479"/>
      <c r="AM328" s="479"/>
      <c r="AN328" s="479"/>
      <c r="AO328" s="479"/>
      <c r="AP328" s="479"/>
      <c r="AQ328" s="479"/>
      <c r="AR328" s="479"/>
      <c r="AS328" s="479"/>
      <c r="AT328" s="479"/>
      <c r="AU328" s="479"/>
    </row>
    <row r="329" spans="1:47">
      <c r="A329" s="479"/>
      <c r="B329" s="479"/>
      <c r="C329" s="479"/>
      <c r="D329" s="479"/>
      <c r="E329" s="479"/>
      <c r="F329" s="479"/>
      <c r="G329" s="479"/>
      <c r="H329" s="479"/>
      <c r="I329" s="479"/>
      <c r="J329" s="479"/>
      <c r="K329" s="479"/>
      <c r="L329" s="479"/>
      <c r="M329" s="479"/>
      <c r="N329" s="479"/>
      <c r="O329" s="479"/>
      <c r="P329" s="479"/>
      <c r="Q329" s="1320">
        <v>3</v>
      </c>
      <c r="R329" s="479"/>
      <c r="S329" s="485" t="s">
        <v>1823</v>
      </c>
      <c r="T329" s="479"/>
      <c r="U329" s="496"/>
      <c r="V329" s="479"/>
      <c r="W329" s="496"/>
      <c r="X329" s="496"/>
      <c r="Y329" s="496"/>
      <c r="Z329" s="496"/>
      <c r="AA329" s="496"/>
      <c r="AB329" s="496"/>
      <c r="AC329" s="496"/>
      <c r="AD329" s="496"/>
      <c r="AE329" s="496"/>
      <c r="AF329" s="479"/>
      <c r="AG329" s="479"/>
      <c r="AH329" s="479"/>
      <c r="AI329" s="479"/>
      <c r="AJ329" s="479"/>
      <c r="AK329" s="479"/>
      <c r="AL329" s="479"/>
      <c r="AM329" s="479"/>
      <c r="AN329" s="479"/>
      <c r="AO329" s="479"/>
      <c r="AP329" s="479"/>
      <c r="AQ329" s="479"/>
      <c r="AR329" s="479"/>
      <c r="AS329" s="479"/>
      <c r="AT329" s="479"/>
      <c r="AU329" s="479"/>
    </row>
    <row r="330" spans="1:47">
      <c r="A330" s="479"/>
      <c r="B330" s="479"/>
      <c r="C330" s="479"/>
      <c r="D330" s="479"/>
      <c r="E330" s="479"/>
      <c r="F330" s="479"/>
      <c r="G330" s="479"/>
      <c r="H330" s="479"/>
      <c r="I330" s="479"/>
      <c r="J330" s="479"/>
      <c r="K330" s="479"/>
      <c r="L330" s="479"/>
      <c r="M330" s="479"/>
      <c r="N330" s="479"/>
      <c r="O330" s="479"/>
      <c r="P330" s="479"/>
      <c r="Q330" s="1320">
        <v>4</v>
      </c>
      <c r="R330" s="479"/>
      <c r="S330" s="485" t="s">
        <v>1201</v>
      </c>
      <c r="T330" s="479"/>
      <c r="U330" s="496"/>
      <c r="V330" s="479"/>
      <c r="W330" s="496"/>
      <c r="X330" s="496"/>
      <c r="Y330" s="496">
        <f>SCH_D2.29!H25</f>
        <v>122230</v>
      </c>
      <c r="Z330" s="496"/>
      <c r="AA330" s="496"/>
      <c r="AB330" s="496"/>
      <c r="AC330" s="496"/>
      <c r="AD330" s="496"/>
      <c r="AE330" s="496"/>
      <c r="AF330" s="479"/>
      <c r="AG330" s="479"/>
      <c r="AH330" s="479"/>
      <c r="AI330" s="479"/>
      <c r="AJ330" s="479"/>
      <c r="AK330" s="479"/>
      <c r="AL330" s="479"/>
      <c r="AM330" s="479"/>
      <c r="AN330" s="479"/>
      <c r="AO330" s="479"/>
      <c r="AP330" s="479"/>
      <c r="AQ330" s="479"/>
      <c r="AR330" s="479"/>
      <c r="AS330" s="479"/>
      <c r="AT330" s="479"/>
      <c r="AU330" s="479"/>
    </row>
    <row r="331" spans="1:47">
      <c r="A331" s="479"/>
      <c r="B331" s="479"/>
      <c r="C331" s="479"/>
      <c r="D331" s="479"/>
      <c r="E331" s="479"/>
      <c r="F331" s="479"/>
      <c r="G331" s="479"/>
      <c r="H331" s="479"/>
      <c r="I331" s="479"/>
      <c r="J331" s="479"/>
      <c r="K331" s="479"/>
      <c r="L331" s="479"/>
      <c r="M331" s="479"/>
      <c r="N331" s="479"/>
      <c r="O331" s="479"/>
      <c r="P331" s="479"/>
      <c r="Q331" s="1320">
        <v>5</v>
      </c>
      <c r="R331" s="479"/>
      <c r="S331" s="485" t="s">
        <v>1202</v>
      </c>
      <c r="T331" s="479"/>
      <c r="U331" s="497">
        <f>SUM(U328:U330)</f>
        <v>0</v>
      </c>
      <c r="V331" s="479"/>
      <c r="W331" s="497">
        <f>SUM(W328:W330)</f>
        <v>0</v>
      </c>
      <c r="X331" s="496"/>
      <c r="Y331" s="497">
        <f>SUM(Y328:Y330)</f>
        <v>122230</v>
      </c>
      <c r="Z331" s="496"/>
      <c r="AA331" s="497">
        <f>SUM(AA328:AA330)</f>
        <v>0</v>
      </c>
      <c r="AB331" s="496"/>
      <c r="AC331" s="497"/>
      <c r="AD331" s="496"/>
      <c r="AE331" s="497">
        <f>SUM(AE328:AE330)</f>
        <v>0</v>
      </c>
      <c r="AF331" s="479"/>
      <c r="AG331" s="479"/>
      <c r="AH331" s="479"/>
      <c r="AI331" s="479"/>
      <c r="AJ331" s="479"/>
      <c r="AK331" s="479"/>
      <c r="AL331" s="479"/>
      <c r="AM331" s="479"/>
      <c r="AN331" s="479"/>
      <c r="AO331" s="479"/>
      <c r="AP331" s="479"/>
      <c r="AQ331" s="479"/>
      <c r="AR331" s="479"/>
      <c r="AS331" s="479"/>
      <c r="AT331" s="479"/>
      <c r="AU331" s="479"/>
    </row>
    <row r="332" spans="1:47">
      <c r="A332" s="479"/>
      <c r="B332" s="479"/>
      <c r="C332" s="479"/>
      <c r="D332" s="479"/>
      <c r="E332" s="479"/>
      <c r="F332" s="479"/>
      <c r="G332" s="479"/>
      <c r="H332" s="479"/>
      <c r="I332" s="479"/>
      <c r="J332" s="479"/>
      <c r="K332" s="479"/>
      <c r="L332" s="479"/>
      <c r="M332" s="479"/>
      <c r="N332" s="479"/>
      <c r="O332" s="479"/>
      <c r="P332" s="479"/>
      <c r="Q332" s="1320">
        <v>6</v>
      </c>
      <c r="R332" s="479"/>
      <c r="S332" s="479"/>
      <c r="T332" s="479"/>
      <c r="U332" s="498"/>
      <c r="V332" s="479"/>
      <c r="W332" s="498"/>
      <c r="X332" s="498"/>
      <c r="Y332" s="498"/>
      <c r="Z332" s="498"/>
      <c r="AA332" s="498"/>
      <c r="AB332" s="498"/>
      <c r="AC332" s="498"/>
      <c r="AD332" s="498"/>
      <c r="AE332" s="498"/>
      <c r="AF332" s="479"/>
      <c r="AG332" s="479"/>
      <c r="AH332" s="479"/>
      <c r="AI332" s="479"/>
      <c r="AJ332" s="479"/>
      <c r="AK332" s="479"/>
      <c r="AL332" s="479"/>
      <c r="AM332" s="479"/>
      <c r="AN332" s="479"/>
      <c r="AO332" s="479"/>
      <c r="AP332" s="479"/>
      <c r="AQ332" s="479"/>
      <c r="AR332" s="479"/>
      <c r="AS332" s="479"/>
      <c r="AT332" s="479"/>
      <c r="AU332" s="479"/>
    </row>
    <row r="333" spans="1:47">
      <c r="A333" s="479"/>
      <c r="B333" s="479"/>
      <c r="C333" s="479"/>
      <c r="D333" s="479"/>
      <c r="E333" s="479"/>
      <c r="F333" s="479"/>
      <c r="G333" s="479"/>
      <c r="H333" s="479"/>
      <c r="I333" s="479"/>
      <c r="J333" s="479"/>
      <c r="K333" s="479"/>
      <c r="L333" s="479"/>
      <c r="M333" s="479"/>
      <c r="N333" s="479"/>
      <c r="O333" s="479"/>
      <c r="P333" s="479"/>
      <c r="Q333" s="1320">
        <v>7</v>
      </c>
      <c r="R333" s="507" t="s">
        <v>1152</v>
      </c>
      <c r="S333" s="479"/>
      <c r="T333" s="479"/>
      <c r="U333" s="496"/>
      <c r="V333" s="479"/>
      <c r="W333" s="479"/>
      <c r="X333" s="479"/>
      <c r="Y333" s="479"/>
      <c r="Z333" s="479"/>
      <c r="AA333" s="479"/>
      <c r="AB333" s="479"/>
      <c r="AC333" s="479"/>
      <c r="AD333" s="479"/>
      <c r="AE333" s="479"/>
      <c r="AF333" s="479"/>
      <c r="AG333" s="479"/>
      <c r="AH333" s="479"/>
      <c r="AI333" s="479"/>
      <c r="AJ333" s="479"/>
      <c r="AK333" s="479"/>
      <c r="AL333" s="479"/>
      <c r="AM333" s="479"/>
      <c r="AN333" s="479"/>
      <c r="AO333" s="479"/>
      <c r="AP333" s="479"/>
      <c r="AQ333" s="479"/>
      <c r="AR333" s="479"/>
      <c r="AS333" s="479"/>
      <c r="AT333" s="479"/>
      <c r="AU333" s="479"/>
    </row>
    <row r="334" spans="1:47">
      <c r="A334" s="479"/>
      <c r="B334" s="479"/>
      <c r="C334" s="479"/>
      <c r="D334" s="479"/>
      <c r="E334" s="479"/>
      <c r="F334" s="479"/>
      <c r="G334" s="479"/>
      <c r="H334" s="479"/>
      <c r="I334" s="479"/>
      <c r="J334" s="479"/>
      <c r="K334" s="479"/>
      <c r="L334" s="479"/>
      <c r="M334" s="479"/>
      <c r="N334" s="479"/>
      <c r="O334" s="479"/>
      <c r="P334" s="479"/>
      <c r="Q334" s="1320">
        <v>8</v>
      </c>
      <c r="R334" s="479"/>
      <c r="S334" s="485" t="s">
        <v>1203</v>
      </c>
      <c r="T334" s="479"/>
      <c r="U334" s="496"/>
      <c r="V334" s="479"/>
      <c r="W334" s="479"/>
      <c r="X334" s="479"/>
      <c r="Y334" s="479"/>
      <c r="Z334" s="479"/>
      <c r="AA334" s="479"/>
      <c r="AB334" s="479"/>
      <c r="AC334" s="479"/>
      <c r="AD334" s="479"/>
      <c r="AE334" s="479"/>
      <c r="AF334" s="479"/>
      <c r="AG334" s="479"/>
      <c r="AH334" s="479"/>
      <c r="AI334" s="479"/>
      <c r="AJ334" s="479"/>
      <c r="AK334" s="479"/>
      <c r="AL334" s="479"/>
      <c r="AM334" s="479"/>
      <c r="AN334" s="479"/>
      <c r="AO334" s="479"/>
      <c r="AP334" s="479"/>
      <c r="AQ334" s="479"/>
      <c r="AR334" s="479"/>
      <c r="AS334" s="479"/>
      <c r="AT334" s="479"/>
      <c r="AU334" s="479"/>
    </row>
    <row r="335" spans="1:47">
      <c r="A335" s="479"/>
      <c r="B335" s="479"/>
      <c r="C335" s="479"/>
      <c r="D335" s="479"/>
      <c r="E335" s="479"/>
      <c r="F335" s="479"/>
      <c r="G335" s="479"/>
      <c r="H335" s="479"/>
      <c r="I335" s="479"/>
      <c r="J335" s="479"/>
      <c r="K335" s="479"/>
      <c r="L335" s="479"/>
      <c r="M335" s="479"/>
      <c r="N335" s="479"/>
      <c r="O335" s="479"/>
      <c r="P335" s="479"/>
      <c r="Q335" s="1320">
        <v>9</v>
      </c>
      <c r="R335" s="479"/>
      <c r="S335" s="485" t="s">
        <v>257</v>
      </c>
      <c r="T335" s="479"/>
      <c r="U335" s="496"/>
      <c r="V335" s="479"/>
      <c r="W335" s="479"/>
      <c r="X335" s="479"/>
      <c r="Y335" s="479"/>
      <c r="Z335" s="479"/>
      <c r="AA335" s="479"/>
      <c r="AB335" s="479"/>
      <c r="AC335" s="479"/>
      <c r="AD335" s="479"/>
      <c r="AE335" s="479"/>
      <c r="AF335" s="479"/>
      <c r="AG335" s="479"/>
      <c r="AH335" s="479"/>
      <c r="AI335" s="479"/>
      <c r="AJ335" s="479"/>
      <c r="AK335" s="479"/>
      <c r="AL335" s="479"/>
      <c r="AM335" s="479"/>
      <c r="AN335" s="479"/>
      <c r="AO335" s="479"/>
      <c r="AP335" s="479"/>
      <c r="AQ335" s="479"/>
      <c r="AR335" s="479"/>
      <c r="AS335" s="479"/>
      <c r="AT335" s="479"/>
      <c r="AU335" s="479"/>
    </row>
    <row r="336" spans="1:47">
      <c r="A336" s="479"/>
      <c r="B336" s="479"/>
      <c r="C336" s="479"/>
      <c r="D336" s="479"/>
      <c r="E336" s="479"/>
      <c r="F336" s="479"/>
      <c r="G336" s="479"/>
      <c r="H336" s="479"/>
      <c r="I336" s="479"/>
      <c r="J336" s="479"/>
      <c r="K336" s="479"/>
      <c r="L336" s="479"/>
      <c r="M336" s="479"/>
      <c r="N336" s="479"/>
      <c r="O336" s="479"/>
      <c r="P336" s="479"/>
      <c r="Q336" s="1320">
        <v>10</v>
      </c>
      <c r="R336" s="479"/>
      <c r="S336" s="358" t="s">
        <v>348</v>
      </c>
      <c r="T336" s="479"/>
      <c r="U336" s="496"/>
      <c r="V336" s="479"/>
      <c r="W336" s="496">
        <f>SCH_D2.28!F18</f>
        <v>774947.4</v>
      </c>
      <c r="X336" s="496"/>
      <c r="Y336" s="479"/>
      <c r="Z336" s="496"/>
      <c r="AA336" s="496"/>
      <c r="AB336" s="496"/>
      <c r="AC336" s="496"/>
      <c r="AD336" s="496"/>
      <c r="AE336" s="496"/>
      <c r="AF336" s="479"/>
      <c r="AG336" s="479"/>
      <c r="AH336" s="479"/>
      <c r="AI336" s="479"/>
      <c r="AJ336" s="479"/>
      <c r="AK336" s="479"/>
      <c r="AL336" s="479"/>
      <c r="AM336" s="479"/>
      <c r="AN336" s="479"/>
      <c r="AO336" s="479"/>
      <c r="AP336" s="479"/>
      <c r="AQ336" s="479"/>
      <c r="AR336" s="479"/>
      <c r="AS336" s="479"/>
      <c r="AT336" s="479"/>
      <c r="AU336" s="479"/>
    </row>
    <row r="337" spans="1:47">
      <c r="A337" s="479"/>
      <c r="B337" s="479"/>
      <c r="C337" s="479"/>
      <c r="D337" s="479"/>
      <c r="E337" s="479"/>
      <c r="F337" s="479"/>
      <c r="G337" s="479"/>
      <c r="H337" s="479"/>
      <c r="I337" s="479"/>
      <c r="J337" s="479"/>
      <c r="K337" s="479"/>
      <c r="L337" s="479"/>
      <c r="M337" s="479"/>
      <c r="N337" s="479"/>
      <c r="O337" s="479"/>
      <c r="P337" s="479"/>
      <c r="Q337" s="1320">
        <v>11</v>
      </c>
      <c r="R337" s="479"/>
      <c r="S337" s="485" t="s">
        <v>425</v>
      </c>
      <c r="T337" s="479"/>
      <c r="U337" s="496"/>
      <c r="V337" s="479"/>
      <c r="W337" s="496"/>
      <c r="X337" s="496"/>
      <c r="Y337" s="496"/>
      <c r="Z337" s="496"/>
      <c r="AA337" s="496">
        <f>SCH_D2.30!R56</f>
        <v>4777142.6000000006</v>
      </c>
      <c r="AB337" s="496"/>
      <c r="AC337" s="496"/>
      <c r="AD337" s="496"/>
      <c r="AE337" s="496"/>
      <c r="AF337" s="479"/>
      <c r="AG337" s="479"/>
      <c r="AH337" s="479"/>
      <c r="AI337" s="479"/>
      <c r="AJ337" s="479"/>
      <c r="AK337" s="479"/>
      <c r="AL337" s="479"/>
      <c r="AM337" s="479"/>
      <c r="AN337" s="479"/>
      <c r="AO337" s="479"/>
      <c r="AP337" s="479"/>
      <c r="AQ337" s="479"/>
      <c r="AR337" s="479"/>
      <c r="AS337" s="479"/>
      <c r="AT337" s="479"/>
      <c r="AU337" s="479"/>
    </row>
    <row r="338" spans="1:47">
      <c r="A338" s="479"/>
      <c r="B338" s="479"/>
      <c r="C338" s="479"/>
      <c r="D338" s="479"/>
      <c r="E338" s="479"/>
      <c r="F338" s="479"/>
      <c r="G338" s="479"/>
      <c r="H338" s="479"/>
      <c r="I338" s="479"/>
      <c r="J338" s="479"/>
      <c r="K338" s="479"/>
      <c r="L338" s="479"/>
      <c r="M338" s="479"/>
      <c r="N338" s="479"/>
      <c r="O338" s="479"/>
      <c r="P338" s="479"/>
      <c r="Q338" s="1320">
        <v>12</v>
      </c>
      <c r="R338" s="479"/>
      <c r="S338" s="485" t="s">
        <v>1204</v>
      </c>
      <c r="T338" s="479"/>
      <c r="U338" s="499">
        <f>SUM(U335:U337)</f>
        <v>0</v>
      </c>
      <c r="V338" s="500"/>
      <c r="W338" s="499">
        <f>SUM(W335:W337)</f>
        <v>774947.4</v>
      </c>
      <c r="X338" s="501"/>
      <c r="Y338" s="499">
        <f>SUM(Y335:Y337)</f>
        <v>0</v>
      </c>
      <c r="Z338" s="501"/>
      <c r="AA338" s="499">
        <f>SUM(AA335:AA337)</f>
        <v>4777142.6000000006</v>
      </c>
      <c r="AB338" s="501"/>
      <c r="AC338" s="499">
        <f>SUM(AC335:AC337)</f>
        <v>0</v>
      </c>
      <c r="AD338" s="501"/>
      <c r="AE338" s="499">
        <f>SUM(AE335:AE337)</f>
        <v>0</v>
      </c>
      <c r="AF338" s="500"/>
      <c r="AG338" s="479"/>
      <c r="AH338" s="479"/>
      <c r="AI338" s="479"/>
      <c r="AJ338" s="479"/>
      <c r="AK338" s="479"/>
      <c r="AL338" s="479"/>
      <c r="AM338" s="479"/>
      <c r="AN338" s="479"/>
      <c r="AO338" s="479"/>
      <c r="AP338" s="479"/>
      <c r="AQ338" s="479"/>
      <c r="AR338" s="479"/>
      <c r="AS338" s="479"/>
      <c r="AT338" s="479"/>
      <c r="AU338" s="479"/>
    </row>
    <row r="339" spans="1:47">
      <c r="A339" s="479"/>
      <c r="B339" s="479"/>
      <c r="C339" s="479"/>
      <c r="D339" s="479"/>
      <c r="E339" s="479"/>
      <c r="F339" s="479"/>
      <c r="G339" s="479"/>
      <c r="H339" s="479"/>
      <c r="I339" s="479"/>
      <c r="J339" s="479"/>
      <c r="K339" s="479"/>
      <c r="L339" s="479"/>
      <c r="M339" s="479"/>
      <c r="N339" s="479"/>
      <c r="O339" s="479"/>
      <c r="P339" s="479"/>
      <c r="Q339" s="1320">
        <v>13</v>
      </c>
      <c r="R339" s="479"/>
      <c r="S339" s="479"/>
      <c r="T339" s="479"/>
      <c r="U339" s="498"/>
      <c r="V339" s="479"/>
      <c r="W339" s="498"/>
      <c r="X339" s="498"/>
      <c r="Y339" s="498"/>
      <c r="Z339" s="498"/>
      <c r="AA339" s="498"/>
      <c r="AB339" s="498"/>
      <c r="AC339" s="498"/>
      <c r="AD339" s="498"/>
      <c r="AE339" s="498"/>
      <c r="AF339" s="479"/>
      <c r="AG339" s="479"/>
      <c r="AH339" s="479"/>
      <c r="AI339" s="479"/>
      <c r="AJ339" s="479"/>
      <c r="AK339" s="479"/>
      <c r="AL339" s="479"/>
      <c r="AM339" s="479"/>
      <c r="AN339" s="479"/>
      <c r="AO339" s="479"/>
      <c r="AP339" s="479"/>
      <c r="AQ339" s="479"/>
      <c r="AR339" s="479"/>
      <c r="AS339" s="479"/>
      <c r="AT339" s="479"/>
      <c r="AU339" s="479"/>
    </row>
    <row r="340" spans="1:47">
      <c r="A340" s="479"/>
      <c r="B340" s="479"/>
      <c r="C340" s="479"/>
      <c r="D340" s="479"/>
      <c r="E340" s="479"/>
      <c r="F340" s="479"/>
      <c r="G340" s="479"/>
      <c r="H340" s="479"/>
      <c r="I340" s="479"/>
      <c r="J340" s="479"/>
      <c r="K340" s="479"/>
      <c r="L340" s="479"/>
      <c r="M340" s="479"/>
      <c r="N340" s="479"/>
      <c r="O340" s="479"/>
      <c r="P340" s="479"/>
      <c r="Q340" s="1320">
        <v>14</v>
      </c>
      <c r="R340" s="479"/>
      <c r="S340" s="485" t="s">
        <v>198</v>
      </c>
      <c r="T340" s="479"/>
      <c r="U340" s="498"/>
      <c r="V340" s="479"/>
      <c r="W340" s="498"/>
      <c r="X340" s="498"/>
      <c r="Y340" s="498"/>
      <c r="Z340" s="498"/>
      <c r="AA340" s="498"/>
      <c r="AB340" s="498"/>
      <c r="AC340" s="498"/>
      <c r="AD340" s="498"/>
      <c r="AE340" s="498"/>
      <c r="AF340" s="479"/>
      <c r="AG340" s="479"/>
      <c r="AH340" s="479"/>
      <c r="AI340" s="479"/>
      <c r="AJ340" s="479"/>
      <c r="AK340" s="479"/>
      <c r="AL340" s="479"/>
      <c r="AM340" s="479"/>
      <c r="AN340" s="479"/>
      <c r="AO340" s="479"/>
      <c r="AP340" s="479"/>
      <c r="AQ340" s="479"/>
      <c r="AR340" s="479"/>
      <c r="AS340" s="479"/>
      <c r="AT340" s="479"/>
      <c r="AU340" s="479"/>
    </row>
    <row r="341" spans="1:47">
      <c r="A341" s="479"/>
      <c r="B341" s="479"/>
      <c r="C341" s="479"/>
      <c r="D341" s="479"/>
      <c r="E341" s="479"/>
      <c r="F341" s="479"/>
      <c r="G341" s="479"/>
      <c r="H341" s="479"/>
      <c r="I341" s="479"/>
      <c r="J341" s="479"/>
      <c r="K341" s="479"/>
      <c r="L341" s="479"/>
      <c r="M341" s="479"/>
      <c r="N341" s="479"/>
      <c r="O341" s="479"/>
      <c r="P341" s="479"/>
      <c r="Q341" s="1320">
        <v>15</v>
      </c>
      <c r="R341" s="479"/>
      <c r="S341" s="485" t="s">
        <v>2253</v>
      </c>
      <c r="T341" s="479"/>
      <c r="U341" s="498"/>
      <c r="V341" s="479"/>
      <c r="W341" s="498"/>
      <c r="X341" s="498"/>
      <c r="Y341" s="498"/>
      <c r="Z341" s="498"/>
      <c r="AA341" s="498"/>
      <c r="AB341" s="498"/>
      <c r="AC341" s="498"/>
      <c r="AD341" s="498"/>
      <c r="AE341" s="498"/>
      <c r="AF341" s="479"/>
      <c r="AG341" s="479"/>
      <c r="AH341" s="479"/>
      <c r="AI341" s="479"/>
      <c r="AJ341" s="479"/>
      <c r="AK341" s="479"/>
      <c r="AL341" s="479"/>
      <c r="AM341" s="479"/>
      <c r="AN341" s="479"/>
      <c r="AO341" s="479"/>
      <c r="AP341" s="479"/>
      <c r="AQ341" s="479"/>
      <c r="AR341" s="479"/>
      <c r="AS341" s="479"/>
      <c r="AT341" s="479"/>
      <c r="AU341" s="479"/>
    </row>
    <row r="342" spans="1:47">
      <c r="A342" s="479"/>
      <c r="B342" s="479"/>
      <c r="C342" s="479"/>
      <c r="D342" s="479"/>
      <c r="E342" s="479"/>
      <c r="F342" s="479"/>
      <c r="G342" s="479"/>
      <c r="H342" s="479"/>
      <c r="I342" s="479"/>
      <c r="J342" s="479"/>
      <c r="K342" s="479"/>
      <c r="L342" s="479"/>
      <c r="M342" s="479"/>
      <c r="N342" s="479"/>
      <c r="O342" s="479"/>
      <c r="P342" s="479"/>
      <c r="Q342" s="1320">
        <v>16</v>
      </c>
      <c r="R342" s="479"/>
      <c r="S342" s="485" t="s">
        <v>258</v>
      </c>
      <c r="T342" s="479"/>
      <c r="U342" s="496"/>
      <c r="V342" s="479"/>
      <c r="W342" s="496"/>
      <c r="X342" s="496"/>
      <c r="Y342" s="496"/>
      <c r="Z342" s="496"/>
      <c r="AA342" s="496"/>
      <c r="AB342" s="496"/>
      <c r="AC342" s="496"/>
      <c r="AD342" s="496"/>
      <c r="AE342" s="496"/>
      <c r="AF342" s="479"/>
      <c r="AG342" s="479"/>
      <c r="AH342" s="479"/>
      <c r="AI342" s="479"/>
      <c r="AJ342" s="479"/>
      <c r="AK342" s="479"/>
      <c r="AL342" s="479"/>
      <c r="AM342" s="479"/>
      <c r="AN342" s="479"/>
      <c r="AO342" s="479"/>
      <c r="AP342" s="479"/>
      <c r="AQ342" s="479"/>
      <c r="AR342" s="479"/>
      <c r="AS342" s="479"/>
      <c r="AT342" s="479"/>
      <c r="AU342" s="479"/>
    </row>
    <row r="343" spans="1:47">
      <c r="A343" s="479"/>
      <c r="B343" s="479"/>
      <c r="C343" s="479"/>
      <c r="D343" s="479"/>
      <c r="E343" s="479"/>
      <c r="F343" s="479"/>
      <c r="G343" s="479"/>
      <c r="H343" s="479"/>
      <c r="I343" s="479"/>
      <c r="J343" s="479"/>
      <c r="K343" s="479"/>
      <c r="L343" s="479"/>
      <c r="M343" s="479"/>
      <c r="N343" s="479"/>
      <c r="O343" s="479"/>
      <c r="P343" s="479"/>
      <c r="Q343" s="1320">
        <v>17</v>
      </c>
      <c r="R343" s="479"/>
      <c r="S343" s="485" t="s">
        <v>259</v>
      </c>
      <c r="T343" s="479"/>
      <c r="U343" s="496"/>
      <c r="V343" s="479"/>
      <c r="W343" s="496"/>
      <c r="X343" s="496"/>
      <c r="Y343" s="496"/>
      <c r="Z343" s="496"/>
      <c r="AA343" s="496"/>
      <c r="AB343" s="496"/>
      <c r="AC343" s="496"/>
      <c r="AD343" s="496"/>
      <c r="AE343" s="496">
        <f ca="1">SCH_D2.32!I24</f>
        <v>-1418703</v>
      </c>
      <c r="AF343" s="479"/>
      <c r="AG343" s="479"/>
      <c r="AH343" s="479"/>
      <c r="AI343" s="479"/>
      <c r="AJ343" s="479"/>
      <c r="AK343" s="479"/>
      <c r="AL343" s="479"/>
      <c r="AM343" s="479"/>
      <c r="AN343" s="479"/>
      <c r="AO343" s="479"/>
      <c r="AP343" s="479"/>
      <c r="AQ343" s="479"/>
      <c r="AR343" s="479"/>
      <c r="AS343" s="479"/>
      <c r="AT343" s="479"/>
      <c r="AU343" s="479"/>
    </row>
    <row r="344" spans="1:47">
      <c r="A344" s="479"/>
      <c r="B344" s="479"/>
      <c r="C344" s="479"/>
      <c r="D344" s="479"/>
      <c r="E344" s="479"/>
      <c r="F344" s="479"/>
      <c r="G344" s="479"/>
      <c r="H344" s="479"/>
      <c r="I344" s="479"/>
      <c r="J344" s="479"/>
      <c r="K344" s="479"/>
      <c r="L344" s="479"/>
      <c r="M344" s="479"/>
      <c r="N344" s="479"/>
      <c r="O344" s="479"/>
      <c r="P344" s="479"/>
      <c r="Q344" s="1320">
        <v>18</v>
      </c>
      <c r="R344" s="479"/>
      <c r="S344" s="485" t="s">
        <v>260</v>
      </c>
      <c r="T344" s="479"/>
      <c r="U344" s="496"/>
      <c r="V344" s="479"/>
      <c r="W344" s="496"/>
      <c r="X344" s="496"/>
      <c r="Y344" s="496"/>
      <c r="Z344" s="496"/>
      <c r="AA344" s="496"/>
      <c r="AB344" s="496"/>
      <c r="AC344" s="496"/>
      <c r="AD344" s="496"/>
      <c r="AE344" s="496"/>
      <c r="AF344" s="479"/>
      <c r="AG344" s="479"/>
      <c r="AH344" s="479"/>
      <c r="AI344" s="479"/>
      <c r="AJ344" s="479"/>
      <c r="AK344" s="479"/>
      <c r="AL344" s="479"/>
      <c r="AM344" s="479"/>
      <c r="AN344" s="479"/>
      <c r="AO344" s="479"/>
      <c r="AP344" s="479"/>
      <c r="AQ344" s="479"/>
      <c r="AR344" s="479"/>
      <c r="AS344" s="479"/>
      <c r="AT344" s="479"/>
      <c r="AU344" s="479"/>
    </row>
    <row r="345" spans="1:47">
      <c r="A345" s="479"/>
      <c r="B345" s="479"/>
      <c r="C345" s="479"/>
      <c r="D345" s="479"/>
      <c r="E345" s="479"/>
      <c r="F345" s="479"/>
      <c r="G345" s="479"/>
      <c r="H345" s="479"/>
      <c r="I345" s="479"/>
      <c r="J345" s="479"/>
      <c r="K345" s="479"/>
      <c r="L345" s="479"/>
      <c r="M345" s="479"/>
      <c r="N345" s="479"/>
      <c r="O345" s="479"/>
      <c r="P345" s="479"/>
      <c r="Q345" s="1320">
        <v>19</v>
      </c>
      <c r="R345" s="479"/>
      <c r="S345" s="485" t="s">
        <v>261</v>
      </c>
      <c r="T345" s="479"/>
      <c r="U345" s="496"/>
      <c r="V345" s="479"/>
      <c r="W345" s="496"/>
      <c r="X345" s="496"/>
      <c r="Y345" s="496"/>
      <c r="Z345" s="496"/>
      <c r="AA345" s="496"/>
      <c r="AB345" s="496"/>
      <c r="AC345" s="496"/>
      <c r="AD345" s="496"/>
      <c r="AE345" s="496"/>
      <c r="AF345" s="479"/>
      <c r="AG345" s="479"/>
      <c r="AH345" s="479"/>
      <c r="AI345" s="479"/>
      <c r="AJ345" s="479"/>
      <c r="AK345" s="479"/>
      <c r="AL345" s="479"/>
      <c r="AM345" s="479"/>
      <c r="AN345" s="479"/>
      <c r="AO345" s="479"/>
      <c r="AP345" s="479"/>
      <c r="AQ345" s="479"/>
      <c r="AR345" s="479"/>
      <c r="AS345" s="479"/>
      <c r="AT345" s="479"/>
      <c r="AU345" s="479"/>
    </row>
    <row r="346" spans="1:47">
      <c r="A346" s="479"/>
      <c r="B346" s="479"/>
      <c r="C346" s="479"/>
      <c r="D346" s="479"/>
      <c r="E346" s="479"/>
      <c r="F346" s="479"/>
      <c r="G346" s="479"/>
      <c r="H346" s="479"/>
      <c r="I346" s="479"/>
      <c r="J346" s="479"/>
      <c r="K346" s="479"/>
      <c r="L346" s="479"/>
      <c r="M346" s="479"/>
      <c r="N346" s="479"/>
      <c r="O346" s="479"/>
      <c r="P346" s="479"/>
      <c r="Q346" s="1320">
        <v>20</v>
      </c>
      <c r="R346" s="479"/>
      <c r="S346" s="485" t="s">
        <v>262</v>
      </c>
      <c r="T346" s="479"/>
      <c r="U346" s="496">
        <f>SCH_D2.27!H24</f>
        <v>-237780</v>
      </c>
      <c r="V346" s="479"/>
      <c r="W346" s="496"/>
      <c r="X346" s="496"/>
      <c r="Y346" s="479"/>
      <c r="Z346" s="496"/>
      <c r="AA346" s="496"/>
      <c r="AB346" s="496"/>
      <c r="AC346" s="496"/>
      <c r="AD346" s="496"/>
      <c r="AE346" s="496"/>
      <c r="AF346" s="479"/>
      <c r="AG346" s="479"/>
      <c r="AH346" s="479"/>
      <c r="AI346" s="479"/>
      <c r="AJ346" s="479"/>
      <c r="AK346" s="479"/>
      <c r="AL346" s="479"/>
      <c r="AM346" s="479"/>
      <c r="AN346" s="479"/>
      <c r="AO346" s="479"/>
      <c r="AP346" s="479"/>
      <c r="AQ346" s="479"/>
      <c r="AR346" s="479"/>
      <c r="AS346" s="479"/>
      <c r="AT346" s="479"/>
      <c r="AU346" s="479"/>
    </row>
    <row r="347" spans="1:47">
      <c r="A347" s="479"/>
      <c r="B347" s="479"/>
      <c r="C347" s="479"/>
      <c r="D347" s="479"/>
      <c r="E347" s="479"/>
      <c r="F347" s="479"/>
      <c r="G347" s="479"/>
      <c r="H347" s="479"/>
      <c r="I347" s="479"/>
      <c r="J347" s="479"/>
      <c r="K347" s="479"/>
      <c r="L347" s="479"/>
      <c r="M347" s="479"/>
      <c r="N347" s="479"/>
      <c r="O347" s="479"/>
      <c r="P347" s="479"/>
      <c r="Q347" s="1320">
        <v>21</v>
      </c>
      <c r="R347" s="479"/>
      <c r="S347" s="485" t="s">
        <v>1509</v>
      </c>
      <c r="T347" s="479"/>
      <c r="U347" s="496"/>
      <c r="V347" s="479"/>
      <c r="W347" s="496"/>
      <c r="X347" s="496"/>
      <c r="Y347" s="496"/>
      <c r="Z347" s="496"/>
      <c r="AA347" s="496"/>
      <c r="AB347" s="496"/>
      <c r="AC347" s="496">
        <f>SCH_D2.31!R56</f>
        <v>6247623</v>
      </c>
      <c r="AD347" s="496"/>
      <c r="AE347" s="496"/>
      <c r="AF347" s="479"/>
      <c r="AG347" s="479"/>
      <c r="AH347" s="479"/>
      <c r="AI347" s="479"/>
      <c r="AJ347" s="479"/>
      <c r="AK347" s="479"/>
      <c r="AL347" s="479"/>
      <c r="AM347" s="479"/>
      <c r="AN347" s="479"/>
      <c r="AO347" s="479"/>
      <c r="AP347" s="479"/>
      <c r="AQ347" s="479"/>
      <c r="AR347" s="479"/>
      <c r="AS347" s="479"/>
      <c r="AT347" s="479"/>
      <c r="AU347" s="479"/>
    </row>
    <row r="348" spans="1:47">
      <c r="A348" s="479"/>
      <c r="B348" s="479"/>
      <c r="C348" s="479"/>
      <c r="D348" s="479"/>
      <c r="E348" s="479"/>
      <c r="F348" s="479"/>
      <c r="G348" s="479"/>
      <c r="H348" s="479"/>
      <c r="I348" s="479"/>
      <c r="J348" s="479"/>
      <c r="K348" s="479"/>
      <c r="L348" s="479"/>
      <c r="M348" s="479"/>
      <c r="N348" s="479"/>
      <c r="O348" s="479"/>
      <c r="P348" s="479"/>
      <c r="Q348" s="1320">
        <v>22</v>
      </c>
      <c r="R348" s="479"/>
      <c r="S348" s="485" t="s">
        <v>1838</v>
      </c>
      <c r="T348" s="479"/>
      <c r="U348" s="497">
        <f>U338+SUM(U340:U347)</f>
        <v>-237780</v>
      </c>
      <c r="V348" s="479"/>
      <c r="W348" s="497">
        <f>W338+SUM(W340:W347)</f>
        <v>774947.4</v>
      </c>
      <c r="X348" s="496"/>
      <c r="Y348" s="497">
        <f>Y338+SUM(Y340:Y347)</f>
        <v>0</v>
      </c>
      <c r="Z348" s="496"/>
      <c r="AA348" s="497">
        <f>AA338+SUM(AA340:AA347)</f>
        <v>4777142.6000000006</v>
      </c>
      <c r="AB348" s="496"/>
      <c r="AC348" s="497">
        <f>AC338+SUM(AC340:AC347)</f>
        <v>6247623</v>
      </c>
      <c r="AD348" s="496"/>
      <c r="AE348" s="497">
        <f ca="1">AE338+SUM(AE340:AE347)</f>
        <v>-1418703</v>
      </c>
      <c r="AF348" s="479"/>
      <c r="AG348" s="479"/>
      <c r="AH348" s="479"/>
      <c r="AI348" s="479"/>
      <c r="AJ348" s="479"/>
      <c r="AK348" s="479"/>
      <c r="AL348" s="479"/>
      <c r="AM348" s="479"/>
      <c r="AN348" s="479"/>
      <c r="AO348" s="479"/>
      <c r="AP348" s="479"/>
      <c r="AQ348" s="479"/>
      <c r="AR348" s="479"/>
      <c r="AS348" s="479"/>
      <c r="AT348" s="479"/>
      <c r="AU348" s="479"/>
    </row>
    <row r="349" spans="1:47">
      <c r="A349" s="479"/>
      <c r="B349" s="479"/>
      <c r="C349" s="479"/>
      <c r="D349" s="479"/>
      <c r="E349" s="479"/>
      <c r="F349" s="479"/>
      <c r="G349" s="479"/>
      <c r="H349" s="479"/>
      <c r="I349" s="479"/>
      <c r="J349" s="479"/>
      <c r="K349" s="479"/>
      <c r="L349" s="479"/>
      <c r="M349" s="479"/>
      <c r="N349" s="479"/>
      <c r="O349" s="479"/>
      <c r="P349" s="479"/>
      <c r="Q349" s="1320">
        <v>23</v>
      </c>
      <c r="R349" s="479"/>
      <c r="S349" s="479"/>
      <c r="T349" s="479"/>
      <c r="U349" s="498"/>
      <c r="V349" s="479"/>
      <c r="W349" s="498"/>
      <c r="X349" s="498"/>
      <c r="Y349" s="498"/>
      <c r="Z349" s="498"/>
      <c r="AA349" s="498"/>
      <c r="AB349" s="498"/>
      <c r="AC349" s="498"/>
      <c r="AD349" s="498"/>
      <c r="AE349" s="498"/>
      <c r="AF349" s="479"/>
      <c r="AG349" s="479"/>
      <c r="AH349" s="479"/>
      <c r="AI349" s="479"/>
      <c r="AJ349" s="479"/>
      <c r="AK349" s="479"/>
      <c r="AL349" s="479"/>
      <c r="AM349" s="479"/>
      <c r="AN349" s="479"/>
      <c r="AO349" s="479"/>
      <c r="AP349" s="479"/>
      <c r="AQ349" s="479"/>
      <c r="AR349" s="479"/>
      <c r="AS349" s="479"/>
      <c r="AT349" s="479"/>
      <c r="AU349" s="479"/>
    </row>
    <row r="350" spans="1:47">
      <c r="A350" s="479"/>
      <c r="B350" s="479"/>
      <c r="C350" s="479"/>
      <c r="D350" s="479"/>
      <c r="E350" s="479"/>
      <c r="F350" s="479"/>
      <c r="G350" s="479"/>
      <c r="H350" s="479"/>
      <c r="I350" s="479"/>
      <c r="J350" s="479"/>
      <c r="K350" s="479"/>
      <c r="L350" s="479"/>
      <c r="M350" s="479"/>
      <c r="N350" s="479"/>
      <c r="O350" s="479"/>
      <c r="P350" s="479"/>
      <c r="Q350" s="1320">
        <v>24</v>
      </c>
      <c r="R350" s="479"/>
      <c r="S350" s="485" t="s">
        <v>805</v>
      </c>
      <c r="T350" s="479"/>
      <c r="U350" s="502">
        <f>SCH_C2!U373</f>
        <v>0</v>
      </c>
      <c r="V350" s="479"/>
      <c r="W350" s="502">
        <v>0</v>
      </c>
      <c r="X350" s="496"/>
      <c r="Y350" s="502">
        <v>0</v>
      </c>
      <c r="Z350" s="496"/>
      <c r="AA350" s="502">
        <v>0</v>
      </c>
      <c r="AB350" s="496"/>
      <c r="AC350" s="502">
        <v>0</v>
      </c>
      <c r="AD350" s="496"/>
      <c r="AE350" s="502">
        <v>0</v>
      </c>
      <c r="AF350" s="479"/>
      <c r="AG350" s="479"/>
      <c r="AH350" s="479"/>
      <c r="AI350" s="479"/>
      <c r="AJ350" s="479"/>
      <c r="AK350" s="479"/>
      <c r="AL350" s="479"/>
      <c r="AM350" s="479"/>
      <c r="AN350" s="479"/>
      <c r="AO350" s="479"/>
      <c r="AP350" s="479"/>
      <c r="AQ350" s="479"/>
      <c r="AR350" s="479"/>
      <c r="AS350" s="479"/>
      <c r="AT350" s="479"/>
      <c r="AU350" s="479"/>
    </row>
    <row r="351" spans="1:47">
      <c r="A351" s="479"/>
      <c r="B351" s="479"/>
      <c r="C351" s="479"/>
      <c r="D351" s="479"/>
      <c r="E351" s="479"/>
      <c r="F351" s="479"/>
      <c r="G351" s="479"/>
      <c r="H351" s="479"/>
      <c r="I351" s="479"/>
      <c r="J351" s="479"/>
      <c r="K351" s="479"/>
      <c r="L351" s="479"/>
      <c r="M351" s="479"/>
      <c r="N351" s="479"/>
      <c r="O351" s="479"/>
      <c r="P351" s="479"/>
      <c r="Q351" s="1320">
        <v>25</v>
      </c>
      <c r="R351" s="479"/>
      <c r="S351" s="479"/>
      <c r="T351" s="479"/>
      <c r="U351" s="498"/>
      <c r="V351" s="479"/>
      <c r="W351" s="498"/>
      <c r="X351" s="498"/>
      <c r="Y351" s="498"/>
      <c r="Z351" s="498"/>
      <c r="AA351" s="498"/>
      <c r="AB351" s="498"/>
      <c r="AC351" s="498"/>
      <c r="AD351" s="498"/>
      <c r="AE351" s="498"/>
      <c r="AF351" s="479"/>
      <c r="AG351" s="479"/>
      <c r="AH351" s="479"/>
      <c r="AI351" s="479"/>
      <c r="AJ351" s="479"/>
      <c r="AK351" s="479"/>
      <c r="AL351" s="479"/>
      <c r="AM351" s="479"/>
      <c r="AN351" s="479"/>
      <c r="AO351" s="479"/>
      <c r="AP351" s="479"/>
      <c r="AQ351" s="479"/>
      <c r="AR351" s="479"/>
      <c r="AS351" s="479"/>
      <c r="AT351" s="479"/>
      <c r="AU351" s="479"/>
    </row>
    <row r="352" spans="1:47">
      <c r="A352" s="479"/>
      <c r="B352" s="479"/>
      <c r="C352" s="479"/>
      <c r="D352" s="479"/>
      <c r="E352" s="479"/>
      <c r="F352" s="479"/>
      <c r="G352" s="479"/>
      <c r="H352" s="479"/>
      <c r="I352" s="479"/>
      <c r="J352" s="479"/>
      <c r="K352" s="479"/>
      <c r="L352" s="479"/>
      <c r="M352" s="479"/>
      <c r="N352" s="479"/>
      <c r="O352" s="479"/>
      <c r="P352" s="479"/>
      <c r="Q352" s="1320">
        <v>26</v>
      </c>
      <c r="R352" s="479"/>
      <c r="S352" s="485" t="s">
        <v>1932</v>
      </c>
      <c r="T352" s="479"/>
      <c r="U352" s="496"/>
      <c r="V352" s="479"/>
      <c r="W352" s="479"/>
      <c r="X352" s="479"/>
      <c r="Y352" s="479"/>
      <c r="Z352" s="479"/>
      <c r="AA352" s="479"/>
      <c r="AB352" s="479"/>
      <c r="AC352" s="479"/>
      <c r="AD352" s="479"/>
      <c r="AE352" s="479"/>
      <c r="AF352" s="479"/>
      <c r="AG352" s="479"/>
      <c r="AH352" s="479"/>
      <c r="AI352" s="479"/>
      <c r="AJ352" s="479"/>
      <c r="AK352" s="479"/>
      <c r="AL352" s="479"/>
      <c r="AM352" s="479"/>
      <c r="AN352" s="479"/>
      <c r="AO352" s="479"/>
      <c r="AP352" s="479"/>
      <c r="AQ352" s="479"/>
      <c r="AR352" s="479"/>
      <c r="AS352" s="479"/>
      <c r="AT352" s="479"/>
      <c r="AU352" s="479"/>
    </row>
    <row r="353" spans="1:47">
      <c r="A353" s="479"/>
      <c r="B353" s="479"/>
      <c r="C353" s="479"/>
      <c r="D353" s="479"/>
      <c r="E353" s="479"/>
      <c r="F353" s="479"/>
      <c r="G353" s="479"/>
      <c r="H353" s="479"/>
      <c r="I353" s="479"/>
      <c r="J353" s="479"/>
      <c r="K353" s="479"/>
      <c r="L353" s="479"/>
      <c r="M353" s="479"/>
      <c r="N353" s="479"/>
      <c r="O353" s="479"/>
      <c r="P353" s="479"/>
      <c r="Q353" s="1320">
        <v>27</v>
      </c>
      <c r="R353" s="479"/>
      <c r="S353" s="485" t="s">
        <v>1210</v>
      </c>
      <c r="T353" s="479"/>
      <c r="U353" s="496"/>
      <c r="V353" s="479"/>
      <c r="W353" s="496"/>
      <c r="X353" s="496"/>
      <c r="Y353" s="496"/>
      <c r="Z353" s="496"/>
      <c r="AA353" s="496"/>
      <c r="AB353" s="496"/>
      <c r="AC353" s="496"/>
      <c r="AD353" s="496"/>
      <c r="AE353" s="496"/>
      <c r="AF353" s="479"/>
      <c r="AG353" s="479"/>
      <c r="AH353" s="479"/>
      <c r="AI353" s="479"/>
      <c r="AJ353" s="479"/>
      <c r="AK353" s="479"/>
      <c r="AL353" s="479"/>
      <c r="AM353" s="479"/>
      <c r="AN353" s="479"/>
      <c r="AO353" s="479"/>
      <c r="AP353" s="479"/>
      <c r="AQ353" s="479"/>
      <c r="AR353" s="479"/>
      <c r="AS353" s="479"/>
      <c r="AT353" s="479"/>
      <c r="AU353" s="479"/>
    </row>
    <row r="354" spans="1:47">
      <c r="A354" s="479"/>
      <c r="B354" s="479"/>
      <c r="C354" s="479"/>
      <c r="D354" s="479"/>
      <c r="E354" s="479"/>
      <c r="F354" s="479"/>
      <c r="G354" s="479"/>
      <c r="H354" s="479"/>
      <c r="I354" s="479"/>
      <c r="J354" s="479"/>
      <c r="K354" s="479"/>
      <c r="L354" s="479"/>
      <c r="M354" s="479"/>
      <c r="N354" s="479"/>
      <c r="O354" s="479"/>
      <c r="P354" s="479"/>
      <c r="Q354" s="1320">
        <v>28</v>
      </c>
      <c r="R354" s="479"/>
      <c r="S354" s="485" t="s">
        <v>1212</v>
      </c>
      <c r="T354" s="479"/>
      <c r="U354" s="496"/>
      <c r="V354" s="479"/>
      <c r="W354" s="496"/>
      <c r="X354" s="496"/>
      <c r="Y354" s="496"/>
      <c r="Z354" s="496"/>
      <c r="AA354" s="496"/>
      <c r="AB354" s="496"/>
      <c r="AC354" s="496"/>
      <c r="AD354" s="496"/>
      <c r="AE354" s="496"/>
      <c r="AF354" s="479"/>
      <c r="AG354" s="479"/>
      <c r="AH354" s="479"/>
      <c r="AI354" s="479"/>
      <c r="AJ354" s="479"/>
      <c r="AK354" s="479"/>
      <c r="AL354" s="479"/>
      <c r="AM354" s="479"/>
      <c r="AN354" s="479"/>
      <c r="AO354" s="479"/>
      <c r="AP354" s="479"/>
      <c r="AQ354" s="479"/>
      <c r="AR354" s="479"/>
      <c r="AS354" s="479"/>
      <c r="AT354" s="479"/>
      <c r="AU354" s="479"/>
    </row>
    <row r="355" spans="1:47">
      <c r="A355" s="479"/>
      <c r="B355" s="479"/>
      <c r="C355" s="479"/>
      <c r="D355" s="479"/>
      <c r="E355" s="479"/>
      <c r="F355" s="479"/>
      <c r="G355" s="479"/>
      <c r="H355" s="479"/>
      <c r="I355" s="479"/>
      <c r="J355" s="479"/>
      <c r="K355" s="479"/>
      <c r="L355" s="479"/>
      <c r="M355" s="479"/>
      <c r="N355" s="479"/>
      <c r="O355" s="479"/>
      <c r="P355" s="479"/>
      <c r="Q355" s="1320">
        <v>29</v>
      </c>
      <c r="R355" s="479"/>
      <c r="S355" s="485" t="s">
        <v>1842</v>
      </c>
      <c r="T355" s="479"/>
      <c r="U355" s="497">
        <f>SUM(U353:U354)</f>
        <v>0</v>
      </c>
      <c r="V355" s="479"/>
      <c r="W355" s="497">
        <f>SUM(W353:W354)</f>
        <v>0</v>
      </c>
      <c r="X355" s="496"/>
      <c r="Y355" s="497">
        <f>SUM(Y353:Y354)</f>
        <v>0</v>
      </c>
      <c r="Z355" s="496"/>
      <c r="AA355" s="497">
        <f>SUM(AA353:AA354)</f>
        <v>0</v>
      </c>
      <c r="AB355" s="496"/>
      <c r="AC355" s="497">
        <f>SUM(AC353:AC354)</f>
        <v>0</v>
      </c>
      <c r="AD355" s="496"/>
      <c r="AE355" s="497">
        <f>SUM(AE353:AE354)</f>
        <v>0</v>
      </c>
      <c r="AF355" s="479"/>
      <c r="AG355" s="479"/>
      <c r="AH355" s="479"/>
      <c r="AI355" s="479"/>
      <c r="AJ355" s="479"/>
      <c r="AK355" s="479"/>
      <c r="AL355" s="479"/>
      <c r="AM355" s="479"/>
      <c r="AN355" s="479"/>
      <c r="AO355" s="479"/>
      <c r="AP355" s="479"/>
      <c r="AQ355" s="479"/>
      <c r="AR355" s="479"/>
      <c r="AS355" s="479"/>
      <c r="AT355" s="479"/>
      <c r="AU355" s="479"/>
    </row>
    <row r="356" spans="1:47">
      <c r="A356" s="479"/>
      <c r="B356" s="479"/>
      <c r="C356" s="479"/>
      <c r="D356" s="479"/>
      <c r="E356" s="479"/>
      <c r="F356" s="479"/>
      <c r="G356" s="479"/>
      <c r="H356" s="479"/>
      <c r="I356" s="479"/>
      <c r="J356" s="479"/>
      <c r="K356" s="479"/>
      <c r="L356" s="479"/>
      <c r="M356" s="479"/>
      <c r="N356" s="479"/>
      <c r="O356" s="479"/>
      <c r="P356" s="479"/>
      <c r="Q356" s="1320">
        <v>30</v>
      </c>
      <c r="R356" s="479"/>
      <c r="S356" s="485"/>
      <c r="T356" s="479"/>
      <c r="U356" s="501"/>
      <c r="V356" s="479"/>
      <c r="W356" s="501"/>
      <c r="X356" s="496"/>
      <c r="Y356" s="501"/>
      <c r="Z356" s="496"/>
      <c r="AA356" s="501"/>
      <c r="AB356" s="496"/>
      <c r="AC356" s="501"/>
      <c r="AD356" s="496"/>
      <c r="AE356" s="501"/>
      <c r="AF356" s="479"/>
      <c r="AG356" s="479"/>
      <c r="AH356" s="479"/>
      <c r="AI356" s="479"/>
      <c r="AJ356" s="479"/>
      <c r="AK356" s="479"/>
      <c r="AL356" s="479"/>
      <c r="AM356" s="479"/>
      <c r="AN356" s="479"/>
      <c r="AO356" s="479"/>
      <c r="AP356" s="479"/>
      <c r="AQ356" s="479"/>
      <c r="AR356" s="479"/>
      <c r="AS356" s="479"/>
      <c r="AT356" s="479"/>
      <c r="AU356" s="479"/>
    </row>
    <row r="357" spans="1:47">
      <c r="A357" s="479"/>
      <c r="B357" s="479"/>
      <c r="C357" s="479"/>
      <c r="D357" s="479"/>
      <c r="E357" s="479"/>
      <c r="F357" s="479"/>
      <c r="G357" s="479"/>
      <c r="H357" s="479"/>
      <c r="I357" s="479"/>
      <c r="J357" s="479"/>
      <c r="K357" s="479"/>
      <c r="L357" s="479"/>
      <c r="M357" s="479"/>
      <c r="N357" s="479"/>
      <c r="O357" s="479"/>
      <c r="P357" s="479"/>
      <c r="Q357" s="1320">
        <v>31</v>
      </c>
      <c r="R357" s="479"/>
      <c r="S357" s="485" t="s">
        <v>1843</v>
      </c>
      <c r="T357" s="479"/>
      <c r="U357" s="479"/>
      <c r="V357" s="479"/>
      <c r="W357" s="479"/>
      <c r="X357" s="479"/>
      <c r="Y357" s="479"/>
      <c r="Z357" s="479"/>
      <c r="AA357" s="479"/>
      <c r="AB357" s="479"/>
      <c r="AC357" s="479"/>
      <c r="AD357" s="479"/>
      <c r="AE357" s="479"/>
      <c r="AF357" s="479"/>
      <c r="AG357" s="479"/>
      <c r="AH357" s="479"/>
      <c r="AI357" s="479"/>
      <c r="AJ357" s="479"/>
      <c r="AK357" s="479"/>
      <c r="AL357" s="479"/>
      <c r="AM357" s="479"/>
      <c r="AN357" s="479"/>
      <c r="AO357" s="479"/>
      <c r="AP357" s="479"/>
      <c r="AQ357" s="479"/>
      <c r="AR357" s="479"/>
      <c r="AS357" s="479"/>
      <c r="AT357" s="479"/>
      <c r="AU357" s="479"/>
    </row>
    <row r="358" spans="1:47">
      <c r="A358" s="479"/>
      <c r="B358" s="479"/>
      <c r="C358" s="479"/>
      <c r="D358" s="479"/>
      <c r="E358" s="479"/>
      <c r="F358" s="479"/>
      <c r="G358" s="479"/>
      <c r="H358" s="479"/>
      <c r="I358" s="479"/>
      <c r="J358" s="479"/>
      <c r="K358" s="479"/>
      <c r="L358" s="479"/>
      <c r="M358" s="479"/>
      <c r="N358" s="479"/>
      <c r="O358" s="479"/>
      <c r="P358" s="479"/>
      <c r="Q358" s="1320">
        <v>32</v>
      </c>
      <c r="R358" s="479"/>
      <c r="S358" s="485" t="s">
        <v>910</v>
      </c>
      <c r="T358" s="479"/>
      <c r="U358" s="496">
        <f>ROUND((U331-U348-U350-U355)*SIT*APPORT,0)</f>
        <v>12710</v>
      </c>
      <c r="V358" s="479"/>
      <c r="W358" s="496">
        <f>ROUND((W331-W348-W350-W355)*SIT*APPORT,0)</f>
        <v>-41423</v>
      </c>
      <c r="X358" s="496"/>
      <c r="Y358" s="496">
        <f>ROUND((Y331-Y348-Y350-Y355)*SIT*APPORT,0)</f>
        <v>6533</v>
      </c>
      <c r="Z358" s="496"/>
      <c r="AA358" s="496">
        <f>ROUND((AA331-AA348-AA350-AA355)*SIT*APPORT,0)</f>
        <v>-255348</v>
      </c>
      <c r="AB358" s="496"/>
      <c r="AC358" s="496">
        <f>ROUND((AC331-AC348-AC350-AC355)*SIT*APPORT,0)</f>
        <v>-333948</v>
      </c>
      <c r="AD358" s="496"/>
      <c r="AE358" s="496">
        <f ca="1">ROUND((AE331-AE348-AE350-AE355)*SIT*APPORT,0)</f>
        <v>75833</v>
      </c>
      <c r="AF358" s="479"/>
      <c r="AG358" s="479"/>
      <c r="AH358" s="479"/>
      <c r="AI358" s="479"/>
      <c r="AJ358" s="479"/>
      <c r="AK358" s="479"/>
      <c r="AL358" s="479"/>
      <c r="AM358" s="479"/>
      <c r="AN358" s="479"/>
      <c r="AO358" s="479"/>
      <c r="AP358" s="479"/>
      <c r="AQ358" s="479"/>
      <c r="AR358" s="479"/>
      <c r="AS358" s="479"/>
      <c r="AT358" s="479"/>
      <c r="AU358" s="479"/>
    </row>
    <row r="359" spans="1:47">
      <c r="A359" s="479"/>
      <c r="B359" s="479"/>
      <c r="C359" s="479"/>
      <c r="D359" s="479"/>
      <c r="E359" s="479"/>
      <c r="F359" s="479"/>
      <c r="G359" s="479"/>
      <c r="H359" s="479"/>
      <c r="I359" s="479"/>
      <c r="J359" s="479"/>
      <c r="K359" s="479"/>
      <c r="L359" s="479"/>
      <c r="M359" s="479"/>
      <c r="N359" s="479"/>
      <c r="O359" s="479"/>
      <c r="P359" s="479"/>
      <c r="Q359" s="1320">
        <v>33</v>
      </c>
      <c r="R359" s="479"/>
      <c r="S359" s="485" t="s">
        <v>1800</v>
      </c>
      <c r="T359" s="479"/>
      <c r="U359" s="496"/>
      <c r="V359" s="479"/>
      <c r="W359" s="496"/>
      <c r="X359" s="496"/>
      <c r="Y359" s="496"/>
      <c r="Z359" s="496"/>
      <c r="AA359" s="496"/>
      <c r="AB359" s="496"/>
      <c r="AC359" s="496"/>
      <c r="AD359" s="496"/>
      <c r="AE359" s="496"/>
      <c r="AF359" s="479"/>
      <c r="AG359" s="479"/>
      <c r="AH359" s="479"/>
      <c r="AI359" s="479"/>
      <c r="AJ359" s="479"/>
      <c r="AK359" s="479"/>
      <c r="AL359" s="479"/>
      <c r="AM359" s="479"/>
      <c r="AN359" s="479"/>
      <c r="AO359" s="479"/>
      <c r="AP359" s="479"/>
      <c r="AQ359" s="479"/>
      <c r="AR359" s="479"/>
      <c r="AS359" s="479"/>
      <c r="AT359" s="479"/>
      <c r="AU359" s="479"/>
    </row>
    <row r="360" spans="1:47">
      <c r="A360" s="479"/>
      <c r="B360" s="479"/>
      <c r="C360" s="479"/>
      <c r="D360" s="479"/>
      <c r="E360" s="479"/>
      <c r="F360" s="479"/>
      <c r="G360" s="479"/>
      <c r="H360" s="479"/>
      <c r="I360" s="479"/>
      <c r="J360" s="479"/>
      <c r="K360" s="479"/>
      <c r="L360" s="479"/>
      <c r="M360" s="479"/>
      <c r="N360" s="479"/>
      <c r="O360" s="479"/>
      <c r="P360" s="479"/>
      <c r="Q360" s="1320">
        <v>34</v>
      </c>
      <c r="R360" s="479"/>
      <c r="S360" s="485" t="s">
        <v>1848</v>
      </c>
      <c r="T360" s="479"/>
      <c r="U360" s="497">
        <f>SUM(U358:U359)</f>
        <v>12710</v>
      </c>
      <c r="V360" s="479"/>
      <c r="W360" s="497">
        <f>SUM(W358:W359)</f>
        <v>-41423</v>
      </c>
      <c r="X360" s="496"/>
      <c r="Y360" s="497">
        <f>SUM(Y358:Y359)</f>
        <v>6533</v>
      </c>
      <c r="Z360" s="496"/>
      <c r="AA360" s="497">
        <f>SUM(AA358:AA359)</f>
        <v>-255348</v>
      </c>
      <c r="AB360" s="496"/>
      <c r="AC360" s="497">
        <f>SUM(AC358:AC359)</f>
        <v>-333948</v>
      </c>
      <c r="AD360" s="496"/>
      <c r="AE360" s="497">
        <f ca="1">SUM(AE358:AE359)</f>
        <v>75833</v>
      </c>
      <c r="AF360" s="479"/>
      <c r="AG360" s="479"/>
      <c r="AH360" s="479"/>
      <c r="AI360" s="479"/>
      <c r="AJ360" s="479"/>
      <c r="AK360" s="479"/>
      <c r="AL360" s="479"/>
      <c r="AM360" s="479"/>
      <c r="AN360" s="479"/>
      <c r="AO360" s="479"/>
      <c r="AP360" s="479"/>
      <c r="AQ360" s="479"/>
      <c r="AR360" s="479"/>
      <c r="AS360" s="479"/>
      <c r="AT360" s="479"/>
      <c r="AU360" s="479"/>
    </row>
    <row r="361" spans="1:47">
      <c r="A361" s="479"/>
      <c r="B361" s="479"/>
      <c r="C361" s="479"/>
      <c r="D361" s="479"/>
      <c r="E361" s="479"/>
      <c r="F361" s="479"/>
      <c r="G361" s="479"/>
      <c r="H361" s="479"/>
      <c r="I361" s="479"/>
      <c r="J361" s="479"/>
      <c r="K361" s="479"/>
      <c r="L361" s="479"/>
      <c r="M361" s="479"/>
      <c r="N361" s="479"/>
      <c r="O361" s="479"/>
      <c r="P361" s="479"/>
      <c r="Q361" s="1320">
        <v>35</v>
      </c>
      <c r="R361" s="479"/>
      <c r="S361" s="479"/>
      <c r="T361" s="479"/>
      <c r="U361" s="498"/>
      <c r="V361" s="479"/>
      <c r="W361" s="498"/>
      <c r="X361" s="498"/>
      <c r="Y361" s="498"/>
      <c r="Z361" s="498"/>
      <c r="AA361" s="498"/>
      <c r="AB361" s="498"/>
      <c r="AC361" s="498"/>
      <c r="AD361" s="498"/>
      <c r="AE361" s="498"/>
      <c r="AF361" s="479"/>
      <c r="AG361" s="479"/>
      <c r="AH361" s="479"/>
      <c r="AI361" s="479"/>
      <c r="AJ361" s="479"/>
      <c r="AK361" s="479"/>
      <c r="AL361" s="479"/>
      <c r="AM361" s="479"/>
      <c r="AN361" s="479"/>
      <c r="AO361" s="479"/>
      <c r="AP361" s="479"/>
      <c r="AQ361" s="479"/>
      <c r="AR361" s="479"/>
      <c r="AS361" s="479"/>
      <c r="AT361" s="479"/>
      <c r="AU361" s="479"/>
    </row>
    <row r="362" spans="1:47">
      <c r="A362" s="479"/>
      <c r="B362" s="479"/>
      <c r="C362" s="479"/>
      <c r="D362" s="479"/>
      <c r="E362" s="479"/>
      <c r="F362" s="479"/>
      <c r="G362" s="479"/>
      <c r="H362" s="479"/>
      <c r="I362" s="479"/>
      <c r="J362" s="479"/>
      <c r="K362" s="479"/>
      <c r="L362" s="479"/>
      <c r="M362" s="479"/>
      <c r="N362" s="479"/>
      <c r="O362" s="479"/>
      <c r="P362" s="479"/>
      <c r="Q362" s="1320">
        <v>36</v>
      </c>
      <c r="R362" s="479"/>
      <c r="S362" s="485" t="s">
        <v>379</v>
      </c>
      <c r="T362" s="479"/>
      <c r="U362" s="479"/>
      <c r="V362" s="479"/>
      <c r="W362" s="479"/>
      <c r="X362" s="479"/>
      <c r="Y362" s="479"/>
      <c r="Z362" s="479"/>
      <c r="AA362" s="479"/>
      <c r="AB362" s="479"/>
      <c r="AC362" s="479"/>
      <c r="AD362" s="479"/>
      <c r="AE362" s="479"/>
      <c r="AF362" s="479"/>
      <c r="AG362" s="479"/>
      <c r="AH362" s="479"/>
      <c r="AI362" s="479"/>
      <c r="AJ362" s="479"/>
      <c r="AK362" s="479"/>
      <c r="AL362" s="479"/>
      <c r="AM362" s="479"/>
      <c r="AN362" s="479"/>
      <c r="AO362" s="479"/>
      <c r="AP362" s="479"/>
      <c r="AQ362" s="479"/>
      <c r="AR362" s="479"/>
      <c r="AS362" s="479"/>
      <c r="AT362" s="479"/>
      <c r="AU362" s="479"/>
    </row>
    <row r="363" spans="1:47">
      <c r="A363" s="479"/>
      <c r="B363" s="479"/>
      <c r="C363" s="479"/>
      <c r="D363" s="479"/>
      <c r="E363" s="479"/>
      <c r="F363" s="479"/>
      <c r="G363" s="479"/>
      <c r="H363" s="479"/>
      <c r="I363" s="479"/>
      <c r="J363" s="479"/>
      <c r="K363" s="479"/>
      <c r="L363" s="479"/>
      <c r="M363" s="479"/>
      <c r="N363" s="479"/>
      <c r="O363" s="479"/>
      <c r="P363" s="479"/>
      <c r="Q363" s="1320">
        <v>37</v>
      </c>
      <c r="R363" s="479"/>
      <c r="S363" s="485" t="s">
        <v>910</v>
      </c>
      <c r="T363" s="479"/>
      <c r="U363" s="496">
        <f>ROUND((U331-U348-U350-U355-U358)*FIT,0)</f>
        <v>78775</v>
      </c>
      <c r="V363" s="479"/>
      <c r="W363" s="496">
        <f>ROUND((W331-W348-W350-W355-W358)*FIT,0)</f>
        <v>-256734</v>
      </c>
      <c r="X363" s="496"/>
      <c r="Y363" s="496">
        <f>ROUND((Y331-Y348-Y350-Y355-Y358)*FIT,0)</f>
        <v>40494</v>
      </c>
      <c r="Z363" s="496"/>
      <c r="AA363" s="496">
        <f>ROUND((AA331-AA348-AA350-AA355-AA358)*FIT,0)</f>
        <v>-1582628</v>
      </c>
      <c r="AB363" s="496"/>
      <c r="AC363" s="496">
        <f>ROUND((AC331-AC348-AC350-AC355-AC358)*FIT,0)</f>
        <v>-2069786</v>
      </c>
      <c r="AD363" s="496"/>
      <c r="AE363" s="496">
        <f ca="1">ROUND((AE331-AE348-AE350-AE355-AE358)*FIT,0)</f>
        <v>470005</v>
      </c>
      <c r="AF363" s="479"/>
      <c r="AG363" s="479"/>
      <c r="AH363" s="479"/>
      <c r="AI363" s="479"/>
      <c r="AJ363" s="479"/>
      <c r="AK363" s="479"/>
      <c r="AL363" s="479"/>
      <c r="AM363" s="479"/>
      <c r="AN363" s="479"/>
      <c r="AO363" s="479"/>
      <c r="AP363" s="479"/>
      <c r="AQ363" s="479"/>
      <c r="AR363" s="479"/>
      <c r="AS363" s="479"/>
      <c r="AT363" s="479"/>
      <c r="AU363" s="479"/>
    </row>
    <row r="364" spans="1:47">
      <c r="A364" s="479"/>
      <c r="B364" s="479"/>
      <c r="C364" s="479"/>
      <c r="D364" s="479"/>
      <c r="E364" s="479"/>
      <c r="F364" s="479"/>
      <c r="G364" s="479"/>
      <c r="H364" s="479"/>
      <c r="I364" s="479"/>
      <c r="J364" s="479"/>
      <c r="K364" s="479"/>
      <c r="L364" s="479"/>
      <c r="M364" s="479"/>
      <c r="N364" s="479"/>
      <c r="O364" s="479"/>
      <c r="P364" s="479"/>
      <c r="Q364" s="1320">
        <v>38</v>
      </c>
      <c r="R364" s="479"/>
      <c r="S364" s="485" t="s">
        <v>1800</v>
      </c>
      <c r="T364" s="479"/>
      <c r="U364" s="496"/>
      <c r="V364" s="479"/>
      <c r="W364" s="496"/>
      <c r="X364" s="496"/>
      <c r="Y364" s="496"/>
      <c r="Z364" s="496"/>
      <c r="AA364" s="496"/>
      <c r="AB364" s="496"/>
      <c r="AC364" s="496"/>
      <c r="AD364" s="496"/>
      <c r="AE364" s="496"/>
      <c r="AF364" s="479"/>
      <c r="AG364" s="479"/>
      <c r="AH364" s="479"/>
      <c r="AI364" s="479"/>
      <c r="AJ364" s="479"/>
      <c r="AK364" s="479"/>
      <c r="AL364" s="479"/>
      <c r="AM364" s="479"/>
      <c r="AN364" s="479"/>
      <c r="AO364" s="479"/>
      <c r="AP364" s="479"/>
      <c r="AQ364" s="479"/>
      <c r="AR364" s="479"/>
      <c r="AS364" s="479"/>
      <c r="AT364" s="479"/>
      <c r="AU364" s="479"/>
    </row>
    <row r="365" spans="1:47">
      <c r="A365" s="479"/>
      <c r="B365" s="479"/>
      <c r="C365" s="479"/>
      <c r="D365" s="479"/>
      <c r="E365" s="479"/>
      <c r="F365" s="479"/>
      <c r="G365" s="479"/>
      <c r="H365" s="479"/>
      <c r="I365" s="479"/>
      <c r="J365" s="479"/>
      <c r="K365" s="479"/>
      <c r="L365" s="479"/>
      <c r="M365" s="479"/>
      <c r="N365" s="479"/>
      <c r="O365" s="479"/>
      <c r="P365" s="479"/>
      <c r="Q365" s="1320">
        <v>39</v>
      </c>
      <c r="R365" s="479"/>
      <c r="S365" s="485" t="s">
        <v>1021</v>
      </c>
      <c r="T365" s="479"/>
      <c r="U365" s="496"/>
      <c r="V365" s="479"/>
      <c r="W365" s="496"/>
      <c r="X365" s="496"/>
      <c r="Y365" s="496"/>
      <c r="Z365" s="496"/>
      <c r="AA365" s="496"/>
      <c r="AB365" s="496"/>
      <c r="AC365" s="496"/>
      <c r="AD365" s="496"/>
      <c r="AE365" s="496"/>
      <c r="AF365" s="479"/>
      <c r="AG365" s="479"/>
      <c r="AH365" s="479"/>
      <c r="AI365" s="479"/>
      <c r="AJ365" s="479"/>
      <c r="AK365" s="479"/>
      <c r="AL365" s="479"/>
      <c r="AM365" s="479"/>
      <c r="AN365" s="479"/>
      <c r="AO365" s="479"/>
      <c r="AP365" s="479"/>
      <c r="AQ365" s="479"/>
      <c r="AR365" s="479"/>
      <c r="AS365" s="479"/>
      <c r="AT365" s="479"/>
      <c r="AU365" s="479"/>
    </row>
    <row r="366" spans="1:47">
      <c r="A366" s="479"/>
      <c r="B366" s="479"/>
      <c r="C366" s="479"/>
      <c r="D366" s="479"/>
      <c r="E366" s="479"/>
      <c r="F366" s="479"/>
      <c r="G366" s="479"/>
      <c r="H366" s="479"/>
      <c r="I366" s="479"/>
      <c r="J366" s="479"/>
      <c r="K366" s="479"/>
      <c r="L366" s="479"/>
      <c r="M366" s="479"/>
      <c r="N366" s="479"/>
      <c r="O366" s="479"/>
      <c r="P366" s="479"/>
      <c r="Q366" s="1320">
        <v>40</v>
      </c>
      <c r="R366" s="479"/>
      <c r="S366" s="485" t="s">
        <v>1850</v>
      </c>
      <c r="T366" s="479"/>
      <c r="U366" s="497">
        <f>SUM(U363:U365)</f>
        <v>78775</v>
      </c>
      <c r="V366" s="479"/>
      <c r="W366" s="497">
        <f>SUM(W363:W365)</f>
        <v>-256734</v>
      </c>
      <c r="X366" s="496"/>
      <c r="Y366" s="497">
        <f>SUM(Y363:Y365)</f>
        <v>40494</v>
      </c>
      <c r="Z366" s="496"/>
      <c r="AA366" s="497">
        <f>SUM(AA363:AA365)</f>
        <v>-1582628</v>
      </c>
      <c r="AB366" s="496"/>
      <c r="AC366" s="497">
        <f>SUM(AC363:AC365)</f>
        <v>-2069786</v>
      </c>
      <c r="AD366" s="496"/>
      <c r="AE366" s="497">
        <f ca="1">SUM(AE363:AE365)</f>
        <v>470005</v>
      </c>
      <c r="AF366" s="479"/>
      <c r="AG366" s="479"/>
      <c r="AH366" s="479"/>
      <c r="AI366" s="479"/>
      <c r="AJ366" s="479"/>
      <c r="AK366" s="479"/>
      <c r="AL366" s="479"/>
      <c r="AM366" s="479"/>
      <c r="AN366" s="479"/>
      <c r="AO366" s="479"/>
      <c r="AP366" s="479"/>
      <c r="AQ366" s="479"/>
      <c r="AR366" s="479"/>
      <c r="AS366" s="479"/>
      <c r="AT366" s="479"/>
      <c r="AU366" s="479"/>
    </row>
    <row r="367" spans="1:47">
      <c r="A367" s="479"/>
      <c r="B367" s="479"/>
      <c r="C367" s="479"/>
      <c r="D367" s="479"/>
      <c r="E367" s="479"/>
      <c r="F367" s="479"/>
      <c r="G367" s="479"/>
      <c r="H367" s="479"/>
      <c r="I367" s="479"/>
      <c r="J367" s="479"/>
      <c r="K367" s="479"/>
      <c r="L367" s="479"/>
      <c r="M367" s="479"/>
      <c r="N367" s="479"/>
      <c r="O367" s="479"/>
      <c r="P367" s="479"/>
      <c r="Q367" s="1320">
        <v>41</v>
      </c>
      <c r="R367" s="479"/>
      <c r="S367" s="479"/>
      <c r="T367" s="479"/>
      <c r="U367" s="498"/>
      <c r="V367" s="479"/>
      <c r="W367" s="498"/>
      <c r="X367" s="498"/>
      <c r="Y367" s="498"/>
      <c r="Z367" s="498"/>
      <c r="AA367" s="498"/>
      <c r="AB367" s="498"/>
      <c r="AC367" s="498"/>
      <c r="AD367" s="498"/>
      <c r="AE367" s="498"/>
      <c r="AF367" s="479"/>
      <c r="AG367" s="479"/>
      <c r="AH367" s="479"/>
      <c r="AI367" s="479"/>
      <c r="AJ367" s="479"/>
      <c r="AK367" s="479"/>
      <c r="AL367" s="479"/>
      <c r="AM367" s="479"/>
      <c r="AN367" s="479"/>
      <c r="AO367" s="479"/>
      <c r="AP367" s="479"/>
      <c r="AQ367" s="479"/>
      <c r="AR367" s="479"/>
      <c r="AS367" s="479"/>
      <c r="AT367" s="479"/>
      <c r="AU367" s="479"/>
    </row>
    <row r="368" spans="1:47">
      <c r="A368" s="479"/>
      <c r="B368" s="479"/>
      <c r="C368" s="479"/>
      <c r="D368" s="479"/>
      <c r="E368" s="479"/>
      <c r="F368" s="479"/>
      <c r="G368" s="479"/>
      <c r="H368" s="479"/>
      <c r="I368" s="479"/>
      <c r="J368" s="479"/>
      <c r="K368" s="479"/>
      <c r="L368" s="479"/>
      <c r="M368" s="479"/>
      <c r="N368" s="479"/>
      <c r="O368" s="479"/>
      <c r="P368" s="479"/>
      <c r="Q368" s="1320">
        <v>42</v>
      </c>
      <c r="R368" s="479"/>
      <c r="S368" s="485" t="s">
        <v>1851</v>
      </c>
      <c r="T368" s="479"/>
      <c r="U368" s="502">
        <f>U348+U350+U355+U360+U366</f>
        <v>-146295</v>
      </c>
      <c r="V368" s="479"/>
      <c r="W368" s="502">
        <f>W348+W350+W355+W360+W366</f>
        <v>476790.4</v>
      </c>
      <c r="X368" s="496"/>
      <c r="Y368" s="502">
        <f>Y348+Y350+Y355+Y360+Y366</f>
        <v>47027</v>
      </c>
      <c r="Z368" s="496"/>
      <c r="AA368" s="502">
        <f>AA348+AA350+AA355+AA360+AA366</f>
        <v>2939166.6000000006</v>
      </c>
      <c r="AB368" s="496"/>
      <c r="AC368" s="502">
        <f>AC348+AC350+AC355+AC360+AC366</f>
        <v>3843889</v>
      </c>
      <c r="AD368" s="496"/>
      <c r="AE368" s="502">
        <f ca="1">AE348+AE350+AE355+AE360+AE366</f>
        <v>-872865</v>
      </c>
      <c r="AF368" s="479"/>
      <c r="AG368" s="479"/>
      <c r="AH368" s="479"/>
      <c r="AI368" s="479"/>
      <c r="AJ368" s="479"/>
      <c r="AK368" s="479"/>
      <c r="AL368" s="479"/>
      <c r="AM368" s="479"/>
      <c r="AN368" s="479"/>
      <c r="AO368" s="479"/>
      <c r="AP368" s="479"/>
      <c r="AQ368" s="479"/>
      <c r="AR368" s="479"/>
      <c r="AS368" s="479"/>
      <c r="AT368" s="479"/>
      <c r="AU368" s="479"/>
    </row>
    <row r="369" spans="1:47">
      <c r="A369" s="479"/>
      <c r="B369" s="479"/>
      <c r="C369" s="479"/>
      <c r="D369" s="479"/>
      <c r="E369" s="479"/>
      <c r="F369" s="479"/>
      <c r="G369" s="479"/>
      <c r="H369" s="479"/>
      <c r="I369" s="479"/>
      <c r="J369" s="479"/>
      <c r="K369" s="479"/>
      <c r="L369" s="479"/>
      <c r="M369" s="479"/>
      <c r="N369" s="479"/>
      <c r="O369" s="479"/>
      <c r="P369" s="479"/>
      <c r="Q369" s="1320">
        <v>43</v>
      </c>
      <c r="R369" s="479"/>
      <c r="S369" s="479"/>
      <c r="T369" s="479"/>
      <c r="U369" s="498"/>
      <c r="V369" s="479"/>
      <c r="W369" s="498"/>
      <c r="X369" s="498"/>
      <c r="Y369" s="498"/>
      <c r="Z369" s="498"/>
      <c r="AA369" s="498"/>
      <c r="AB369" s="498"/>
      <c r="AC369" s="498"/>
      <c r="AD369" s="498"/>
      <c r="AE369" s="498"/>
      <c r="AF369" s="479"/>
      <c r="AG369" s="479"/>
      <c r="AH369" s="479"/>
      <c r="AI369" s="479"/>
      <c r="AJ369" s="479"/>
      <c r="AK369" s="479"/>
      <c r="AL369" s="479"/>
      <c r="AM369" s="479"/>
      <c r="AN369" s="479"/>
      <c r="AO369" s="479"/>
      <c r="AP369" s="479"/>
      <c r="AQ369" s="479"/>
      <c r="AR369" s="479"/>
      <c r="AS369" s="479"/>
      <c r="AT369" s="479"/>
      <c r="AU369" s="479"/>
    </row>
    <row r="370" spans="1:47" ht="13.5" thickBot="1">
      <c r="A370" s="479"/>
      <c r="B370" s="479"/>
      <c r="C370" s="479"/>
      <c r="D370" s="479"/>
      <c r="E370" s="479"/>
      <c r="F370" s="479"/>
      <c r="G370" s="479"/>
      <c r="H370" s="479"/>
      <c r="I370" s="479"/>
      <c r="J370" s="479"/>
      <c r="K370" s="479"/>
      <c r="L370" s="479"/>
      <c r="M370" s="479"/>
      <c r="N370" s="479"/>
      <c r="O370" s="479"/>
      <c r="P370" s="479"/>
      <c r="Q370" s="1320">
        <v>44</v>
      </c>
      <c r="R370" s="479"/>
      <c r="S370" s="485" t="s">
        <v>1492</v>
      </c>
      <c r="T370" s="479"/>
      <c r="U370" s="505">
        <f>U331-U368</f>
        <v>146295</v>
      </c>
      <c r="V370" s="479"/>
      <c r="W370" s="505">
        <f>W331-W368</f>
        <v>-476790.4</v>
      </c>
      <c r="X370" s="496"/>
      <c r="Y370" s="505">
        <f>Y331-Y368</f>
        <v>75203</v>
      </c>
      <c r="Z370" s="496"/>
      <c r="AA370" s="505">
        <f>AA331-AA368</f>
        <v>-2939166.6000000006</v>
      </c>
      <c r="AB370" s="496"/>
      <c r="AC370" s="505">
        <f>AC331-AC368</f>
        <v>-3843889</v>
      </c>
      <c r="AD370" s="496"/>
      <c r="AE370" s="505">
        <f ca="1">AE331-AE368</f>
        <v>872865</v>
      </c>
      <c r="AF370" s="479"/>
      <c r="AG370" s="479"/>
      <c r="AH370" s="479"/>
      <c r="AI370" s="479"/>
      <c r="AJ370" s="479"/>
      <c r="AK370" s="479"/>
      <c r="AL370" s="479"/>
      <c r="AM370" s="479"/>
      <c r="AN370" s="479"/>
      <c r="AO370" s="479"/>
      <c r="AP370" s="479"/>
      <c r="AQ370" s="479"/>
      <c r="AR370" s="479"/>
      <c r="AS370" s="479"/>
      <c r="AT370" s="479"/>
      <c r="AU370" s="479"/>
    </row>
    <row r="371" spans="1:47" ht="13.5" thickTop="1">
      <c r="A371" s="479"/>
      <c r="B371" s="479"/>
      <c r="C371" s="479"/>
      <c r="D371" s="479"/>
      <c r="E371" s="479"/>
      <c r="F371" s="479"/>
      <c r="G371" s="479"/>
      <c r="H371" s="479"/>
      <c r="I371" s="479"/>
      <c r="J371" s="479"/>
      <c r="K371" s="479"/>
      <c r="L371" s="479"/>
      <c r="M371" s="479"/>
      <c r="N371" s="479"/>
      <c r="O371" s="479"/>
      <c r="P371" s="479"/>
      <c r="Q371" s="479"/>
      <c r="R371" s="479"/>
      <c r="S371" s="479"/>
      <c r="T371" s="496"/>
      <c r="U371" s="506">
        <f>IF(ISERR(ROUND((U360+U366)/(U370+U360+U366),4)=TRUE)," ",ROUND((U360+U366)/(U370+U360+U366),4))</f>
        <v>0.38469999999999999</v>
      </c>
      <c r="V371" s="479"/>
      <c r="W371" s="506">
        <f>IF(ISERR(ROUND((W360+W366)/(W370+W360+W366),4)=TRUE)," ",ROUND((W360+W366)/(W370+W360+W366),4))</f>
        <v>0.38469999999999999</v>
      </c>
      <c r="X371" s="506"/>
      <c r="Y371" s="506">
        <f>IF(ISERR(ROUND((Y360+Y366)/(Y370+Y360+Y366),4)=TRUE)," ",ROUND((Y360+Y366)/(Y370+Y360+Y366),4))</f>
        <v>0.38469999999999999</v>
      </c>
      <c r="Z371" s="506"/>
      <c r="AA371" s="506">
        <f>IF(ISERR(ROUND((AA360+AA366)/(AA370+AA360+AA366),4)=TRUE)," ",ROUND((AA360+AA366)/(AA370+AA360+AA366),4))</f>
        <v>0.38469999999999999</v>
      </c>
      <c r="AB371" s="506"/>
      <c r="AC371" s="506">
        <f>IF(ISERR(ROUND((AC360+AC366)/(AC370+AC360+AC366),4)=TRUE)," ",ROUND((AC360+AC366)/(AC370+AC360+AC366),4))</f>
        <v>0.38469999999999999</v>
      </c>
      <c r="AD371" s="506"/>
      <c r="AE371" s="506">
        <f ca="1">IF(ISERR(ROUND((AE360+AE366)/(AE370+AE360+AE366),4)=TRUE)," ",ROUND((AE360+AE366)/(AE370+AE360+AE366),4))</f>
        <v>0.38469999999999999</v>
      </c>
      <c r="AF371" s="479"/>
      <c r="AG371" s="479"/>
      <c r="AH371" s="479"/>
      <c r="AI371" s="479"/>
      <c r="AJ371" s="479"/>
      <c r="AK371" s="479"/>
      <c r="AL371" s="479"/>
      <c r="AM371" s="479"/>
      <c r="AN371" s="479"/>
      <c r="AO371" s="479"/>
      <c r="AP371" s="479"/>
      <c r="AQ371" s="479"/>
      <c r="AR371" s="479"/>
      <c r="AS371" s="479"/>
      <c r="AT371" s="479"/>
      <c r="AU371" s="479"/>
    </row>
    <row r="372" spans="1:47">
      <c r="A372" s="479"/>
      <c r="B372" s="479"/>
      <c r="C372" s="479"/>
      <c r="D372" s="479"/>
      <c r="E372" s="479"/>
      <c r="F372" s="479"/>
      <c r="G372" s="479"/>
      <c r="H372" s="479"/>
      <c r="I372" s="479"/>
      <c r="J372" s="479"/>
      <c r="K372" s="479"/>
      <c r="L372" s="479"/>
      <c r="M372" s="479"/>
      <c r="N372" s="479"/>
      <c r="O372" s="479"/>
      <c r="P372" s="479"/>
      <c r="Q372" s="485"/>
      <c r="R372" s="479"/>
      <c r="S372" s="479"/>
      <c r="T372" s="479"/>
      <c r="U372" s="504"/>
      <c r="V372" s="479"/>
      <c r="W372" s="504"/>
      <c r="X372" s="479"/>
      <c r="Y372" s="504"/>
      <c r="Z372" s="479"/>
      <c r="AA372" s="504"/>
      <c r="AB372" s="479"/>
      <c r="AC372" s="504"/>
      <c r="AD372" s="479"/>
      <c r="AE372" s="504"/>
      <c r="AF372" s="479"/>
      <c r="AG372" s="479"/>
      <c r="AH372" s="479"/>
      <c r="AI372" s="479"/>
      <c r="AJ372" s="479"/>
      <c r="AK372" s="479"/>
      <c r="AL372" s="479"/>
      <c r="AM372" s="479"/>
      <c r="AN372" s="479"/>
      <c r="AO372" s="479"/>
      <c r="AP372" s="479"/>
      <c r="AQ372" s="479"/>
      <c r="AR372" s="479"/>
      <c r="AS372" s="479"/>
      <c r="AT372" s="479"/>
      <c r="AU372" s="479"/>
    </row>
    <row r="373" spans="1:47">
      <c r="A373" s="479"/>
      <c r="B373" s="479"/>
      <c r="C373" s="479"/>
      <c r="D373" s="479"/>
      <c r="E373" s="479"/>
      <c r="F373" s="479"/>
      <c r="G373" s="479"/>
      <c r="H373" s="479"/>
      <c r="I373" s="479"/>
      <c r="J373" s="479"/>
      <c r="K373" s="479"/>
      <c r="L373" s="479"/>
      <c r="M373" s="479"/>
      <c r="N373" s="479"/>
      <c r="O373" s="479"/>
      <c r="P373" s="479"/>
      <c r="Q373" s="477" t="str">
        <f>COMPANY</f>
        <v>DUKE ENERGY KENTUCKY, INC.</v>
      </c>
      <c r="R373" s="478"/>
      <c r="S373" s="478"/>
      <c r="T373" s="478"/>
      <c r="U373" s="478"/>
      <c r="V373" s="478"/>
      <c r="W373" s="478"/>
      <c r="X373" s="478"/>
      <c r="Y373" s="478"/>
      <c r="Z373" s="478"/>
      <c r="AA373" s="478"/>
      <c r="AB373" s="478"/>
      <c r="AC373" s="478"/>
      <c r="AD373" s="478"/>
      <c r="AE373" s="478"/>
      <c r="AF373" s="479"/>
      <c r="AG373" s="479"/>
      <c r="AH373" s="479"/>
      <c r="AI373" s="479"/>
      <c r="AJ373" s="479"/>
      <c r="AK373" s="479"/>
      <c r="AL373" s="479"/>
      <c r="AM373" s="479"/>
      <c r="AN373" s="479"/>
      <c r="AO373" s="479"/>
      <c r="AP373" s="479"/>
      <c r="AQ373" s="479"/>
      <c r="AR373" s="479"/>
      <c r="AS373" s="479"/>
      <c r="AT373" s="479"/>
      <c r="AU373" s="479"/>
    </row>
    <row r="374" spans="1:47">
      <c r="A374" s="479"/>
      <c r="B374" s="479"/>
      <c r="C374" s="479"/>
      <c r="D374" s="479"/>
      <c r="E374" s="479"/>
      <c r="F374" s="479"/>
      <c r="G374" s="479"/>
      <c r="H374" s="479"/>
      <c r="I374" s="479"/>
      <c r="J374" s="479"/>
      <c r="K374" s="479"/>
      <c r="L374" s="479"/>
      <c r="M374" s="479"/>
      <c r="N374" s="479"/>
      <c r="O374" s="479"/>
      <c r="P374" s="479"/>
      <c r="Q374" s="477" t="str">
        <f>CASE</f>
        <v>CASE NO. 2017-00321</v>
      </c>
      <c r="R374" s="478"/>
      <c r="S374" s="478"/>
      <c r="T374" s="478"/>
      <c r="U374" s="480"/>
      <c r="V374" s="480"/>
      <c r="W374" s="478"/>
      <c r="X374" s="478"/>
      <c r="Y374" s="478"/>
      <c r="Z374" s="478"/>
      <c r="AA374" s="478"/>
      <c r="AB374" s="478"/>
      <c r="AC374" s="478"/>
      <c r="AD374" s="478"/>
      <c r="AE374" s="478"/>
      <c r="AF374" s="479"/>
      <c r="AG374" s="479"/>
      <c r="AH374" s="479"/>
      <c r="AI374" s="479"/>
      <c r="AJ374" s="479"/>
      <c r="AK374" s="479"/>
      <c r="AL374" s="479"/>
      <c r="AM374" s="479"/>
      <c r="AN374" s="479"/>
      <c r="AO374" s="479"/>
      <c r="AP374" s="479"/>
      <c r="AQ374" s="479"/>
      <c r="AR374" s="479"/>
      <c r="AS374" s="479"/>
      <c r="AT374" s="479"/>
      <c r="AU374" s="479"/>
    </row>
    <row r="375" spans="1:47">
      <c r="A375" s="479"/>
      <c r="B375" s="479"/>
      <c r="C375" s="479"/>
      <c r="D375" s="479"/>
      <c r="E375" s="479"/>
      <c r="F375" s="479"/>
      <c r="G375" s="479"/>
      <c r="H375" s="479"/>
      <c r="I375" s="479"/>
      <c r="J375" s="479"/>
      <c r="K375" s="479"/>
      <c r="L375" s="479"/>
      <c r="M375" s="479"/>
      <c r="N375" s="479"/>
      <c r="O375" s="479"/>
      <c r="P375" s="479"/>
      <c r="Q375" s="481" t="str">
        <f>$AG$501</f>
        <v>SUMMARY OF UTILITY JURISDICTIONAL ADJUSTMENTS TO</v>
      </c>
      <c r="R375" s="478"/>
      <c r="S375" s="478"/>
      <c r="T375" s="478"/>
      <c r="U375" s="478"/>
      <c r="V375" s="478"/>
      <c r="W375" s="478"/>
      <c r="X375" s="478"/>
      <c r="Y375" s="478"/>
      <c r="Z375" s="478"/>
      <c r="AA375" s="478"/>
      <c r="AB375" s="478"/>
      <c r="AC375" s="478"/>
      <c r="AD375" s="478"/>
      <c r="AE375" s="478"/>
      <c r="AF375" s="479"/>
      <c r="AG375" s="479"/>
      <c r="AH375" s="479"/>
      <c r="AI375" s="479"/>
      <c r="AJ375" s="479"/>
      <c r="AK375" s="479"/>
      <c r="AL375" s="479"/>
      <c r="AM375" s="479"/>
      <c r="AN375" s="479"/>
      <c r="AO375" s="479"/>
      <c r="AP375" s="479"/>
      <c r="AQ375" s="479"/>
      <c r="AR375" s="479"/>
      <c r="AS375" s="479"/>
      <c r="AT375" s="479"/>
      <c r="AU375" s="479"/>
    </row>
    <row r="376" spans="1:47">
      <c r="A376" s="479"/>
      <c r="B376" s="479"/>
      <c r="C376" s="479"/>
      <c r="D376" s="479"/>
      <c r="E376" s="479"/>
      <c r="F376" s="479"/>
      <c r="G376" s="479"/>
      <c r="H376" s="479"/>
      <c r="I376" s="479"/>
      <c r="J376" s="479"/>
      <c r="K376" s="479"/>
      <c r="L376" s="479"/>
      <c r="M376" s="479"/>
      <c r="N376" s="479"/>
      <c r="O376" s="479"/>
      <c r="P376" s="479"/>
      <c r="Q376" s="481" t="str">
        <f>$AG$502</f>
        <v>OPERATING INCOME BY MAJOR ACCOUNTS</v>
      </c>
      <c r="R376" s="478"/>
      <c r="S376" s="478"/>
      <c r="T376" s="478"/>
      <c r="U376" s="478"/>
      <c r="V376" s="478"/>
      <c r="W376" s="478"/>
      <c r="X376" s="478"/>
      <c r="Y376" s="478"/>
      <c r="Z376" s="478"/>
      <c r="AA376" s="478"/>
      <c r="AB376" s="478"/>
      <c r="AC376" s="478"/>
      <c r="AD376" s="478"/>
      <c r="AE376" s="478"/>
      <c r="AF376" s="479"/>
      <c r="AG376" s="479"/>
      <c r="AH376" s="479"/>
      <c r="AI376" s="479"/>
      <c r="AJ376" s="479"/>
      <c r="AK376" s="479"/>
      <c r="AL376" s="479"/>
      <c r="AM376" s="479"/>
      <c r="AN376" s="479"/>
      <c r="AO376" s="479"/>
      <c r="AP376" s="479"/>
      <c r="AQ376" s="479"/>
      <c r="AR376" s="479"/>
      <c r="AS376" s="479"/>
      <c r="AT376" s="479"/>
      <c r="AU376" s="479"/>
    </row>
    <row r="377" spans="1:47">
      <c r="A377" s="479"/>
      <c r="B377" s="479"/>
      <c r="C377" s="479"/>
      <c r="D377" s="479"/>
      <c r="E377" s="479"/>
      <c r="F377" s="479"/>
      <c r="G377" s="479"/>
      <c r="H377" s="479"/>
      <c r="I377" s="479"/>
      <c r="J377" s="479"/>
      <c r="K377" s="479"/>
      <c r="L377" s="479"/>
      <c r="M377" s="479"/>
      <c r="N377" s="479"/>
      <c r="O377" s="479"/>
      <c r="P377" s="479"/>
      <c r="Q377" s="482" t="str">
        <f>Q253</f>
        <v>PRO FORMA ADJUSTMENTS TO THE FORECASTED PERIOD</v>
      </c>
      <c r="R377" s="478"/>
      <c r="S377" s="478"/>
      <c r="T377" s="478"/>
      <c r="U377" s="478"/>
      <c r="V377" s="478"/>
      <c r="W377" s="478"/>
      <c r="X377" s="478"/>
      <c r="Y377" s="478"/>
      <c r="Z377" s="478"/>
      <c r="AA377" s="478"/>
      <c r="AB377" s="478"/>
      <c r="AC377" s="478"/>
      <c r="AD377" s="478"/>
      <c r="AE377" s="478"/>
      <c r="AF377" s="479"/>
      <c r="AG377" s="479"/>
      <c r="AH377" s="479"/>
      <c r="AI377" s="479"/>
      <c r="AJ377" s="479"/>
      <c r="AK377" s="479"/>
      <c r="AL377" s="479"/>
      <c r="AM377" s="479"/>
      <c r="AN377" s="479"/>
      <c r="AO377" s="479"/>
      <c r="AP377" s="479"/>
      <c r="AQ377" s="479"/>
      <c r="AR377" s="479"/>
      <c r="AS377" s="479"/>
      <c r="AT377" s="479"/>
      <c r="AU377" s="479"/>
    </row>
    <row r="378" spans="1:47">
      <c r="A378" s="479"/>
      <c r="B378" s="479"/>
      <c r="C378" s="479"/>
      <c r="D378" s="479"/>
      <c r="E378" s="479"/>
      <c r="F378" s="479"/>
      <c r="G378" s="479"/>
      <c r="H378" s="479"/>
      <c r="I378" s="479"/>
      <c r="J378" s="479"/>
      <c r="K378" s="479"/>
      <c r="L378" s="479"/>
      <c r="M378" s="479"/>
      <c r="N378" s="479"/>
      <c r="O378" s="479"/>
      <c r="P378" s="479"/>
      <c r="Q378" s="477" t="str">
        <f>PeriodF</f>
        <v>FOR THE TWELVE MONTHS ENDED MARCH 31, 2019</v>
      </c>
      <c r="R378" s="478"/>
      <c r="S378" s="478"/>
      <c r="T378" s="478"/>
      <c r="U378" s="478"/>
      <c r="V378" s="478"/>
      <c r="W378" s="478"/>
      <c r="X378" s="478"/>
      <c r="Y378" s="478"/>
      <c r="Z378" s="478"/>
      <c r="AA378" s="478"/>
      <c r="AB378" s="478"/>
      <c r="AC378" s="478"/>
      <c r="AD378" s="478"/>
      <c r="AE378" s="478"/>
      <c r="AF378" s="479"/>
      <c r="AG378" s="479"/>
      <c r="AH378" s="479"/>
      <c r="AI378" s="479"/>
      <c r="AJ378" s="479"/>
      <c r="AK378" s="479"/>
      <c r="AL378" s="479"/>
      <c r="AM378" s="479"/>
      <c r="AN378" s="479"/>
      <c r="AO378" s="479"/>
      <c r="AP378" s="479"/>
      <c r="AQ378" s="479"/>
      <c r="AR378" s="479"/>
      <c r="AS378" s="479"/>
      <c r="AT378" s="479"/>
      <c r="AU378" s="479"/>
    </row>
    <row r="379" spans="1:47">
      <c r="A379" s="479"/>
      <c r="B379" s="479"/>
      <c r="C379" s="479"/>
      <c r="D379" s="479"/>
      <c r="E379" s="479"/>
      <c r="F379" s="479"/>
      <c r="G379" s="479"/>
      <c r="H379" s="479"/>
      <c r="I379" s="479"/>
      <c r="J379" s="479"/>
      <c r="K379" s="479"/>
      <c r="L379" s="479"/>
      <c r="M379" s="479"/>
      <c r="N379" s="479"/>
      <c r="O379" s="479"/>
      <c r="P379" s="479"/>
      <c r="Q379" s="479"/>
      <c r="R379" s="479"/>
      <c r="S379" s="479"/>
      <c r="T379" s="483"/>
      <c r="U379" s="479"/>
      <c r="V379" s="479"/>
      <c r="W379" s="479"/>
      <c r="X379" s="479"/>
      <c r="Y379" s="479"/>
      <c r="Z379" s="479"/>
      <c r="AA379" s="479"/>
      <c r="AB379" s="479"/>
      <c r="AC379" s="479"/>
      <c r="AD379" s="479"/>
      <c r="AE379" s="479"/>
      <c r="AF379" s="479"/>
      <c r="AG379" s="479"/>
      <c r="AH379" s="479"/>
      <c r="AI379" s="479"/>
      <c r="AJ379" s="479"/>
      <c r="AK379" s="479"/>
      <c r="AL379" s="479"/>
      <c r="AM379" s="479"/>
      <c r="AN379" s="479"/>
      <c r="AO379" s="479"/>
      <c r="AP379" s="479"/>
      <c r="AQ379" s="479"/>
      <c r="AR379" s="479"/>
      <c r="AS379" s="479"/>
      <c r="AT379" s="479"/>
      <c r="AU379" s="479"/>
    </row>
    <row r="380" spans="1:47">
      <c r="A380" s="479"/>
      <c r="B380" s="479"/>
      <c r="C380" s="479"/>
      <c r="D380" s="479"/>
      <c r="E380" s="479"/>
      <c r="F380" s="479"/>
      <c r="G380" s="479"/>
      <c r="H380" s="479"/>
      <c r="I380" s="479"/>
      <c r="J380" s="479"/>
      <c r="K380" s="479"/>
      <c r="L380" s="479"/>
      <c r="M380" s="479"/>
      <c r="N380" s="479"/>
      <c r="O380" s="479"/>
      <c r="P380" s="479"/>
      <c r="Q380" s="483" t="str">
        <f>DataF</f>
        <v>DATA:  BASE PERIOD  "X" FORECASTED PERIOD</v>
      </c>
      <c r="R380" s="479"/>
      <c r="S380" s="479"/>
      <c r="T380" s="479"/>
      <c r="U380" s="479"/>
      <c r="V380" s="479"/>
      <c r="W380" s="479"/>
      <c r="X380" s="479"/>
      <c r="Y380" s="479"/>
      <c r="Z380" s="479"/>
      <c r="AA380" s="479"/>
      <c r="AB380" s="479"/>
      <c r="AC380" s="484" t="s">
        <v>704</v>
      </c>
      <c r="AD380" s="485"/>
      <c r="AE380" s="485"/>
      <c r="AF380" s="479"/>
      <c r="AG380" s="479"/>
      <c r="AH380" s="479"/>
      <c r="AI380" s="479"/>
      <c r="AJ380" s="479"/>
      <c r="AK380" s="479"/>
      <c r="AL380" s="479"/>
      <c r="AM380" s="479"/>
      <c r="AN380" s="479"/>
      <c r="AO380" s="479"/>
      <c r="AP380" s="479"/>
      <c r="AQ380" s="479"/>
      <c r="AR380" s="479"/>
      <c r="AS380" s="479"/>
      <c r="AT380" s="479"/>
      <c r="AU380" s="479"/>
    </row>
    <row r="381" spans="1:47">
      <c r="A381" s="479"/>
      <c r="B381" s="479"/>
      <c r="C381" s="479"/>
      <c r="D381" s="479"/>
      <c r="E381" s="479"/>
      <c r="F381" s="479"/>
      <c r="G381" s="479"/>
      <c r="H381" s="479"/>
      <c r="I381" s="479"/>
      <c r="J381" s="479"/>
      <c r="K381" s="479"/>
      <c r="L381" s="479"/>
      <c r="M381" s="479"/>
      <c r="N381" s="479"/>
      <c r="O381" s="479"/>
      <c r="P381" s="479"/>
      <c r="Q381" s="483" t="str">
        <f>Type</f>
        <v xml:space="preserve">TYPE OF FILING:  "X" ORIGINAL   UPDATED    REVISED  </v>
      </c>
      <c r="R381" s="479"/>
      <c r="S381" s="479"/>
      <c r="T381" s="479"/>
      <c r="U381" s="479"/>
      <c r="V381" s="479"/>
      <c r="W381" s="479"/>
      <c r="X381" s="479"/>
      <c r="Y381" s="479"/>
      <c r="Z381" s="479"/>
      <c r="AA381" s="479"/>
      <c r="AB381" s="479"/>
      <c r="AC381" s="485" t="s">
        <v>3181</v>
      </c>
      <c r="AD381" s="485"/>
      <c r="AE381" s="485"/>
      <c r="AF381" s="479"/>
      <c r="AG381" s="479"/>
      <c r="AH381" s="479"/>
      <c r="AI381" s="479"/>
      <c r="AJ381" s="479"/>
      <c r="AK381" s="479"/>
      <c r="AL381" s="479"/>
      <c r="AM381" s="479"/>
      <c r="AN381" s="479"/>
      <c r="AO381" s="479"/>
      <c r="AP381" s="479"/>
      <c r="AQ381" s="479"/>
      <c r="AR381" s="479"/>
      <c r="AS381" s="479"/>
      <c r="AT381" s="479"/>
      <c r="AU381" s="479"/>
    </row>
    <row r="382" spans="1:47">
      <c r="A382" s="479"/>
      <c r="B382" s="479"/>
      <c r="C382" s="479"/>
      <c r="D382" s="479"/>
      <c r="E382" s="479"/>
      <c r="F382" s="479"/>
      <c r="G382" s="479"/>
      <c r="H382" s="479"/>
      <c r="I382" s="479"/>
      <c r="J382" s="479"/>
      <c r="K382" s="479"/>
      <c r="L382" s="479"/>
      <c r="M382" s="479"/>
      <c r="N382" s="479"/>
      <c r="O382" s="479"/>
      <c r="P382" s="479"/>
      <c r="Q382" s="485" t="s">
        <v>621</v>
      </c>
      <c r="R382" s="479"/>
      <c r="S382" s="479"/>
      <c r="T382" s="479"/>
      <c r="U382" s="479"/>
      <c r="V382" s="479"/>
      <c r="W382" s="479"/>
      <c r="X382" s="479"/>
      <c r="Y382" s="479"/>
      <c r="Z382" s="479"/>
      <c r="AA382" s="479"/>
      <c r="AB382" s="479"/>
      <c r="AC382" s="484" t="s">
        <v>705</v>
      </c>
      <c r="AD382" s="485"/>
      <c r="AE382" s="485"/>
      <c r="AF382" s="479"/>
      <c r="AG382" s="479"/>
      <c r="AH382" s="479"/>
      <c r="AI382" s="479"/>
      <c r="AJ382" s="479"/>
      <c r="AK382" s="479"/>
      <c r="AL382" s="479"/>
      <c r="AM382" s="479"/>
      <c r="AN382" s="479"/>
      <c r="AO382" s="479"/>
      <c r="AP382" s="479"/>
      <c r="AQ382" s="479"/>
      <c r="AR382" s="479"/>
      <c r="AS382" s="479"/>
      <c r="AT382" s="479"/>
      <c r="AU382" s="479"/>
    </row>
    <row r="383" spans="1:47">
      <c r="A383" s="479"/>
      <c r="B383" s="479"/>
      <c r="C383" s="479"/>
      <c r="D383" s="479"/>
      <c r="E383" s="479"/>
      <c r="F383" s="479"/>
      <c r="G383" s="479"/>
      <c r="H383" s="479"/>
      <c r="I383" s="479"/>
      <c r="J383" s="479"/>
      <c r="K383" s="479"/>
      <c r="L383" s="479"/>
      <c r="M383" s="479"/>
      <c r="N383" s="479"/>
      <c r="O383" s="479"/>
      <c r="P383" s="479"/>
      <c r="Q383" s="479"/>
      <c r="R383" s="479"/>
      <c r="S383" s="479"/>
      <c r="T383" s="479"/>
      <c r="U383" s="479"/>
      <c r="V383" s="479"/>
      <c r="W383" s="479"/>
      <c r="X383" s="479"/>
      <c r="Y383" s="479"/>
      <c r="Z383" s="479"/>
      <c r="AA383" s="479"/>
      <c r="AB383" s="479"/>
      <c r="AC383" s="485" t="str">
        <f>"          "&amp;_WIT1</f>
        <v xml:space="preserve">          S. E. LAWLER</v>
      </c>
      <c r="AD383" s="485"/>
      <c r="AE383" s="485"/>
      <c r="AF383" s="479"/>
      <c r="AG383" s="479"/>
      <c r="AH383" s="479"/>
      <c r="AI383" s="479"/>
      <c r="AJ383" s="479"/>
      <c r="AK383" s="479"/>
      <c r="AL383" s="479"/>
      <c r="AM383" s="479"/>
      <c r="AN383" s="479"/>
      <c r="AO383" s="479"/>
      <c r="AP383" s="479"/>
      <c r="AQ383" s="479"/>
      <c r="AR383" s="479"/>
      <c r="AS383" s="479"/>
      <c r="AT383" s="479"/>
      <c r="AU383" s="479"/>
    </row>
    <row r="384" spans="1:47">
      <c r="A384" s="479"/>
      <c r="B384" s="479"/>
      <c r="C384" s="479"/>
      <c r="D384" s="479"/>
      <c r="E384" s="479"/>
      <c r="F384" s="479"/>
      <c r="G384" s="479"/>
      <c r="H384" s="479"/>
      <c r="I384" s="479"/>
      <c r="J384" s="479"/>
      <c r="K384" s="479"/>
      <c r="L384" s="479"/>
      <c r="M384" s="479"/>
      <c r="N384" s="479"/>
      <c r="O384" s="479"/>
      <c r="P384" s="479"/>
      <c r="Q384" s="486"/>
      <c r="R384" s="486"/>
      <c r="S384" s="486"/>
      <c r="T384" s="486"/>
      <c r="U384" s="516"/>
      <c r="V384" s="516"/>
      <c r="W384" s="516"/>
      <c r="X384" s="516"/>
      <c r="Y384" s="516"/>
      <c r="Z384" s="516"/>
      <c r="AA384" s="516"/>
      <c r="AB384" s="486"/>
      <c r="AC384" s="489"/>
      <c r="AD384" s="490"/>
      <c r="AE384" s="486"/>
      <c r="AF384" s="479"/>
      <c r="AG384" s="479"/>
      <c r="AH384" s="479"/>
      <c r="AI384" s="479"/>
      <c r="AJ384" s="479"/>
      <c r="AK384" s="479"/>
      <c r="AL384" s="479"/>
      <c r="AM384" s="479"/>
      <c r="AN384" s="479"/>
      <c r="AO384" s="479"/>
      <c r="AP384" s="479"/>
      <c r="AQ384" s="479"/>
      <c r="AR384" s="479"/>
      <c r="AS384" s="479"/>
      <c r="AT384" s="479"/>
      <c r="AU384" s="479"/>
    </row>
    <row r="385" spans="1:47">
      <c r="A385" s="479"/>
      <c r="B385" s="479"/>
      <c r="C385" s="479"/>
      <c r="D385" s="479"/>
      <c r="E385" s="479"/>
      <c r="F385" s="479"/>
      <c r="G385" s="479"/>
      <c r="H385" s="479"/>
      <c r="I385" s="479"/>
      <c r="J385" s="479"/>
      <c r="K385" s="479"/>
      <c r="L385" s="479"/>
      <c r="M385" s="479"/>
      <c r="N385" s="479"/>
      <c r="O385" s="479"/>
      <c r="P385" s="479"/>
      <c r="Q385" s="479"/>
      <c r="R385" s="479"/>
      <c r="S385" s="479"/>
      <c r="T385" s="479"/>
      <c r="U385" s="1320" t="s">
        <v>2437</v>
      </c>
      <c r="V385" s="1320"/>
      <c r="W385" s="1320" t="s">
        <v>1281</v>
      </c>
      <c r="X385" s="1320"/>
      <c r="Y385" s="1320"/>
      <c r="Z385" s="479"/>
      <c r="AA385" s="1320"/>
      <c r="AB385" s="1320"/>
      <c r="AC385" s="1320"/>
      <c r="AD385" s="1320"/>
      <c r="AE385" s="1320"/>
      <c r="AF385" s="479"/>
      <c r="AG385" s="479"/>
      <c r="AH385" s="479"/>
      <c r="AI385" s="479"/>
      <c r="AJ385" s="479"/>
      <c r="AK385" s="479"/>
      <c r="AL385" s="479"/>
      <c r="AM385" s="479"/>
      <c r="AN385" s="479"/>
      <c r="AO385" s="479"/>
      <c r="AP385" s="479"/>
      <c r="AQ385" s="479"/>
      <c r="AR385" s="479"/>
      <c r="AS385" s="479"/>
      <c r="AT385" s="479"/>
      <c r="AU385" s="479"/>
    </row>
    <row r="386" spans="1:47">
      <c r="A386" s="479"/>
      <c r="B386" s="479"/>
      <c r="C386" s="479"/>
      <c r="D386" s="479"/>
      <c r="E386" s="479"/>
      <c r="F386" s="479"/>
      <c r="G386" s="479"/>
      <c r="H386" s="479"/>
      <c r="I386" s="479"/>
      <c r="J386" s="479"/>
      <c r="K386" s="479"/>
      <c r="L386" s="479"/>
      <c r="M386" s="479"/>
      <c r="N386" s="479"/>
      <c r="O386" s="479"/>
      <c r="P386" s="479"/>
      <c r="Q386" s="1320" t="s">
        <v>1961</v>
      </c>
      <c r="R386" s="479"/>
      <c r="S386" s="479"/>
      <c r="T386" s="479"/>
      <c r="U386" s="511" t="s">
        <v>2438</v>
      </c>
      <c r="V386" s="511"/>
      <c r="W386" s="511" t="s">
        <v>3010</v>
      </c>
      <c r="X386" s="1320"/>
      <c r="Y386" s="511" t="s">
        <v>706</v>
      </c>
      <c r="Z386" s="1320"/>
      <c r="AA386" s="511" t="s">
        <v>140</v>
      </c>
      <c r="AB386" s="1320"/>
      <c r="AC386" s="511" t="s">
        <v>140</v>
      </c>
      <c r="AD386" s="1320"/>
      <c r="AE386" s="511" t="s">
        <v>140</v>
      </c>
      <c r="AF386" s="479"/>
      <c r="AG386" s="479"/>
      <c r="AH386" s="479"/>
      <c r="AI386" s="479"/>
      <c r="AJ386" s="479"/>
      <c r="AK386" s="479"/>
      <c r="AL386" s="479"/>
      <c r="AM386" s="479"/>
      <c r="AN386" s="479"/>
      <c r="AO386" s="479"/>
      <c r="AP386" s="479"/>
      <c r="AQ386" s="479"/>
      <c r="AR386" s="479"/>
      <c r="AS386" s="479"/>
      <c r="AT386" s="479"/>
      <c r="AU386" s="479"/>
    </row>
    <row r="387" spans="1:47">
      <c r="A387" s="479"/>
      <c r="B387" s="479"/>
      <c r="C387" s="479"/>
      <c r="D387" s="479"/>
      <c r="E387" s="479"/>
      <c r="F387" s="479"/>
      <c r="G387" s="479"/>
      <c r="H387" s="479"/>
      <c r="I387" s="479"/>
      <c r="J387" s="479"/>
      <c r="K387" s="479"/>
      <c r="L387" s="479"/>
      <c r="M387" s="479"/>
      <c r="N387" s="479"/>
      <c r="O387" s="479"/>
      <c r="P387" s="479"/>
      <c r="Q387" s="489" t="s">
        <v>90</v>
      </c>
      <c r="R387" s="490"/>
      <c r="S387" s="489" t="s">
        <v>26</v>
      </c>
      <c r="T387" s="490"/>
      <c r="U387" s="489" t="s">
        <v>2439</v>
      </c>
      <c r="V387" s="489"/>
      <c r="W387" s="489" t="s">
        <v>1195</v>
      </c>
      <c r="X387" s="489"/>
      <c r="Y387" s="489" t="s">
        <v>1462</v>
      </c>
      <c r="Z387" s="489"/>
      <c r="AA387" s="489"/>
      <c r="AB387" s="489"/>
      <c r="AC387" s="489"/>
      <c r="AD387" s="486"/>
      <c r="AE387" s="489"/>
      <c r="AF387" s="479"/>
      <c r="AG387" s="479"/>
      <c r="AH387" s="479"/>
      <c r="AI387" s="479"/>
      <c r="AJ387" s="479"/>
      <c r="AK387" s="479"/>
      <c r="AL387" s="479"/>
      <c r="AM387" s="479"/>
      <c r="AN387" s="479"/>
      <c r="AO387" s="479"/>
      <c r="AP387" s="479"/>
      <c r="AQ387" s="479"/>
      <c r="AR387" s="479"/>
      <c r="AS387" s="479"/>
      <c r="AT387" s="479"/>
      <c r="AU387" s="479"/>
    </row>
    <row r="388" spans="1:47">
      <c r="A388" s="479"/>
      <c r="B388" s="479"/>
      <c r="C388" s="479"/>
      <c r="D388" s="479"/>
      <c r="E388" s="479"/>
      <c r="F388" s="479"/>
      <c r="G388" s="479"/>
      <c r="H388" s="479"/>
      <c r="I388" s="479"/>
      <c r="J388" s="479"/>
      <c r="K388" s="479"/>
      <c r="L388" s="479"/>
      <c r="M388" s="479"/>
      <c r="N388" s="479"/>
      <c r="O388" s="479"/>
      <c r="P388" s="479"/>
      <c r="Q388" s="490"/>
      <c r="R388" s="490"/>
      <c r="S388" s="493" t="s">
        <v>957</v>
      </c>
      <c r="T388" s="490"/>
      <c r="U388" s="489" t="s">
        <v>277</v>
      </c>
      <c r="V388" s="489"/>
      <c r="W388" s="489" t="s">
        <v>278</v>
      </c>
      <c r="X388" s="489"/>
      <c r="Y388" s="489" t="s">
        <v>279</v>
      </c>
      <c r="Z388" s="489"/>
      <c r="AA388" s="489" t="s">
        <v>280</v>
      </c>
      <c r="AB388" s="489"/>
      <c r="AC388" s="489" t="s">
        <v>281</v>
      </c>
      <c r="AD388" s="489"/>
      <c r="AE388" s="489" t="s">
        <v>70</v>
      </c>
      <c r="AF388" s="479"/>
      <c r="AG388" s="479"/>
      <c r="AH388" s="479"/>
      <c r="AI388" s="479"/>
      <c r="AJ388" s="479"/>
      <c r="AK388" s="479"/>
      <c r="AL388" s="479"/>
      <c r="AM388" s="479"/>
      <c r="AN388" s="479"/>
      <c r="AO388" s="479"/>
      <c r="AP388" s="479"/>
      <c r="AQ388" s="479"/>
      <c r="AR388" s="479"/>
      <c r="AS388" s="479"/>
      <c r="AT388" s="479"/>
      <c r="AU388" s="479"/>
    </row>
    <row r="389" spans="1:47">
      <c r="A389" s="479"/>
      <c r="B389" s="479"/>
      <c r="C389" s="479"/>
      <c r="D389" s="479"/>
      <c r="E389" s="479"/>
      <c r="F389" s="479"/>
      <c r="G389" s="479"/>
      <c r="H389" s="479"/>
      <c r="I389" s="479"/>
      <c r="J389" s="479"/>
      <c r="K389" s="479"/>
      <c r="L389" s="479"/>
      <c r="M389" s="479"/>
      <c r="N389" s="479"/>
      <c r="O389" s="479"/>
      <c r="P389" s="479"/>
      <c r="Q389" s="1320">
        <v>1</v>
      </c>
      <c r="R389" s="507" t="s">
        <v>1199</v>
      </c>
      <c r="S389" s="479"/>
      <c r="T389" s="479"/>
      <c r="U389" s="479"/>
      <c r="V389" s="479"/>
      <c r="W389" s="479"/>
      <c r="X389" s="479"/>
      <c r="Y389" s="479"/>
      <c r="Z389" s="479"/>
      <c r="AA389" s="479"/>
      <c r="AB389" s="479"/>
      <c r="AC389" s="479"/>
      <c r="AD389" s="479"/>
      <c r="AE389" s="479"/>
      <c r="AF389" s="479"/>
      <c r="AG389" s="479"/>
      <c r="AH389" s="479"/>
      <c r="AI389" s="479"/>
      <c r="AJ389" s="479"/>
      <c r="AK389" s="479"/>
      <c r="AL389" s="479"/>
      <c r="AM389" s="479"/>
      <c r="AN389" s="479"/>
      <c r="AO389" s="479"/>
      <c r="AP389" s="479"/>
      <c r="AQ389" s="479"/>
      <c r="AR389" s="479"/>
      <c r="AS389" s="479"/>
      <c r="AT389" s="479"/>
      <c r="AU389" s="479"/>
    </row>
    <row r="390" spans="1:47">
      <c r="A390" s="479"/>
      <c r="B390" s="479"/>
      <c r="C390" s="479"/>
      <c r="D390" s="479"/>
      <c r="E390" s="479"/>
      <c r="F390" s="479"/>
      <c r="G390" s="479"/>
      <c r="H390" s="479"/>
      <c r="I390" s="479"/>
      <c r="J390" s="479"/>
      <c r="K390" s="479"/>
      <c r="L390" s="479"/>
      <c r="M390" s="479"/>
      <c r="N390" s="479"/>
      <c r="O390" s="479"/>
      <c r="P390" s="479"/>
      <c r="Q390" s="1320">
        <v>2</v>
      </c>
      <c r="R390" s="479"/>
      <c r="S390" s="485" t="s">
        <v>1200</v>
      </c>
      <c r="T390" s="479"/>
      <c r="U390" s="496"/>
      <c r="V390" s="479"/>
      <c r="W390" s="496"/>
      <c r="X390" s="496"/>
      <c r="Y390" s="496">
        <f>SCH_D2.35!I20</f>
        <v>105586</v>
      </c>
      <c r="Z390" s="496"/>
      <c r="AA390" s="496"/>
      <c r="AB390" s="496"/>
      <c r="AC390" s="496"/>
      <c r="AD390" s="496"/>
      <c r="AE390" s="496"/>
      <c r="AF390" s="479"/>
      <c r="AG390" s="479"/>
      <c r="AH390" s="479"/>
      <c r="AI390" s="479"/>
      <c r="AJ390" s="479"/>
      <c r="AK390" s="479"/>
      <c r="AL390" s="479"/>
      <c r="AM390" s="479"/>
      <c r="AN390" s="479"/>
      <c r="AO390" s="479"/>
      <c r="AP390" s="479"/>
      <c r="AQ390" s="479"/>
      <c r="AR390" s="479"/>
      <c r="AS390" s="479"/>
      <c r="AT390" s="479"/>
      <c r="AU390" s="479"/>
    </row>
    <row r="391" spans="1:47">
      <c r="A391" s="479"/>
      <c r="B391" s="479"/>
      <c r="C391" s="479"/>
      <c r="D391" s="479"/>
      <c r="E391" s="479"/>
      <c r="F391" s="479"/>
      <c r="G391" s="479"/>
      <c r="H391" s="479"/>
      <c r="I391" s="479"/>
      <c r="J391" s="479"/>
      <c r="K391" s="479"/>
      <c r="L391" s="479"/>
      <c r="M391" s="479"/>
      <c r="N391" s="479"/>
      <c r="O391" s="479"/>
      <c r="P391" s="479"/>
      <c r="Q391" s="1320">
        <v>3</v>
      </c>
      <c r="R391" s="479"/>
      <c r="S391" s="485" t="s">
        <v>1823</v>
      </c>
      <c r="T391" s="479"/>
      <c r="U391" s="496"/>
      <c r="V391" s="479"/>
      <c r="W391" s="496"/>
      <c r="X391" s="496"/>
      <c r="Y391" s="496">
        <f>SCH_D2.35!I21</f>
        <v>4635613</v>
      </c>
      <c r="Z391" s="496"/>
      <c r="AA391" s="496"/>
      <c r="AB391" s="496"/>
      <c r="AC391" s="496"/>
      <c r="AD391" s="496"/>
      <c r="AE391" s="496"/>
      <c r="AF391" s="479"/>
      <c r="AG391" s="479"/>
      <c r="AH391" s="479"/>
      <c r="AI391" s="479"/>
      <c r="AJ391" s="479"/>
      <c r="AK391" s="479"/>
      <c r="AL391" s="479"/>
      <c r="AM391" s="479"/>
      <c r="AN391" s="479"/>
      <c r="AO391" s="479"/>
      <c r="AP391" s="479"/>
      <c r="AQ391" s="479"/>
      <c r="AR391" s="479"/>
      <c r="AS391" s="479"/>
      <c r="AT391" s="479"/>
      <c r="AU391" s="479"/>
    </row>
    <row r="392" spans="1:47">
      <c r="A392" s="479"/>
      <c r="B392" s="479"/>
      <c r="C392" s="479"/>
      <c r="D392" s="479"/>
      <c r="E392" s="479"/>
      <c r="F392" s="479"/>
      <c r="G392" s="479"/>
      <c r="H392" s="479"/>
      <c r="I392" s="479"/>
      <c r="J392" s="479"/>
      <c r="K392" s="479"/>
      <c r="L392" s="479"/>
      <c r="M392" s="479"/>
      <c r="N392" s="479"/>
      <c r="O392" s="479"/>
      <c r="P392" s="479"/>
      <c r="Q392" s="1320">
        <v>4</v>
      </c>
      <c r="R392" s="479"/>
      <c r="S392" s="485" t="s">
        <v>1201</v>
      </c>
      <c r="T392" s="479"/>
      <c r="U392" s="479"/>
      <c r="V392" s="479"/>
      <c r="W392" s="496"/>
      <c r="X392" s="496"/>
      <c r="Y392" s="496">
        <f>SCH_D2.35!I22</f>
        <v>60176</v>
      </c>
      <c r="Z392" s="496"/>
      <c r="AA392" s="496"/>
      <c r="AB392" s="496"/>
      <c r="AC392" s="496"/>
      <c r="AD392" s="496"/>
      <c r="AE392" s="496"/>
      <c r="AF392" s="479"/>
      <c r="AG392" s="479"/>
      <c r="AH392" s="479"/>
      <c r="AI392" s="479"/>
      <c r="AJ392" s="479"/>
      <c r="AK392" s="479"/>
      <c r="AL392" s="479"/>
      <c r="AM392" s="479"/>
      <c r="AN392" s="479"/>
      <c r="AO392" s="479"/>
      <c r="AP392" s="479"/>
      <c r="AQ392" s="479"/>
      <c r="AR392" s="479"/>
      <c r="AS392" s="479"/>
      <c r="AT392" s="479"/>
      <c r="AU392" s="479"/>
    </row>
    <row r="393" spans="1:47">
      <c r="A393" s="479"/>
      <c r="B393" s="479"/>
      <c r="C393" s="479"/>
      <c r="D393" s="479"/>
      <c r="E393" s="479"/>
      <c r="F393" s="479"/>
      <c r="G393" s="479"/>
      <c r="H393" s="479"/>
      <c r="I393" s="479"/>
      <c r="J393" s="479"/>
      <c r="K393" s="479"/>
      <c r="L393" s="479"/>
      <c r="M393" s="479"/>
      <c r="N393" s="479"/>
      <c r="O393" s="479"/>
      <c r="P393" s="479"/>
      <c r="Q393" s="1320">
        <v>5</v>
      </c>
      <c r="R393" s="479"/>
      <c r="S393" s="485" t="s">
        <v>1202</v>
      </c>
      <c r="T393" s="479"/>
      <c r="U393" s="497">
        <f>SUM(U390:U392)</f>
        <v>0</v>
      </c>
      <c r="V393" s="479"/>
      <c r="W393" s="497">
        <f>SUM(W390:W392)</f>
        <v>0</v>
      </c>
      <c r="X393" s="496"/>
      <c r="Y393" s="497">
        <f>SUM(Y390:Y392)</f>
        <v>4801375</v>
      </c>
      <c r="Z393" s="496"/>
      <c r="AA393" s="497">
        <f>SUM(AA390:AA392)</f>
        <v>0</v>
      </c>
      <c r="AB393" s="496"/>
      <c r="AC393" s="497"/>
      <c r="AD393" s="496"/>
      <c r="AE393" s="497">
        <f>SUM(AE390:AE392)</f>
        <v>0</v>
      </c>
      <c r="AF393" s="479"/>
      <c r="AG393" s="479"/>
      <c r="AH393" s="479"/>
      <c r="AI393" s="479"/>
      <c r="AJ393" s="479"/>
      <c r="AK393" s="479"/>
      <c r="AL393" s="479"/>
      <c r="AM393" s="479"/>
      <c r="AN393" s="479"/>
      <c r="AO393" s="479"/>
      <c r="AP393" s="479"/>
      <c r="AQ393" s="479"/>
      <c r="AR393" s="479"/>
      <c r="AS393" s="479"/>
      <c r="AT393" s="479"/>
      <c r="AU393" s="479"/>
    </row>
    <row r="394" spans="1:47">
      <c r="A394" s="479"/>
      <c r="B394" s="479"/>
      <c r="C394" s="479"/>
      <c r="D394" s="479"/>
      <c r="E394" s="479"/>
      <c r="F394" s="479"/>
      <c r="G394" s="479"/>
      <c r="H394" s="479"/>
      <c r="I394" s="479"/>
      <c r="J394" s="479"/>
      <c r="K394" s="479"/>
      <c r="L394" s="479"/>
      <c r="M394" s="479"/>
      <c r="N394" s="479"/>
      <c r="O394" s="479"/>
      <c r="P394" s="479"/>
      <c r="Q394" s="1320">
        <v>6</v>
      </c>
      <c r="R394" s="479"/>
      <c r="S394" s="479"/>
      <c r="T394" s="479"/>
      <c r="U394" s="498"/>
      <c r="V394" s="479"/>
      <c r="W394" s="498"/>
      <c r="X394" s="498"/>
      <c r="Y394" s="498"/>
      <c r="Z394" s="498"/>
      <c r="AA394" s="498"/>
      <c r="AB394" s="498"/>
      <c r="AC394" s="498"/>
      <c r="AD394" s="498"/>
      <c r="AE394" s="498"/>
      <c r="AF394" s="479"/>
      <c r="AG394" s="479"/>
      <c r="AH394" s="479"/>
      <c r="AI394" s="479"/>
      <c r="AJ394" s="479"/>
      <c r="AK394" s="479"/>
      <c r="AL394" s="479"/>
      <c r="AM394" s="479"/>
      <c r="AN394" s="479"/>
      <c r="AO394" s="479"/>
      <c r="AP394" s="479"/>
      <c r="AQ394" s="479"/>
      <c r="AR394" s="479"/>
      <c r="AS394" s="479"/>
      <c r="AT394" s="479"/>
      <c r="AU394" s="479"/>
    </row>
    <row r="395" spans="1:47">
      <c r="A395" s="479"/>
      <c r="B395" s="479"/>
      <c r="C395" s="479"/>
      <c r="D395" s="479"/>
      <c r="E395" s="479"/>
      <c r="F395" s="479"/>
      <c r="G395" s="479"/>
      <c r="H395" s="479"/>
      <c r="I395" s="479"/>
      <c r="J395" s="479"/>
      <c r="K395" s="479"/>
      <c r="L395" s="479"/>
      <c r="M395" s="479"/>
      <c r="N395" s="479"/>
      <c r="O395" s="479"/>
      <c r="P395" s="479"/>
      <c r="Q395" s="1320">
        <v>7</v>
      </c>
      <c r="R395" s="507" t="s">
        <v>1152</v>
      </c>
      <c r="S395" s="479"/>
      <c r="T395" s="479"/>
      <c r="U395" s="496"/>
      <c r="V395" s="479"/>
      <c r="W395" s="479"/>
      <c r="X395" s="479"/>
      <c r="Y395" s="479"/>
      <c r="Z395" s="479"/>
      <c r="AA395" s="479"/>
      <c r="AB395" s="479"/>
      <c r="AC395" s="479"/>
      <c r="AD395" s="479"/>
      <c r="AE395" s="479"/>
      <c r="AF395" s="479"/>
      <c r="AG395" s="479"/>
      <c r="AH395" s="479"/>
      <c r="AI395" s="479"/>
      <c r="AJ395" s="479"/>
      <c r="AK395" s="479"/>
      <c r="AL395" s="479"/>
      <c r="AM395" s="479"/>
      <c r="AN395" s="479"/>
      <c r="AO395" s="479"/>
      <c r="AP395" s="479"/>
      <c r="AQ395" s="479"/>
      <c r="AR395" s="479"/>
      <c r="AS395" s="479"/>
      <c r="AT395" s="479"/>
      <c r="AU395" s="479"/>
    </row>
    <row r="396" spans="1:47">
      <c r="A396" s="479"/>
      <c r="B396" s="479"/>
      <c r="C396" s="479"/>
      <c r="D396" s="479"/>
      <c r="E396" s="479"/>
      <c r="F396" s="479"/>
      <c r="G396" s="479"/>
      <c r="H396" s="479"/>
      <c r="I396" s="479"/>
      <c r="J396" s="479"/>
      <c r="K396" s="479"/>
      <c r="L396" s="479"/>
      <c r="M396" s="479"/>
      <c r="N396" s="479"/>
      <c r="O396" s="479"/>
      <c r="P396" s="479"/>
      <c r="Q396" s="1320">
        <v>8</v>
      </c>
      <c r="R396" s="479"/>
      <c r="S396" s="485" t="s">
        <v>1203</v>
      </c>
      <c r="T396" s="479"/>
      <c r="U396" s="496"/>
      <c r="V396" s="479"/>
      <c r="W396" s="479"/>
      <c r="X396" s="479"/>
      <c r="Y396" s="479"/>
      <c r="Z396" s="479"/>
      <c r="AA396" s="479"/>
      <c r="AB396" s="479"/>
      <c r="AC396" s="479"/>
      <c r="AD396" s="479"/>
      <c r="AE396" s="479"/>
      <c r="AF396" s="479"/>
      <c r="AG396" s="479"/>
      <c r="AH396" s="479"/>
      <c r="AI396" s="479"/>
      <c r="AJ396" s="479"/>
      <c r="AK396" s="479"/>
      <c r="AL396" s="479"/>
      <c r="AM396" s="479"/>
      <c r="AN396" s="479"/>
      <c r="AO396" s="479"/>
      <c r="AP396" s="479"/>
      <c r="AQ396" s="479"/>
      <c r="AR396" s="479"/>
      <c r="AS396" s="479"/>
      <c r="AT396" s="479"/>
      <c r="AU396" s="479"/>
    </row>
    <row r="397" spans="1:47">
      <c r="A397" s="479"/>
      <c r="B397" s="479"/>
      <c r="C397" s="479"/>
      <c r="D397" s="479"/>
      <c r="E397" s="479"/>
      <c r="F397" s="479"/>
      <c r="G397" s="479"/>
      <c r="H397" s="479"/>
      <c r="I397" s="479"/>
      <c r="J397" s="479"/>
      <c r="K397" s="479"/>
      <c r="L397" s="479"/>
      <c r="M397" s="479"/>
      <c r="N397" s="479"/>
      <c r="O397" s="479"/>
      <c r="P397" s="479"/>
      <c r="Q397" s="1320">
        <v>9</v>
      </c>
      <c r="R397" s="479"/>
      <c r="S397" s="485" t="s">
        <v>257</v>
      </c>
      <c r="T397" s="479"/>
      <c r="U397" s="496"/>
      <c r="V397" s="479"/>
      <c r="W397" s="479"/>
      <c r="X397" s="479"/>
      <c r="Y397" s="479"/>
      <c r="Z397" s="479"/>
      <c r="AA397" s="479"/>
      <c r="AB397" s="479"/>
      <c r="AC397" s="479"/>
      <c r="AD397" s="479"/>
      <c r="AE397" s="479"/>
      <c r="AF397" s="479"/>
      <c r="AG397" s="479"/>
      <c r="AH397" s="479"/>
      <c r="AI397" s="479"/>
      <c r="AJ397" s="479"/>
      <c r="AK397" s="479"/>
      <c r="AL397" s="479"/>
      <c r="AM397" s="479"/>
      <c r="AN397" s="479"/>
      <c r="AO397" s="479"/>
      <c r="AP397" s="479"/>
      <c r="AQ397" s="479"/>
      <c r="AR397" s="479"/>
      <c r="AS397" s="479"/>
      <c r="AT397" s="479"/>
      <c r="AU397" s="479"/>
    </row>
    <row r="398" spans="1:47">
      <c r="A398" s="479"/>
      <c r="B398" s="479"/>
      <c r="C398" s="479"/>
      <c r="D398" s="479"/>
      <c r="E398" s="479"/>
      <c r="F398" s="479"/>
      <c r="G398" s="479"/>
      <c r="H398" s="479"/>
      <c r="I398" s="479"/>
      <c r="J398" s="479"/>
      <c r="K398" s="479"/>
      <c r="L398" s="479"/>
      <c r="M398" s="479"/>
      <c r="N398" s="479"/>
      <c r="O398" s="479"/>
      <c r="P398" s="479"/>
      <c r="Q398" s="1320">
        <v>10</v>
      </c>
      <c r="R398" s="479"/>
      <c r="S398" s="358" t="s">
        <v>348</v>
      </c>
      <c r="T398" s="479"/>
      <c r="U398" s="496"/>
      <c r="V398" s="479"/>
      <c r="W398" s="496"/>
      <c r="X398" s="496"/>
      <c r="Y398" s="496"/>
      <c r="Z398" s="496"/>
      <c r="AA398" s="496"/>
      <c r="AB398" s="496"/>
      <c r="AC398" s="496"/>
      <c r="AD398" s="496"/>
      <c r="AE398" s="496"/>
      <c r="AF398" s="479"/>
      <c r="AG398" s="479"/>
      <c r="AH398" s="479"/>
      <c r="AI398" s="479"/>
      <c r="AJ398" s="479"/>
      <c r="AK398" s="479"/>
      <c r="AL398" s="479"/>
      <c r="AM398" s="479"/>
      <c r="AN398" s="479"/>
      <c r="AO398" s="479"/>
      <c r="AP398" s="479"/>
      <c r="AQ398" s="479"/>
      <c r="AR398" s="479"/>
      <c r="AS398" s="479"/>
      <c r="AT398" s="479"/>
      <c r="AU398" s="479"/>
    </row>
    <row r="399" spans="1:47">
      <c r="A399" s="479"/>
      <c r="B399" s="479"/>
      <c r="C399" s="479"/>
      <c r="D399" s="479"/>
      <c r="E399" s="479"/>
      <c r="F399" s="479"/>
      <c r="G399" s="479"/>
      <c r="H399" s="479"/>
      <c r="I399" s="479"/>
      <c r="J399" s="479"/>
      <c r="K399" s="479"/>
      <c r="L399" s="479"/>
      <c r="M399" s="479"/>
      <c r="N399" s="479"/>
      <c r="O399" s="479"/>
      <c r="P399" s="479"/>
      <c r="Q399" s="1320">
        <v>11</v>
      </c>
      <c r="R399" s="479"/>
      <c r="S399" s="485" t="s">
        <v>425</v>
      </c>
      <c r="T399" s="479"/>
      <c r="U399" s="496">
        <f>SCH_D2.33!H24</f>
        <v>1005775</v>
      </c>
      <c r="V399" s="479"/>
      <c r="W399" s="496"/>
      <c r="X399" s="496"/>
      <c r="Y399" s="496"/>
      <c r="Z399" s="496"/>
      <c r="AA399" s="496"/>
      <c r="AB399" s="496"/>
      <c r="AC399" s="496"/>
      <c r="AD399" s="496"/>
      <c r="AE399" s="496"/>
      <c r="AF399" s="479"/>
      <c r="AG399" s="479"/>
      <c r="AH399" s="479"/>
      <c r="AI399" s="479"/>
      <c r="AJ399" s="479"/>
      <c r="AK399" s="479"/>
      <c r="AL399" s="479"/>
      <c r="AM399" s="479"/>
      <c r="AN399" s="479"/>
      <c r="AO399" s="479"/>
      <c r="AP399" s="479"/>
      <c r="AQ399" s="479"/>
      <c r="AR399" s="479"/>
      <c r="AS399" s="479"/>
      <c r="AT399" s="479"/>
      <c r="AU399" s="479"/>
    </row>
    <row r="400" spans="1:47">
      <c r="A400" s="479"/>
      <c r="B400" s="479"/>
      <c r="C400" s="479"/>
      <c r="D400" s="479"/>
      <c r="E400" s="479"/>
      <c r="F400" s="479"/>
      <c r="G400" s="479"/>
      <c r="H400" s="479"/>
      <c r="I400" s="479"/>
      <c r="J400" s="479"/>
      <c r="K400" s="479"/>
      <c r="L400" s="479"/>
      <c r="M400" s="479"/>
      <c r="N400" s="479"/>
      <c r="O400" s="479"/>
      <c r="P400" s="479"/>
      <c r="Q400" s="1320">
        <v>12</v>
      </c>
      <c r="R400" s="479"/>
      <c r="S400" s="485" t="s">
        <v>1204</v>
      </c>
      <c r="T400" s="479"/>
      <c r="U400" s="499">
        <f>SUM(U397:U399)</f>
        <v>1005775</v>
      </c>
      <c r="V400" s="500"/>
      <c r="W400" s="499">
        <f>SUM(W397:W399)</f>
        <v>0</v>
      </c>
      <c r="X400" s="501"/>
      <c r="Y400" s="499">
        <f>SUM(Y397:Y399)</f>
        <v>0</v>
      </c>
      <c r="Z400" s="501"/>
      <c r="AA400" s="499">
        <f>SUM(AA397:AA399)</f>
        <v>0</v>
      </c>
      <c r="AB400" s="501"/>
      <c r="AC400" s="499">
        <f>SUM(AC397:AC399)</f>
        <v>0</v>
      </c>
      <c r="AD400" s="501"/>
      <c r="AE400" s="499">
        <f>SUM(AE397:AE399)</f>
        <v>0</v>
      </c>
      <c r="AF400" s="479"/>
      <c r="AG400" s="479"/>
      <c r="AH400" s="479"/>
      <c r="AI400" s="479"/>
      <c r="AJ400" s="479"/>
      <c r="AK400" s="479"/>
      <c r="AL400" s="479"/>
      <c r="AM400" s="479"/>
      <c r="AN400" s="479"/>
      <c r="AO400" s="479"/>
      <c r="AP400" s="479"/>
      <c r="AQ400" s="479"/>
      <c r="AR400" s="479"/>
      <c r="AS400" s="479"/>
      <c r="AT400" s="479"/>
      <c r="AU400" s="479"/>
    </row>
    <row r="401" spans="1:47">
      <c r="A401" s="479"/>
      <c r="B401" s="479"/>
      <c r="C401" s="479"/>
      <c r="D401" s="479"/>
      <c r="E401" s="479"/>
      <c r="F401" s="479"/>
      <c r="G401" s="479"/>
      <c r="H401" s="479"/>
      <c r="I401" s="479"/>
      <c r="J401" s="479"/>
      <c r="K401" s="479"/>
      <c r="L401" s="479"/>
      <c r="M401" s="479"/>
      <c r="N401" s="479"/>
      <c r="O401" s="479"/>
      <c r="P401" s="479"/>
      <c r="Q401" s="1320">
        <v>13</v>
      </c>
      <c r="R401" s="479"/>
      <c r="S401" s="479"/>
      <c r="T401" s="479"/>
      <c r="U401" s="1286"/>
      <c r="V401" s="479"/>
      <c r="W401" s="498"/>
      <c r="X401" s="498"/>
      <c r="Y401" s="498"/>
      <c r="Z401" s="498"/>
      <c r="AA401" s="498"/>
      <c r="AB401" s="498"/>
      <c r="AC401" s="498"/>
      <c r="AD401" s="498"/>
      <c r="AE401" s="498"/>
      <c r="AF401" s="479"/>
      <c r="AG401" s="479"/>
      <c r="AH401" s="479"/>
      <c r="AI401" s="479"/>
      <c r="AJ401" s="479"/>
      <c r="AK401" s="479"/>
      <c r="AL401" s="479"/>
      <c r="AM401" s="479"/>
      <c r="AN401" s="479"/>
      <c r="AO401" s="479"/>
      <c r="AP401" s="479"/>
      <c r="AQ401" s="479"/>
      <c r="AR401" s="479"/>
      <c r="AS401" s="479"/>
      <c r="AT401" s="479"/>
      <c r="AU401" s="479"/>
    </row>
    <row r="402" spans="1:47">
      <c r="A402" s="479"/>
      <c r="B402" s="479"/>
      <c r="C402" s="479"/>
      <c r="D402" s="479"/>
      <c r="E402" s="479"/>
      <c r="F402" s="479"/>
      <c r="G402" s="479"/>
      <c r="H402" s="479"/>
      <c r="I402" s="479"/>
      <c r="J402" s="479"/>
      <c r="K402" s="479"/>
      <c r="L402" s="479"/>
      <c r="M402" s="479"/>
      <c r="N402" s="479"/>
      <c r="O402" s="479"/>
      <c r="P402" s="479"/>
      <c r="Q402" s="1320">
        <v>14</v>
      </c>
      <c r="R402" s="479"/>
      <c r="S402" s="485" t="s">
        <v>198</v>
      </c>
      <c r="T402" s="479"/>
      <c r="U402" s="498"/>
      <c r="V402" s="479"/>
      <c r="W402" s="498">
        <f>SCH_D2.34!I24</f>
        <v>1979833</v>
      </c>
      <c r="X402" s="498"/>
      <c r="Y402" s="498"/>
      <c r="Z402" s="498"/>
      <c r="AA402" s="498"/>
      <c r="AB402" s="498"/>
      <c r="AC402" s="498"/>
      <c r="AD402" s="498"/>
      <c r="AE402" s="498"/>
      <c r="AF402" s="479"/>
      <c r="AG402" s="479"/>
      <c r="AH402" s="479"/>
      <c r="AI402" s="479"/>
      <c r="AJ402" s="479"/>
      <c r="AK402" s="479"/>
      <c r="AL402" s="479"/>
      <c r="AM402" s="479"/>
      <c r="AN402" s="479"/>
      <c r="AO402" s="479"/>
      <c r="AP402" s="479"/>
      <c r="AQ402" s="479"/>
      <c r="AR402" s="479"/>
      <c r="AS402" s="479"/>
      <c r="AT402" s="479"/>
      <c r="AU402" s="479"/>
    </row>
    <row r="403" spans="1:47">
      <c r="A403" s="479"/>
      <c r="B403" s="479"/>
      <c r="C403" s="479"/>
      <c r="D403" s="479"/>
      <c r="E403" s="479"/>
      <c r="F403" s="479"/>
      <c r="G403" s="479"/>
      <c r="H403" s="479"/>
      <c r="I403" s="479"/>
      <c r="J403" s="479"/>
      <c r="K403" s="479"/>
      <c r="L403" s="479"/>
      <c r="M403" s="479"/>
      <c r="N403" s="479"/>
      <c r="O403" s="479"/>
      <c r="P403" s="479"/>
      <c r="Q403" s="1320">
        <v>15</v>
      </c>
      <c r="R403" s="479"/>
      <c r="S403" s="485" t="s">
        <v>2253</v>
      </c>
      <c r="T403" s="479"/>
      <c r="U403" s="498"/>
      <c r="V403" s="479"/>
      <c r="W403" s="498"/>
      <c r="X403" s="498"/>
      <c r="Y403" s="498"/>
      <c r="Z403" s="498"/>
      <c r="AA403" s="498"/>
      <c r="AB403" s="498"/>
      <c r="AC403" s="498"/>
      <c r="AD403" s="498"/>
      <c r="AE403" s="498"/>
      <c r="AF403" s="479"/>
      <c r="AG403" s="479"/>
      <c r="AH403" s="479"/>
      <c r="AI403" s="479"/>
      <c r="AJ403" s="479"/>
      <c r="AK403" s="479"/>
      <c r="AL403" s="479"/>
      <c r="AM403" s="479"/>
      <c r="AN403" s="479"/>
      <c r="AO403" s="479"/>
      <c r="AP403" s="479"/>
      <c r="AQ403" s="479"/>
      <c r="AR403" s="479"/>
      <c r="AS403" s="479"/>
      <c r="AT403" s="479"/>
      <c r="AU403" s="479"/>
    </row>
    <row r="404" spans="1:47">
      <c r="A404" s="479"/>
      <c r="B404" s="479"/>
      <c r="C404" s="479"/>
      <c r="D404" s="479"/>
      <c r="E404" s="479"/>
      <c r="F404" s="479"/>
      <c r="G404" s="479"/>
      <c r="H404" s="479"/>
      <c r="I404" s="479"/>
      <c r="J404" s="479"/>
      <c r="K404" s="479"/>
      <c r="L404" s="479"/>
      <c r="M404" s="479"/>
      <c r="N404" s="479"/>
      <c r="O404" s="479"/>
      <c r="P404" s="479"/>
      <c r="Q404" s="1320">
        <v>16</v>
      </c>
      <c r="R404" s="479"/>
      <c r="S404" s="485" t="s">
        <v>258</v>
      </c>
      <c r="T404" s="479"/>
      <c r="U404" s="496"/>
      <c r="V404" s="479"/>
      <c r="W404" s="496"/>
      <c r="X404" s="496"/>
      <c r="Y404" s="496"/>
      <c r="Z404" s="496"/>
      <c r="AA404" s="496"/>
      <c r="AB404" s="496"/>
      <c r="AC404" s="496"/>
      <c r="AD404" s="496"/>
      <c r="AE404" s="496"/>
      <c r="AF404" s="479"/>
      <c r="AG404" s="479"/>
      <c r="AH404" s="479"/>
      <c r="AI404" s="479"/>
      <c r="AJ404" s="479"/>
      <c r="AK404" s="479"/>
      <c r="AL404" s="479"/>
      <c r="AM404" s="479"/>
      <c r="AN404" s="479"/>
      <c r="AO404" s="479"/>
      <c r="AP404" s="479"/>
      <c r="AQ404" s="479"/>
      <c r="AR404" s="479"/>
      <c r="AS404" s="479"/>
      <c r="AT404" s="479"/>
      <c r="AU404" s="479"/>
    </row>
    <row r="405" spans="1:47">
      <c r="A405" s="479"/>
      <c r="B405" s="479"/>
      <c r="C405" s="479"/>
      <c r="D405" s="479"/>
      <c r="E405" s="479"/>
      <c r="F405" s="479"/>
      <c r="G405" s="479"/>
      <c r="H405" s="479"/>
      <c r="I405" s="479"/>
      <c r="J405" s="479"/>
      <c r="K405" s="479"/>
      <c r="L405" s="479"/>
      <c r="M405" s="479"/>
      <c r="N405" s="479"/>
      <c r="O405" s="479"/>
      <c r="P405" s="479"/>
      <c r="Q405" s="1320">
        <v>17</v>
      </c>
      <c r="R405" s="479"/>
      <c r="S405" s="485" t="s">
        <v>259</v>
      </c>
      <c r="T405" s="479"/>
      <c r="U405" s="496"/>
      <c r="V405" s="479"/>
      <c r="W405" s="496"/>
      <c r="X405" s="496"/>
      <c r="Y405" s="496"/>
      <c r="Z405" s="496"/>
      <c r="AA405" s="496"/>
      <c r="AB405" s="496"/>
      <c r="AC405" s="496"/>
      <c r="AD405" s="496"/>
      <c r="AE405" s="496"/>
      <c r="AF405" s="479"/>
      <c r="AG405" s="479"/>
      <c r="AH405" s="479"/>
      <c r="AI405" s="479"/>
      <c r="AJ405" s="479"/>
      <c r="AK405" s="479"/>
      <c r="AL405" s="479"/>
      <c r="AM405" s="479"/>
      <c r="AN405" s="479"/>
      <c r="AO405" s="479"/>
      <c r="AP405" s="479"/>
      <c r="AQ405" s="479"/>
      <c r="AR405" s="479"/>
      <c r="AS405" s="479"/>
      <c r="AT405" s="479"/>
      <c r="AU405" s="479"/>
    </row>
    <row r="406" spans="1:47">
      <c r="A406" s="479"/>
      <c r="B406" s="479"/>
      <c r="C406" s="479"/>
      <c r="D406" s="479"/>
      <c r="E406" s="479"/>
      <c r="F406" s="479"/>
      <c r="G406" s="479"/>
      <c r="H406" s="479"/>
      <c r="I406" s="479"/>
      <c r="J406" s="479"/>
      <c r="K406" s="479"/>
      <c r="L406" s="479"/>
      <c r="M406" s="479"/>
      <c r="N406" s="479"/>
      <c r="O406" s="479"/>
      <c r="P406" s="479"/>
      <c r="Q406" s="1320">
        <v>18</v>
      </c>
      <c r="R406" s="479"/>
      <c r="S406" s="485" t="s">
        <v>260</v>
      </c>
      <c r="T406" s="479"/>
      <c r="U406" s="496"/>
      <c r="V406" s="479"/>
      <c r="W406" s="496"/>
      <c r="X406" s="496"/>
      <c r="Y406" s="496"/>
      <c r="Z406" s="496"/>
      <c r="AA406" s="496"/>
      <c r="AB406" s="496"/>
      <c r="AC406" s="496"/>
      <c r="AD406" s="496"/>
      <c r="AE406" s="496"/>
      <c r="AF406" s="479"/>
      <c r="AG406" s="479"/>
      <c r="AH406" s="479"/>
      <c r="AI406" s="479"/>
      <c r="AJ406" s="479"/>
      <c r="AK406" s="479"/>
      <c r="AL406" s="479"/>
      <c r="AM406" s="479"/>
      <c r="AN406" s="479"/>
      <c r="AO406" s="479"/>
      <c r="AP406" s="479"/>
      <c r="AQ406" s="479"/>
      <c r="AR406" s="479"/>
      <c r="AS406" s="479"/>
      <c r="AT406" s="479"/>
      <c r="AU406" s="479"/>
    </row>
    <row r="407" spans="1:47">
      <c r="A407" s="479"/>
      <c r="B407" s="479"/>
      <c r="C407" s="479"/>
      <c r="D407" s="479"/>
      <c r="E407" s="479"/>
      <c r="F407" s="479"/>
      <c r="G407" s="479"/>
      <c r="H407" s="479"/>
      <c r="I407" s="479"/>
      <c r="J407" s="479"/>
      <c r="K407" s="479"/>
      <c r="L407" s="479"/>
      <c r="M407" s="479"/>
      <c r="N407" s="479"/>
      <c r="O407" s="479"/>
      <c r="P407" s="479"/>
      <c r="Q407" s="1320">
        <v>19</v>
      </c>
      <c r="R407" s="479"/>
      <c r="S407" s="485" t="s">
        <v>261</v>
      </c>
      <c r="T407" s="479"/>
      <c r="U407" s="496"/>
      <c r="V407" s="479"/>
      <c r="W407" s="496"/>
      <c r="X407" s="496"/>
      <c r="Y407" s="496"/>
      <c r="Z407" s="496"/>
      <c r="AA407" s="496"/>
      <c r="AB407" s="496"/>
      <c r="AC407" s="496"/>
      <c r="AD407" s="496"/>
      <c r="AE407" s="496"/>
      <c r="AF407" s="479"/>
      <c r="AG407" s="479"/>
      <c r="AH407" s="479"/>
      <c r="AI407" s="479"/>
      <c r="AJ407" s="479"/>
      <c r="AK407" s="479"/>
      <c r="AL407" s="479"/>
      <c r="AM407" s="479"/>
      <c r="AN407" s="479"/>
      <c r="AO407" s="479"/>
      <c r="AP407" s="479"/>
      <c r="AQ407" s="479"/>
      <c r="AR407" s="479"/>
      <c r="AS407" s="479"/>
      <c r="AT407" s="479"/>
      <c r="AU407" s="479"/>
    </row>
    <row r="408" spans="1:47">
      <c r="A408" s="479"/>
      <c r="B408" s="479"/>
      <c r="C408" s="479"/>
      <c r="D408" s="479"/>
      <c r="E408" s="479"/>
      <c r="F408" s="479"/>
      <c r="G408" s="479"/>
      <c r="H408" s="479"/>
      <c r="I408" s="479"/>
      <c r="J408" s="479"/>
      <c r="K408" s="479"/>
      <c r="L408" s="479"/>
      <c r="M408" s="479"/>
      <c r="N408" s="479"/>
      <c r="O408" s="479"/>
      <c r="P408" s="479"/>
      <c r="Q408" s="1320">
        <v>20</v>
      </c>
      <c r="R408" s="479"/>
      <c r="S408" s="485" t="s">
        <v>262</v>
      </c>
      <c r="T408" s="479"/>
      <c r="U408" s="496"/>
      <c r="V408" s="479"/>
      <c r="W408" s="496"/>
      <c r="X408" s="496"/>
      <c r="Y408" s="479"/>
      <c r="Z408" s="496"/>
      <c r="AA408" s="496"/>
      <c r="AB408" s="496"/>
      <c r="AC408" s="496"/>
      <c r="AD408" s="496"/>
      <c r="AE408" s="496"/>
      <c r="AF408" s="479"/>
      <c r="AG408" s="479"/>
      <c r="AH408" s="479"/>
      <c r="AI408" s="479"/>
      <c r="AJ408" s="479"/>
      <c r="AK408" s="479"/>
      <c r="AL408" s="479"/>
      <c r="AM408" s="479"/>
      <c r="AN408" s="479"/>
      <c r="AO408" s="479"/>
      <c r="AP408" s="479"/>
      <c r="AQ408" s="479"/>
      <c r="AR408" s="479"/>
      <c r="AS408" s="479"/>
      <c r="AT408" s="479"/>
      <c r="AU408" s="479"/>
    </row>
    <row r="409" spans="1:47">
      <c r="A409" s="479"/>
      <c r="B409" s="479"/>
      <c r="C409" s="479"/>
      <c r="D409" s="479"/>
      <c r="E409" s="479"/>
      <c r="F409" s="479"/>
      <c r="G409" s="479"/>
      <c r="H409" s="479"/>
      <c r="I409" s="479"/>
      <c r="J409" s="479"/>
      <c r="K409" s="479"/>
      <c r="L409" s="479"/>
      <c r="M409" s="479"/>
      <c r="N409" s="479"/>
      <c r="O409" s="479"/>
      <c r="P409" s="479"/>
      <c r="Q409" s="1320">
        <v>21</v>
      </c>
      <c r="R409" s="479"/>
      <c r="S409" s="485" t="s">
        <v>1509</v>
      </c>
      <c r="T409" s="479"/>
      <c r="U409" s="496"/>
      <c r="V409" s="479"/>
      <c r="W409" s="496"/>
      <c r="X409" s="496"/>
      <c r="Y409" s="496"/>
      <c r="Z409" s="496"/>
      <c r="AA409" s="496"/>
      <c r="AB409" s="496"/>
      <c r="AC409" s="496"/>
      <c r="AD409" s="496"/>
      <c r="AE409" s="496"/>
      <c r="AF409" s="479"/>
      <c r="AG409" s="479"/>
      <c r="AH409" s="479"/>
      <c r="AI409" s="479"/>
      <c r="AJ409" s="479"/>
      <c r="AK409" s="479"/>
      <c r="AL409" s="479"/>
      <c r="AM409" s="479"/>
      <c r="AN409" s="479"/>
      <c r="AO409" s="479"/>
      <c r="AP409" s="479"/>
      <c r="AQ409" s="479"/>
      <c r="AR409" s="479"/>
      <c r="AS409" s="479"/>
      <c r="AT409" s="479"/>
      <c r="AU409" s="479"/>
    </row>
    <row r="410" spans="1:47">
      <c r="A410" s="479"/>
      <c r="B410" s="479"/>
      <c r="C410" s="479"/>
      <c r="D410" s="479"/>
      <c r="E410" s="479"/>
      <c r="F410" s="479"/>
      <c r="G410" s="479"/>
      <c r="H410" s="479"/>
      <c r="I410" s="479"/>
      <c r="J410" s="479"/>
      <c r="K410" s="479"/>
      <c r="L410" s="479"/>
      <c r="M410" s="479"/>
      <c r="N410" s="479"/>
      <c r="O410" s="479"/>
      <c r="P410" s="479"/>
      <c r="Q410" s="1320">
        <v>22</v>
      </c>
      <c r="R410" s="479"/>
      <c r="S410" s="485" t="s">
        <v>1838</v>
      </c>
      <c r="T410" s="479"/>
      <c r="U410" s="497">
        <f>U400+SUM(U402:U409)</f>
        <v>1005775</v>
      </c>
      <c r="V410" s="479"/>
      <c r="W410" s="497">
        <f>W400+SUM(W402:W409)</f>
        <v>1979833</v>
      </c>
      <c r="X410" s="496"/>
      <c r="Y410" s="497">
        <f>Y400+SUM(Y402:Y409)</f>
        <v>0</v>
      </c>
      <c r="Z410" s="496"/>
      <c r="AA410" s="497">
        <f>AA400+SUM(AA402:AA409)</f>
        <v>0</v>
      </c>
      <c r="AB410" s="496"/>
      <c r="AC410" s="497">
        <f>AC400+SUM(AC402:AC409)</f>
        <v>0</v>
      </c>
      <c r="AD410" s="496"/>
      <c r="AE410" s="497">
        <f>AE400+SUM(AE402:AE409)</f>
        <v>0</v>
      </c>
      <c r="AF410" s="479"/>
      <c r="AG410" s="479"/>
      <c r="AH410" s="479"/>
      <c r="AI410" s="479"/>
      <c r="AJ410" s="479"/>
      <c r="AK410" s="479"/>
      <c r="AL410" s="479"/>
      <c r="AM410" s="479"/>
      <c r="AN410" s="479"/>
      <c r="AO410" s="479"/>
      <c r="AP410" s="479"/>
      <c r="AQ410" s="479"/>
      <c r="AR410" s="479"/>
      <c r="AS410" s="479"/>
      <c r="AT410" s="479"/>
      <c r="AU410" s="479"/>
    </row>
    <row r="411" spans="1:47">
      <c r="A411" s="479"/>
      <c r="B411" s="479"/>
      <c r="C411" s="479"/>
      <c r="D411" s="479"/>
      <c r="E411" s="479"/>
      <c r="F411" s="479"/>
      <c r="G411" s="479"/>
      <c r="H411" s="479"/>
      <c r="I411" s="479"/>
      <c r="J411" s="479"/>
      <c r="K411" s="479"/>
      <c r="L411" s="479"/>
      <c r="M411" s="479"/>
      <c r="N411" s="479"/>
      <c r="O411" s="479"/>
      <c r="P411" s="479"/>
      <c r="Q411" s="1320">
        <v>23</v>
      </c>
      <c r="R411" s="479"/>
      <c r="S411" s="479"/>
      <c r="T411" s="479"/>
      <c r="U411" s="498"/>
      <c r="V411" s="479"/>
      <c r="W411" s="498"/>
      <c r="X411" s="498"/>
      <c r="Y411" s="498"/>
      <c r="Z411" s="498"/>
      <c r="AA411" s="498"/>
      <c r="AB411" s="498"/>
      <c r="AC411" s="498"/>
      <c r="AD411" s="498"/>
      <c r="AE411" s="498"/>
      <c r="AF411" s="479"/>
      <c r="AG411" s="479"/>
      <c r="AH411" s="479"/>
      <c r="AI411" s="479"/>
      <c r="AJ411" s="479"/>
      <c r="AK411" s="479"/>
      <c r="AL411" s="479"/>
      <c r="AM411" s="479"/>
      <c r="AN411" s="479"/>
      <c r="AO411" s="479"/>
      <c r="AP411" s="479"/>
      <c r="AQ411" s="479"/>
      <c r="AR411" s="479"/>
      <c r="AS411" s="479"/>
      <c r="AT411" s="479"/>
      <c r="AU411" s="479"/>
    </row>
    <row r="412" spans="1:47">
      <c r="A412" s="479"/>
      <c r="B412" s="479"/>
      <c r="C412" s="479"/>
      <c r="D412" s="479"/>
      <c r="E412" s="479"/>
      <c r="F412" s="479"/>
      <c r="G412" s="479"/>
      <c r="H412" s="479"/>
      <c r="I412" s="479"/>
      <c r="J412" s="479"/>
      <c r="K412" s="479"/>
      <c r="L412" s="479"/>
      <c r="M412" s="479"/>
      <c r="N412" s="479"/>
      <c r="O412" s="479"/>
      <c r="P412" s="479"/>
      <c r="Q412" s="1320">
        <v>24</v>
      </c>
      <c r="R412" s="479"/>
      <c r="S412" s="485" t="s">
        <v>805</v>
      </c>
      <c r="T412" s="479"/>
      <c r="U412" s="502">
        <f>SCH_C2!U436</f>
        <v>0</v>
      </c>
      <c r="V412" s="479"/>
      <c r="W412" s="502">
        <v>0</v>
      </c>
      <c r="X412" s="496"/>
      <c r="Y412" s="502">
        <v>0</v>
      </c>
      <c r="Z412" s="496"/>
      <c r="AA412" s="502"/>
      <c r="AB412" s="496"/>
      <c r="AC412" s="502">
        <v>0</v>
      </c>
      <c r="AD412" s="496"/>
      <c r="AE412" s="502">
        <v>0</v>
      </c>
      <c r="AF412" s="479"/>
      <c r="AG412" s="479"/>
      <c r="AH412" s="479"/>
      <c r="AI412" s="479"/>
      <c r="AJ412" s="479"/>
      <c r="AK412" s="479"/>
      <c r="AL412" s="479"/>
      <c r="AM412" s="479"/>
      <c r="AN412" s="479"/>
      <c r="AO412" s="479"/>
      <c r="AP412" s="479"/>
      <c r="AQ412" s="479"/>
      <c r="AR412" s="479"/>
      <c r="AS412" s="479"/>
      <c r="AT412" s="479"/>
      <c r="AU412" s="479"/>
    </row>
    <row r="413" spans="1:47">
      <c r="A413" s="479"/>
      <c r="B413" s="479"/>
      <c r="C413" s="479"/>
      <c r="D413" s="479"/>
      <c r="E413" s="479"/>
      <c r="F413" s="479"/>
      <c r="G413" s="479"/>
      <c r="H413" s="479"/>
      <c r="I413" s="479"/>
      <c r="J413" s="479"/>
      <c r="K413" s="479"/>
      <c r="L413" s="479"/>
      <c r="M413" s="479"/>
      <c r="N413" s="479"/>
      <c r="O413" s="479"/>
      <c r="P413" s="479"/>
      <c r="Q413" s="1320">
        <v>25</v>
      </c>
      <c r="R413" s="479"/>
      <c r="S413" s="479"/>
      <c r="T413" s="479"/>
      <c r="U413" s="498"/>
      <c r="V413" s="479"/>
      <c r="W413" s="498"/>
      <c r="X413" s="498"/>
      <c r="Y413" s="498"/>
      <c r="Z413" s="498"/>
      <c r="AA413" s="498"/>
      <c r="AB413" s="498"/>
      <c r="AC413" s="498"/>
      <c r="AD413" s="498"/>
      <c r="AE413" s="498"/>
      <c r="AF413" s="479"/>
      <c r="AG413" s="479"/>
      <c r="AH413" s="479"/>
      <c r="AI413" s="479"/>
      <c r="AJ413" s="479"/>
      <c r="AK413" s="479"/>
      <c r="AL413" s="479"/>
      <c r="AM413" s="479"/>
      <c r="AN413" s="479"/>
      <c r="AO413" s="479"/>
      <c r="AP413" s="479"/>
      <c r="AQ413" s="479"/>
      <c r="AR413" s="479"/>
      <c r="AS413" s="479"/>
      <c r="AT413" s="479"/>
      <c r="AU413" s="479"/>
    </row>
    <row r="414" spans="1:47">
      <c r="A414" s="479"/>
      <c r="B414" s="479"/>
      <c r="C414" s="479"/>
      <c r="D414" s="479"/>
      <c r="E414" s="479"/>
      <c r="F414" s="479"/>
      <c r="G414" s="479"/>
      <c r="H414" s="479"/>
      <c r="I414" s="479"/>
      <c r="J414" s="479"/>
      <c r="K414" s="479"/>
      <c r="L414" s="479"/>
      <c r="M414" s="479"/>
      <c r="N414" s="479"/>
      <c r="O414" s="479"/>
      <c r="P414" s="479"/>
      <c r="Q414" s="1320">
        <v>26</v>
      </c>
      <c r="R414" s="479"/>
      <c r="S414" s="485" t="s">
        <v>1932</v>
      </c>
      <c r="T414" s="479"/>
      <c r="U414" s="496"/>
      <c r="V414" s="479"/>
      <c r="W414" s="479"/>
      <c r="X414" s="479"/>
      <c r="Y414" s="479"/>
      <c r="Z414" s="479"/>
      <c r="AA414" s="479"/>
      <c r="AB414" s="479"/>
      <c r="AC414" s="479"/>
      <c r="AD414" s="479"/>
      <c r="AE414" s="479"/>
      <c r="AF414" s="479"/>
      <c r="AG414" s="479"/>
      <c r="AH414" s="479"/>
      <c r="AI414" s="479"/>
      <c r="AJ414" s="479"/>
      <c r="AK414" s="479"/>
      <c r="AL414" s="479"/>
      <c r="AM414" s="479"/>
      <c r="AN414" s="479"/>
      <c r="AO414" s="479"/>
      <c r="AP414" s="479"/>
      <c r="AQ414" s="479"/>
      <c r="AR414" s="479"/>
      <c r="AS414" s="479"/>
      <c r="AT414" s="479"/>
      <c r="AU414" s="479"/>
    </row>
    <row r="415" spans="1:47">
      <c r="A415" s="479"/>
      <c r="B415" s="479"/>
      <c r="C415" s="479"/>
      <c r="D415" s="479"/>
      <c r="E415" s="479"/>
      <c r="F415" s="479"/>
      <c r="G415" s="479"/>
      <c r="H415" s="479"/>
      <c r="I415" s="479"/>
      <c r="J415" s="479"/>
      <c r="K415" s="479"/>
      <c r="L415" s="479"/>
      <c r="M415" s="479"/>
      <c r="N415" s="479"/>
      <c r="O415" s="479"/>
      <c r="P415" s="479"/>
      <c r="Q415" s="1320">
        <v>27</v>
      </c>
      <c r="R415" s="479"/>
      <c r="S415" s="485" t="s">
        <v>1210</v>
      </c>
      <c r="T415" s="479"/>
      <c r="U415" s="496"/>
      <c r="V415" s="479"/>
      <c r="W415" s="496"/>
      <c r="X415" s="496"/>
      <c r="Y415" s="496"/>
      <c r="Z415" s="496"/>
      <c r="AA415" s="496"/>
      <c r="AB415" s="496"/>
      <c r="AC415" s="496"/>
      <c r="AD415" s="496"/>
      <c r="AE415" s="496"/>
      <c r="AF415" s="479"/>
      <c r="AG415" s="479"/>
      <c r="AH415" s="479"/>
      <c r="AI415" s="479"/>
      <c r="AJ415" s="479"/>
      <c r="AK415" s="479"/>
      <c r="AL415" s="479"/>
      <c r="AM415" s="479"/>
      <c r="AN415" s="479"/>
      <c r="AO415" s="479"/>
      <c r="AP415" s="479"/>
      <c r="AQ415" s="479"/>
      <c r="AR415" s="479"/>
      <c r="AS415" s="479"/>
      <c r="AT415" s="479"/>
      <c r="AU415" s="479"/>
    </row>
    <row r="416" spans="1:47">
      <c r="A416" s="479"/>
      <c r="B416" s="479"/>
      <c r="C416" s="479"/>
      <c r="D416" s="479"/>
      <c r="E416" s="479"/>
      <c r="F416" s="479"/>
      <c r="G416" s="479"/>
      <c r="H416" s="479"/>
      <c r="I416" s="479"/>
      <c r="J416" s="479"/>
      <c r="K416" s="479"/>
      <c r="L416" s="479"/>
      <c r="M416" s="479"/>
      <c r="N416" s="479"/>
      <c r="O416" s="479"/>
      <c r="P416" s="479"/>
      <c r="Q416" s="1320">
        <v>28</v>
      </c>
      <c r="R416" s="479"/>
      <c r="S416" s="485" t="s">
        <v>1212</v>
      </c>
      <c r="T416" s="479"/>
      <c r="U416" s="496"/>
      <c r="V416" s="479"/>
      <c r="W416" s="496"/>
      <c r="X416" s="496"/>
      <c r="Y416" s="496"/>
      <c r="Z416" s="496"/>
      <c r="AA416" s="496"/>
      <c r="AB416" s="496"/>
      <c r="AC416" s="496"/>
      <c r="AD416" s="496"/>
      <c r="AE416" s="496"/>
      <c r="AF416" s="479"/>
      <c r="AG416" s="479"/>
      <c r="AH416" s="479"/>
      <c r="AI416" s="479"/>
      <c r="AJ416" s="479"/>
      <c r="AK416" s="479"/>
      <c r="AL416" s="479"/>
      <c r="AM416" s="479"/>
      <c r="AN416" s="479"/>
      <c r="AO416" s="479"/>
      <c r="AP416" s="479"/>
      <c r="AQ416" s="479"/>
      <c r="AR416" s="479"/>
      <c r="AS416" s="479"/>
      <c r="AT416" s="479"/>
      <c r="AU416" s="479"/>
    </row>
    <row r="417" spans="1:47">
      <c r="A417" s="479"/>
      <c r="B417" s="479"/>
      <c r="C417" s="479"/>
      <c r="D417" s="479"/>
      <c r="E417" s="479"/>
      <c r="F417" s="479"/>
      <c r="G417" s="479"/>
      <c r="H417" s="479"/>
      <c r="I417" s="479"/>
      <c r="J417" s="479"/>
      <c r="K417" s="479"/>
      <c r="L417" s="479"/>
      <c r="M417" s="479"/>
      <c r="N417" s="479"/>
      <c r="O417" s="479"/>
      <c r="P417" s="479"/>
      <c r="Q417" s="1320">
        <v>29</v>
      </c>
      <c r="R417" s="479"/>
      <c r="S417" s="485" t="s">
        <v>1842</v>
      </c>
      <c r="T417" s="479"/>
      <c r="U417" s="497">
        <f>SUM(U415:U416)</f>
        <v>0</v>
      </c>
      <c r="V417" s="479"/>
      <c r="W417" s="497">
        <f>SUM(W415:W416)</f>
        <v>0</v>
      </c>
      <c r="X417" s="496"/>
      <c r="Y417" s="497">
        <f>SUM(Y415:Y416)</f>
        <v>0</v>
      </c>
      <c r="Z417" s="496"/>
      <c r="AA417" s="497">
        <f>SUM(AA415:AA416)</f>
        <v>0</v>
      </c>
      <c r="AB417" s="496"/>
      <c r="AC417" s="497">
        <f>SUM(AC415:AC416)</f>
        <v>0</v>
      </c>
      <c r="AD417" s="496"/>
      <c r="AE417" s="497">
        <f>SUM(AE415:AE416)</f>
        <v>0</v>
      </c>
      <c r="AF417" s="479"/>
      <c r="AG417" s="479"/>
      <c r="AH417" s="479"/>
      <c r="AI417" s="479"/>
      <c r="AJ417" s="479"/>
      <c r="AK417" s="479"/>
      <c r="AL417" s="479"/>
      <c r="AM417" s="479"/>
      <c r="AN417" s="479"/>
      <c r="AO417" s="479"/>
      <c r="AP417" s="479"/>
      <c r="AQ417" s="479"/>
      <c r="AR417" s="479"/>
      <c r="AS417" s="479"/>
      <c r="AT417" s="479"/>
      <c r="AU417" s="479"/>
    </row>
    <row r="418" spans="1:47">
      <c r="A418" s="479"/>
      <c r="B418" s="479"/>
      <c r="C418" s="479"/>
      <c r="D418" s="479"/>
      <c r="E418" s="479"/>
      <c r="F418" s="479"/>
      <c r="G418" s="479"/>
      <c r="H418" s="479"/>
      <c r="I418" s="479"/>
      <c r="J418" s="479"/>
      <c r="K418" s="479"/>
      <c r="L418" s="479"/>
      <c r="M418" s="479"/>
      <c r="N418" s="479"/>
      <c r="O418" s="479"/>
      <c r="P418" s="479"/>
      <c r="Q418" s="1320">
        <v>30</v>
      </c>
      <c r="R418" s="479"/>
      <c r="S418" s="485"/>
      <c r="T418" s="479"/>
      <c r="U418" s="501"/>
      <c r="V418" s="479"/>
      <c r="W418" s="501"/>
      <c r="X418" s="496"/>
      <c r="Y418" s="501"/>
      <c r="Z418" s="496"/>
      <c r="AA418" s="501"/>
      <c r="AB418" s="496"/>
      <c r="AC418" s="501"/>
      <c r="AD418" s="496"/>
      <c r="AE418" s="501"/>
      <c r="AF418" s="479"/>
      <c r="AG418" s="479"/>
      <c r="AH418" s="479"/>
      <c r="AI418" s="479"/>
      <c r="AJ418" s="479"/>
      <c r="AK418" s="479"/>
      <c r="AL418" s="479"/>
      <c r="AM418" s="479"/>
      <c r="AN418" s="479"/>
      <c r="AO418" s="479"/>
      <c r="AP418" s="479"/>
      <c r="AQ418" s="479"/>
      <c r="AR418" s="479"/>
      <c r="AS418" s="479"/>
      <c r="AT418" s="479"/>
      <c r="AU418" s="479"/>
    </row>
    <row r="419" spans="1:47">
      <c r="A419" s="479"/>
      <c r="B419" s="479"/>
      <c r="C419" s="479"/>
      <c r="D419" s="479"/>
      <c r="E419" s="479"/>
      <c r="F419" s="479"/>
      <c r="G419" s="479"/>
      <c r="H419" s="479"/>
      <c r="I419" s="479"/>
      <c r="J419" s="479"/>
      <c r="K419" s="479"/>
      <c r="L419" s="479"/>
      <c r="M419" s="479"/>
      <c r="N419" s="479"/>
      <c r="O419" s="479"/>
      <c r="P419" s="479"/>
      <c r="Q419" s="1320">
        <v>31</v>
      </c>
      <c r="R419" s="479"/>
      <c r="S419" s="485" t="s">
        <v>1843</v>
      </c>
      <c r="T419" s="479"/>
      <c r="U419" s="479"/>
      <c r="V419" s="479"/>
      <c r="W419" s="479"/>
      <c r="X419" s="479"/>
      <c r="Y419" s="479"/>
      <c r="Z419" s="479"/>
      <c r="AA419" s="479"/>
      <c r="AB419" s="479"/>
      <c r="AC419" s="479"/>
      <c r="AD419" s="479"/>
      <c r="AE419" s="479"/>
      <c r="AF419" s="479"/>
      <c r="AG419" s="479"/>
      <c r="AH419" s="479"/>
      <c r="AI419" s="479"/>
      <c r="AJ419" s="479"/>
      <c r="AK419" s="479"/>
      <c r="AL419" s="479"/>
      <c r="AM419" s="479"/>
      <c r="AN419" s="479"/>
      <c r="AO419" s="479"/>
      <c r="AP419" s="479"/>
      <c r="AQ419" s="479"/>
      <c r="AR419" s="479"/>
      <c r="AS419" s="479"/>
      <c r="AT419" s="479"/>
      <c r="AU419" s="479"/>
    </row>
    <row r="420" spans="1:47">
      <c r="A420" s="479"/>
      <c r="B420" s="479"/>
      <c r="C420" s="479"/>
      <c r="D420" s="479"/>
      <c r="E420" s="479"/>
      <c r="F420" s="479"/>
      <c r="G420" s="479"/>
      <c r="H420" s="479"/>
      <c r="I420" s="479"/>
      <c r="J420" s="479"/>
      <c r="K420" s="479"/>
      <c r="L420" s="479"/>
      <c r="M420" s="479"/>
      <c r="N420" s="479"/>
      <c r="O420" s="479"/>
      <c r="P420" s="479"/>
      <c r="Q420" s="1320">
        <v>32</v>
      </c>
      <c r="R420" s="479"/>
      <c r="S420" s="485" t="s">
        <v>910</v>
      </c>
      <c r="T420" s="479"/>
      <c r="U420" s="496">
        <f>ROUND((U393-U410-U412-U417)*SIT*APPORT,0)</f>
        <v>-53761</v>
      </c>
      <c r="V420" s="479"/>
      <c r="W420" s="496">
        <f>ROUND((W393-W410-W412-W417)*SIT*APPORT,0)</f>
        <v>-105826</v>
      </c>
      <c r="X420" s="496"/>
      <c r="Y420" s="496">
        <f>ROUND((Y393-Y410-Y412-Y417)*SIT*APPORT,0)</f>
        <v>256643</v>
      </c>
      <c r="Z420" s="496"/>
      <c r="AA420" s="496">
        <f>ROUND((AA393-AA410-AA412-AA417)*SIT*APPORT,0)</f>
        <v>0</v>
      </c>
      <c r="AB420" s="496"/>
      <c r="AC420" s="496">
        <f>ROUND((AC393-AC410-AC412-AC417)*SIT*APPORT,0)</f>
        <v>0</v>
      </c>
      <c r="AD420" s="496"/>
      <c r="AE420" s="496">
        <f>ROUND((AE393-AE410-AE412-AE417)*SIT*APPORT,0)</f>
        <v>0</v>
      </c>
      <c r="AF420" s="479"/>
      <c r="AG420" s="479"/>
      <c r="AH420" s="479"/>
      <c r="AI420" s="479"/>
      <c r="AJ420" s="479"/>
      <c r="AK420" s="479"/>
      <c r="AL420" s="479"/>
      <c r="AM420" s="479"/>
      <c r="AN420" s="479"/>
      <c r="AO420" s="479"/>
      <c r="AP420" s="479"/>
      <c r="AQ420" s="479"/>
      <c r="AR420" s="479"/>
      <c r="AS420" s="479"/>
      <c r="AT420" s="479"/>
      <c r="AU420" s="479"/>
    </row>
    <row r="421" spans="1:47">
      <c r="A421" s="479"/>
      <c r="B421" s="479"/>
      <c r="C421" s="479"/>
      <c r="D421" s="479"/>
      <c r="E421" s="479"/>
      <c r="F421" s="479"/>
      <c r="G421" s="479"/>
      <c r="H421" s="479"/>
      <c r="I421" s="479"/>
      <c r="J421" s="479"/>
      <c r="K421" s="479"/>
      <c r="L421" s="479"/>
      <c r="M421" s="479"/>
      <c r="N421" s="479"/>
      <c r="O421" s="479"/>
      <c r="P421" s="479"/>
      <c r="Q421" s="1320">
        <v>33</v>
      </c>
      <c r="R421" s="479"/>
      <c r="S421" s="485" t="s">
        <v>1800</v>
      </c>
      <c r="T421" s="479"/>
      <c r="U421" s="496"/>
      <c r="V421" s="479"/>
      <c r="W421" s="496"/>
      <c r="X421" s="496"/>
      <c r="Y421" s="496"/>
      <c r="Z421" s="496"/>
      <c r="AA421" s="496"/>
      <c r="AB421" s="496"/>
      <c r="AC421" s="496"/>
      <c r="AD421" s="496"/>
      <c r="AE421" s="496"/>
      <c r="AF421" s="479"/>
      <c r="AG421" s="479"/>
      <c r="AH421" s="479"/>
      <c r="AI421" s="479"/>
      <c r="AJ421" s="479"/>
      <c r="AK421" s="479"/>
      <c r="AL421" s="479"/>
      <c r="AM421" s="479"/>
      <c r="AN421" s="479"/>
      <c r="AO421" s="479"/>
      <c r="AP421" s="479"/>
      <c r="AQ421" s="479"/>
      <c r="AR421" s="479"/>
      <c r="AS421" s="479"/>
      <c r="AT421" s="479"/>
      <c r="AU421" s="479"/>
    </row>
    <row r="422" spans="1:47">
      <c r="A422" s="479"/>
      <c r="B422" s="479"/>
      <c r="C422" s="479"/>
      <c r="D422" s="479"/>
      <c r="E422" s="479"/>
      <c r="F422" s="479"/>
      <c r="G422" s="479"/>
      <c r="H422" s="479"/>
      <c r="I422" s="479"/>
      <c r="J422" s="479"/>
      <c r="K422" s="479"/>
      <c r="L422" s="479"/>
      <c r="M422" s="479"/>
      <c r="N422" s="479"/>
      <c r="O422" s="479"/>
      <c r="P422" s="479"/>
      <c r="Q422" s="1320">
        <v>34</v>
      </c>
      <c r="R422" s="479"/>
      <c r="S422" s="485" t="s">
        <v>1848</v>
      </c>
      <c r="T422" s="479"/>
      <c r="U422" s="497">
        <f>SUM(U420:U421)</f>
        <v>-53761</v>
      </c>
      <c r="V422" s="479"/>
      <c r="W422" s="497">
        <f>SUM(W420:W421)</f>
        <v>-105826</v>
      </c>
      <c r="X422" s="496"/>
      <c r="Y422" s="497">
        <f>SUM(Y420:Y421)</f>
        <v>256643</v>
      </c>
      <c r="Z422" s="496"/>
      <c r="AA422" s="497">
        <f>SUM(AA420:AA421)</f>
        <v>0</v>
      </c>
      <c r="AB422" s="496"/>
      <c r="AC422" s="497">
        <f>SUM(AC420:AC421)</f>
        <v>0</v>
      </c>
      <c r="AD422" s="496"/>
      <c r="AE422" s="497">
        <f>SUM(AE420:AE421)</f>
        <v>0</v>
      </c>
      <c r="AF422" s="479"/>
      <c r="AG422" s="479"/>
      <c r="AH422" s="479"/>
      <c r="AI422" s="479"/>
      <c r="AJ422" s="479"/>
      <c r="AK422" s="479"/>
      <c r="AL422" s="479"/>
      <c r="AM422" s="479"/>
      <c r="AN422" s="479"/>
      <c r="AO422" s="479"/>
      <c r="AP422" s="479"/>
      <c r="AQ422" s="479"/>
      <c r="AR422" s="479"/>
      <c r="AS422" s="479"/>
      <c r="AT422" s="479"/>
      <c r="AU422" s="479"/>
    </row>
    <row r="423" spans="1:47">
      <c r="A423" s="479"/>
      <c r="B423" s="479"/>
      <c r="C423" s="479"/>
      <c r="D423" s="479"/>
      <c r="E423" s="479"/>
      <c r="F423" s="479"/>
      <c r="G423" s="479"/>
      <c r="H423" s="479"/>
      <c r="I423" s="479"/>
      <c r="J423" s="479"/>
      <c r="K423" s="479"/>
      <c r="L423" s="479"/>
      <c r="M423" s="479"/>
      <c r="N423" s="479"/>
      <c r="O423" s="479"/>
      <c r="P423" s="479"/>
      <c r="Q423" s="1320">
        <v>35</v>
      </c>
      <c r="R423" s="479"/>
      <c r="S423" s="479"/>
      <c r="T423" s="479"/>
      <c r="U423" s="498"/>
      <c r="V423" s="479"/>
      <c r="W423" s="498"/>
      <c r="X423" s="498"/>
      <c r="Y423" s="498"/>
      <c r="Z423" s="498"/>
      <c r="AA423" s="498"/>
      <c r="AB423" s="498"/>
      <c r="AC423" s="498"/>
      <c r="AD423" s="498"/>
      <c r="AE423" s="498"/>
      <c r="AF423" s="479"/>
      <c r="AG423" s="479"/>
      <c r="AH423" s="479"/>
      <c r="AI423" s="479"/>
      <c r="AJ423" s="479"/>
      <c r="AK423" s="479"/>
      <c r="AL423" s="479"/>
      <c r="AM423" s="479"/>
      <c r="AN423" s="479"/>
      <c r="AO423" s="479"/>
      <c r="AP423" s="479"/>
      <c r="AQ423" s="479"/>
      <c r="AR423" s="479"/>
      <c r="AS423" s="479"/>
      <c r="AT423" s="479"/>
      <c r="AU423" s="479"/>
    </row>
    <row r="424" spans="1:47">
      <c r="A424" s="479"/>
      <c r="B424" s="479"/>
      <c r="C424" s="479"/>
      <c r="D424" s="479"/>
      <c r="E424" s="479"/>
      <c r="F424" s="479"/>
      <c r="G424" s="479"/>
      <c r="H424" s="479"/>
      <c r="I424" s="479"/>
      <c r="J424" s="479"/>
      <c r="K424" s="479"/>
      <c r="L424" s="479"/>
      <c r="M424" s="479"/>
      <c r="N424" s="479"/>
      <c r="O424" s="479"/>
      <c r="P424" s="479"/>
      <c r="Q424" s="1320">
        <v>36</v>
      </c>
      <c r="R424" s="479"/>
      <c r="S424" s="485" t="s">
        <v>379</v>
      </c>
      <c r="T424" s="479"/>
      <c r="U424" s="479"/>
      <c r="V424" s="479"/>
      <c r="W424" s="479"/>
      <c r="X424" s="479"/>
      <c r="Y424" s="479"/>
      <c r="Z424" s="479"/>
      <c r="AA424" s="479"/>
      <c r="AB424" s="479"/>
      <c r="AC424" s="479"/>
      <c r="AD424" s="479"/>
      <c r="AE424" s="479"/>
      <c r="AF424" s="479"/>
      <c r="AG424" s="479"/>
      <c r="AH424" s="479"/>
      <c r="AI424" s="479"/>
      <c r="AJ424" s="479"/>
      <c r="AK424" s="479"/>
      <c r="AL424" s="479"/>
      <c r="AM424" s="479"/>
      <c r="AN424" s="479"/>
      <c r="AO424" s="479"/>
      <c r="AP424" s="479"/>
      <c r="AQ424" s="479"/>
      <c r="AR424" s="479"/>
      <c r="AS424" s="479"/>
      <c r="AT424" s="479"/>
      <c r="AU424" s="479"/>
    </row>
    <row r="425" spans="1:47">
      <c r="A425" s="479"/>
      <c r="B425" s="479"/>
      <c r="C425" s="479"/>
      <c r="D425" s="479"/>
      <c r="E425" s="479"/>
      <c r="F425" s="479"/>
      <c r="G425" s="479"/>
      <c r="H425" s="479"/>
      <c r="I425" s="479"/>
      <c r="J425" s="479"/>
      <c r="K425" s="479"/>
      <c r="L425" s="479"/>
      <c r="M425" s="479"/>
      <c r="N425" s="479"/>
      <c r="O425" s="479"/>
      <c r="P425" s="479"/>
      <c r="Q425" s="1320">
        <v>37</v>
      </c>
      <c r="R425" s="479"/>
      <c r="S425" s="485" t="s">
        <v>910</v>
      </c>
      <c r="T425" s="479"/>
      <c r="U425" s="496">
        <f>ROUND((U393-U410-U412-U417-U420)*FIT,0)</f>
        <v>-333205</v>
      </c>
      <c r="V425" s="479"/>
      <c r="W425" s="496">
        <f>ROUND((W393-W410-W412-W417-W420)*FIT,0)</f>
        <v>-655902</v>
      </c>
      <c r="X425" s="496"/>
      <c r="Y425" s="496">
        <f>ROUND((Y393-Y410-Y412-Y417-Y420)*FIT,0)</f>
        <v>1590656</v>
      </c>
      <c r="Z425" s="496"/>
      <c r="AA425" s="496">
        <f>ROUND((AA393-AA410-AA412-AA417-AA420)*FIT,0)</f>
        <v>0</v>
      </c>
      <c r="AB425" s="496"/>
      <c r="AC425" s="496">
        <f>ROUND((AC393-AC410-AC412-AC417-AC420)*FIT,0)</f>
        <v>0</v>
      </c>
      <c r="AD425" s="496"/>
      <c r="AE425" s="496">
        <f>ROUND((AE393-AE410-AE412-AE417-AE420)*FIT,0)</f>
        <v>0</v>
      </c>
      <c r="AF425" s="479"/>
      <c r="AG425" s="479"/>
      <c r="AH425" s="479"/>
      <c r="AI425" s="479"/>
      <c r="AJ425" s="479"/>
      <c r="AK425" s="479"/>
      <c r="AL425" s="479"/>
      <c r="AM425" s="479"/>
      <c r="AN425" s="479"/>
      <c r="AO425" s="479"/>
      <c r="AP425" s="479"/>
      <c r="AQ425" s="479"/>
      <c r="AR425" s="479"/>
      <c r="AS425" s="479"/>
      <c r="AT425" s="479"/>
      <c r="AU425" s="479"/>
    </row>
    <row r="426" spans="1:47">
      <c r="A426" s="479"/>
      <c r="B426" s="479"/>
      <c r="C426" s="479"/>
      <c r="D426" s="479"/>
      <c r="E426" s="479"/>
      <c r="F426" s="479"/>
      <c r="G426" s="479"/>
      <c r="H426" s="479"/>
      <c r="I426" s="479"/>
      <c r="J426" s="479"/>
      <c r="K426" s="479"/>
      <c r="L426" s="479"/>
      <c r="M426" s="479"/>
      <c r="N426" s="479"/>
      <c r="O426" s="479"/>
      <c r="P426" s="479"/>
      <c r="Q426" s="1320">
        <v>38</v>
      </c>
      <c r="R426" s="479"/>
      <c r="S426" s="485" t="s">
        <v>1800</v>
      </c>
      <c r="T426" s="479"/>
      <c r="U426" s="496"/>
      <c r="V426" s="479"/>
      <c r="W426" s="496"/>
      <c r="X426" s="496"/>
      <c r="Y426" s="496"/>
      <c r="Z426" s="496"/>
      <c r="AA426" s="496"/>
      <c r="AB426" s="496"/>
      <c r="AC426" s="496"/>
      <c r="AD426" s="496"/>
      <c r="AE426" s="496"/>
      <c r="AF426" s="479"/>
      <c r="AG426" s="479"/>
      <c r="AH426" s="479"/>
      <c r="AI426" s="479"/>
      <c r="AJ426" s="479"/>
      <c r="AK426" s="479"/>
      <c r="AL426" s="479"/>
      <c r="AM426" s="479"/>
      <c r="AN426" s="479"/>
      <c r="AO426" s="479"/>
      <c r="AP426" s="479"/>
      <c r="AQ426" s="479"/>
      <c r="AR426" s="479"/>
      <c r="AS426" s="479"/>
      <c r="AT426" s="479"/>
      <c r="AU426" s="479"/>
    </row>
    <row r="427" spans="1:47">
      <c r="A427" s="479"/>
      <c r="B427" s="479"/>
      <c r="C427" s="479"/>
      <c r="D427" s="479"/>
      <c r="E427" s="479"/>
      <c r="F427" s="479"/>
      <c r="G427" s="479"/>
      <c r="H427" s="479"/>
      <c r="I427" s="479"/>
      <c r="J427" s="479"/>
      <c r="K427" s="479"/>
      <c r="L427" s="479"/>
      <c r="M427" s="479"/>
      <c r="N427" s="479"/>
      <c r="O427" s="479"/>
      <c r="P427" s="479"/>
      <c r="Q427" s="1320">
        <v>39</v>
      </c>
      <c r="R427" s="479"/>
      <c r="S427" s="485" t="s">
        <v>1021</v>
      </c>
      <c r="T427" s="479"/>
      <c r="U427" s="496"/>
      <c r="V427" s="479"/>
      <c r="W427" s="496"/>
      <c r="X427" s="496"/>
      <c r="Y427" s="496"/>
      <c r="Z427" s="496"/>
      <c r="AA427" s="496"/>
      <c r="AB427" s="496"/>
      <c r="AC427" s="496"/>
      <c r="AD427" s="496"/>
      <c r="AE427" s="496"/>
      <c r="AF427" s="479"/>
      <c r="AG427" s="479"/>
      <c r="AH427" s="479"/>
      <c r="AI427" s="479"/>
      <c r="AJ427" s="479"/>
      <c r="AK427" s="479"/>
      <c r="AL427" s="479"/>
      <c r="AM427" s="479"/>
      <c r="AN427" s="479"/>
      <c r="AO427" s="479"/>
      <c r="AP427" s="479"/>
      <c r="AQ427" s="479"/>
      <c r="AR427" s="479"/>
      <c r="AS427" s="479"/>
      <c r="AT427" s="479"/>
      <c r="AU427" s="479"/>
    </row>
    <row r="428" spans="1:47">
      <c r="A428" s="479"/>
      <c r="B428" s="479"/>
      <c r="C428" s="479"/>
      <c r="D428" s="479"/>
      <c r="E428" s="479"/>
      <c r="F428" s="479"/>
      <c r="G428" s="479"/>
      <c r="H428" s="479"/>
      <c r="I428" s="479"/>
      <c r="J428" s="479"/>
      <c r="K428" s="479"/>
      <c r="L428" s="479"/>
      <c r="M428" s="479"/>
      <c r="N428" s="479"/>
      <c r="O428" s="479"/>
      <c r="P428" s="479"/>
      <c r="Q428" s="1320">
        <v>40</v>
      </c>
      <c r="R428" s="479"/>
      <c r="S428" s="485" t="s">
        <v>1850</v>
      </c>
      <c r="T428" s="479"/>
      <c r="U428" s="497">
        <f>SUM(U425:U427)</f>
        <v>-333205</v>
      </c>
      <c r="V428" s="479"/>
      <c r="W428" s="497">
        <f>SUM(W425:W427)</f>
        <v>-655902</v>
      </c>
      <c r="X428" s="496"/>
      <c r="Y428" s="497">
        <f>SUM(Y425:Y427)</f>
        <v>1590656</v>
      </c>
      <c r="Z428" s="496"/>
      <c r="AA428" s="497">
        <f>SUM(AA425:AA427)</f>
        <v>0</v>
      </c>
      <c r="AB428" s="496"/>
      <c r="AC428" s="497">
        <f>SUM(AC425:AC427)</f>
        <v>0</v>
      </c>
      <c r="AD428" s="496"/>
      <c r="AE428" s="497">
        <f>SUM(AE425:AE427)</f>
        <v>0</v>
      </c>
      <c r="AF428" s="479"/>
      <c r="AG428" s="479"/>
      <c r="AH428" s="479"/>
      <c r="AI428" s="479"/>
      <c r="AJ428" s="479"/>
      <c r="AK428" s="479"/>
      <c r="AL428" s="479"/>
      <c r="AM428" s="479"/>
      <c r="AN428" s="479"/>
      <c r="AO428" s="479"/>
      <c r="AP428" s="479"/>
      <c r="AQ428" s="479"/>
      <c r="AR428" s="479"/>
      <c r="AS428" s="479"/>
      <c r="AT428" s="479"/>
      <c r="AU428" s="479"/>
    </row>
    <row r="429" spans="1:47">
      <c r="A429" s="479"/>
      <c r="B429" s="479"/>
      <c r="C429" s="479"/>
      <c r="D429" s="479"/>
      <c r="E429" s="479"/>
      <c r="F429" s="479"/>
      <c r="G429" s="479"/>
      <c r="H429" s="479"/>
      <c r="I429" s="479"/>
      <c r="J429" s="479"/>
      <c r="K429" s="479"/>
      <c r="L429" s="479"/>
      <c r="M429" s="479"/>
      <c r="N429" s="479"/>
      <c r="O429" s="479"/>
      <c r="P429" s="479"/>
      <c r="Q429" s="1320">
        <v>41</v>
      </c>
      <c r="R429" s="479"/>
      <c r="S429" s="479"/>
      <c r="T429" s="479"/>
      <c r="U429" s="498"/>
      <c r="V429" s="479"/>
      <c r="W429" s="498"/>
      <c r="X429" s="498"/>
      <c r="Y429" s="498"/>
      <c r="Z429" s="498"/>
      <c r="AA429" s="498"/>
      <c r="AB429" s="498"/>
      <c r="AC429" s="498"/>
      <c r="AD429" s="498"/>
      <c r="AE429" s="498"/>
      <c r="AF429" s="479"/>
      <c r="AG429" s="479"/>
      <c r="AH429" s="479"/>
      <c r="AI429" s="479"/>
      <c r="AJ429" s="479"/>
      <c r="AK429" s="479"/>
      <c r="AL429" s="479"/>
      <c r="AM429" s="479"/>
      <c r="AN429" s="479"/>
      <c r="AO429" s="479"/>
      <c r="AP429" s="479"/>
      <c r="AQ429" s="479"/>
      <c r="AR429" s="479"/>
      <c r="AS429" s="479"/>
      <c r="AT429" s="479"/>
      <c r="AU429" s="479"/>
    </row>
    <row r="430" spans="1:47">
      <c r="A430" s="479"/>
      <c r="B430" s="479"/>
      <c r="C430" s="479"/>
      <c r="D430" s="479"/>
      <c r="E430" s="479"/>
      <c r="F430" s="479"/>
      <c r="G430" s="479"/>
      <c r="H430" s="479"/>
      <c r="I430" s="479"/>
      <c r="J430" s="479"/>
      <c r="K430" s="479"/>
      <c r="L430" s="479"/>
      <c r="M430" s="479"/>
      <c r="N430" s="479"/>
      <c r="O430" s="479"/>
      <c r="P430" s="479"/>
      <c r="Q430" s="1320">
        <v>42</v>
      </c>
      <c r="R430" s="479"/>
      <c r="S430" s="485" t="s">
        <v>1851</v>
      </c>
      <c r="T430" s="479"/>
      <c r="U430" s="502">
        <f>U410+U412+U417+U422+U428</f>
        <v>618809</v>
      </c>
      <c r="V430" s="479"/>
      <c r="W430" s="502">
        <f>W410+W412+W417+W422+W428</f>
        <v>1218105</v>
      </c>
      <c r="X430" s="496"/>
      <c r="Y430" s="502">
        <f>Y410+Y412+Y417+Y422+Y428</f>
        <v>1847299</v>
      </c>
      <c r="Z430" s="496"/>
      <c r="AA430" s="502">
        <f>AA410+AA412+AA417+AA422+AA428</f>
        <v>0</v>
      </c>
      <c r="AB430" s="496"/>
      <c r="AC430" s="502">
        <f>AC410+AC412+AC417+AC422+AC428</f>
        <v>0</v>
      </c>
      <c r="AD430" s="496"/>
      <c r="AE430" s="502">
        <f>AE410+AE412+AE417+AE422+AE428</f>
        <v>0</v>
      </c>
      <c r="AF430" s="479"/>
      <c r="AG430" s="479"/>
      <c r="AH430" s="479"/>
      <c r="AI430" s="479"/>
      <c r="AJ430" s="479"/>
      <c r="AK430" s="479"/>
      <c r="AL430" s="479"/>
      <c r="AM430" s="479"/>
      <c r="AN430" s="479"/>
      <c r="AO430" s="479"/>
      <c r="AP430" s="479"/>
      <c r="AQ430" s="479"/>
      <c r="AR430" s="479"/>
      <c r="AS430" s="479"/>
      <c r="AT430" s="479"/>
      <c r="AU430" s="479"/>
    </row>
    <row r="431" spans="1:47">
      <c r="A431" s="479"/>
      <c r="B431" s="479"/>
      <c r="C431" s="479"/>
      <c r="D431" s="479"/>
      <c r="E431" s="479"/>
      <c r="F431" s="479"/>
      <c r="G431" s="479"/>
      <c r="H431" s="479"/>
      <c r="I431" s="479"/>
      <c r="J431" s="479"/>
      <c r="K431" s="479"/>
      <c r="L431" s="479"/>
      <c r="M431" s="479"/>
      <c r="N431" s="479"/>
      <c r="O431" s="479"/>
      <c r="P431" s="479"/>
      <c r="Q431" s="1320">
        <v>43</v>
      </c>
      <c r="R431" s="479"/>
      <c r="S431" s="479"/>
      <c r="T431" s="479"/>
      <c r="U431" s="498"/>
      <c r="V431" s="479"/>
      <c r="W431" s="498"/>
      <c r="X431" s="498"/>
      <c r="Y431" s="498"/>
      <c r="Z431" s="498"/>
      <c r="AA431" s="498"/>
      <c r="AB431" s="498"/>
      <c r="AC431" s="498"/>
      <c r="AD431" s="498"/>
      <c r="AE431" s="498"/>
      <c r="AF431" s="479"/>
      <c r="AG431" s="479"/>
      <c r="AH431" s="479"/>
      <c r="AI431" s="479"/>
      <c r="AJ431" s="479"/>
      <c r="AK431" s="479"/>
      <c r="AL431" s="479"/>
      <c r="AM431" s="479"/>
      <c r="AN431" s="479"/>
      <c r="AO431" s="479"/>
      <c r="AP431" s="479"/>
      <c r="AQ431" s="479"/>
      <c r="AR431" s="479"/>
      <c r="AS431" s="479"/>
      <c r="AT431" s="479"/>
      <c r="AU431" s="479"/>
    </row>
    <row r="432" spans="1:47" ht="13.5" thickBot="1">
      <c r="A432" s="479"/>
      <c r="B432" s="479"/>
      <c r="C432" s="479"/>
      <c r="D432" s="479"/>
      <c r="E432" s="479"/>
      <c r="F432" s="479"/>
      <c r="G432" s="479"/>
      <c r="H432" s="479"/>
      <c r="I432" s="479"/>
      <c r="J432" s="479"/>
      <c r="K432" s="479"/>
      <c r="L432" s="479"/>
      <c r="M432" s="479"/>
      <c r="N432" s="479"/>
      <c r="O432" s="479"/>
      <c r="P432" s="479"/>
      <c r="Q432" s="1320">
        <v>44</v>
      </c>
      <c r="R432" s="479"/>
      <c r="S432" s="485" t="s">
        <v>1492</v>
      </c>
      <c r="T432" s="479"/>
      <c r="U432" s="505">
        <f>U393-U430</f>
        <v>-618809</v>
      </c>
      <c r="V432" s="479"/>
      <c r="W432" s="505">
        <f>W393-W430</f>
        <v>-1218105</v>
      </c>
      <c r="X432" s="496"/>
      <c r="Y432" s="505">
        <f>Y393-Y430</f>
        <v>2954076</v>
      </c>
      <c r="Z432" s="496"/>
      <c r="AA432" s="505">
        <f>AA393-AA430</f>
        <v>0</v>
      </c>
      <c r="AB432" s="496"/>
      <c r="AC432" s="505">
        <f>AC393-AC430</f>
        <v>0</v>
      </c>
      <c r="AD432" s="496"/>
      <c r="AE432" s="505">
        <f>AE393-AE430</f>
        <v>0</v>
      </c>
      <c r="AF432" s="479"/>
      <c r="AG432" s="479"/>
      <c r="AH432" s="479"/>
      <c r="AI432" s="479"/>
      <c r="AJ432" s="479"/>
      <c r="AK432" s="479"/>
      <c r="AL432" s="479"/>
      <c r="AM432" s="479"/>
      <c r="AN432" s="479"/>
      <c r="AO432" s="479"/>
      <c r="AP432" s="479"/>
      <c r="AQ432" s="479"/>
      <c r="AR432" s="479"/>
      <c r="AS432" s="479"/>
      <c r="AT432" s="479"/>
      <c r="AU432" s="479"/>
    </row>
    <row r="433" spans="1:47" ht="13.5" thickTop="1">
      <c r="A433" s="479"/>
      <c r="B433" s="479"/>
      <c r="C433" s="479"/>
      <c r="D433" s="479"/>
      <c r="E433" s="479"/>
      <c r="F433" s="479"/>
      <c r="G433" s="479"/>
      <c r="H433" s="479"/>
      <c r="I433" s="479"/>
      <c r="J433" s="479"/>
      <c r="K433" s="479"/>
      <c r="L433" s="479"/>
      <c r="M433" s="479"/>
      <c r="N433" s="479"/>
      <c r="O433" s="479"/>
      <c r="P433" s="479"/>
      <c r="Q433" s="479"/>
      <c r="R433" s="479"/>
      <c r="S433" s="479"/>
      <c r="T433" s="496"/>
      <c r="U433" s="506">
        <f>IF(ISERR(ROUND((U422+U428)/(U432+U422+U428),4)=TRUE)," ",ROUND((U422+U428)/(U432+U422+U428),4))</f>
        <v>0.38469999999999999</v>
      </c>
      <c r="V433" s="479"/>
      <c r="W433" s="506">
        <f>IF(ISERR(ROUND((W422+W428)/(W432+W422+W428),4)=TRUE)," ",ROUND((W422+W428)/(W432+W422+W428),4))</f>
        <v>0.38469999999999999</v>
      </c>
      <c r="X433" s="506"/>
      <c r="Y433" s="506">
        <f>IF(ISERR(ROUND((Y422+Y428)/(Y432+Y422+Y428),4)=TRUE)," ",ROUND((Y422+Y428)/(Y432+Y422+Y428),4))</f>
        <v>0.38469999999999999</v>
      </c>
      <c r="Z433" s="506"/>
      <c r="AA433" s="506" t="str">
        <f>IF(ISERR(ROUND((AA422+AA428)/(AA432+AA422+AA428),4)=TRUE)," ",ROUND((AA422+AA428)/(AA432+AA422+AA428),4))</f>
        <v xml:space="preserve"> </v>
      </c>
      <c r="AB433" s="506"/>
      <c r="AC433" s="506" t="str">
        <f>IF(ISERR(ROUND((AC422+AC428)/(AC432+AC422+AC428),4)=TRUE)," ",ROUND((AC422+AC428)/(AC432+AC422+AC428),4))</f>
        <v xml:space="preserve"> </v>
      </c>
      <c r="AD433" s="506"/>
      <c r="AE433" s="506" t="str">
        <f>IF(ISERR(ROUND((AE422+AE428)/(AE432+AE422+AE428),4)=TRUE)," ",ROUND((AE422+AE428)/(AE432+AE422+AE428),4))</f>
        <v xml:space="preserve"> </v>
      </c>
      <c r="AF433" s="479"/>
      <c r="AG433" s="479"/>
      <c r="AH433" s="479"/>
      <c r="AI433" s="479"/>
      <c r="AJ433" s="479"/>
      <c r="AK433" s="479"/>
      <c r="AL433" s="479"/>
      <c r="AM433" s="479"/>
      <c r="AN433" s="479"/>
      <c r="AO433" s="479"/>
      <c r="AP433" s="479"/>
      <c r="AQ433" s="479"/>
      <c r="AR433" s="479"/>
      <c r="AS433" s="479"/>
      <c r="AT433" s="479"/>
      <c r="AU433" s="479"/>
    </row>
    <row r="434" spans="1:47">
      <c r="A434" s="479"/>
      <c r="B434" s="479"/>
      <c r="C434" s="479"/>
      <c r="D434" s="479"/>
      <c r="E434" s="479"/>
      <c r="F434" s="479"/>
      <c r="G434" s="479"/>
      <c r="H434" s="479"/>
      <c r="I434" s="479"/>
      <c r="J434" s="479"/>
      <c r="K434" s="479"/>
      <c r="L434" s="479"/>
      <c r="M434" s="479"/>
      <c r="N434" s="479"/>
      <c r="O434" s="479"/>
      <c r="P434" s="479"/>
      <c r="Q434" s="517"/>
      <c r="R434" s="518"/>
      <c r="S434" s="518"/>
      <c r="T434" s="518"/>
      <c r="U434" s="518"/>
      <c r="V434" s="518"/>
      <c r="W434" s="518"/>
      <c r="X434" s="518"/>
      <c r="Y434" s="518"/>
      <c r="Z434" s="518"/>
      <c r="AA434" s="518"/>
      <c r="AB434" s="518"/>
      <c r="AC434" s="518"/>
      <c r="AD434" s="518"/>
      <c r="AE434" s="518"/>
      <c r="AF434" s="479"/>
    </row>
    <row r="435" spans="1:47">
      <c r="A435" s="479"/>
      <c r="B435" s="479"/>
      <c r="C435" s="479"/>
      <c r="D435" s="479"/>
      <c r="E435" s="479"/>
      <c r="F435" s="479"/>
      <c r="G435" s="479"/>
      <c r="H435" s="479"/>
      <c r="I435" s="479"/>
      <c r="J435" s="479"/>
      <c r="K435" s="479"/>
      <c r="L435" s="479"/>
      <c r="M435" s="479"/>
      <c r="N435" s="479"/>
      <c r="O435" s="479"/>
      <c r="P435" s="479"/>
      <c r="Q435" s="477" t="str">
        <f>COMPANY</f>
        <v>DUKE ENERGY KENTUCKY, INC.</v>
      </c>
      <c r="R435" s="478"/>
      <c r="S435" s="478"/>
      <c r="T435" s="478"/>
      <c r="U435" s="478"/>
      <c r="V435" s="478"/>
      <c r="W435" s="478"/>
      <c r="X435" s="478"/>
      <c r="Y435" s="478"/>
      <c r="Z435" s="478"/>
      <c r="AA435" s="478"/>
      <c r="AB435" s="478"/>
      <c r="AC435" s="478"/>
      <c r="AD435" s="478"/>
      <c r="AE435" s="478"/>
      <c r="AF435" s="479"/>
    </row>
    <row r="436" spans="1:47">
      <c r="A436" s="479"/>
      <c r="B436" s="479"/>
      <c r="C436" s="479"/>
      <c r="D436" s="479"/>
      <c r="E436" s="479"/>
      <c r="F436" s="479"/>
      <c r="G436" s="479"/>
      <c r="H436" s="479"/>
      <c r="I436" s="479"/>
      <c r="J436" s="479"/>
      <c r="K436" s="479"/>
      <c r="L436" s="479"/>
      <c r="M436" s="479"/>
      <c r="N436" s="479"/>
      <c r="O436" s="479"/>
      <c r="P436" s="479"/>
      <c r="Q436" s="477" t="str">
        <f>CASE</f>
        <v>CASE NO. 2017-00321</v>
      </c>
      <c r="R436" s="478"/>
      <c r="S436" s="478"/>
      <c r="T436" s="478"/>
      <c r="U436" s="480"/>
      <c r="V436" s="480"/>
      <c r="W436" s="478"/>
      <c r="X436" s="478"/>
      <c r="Y436" s="478"/>
      <c r="Z436" s="478"/>
      <c r="AA436" s="478"/>
      <c r="AB436" s="478"/>
      <c r="AC436" s="478"/>
      <c r="AD436" s="478"/>
      <c r="AE436" s="478"/>
      <c r="AF436" s="479"/>
    </row>
    <row r="437" spans="1:47">
      <c r="A437" s="479"/>
      <c r="B437" s="479"/>
      <c r="C437" s="479"/>
      <c r="D437" s="479"/>
      <c r="E437" s="479"/>
      <c r="F437" s="479"/>
      <c r="G437" s="479"/>
      <c r="H437" s="479"/>
      <c r="I437" s="479"/>
      <c r="J437" s="479"/>
      <c r="K437" s="479"/>
      <c r="L437" s="479"/>
      <c r="M437" s="479"/>
      <c r="N437" s="479"/>
      <c r="O437" s="479"/>
      <c r="P437" s="479"/>
      <c r="Q437" s="481" t="str">
        <f>$AG$501</f>
        <v>SUMMARY OF UTILITY JURISDICTIONAL ADJUSTMENTS TO</v>
      </c>
      <c r="R437" s="478"/>
      <c r="S437" s="478"/>
      <c r="T437" s="478"/>
      <c r="U437" s="478"/>
      <c r="V437" s="478"/>
      <c r="W437" s="478"/>
      <c r="X437" s="478"/>
      <c r="Y437" s="478"/>
      <c r="Z437" s="478"/>
      <c r="AA437" s="478"/>
      <c r="AB437" s="478"/>
      <c r="AC437" s="478"/>
      <c r="AD437" s="478"/>
      <c r="AE437" s="478"/>
      <c r="AF437" s="479"/>
    </row>
    <row r="438" spans="1:47">
      <c r="A438" s="479"/>
      <c r="B438" s="479"/>
      <c r="C438" s="479"/>
      <c r="D438" s="479"/>
      <c r="E438" s="479"/>
      <c r="F438" s="479"/>
      <c r="G438" s="479"/>
      <c r="H438" s="479"/>
      <c r="I438" s="479"/>
      <c r="J438" s="479"/>
      <c r="K438" s="479"/>
      <c r="L438" s="479"/>
      <c r="M438" s="479"/>
      <c r="N438" s="479"/>
      <c r="O438" s="479"/>
      <c r="P438" s="479"/>
      <c r="Q438" s="481" t="str">
        <f>$AG$502</f>
        <v>OPERATING INCOME BY MAJOR ACCOUNTS</v>
      </c>
      <c r="R438" s="478"/>
      <c r="S438" s="478"/>
      <c r="T438" s="478"/>
      <c r="U438" s="478"/>
      <c r="V438" s="478"/>
      <c r="W438" s="478"/>
      <c r="X438" s="478"/>
      <c r="Y438" s="478"/>
      <c r="Z438" s="478"/>
      <c r="AA438" s="478"/>
      <c r="AB438" s="478"/>
      <c r="AC438" s="478"/>
      <c r="AD438" s="478"/>
      <c r="AE438" s="478"/>
      <c r="AF438" s="479"/>
    </row>
    <row r="439" spans="1:47">
      <c r="A439" s="479"/>
      <c r="B439" s="479"/>
      <c r="C439" s="479"/>
      <c r="D439" s="479"/>
      <c r="E439" s="479"/>
      <c r="F439" s="479"/>
      <c r="G439" s="479"/>
      <c r="H439" s="479"/>
      <c r="I439" s="479"/>
      <c r="J439" s="479"/>
      <c r="K439" s="479"/>
      <c r="L439" s="479"/>
      <c r="M439" s="479"/>
      <c r="N439" s="479"/>
      <c r="O439" s="479"/>
      <c r="P439" s="479"/>
      <c r="Q439" s="482" t="str">
        <f>Q315</f>
        <v>PRO FORMA ADJUSTMENTS TO THE FORECASTED PERIOD</v>
      </c>
      <c r="R439" s="478"/>
      <c r="S439" s="478"/>
      <c r="T439" s="478"/>
      <c r="U439" s="478"/>
      <c r="V439" s="478"/>
      <c r="W439" s="478"/>
      <c r="X439" s="478"/>
      <c r="Y439" s="478"/>
      <c r="Z439" s="478"/>
      <c r="AA439" s="478"/>
      <c r="AB439" s="478"/>
      <c r="AC439" s="478"/>
      <c r="AD439" s="478"/>
      <c r="AE439" s="478"/>
      <c r="AF439" s="479"/>
    </row>
    <row r="440" spans="1:47">
      <c r="A440" s="479"/>
      <c r="B440" s="479"/>
      <c r="C440" s="479"/>
      <c r="D440" s="479"/>
      <c r="E440" s="479"/>
      <c r="F440" s="479"/>
      <c r="G440" s="479"/>
      <c r="H440" s="479"/>
      <c r="I440" s="479"/>
      <c r="J440" s="479"/>
      <c r="K440" s="479"/>
      <c r="L440" s="479"/>
      <c r="M440" s="479"/>
      <c r="N440" s="479"/>
      <c r="O440" s="479"/>
      <c r="P440" s="479"/>
      <c r="Q440" s="477" t="str">
        <f>PeriodF</f>
        <v>FOR THE TWELVE MONTHS ENDED MARCH 31, 2019</v>
      </c>
      <c r="R440" s="478"/>
      <c r="S440" s="478"/>
      <c r="T440" s="478"/>
      <c r="U440" s="478"/>
      <c r="V440" s="478"/>
      <c r="W440" s="478"/>
      <c r="X440" s="478"/>
      <c r="Y440" s="478"/>
      <c r="Z440" s="478"/>
      <c r="AA440" s="478"/>
      <c r="AB440" s="478"/>
      <c r="AC440" s="478"/>
      <c r="AD440" s="478"/>
      <c r="AE440" s="478"/>
      <c r="AF440" s="479"/>
    </row>
    <row r="441" spans="1:47">
      <c r="A441" s="479"/>
      <c r="B441" s="479"/>
      <c r="C441" s="479"/>
      <c r="D441" s="479"/>
      <c r="E441" s="479"/>
      <c r="F441" s="479"/>
      <c r="G441" s="479"/>
      <c r="H441" s="479"/>
      <c r="I441" s="479"/>
      <c r="J441" s="479"/>
      <c r="K441" s="479"/>
      <c r="L441" s="479"/>
      <c r="M441" s="479"/>
      <c r="N441" s="479"/>
      <c r="O441" s="479"/>
      <c r="P441" s="479"/>
      <c r="Q441" s="479"/>
      <c r="R441" s="479"/>
      <c r="S441" s="479"/>
      <c r="T441" s="483"/>
      <c r="U441" s="479"/>
      <c r="V441" s="479"/>
      <c r="W441" s="479"/>
      <c r="X441" s="479"/>
      <c r="Y441" s="479"/>
      <c r="Z441" s="479"/>
      <c r="AA441" s="479"/>
      <c r="AB441" s="479"/>
      <c r="AC441" s="479"/>
      <c r="AD441" s="479"/>
      <c r="AE441" s="479"/>
      <c r="AF441" s="479"/>
    </row>
    <row r="442" spans="1:47">
      <c r="A442" s="479"/>
      <c r="B442" s="479"/>
      <c r="C442" s="479"/>
      <c r="D442" s="479"/>
      <c r="E442" s="479"/>
      <c r="F442" s="479"/>
      <c r="G442" s="479"/>
      <c r="H442" s="479"/>
      <c r="I442" s="479"/>
      <c r="J442" s="479"/>
      <c r="K442" s="479"/>
      <c r="L442" s="479"/>
      <c r="M442" s="479"/>
      <c r="N442" s="479"/>
      <c r="O442" s="479"/>
      <c r="P442" s="479"/>
      <c r="Q442" s="483" t="str">
        <f>DataF</f>
        <v>DATA:  BASE PERIOD  "X" FORECASTED PERIOD</v>
      </c>
      <c r="R442" s="479"/>
      <c r="S442" s="479"/>
      <c r="T442" s="479"/>
      <c r="U442" s="479"/>
      <c r="V442" s="479"/>
      <c r="W442" s="479"/>
      <c r="X442" s="479"/>
      <c r="Y442" s="479"/>
      <c r="Z442" s="479"/>
      <c r="AA442" s="479"/>
      <c r="AB442" s="479"/>
      <c r="AC442" s="484" t="s">
        <v>704</v>
      </c>
      <c r="AD442" s="485"/>
      <c r="AE442" s="485"/>
      <c r="AF442" s="479"/>
    </row>
    <row r="443" spans="1:47">
      <c r="A443" s="479"/>
      <c r="B443" s="479"/>
      <c r="C443" s="479"/>
      <c r="D443" s="479"/>
      <c r="E443" s="479"/>
      <c r="F443" s="479"/>
      <c r="G443" s="479"/>
      <c r="H443" s="479"/>
      <c r="I443" s="479"/>
      <c r="J443" s="479"/>
      <c r="K443" s="479"/>
      <c r="L443" s="479"/>
      <c r="M443" s="479"/>
      <c r="N443" s="479"/>
      <c r="O443" s="479"/>
      <c r="P443" s="479"/>
      <c r="Q443" s="483" t="str">
        <f>Type</f>
        <v xml:space="preserve">TYPE OF FILING:  "X" ORIGINAL   UPDATED    REVISED  </v>
      </c>
      <c r="R443" s="479"/>
      <c r="S443" s="479"/>
      <c r="T443" s="479"/>
      <c r="U443" s="479"/>
      <c r="V443" s="479"/>
      <c r="W443" s="479"/>
      <c r="X443" s="479"/>
      <c r="Y443" s="479"/>
      <c r="Z443" s="479"/>
      <c r="AA443" s="479"/>
      <c r="AB443" s="479"/>
      <c r="AC443" s="485" t="s">
        <v>3182</v>
      </c>
      <c r="AD443" s="485"/>
      <c r="AE443" s="485"/>
      <c r="AF443" s="479"/>
    </row>
    <row r="444" spans="1:47">
      <c r="A444" s="479"/>
      <c r="B444" s="479"/>
      <c r="C444" s="479"/>
      <c r="D444" s="479"/>
      <c r="E444" s="479"/>
      <c r="F444" s="479"/>
      <c r="G444" s="479"/>
      <c r="H444" s="479"/>
      <c r="I444" s="479"/>
      <c r="J444" s="479"/>
      <c r="K444" s="479"/>
      <c r="L444" s="479"/>
      <c r="M444" s="479"/>
      <c r="N444" s="479"/>
      <c r="O444" s="479"/>
      <c r="P444" s="479"/>
      <c r="Q444" s="485" t="s">
        <v>621</v>
      </c>
      <c r="R444" s="479"/>
      <c r="S444" s="479"/>
      <c r="T444" s="479"/>
      <c r="U444" s="479"/>
      <c r="V444" s="479"/>
      <c r="W444" s="479"/>
      <c r="X444" s="479"/>
      <c r="Y444" s="479"/>
      <c r="Z444" s="479"/>
      <c r="AA444" s="479"/>
      <c r="AB444" s="479"/>
      <c r="AC444" s="484" t="s">
        <v>705</v>
      </c>
      <c r="AD444" s="485"/>
      <c r="AE444" s="485"/>
      <c r="AF444" s="479"/>
    </row>
    <row r="445" spans="1:47">
      <c r="A445" s="479"/>
      <c r="B445" s="479"/>
      <c r="C445" s="479"/>
      <c r="D445" s="479"/>
      <c r="E445" s="479"/>
      <c r="F445" s="479"/>
      <c r="G445" s="479"/>
      <c r="H445" s="479"/>
      <c r="I445" s="479"/>
      <c r="J445" s="479"/>
      <c r="K445" s="479"/>
      <c r="L445" s="479"/>
      <c r="M445" s="479"/>
      <c r="N445" s="479"/>
      <c r="O445" s="479"/>
      <c r="P445" s="479"/>
      <c r="Q445" s="479"/>
      <c r="R445" s="479"/>
      <c r="S445" s="479"/>
      <c r="T445" s="479"/>
      <c r="U445" s="479"/>
      <c r="V445" s="479"/>
      <c r="W445" s="479"/>
      <c r="X445" s="479"/>
      <c r="Y445" s="479"/>
      <c r="Z445" s="479"/>
      <c r="AA445" s="479"/>
      <c r="AB445" s="479"/>
      <c r="AC445" s="485" t="str">
        <f>"          "&amp;_WIT1</f>
        <v xml:space="preserve">          S. E. LAWLER</v>
      </c>
      <c r="AD445" s="485"/>
      <c r="AE445" s="485"/>
      <c r="AF445" s="479"/>
    </row>
    <row r="446" spans="1:47">
      <c r="A446" s="479"/>
      <c r="B446" s="479"/>
      <c r="C446" s="479"/>
      <c r="D446" s="479"/>
      <c r="E446" s="479"/>
      <c r="F446" s="479"/>
      <c r="G446" s="479"/>
      <c r="H446" s="479"/>
      <c r="I446" s="479"/>
      <c r="J446" s="479"/>
      <c r="K446" s="479"/>
      <c r="L446" s="479"/>
      <c r="M446" s="479"/>
      <c r="N446" s="479"/>
      <c r="O446" s="479"/>
      <c r="P446" s="479"/>
      <c r="Q446" s="486"/>
      <c r="R446" s="486"/>
      <c r="S446" s="486"/>
      <c r="T446" s="486"/>
      <c r="U446" s="516"/>
      <c r="V446" s="516"/>
      <c r="W446" s="516"/>
      <c r="X446" s="516"/>
      <c r="Y446" s="516"/>
      <c r="Z446" s="516"/>
      <c r="AA446" s="516"/>
      <c r="AB446" s="486"/>
      <c r="AC446" s="489"/>
      <c r="AD446" s="490"/>
      <c r="AE446" s="486"/>
      <c r="AF446" s="479"/>
    </row>
    <row r="447" spans="1:47">
      <c r="A447" s="479"/>
      <c r="B447" s="479"/>
      <c r="C447" s="479"/>
      <c r="D447" s="479"/>
      <c r="E447" s="479"/>
      <c r="F447" s="479"/>
      <c r="G447" s="479"/>
      <c r="H447" s="479"/>
      <c r="I447" s="479"/>
      <c r="J447" s="479"/>
      <c r="K447" s="479"/>
      <c r="L447" s="479"/>
      <c r="M447" s="479"/>
      <c r="N447" s="479"/>
      <c r="O447" s="479"/>
      <c r="P447" s="479"/>
      <c r="Q447" s="479"/>
      <c r="R447" s="479"/>
      <c r="S447" s="479"/>
      <c r="T447" s="479"/>
      <c r="U447" s="1320"/>
      <c r="V447" s="1320"/>
      <c r="W447" s="1320"/>
      <c r="X447" s="1320"/>
      <c r="Y447" s="1320"/>
      <c r="Z447" s="479"/>
      <c r="AA447" s="1320"/>
      <c r="AB447" s="1320"/>
      <c r="AC447" s="1320"/>
      <c r="AD447" s="1320"/>
      <c r="AE447" s="1320"/>
      <c r="AF447" s="479"/>
    </row>
    <row r="448" spans="1:47">
      <c r="A448" s="479"/>
      <c r="B448" s="479"/>
      <c r="C448" s="479"/>
      <c r="D448" s="479"/>
      <c r="E448" s="479"/>
      <c r="F448" s="479"/>
      <c r="G448" s="479"/>
      <c r="H448" s="479"/>
      <c r="I448" s="479"/>
      <c r="J448" s="479"/>
      <c r="K448" s="479"/>
      <c r="L448" s="479"/>
      <c r="M448" s="479"/>
      <c r="N448" s="479"/>
      <c r="O448" s="479"/>
      <c r="P448" s="479"/>
      <c r="Q448" s="1320" t="s">
        <v>1961</v>
      </c>
      <c r="R448" s="479"/>
      <c r="S448" s="479"/>
      <c r="T448" s="479"/>
      <c r="U448" s="511" t="s">
        <v>140</v>
      </c>
      <c r="V448" s="511"/>
      <c r="W448" s="511" t="s">
        <v>140</v>
      </c>
      <c r="X448" s="1320"/>
      <c r="Y448" s="511" t="s">
        <v>140</v>
      </c>
      <c r="Z448" s="1320"/>
      <c r="AA448" s="511" t="s">
        <v>140</v>
      </c>
      <c r="AB448" s="1320"/>
      <c r="AC448" s="511" t="s">
        <v>140</v>
      </c>
      <c r="AD448" s="1320"/>
      <c r="AE448" s="511" t="s">
        <v>140</v>
      </c>
      <c r="AF448" s="479"/>
    </row>
    <row r="449" spans="1:32">
      <c r="A449" s="479"/>
      <c r="B449" s="479"/>
      <c r="C449" s="479"/>
      <c r="D449" s="479"/>
      <c r="E449" s="479"/>
      <c r="F449" s="479"/>
      <c r="G449" s="479"/>
      <c r="H449" s="479"/>
      <c r="I449" s="479"/>
      <c r="J449" s="479"/>
      <c r="K449" s="479"/>
      <c r="L449" s="479"/>
      <c r="M449" s="479"/>
      <c r="N449" s="479"/>
      <c r="O449" s="479"/>
      <c r="P449" s="479"/>
      <c r="Q449" s="489" t="s">
        <v>90</v>
      </c>
      <c r="R449" s="490"/>
      <c r="S449" s="489" t="s">
        <v>26</v>
      </c>
      <c r="T449" s="490"/>
      <c r="U449" s="489"/>
      <c r="V449" s="489"/>
      <c r="W449" s="489"/>
      <c r="X449" s="489"/>
      <c r="Y449" s="489"/>
      <c r="Z449" s="489"/>
      <c r="AA449" s="489"/>
      <c r="AB449" s="489"/>
      <c r="AC449" s="489"/>
      <c r="AD449" s="486"/>
      <c r="AE449" s="489"/>
      <c r="AF449" s="479"/>
    </row>
    <row r="450" spans="1:32">
      <c r="A450" s="479"/>
      <c r="B450" s="479"/>
      <c r="C450" s="479"/>
      <c r="D450" s="479"/>
      <c r="E450" s="479"/>
      <c r="F450" s="479"/>
      <c r="G450" s="479"/>
      <c r="H450" s="479"/>
      <c r="I450" s="479"/>
      <c r="J450" s="479"/>
      <c r="K450" s="479"/>
      <c r="L450" s="479"/>
      <c r="M450" s="479"/>
      <c r="N450" s="479"/>
      <c r="O450" s="479"/>
      <c r="P450" s="479"/>
      <c r="Q450" s="490"/>
      <c r="R450" s="490"/>
      <c r="S450" s="493" t="s">
        <v>957</v>
      </c>
      <c r="T450" s="490"/>
      <c r="U450" s="489" t="s">
        <v>71</v>
      </c>
      <c r="V450" s="489"/>
      <c r="W450" s="489" t="s">
        <v>72</v>
      </c>
      <c r="X450" s="489"/>
      <c r="Y450" s="489" t="s">
        <v>73</v>
      </c>
      <c r="Z450" s="489"/>
      <c r="AA450" s="489" t="s">
        <v>74</v>
      </c>
      <c r="AB450" s="489"/>
      <c r="AC450" s="489" t="s">
        <v>75</v>
      </c>
      <c r="AD450" s="489"/>
      <c r="AE450" s="489" t="s">
        <v>2271</v>
      </c>
      <c r="AF450" s="479"/>
    </row>
    <row r="451" spans="1:32">
      <c r="A451" s="479"/>
      <c r="B451" s="479"/>
      <c r="C451" s="479"/>
      <c r="D451" s="479"/>
      <c r="E451" s="479"/>
      <c r="F451" s="479"/>
      <c r="G451" s="479"/>
      <c r="H451" s="479"/>
      <c r="I451" s="479"/>
      <c r="J451" s="479"/>
      <c r="K451" s="479"/>
      <c r="L451" s="479"/>
      <c r="M451" s="479"/>
      <c r="N451" s="479"/>
      <c r="O451" s="479"/>
      <c r="P451" s="479"/>
      <c r="Q451" s="1320">
        <v>1</v>
      </c>
      <c r="R451" s="507" t="s">
        <v>1199</v>
      </c>
      <c r="S451" s="479"/>
      <c r="T451" s="479"/>
      <c r="U451" s="479"/>
      <c r="V451" s="479"/>
      <c r="W451" s="479"/>
      <c r="X451" s="479"/>
      <c r="Y451" s="479"/>
      <c r="Z451" s="479"/>
      <c r="AA451" s="479"/>
      <c r="AB451" s="479"/>
      <c r="AC451" s="479"/>
      <c r="AD451" s="479"/>
      <c r="AE451" s="479"/>
      <c r="AF451" s="479"/>
    </row>
    <row r="452" spans="1:32">
      <c r="A452" s="479"/>
      <c r="B452" s="479"/>
      <c r="C452" s="479"/>
      <c r="D452" s="479"/>
      <c r="E452" s="479"/>
      <c r="F452" s="479"/>
      <c r="G452" s="479"/>
      <c r="H452" s="479"/>
      <c r="I452" s="479"/>
      <c r="J452" s="479"/>
      <c r="K452" s="479"/>
      <c r="L452" s="479"/>
      <c r="M452" s="479"/>
      <c r="N452" s="479"/>
      <c r="O452" s="479"/>
      <c r="P452" s="479"/>
      <c r="Q452" s="1320">
        <v>2</v>
      </c>
      <c r="R452" s="479"/>
      <c r="S452" s="485" t="s">
        <v>1200</v>
      </c>
      <c r="T452" s="479"/>
      <c r="U452" s="1321"/>
      <c r="V452" s="479"/>
      <c r="W452" s="496"/>
      <c r="X452" s="496"/>
      <c r="Y452" s="496"/>
      <c r="Z452" s="496"/>
      <c r="AA452" s="496"/>
      <c r="AB452" s="496"/>
      <c r="AC452" s="496"/>
      <c r="AD452" s="496"/>
      <c r="AE452" s="496"/>
      <c r="AF452" s="479"/>
    </row>
    <row r="453" spans="1:32">
      <c r="A453" s="479"/>
      <c r="B453" s="479"/>
      <c r="C453" s="479"/>
      <c r="D453" s="479"/>
      <c r="E453" s="479"/>
      <c r="F453" s="479"/>
      <c r="G453" s="479"/>
      <c r="H453" s="479"/>
      <c r="I453" s="479"/>
      <c r="J453" s="479"/>
      <c r="K453" s="479"/>
      <c r="L453" s="479"/>
      <c r="M453" s="479"/>
      <c r="N453" s="479"/>
      <c r="O453" s="479"/>
      <c r="P453" s="479"/>
      <c r="Q453" s="1320">
        <v>3</v>
      </c>
      <c r="R453" s="479"/>
      <c r="S453" s="485" t="s">
        <v>1823</v>
      </c>
      <c r="T453" s="479"/>
      <c r="U453" s="496"/>
      <c r="V453" s="479"/>
      <c r="W453" s="496"/>
      <c r="X453" s="496"/>
      <c r="Y453" s="496"/>
      <c r="Z453" s="496"/>
      <c r="AA453" s="496"/>
      <c r="AB453" s="496"/>
      <c r="AC453" s="496"/>
      <c r="AD453" s="496"/>
      <c r="AE453" s="496"/>
      <c r="AF453" s="479"/>
    </row>
    <row r="454" spans="1:32">
      <c r="A454" s="479"/>
      <c r="B454" s="479"/>
      <c r="C454" s="479"/>
      <c r="D454" s="479"/>
      <c r="E454" s="479"/>
      <c r="F454" s="479"/>
      <c r="G454" s="479"/>
      <c r="H454" s="479"/>
      <c r="I454" s="479"/>
      <c r="J454" s="479"/>
      <c r="K454" s="479"/>
      <c r="L454" s="479"/>
      <c r="M454" s="479"/>
      <c r="N454" s="479"/>
      <c r="O454" s="479"/>
      <c r="P454" s="479"/>
      <c r="Q454" s="1320">
        <v>4</v>
      </c>
      <c r="R454" s="479"/>
      <c r="S454" s="485" t="s">
        <v>1201</v>
      </c>
      <c r="T454" s="479"/>
      <c r="U454" s="1321"/>
      <c r="V454" s="479"/>
      <c r="W454" s="496"/>
      <c r="X454" s="496"/>
      <c r="Y454" s="496"/>
      <c r="Z454" s="496"/>
      <c r="AA454" s="496"/>
      <c r="AB454" s="496"/>
      <c r="AC454" s="496"/>
      <c r="AD454" s="496"/>
      <c r="AE454" s="496"/>
      <c r="AF454" s="479"/>
    </row>
    <row r="455" spans="1:32">
      <c r="A455" s="479"/>
      <c r="B455" s="479"/>
      <c r="C455" s="479"/>
      <c r="D455" s="479"/>
      <c r="E455" s="479"/>
      <c r="F455" s="479"/>
      <c r="G455" s="479"/>
      <c r="H455" s="479"/>
      <c r="I455" s="479"/>
      <c r="J455" s="479"/>
      <c r="K455" s="479"/>
      <c r="L455" s="479"/>
      <c r="M455" s="479"/>
      <c r="N455" s="479"/>
      <c r="O455" s="479"/>
      <c r="P455" s="479"/>
      <c r="Q455" s="1320">
        <v>5</v>
      </c>
      <c r="R455" s="479"/>
      <c r="S455" s="485" t="s">
        <v>1202</v>
      </c>
      <c r="T455" s="479"/>
      <c r="U455" s="497">
        <f>SUM(U452:U454)</f>
        <v>0</v>
      </c>
      <c r="V455" s="479"/>
      <c r="W455" s="497">
        <f>SUM(W452:W454)</f>
        <v>0</v>
      </c>
      <c r="X455" s="496"/>
      <c r="Y455" s="497">
        <f>SUM(Y452:Y454)</f>
        <v>0</v>
      </c>
      <c r="Z455" s="496"/>
      <c r="AA455" s="497">
        <f>SUM(AA452:AA454)</f>
        <v>0</v>
      </c>
      <c r="AB455" s="496"/>
      <c r="AC455" s="497"/>
      <c r="AD455" s="496"/>
      <c r="AE455" s="497">
        <f>SUM(AE452:AE454)</f>
        <v>0</v>
      </c>
      <c r="AF455" s="479"/>
    </row>
    <row r="456" spans="1:32">
      <c r="A456" s="479"/>
      <c r="B456" s="479"/>
      <c r="C456" s="479"/>
      <c r="D456" s="479"/>
      <c r="E456" s="479"/>
      <c r="F456" s="479"/>
      <c r="G456" s="479"/>
      <c r="H456" s="479"/>
      <c r="I456" s="479"/>
      <c r="J456" s="479"/>
      <c r="K456" s="479"/>
      <c r="L456" s="479"/>
      <c r="M456" s="479"/>
      <c r="N456" s="479"/>
      <c r="O456" s="479"/>
      <c r="P456" s="479"/>
      <c r="Q456" s="1320">
        <v>6</v>
      </c>
      <c r="R456" s="479"/>
      <c r="S456" s="479"/>
      <c r="T456" s="479"/>
      <c r="U456" s="498"/>
      <c r="V456" s="479"/>
      <c r="W456" s="498"/>
      <c r="X456" s="498"/>
      <c r="Y456" s="498"/>
      <c r="Z456" s="498"/>
      <c r="AA456" s="498"/>
      <c r="AB456" s="498"/>
      <c r="AC456" s="498"/>
      <c r="AD456" s="498"/>
      <c r="AE456" s="498"/>
      <c r="AF456" s="479"/>
    </row>
    <row r="457" spans="1:32">
      <c r="A457" s="479"/>
      <c r="B457" s="479"/>
      <c r="C457" s="479"/>
      <c r="D457" s="479"/>
      <c r="E457" s="479"/>
      <c r="F457" s="479"/>
      <c r="G457" s="479"/>
      <c r="H457" s="479"/>
      <c r="I457" s="479"/>
      <c r="J457" s="479"/>
      <c r="K457" s="479"/>
      <c r="L457" s="479"/>
      <c r="M457" s="479"/>
      <c r="N457" s="479"/>
      <c r="O457" s="479"/>
      <c r="P457" s="479"/>
      <c r="Q457" s="1320">
        <v>7</v>
      </c>
      <c r="R457" s="507" t="s">
        <v>1152</v>
      </c>
      <c r="S457" s="479"/>
      <c r="T457" s="479"/>
      <c r="U457" s="496"/>
      <c r="V457" s="479"/>
      <c r="W457" s="479"/>
      <c r="X457" s="479"/>
      <c r="Y457" s="479"/>
      <c r="Z457" s="479"/>
      <c r="AA457" s="479"/>
      <c r="AB457" s="479"/>
      <c r="AC457" s="479"/>
      <c r="AD457" s="479"/>
      <c r="AE457" s="479"/>
      <c r="AF457" s="479"/>
    </row>
    <row r="458" spans="1:32">
      <c r="A458" s="479"/>
      <c r="B458" s="479"/>
      <c r="C458" s="479"/>
      <c r="D458" s="479"/>
      <c r="E458" s="479"/>
      <c r="F458" s="479"/>
      <c r="G458" s="479"/>
      <c r="H458" s="479"/>
      <c r="I458" s="479"/>
      <c r="J458" s="479"/>
      <c r="K458" s="479"/>
      <c r="L458" s="479"/>
      <c r="M458" s="479"/>
      <c r="N458" s="479"/>
      <c r="O458" s="479"/>
      <c r="P458" s="479"/>
      <c r="Q458" s="1320">
        <v>8</v>
      </c>
      <c r="R458" s="479"/>
      <c r="S458" s="485" t="s">
        <v>1203</v>
      </c>
      <c r="T458" s="479"/>
      <c r="U458" s="496"/>
      <c r="V458" s="479"/>
      <c r="W458" s="479"/>
      <c r="X458" s="479"/>
      <c r="Y458" s="479"/>
      <c r="Z458" s="479"/>
      <c r="AA458" s="479"/>
      <c r="AB458" s="479"/>
      <c r="AC458" s="479"/>
      <c r="AD458" s="479"/>
      <c r="AE458" s="479"/>
      <c r="AF458" s="479"/>
    </row>
    <row r="459" spans="1:32">
      <c r="A459" s="479"/>
      <c r="B459" s="479"/>
      <c r="C459" s="479"/>
      <c r="D459" s="479"/>
      <c r="E459" s="479"/>
      <c r="F459" s="479"/>
      <c r="G459" s="479"/>
      <c r="H459" s="479"/>
      <c r="I459" s="479"/>
      <c r="J459" s="479"/>
      <c r="K459" s="479"/>
      <c r="L459" s="479"/>
      <c r="M459" s="479"/>
      <c r="N459" s="479"/>
      <c r="O459" s="479"/>
      <c r="P459" s="479"/>
      <c r="Q459" s="1320">
        <v>9</v>
      </c>
      <c r="R459" s="479"/>
      <c r="S459" s="485" t="s">
        <v>257</v>
      </c>
      <c r="T459" s="479"/>
      <c r="U459" s="496"/>
      <c r="V459" s="479"/>
      <c r="W459" s="479"/>
      <c r="X459" s="479"/>
      <c r="Y459" s="479"/>
      <c r="Z459" s="479"/>
      <c r="AA459" s="479"/>
      <c r="AB459" s="479"/>
      <c r="AC459" s="479"/>
      <c r="AD459" s="479"/>
      <c r="AE459" s="479"/>
      <c r="AF459" s="479"/>
    </row>
    <row r="460" spans="1:32">
      <c r="A460" s="479"/>
      <c r="B460" s="479"/>
      <c r="C460" s="479"/>
      <c r="D460" s="479"/>
      <c r="E460" s="479"/>
      <c r="F460" s="479"/>
      <c r="G460" s="479"/>
      <c r="H460" s="479"/>
      <c r="I460" s="479"/>
      <c r="J460" s="479"/>
      <c r="K460" s="479"/>
      <c r="L460" s="479"/>
      <c r="M460" s="479"/>
      <c r="N460" s="479"/>
      <c r="O460" s="479"/>
      <c r="P460" s="479"/>
      <c r="Q460" s="1320">
        <v>10</v>
      </c>
      <c r="R460" s="479"/>
      <c r="S460" s="358" t="s">
        <v>348</v>
      </c>
      <c r="T460" s="479"/>
      <c r="U460" s="496"/>
      <c r="V460" s="479"/>
      <c r="W460" s="496"/>
      <c r="X460" s="496"/>
      <c r="Y460" s="496"/>
      <c r="Z460" s="496"/>
      <c r="AA460" s="496"/>
      <c r="AB460" s="496"/>
      <c r="AC460" s="496"/>
      <c r="AD460" s="496"/>
      <c r="AE460" s="496"/>
      <c r="AF460" s="479"/>
    </row>
    <row r="461" spans="1:32">
      <c r="A461" s="479"/>
      <c r="B461" s="479"/>
      <c r="C461" s="479"/>
      <c r="D461" s="479"/>
      <c r="E461" s="479"/>
      <c r="F461" s="479"/>
      <c r="G461" s="479"/>
      <c r="H461" s="479"/>
      <c r="I461" s="479"/>
      <c r="J461" s="479"/>
      <c r="K461" s="479"/>
      <c r="L461" s="479"/>
      <c r="M461" s="479"/>
      <c r="N461" s="479"/>
      <c r="O461" s="479"/>
      <c r="P461" s="479"/>
      <c r="Q461" s="1320">
        <v>11</v>
      </c>
      <c r="R461" s="479"/>
      <c r="S461" s="485" t="s">
        <v>425</v>
      </c>
      <c r="T461" s="479"/>
      <c r="U461" s="496"/>
      <c r="V461" s="479"/>
      <c r="W461" s="496"/>
      <c r="X461" s="496"/>
      <c r="Y461" s="496"/>
      <c r="Z461" s="496"/>
      <c r="AA461" s="496"/>
      <c r="AB461" s="496"/>
      <c r="AC461" s="496"/>
      <c r="AD461" s="496"/>
      <c r="AE461" s="496"/>
      <c r="AF461" s="479"/>
    </row>
    <row r="462" spans="1:32">
      <c r="A462" s="479"/>
      <c r="B462" s="479"/>
      <c r="C462" s="479"/>
      <c r="D462" s="479"/>
      <c r="E462" s="479"/>
      <c r="F462" s="479"/>
      <c r="G462" s="479"/>
      <c r="H462" s="479"/>
      <c r="I462" s="479"/>
      <c r="J462" s="479"/>
      <c r="K462" s="479"/>
      <c r="L462" s="479"/>
      <c r="M462" s="479"/>
      <c r="N462" s="479"/>
      <c r="O462" s="479"/>
      <c r="P462" s="479"/>
      <c r="Q462" s="1320">
        <v>12</v>
      </c>
      <c r="R462" s="479"/>
      <c r="S462" s="485" t="s">
        <v>1204</v>
      </c>
      <c r="T462" s="479"/>
      <c r="U462" s="499">
        <f>SUM(U459:U461)</f>
        <v>0</v>
      </c>
      <c r="V462" s="500"/>
      <c r="W462" s="499">
        <f>SUM(W459:W461)</f>
        <v>0</v>
      </c>
      <c r="X462" s="501"/>
      <c r="Y462" s="499">
        <f>SUM(Y459:Y461)</f>
        <v>0</v>
      </c>
      <c r="Z462" s="501"/>
      <c r="AA462" s="499">
        <f>SUM(AA459:AA461)</f>
        <v>0</v>
      </c>
      <c r="AB462" s="501"/>
      <c r="AC462" s="499">
        <f>SUM(AC459:AC461)</f>
        <v>0</v>
      </c>
      <c r="AD462" s="501"/>
      <c r="AE462" s="499">
        <f>SUM(AE459:AE461)</f>
        <v>0</v>
      </c>
      <c r="AF462" s="479"/>
    </row>
    <row r="463" spans="1:32">
      <c r="A463" s="479"/>
      <c r="B463" s="479"/>
      <c r="C463" s="479"/>
      <c r="D463" s="479"/>
      <c r="E463" s="479"/>
      <c r="F463" s="479"/>
      <c r="G463" s="479"/>
      <c r="H463" s="479"/>
      <c r="I463" s="479"/>
      <c r="J463" s="479"/>
      <c r="K463" s="479"/>
      <c r="L463" s="479"/>
      <c r="M463" s="479"/>
      <c r="N463" s="479"/>
      <c r="O463" s="479"/>
      <c r="P463" s="479"/>
      <c r="Q463" s="1320">
        <v>13</v>
      </c>
      <c r="R463" s="479"/>
      <c r="S463" s="479"/>
      <c r="T463" s="479"/>
      <c r="U463" s="498"/>
      <c r="V463" s="479"/>
      <c r="W463" s="498"/>
      <c r="X463" s="498"/>
      <c r="Y463" s="498"/>
      <c r="Z463" s="498"/>
      <c r="AA463" s="498"/>
      <c r="AB463" s="498"/>
      <c r="AC463" s="498"/>
      <c r="AD463" s="498"/>
      <c r="AE463" s="498"/>
      <c r="AF463" s="479"/>
    </row>
    <row r="464" spans="1:32">
      <c r="A464" s="479"/>
      <c r="B464" s="479"/>
      <c r="C464" s="479"/>
      <c r="D464" s="479"/>
      <c r="E464" s="479"/>
      <c r="F464" s="479"/>
      <c r="G464" s="479"/>
      <c r="H464" s="479"/>
      <c r="I464" s="479"/>
      <c r="J464" s="479"/>
      <c r="K464" s="479"/>
      <c r="L464" s="479"/>
      <c r="M464" s="479"/>
      <c r="N464" s="479"/>
      <c r="O464" s="479"/>
      <c r="P464" s="479"/>
      <c r="Q464" s="1320">
        <v>14</v>
      </c>
      <c r="R464" s="479"/>
      <c r="S464" s="485" t="s">
        <v>198</v>
      </c>
      <c r="T464" s="479"/>
      <c r="U464" s="1321"/>
      <c r="V464" s="479"/>
      <c r="W464" s="498"/>
      <c r="X464" s="498"/>
      <c r="Y464" s="498"/>
      <c r="Z464" s="498"/>
      <c r="AA464" s="498"/>
      <c r="AB464" s="498"/>
      <c r="AC464" s="498"/>
      <c r="AD464" s="498"/>
      <c r="AE464" s="498"/>
      <c r="AF464" s="479"/>
    </row>
    <row r="465" spans="1:32">
      <c r="A465" s="479"/>
      <c r="B465" s="479"/>
      <c r="C465" s="479"/>
      <c r="D465" s="479"/>
      <c r="E465" s="479"/>
      <c r="F465" s="479"/>
      <c r="G465" s="479"/>
      <c r="H465" s="479"/>
      <c r="I465" s="479"/>
      <c r="J465" s="479"/>
      <c r="K465" s="479"/>
      <c r="L465" s="479"/>
      <c r="M465" s="479"/>
      <c r="N465" s="479"/>
      <c r="O465" s="479"/>
      <c r="P465" s="479"/>
      <c r="Q465" s="1320">
        <v>15</v>
      </c>
      <c r="R465" s="479"/>
      <c r="S465" s="485" t="s">
        <v>2253</v>
      </c>
      <c r="T465" s="479"/>
      <c r="U465" s="498"/>
      <c r="V465" s="479"/>
      <c r="W465" s="498"/>
      <c r="X465" s="498"/>
      <c r="Y465" s="498"/>
      <c r="Z465" s="498"/>
      <c r="AA465" s="498"/>
      <c r="AB465" s="498"/>
      <c r="AC465" s="498"/>
      <c r="AD465" s="498"/>
      <c r="AE465" s="498"/>
      <c r="AF465" s="479"/>
    </row>
    <row r="466" spans="1:32">
      <c r="A466" s="479"/>
      <c r="B466" s="479"/>
      <c r="C466" s="479"/>
      <c r="D466" s="479"/>
      <c r="E466" s="479"/>
      <c r="F466" s="479"/>
      <c r="G466" s="479"/>
      <c r="H466" s="479"/>
      <c r="I466" s="479"/>
      <c r="J466" s="479"/>
      <c r="K466" s="479"/>
      <c r="L466" s="479"/>
      <c r="M466" s="479"/>
      <c r="N466" s="479"/>
      <c r="O466" s="479"/>
      <c r="P466" s="479"/>
      <c r="Q466" s="1320">
        <v>16</v>
      </c>
      <c r="R466" s="479"/>
      <c r="S466" s="485" t="s">
        <v>258</v>
      </c>
      <c r="T466" s="479"/>
      <c r="U466" s="496"/>
      <c r="V466" s="479"/>
      <c r="W466" s="496"/>
      <c r="X466" s="496"/>
      <c r="Y466" s="496"/>
      <c r="Z466" s="496"/>
      <c r="AA466" s="496"/>
      <c r="AB466" s="496"/>
      <c r="AC466" s="496"/>
      <c r="AD466" s="496"/>
      <c r="AE466" s="496"/>
      <c r="AF466" s="479"/>
    </row>
    <row r="467" spans="1:32">
      <c r="A467" s="479"/>
      <c r="B467" s="479"/>
      <c r="C467" s="479"/>
      <c r="D467" s="479"/>
      <c r="E467" s="479"/>
      <c r="F467" s="479"/>
      <c r="G467" s="479"/>
      <c r="H467" s="479"/>
      <c r="I467" s="479"/>
      <c r="J467" s="479"/>
      <c r="K467" s="479"/>
      <c r="L467" s="479"/>
      <c r="M467" s="479"/>
      <c r="N467" s="479"/>
      <c r="O467" s="479"/>
      <c r="P467" s="479"/>
      <c r="Q467" s="1320">
        <v>17</v>
      </c>
      <c r="R467" s="479"/>
      <c r="S467" s="485" t="s">
        <v>259</v>
      </c>
      <c r="T467" s="479"/>
      <c r="U467" s="496"/>
      <c r="V467" s="479"/>
      <c r="W467" s="496"/>
      <c r="X467" s="496"/>
      <c r="Y467" s="496"/>
      <c r="Z467" s="496"/>
      <c r="AA467" s="496"/>
      <c r="AB467" s="496"/>
      <c r="AC467" s="496"/>
      <c r="AD467" s="496"/>
      <c r="AE467" s="496"/>
      <c r="AF467" s="479"/>
    </row>
    <row r="468" spans="1:32">
      <c r="A468" s="479"/>
      <c r="B468" s="479"/>
      <c r="C468" s="479"/>
      <c r="D468" s="479"/>
      <c r="E468" s="479"/>
      <c r="F468" s="479"/>
      <c r="G468" s="479"/>
      <c r="H468" s="479"/>
      <c r="I468" s="479"/>
      <c r="J468" s="479"/>
      <c r="K468" s="479"/>
      <c r="L468" s="479"/>
      <c r="M468" s="479"/>
      <c r="N468" s="479"/>
      <c r="O468" s="479"/>
      <c r="P468" s="479"/>
      <c r="Q468" s="1320">
        <v>18</v>
      </c>
      <c r="R468" s="479"/>
      <c r="S468" s="485" t="s">
        <v>260</v>
      </c>
      <c r="T468" s="479"/>
      <c r="U468" s="496"/>
      <c r="V468" s="479"/>
      <c r="W468" s="496"/>
      <c r="X468" s="496"/>
      <c r="Y468" s="496"/>
      <c r="Z468" s="496"/>
      <c r="AA468" s="496"/>
      <c r="AB468" s="496"/>
      <c r="AC468" s="496"/>
      <c r="AD468" s="496"/>
      <c r="AE468" s="496"/>
      <c r="AF468" s="479"/>
    </row>
    <row r="469" spans="1:32">
      <c r="A469" s="479"/>
      <c r="B469" s="479"/>
      <c r="C469" s="479"/>
      <c r="D469" s="479"/>
      <c r="E469" s="479"/>
      <c r="F469" s="479"/>
      <c r="G469" s="479"/>
      <c r="H469" s="479"/>
      <c r="I469" s="479"/>
      <c r="J469" s="479"/>
      <c r="K469" s="479"/>
      <c r="L469" s="479"/>
      <c r="M469" s="479"/>
      <c r="N469" s="479"/>
      <c r="O469" s="479"/>
      <c r="P469" s="479"/>
      <c r="Q469" s="1320">
        <v>19</v>
      </c>
      <c r="R469" s="479"/>
      <c r="S469" s="485" t="s">
        <v>261</v>
      </c>
      <c r="T469" s="479"/>
      <c r="U469" s="496"/>
      <c r="V469" s="479"/>
      <c r="W469" s="496"/>
      <c r="X469" s="496"/>
      <c r="Y469" s="496"/>
      <c r="Z469" s="496"/>
      <c r="AA469" s="496"/>
      <c r="AB469" s="496"/>
      <c r="AC469" s="496"/>
      <c r="AD469" s="496"/>
      <c r="AE469" s="496"/>
      <c r="AF469" s="479"/>
    </row>
    <row r="470" spans="1:32">
      <c r="A470" s="479"/>
      <c r="B470" s="479"/>
      <c r="C470" s="479"/>
      <c r="D470" s="479"/>
      <c r="E470" s="479"/>
      <c r="F470" s="479"/>
      <c r="G470" s="479"/>
      <c r="H470" s="479"/>
      <c r="I470" s="479"/>
      <c r="J470" s="479"/>
      <c r="K470" s="479"/>
      <c r="L470" s="479"/>
      <c r="M470" s="479"/>
      <c r="N470" s="479"/>
      <c r="O470" s="479"/>
      <c r="P470" s="479"/>
      <c r="Q470" s="1320">
        <v>20</v>
      </c>
      <c r="R470" s="479"/>
      <c r="S470" s="485" t="s">
        <v>262</v>
      </c>
      <c r="T470" s="479"/>
      <c r="U470" s="496"/>
      <c r="V470" s="479"/>
      <c r="W470" s="496"/>
      <c r="X470" s="496"/>
      <c r="Y470" s="479"/>
      <c r="Z470" s="496"/>
      <c r="AA470" s="496"/>
      <c r="AB470" s="496"/>
      <c r="AC470" s="496"/>
      <c r="AD470" s="496"/>
      <c r="AE470" s="496"/>
      <c r="AF470" s="479"/>
    </row>
    <row r="471" spans="1:32">
      <c r="A471" s="479"/>
      <c r="B471" s="479"/>
      <c r="C471" s="479"/>
      <c r="D471" s="479"/>
      <c r="E471" s="479"/>
      <c r="F471" s="479"/>
      <c r="G471" s="479"/>
      <c r="H471" s="479"/>
      <c r="I471" s="479"/>
      <c r="J471" s="479"/>
      <c r="K471" s="479"/>
      <c r="L471" s="479"/>
      <c r="M471" s="479"/>
      <c r="N471" s="479"/>
      <c r="O471" s="479"/>
      <c r="P471" s="479"/>
      <c r="Q471" s="1320">
        <v>21</v>
      </c>
      <c r="R471" s="479"/>
      <c r="S471" s="485" t="s">
        <v>1509</v>
      </c>
      <c r="T471" s="479"/>
      <c r="U471" s="496"/>
      <c r="V471" s="479"/>
      <c r="W471" s="496"/>
      <c r="X471" s="496"/>
      <c r="Y471" s="496"/>
      <c r="Z471" s="496"/>
      <c r="AA471" s="496"/>
      <c r="AB471" s="496"/>
      <c r="AC471" s="496"/>
      <c r="AD471" s="496"/>
      <c r="AE471" s="496"/>
      <c r="AF471" s="479"/>
    </row>
    <row r="472" spans="1:32">
      <c r="A472" s="479"/>
      <c r="B472" s="479"/>
      <c r="C472" s="479"/>
      <c r="D472" s="479"/>
      <c r="E472" s="479"/>
      <c r="F472" s="479"/>
      <c r="G472" s="479"/>
      <c r="H472" s="479"/>
      <c r="I472" s="479"/>
      <c r="J472" s="479"/>
      <c r="K472" s="479"/>
      <c r="L472" s="479"/>
      <c r="M472" s="479"/>
      <c r="N472" s="479"/>
      <c r="O472" s="479"/>
      <c r="P472" s="479"/>
      <c r="Q472" s="1320">
        <v>22</v>
      </c>
      <c r="R472" s="479"/>
      <c r="S472" s="485" t="s">
        <v>1838</v>
      </c>
      <c r="T472" s="479"/>
      <c r="U472" s="497">
        <f>U462+SUM(U464:U471)</f>
        <v>0</v>
      </c>
      <c r="V472" s="479"/>
      <c r="W472" s="497">
        <f>W462+SUM(W464:W471)</f>
        <v>0</v>
      </c>
      <c r="X472" s="496"/>
      <c r="Y472" s="497">
        <f>Y462+SUM(Y464:Y471)</f>
        <v>0</v>
      </c>
      <c r="Z472" s="496"/>
      <c r="AA472" s="497">
        <f>AA462+SUM(AA464:AA471)</f>
        <v>0</v>
      </c>
      <c r="AB472" s="496"/>
      <c r="AC472" s="497">
        <f>AC462+SUM(AC464:AC471)</f>
        <v>0</v>
      </c>
      <c r="AD472" s="496"/>
      <c r="AE472" s="497">
        <f>AE462+SUM(AE464:AE471)</f>
        <v>0</v>
      </c>
      <c r="AF472" s="479"/>
    </row>
    <row r="473" spans="1:32">
      <c r="A473" s="479"/>
      <c r="B473" s="479"/>
      <c r="C473" s="479"/>
      <c r="D473" s="479"/>
      <c r="E473" s="479"/>
      <c r="F473" s="479"/>
      <c r="G473" s="479"/>
      <c r="H473" s="479"/>
      <c r="I473" s="479"/>
      <c r="J473" s="479"/>
      <c r="K473" s="479"/>
      <c r="L473" s="479"/>
      <c r="M473" s="479"/>
      <c r="N473" s="479"/>
      <c r="O473" s="479"/>
      <c r="P473" s="479"/>
      <c r="Q473" s="1320">
        <v>23</v>
      </c>
      <c r="R473" s="479"/>
      <c r="S473" s="479"/>
      <c r="T473" s="479"/>
      <c r="U473" s="498"/>
      <c r="V473" s="479"/>
      <c r="W473" s="498"/>
      <c r="X473" s="498"/>
      <c r="Y473" s="498"/>
      <c r="Z473" s="498"/>
      <c r="AA473" s="498"/>
      <c r="AB473" s="498"/>
      <c r="AC473" s="498"/>
      <c r="AD473" s="498"/>
      <c r="AE473" s="498"/>
      <c r="AF473" s="479"/>
    </row>
    <row r="474" spans="1:32">
      <c r="A474" s="479"/>
      <c r="B474" s="479"/>
      <c r="C474" s="479"/>
      <c r="D474" s="479"/>
      <c r="E474" s="479"/>
      <c r="F474" s="479"/>
      <c r="G474" s="479"/>
      <c r="H474" s="479"/>
      <c r="I474" s="479"/>
      <c r="J474" s="479"/>
      <c r="K474" s="479"/>
      <c r="L474" s="479"/>
      <c r="M474" s="479"/>
      <c r="N474" s="479"/>
      <c r="O474" s="479"/>
      <c r="P474" s="479"/>
      <c r="Q474" s="1320">
        <v>24</v>
      </c>
      <c r="R474" s="479"/>
      <c r="S474" s="485" t="s">
        <v>805</v>
      </c>
      <c r="T474" s="479"/>
      <c r="U474" s="502"/>
      <c r="V474" s="479"/>
      <c r="W474" s="502"/>
      <c r="X474" s="496"/>
      <c r="Y474" s="502"/>
      <c r="Z474" s="496"/>
      <c r="AA474" s="502"/>
      <c r="AB474" s="496"/>
      <c r="AC474" s="502"/>
      <c r="AD474" s="496"/>
      <c r="AE474" s="502"/>
      <c r="AF474" s="479"/>
    </row>
    <row r="475" spans="1:32">
      <c r="A475" s="479"/>
      <c r="B475" s="479"/>
      <c r="C475" s="479"/>
      <c r="D475" s="479"/>
      <c r="E475" s="479"/>
      <c r="F475" s="479"/>
      <c r="G475" s="479"/>
      <c r="H475" s="479"/>
      <c r="I475" s="479"/>
      <c r="J475" s="479"/>
      <c r="K475" s="479"/>
      <c r="L475" s="479"/>
      <c r="M475" s="479"/>
      <c r="N475" s="479"/>
      <c r="O475" s="479"/>
      <c r="P475" s="479"/>
      <c r="Q475" s="1320">
        <v>25</v>
      </c>
      <c r="R475" s="479"/>
      <c r="S475" s="479"/>
      <c r="T475" s="479"/>
      <c r="U475" s="498"/>
      <c r="V475" s="479"/>
      <c r="W475" s="498"/>
      <c r="X475" s="498"/>
      <c r="Y475" s="498"/>
      <c r="Z475" s="498"/>
      <c r="AA475" s="498"/>
      <c r="AB475" s="498"/>
      <c r="AC475" s="498"/>
      <c r="AD475" s="498"/>
      <c r="AE475" s="498"/>
      <c r="AF475" s="479"/>
    </row>
    <row r="476" spans="1:32">
      <c r="A476" s="479"/>
      <c r="B476" s="479"/>
      <c r="C476" s="479"/>
      <c r="D476" s="479"/>
      <c r="E476" s="479"/>
      <c r="F476" s="479"/>
      <c r="G476" s="479"/>
      <c r="H476" s="479"/>
      <c r="I476" s="479"/>
      <c r="J476" s="479"/>
      <c r="K476" s="479"/>
      <c r="L476" s="479"/>
      <c r="M476" s="479"/>
      <c r="N476" s="479"/>
      <c r="O476" s="479"/>
      <c r="P476" s="479"/>
      <c r="Q476" s="1320">
        <v>26</v>
      </c>
      <c r="R476" s="479"/>
      <c r="S476" s="485" t="s">
        <v>1932</v>
      </c>
      <c r="T476" s="479"/>
      <c r="U476" s="496"/>
      <c r="V476" s="479"/>
      <c r="W476" s="479"/>
      <c r="X476" s="479"/>
      <c r="Y476" s="479"/>
      <c r="Z476" s="479"/>
      <c r="AA476" s="479"/>
      <c r="AB476" s="479"/>
      <c r="AC476" s="479"/>
      <c r="AD476" s="479"/>
      <c r="AE476" s="479"/>
      <c r="AF476" s="479"/>
    </row>
    <row r="477" spans="1:32">
      <c r="A477" s="479"/>
      <c r="B477" s="479"/>
      <c r="C477" s="479"/>
      <c r="D477" s="479"/>
      <c r="E477" s="479"/>
      <c r="F477" s="479"/>
      <c r="G477" s="479"/>
      <c r="H477" s="479"/>
      <c r="I477" s="479"/>
      <c r="J477" s="479"/>
      <c r="K477" s="479"/>
      <c r="L477" s="479"/>
      <c r="M477" s="479"/>
      <c r="N477" s="479"/>
      <c r="O477" s="479"/>
      <c r="P477" s="479"/>
      <c r="Q477" s="1320">
        <v>27</v>
      </c>
      <c r="R477" s="479"/>
      <c r="S477" s="485" t="s">
        <v>1210</v>
      </c>
      <c r="T477" s="479"/>
      <c r="U477" s="496"/>
      <c r="V477" s="479"/>
      <c r="W477" s="496"/>
      <c r="X477" s="496"/>
      <c r="Y477" s="496"/>
      <c r="Z477" s="496"/>
      <c r="AA477" s="496"/>
      <c r="AB477" s="496"/>
      <c r="AC477" s="496"/>
      <c r="AD477" s="496"/>
      <c r="AE477" s="496"/>
      <c r="AF477" s="479"/>
    </row>
    <row r="478" spans="1:32">
      <c r="A478" s="479"/>
      <c r="B478" s="479"/>
      <c r="C478" s="479"/>
      <c r="D478" s="479"/>
      <c r="E478" s="479"/>
      <c r="F478" s="479"/>
      <c r="G478" s="479"/>
      <c r="H478" s="479"/>
      <c r="I478" s="479"/>
      <c r="J478" s="479"/>
      <c r="K478" s="479"/>
      <c r="L478" s="479"/>
      <c r="M478" s="479"/>
      <c r="N478" s="479"/>
      <c r="O478" s="479"/>
      <c r="P478" s="479"/>
      <c r="Q478" s="1320">
        <v>28</v>
      </c>
      <c r="R478" s="479"/>
      <c r="S478" s="485" t="s">
        <v>1212</v>
      </c>
      <c r="T478" s="479"/>
      <c r="U478" s="521"/>
      <c r="V478" s="479"/>
      <c r="W478" s="496"/>
      <c r="X478" s="496"/>
      <c r="Y478" s="496"/>
      <c r="Z478" s="496"/>
      <c r="AA478" s="496"/>
      <c r="AB478" s="496"/>
      <c r="AC478" s="496"/>
      <c r="AD478" s="496"/>
      <c r="AE478" s="496"/>
      <c r="AF478" s="479"/>
    </row>
    <row r="479" spans="1:32">
      <c r="A479" s="479"/>
      <c r="B479" s="479"/>
      <c r="C479" s="479"/>
      <c r="D479" s="479"/>
      <c r="E479" s="479"/>
      <c r="F479" s="479"/>
      <c r="G479" s="479"/>
      <c r="H479" s="479"/>
      <c r="I479" s="479"/>
      <c r="J479" s="479"/>
      <c r="K479" s="479"/>
      <c r="L479" s="479"/>
      <c r="M479" s="479"/>
      <c r="N479" s="479"/>
      <c r="O479" s="479"/>
      <c r="P479" s="479"/>
      <c r="Q479" s="1320">
        <v>29</v>
      </c>
      <c r="R479" s="479"/>
      <c r="S479" s="485" t="s">
        <v>1842</v>
      </c>
      <c r="T479" s="479"/>
      <c r="U479" s="497">
        <f>SUM(U477:U478)</f>
        <v>0</v>
      </c>
      <c r="V479" s="479"/>
      <c r="W479" s="497">
        <f>SUM(W477:W478)</f>
        <v>0</v>
      </c>
      <c r="X479" s="496"/>
      <c r="Y479" s="497">
        <f>SUM(Y477:Y478)</f>
        <v>0</v>
      </c>
      <c r="Z479" s="496"/>
      <c r="AA479" s="497">
        <f>SUM(AA477:AA478)</f>
        <v>0</v>
      </c>
      <c r="AB479" s="496"/>
      <c r="AC479" s="497">
        <f>SUM(AC477:AC478)</f>
        <v>0</v>
      </c>
      <c r="AD479" s="496"/>
      <c r="AE479" s="497">
        <f>SUM(AE477:AE478)</f>
        <v>0</v>
      </c>
      <c r="AF479" s="479"/>
    </row>
    <row r="480" spans="1:32">
      <c r="A480" s="479"/>
      <c r="B480" s="479"/>
      <c r="C480" s="479"/>
      <c r="D480" s="479"/>
      <c r="E480" s="479"/>
      <c r="F480" s="479"/>
      <c r="G480" s="479"/>
      <c r="H480" s="479"/>
      <c r="I480" s="479"/>
      <c r="J480" s="479"/>
      <c r="K480" s="479"/>
      <c r="L480" s="479"/>
      <c r="M480" s="479"/>
      <c r="N480" s="479"/>
      <c r="O480" s="479"/>
      <c r="P480" s="479"/>
      <c r="Q480" s="1320">
        <v>30</v>
      </c>
      <c r="R480" s="479"/>
      <c r="S480" s="485"/>
      <c r="T480" s="479"/>
      <c r="U480" s="501"/>
      <c r="V480" s="479"/>
      <c r="W480" s="501"/>
      <c r="X480" s="496"/>
      <c r="Y480" s="501"/>
      <c r="Z480" s="496"/>
      <c r="AA480" s="501"/>
      <c r="AB480" s="496"/>
      <c r="AC480" s="501"/>
      <c r="AD480" s="496"/>
      <c r="AE480" s="501"/>
      <c r="AF480" s="479"/>
    </row>
    <row r="481" spans="1:47">
      <c r="A481" s="479"/>
      <c r="B481" s="479"/>
      <c r="C481" s="479"/>
      <c r="D481" s="479"/>
      <c r="E481" s="479"/>
      <c r="F481" s="479"/>
      <c r="G481" s="479"/>
      <c r="H481" s="479"/>
      <c r="I481" s="479"/>
      <c r="J481" s="479"/>
      <c r="K481" s="479"/>
      <c r="L481" s="479"/>
      <c r="M481" s="479"/>
      <c r="N481" s="479"/>
      <c r="O481" s="479"/>
      <c r="P481" s="479"/>
      <c r="Q481" s="1320">
        <v>31</v>
      </c>
      <c r="R481" s="479"/>
      <c r="S481" s="485" t="s">
        <v>1843</v>
      </c>
      <c r="T481" s="479"/>
      <c r="U481" s="479"/>
      <c r="V481" s="479"/>
      <c r="W481" s="479"/>
      <c r="X481" s="479"/>
      <c r="Y481" s="479"/>
      <c r="Z481" s="479"/>
      <c r="AA481" s="479"/>
      <c r="AB481" s="479"/>
      <c r="AC481" s="479"/>
      <c r="AD481" s="479"/>
      <c r="AE481" s="479"/>
      <c r="AF481" s="479"/>
    </row>
    <row r="482" spans="1:47">
      <c r="A482" s="479"/>
      <c r="B482" s="479"/>
      <c r="C482" s="479"/>
      <c r="D482" s="479"/>
      <c r="E482" s="479"/>
      <c r="F482" s="479"/>
      <c r="G482" s="479"/>
      <c r="H482" s="479"/>
      <c r="I482" s="479"/>
      <c r="J482" s="479"/>
      <c r="K482" s="479"/>
      <c r="L482" s="479"/>
      <c r="M482" s="479"/>
      <c r="N482" s="479"/>
      <c r="O482" s="479"/>
      <c r="P482" s="479"/>
      <c r="Q482" s="1320">
        <v>32</v>
      </c>
      <c r="R482" s="479"/>
      <c r="S482" s="485" t="s">
        <v>910</v>
      </c>
      <c r="T482" s="479"/>
      <c r="U482" s="496">
        <f>ROUND((U455-U472-U474-U479)*SIT*APPORT,0)</f>
        <v>0</v>
      </c>
      <c r="V482" s="479"/>
      <c r="W482" s="496">
        <f>ROUND((W455-W472-W474-W479)*SIT*APPORT,0)</f>
        <v>0</v>
      </c>
      <c r="X482" s="496"/>
      <c r="Y482" s="496">
        <f>ROUND((Y455-Y472-Y474-Y479)*SIT*APPORT,0)</f>
        <v>0</v>
      </c>
      <c r="Z482" s="496"/>
      <c r="AA482" s="496">
        <f>ROUND((AA455-AA472-AA474-AA479)*SIT*APPORT,0)</f>
        <v>0</v>
      </c>
      <c r="AB482" s="496"/>
      <c r="AC482" s="496">
        <f>ROUND((AC455-AC472-AC474-AC479)*SIT*APPORT,0)</f>
        <v>0</v>
      </c>
      <c r="AD482" s="496"/>
      <c r="AE482" s="496">
        <f>ROUND((AE455-AE472-AE474-AE479)*SIT*APPORT,0)</f>
        <v>0</v>
      </c>
      <c r="AF482" s="479"/>
    </row>
    <row r="483" spans="1:47">
      <c r="A483" s="479"/>
      <c r="B483" s="479"/>
      <c r="C483" s="479"/>
      <c r="D483" s="479"/>
      <c r="E483" s="479"/>
      <c r="F483" s="479"/>
      <c r="G483" s="479"/>
      <c r="H483" s="479"/>
      <c r="I483" s="479"/>
      <c r="J483" s="479"/>
      <c r="K483" s="479"/>
      <c r="L483" s="479"/>
      <c r="M483" s="479"/>
      <c r="N483" s="479"/>
      <c r="O483" s="479"/>
      <c r="P483" s="479"/>
      <c r="Q483" s="1320">
        <v>33</v>
      </c>
      <c r="R483" s="479"/>
      <c r="S483" s="485" t="s">
        <v>1800</v>
      </c>
      <c r="T483" s="479"/>
      <c r="U483" s="496"/>
      <c r="V483" s="479"/>
      <c r="W483" s="496"/>
      <c r="X483" s="496"/>
      <c r="Y483" s="496"/>
      <c r="Z483" s="496"/>
      <c r="AA483" s="496"/>
      <c r="AB483" s="496"/>
      <c r="AC483" s="496"/>
      <c r="AD483" s="496"/>
      <c r="AE483" s="496"/>
      <c r="AF483" s="479"/>
    </row>
    <row r="484" spans="1:47">
      <c r="A484" s="479"/>
      <c r="B484" s="479"/>
      <c r="C484" s="479"/>
      <c r="D484" s="479"/>
      <c r="E484" s="479"/>
      <c r="F484" s="479"/>
      <c r="G484" s="479"/>
      <c r="H484" s="479"/>
      <c r="I484" s="479"/>
      <c r="J484" s="479"/>
      <c r="K484" s="479"/>
      <c r="L484" s="479"/>
      <c r="M484" s="479"/>
      <c r="N484" s="479"/>
      <c r="O484" s="479"/>
      <c r="P484" s="479"/>
      <c r="Q484" s="1320">
        <v>34</v>
      </c>
      <c r="R484" s="479"/>
      <c r="S484" s="485" t="s">
        <v>1848</v>
      </c>
      <c r="T484" s="479"/>
      <c r="U484" s="497">
        <f>SUM(U482:U483)</f>
        <v>0</v>
      </c>
      <c r="V484" s="479"/>
      <c r="W484" s="497">
        <f>SUM(W482:W483)</f>
        <v>0</v>
      </c>
      <c r="X484" s="496"/>
      <c r="Y484" s="497">
        <f>SUM(Y482:Y483)</f>
        <v>0</v>
      </c>
      <c r="Z484" s="496"/>
      <c r="AA484" s="497">
        <f>SUM(AA482:AA483)</f>
        <v>0</v>
      </c>
      <c r="AB484" s="496"/>
      <c r="AC484" s="497">
        <f>SUM(AC482:AC483)</f>
        <v>0</v>
      </c>
      <c r="AD484" s="496"/>
      <c r="AE484" s="497">
        <f>SUM(AE482:AE483)</f>
        <v>0</v>
      </c>
      <c r="AF484" s="479"/>
    </row>
    <row r="485" spans="1:47">
      <c r="A485" s="479"/>
      <c r="B485" s="479"/>
      <c r="C485" s="479"/>
      <c r="D485" s="479"/>
      <c r="E485" s="479"/>
      <c r="F485" s="479"/>
      <c r="G485" s="479"/>
      <c r="H485" s="479"/>
      <c r="I485" s="479"/>
      <c r="J485" s="479"/>
      <c r="K485" s="479"/>
      <c r="L485" s="479"/>
      <c r="M485" s="479"/>
      <c r="N485" s="479"/>
      <c r="O485" s="479"/>
      <c r="P485" s="479"/>
      <c r="Q485" s="1320">
        <v>35</v>
      </c>
      <c r="R485" s="479"/>
      <c r="S485" s="479"/>
      <c r="T485" s="479"/>
      <c r="U485" s="498"/>
      <c r="V485" s="479"/>
      <c r="W485" s="498"/>
      <c r="X485" s="498"/>
      <c r="Y485" s="498"/>
      <c r="Z485" s="498"/>
      <c r="AA485" s="498"/>
      <c r="AB485" s="498"/>
      <c r="AC485" s="498"/>
      <c r="AD485" s="498"/>
      <c r="AE485" s="498"/>
      <c r="AF485" s="479"/>
    </row>
    <row r="486" spans="1:47">
      <c r="A486" s="479"/>
      <c r="B486" s="479"/>
      <c r="C486" s="479"/>
      <c r="D486" s="479"/>
      <c r="E486" s="479"/>
      <c r="F486" s="479"/>
      <c r="G486" s="479"/>
      <c r="H486" s="479"/>
      <c r="I486" s="479"/>
      <c r="J486" s="479"/>
      <c r="K486" s="479"/>
      <c r="L486" s="479"/>
      <c r="M486" s="479"/>
      <c r="N486" s="479"/>
      <c r="O486" s="479"/>
      <c r="P486" s="479"/>
      <c r="Q486" s="1320">
        <v>36</v>
      </c>
      <c r="R486" s="479"/>
      <c r="S486" s="485" t="s">
        <v>379</v>
      </c>
      <c r="T486" s="479"/>
      <c r="U486" s="479"/>
      <c r="V486" s="479"/>
      <c r="W486" s="479"/>
      <c r="X486" s="479"/>
      <c r="Y486" s="479"/>
      <c r="Z486" s="479"/>
      <c r="AA486" s="479"/>
      <c r="AB486" s="479"/>
      <c r="AC486" s="479"/>
      <c r="AD486" s="479"/>
      <c r="AE486" s="479"/>
      <c r="AF486" s="479"/>
    </row>
    <row r="487" spans="1:47">
      <c r="A487" s="479"/>
      <c r="B487" s="479"/>
      <c r="C487" s="479"/>
      <c r="D487" s="479"/>
      <c r="E487" s="479"/>
      <c r="F487" s="479"/>
      <c r="G487" s="479"/>
      <c r="H487" s="479"/>
      <c r="I487" s="479"/>
      <c r="J487" s="479"/>
      <c r="K487" s="479"/>
      <c r="L487" s="479"/>
      <c r="M487" s="479"/>
      <c r="N487" s="479"/>
      <c r="O487" s="479"/>
      <c r="P487" s="479"/>
      <c r="Q487" s="1320">
        <v>37</v>
      </c>
      <c r="R487" s="479"/>
      <c r="S487" s="485" t="s">
        <v>910</v>
      </c>
      <c r="T487" s="479"/>
      <c r="U487" s="496">
        <f>ROUND((U455-U472-U474-U479-U482)*FIT,0)</f>
        <v>0</v>
      </c>
      <c r="V487" s="479"/>
      <c r="W487" s="496">
        <f>ROUND((W455-W472-W474-W479-W482)*FIT,0)</f>
        <v>0</v>
      </c>
      <c r="X487" s="496"/>
      <c r="Y487" s="496">
        <f>ROUND((Y455-Y472-Y474-Y479-Y482)*FIT,0)</f>
        <v>0</v>
      </c>
      <c r="Z487" s="496"/>
      <c r="AA487" s="496">
        <f>ROUND((AA455-AA472-AA474-AA479-AA482)*FIT,0)</f>
        <v>0</v>
      </c>
      <c r="AB487" s="496"/>
      <c r="AC487" s="496">
        <f>ROUND((AC455-AC472-AC474-AC479-AC482)*FIT,0)</f>
        <v>0</v>
      </c>
      <c r="AD487" s="496"/>
      <c r="AE487" s="496">
        <f>ROUND((AE455-AE472-AE474-AE479-AE482)*FIT,0)</f>
        <v>0</v>
      </c>
      <c r="AF487" s="479"/>
    </row>
    <row r="488" spans="1:47">
      <c r="A488" s="479"/>
      <c r="B488" s="479"/>
      <c r="C488" s="479"/>
      <c r="D488" s="479"/>
      <c r="E488" s="479"/>
      <c r="F488" s="479"/>
      <c r="G488" s="479"/>
      <c r="H488" s="479"/>
      <c r="I488" s="479"/>
      <c r="J488" s="479"/>
      <c r="K488" s="479"/>
      <c r="L488" s="479"/>
      <c r="M488" s="479"/>
      <c r="N488" s="479"/>
      <c r="O488" s="479"/>
      <c r="P488" s="479"/>
      <c r="Q488" s="1320">
        <v>38</v>
      </c>
      <c r="R488" s="479"/>
      <c r="S488" s="485" t="s">
        <v>1800</v>
      </c>
      <c r="T488" s="479"/>
      <c r="U488" s="496"/>
      <c r="V488" s="479"/>
      <c r="W488" s="496"/>
      <c r="X488" s="496"/>
      <c r="Y488" s="496"/>
      <c r="Z488" s="496"/>
      <c r="AA488" s="496"/>
      <c r="AB488" s="496"/>
      <c r="AC488" s="496"/>
      <c r="AD488" s="496"/>
      <c r="AE488" s="496"/>
      <c r="AF488" s="479"/>
    </row>
    <row r="489" spans="1:47">
      <c r="A489" s="479"/>
      <c r="B489" s="479"/>
      <c r="C489" s="479"/>
      <c r="D489" s="479"/>
      <c r="E489" s="479"/>
      <c r="F489" s="479"/>
      <c r="G489" s="479"/>
      <c r="H489" s="479"/>
      <c r="I489" s="479"/>
      <c r="J489" s="479"/>
      <c r="K489" s="479"/>
      <c r="L489" s="479"/>
      <c r="M489" s="479"/>
      <c r="N489" s="479"/>
      <c r="O489" s="479"/>
      <c r="P489" s="479"/>
      <c r="Q489" s="1320">
        <v>39</v>
      </c>
      <c r="R489" s="479"/>
      <c r="S489" s="485" t="s">
        <v>1021</v>
      </c>
      <c r="T489" s="479"/>
      <c r="U489" s="496"/>
      <c r="V489" s="479"/>
      <c r="W489" s="496"/>
      <c r="X489" s="496"/>
      <c r="Y489" s="496"/>
      <c r="Z489" s="496"/>
      <c r="AA489" s="496"/>
      <c r="AB489" s="496"/>
      <c r="AC489" s="496"/>
      <c r="AD489" s="496"/>
      <c r="AE489" s="496"/>
      <c r="AF489" s="479"/>
    </row>
    <row r="490" spans="1:47">
      <c r="A490" s="479"/>
      <c r="B490" s="479"/>
      <c r="C490" s="479"/>
      <c r="D490" s="479"/>
      <c r="E490" s="479"/>
      <c r="F490" s="479"/>
      <c r="G490" s="479"/>
      <c r="H490" s="479"/>
      <c r="I490" s="479"/>
      <c r="J490" s="479"/>
      <c r="K490" s="479"/>
      <c r="L490" s="479"/>
      <c r="M490" s="479"/>
      <c r="N490" s="479"/>
      <c r="O490" s="479"/>
      <c r="P490" s="479"/>
      <c r="Q490" s="1320">
        <v>40</v>
      </c>
      <c r="R490" s="479"/>
      <c r="S490" s="485" t="s">
        <v>1850</v>
      </c>
      <c r="T490" s="479"/>
      <c r="U490" s="497">
        <f>SUM(U487:U489)</f>
        <v>0</v>
      </c>
      <c r="V490" s="479"/>
      <c r="W490" s="497">
        <f>SUM(W487:W489)</f>
        <v>0</v>
      </c>
      <c r="X490" s="496"/>
      <c r="Y490" s="497">
        <f>SUM(Y487:Y489)</f>
        <v>0</v>
      </c>
      <c r="Z490" s="496"/>
      <c r="AA490" s="497">
        <f>SUM(AA487:AA489)</f>
        <v>0</v>
      </c>
      <c r="AB490" s="496"/>
      <c r="AC490" s="497">
        <f>SUM(AC487:AC489)</f>
        <v>0</v>
      </c>
      <c r="AD490" s="496"/>
      <c r="AE490" s="497">
        <f>SUM(AE487:AE489)</f>
        <v>0</v>
      </c>
      <c r="AF490" s="479"/>
    </row>
    <row r="491" spans="1:47">
      <c r="A491" s="479"/>
      <c r="B491" s="479"/>
      <c r="C491" s="479"/>
      <c r="D491" s="479"/>
      <c r="E491" s="479"/>
      <c r="F491" s="479"/>
      <c r="G491" s="479"/>
      <c r="H491" s="479"/>
      <c r="I491" s="479"/>
      <c r="J491" s="479"/>
      <c r="K491" s="479"/>
      <c r="L491" s="479"/>
      <c r="M491" s="479"/>
      <c r="N491" s="479"/>
      <c r="O491" s="479"/>
      <c r="P491" s="479"/>
      <c r="Q491" s="1320">
        <v>41</v>
      </c>
      <c r="R491" s="479"/>
      <c r="S491" s="479"/>
      <c r="T491" s="479"/>
      <c r="U491" s="498"/>
      <c r="V491" s="479"/>
      <c r="W491" s="498"/>
      <c r="X491" s="498"/>
      <c r="Y491" s="498"/>
      <c r="Z491" s="498"/>
      <c r="AA491" s="498"/>
      <c r="AB491" s="498"/>
      <c r="AC491" s="498"/>
      <c r="AD491" s="498"/>
      <c r="AE491" s="498"/>
      <c r="AF491" s="479"/>
    </row>
    <row r="492" spans="1:47">
      <c r="A492" s="479"/>
      <c r="B492" s="479"/>
      <c r="C492" s="479"/>
      <c r="D492" s="479"/>
      <c r="E492" s="479"/>
      <c r="F492" s="479"/>
      <c r="G492" s="479"/>
      <c r="H492" s="479"/>
      <c r="I492" s="479"/>
      <c r="J492" s="479"/>
      <c r="K492" s="479"/>
      <c r="L492" s="479"/>
      <c r="M492" s="479"/>
      <c r="N492" s="479"/>
      <c r="O492" s="479"/>
      <c r="P492" s="479"/>
      <c r="Q492" s="1320">
        <v>42</v>
      </c>
      <c r="R492" s="479"/>
      <c r="S492" s="485" t="s">
        <v>1851</v>
      </c>
      <c r="T492" s="479"/>
      <c r="U492" s="502">
        <f>U472+U474+U479+U484+U490</f>
        <v>0</v>
      </c>
      <c r="V492" s="479"/>
      <c r="W492" s="502">
        <f>W472+W474+W479+W484+W490</f>
        <v>0</v>
      </c>
      <c r="X492" s="496"/>
      <c r="Y492" s="502">
        <f>Y472+Y474+Y479+Y484+Y490</f>
        <v>0</v>
      </c>
      <c r="Z492" s="496"/>
      <c r="AA492" s="502">
        <f>AA472+AA474+AA479+AA484+AA490</f>
        <v>0</v>
      </c>
      <c r="AB492" s="496"/>
      <c r="AC492" s="502">
        <f>AC472+AC474+AC479+AC484+AC490</f>
        <v>0</v>
      </c>
      <c r="AD492" s="496"/>
      <c r="AE492" s="502">
        <f>AE472+AE474+AE479+AE484+AE490</f>
        <v>0</v>
      </c>
      <c r="AF492" s="479"/>
    </row>
    <row r="493" spans="1:47">
      <c r="A493" s="479"/>
      <c r="B493" s="479"/>
      <c r="C493" s="479"/>
      <c r="D493" s="479"/>
      <c r="E493" s="479"/>
      <c r="F493" s="479"/>
      <c r="G493" s="479"/>
      <c r="H493" s="479"/>
      <c r="I493" s="479"/>
      <c r="J493" s="479"/>
      <c r="K493" s="479"/>
      <c r="L493" s="479"/>
      <c r="M493" s="479"/>
      <c r="N493" s="479"/>
      <c r="O493" s="479"/>
      <c r="P493" s="479"/>
      <c r="Q493" s="1320">
        <v>43</v>
      </c>
      <c r="R493" s="479"/>
      <c r="S493" s="479"/>
      <c r="T493" s="479"/>
      <c r="U493" s="498"/>
      <c r="V493" s="479"/>
      <c r="W493" s="498"/>
      <c r="X493" s="498"/>
      <c r="Y493" s="498"/>
      <c r="Z493" s="498"/>
      <c r="AA493" s="498"/>
      <c r="AB493" s="498"/>
      <c r="AC493" s="498"/>
      <c r="AD493" s="498"/>
      <c r="AE493" s="498"/>
      <c r="AF493" s="479"/>
    </row>
    <row r="494" spans="1:47" ht="13.5" thickBot="1">
      <c r="A494" s="479"/>
      <c r="B494" s="479"/>
      <c r="C494" s="479"/>
      <c r="D494" s="479"/>
      <c r="E494" s="479"/>
      <c r="F494" s="479"/>
      <c r="G494" s="479"/>
      <c r="H494" s="479"/>
      <c r="I494" s="479"/>
      <c r="J494" s="479"/>
      <c r="K494" s="479"/>
      <c r="L494" s="479"/>
      <c r="M494" s="479"/>
      <c r="N494" s="479"/>
      <c r="O494" s="479"/>
      <c r="P494" s="479"/>
      <c r="Q494" s="1320">
        <v>44</v>
      </c>
      <c r="R494" s="479"/>
      <c r="S494" s="485" t="s">
        <v>1492</v>
      </c>
      <c r="T494" s="479"/>
      <c r="U494" s="505">
        <f>U455-U492</f>
        <v>0</v>
      </c>
      <c r="V494" s="479"/>
      <c r="W494" s="505">
        <f>W455-W492</f>
        <v>0</v>
      </c>
      <c r="X494" s="496"/>
      <c r="Y494" s="505">
        <f>Y455-Y492</f>
        <v>0</v>
      </c>
      <c r="Z494" s="496"/>
      <c r="AA494" s="505">
        <f>AA455-AA492</f>
        <v>0</v>
      </c>
      <c r="AB494" s="496"/>
      <c r="AC494" s="505">
        <f>AC455-AC492</f>
        <v>0</v>
      </c>
      <c r="AD494" s="496"/>
      <c r="AE494" s="505">
        <f>AE455-AE492</f>
        <v>0</v>
      </c>
      <c r="AF494" s="479"/>
    </row>
    <row r="495" spans="1:47" ht="13.5" thickTop="1">
      <c r="A495" s="479"/>
      <c r="B495" s="479"/>
      <c r="C495" s="479"/>
      <c r="D495" s="479"/>
      <c r="E495" s="479"/>
      <c r="F495" s="479"/>
      <c r="G495" s="479"/>
      <c r="H495" s="479"/>
      <c r="I495" s="479"/>
      <c r="J495" s="479"/>
      <c r="K495" s="479"/>
      <c r="L495" s="479"/>
      <c r="M495" s="479"/>
      <c r="N495" s="479"/>
      <c r="O495" s="479"/>
      <c r="P495" s="479"/>
      <c r="Q495" s="479"/>
      <c r="R495" s="479"/>
      <c r="S495" s="479"/>
      <c r="T495" s="496"/>
      <c r="U495" s="506" t="str">
        <f>IF(ISERR(ROUND((U484+U490)/(U494+U484+U490),4)=TRUE)," ",ROUND((U484+U490)/(U494+U484+U490),4))</f>
        <v xml:space="preserve"> </v>
      </c>
      <c r="V495" s="479"/>
      <c r="W495" s="506" t="str">
        <f>IF(ISERR(ROUND((W484+W490)/(W494+W484+W490),4)=TRUE)," ",ROUND((W484+W490)/(W494+W484+W490),4))</f>
        <v xml:space="preserve"> </v>
      </c>
      <c r="X495" s="506"/>
      <c r="Y495" s="506" t="str">
        <f>IF(ISERR(ROUND((Y484+Y490)/(Y494+Y484+Y490),4)=TRUE)," ",ROUND((Y484+Y490)/(Y494+Y484+Y490),4))</f>
        <v xml:space="preserve"> </v>
      </c>
      <c r="Z495" s="506"/>
      <c r="AA495" s="506" t="str">
        <f>IF(ISERR(ROUND((AA484+AA490)/(AA494+AA484+AA490),4)=TRUE)," ",ROUND((AA484+AA490)/(AA494+AA484+AA490),4))</f>
        <v xml:space="preserve"> </v>
      </c>
      <c r="AB495" s="506"/>
      <c r="AC495" s="506" t="str">
        <f>IF(ISERR(ROUND((AC484+AC490)/(AC494+AC484+AC490),4)=TRUE)," ",ROUND((AC484+AC490)/(AC494+AC484+AC490),4))</f>
        <v xml:space="preserve"> </v>
      </c>
      <c r="AD495" s="506"/>
      <c r="AE495" s="506" t="str">
        <f>IF(ISERR(ROUND((AE484+AE490)/(AE494+AE484+AE490),4)=TRUE)," ",ROUND((AE484+AE490)/(AE494+AE484+AE490),4))</f>
        <v xml:space="preserve"> </v>
      </c>
      <c r="AF495" s="479"/>
      <c r="AG495" s="479"/>
      <c r="AH495" s="479"/>
      <c r="AI495" s="479"/>
      <c r="AJ495" s="496"/>
      <c r="AK495" s="498" t="str">
        <f ca="1">IF(AK559=SCH_C2!F59+SCH_C2!J59,"","CHECK SCH C-2")</f>
        <v/>
      </c>
      <c r="AL495" s="512"/>
      <c r="AM495" s="498"/>
      <c r="AN495" s="498"/>
      <c r="AO495" s="498"/>
      <c r="AP495" s="479"/>
      <c r="AQ495" s="479"/>
      <c r="AR495" s="479"/>
      <c r="AS495" s="479"/>
      <c r="AT495" s="479"/>
      <c r="AU495" s="479"/>
    </row>
    <row r="496" spans="1:47">
      <c r="A496" s="479"/>
      <c r="B496" s="479"/>
      <c r="C496" s="479"/>
      <c r="D496" s="479"/>
      <c r="E496" s="479"/>
      <c r="F496" s="479"/>
      <c r="G496" s="479"/>
      <c r="H496" s="479"/>
      <c r="I496" s="479"/>
      <c r="J496" s="479"/>
      <c r="K496" s="479"/>
      <c r="L496" s="479"/>
      <c r="M496" s="479"/>
      <c r="N496" s="479"/>
      <c r="O496" s="479"/>
      <c r="P496" s="479"/>
      <c r="Q496" s="525"/>
      <c r="R496" s="518"/>
      <c r="S496" s="518"/>
      <c r="T496" s="518"/>
      <c r="U496" s="526"/>
      <c r="V496" s="526"/>
      <c r="W496" s="518"/>
      <c r="X496" s="518"/>
      <c r="Y496" s="518"/>
      <c r="Z496" s="518"/>
      <c r="AA496" s="518"/>
      <c r="AB496" s="518"/>
      <c r="AC496" s="518"/>
      <c r="AD496" s="518"/>
      <c r="AE496" s="518"/>
      <c r="AF496" s="479"/>
      <c r="AG496" s="479"/>
      <c r="AH496" s="479"/>
      <c r="AI496" s="479"/>
      <c r="AJ496" s="479"/>
      <c r="AK496" s="479"/>
      <c r="AL496" s="479"/>
      <c r="AM496" s="479"/>
      <c r="AN496" s="479"/>
      <c r="AO496" s="479"/>
      <c r="AP496" s="479"/>
      <c r="AQ496" s="479"/>
      <c r="AR496" s="479"/>
      <c r="AS496" s="479"/>
      <c r="AT496" s="479"/>
      <c r="AU496" s="479"/>
    </row>
    <row r="497" spans="1:47">
      <c r="A497" s="479"/>
      <c r="B497" s="479"/>
      <c r="C497" s="479"/>
      <c r="D497" s="479"/>
      <c r="E497" s="479"/>
      <c r="F497" s="479"/>
      <c r="G497" s="479"/>
      <c r="H497" s="479"/>
      <c r="I497" s="479"/>
      <c r="J497" s="479"/>
      <c r="K497" s="479"/>
      <c r="L497" s="479"/>
      <c r="M497" s="479"/>
      <c r="N497" s="479"/>
      <c r="O497" s="479"/>
      <c r="P497" s="479"/>
      <c r="Q497" s="517"/>
      <c r="R497" s="518"/>
      <c r="S497" s="518"/>
      <c r="T497" s="518"/>
      <c r="U497" s="527"/>
      <c r="V497" s="500"/>
      <c r="W497" s="501"/>
      <c r="X497" s="501"/>
      <c r="Y497" s="501"/>
      <c r="Z497" s="501"/>
      <c r="AA497" s="501"/>
      <c r="AB497" s="501"/>
      <c r="AC497" s="501"/>
      <c r="AD497" s="501"/>
      <c r="AE497" s="501"/>
      <c r="AF497" s="479"/>
      <c r="AG497" s="479"/>
      <c r="AH497" s="479"/>
      <c r="AI497" s="479"/>
      <c r="AJ497" s="479"/>
      <c r="AK497" s="479"/>
      <c r="AL497" s="479"/>
      <c r="AM497" s="479"/>
      <c r="AN497" s="479"/>
      <c r="AO497" s="479"/>
      <c r="AP497" s="479"/>
      <c r="AQ497" s="479"/>
      <c r="AR497" s="479"/>
      <c r="AS497" s="479"/>
      <c r="AT497" s="479"/>
      <c r="AU497" s="479"/>
    </row>
    <row r="499" spans="1:47">
      <c r="AG499" s="477" t="str">
        <f>COMPANY</f>
        <v>DUKE ENERGY KENTUCKY, INC.</v>
      </c>
      <c r="AH499" s="478"/>
      <c r="AI499" s="478"/>
      <c r="AJ499" s="478"/>
      <c r="AK499" s="478"/>
      <c r="AL499" s="478"/>
      <c r="AM499" s="478"/>
      <c r="AN499" s="478"/>
      <c r="AO499" s="478"/>
      <c r="AP499" s="479"/>
      <c r="AQ499" s="479"/>
      <c r="AR499" s="479"/>
      <c r="AS499" s="479"/>
      <c r="AT499" s="479"/>
      <c r="AU499" s="479"/>
    </row>
    <row r="500" spans="1:47">
      <c r="AG500" s="477" t="str">
        <f>CASE</f>
        <v>CASE NO. 2017-00321</v>
      </c>
      <c r="AH500" s="478"/>
      <c r="AI500" s="478"/>
      <c r="AJ500" s="478"/>
      <c r="AK500" s="480"/>
      <c r="AL500" s="480"/>
      <c r="AM500" s="478"/>
      <c r="AN500" s="478"/>
      <c r="AO500" s="478"/>
      <c r="AP500" s="479"/>
      <c r="AQ500" s="479"/>
      <c r="AR500" s="479"/>
      <c r="AS500" s="479"/>
      <c r="AT500" s="479"/>
      <c r="AU500" s="479"/>
    </row>
    <row r="501" spans="1:47">
      <c r="AG501" s="519" t="s">
        <v>16</v>
      </c>
      <c r="AH501" s="478"/>
      <c r="AI501" s="478"/>
      <c r="AJ501" s="478"/>
      <c r="AK501" s="478"/>
      <c r="AL501" s="478"/>
      <c r="AM501" s="478"/>
      <c r="AN501" s="478"/>
      <c r="AO501" s="478"/>
      <c r="AP501" s="479"/>
      <c r="AQ501" s="479"/>
      <c r="AR501" s="479"/>
      <c r="AS501" s="479"/>
      <c r="AT501" s="479"/>
      <c r="AU501" s="479"/>
    </row>
    <row r="502" spans="1:47">
      <c r="AG502" s="519" t="s">
        <v>703</v>
      </c>
      <c r="AH502" s="478"/>
      <c r="AI502" s="478"/>
      <c r="AJ502" s="478"/>
      <c r="AK502" s="478"/>
      <c r="AL502" s="478"/>
      <c r="AM502" s="478"/>
      <c r="AN502" s="478"/>
      <c r="AO502" s="478"/>
      <c r="AP502" s="479"/>
      <c r="AQ502" s="479"/>
      <c r="AR502" s="479"/>
      <c r="AS502" s="479"/>
      <c r="AT502" s="479"/>
      <c r="AU502" s="479"/>
    </row>
    <row r="503" spans="1:47">
      <c r="AG503" s="477" t="str">
        <f>PERIOD</f>
        <v>FOR THE TWELVE MONTHS ENDED NOVEMBER 30, 2017</v>
      </c>
      <c r="AH503" s="478"/>
      <c r="AI503" s="478"/>
      <c r="AJ503" s="478"/>
      <c r="AK503" s="478"/>
      <c r="AL503" s="478"/>
      <c r="AM503" s="478"/>
      <c r="AN503" s="478"/>
      <c r="AO503" s="478"/>
      <c r="AP503" s="479"/>
      <c r="AQ503" s="479"/>
      <c r="AR503" s="479"/>
      <c r="AS503" s="479"/>
      <c r="AT503" s="479"/>
      <c r="AU503" s="479"/>
    </row>
    <row r="504" spans="1:47">
      <c r="AG504" s="477" t="str">
        <f>PeriodF</f>
        <v>FOR THE TWELVE MONTHS ENDED MARCH 31, 2019</v>
      </c>
      <c r="AH504" s="478"/>
      <c r="AI504" s="478"/>
      <c r="AJ504" s="478"/>
      <c r="AK504" s="478"/>
      <c r="AL504" s="478"/>
      <c r="AM504" s="478"/>
      <c r="AN504" s="478"/>
      <c r="AO504" s="478"/>
      <c r="AP504" s="479"/>
      <c r="AQ504" s="479"/>
      <c r="AR504" s="479"/>
      <c r="AS504" s="479"/>
      <c r="AT504" s="479"/>
      <c r="AU504" s="479"/>
    </row>
    <row r="505" spans="1:47">
      <c r="AG505" s="479"/>
      <c r="AH505" s="479"/>
      <c r="AI505" s="479"/>
      <c r="AJ505" s="483"/>
      <c r="AK505" s="479"/>
      <c r="AL505" s="479"/>
      <c r="AM505" s="479"/>
      <c r="AN505" s="479"/>
      <c r="AO505" s="479"/>
      <c r="AP505" s="479"/>
      <c r="AQ505" s="479"/>
      <c r="AR505" s="479"/>
      <c r="AS505" s="479"/>
      <c r="AT505" s="479"/>
      <c r="AU505" s="479"/>
    </row>
    <row r="506" spans="1:47">
      <c r="AG506" s="483" t="str">
        <f>DataB</f>
        <v>DATA: "X" BASE PERIOD  "X" FORECASTED PERIOD</v>
      </c>
      <c r="AH506" s="479"/>
      <c r="AI506" s="479"/>
      <c r="AJ506" s="479"/>
      <c r="AK506" s="479"/>
      <c r="AL506" s="479"/>
      <c r="AM506" s="479"/>
      <c r="AN506" s="484" t="s">
        <v>1689</v>
      </c>
      <c r="AO506" s="479"/>
      <c r="AP506" s="479"/>
      <c r="AQ506" s="479"/>
      <c r="AR506" s="479"/>
      <c r="AS506" s="479"/>
      <c r="AT506" s="479"/>
      <c r="AU506" s="479"/>
    </row>
    <row r="507" spans="1:47">
      <c r="AG507" s="483" t="str">
        <f>Type</f>
        <v xml:space="preserve">TYPE OF FILING:  "X" ORIGINAL   UPDATED    REVISED  </v>
      </c>
      <c r="AH507" s="479"/>
      <c r="AI507" s="479"/>
      <c r="AJ507" s="479"/>
      <c r="AK507" s="479"/>
      <c r="AL507" s="479"/>
      <c r="AM507" s="479"/>
      <c r="AN507" s="485" t="s">
        <v>3183</v>
      </c>
      <c r="AO507" s="479"/>
      <c r="AP507" s="479"/>
      <c r="AQ507" s="479"/>
      <c r="AR507" s="479"/>
      <c r="AS507" s="479"/>
      <c r="AT507" s="479"/>
      <c r="AU507" s="479"/>
    </row>
    <row r="508" spans="1:47">
      <c r="AG508" s="485" t="s">
        <v>621</v>
      </c>
      <c r="AH508" s="479"/>
      <c r="AI508" s="479"/>
      <c r="AJ508" s="479"/>
      <c r="AK508" s="479"/>
      <c r="AL508" s="479"/>
      <c r="AM508" s="479"/>
      <c r="AN508" s="484" t="s">
        <v>622</v>
      </c>
      <c r="AO508" s="479"/>
      <c r="AP508" s="479"/>
      <c r="AQ508" s="479"/>
      <c r="AR508" s="479"/>
      <c r="AS508" s="479"/>
      <c r="AT508" s="479"/>
      <c r="AU508" s="479"/>
    </row>
    <row r="509" spans="1:47">
      <c r="AG509" s="479"/>
      <c r="AH509" s="479"/>
      <c r="AI509" s="479"/>
      <c r="AJ509" s="479"/>
      <c r="AK509" s="479"/>
      <c r="AL509" s="479"/>
      <c r="AM509" s="479"/>
      <c r="AN509" s="485" t="str">
        <f>_WIT1</f>
        <v>S. E. LAWLER</v>
      </c>
      <c r="AO509" s="479"/>
      <c r="AP509" s="479"/>
      <c r="AQ509" s="479"/>
      <c r="AR509" s="479"/>
      <c r="AS509" s="479"/>
      <c r="AT509" s="479"/>
      <c r="AU509" s="479"/>
    </row>
    <row r="510" spans="1:47">
      <c r="AG510" s="486"/>
      <c r="AH510" s="486"/>
      <c r="AI510" s="486"/>
      <c r="AJ510" s="486"/>
      <c r="AK510" s="489"/>
      <c r="AL510" s="489"/>
      <c r="AM510" s="489"/>
      <c r="AN510" s="486"/>
      <c r="AO510" s="486"/>
      <c r="AP510" s="479"/>
      <c r="AQ510" s="479"/>
      <c r="AR510" s="479"/>
      <c r="AS510" s="479"/>
      <c r="AT510" s="479"/>
      <c r="AU510" s="479"/>
    </row>
    <row r="511" spans="1:47">
      <c r="AG511" s="479"/>
      <c r="AH511" s="479"/>
      <c r="AI511" s="479"/>
      <c r="AJ511" s="479"/>
      <c r="AK511" s="479"/>
      <c r="AL511" s="479"/>
      <c r="AM511" s="479"/>
      <c r="AN511" s="1320"/>
      <c r="AO511" s="1320" t="str">
        <f>U199</f>
        <v>TOTAL</v>
      </c>
      <c r="AP511" s="479"/>
      <c r="AQ511" s="479"/>
      <c r="AR511" s="479"/>
      <c r="AS511" s="479"/>
      <c r="AT511" s="479"/>
      <c r="AU511" s="479"/>
    </row>
    <row r="512" spans="1:47">
      <c r="AG512" s="479"/>
      <c r="AH512" s="479"/>
      <c r="AI512" s="479"/>
      <c r="AJ512" s="479"/>
      <c r="AK512" s="1320" t="s">
        <v>1035</v>
      </c>
      <c r="AL512" s="1320"/>
      <c r="AM512" s="1320" t="str">
        <f>E13</f>
        <v>TOTAL</v>
      </c>
      <c r="AN512" s="511"/>
      <c r="AO512" s="511" t="str">
        <f>U200</f>
        <v>PRO FORMA</v>
      </c>
      <c r="AP512" s="479"/>
      <c r="AQ512" s="479"/>
      <c r="AR512" s="479"/>
      <c r="AS512" s="479"/>
      <c r="AT512" s="479"/>
      <c r="AU512" s="479"/>
    </row>
    <row r="513" spans="33:47">
      <c r="AG513" s="1320" t="s">
        <v>1961</v>
      </c>
      <c r="AH513" s="479"/>
      <c r="AI513" s="479"/>
      <c r="AJ513" s="479"/>
      <c r="AK513" s="511" t="s">
        <v>563</v>
      </c>
      <c r="AL513" s="511"/>
      <c r="AM513" s="511" t="str">
        <f>E14</f>
        <v>ADJ. TO</v>
      </c>
      <c r="AN513" s="511"/>
      <c r="AO513" s="511" t="s">
        <v>584</v>
      </c>
      <c r="AP513" s="479"/>
      <c r="AQ513" s="479"/>
      <c r="AR513" s="479"/>
      <c r="AS513" s="479"/>
      <c r="AT513" s="479"/>
      <c r="AU513" s="479"/>
    </row>
    <row r="514" spans="33:47">
      <c r="AG514" s="489" t="s">
        <v>90</v>
      </c>
      <c r="AH514" s="490"/>
      <c r="AI514" s="489" t="s">
        <v>26</v>
      </c>
      <c r="AJ514" s="490"/>
      <c r="AK514" s="489" t="s">
        <v>27</v>
      </c>
      <c r="AL514" s="489"/>
      <c r="AM514" s="489" t="str">
        <f>E15</f>
        <v>BASE PERIOD</v>
      </c>
      <c r="AN514" s="489"/>
      <c r="AO514" s="489" t="s">
        <v>624</v>
      </c>
      <c r="AP514" s="479"/>
      <c r="AQ514" s="479"/>
      <c r="AR514" s="479"/>
      <c r="AS514" s="479"/>
      <c r="AT514" s="479"/>
      <c r="AU514" s="479"/>
    </row>
    <row r="515" spans="33:47">
      <c r="AG515" s="490"/>
      <c r="AH515" s="490"/>
      <c r="AI515" s="493" t="s">
        <v>957</v>
      </c>
      <c r="AJ515" s="490"/>
      <c r="AK515" s="489"/>
      <c r="AL515" s="514"/>
      <c r="AM515" s="489" t="s">
        <v>44</v>
      </c>
      <c r="AN515" s="489"/>
      <c r="AO515" s="489" t="s">
        <v>45</v>
      </c>
      <c r="AP515" s="479"/>
      <c r="AQ515" s="479"/>
      <c r="AR515" s="479"/>
      <c r="AS515" s="479"/>
      <c r="AT515" s="479"/>
      <c r="AU515" s="479"/>
    </row>
    <row r="516" spans="33:47">
      <c r="AG516" s="1320">
        <v>1</v>
      </c>
      <c r="AH516" s="507" t="s">
        <v>1199</v>
      </c>
      <c r="AI516" s="479"/>
      <c r="AJ516" s="479"/>
      <c r="AK516" s="479"/>
      <c r="AL516" s="500"/>
      <c r="AM516" s="479"/>
      <c r="AN516" s="479"/>
      <c r="AO516" s="479"/>
      <c r="AP516" s="479"/>
      <c r="AQ516" s="479"/>
      <c r="AR516" s="479"/>
      <c r="AS516" s="479"/>
      <c r="AT516" s="479"/>
      <c r="AU516" s="479"/>
    </row>
    <row r="517" spans="33:47">
      <c r="AG517" s="1320">
        <v>2</v>
      </c>
      <c r="AH517" s="479"/>
      <c r="AI517" s="485" t="s">
        <v>1200</v>
      </c>
      <c r="AJ517" s="479"/>
      <c r="AK517" s="496">
        <f ca="1">AM517+AO517</f>
        <v>-4990850</v>
      </c>
      <c r="AL517" s="520"/>
      <c r="AM517" s="496">
        <f ca="1">E18</f>
        <v>-1552053</v>
      </c>
      <c r="AN517" s="496"/>
      <c r="AO517" s="496">
        <f>U204</f>
        <v>-3438797</v>
      </c>
      <c r="AP517" s="479"/>
      <c r="AQ517" s="479"/>
      <c r="AR517" s="479"/>
      <c r="AS517" s="479"/>
      <c r="AT517" s="479"/>
      <c r="AU517" s="479"/>
    </row>
    <row r="518" spans="33:47">
      <c r="AG518" s="1320">
        <v>3</v>
      </c>
      <c r="AH518" s="479"/>
      <c r="AI518" s="485" t="s">
        <v>1823</v>
      </c>
      <c r="AJ518" s="479"/>
      <c r="AK518" s="496">
        <f>AM518+AO518</f>
        <v>7434317</v>
      </c>
      <c r="AL518" s="520"/>
      <c r="AM518" s="496">
        <f>E19</f>
        <v>2798704</v>
      </c>
      <c r="AN518" s="496"/>
      <c r="AO518" s="496">
        <f>U205</f>
        <v>4635613</v>
      </c>
      <c r="AP518" s="479"/>
      <c r="AQ518" s="479"/>
      <c r="AR518" s="479"/>
      <c r="AS518" s="479"/>
      <c r="AT518" s="479"/>
      <c r="AU518" s="479"/>
    </row>
    <row r="519" spans="33:47">
      <c r="AG519" s="1320">
        <v>4</v>
      </c>
      <c r="AH519" s="479"/>
      <c r="AI519" s="485" t="s">
        <v>1201</v>
      </c>
      <c r="AJ519" s="479"/>
      <c r="AK519" s="496">
        <f ca="1">AM519+AO519</f>
        <v>-20037859</v>
      </c>
      <c r="AL519" s="520"/>
      <c r="AM519" s="496">
        <f ca="1">E20</f>
        <v>-6380035</v>
      </c>
      <c r="AN519" s="496"/>
      <c r="AO519" s="496">
        <f>U206</f>
        <v>-13657824</v>
      </c>
      <c r="AP519" s="479"/>
      <c r="AQ519" s="479"/>
      <c r="AR519" s="479"/>
      <c r="AS519" s="479"/>
      <c r="AT519" s="479"/>
      <c r="AU519" s="479"/>
    </row>
    <row r="520" spans="33:47">
      <c r="AG520" s="1320">
        <v>5</v>
      </c>
      <c r="AH520" s="479"/>
      <c r="AI520" s="485" t="s">
        <v>256</v>
      </c>
      <c r="AJ520" s="479"/>
      <c r="AK520" s="497">
        <f ca="1">SUM(AK517:AK519)</f>
        <v>-17594392</v>
      </c>
      <c r="AL520" s="501"/>
      <c r="AM520" s="497">
        <f ca="1">SUM(AM517:AM519)</f>
        <v>-5133384</v>
      </c>
      <c r="AN520" s="496"/>
      <c r="AO520" s="497">
        <f>SUM(AO517:AO519)</f>
        <v>-12461008</v>
      </c>
      <c r="AP520" s="479"/>
      <c r="AQ520" s="479"/>
      <c r="AR520" s="479"/>
      <c r="AS520" s="479"/>
      <c r="AT520" s="479"/>
      <c r="AU520" s="479"/>
    </row>
    <row r="521" spans="33:47">
      <c r="AG521" s="1320">
        <v>6</v>
      </c>
      <c r="AH521" s="479"/>
      <c r="AI521" s="479"/>
      <c r="AJ521" s="479"/>
      <c r="AK521" s="498"/>
      <c r="AL521" s="500"/>
      <c r="AM521" s="498"/>
      <c r="AN521" s="498"/>
      <c r="AO521" s="498"/>
      <c r="AP521" s="479"/>
      <c r="AQ521" s="479"/>
      <c r="AR521" s="479"/>
      <c r="AS521" s="479"/>
      <c r="AT521" s="479"/>
      <c r="AU521" s="479"/>
    </row>
    <row r="522" spans="33:47">
      <c r="AG522" s="1320">
        <v>7</v>
      </c>
      <c r="AH522" s="507" t="s">
        <v>1152</v>
      </c>
      <c r="AI522" s="479"/>
      <c r="AJ522" s="479"/>
      <c r="AK522" s="479"/>
      <c r="AL522" s="500"/>
      <c r="AM522" s="479"/>
      <c r="AN522" s="479"/>
      <c r="AO522" s="479"/>
      <c r="AP522" s="479"/>
      <c r="AQ522" s="479"/>
      <c r="AR522" s="479"/>
      <c r="AS522" s="479"/>
      <c r="AT522" s="479"/>
      <c r="AU522" s="479"/>
    </row>
    <row r="523" spans="33:47">
      <c r="AG523" s="1320">
        <v>8</v>
      </c>
      <c r="AH523" s="479"/>
      <c r="AI523" s="485" t="s">
        <v>1203</v>
      </c>
      <c r="AJ523" s="479"/>
      <c r="AK523" s="479"/>
      <c r="AL523" s="500"/>
      <c r="AM523" s="479"/>
      <c r="AN523" s="479"/>
      <c r="AO523" s="479"/>
      <c r="AP523" s="479"/>
      <c r="AQ523" s="479"/>
      <c r="AR523" s="479"/>
      <c r="AS523" s="479"/>
      <c r="AT523" s="479"/>
      <c r="AU523" s="479"/>
    </row>
    <row r="524" spans="33:47">
      <c r="AG524" s="1320">
        <v>9</v>
      </c>
      <c r="AH524" s="479"/>
      <c r="AI524" s="485" t="s">
        <v>257</v>
      </c>
      <c r="AJ524" s="479"/>
      <c r="AK524" s="496"/>
      <c r="AL524" s="500"/>
      <c r="AM524" s="496"/>
      <c r="AN524" s="479"/>
      <c r="AO524" s="496"/>
      <c r="AP524" s="479"/>
      <c r="AQ524" s="479"/>
      <c r="AR524" s="479"/>
      <c r="AS524" s="479"/>
      <c r="AT524" s="479"/>
      <c r="AU524" s="479"/>
    </row>
    <row r="525" spans="33:47">
      <c r="AG525" s="1320">
        <v>10</v>
      </c>
      <c r="AH525" s="479"/>
      <c r="AI525" s="358" t="s">
        <v>348</v>
      </c>
      <c r="AJ525" s="479"/>
      <c r="AK525" s="496">
        <f ca="1">AM525+AO525</f>
        <v>-9062978.5999999996</v>
      </c>
      <c r="AL525" s="520"/>
      <c r="AM525" s="496">
        <f ca="1">E26</f>
        <v>-1284619</v>
      </c>
      <c r="AN525" s="496"/>
      <c r="AO525" s="496">
        <f>U212</f>
        <v>-7778359.5999999996</v>
      </c>
      <c r="AP525" s="479"/>
      <c r="AQ525" s="479"/>
      <c r="AR525" s="479"/>
      <c r="AS525" s="479"/>
      <c r="AT525" s="479"/>
      <c r="AU525" s="479"/>
    </row>
    <row r="526" spans="33:47">
      <c r="AG526" s="1320">
        <v>11</v>
      </c>
      <c r="AH526" s="479"/>
      <c r="AI526" s="485" t="s">
        <v>425</v>
      </c>
      <c r="AJ526" s="479"/>
      <c r="AK526" s="496">
        <f ca="1">AM526+AO526</f>
        <v>-2801113.3999999985</v>
      </c>
      <c r="AL526" s="520"/>
      <c r="AM526" s="496">
        <f ca="1">E27</f>
        <v>12650083</v>
      </c>
      <c r="AN526" s="496"/>
      <c r="AO526" s="496">
        <f>U213</f>
        <v>-15451196.399999999</v>
      </c>
      <c r="AP526" s="479"/>
      <c r="AQ526" s="479"/>
      <c r="AR526" s="479"/>
      <c r="AS526" s="479"/>
      <c r="AT526" s="479"/>
      <c r="AU526" s="479"/>
    </row>
    <row r="527" spans="33:47">
      <c r="AG527" s="1320">
        <v>12</v>
      </c>
      <c r="AH527" s="479"/>
      <c r="AI527" s="485" t="s">
        <v>1204</v>
      </c>
      <c r="AJ527" s="479"/>
      <c r="AK527" s="499">
        <f ca="1">SUM(AK525:AK526)</f>
        <v>-11864091.999999998</v>
      </c>
      <c r="AL527" s="501"/>
      <c r="AM527" s="499">
        <f ca="1">SUM(AM525:AM526)</f>
        <v>11365464</v>
      </c>
      <c r="AN527" s="501"/>
      <c r="AO527" s="499">
        <f>SUM(AO525:AO526)</f>
        <v>-23229556</v>
      </c>
      <c r="AP527" s="479"/>
      <c r="AQ527" s="479"/>
      <c r="AR527" s="479"/>
      <c r="AS527" s="479"/>
      <c r="AT527" s="479"/>
      <c r="AU527" s="479"/>
    </row>
    <row r="528" spans="33:47">
      <c r="AG528" s="1320">
        <v>13</v>
      </c>
      <c r="AH528" s="479"/>
      <c r="AI528" s="479"/>
      <c r="AJ528" s="479"/>
      <c r="AK528" s="498"/>
      <c r="AL528" s="500"/>
      <c r="AM528" s="498"/>
      <c r="AN528" s="498"/>
      <c r="AO528" s="498"/>
      <c r="AP528" s="479"/>
      <c r="AQ528" s="479"/>
      <c r="AR528" s="479"/>
      <c r="AS528" s="479"/>
      <c r="AT528" s="479"/>
      <c r="AU528" s="479"/>
    </row>
    <row r="529" spans="33:47">
      <c r="AG529" s="1320">
        <v>14</v>
      </c>
      <c r="AH529" s="479"/>
      <c r="AI529" s="485" t="s">
        <v>198</v>
      </c>
      <c r="AJ529" s="479"/>
      <c r="AK529" s="498">
        <f t="shared" ref="AK529:AK536" ca="1" si="2">AM529+AO529</f>
        <v>1837580</v>
      </c>
      <c r="AL529" s="520"/>
      <c r="AM529" s="498">
        <f t="shared" ref="AM529:AM536" ca="1" si="3">E30</f>
        <v>919747</v>
      </c>
      <c r="AN529" s="498"/>
      <c r="AO529" s="498">
        <f t="shared" ref="AO529:AO536" si="4">U216</f>
        <v>917833</v>
      </c>
      <c r="AP529" s="479"/>
      <c r="AQ529" s="479"/>
      <c r="AR529" s="479"/>
      <c r="AS529" s="479"/>
      <c r="AT529" s="479"/>
      <c r="AU529" s="479"/>
    </row>
    <row r="530" spans="33:47">
      <c r="AG530" s="1320">
        <v>15</v>
      </c>
      <c r="AH530" s="479"/>
      <c r="AI530" s="485" t="s">
        <v>2253</v>
      </c>
      <c r="AJ530" s="479"/>
      <c r="AK530" s="498">
        <f t="shared" ca="1" si="2"/>
        <v>79447</v>
      </c>
      <c r="AL530" s="520"/>
      <c r="AM530" s="498">
        <f t="shared" ca="1" si="3"/>
        <v>79447</v>
      </c>
      <c r="AN530" s="498"/>
      <c r="AO530" s="498">
        <f t="shared" si="4"/>
        <v>0</v>
      </c>
      <c r="AP530" s="479"/>
      <c r="AQ530" s="479"/>
      <c r="AR530" s="479"/>
      <c r="AS530" s="479"/>
      <c r="AT530" s="479"/>
      <c r="AU530" s="479"/>
    </row>
    <row r="531" spans="33:47">
      <c r="AG531" s="1320">
        <v>16</v>
      </c>
      <c r="AH531" s="479"/>
      <c r="AI531" s="485" t="s">
        <v>258</v>
      </c>
      <c r="AJ531" s="479"/>
      <c r="AK531" s="496">
        <f t="shared" ca="1" si="2"/>
        <v>-43555</v>
      </c>
      <c r="AL531" s="520"/>
      <c r="AM531" s="496">
        <f t="shared" ca="1" si="3"/>
        <v>-43555</v>
      </c>
      <c r="AN531" s="496"/>
      <c r="AO531" s="496">
        <f t="shared" si="4"/>
        <v>0</v>
      </c>
      <c r="AP531" s="479"/>
      <c r="AQ531" s="479"/>
      <c r="AR531" s="479"/>
      <c r="AS531" s="479"/>
      <c r="AT531" s="479"/>
      <c r="AU531" s="479"/>
    </row>
    <row r="532" spans="33:47">
      <c r="AG532" s="1320">
        <v>17</v>
      </c>
      <c r="AH532" s="479"/>
      <c r="AI532" s="485" t="s">
        <v>259</v>
      </c>
      <c r="AJ532" s="479"/>
      <c r="AK532" s="496">
        <f t="shared" ca="1" si="2"/>
        <v>-3090003</v>
      </c>
      <c r="AL532" s="520"/>
      <c r="AM532" s="496">
        <f t="shared" ca="1" si="3"/>
        <v>671968</v>
      </c>
      <c r="AN532" s="496"/>
      <c r="AO532" s="496">
        <f t="shared" ca="1" si="4"/>
        <v>-3761971</v>
      </c>
      <c r="AP532" s="479"/>
      <c r="AQ532" s="479"/>
      <c r="AR532" s="479"/>
      <c r="AS532" s="479"/>
      <c r="AT532" s="479"/>
      <c r="AU532" s="479"/>
    </row>
    <row r="533" spans="33:47">
      <c r="AG533" s="1320">
        <v>18</v>
      </c>
      <c r="AH533" s="479"/>
      <c r="AI533" s="485" t="s">
        <v>260</v>
      </c>
      <c r="AJ533" s="479"/>
      <c r="AK533" s="496">
        <f t="shared" ca="1" si="2"/>
        <v>183121</v>
      </c>
      <c r="AL533" s="520"/>
      <c r="AM533" s="496">
        <f t="shared" ca="1" si="3"/>
        <v>183121</v>
      </c>
      <c r="AN533" s="496"/>
      <c r="AO533" s="496">
        <f t="shared" si="4"/>
        <v>0</v>
      </c>
      <c r="AP533" s="479"/>
      <c r="AQ533" s="479"/>
      <c r="AR533" s="479"/>
      <c r="AS533" s="479"/>
      <c r="AT533" s="479"/>
      <c r="AU533" s="479"/>
    </row>
    <row r="534" spans="33:47">
      <c r="AG534" s="1320">
        <v>19</v>
      </c>
      <c r="AH534" s="479"/>
      <c r="AI534" s="485" t="s">
        <v>261</v>
      </c>
      <c r="AJ534" s="479"/>
      <c r="AK534" s="496">
        <f t="shared" ca="1" si="2"/>
        <v>-273563</v>
      </c>
      <c r="AL534" s="520"/>
      <c r="AM534" s="496">
        <f t="shared" ca="1" si="3"/>
        <v>-151501</v>
      </c>
      <c r="AN534" s="496"/>
      <c r="AO534" s="496">
        <f t="shared" si="4"/>
        <v>-122062</v>
      </c>
      <c r="AP534" s="479"/>
      <c r="AQ534" s="479"/>
      <c r="AR534" s="479"/>
      <c r="AS534" s="479"/>
      <c r="AT534" s="479"/>
      <c r="AU534" s="479"/>
    </row>
    <row r="535" spans="33:47">
      <c r="AG535" s="1320">
        <v>20</v>
      </c>
      <c r="AH535" s="479"/>
      <c r="AI535" s="485" t="s">
        <v>262</v>
      </c>
      <c r="AJ535" s="479"/>
      <c r="AK535" s="496">
        <f t="shared" ca="1" si="2"/>
        <v>-2222268</v>
      </c>
      <c r="AL535" s="520"/>
      <c r="AM535" s="496">
        <f t="shared" ca="1" si="3"/>
        <v>-1497124</v>
      </c>
      <c r="AN535" s="496"/>
      <c r="AO535" s="496">
        <f t="shared" si="4"/>
        <v>-725144</v>
      </c>
      <c r="AP535" s="479"/>
      <c r="AQ535" s="479"/>
      <c r="AR535" s="479"/>
      <c r="AS535" s="479"/>
      <c r="AT535" s="479"/>
      <c r="AU535" s="479"/>
    </row>
    <row r="536" spans="33:47">
      <c r="AG536" s="1320">
        <v>21</v>
      </c>
      <c r="AH536" s="479"/>
      <c r="AI536" s="485" t="s">
        <v>1509</v>
      </c>
      <c r="AJ536" s="479"/>
      <c r="AK536" s="496">
        <f t="shared" si="2"/>
        <v>9512697</v>
      </c>
      <c r="AL536" s="520"/>
      <c r="AM536" s="496">
        <f t="shared" si="3"/>
        <v>2680605</v>
      </c>
      <c r="AN536" s="496"/>
      <c r="AO536" s="496">
        <f t="shared" si="4"/>
        <v>6832092</v>
      </c>
      <c r="AP536" s="479"/>
      <c r="AQ536" s="479"/>
      <c r="AR536" s="479"/>
      <c r="AS536" s="479"/>
      <c r="AT536" s="479"/>
      <c r="AU536" s="479"/>
    </row>
    <row r="537" spans="33:47">
      <c r="AG537" s="1320">
        <v>22</v>
      </c>
      <c r="AH537" s="479"/>
      <c r="AI537" s="485" t="s">
        <v>1838</v>
      </c>
      <c r="AJ537" s="479"/>
      <c r="AK537" s="497">
        <f ca="1">AK527+SUM(AK529:AK536)</f>
        <v>-5880635.9999999981</v>
      </c>
      <c r="AL537" s="501"/>
      <c r="AM537" s="497">
        <f ca="1">AM527+SUM(AM529:AM536)</f>
        <v>14208172</v>
      </c>
      <c r="AN537" s="496"/>
      <c r="AO537" s="497">
        <f ca="1">AO527+SUM(AO529:AO536)</f>
        <v>-20088808</v>
      </c>
      <c r="AP537" s="479"/>
      <c r="AQ537" s="479"/>
      <c r="AR537" s="479"/>
      <c r="AS537" s="479"/>
      <c r="AT537" s="479"/>
      <c r="AU537" s="479"/>
    </row>
    <row r="538" spans="33:47">
      <c r="AG538" s="1320">
        <v>23</v>
      </c>
      <c r="AH538" s="479"/>
      <c r="AI538" s="479"/>
      <c r="AJ538" s="479"/>
      <c r="AK538" s="498"/>
      <c r="AL538" s="500"/>
      <c r="AM538" s="498"/>
      <c r="AN538" s="498"/>
      <c r="AO538" s="498"/>
      <c r="AP538" s="479"/>
      <c r="AQ538" s="479"/>
      <c r="AR538" s="479"/>
      <c r="AS538" s="479"/>
      <c r="AT538" s="479"/>
      <c r="AU538" s="479"/>
    </row>
    <row r="539" spans="33:47">
      <c r="AG539" s="1320">
        <v>24</v>
      </c>
      <c r="AH539" s="479"/>
      <c r="AI539" s="485" t="s">
        <v>805</v>
      </c>
      <c r="AJ539" s="479"/>
      <c r="AK539" s="502">
        <f ca="1">AM539+AO539</f>
        <v>15593384</v>
      </c>
      <c r="AL539" s="520"/>
      <c r="AM539" s="502">
        <f ca="1">E40</f>
        <v>9166332</v>
      </c>
      <c r="AN539" s="496"/>
      <c r="AO539" s="502">
        <f ca="1">U226</f>
        <v>6427052</v>
      </c>
      <c r="AP539" s="479"/>
      <c r="AQ539" s="479"/>
      <c r="AR539" s="479"/>
      <c r="AS539" s="479"/>
      <c r="AT539" s="479"/>
      <c r="AU539" s="479"/>
    </row>
    <row r="540" spans="33:47">
      <c r="AG540" s="1320">
        <v>25</v>
      </c>
      <c r="AH540" s="479"/>
      <c r="AI540" s="479"/>
      <c r="AJ540" s="479"/>
      <c r="AK540" s="498"/>
      <c r="AL540" s="500"/>
      <c r="AM540" s="498"/>
      <c r="AN540" s="498"/>
      <c r="AO540" s="498"/>
      <c r="AP540" s="479"/>
      <c r="AQ540" s="479"/>
      <c r="AR540" s="479"/>
      <c r="AS540" s="479"/>
      <c r="AT540" s="479"/>
      <c r="AU540" s="479"/>
    </row>
    <row r="541" spans="33:47">
      <c r="AG541" s="1320">
        <v>26</v>
      </c>
      <c r="AH541" s="479"/>
      <c r="AI541" s="485" t="s">
        <v>1932</v>
      </c>
      <c r="AJ541" s="479"/>
      <c r="AK541" s="479"/>
      <c r="AL541" s="500"/>
      <c r="AM541" s="479"/>
      <c r="AN541" s="479"/>
      <c r="AO541" s="479"/>
      <c r="AP541" s="479"/>
      <c r="AQ541" s="479"/>
      <c r="AR541" s="479"/>
      <c r="AS541" s="479"/>
      <c r="AT541" s="479"/>
      <c r="AU541" s="479"/>
    </row>
    <row r="542" spans="33:47">
      <c r="AG542" s="1320">
        <v>27</v>
      </c>
      <c r="AH542" s="479"/>
      <c r="AI542" s="485" t="s">
        <v>1210</v>
      </c>
      <c r="AJ542" s="479"/>
      <c r="AK542" s="496">
        <f>AM542+AO542</f>
        <v>5147</v>
      </c>
      <c r="AL542" s="520"/>
      <c r="AM542" s="496">
        <f>E43</f>
        <v>5147</v>
      </c>
      <c r="AN542" s="496"/>
      <c r="AO542" s="496">
        <f>U229</f>
        <v>0</v>
      </c>
      <c r="AP542" s="479"/>
      <c r="AQ542" s="479"/>
      <c r="AR542" s="479"/>
      <c r="AS542" s="479"/>
      <c r="AT542" s="479"/>
      <c r="AU542" s="479"/>
    </row>
    <row r="543" spans="33:47">
      <c r="AG543" s="1320">
        <v>28</v>
      </c>
      <c r="AH543" s="479"/>
      <c r="AI543" s="485" t="s">
        <v>1212</v>
      </c>
      <c r="AJ543" s="479"/>
      <c r="AK543" s="496">
        <f>AM543+AO543</f>
        <v>2048903</v>
      </c>
      <c r="AL543" s="520"/>
      <c r="AM543" s="496">
        <f>E44</f>
        <v>2100462</v>
      </c>
      <c r="AN543" s="496"/>
      <c r="AO543" s="496">
        <f>U230</f>
        <v>-51559</v>
      </c>
      <c r="AP543" s="479"/>
      <c r="AQ543" s="479"/>
      <c r="AR543" s="479"/>
      <c r="AS543" s="479"/>
      <c r="AT543" s="479"/>
      <c r="AU543" s="479"/>
    </row>
    <row r="544" spans="33:47">
      <c r="AG544" s="1320">
        <v>29</v>
      </c>
      <c r="AH544" s="479"/>
      <c r="AI544" s="485" t="s">
        <v>1842</v>
      </c>
      <c r="AJ544" s="479"/>
      <c r="AK544" s="497">
        <f>SUM(AK542:AK543)</f>
        <v>2054050</v>
      </c>
      <c r="AL544" s="501"/>
      <c r="AM544" s="497">
        <f>SUM(AM542:AM543)</f>
        <v>2105609</v>
      </c>
      <c r="AN544" s="496"/>
      <c r="AO544" s="497">
        <f>SUM(AO542:AO543)</f>
        <v>-51559</v>
      </c>
      <c r="AP544" s="479"/>
      <c r="AQ544" s="522" t="s">
        <v>1844</v>
      </c>
      <c r="AR544" s="479"/>
      <c r="AS544" s="479"/>
      <c r="AT544" s="479"/>
      <c r="AU544" s="479"/>
    </row>
    <row r="545" spans="33:47" ht="13.5" thickBot="1">
      <c r="AG545" s="1320">
        <v>30</v>
      </c>
      <c r="AH545" s="479"/>
      <c r="AI545" s="485"/>
      <c r="AJ545" s="479"/>
      <c r="AK545" s="501"/>
      <c r="AL545" s="500"/>
      <c r="AM545" s="501"/>
      <c r="AN545" s="496"/>
      <c r="AO545" s="501"/>
      <c r="AP545" s="479"/>
      <c r="AQ545" s="503" t="s">
        <v>1929</v>
      </c>
      <c r="AR545" s="523" t="s">
        <v>509</v>
      </c>
      <c r="AS545" s="523" t="s">
        <v>508</v>
      </c>
      <c r="AT545" s="479"/>
      <c r="AU545" s="479"/>
    </row>
    <row r="546" spans="33:47" ht="13.5" thickTop="1">
      <c r="AG546" s="1320">
        <v>31</v>
      </c>
      <c r="AH546" s="479"/>
      <c r="AI546" s="485" t="s">
        <v>1843</v>
      </c>
      <c r="AJ546" s="479"/>
      <c r="AK546" s="479"/>
      <c r="AL546" s="500"/>
      <c r="AM546" s="479"/>
      <c r="AN546" s="479"/>
      <c r="AO546" s="479"/>
      <c r="AP546" s="479"/>
      <c r="AQ546" s="2372">
        <f ca="1">AK549</f>
        <v>-1878866.154492442</v>
      </c>
      <c r="AR546" s="2373">
        <f ca="1">AM549</f>
        <v>-1930812.154492442</v>
      </c>
      <c r="AS546" s="2373">
        <f ca="1">AO549</f>
        <v>51946</v>
      </c>
      <c r="AT546" s="2374" t="s">
        <v>1845</v>
      </c>
      <c r="AU546" s="479"/>
    </row>
    <row r="547" spans="33:47">
      <c r="AG547" s="1320">
        <v>32</v>
      </c>
      <c r="AH547" s="479"/>
      <c r="AI547" s="485" t="s">
        <v>910</v>
      </c>
      <c r="AJ547" s="479"/>
      <c r="AK547" s="496">
        <f ca="1">AM547+AO547</f>
        <v>733985</v>
      </c>
      <c r="AL547" s="520"/>
      <c r="AM547" s="496">
        <f ca="1">E48</f>
        <v>338500</v>
      </c>
      <c r="AN547" s="496"/>
      <c r="AO547" s="496">
        <f ca="1">U234</f>
        <v>395485</v>
      </c>
      <c r="AP547" s="479"/>
      <c r="AQ547" s="2375">
        <f ca="1">SCH_E1!$I$109+SCH_E1!L109</f>
        <v>-1878866.154492442</v>
      </c>
      <c r="AR547" s="2376">
        <f ca="1">SCH_E1!$I$109</f>
        <v>-1930812.154492442</v>
      </c>
      <c r="AS547" s="520">
        <f ca="1">SCH_E1!L109</f>
        <v>51946</v>
      </c>
      <c r="AT547" s="2377" t="s">
        <v>1846</v>
      </c>
      <c r="AU547" s="479"/>
    </row>
    <row r="548" spans="33:47" ht="13.5" thickBot="1">
      <c r="AG548" s="1320">
        <v>33</v>
      </c>
      <c r="AH548" s="479"/>
      <c r="AI548" s="485" t="s">
        <v>1800</v>
      </c>
      <c r="AJ548" s="479"/>
      <c r="AK548" s="496">
        <f ca="1">AM548+AO548</f>
        <v>-2612851.154492442</v>
      </c>
      <c r="AL548" s="520"/>
      <c r="AM548" s="496">
        <f ca="1">E49</f>
        <v>-2269312.154492442</v>
      </c>
      <c r="AN548" s="496"/>
      <c r="AO548" s="496">
        <f ca="1">U235</f>
        <v>-343539</v>
      </c>
      <c r="AP548" s="479"/>
      <c r="AQ548" s="2378">
        <f ca="1">AQ546-AQ547</f>
        <v>0</v>
      </c>
      <c r="AR548" s="2379">
        <f ca="1">AR546-AR547</f>
        <v>0</v>
      </c>
      <c r="AS548" s="2379">
        <f ca="1">AS546-AS547</f>
        <v>0</v>
      </c>
      <c r="AT548" s="2380" t="s">
        <v>1847</v>
      </c>
      <c r="AU548" s="479"/>
    </row>
    <row r="549" spans="33:47" ht="13.5" thickTop="1">
      <c r="AG549" s="1320">
        <v>34</v>
      </c>
      <c r="AH549" s="479"/>
      <c r="AI549" s="485" t="s">
        <v>1848</v>
      </c>
      <c r="AJ549" s="479"/>
      <c r="AK549" s="497">
        <f ca="1">SUM(AK547:AK548)</f>
        <v>-1878866.154492442</v>
      </c>
      <c r="AL549" s="501"/>
      <c r="AM549" s="497">
        <f ca="1">SUM(AM547:AM548)</f>
        <v>-1930812.154492442</v>
      </c>
      <c r="AN549" s="496"/>
      <c r="AO549" s="497">
        <f ca="1">SUM(AO547:AO548)</f>
        <v>51946</v>
      </c>
      <c r="AP549" s="479"/>
      <c r="AQ549" s="479"/>
      <c r="AR549" s="479"/>
      <c r="AS549" s="479"/>
      <c r="AT549" s="392"/>
      <c r="AU549" s="479"/>
    </row>
    <row r="550" spans="33:47">
      <c r="AG550" s="1320">
        <v>35</v>
      </c>
      <c r="AH550" s="479"/>
      <c r="AI550" s="479"/>
      <c r="AJ550" s="479"/>
      <c r="AK550" s="498"/>
      <c r="AL550" s="500"/>
      <c r="AM550" s="498"/>
      <c r="AN550" s="498"/>
      <c r="AO550" s="498"/>
      <c r="AP550" s="479"/>
      <c r="AQ550" s="522" t="s">
        <v>1849</v>
      </c>
      <c r="AR550" s="479"/>
      <c r="AS550" s="479"/>
      <c r="AT550" s="1571"/>
      <c r="AU550" s="479"/>
    </row>
    <row r="551" spans="33:47" ht="13.5" thickBot="1">
      <c r="AG551" s="1320">
        <v>36</v>
      </c>
      <c r="AH551" s="479"/>
      <c r="AI551" s="485" t="s">
        <v>379</v>
      </c>
      <c r="AJ551" s="479"/>
      <c r="AK551" s="479"/>
      <c r="AL551" s="500"/>
      <c r="AM551" s="479"/>
      <c r="AN551" s="479"/>
      <c r="AO551" s="479"/>
      <c r="AP551" s="479"/>
      <c r="AQ551" s="503" t="s">
        <v>1929</v>
      </c>
      <c r="AR551" s="523" t="s">
        <v>509</v>
      </c>
      <c r="AS551" s="523" t="s">
        <v>508</v>
      </c>
      <c r="AT551" s="391"/>
      <c r="AU551" s="479"/>
    </row>
    <row r="552" spans="33:47" ht="13.5" thickTop="1">
      <c r="AG552" s="1320">
        <v>37</v>
      </c>
      <c r="AH552" s="479"/>
      <c r="AI552" s="485" t="s">
        <v>910</v>
      </c>
      <c r="AJ552" s="479"/>
      <c r="AK552" s="496">
        <f ca="1">AM552+AO552</f>
        <v>1162078</v>
      </c>
      <c r="AL552" s="520"/>
      <c r="AM552" s="496">
        <f ca="1">E53</f>
        <v>-1289121</v>
      </c>
      <c r="AN552" s="496"/>
      <c r="AO552" s="496">
        <f ca="1">U239</f>
        <v>2451199</v>
      </c>
      <c r="AP552" s="479"/>
      <c r="AQ552" s="2372">
        <f ca="1">AK555</f>
        <v>-11185486.845507558</v>
      </c>
      <c r="AR552" s="2373">
        <f ca="1">AM555</f>
        <v>-11507455.845507558</v>
      </c>
      <c r="AS552" s="2373">
        <f ca="1">AO555</f>
        <v>321969</v>
      </c>
      <c r="AT552" s="2374" t="s">
        <v>1845</v>
      </c>
      <c r="AU552" s="479"/>
    </row>
    <row r="553" spans="33:47">
      <c r="AG553" s="1320">
        <v>38</v>
      </c>
      <c r="AH553" s="479"/>
      <c r="AI553" s="485" t="s">
        <v>1800</v>
      </c>
      <c r="AJ553" s="479"/>
      <c r="AK553" s="496">
        <f ca="1">AM553+AO553</f>
        <v>-12348198.845507558</v>
      </c>
      <c r="AL553" s="520"/>
      <c r="AM553" s="496">
        <f ca="1">E54</f>
        <v>-10218968.845507558</v>
      </c>
      <c r="AN553" s="496"/>
      <c r="AO553" s="496">
        <f ca="1">U240</f>
        <v>-2129230</v>
      </c>
      <c r="AP553" s="479"/>
      <c r="AQ553" s="2381">
        <f ca="1">SCH_E1!$I$130+SCH_E1!$L$130</f>
        <v>-11185486.845507558</v>
      </c>
      <c r="AR553" s="520">
        <f ca="1">SCH_E1!$I$130</f>
        <v>-11507455.845507558</v>
      </c>
      <c r="AS553" s="520">
        <f ca="1">SCH_E1!$L$130</f>
        <v>321969</v>
      </c>
      <c r="AT553" s="2377" t="s">
        <v>1846</v>
      </c>
      <c r="AU553" s="479"/>
    </row>
    <row r="554" spans="33:47" ht="13.5" thickBot="1">
      <c r="AG554" s="1320">
        <v>39</v>
      </c>
      <c r="AH554" s="479"/>
      <c r="AI554" s="485" t="s">
        <v>1021</v>
      </c>
      <c r="AJ554" s="479"/>
      <c r="AK554" s="496">
        <f>AM554+AO554</f>
        <v>634</v>
      </c>
      <c r="AL554" s="520"/>
      <c r="AM554" s="496">
        <f>E55</f>
        <v>634</v>
      </c>
      <c r="AN554" s="496"/>
      <c r="AO554" s="496">
        <f>U241</f>
        <v>0</v>
      </c>
      <c r="AP554" s="479"/>
      <c r="AQ554" s="2378">
        <f ca="1">AQ552-AQ553</f>
        <v>0</v>
      </c>
      <c r="AR554" s="2379">
        <f ca="1">AR552-AR553</f>
        <v>0</v>
      </c>
      <c r="AS554" s="2379">
        <f ca="1">AS552-AS553</f>
        <v>0</v>
      </c>
      <c r="AT554" s="2380" t="s">
        <v>1847</v>
      </c>
      <c r="AU554" s="479"/>
    </row>
    <row r="555" spans="33:47" ht="13.5" thickTop="1">
      <c r="AG555" s="1320">
        <v>40</v>
      </c>
      <c r="AH555" s="479"/>
      <c r="AI555" s="485" t="s">
        <v>1850</v>
      </c>
      <c r="AJ555" s="479"/>
      <c r="AK555" s="497">
        <f ca="1">SUM(AK552:AK554)</f>
        <v>-11185486.845507558</v>
      </c>
      <c r="AL555" s="501"/>
      <c r="AM555" s="497">
        <f ca="1">SUM(AM552:AM554)</f>
        <v>-11507455.845507558</v>
      </c>
      <c r="AN555" s="496"/>
      <c r="AO555" s="497">
        <f ca="1">SUM(AO552:AO554)</f>
        <v>321969</v>
      </c>
      <c r="AP555" s="479"/>
      <c r="AQ555" s="479"/>
      <c r="AR555" s="479"/>
      <c r="AS555" s="479"/>
      <c r="AT555" s="479"/>
      <c r="AU555" s="479"/>
    </row>
    <row r="556" spans="33:47">
      <c r="AG556" s="1320">
        <v>41</v>
      </c>
      <c r="AH556" s="479"/>
      <c r="AI556" s="479"/>
      <c r="AJ556" s="479"/>
      <c r="AK556" s="498"/>
      <c r="AL556" s="500"/>
      <c r="AM556" s="498"/>
      <c r="AN556" s="498"/>
      <c r="AO556" s="498"/>
      <c r="AP556" s="479"/>
      <c r="AQ556" s="479"/>
      <c r="AR556" s="479"/>
      <c r="AS556" s="479"/>
      <c r="AT556" s="479"/>
      <c r="AU556" s="479"/>
    </row>
    <row r="557" spans="33:47" ht="13.5" thickBot="1">
      <c r="AG557" s="1320">
        <v>42</v>
      </c>
      <c r="AH557" s="479"/>
      <c r="AI557" s="485" t="s">
        <v>1851</v>
      </c>
      <c r="AJ557" s="479"/>
      <c r="AK557" s="502">
        <f ca="1">AK537+AK539+AK544+AK549+AK555</f>
        <v>-1297554.9999999981</v>
      </c>
      <c r="AL557" s="501"/>
      <c r="AM557" s="502">
        <f ca="1">AM537+AM539+AM544+AM549+AM555</f>
        <v>12041845</v>
      </c>
      <c r="AN557" s="496"/>
      <c r="AO557" s="502">
        <f ca="1">AO537+AO539+AO544+AO549+AO555</f>
        <v>-13339400</v>
      </c>
      <c r="AP557" s="479"/>
      <c r="AQ557" s="524" t="s">
        <v>1852</v>
      </c>
      <c r="AR557" s="524"/>
      <c r="AS557" s="524"/>
      <c r="AT557" s="391"/>
      <c r="AU557" s="479"/>
    </row>
    <row r="558" spans="33:47" ht="13.5" thickBot="1">
      <c r="AG558" s="1320">
        <v>43</v>
      </c>
      <c r="AH558" s="479"/>
      <c r="AI558" s="479"/>
      <c r="AJ558" s="479"/>
      <c r="AK558" s="498"/>
      <c r="AL558" s="500"/>
      <c r="AM558" s="498"/>
      <c r="AN558" s="498"/>
      <c r="AO558" s="498"/>
      <c r="AP558" s="479"/>
      <c r="AQ558" s="2382">
        <f ca="1">ABS(AQ548)+ABS(AQ554)</f>
        <v>0</v>
      </c>
      <c r="AR558" s="2383"/>
      <c r="AS558" s="2383"/>
      <c r="AT558" s="2384"/>
      <c r="AU558" s="479"/>
    </row>
    <row r="559" spans="33:47" ht="13.5" thickBot="1">
      <c r="AG559" s="1320">
        <v>44</v>
      </c>
      <c r="AH559" s="479"/>
      <c r="AI559" s="485" t="s">
        <v>1492</v>
      </c>
      <c r="AJ559" s="479"/>
      <c r="AK559" s="505">
        <f ca="1">AK520-AK557</f>
        <v>-16296837.000000002</v>
      </c>
      <c r="AL559" s="501"/>
      <c r="AM559" s="505">
        <f ca="1">AM520-AM557</f>
        <v>-17175229</v>
      </c>
      <c r="AN559" s="496"/>
      <c r="AO559" s="505">
        <f ca="1">AO520-AO557</f>
        <v>878392</v>
      </c>
      <c r="AP559" s="479"/>
      <c r="AQ559" s="479"/>
      <c r="AR559" s="479"/>
      <c r="AS559" s="479"/>
      <c r="AT559" s="479"/>
      <c r="AU559" s="479"/>
    </row>
    <row r="560" spans="33:47" ht="13.5" thickTop="1"/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7" tint="-0.249977111117893"/>
  </sheetPr>
  <dimension ref="A1:V69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2" width="16.140625" style="18" customWidth="1"/>
    <col min="3" max="3" width="12.28515625" style="18" customWidth="1"/>
    <col min="4" max="4" width="14.85546875" style="18" customWidth="1"/>
    <col min="5" max="5" width="19.140625" style="18" customWidth="1"/>
    <col min="6" max="6" width="12.28515625" style="18" customWidth="1"/>
    <col min="7" max="7" width="7.140625" style="18" customWidth="1"/>
    <col min="8" max="8" width="8" style="18" customWidth="1"/>
    <col min="9" max="9" width="17.42578125" style="18" customWidth="1"/>
    <col min="10" max="10" width="17.7109375" style="18" customWidth="1"/>
    <col min="11" max="11" width="5.28515625" style="18" customWidth="1"/>
    <col min="12" max="12" width="8" style="18" customWidth="1"/>
    <col min="13" max="13" width="1.5703125" style="18" customWidth="1"/>
    <col min="14" max="14" width="28.28515625" style="18" customWidth="1"/>
    <col min="15" max="15" width="12.85546875" style="18" customWidth="1"/>
    <col min="16" max="16" width="17.7109375" style="18" customWidth="1"/>
    <col min="17" max="17" width="2.7109375" style="18" customWidth="1"/>
    <col min="18" max="18" width="18.28515625" style="18" customWidth="1"/>
    <col min="19" max="19" width="2.85546875" style="18" customWidth="1"/>
    <col min="20" max="20" width="19.85546875" style="18" customWidth="1"/>
    <col min="21" max="16384" width="8" style="18"/>
  </cols>
  <sheetData>
    <row r="1" spans="1:22">
      <c r="A1" s="2166" t="str">
        <f>LOGO!B5</f>
        <v>DUKE ENERGY KENTUCKY, INC.</v>
      </c>
      <c r="B1" s="2167"/>
      <c r="C1" s="2167"/>
      <c r="D1" s="2167"/>
      <c r="E1" s="2167"/>
      <c r="F1" s="2167"/>
      <c r="G1" s="2167"/>
      <c r="H1" s="2167"/>
      <c r="I1" s="2167"/>
      <c r="J1" s="2167"/>
      <c r="K1" s="1178"/>
      <c r="L1" s="1178"/>
      <c r="M1" s="1178"/>
      <c r="N1" s="1178"/>
      <c r="O1" s="1178"/>
      <c r="P1" s="1178"/>
      <c r="Q1" s="1178"/>
      <c r="R1" s="1178"/>
      <c r="S1" s="1178"/>
      <c r="T1" s="1178"/>
      <c r="U1" s="1178"/>
      <c r="V1" s="1178"/>
    </row>
    <row r="2" spans="1:22">
      <c r="A2" s="2166" t="str">
        <f>LOGO!B6</f>
        <v>CASE NO. 2017-00321</v>
      </c>
      <c r="B2" s="2167"/>
      <c r="C2" s="2167"/>
      <c r="D2" s="2167"/>
      <c r="E2" s="2167"/>
      <c r="F2" s="2167"/>
      <c r="G2" s="2167"/>
      <c r="H2" s="2167"/>
      <c r="I2" s="2167"/>
      <c r="J2" s="2167"/>
      <c r="K2" s="1178"/>
      <c r="L2" s="1178"/>
      <c r="M2" s="1178"/>
      <c r="N2" s="1178"/>
      <c r="O2" s="1178"/>
      <c r="P2" s="1178"/>
      <c r="Q2" s="1178"/>
      <c r="R2" s="1178"/>
      <c r="S2" s="1178"/>
      <c r="T2" s="1178"/>
      <c r="U2" s="1178"/>
      <c r="V2" s="1178"/>
    </row>
    <row r="3" spans="1:22">
      <c r="A3" s="2166" t="s">
        <v>1406</v>
      </c>
      <c r="B3" s="2167"/>
      <c r="C3" s="2167"/>
      <c r="D3" s="2167"/>
      <c r="E3" s="2167"/>
      <c r="F3" s="2167"/>
      <c r="G3" s="2167"/>
      <c r="H3" s="2167"/>
      <c r="I3" s="2167"/>
      <c r="J3" s="2167"/>
      <c r="K3" s="1178"/>
      <c r="L3" s="1178"/>
      <c r="M3" s="1178"/>
      <c r="N3" s="1178"/>
      <c r="O3" s="1178"/>
      <c r="P3" s="1178"/>
      <c r="Q3" s="1178"/>
      <c r="R3" s="1178"/>
      <c r="S3" s="1178"/>
      <c r="T3" s="1178"/>
      <c r="U3" s="1178"/>
      <c r="V3" s="1178"/>
    </row>
    <row r="4" spans="1:22">
      <c r="A4" s="2166" t="str">
        <f>LOGO!B8</f>
        <v>FOR THE TWELVE MONTHS ENDED MARCH 31, 2019</v>
      </c>
      <c r="B4" s="2167"/>
      <c r="C4" s="2167"/>
      <c r="D4" s="2167"/>
      <c r="E4" s="2167"/>
      <c r="F4" s="2167"/>
      <c r="G4" s="2167"/>
      <c r="H4" s="2167"/>
      <c r="I4" s="2167"/>
      <c r="J4" s="2167"/>
      <c r="K4" s="1178"/>
      <c r="L4" s="1178"/>
      <c r="M4" s="1178"/>
      <c r="N4" s="1178"/>
      <c r="O4" s="1178"/>
      <c r="P4" s="1178"/>
      <c r="Q4" s="1178"/>
      <c r="R4" s="1178"/>
      <c r="S4" s="1178"/>
      <c r="T4" s="1178"/>
      <c r="U4" s="1178"/>
      <c r="V4" s="1178"/>
    </row>
    <row r="5" spans="1:22">
      <c r="A5" s="1178"/>
      <c r="B5" s="1178"/>
      <c r="C5" s="1178"/>
      <c r="D5" s="1178"/>
      <c r="E5" s="1178"/>
      <c r="F5" s="1178"/>
      <c r="G5" s="1178"/>
      <c r="H5" s="1178"/>
      <c r="I5" s="1178"/>
      <c r="J5" s="1178"/>
      <c r="K5" s="1178"/>
      <c r="L5" s="1178"/>
      <c r="M5" s="1178"/>
      <c r="N5" s="1178"/>
      <c r="O5" s="1178"/>
      <c r="P5" s="1178"/>
      <c r="Q5" s="1178"/>
      <c r="R5" s="1178"/>
      <c r="S5" s="1178"/>
      <c r="T5" s="1178"/>
      <c r="U5" s="1178"/>
      <c r="V5" s="1178"/>
    </row>
    <row r="6" spans="1:22">
      <c r="A6" s="2252" t="str">
        <f>DataB</f>
        <v>DATA: "X" BASE PERIOD  "X" FORECASTED PERIOD</v>
      </c>
      <c r="B6" s="1178"/>
      <c r="C6" s="1178"/>
      <c r="D6" s="1178"/>
      <c r="E6" s="1178"/>
      <c r="F6" s="1178"/>
      <c r="G6" s="1178"/>
      <c r="H6" s="1178"/>
      <c r="I6" s="2253" t="s">
        <v>825</v>
      </c>
      <c r="J6" s="1178"/>
      <c r="K6" s="1178"/>
      <c r="L6" s="1178"/>
      <c r="M6" s="1178"/>
      <c r="N6" s="1178"/>
      <c r="O6" s="1178"/>
      <c r="P6" s="1178"/>
      <c r="Q6" s="1178"/>
      <c r="R6" s="1178"/>
      <c r="S6" s="1178"/>
      <c r="T6" s="1178"/>
      <c r="U6" s="1178"/>
      <c r="V6" s="1178"/>
    </row>
    <row r="7" spans="1:22">
      <c r="A7" s="2252" t="str">
        <f>LOGO!B15</f>
        <v xml:space="preserve">TYPE OF FILING:  "X" ORIGINAL   UPDATED    REVISED  </v>
      </c>
      <c r="B7" s="1178"/>
      <c r="C7" s="1178"/>
      <c r="D7" s="1178"/>
      <c r="E7" s="1178"/>
      <c r="F7" s="1178"/>
      <c r="G7" s="1178"/>
      <c r="H7" s="1178"/>
      <c r="I7" s="2253" t="s">
        <v>235</v>
      </c>
      <c r="J7" s="1178"/>
      <c r="K7" s="1178"/>
      <c r="L7" s="1178"/>
      <c r="M7" s="1178"/>
      <c r="N7" s="1178"/>
      <c r="O7" s="1178"/>
      <c r="P7" s="1178"/>
      <c r="Q7" s="1178"/>
      <c r="R7" s="1178"/>
      <c r="S7" s="1178"/>
      <c r="T7" s="1178"/>
      <c r="U7" s="1178"/>
      <c r="V7" s="1178"/>
    </row>
    <row r="8" spans="1:22">
      <c r="A8" s="1496" t="s">
        <v>236</v>
      </c>
      <c r="B8" s="1178"/>
      <c r="C8" s="1178"/>
      <c r="D8" s="1178"/>
      <c r="E8" s="1178"/>
      <c r="F8" s="1178"/>
      <c r="G8" s="1178"/>
      <c r="H8" s="1178"/>
      <c r="I8" s="2253" t="s">
        <v>705</v>
      </c>
      <c r="J8" s="1178"/>
      <c r="K8" s="1178"/>
      <c r="L8" s="1178"/>
      <c r="M8" s="1178"/>
      <c r="N8" s="1178"/>
      <c r="O8" s="1178"/>
      <c r="P8" s="1178"/>
      <c r="Q8" s="1178"/>
      <c r="R8" s="1178"/>
      <c r="S8" s="1178"/>
      <c r="T8" s="1178"/>
      <c r="U8" s="1178"/>
      <c r="V8" s="1178"/>
    </row>
    <row r="9" spans="1:22">
      <c r="A9" s="1178"/>
      <c r="B9" s="1178"/>
      <c r="C9" s="1178"/>
      <c r="D9" s="1178"/>
      <c r="E9" s="1178"/>
      <c r="F9" s="1178"/>
      <c r="G9" s="1178"/>
      <c r="H9" s="1178"/>
      <c r="I9" s="1496" t="str">
        <f>"          "&amp;_WIT10</f>
        <v xml:space="preserve">          R. H. PRATT</v>
      </c>
      <c r="J9" s="1178"/>
      <c r="K9" s="1178"/>
      <c r="L9" s="1178"/>
      <c r="M9" s="1178"/>
      <c r="N9" s="1178"/>
      <c r="O9" s="1178"/>
      <c r="P9" s="1178"/>
      <c r="Q9" s="1178"/>
      <c r="R9" s="1178"/>
      <c r="S9" s="1178"/>
      <c r="T9" s="1178"/>
      <c r="U9" s="1178"/>
      <c r="V9" s="1178"/>
    </row>
    <row r="10" spans="1:22">
      <c r="A10" s="2168"/>
      <c r="B10" s="2168"/>
      <c r="C10" s="2168"/>
      <c r="D10" s="2168"/>
      <c r="E10" s="2168"/>
      <c r="F10" s="2168"/>
      <c r="G10" s="2168"/>
      <c r="H10" s="2168"/>
      <c r="I10" s="2168"/>
      <c r="J10" s="2168"/>
      <c r="K10" s="1178"/>
      <c r="L10" s="1178"/>
      <c r="M10" s="1178"/>
      <c r="N10" s="1178"/>
      <c r="O10" s="1178"/>
      <c r="P10" s="1178"/>
      <c r="Q10" s="1178"/>
      <c r="R10" s="1178"/>
      <c r="S10" s="1178"/>
      <c r="T10" s="1178"/>
      <c r="U10" s="1178"/>
      <c r="V10" s="1178"/>
    </row>
    <row r="11" spans="1:22">
      <c r="A11" s="1178"/>
      <c r="B11" s="1178"/>
      <c r="C11" s="1178"/>
      <c r="D11" s="1178"/>
      <c r="E11" s="1178"/>
      <c r="F11" s="1178"/>
      <c r="G11" s="1178"/>
      <c r="H11" s="1178"/>
      <c r="I11" s="1178"/>
      <c r="J11" s="1178"/>
      <c r="K11" s="1178"/>
      <c r="L11" s="1178"/>
      <c r="M11" s="1178"/>
      <c r="N11" s="1178"/>
      <c r="O11" s="1178"/>
      <c r="P11" s="1178"/>
      <c r="Q11" s="1178"/>
      <c r="R11" s="1178"/>
      <c r="S11" s="1178"/>
      <c r="T11" s="1178"/>
      <c r="U11" s="1178"/>
      <c r="V11" s="1178"/>
    </row>
    <row r="12" spans="1:22">
      <c r="A12" s="1496" t="s">
        <v>1246</v>
      </c>
      <c r="B12" s="1178"/>
      <c r="C12" s="1178"/>
      <c r="D12" s="1178"/>
      <c r="E12" s="1178"/>
      <c r="F12" s="1178"/>
      <c r="G12" s="1178"/>
      <c r="H12" s="1178"/>
      <c r="I12" s="1178"/>
      <c r="J12" s="2169" t="s">
        <v>364</v>
      </c>
      <c r="K12" s="1178"/>
      <c r="L12" s="1178"/>
      <c r="M12" s="1178"/>
      <c r="N12" s="1178"/>
      <c r="O12" s="1178"/>
      <c r="P12" s="1178"/>
      <c r="Q12" s="1178"/>
      <c r="R12" s="1178"/>
      <c r="S12" s="1178"/>
      <c r="T12" s="1178"/>
      <c r="U12" s="1178"/>
      <c r="V12" s="1178"/>
    </row>
    <row r="13" spans="1:22">
      <c r="A13" s="2168"/>
      <c r="B13" s="2168"/>
      <c r="C13" s="2168"/>
      <c r="D13" s="2168"/>
      <c r="E13" s="2168"/>
      <c r="F13" s="2168"/>
      <c r="G13" s="2168"/>
      <c r="H13" s="2168"/>
      <c r="I13" s="2168"/>
      <c r="J13" s="2168"/>
      <c r="K13" s="1178"/>
      <c r="L13" s="1178"/>
      <c r="M13" s="1178"/>
      <c r="N13" s="1178"/>
      <c r="O13" s="1178"/>
      <c r="P13" s="1178"/>
      <c r="Q13" s="1178"/>
      <c r="R13" s="1178"/>
      <c r="S13" s="1178"/>
      <c r="T13" s="1178"/>
      <c r="U13" s="1178"/>
      <c r="V13" s="1178"/>
    </row>
    <row r="14" spans="1:22">
      <c r="A14" s="1178"/>
      <c r="B14" s="1178"/>
      <c r="C14" s="1178"/>
      <c r="D14" s="1178"/>
      <c r="E14" s="1178"/>
      <c r="F14" s="1178"/>
      <c r="G14" s="1178"/>
      <c r="H14" s="1178"/>
      <c r="I14" s="1178"/>
      <c r="J14" s="1178"/>
      <c r="K14" s="1178"/>
      <c r="L14" s="1178"/>
      <c r="M14" s="1178"/>
      <c r="N14" s="1178"/>
      <c r="O14" s="1178"/>
      <c r="P14" s="1178"/>
      <c r="Q14" s="1178"/>
      <c r="R14" s="1178"/>
      <c r="S14" s="1178"/>
      <c r="T14" s="1178"/>
      <c r="U14" s="1178"/>
      <c r="V14" s="1178"/>
    </row>
    <row r="15" spans="1:22">
      <c r="A15" s="1581" t="s">
        <v>263</v>
      </c>
      <c r="B15" s="1178"/>
      <c r="C15" s="1178"/>
      <c r="D15" s="1178"/>
      <c r="E15" s="1178"/>
      <c r="F15" s="1178"/>
      <c r="G15" s="1178"/>
      <c r="H15" s="1178"/>
      <c r="I15" s="1178"/>
      <c r="J15" s="1178"/>
      <c r="K15" s="1178"/>
      <c r="L15" s="1178"/>
      <c r="M15" s="1178"/>
      <c r="N15" s="1178"/>
      <c r="O15" s="1178"/>
      <c r="P15" s="1178"/>
      <c r="Q15" s="1178"/>
      <c r="R15" s="1178"/>
      <c r="S15" s="1178"/>
      <c r="T15" s="1178"/>
      <c r="U15" s="1178"/>
      <c r="V15" s="1178"/>
    </row>
    <row r="16" spans="1:22">
      <c r="A16" s="1581" t="s">
        <v>1407</v>
      </c>
      <c r="B16" s="1178"/>
      <c r="C16" s="1178"/>
      <c r="D16" s="1178"/>
      <c r="E16" s="1178"/>
      <c r="F16" s="1178"/>
      <c r="G16" s="1178"/>
      <c r="H16" s="1178"/>
      <c r="I16" s="1178"/>
      <c r="J16" s="1178"/>
      <c r="K16" s="1178"/>
      <c r="L16" s="1178"/>
      <c r="M16" s="1178"/>
      <c r="N16" s="1178"/>
      <c r="O16" s="1178"/>
      <c r="P16" s="1178"/>
      <c r="Q16" s="1178"/>
      <c r="R16" s="1178"/>
      <c r="S16" s="1178"/>
      <c r="T16" s="1178"/>
      <c r="U16" s="1178"/>
      <c r="V16" s="1178"/>
    </row>
    <row r="17" spans="1:22">
      <c r="A17" s="1581"/>
      <c r="B17" s="1178"/>
      <c r="C17" s="1178"/>
      <c r="D17" s="1178"/>
      <c r="E17" s="1178"/>
      <c r="F17" s="1178"/>
      <c r="G17" s="1178"/>
      <c r="H17" s="1178"/>
      <c r="I17" s="1178"/>
      <c r="J17" s="1178"/>
      <c r="K17" s="1178"/>
      <c r="L17" s="1178"/>
      <c r="M17" s="1178"/>
      <c r="N17" s="1178"/>
      <c r="O17" s="1178"/>
      <c r="P17" s="1178"/>
      <c r="Q17" s="1178"/>
      <c r="R17" s="1178"/>
      <c r="S17" s="1178"/>
      <c r="T17" s="1178"/>
      <c r="U17" s="1178"/>
      <c r="V17" s="1178"/>
    </row>
    <row r="18" spans="1:22">
      <c r="A18" s="1581"/>
      <c r="B18" s="1178"/>
      <c r="C18" s="1178"/>
      <c r="D18" s="1178"/>
      <c r="E18" s="1178"/>
      <c r="F18" s="1178"/>
      <c r="G18" s="1178"/>
      <c r="H18" s="1178"/>
      <c r="I18" s="1178"/>
      <c r="J18" s="1178"/>
      <c r="K18" s="1178"/>
      <c r="L18" s="1178"/>
      <c r="M18" s="1178"/>
      <c r="N18" s="1178"/>
      <c r="O18" s="1178"/>
      <c r="P18" s="1178"/>
      <c r="Q18" s="1178"/>
      <c r="R18" s="1178"/>
      <c r="S18" s="1178"/>
      <c r="T18" s="1178"/>
      <c r="U18" s="1178"/>
      <c r="V18" s="1178"/>
    </row>
    <row r="19" spans="1:22">
      <c r="A19" s="1581"/>
      <c r="B19" s="1178"/>
      <c r="C19" s="1178"/>
      <c r="D19" s="1178"/>
      <c r="E19" s="1178"/>
      <c r="F19" s="1178"/>
      <c r="G19" s="1178"/>
      <c r="H19" s="1178"/>
      <c r="I19" s="1178"/>
      <c r="J19" s="1178"/>
      <c r="K19" s="1178"/>
      <c r="L19" s="1178"/>
      <c r="M19" s="1178"/>
      <c r="N19" s="1178"/>
      <c r="O19" s="1178"/>
      <c r="P19" s="1178"/>
      <c r="Q19" s="1178"/>
      <c r="R19" s="1178"/>
      <c r="S19" s="1178"/>
      <c r="T19" s="1178"/>
      <c r="U19" s="1178"/>
      <c r="V19" s="1178"/>
    </row>
    <row r="20" spans="1:22">
      <c r="A20" s="1581"/>
      <c r="B20" s="1178"/>
      <c r="C20" s="1178"/>
      <c r="D20" s="1178"/>
      <c r="E20" s="1178"/>
      <c r="F20" s="1178"/>
      <c r="G20" s="1178"/>
      <c r="H20" s="1178"/>
      <c r="I20" s="1178"/>
      <c r="J20" s="2255"/>
      <c r="K20" s="1178"/>
      <c r="L20" s="1178"/>
      <c r="M20" s="1178"/>
      <c r="N20" s="1178"/>
      <c r="O20" s="1178"/>
      <c r="P20" s="1178"/>
      <c r="Q20" s="1178"/>
      <c r="R20" s="1178"/>
      <c r="S20" s="1178"/>
      <c r="T20" s="1178"/>
      <c r="U20" s="1178"/>
      <c r="V20" s="1178"/>
    </row>
    <row r="21" spans="1:22">
      <c r="A21" s="1178"/>
      <c r="B21" s="1178"/>
      <c r="C21" s="1178"/>
      <c r="D21" s="1178"/>
      <c r="E21" s="1178"/>
      <c r="F21" s="1178"/>
      <c r="G21" s="1178"/>
      <c r="H21" s="1178"/>
      <c r="I21" s="1178"/>
      <c r="J21" s="1178"/>
      <c r="K21" s="1178"/>
      <c r="L21" s="1178"/>
      <c r="M21" s="1178"/>
      <c r="N21" s="1178"/>
      <c r="O21" s="1178"/>
      <c r="P21" s="1178"/>
      <c r="Q21" s="1178"/>
      <c r="R21" s="1178"/>
      <c r="S21" s="1178"/>
      <c r="T21" s="1178"/>
      <c r="U21" s="1178"/>
      <c r="V21" s="1178"/>
    </row>
    <row r="22" spans="1:22">
      <c r="A22" s="1496" t="s">
        <v>372</v>
      </c>
      <c r="B22" s="1178"/>
      <c r="C22" s="1178"/>
      <c r="D22" s="1178"/>
      <c r="E22" s="1178"/>
      <c r="F22" s="1178"/>
      <c r="G22" s="1496" t="s">
        <v>264</v>
      </c>
      <c r="H22" s="1178"/>
      <c r="I22" s="1178"/>
      <c r="J22" s="1375">
        <f ca="1">T51</f>
        <v>-1552053</v>
      </c>
      <c r="K22" s="1178"/>
      <c r="L22" s="1178"/>
      <c r="M22" s="1178"/>
      <c r="N22" s="1178"/>
      <c r="O22" s="1178"/>
      <c r="P22" s="1178"/>
      <c r="Q22" s="1178"/>
      <c r="R22" s="1178"/>
      <c r="S22" s="1178"/>
      <c r="T22" s="1178"/>
      <c r="U22" s="1178"/>
      <c r="V22" s="1178"/>
    </row>
    <row r="23" spans="1:22">
      <c r="A23" s="1496"/>
      <c r="B23" s="1178"/>
      <c r="C23" s="1178"/>
      <c r="D23" s="1178"/>
      <c r="E23" s="1178"/>
      <c r="F23" s="1178"/>
      <c r="G23" s="1178"/>
      <c r="H23" s="1178"/>
      <c r="I23" s="1178"/>
      <c r="J23" s="2255"/>
      <c r="K23" s="1178"/>
      <c r="L23" s="1178"/>
      <c r="M23" s="1178"/>
      <c r="N23" s="1178"/>
      <c r="O23" s="1178"/>
      <c r="P23" s="1178"/>
      <c r="Q23" s="1178"/>
      <c r="R23" s="1178"/>
      <c r="S23" s="1178"/>
      <c r="T23" s="1178"/>
      <c r="U23" s="1178"/>
      <c r="V23" s="1178"/>
    </row>
    <row r="24" spans="1:22">
      <c r="A24" s="1496" t="s">
        <v>696</v>
      </c>
      <c r="B24" s="1178"/>
      <c r="C24" s="1178"/>
      <c r="D24" s="1178"/>
      <c r="E24" s="1178"/>
      <c r="F24" s="1178"/>
      <c r="G24" s="1496" t="s">
        <v>264</v>
      </c>
      <c r="H24" s="1178"/>
      <c r="I24" s="1178"/>
      <c r="J24" s="2255">
        <f>T53</f>
        <v>2798704</v>
      </c>
      <c r="K24" s="1178"/>
      <c r="L24" s="1178"/>
      <c r="M24" s="1178"/>
      <c r="N24" s="1178"/>
      <c r="O24" s="1178"/>
      <c r="P24" s="1178"/>
      <c r="Q24" s="1178"/>
      <c r="R24" s="1178"/>
      <c r="S24" s="1178"/>
      <c r="T24" s="1178"/>
      <c r="U24" s="1178"/>
      <c r="V24" s="1178"/>
    </row>
    <row r="25" spans="1:22">
      <c r="A25" s="1496"/>
      <c r="B25" s="1178"/>
      <c r="C25" s="1178"/>
      <c r="D25" s="1178"/>
      <c r="E25" s="1178"/>
      <c r="F25" s="1178"/>
      <c r="G25" s="1178"/>
      <c r="H25" s="1178"/>
      <c r="I25" s="1178"/>
      <c r="J25" s="2254"/>
      <c r="K25" s="1178"/>
      <c r="L25" s="1178"/>
      <c r="M25" s="1178"/>
      <c r="N25" s="1178"/>
      <c r="O25" s="1178"/>
      <c r="P25" s="1178"/>
      <c r="Q25" s="1178"/>
      <c r="R25" s="1178"/>
      <c r="S25" s="1178"/>
      <c r="T25" s="1178"/>
      <c r="U25" s="1178"/>
      <c r="V25" s="1178"/>
    </row>
    <row r="26" spans="1:22">
      <c r="A26" s="1496" t="s">
        <v>1692</v>
      </c>
      <c r="B26" s="1178"/>
      <c r="C26" s="1178"/>
      <c r="D26" s="1178"/>
      <c r="E26" s="1178"/>
      <c r="F26" s="1178"/>
      <c r="G26" s="1496" t="s">
        <v>264</v>
      </c>
      <c r="H26" s="1178"/>
      <c r="I26" s="1178"/>
      <c r="J26" s="2369">
        <f ca="1">T55</f>
        <v>-6380035</v>
      </c>
      <c r="K26" s="1178"/>
      <c r="L26" s="1178"/>
      <c r="M26" s="1178"/>
      <c r="N26" s="1178"/>
      <c r="O26" s="1178"/>
      <c r="P26" s="1178"/>
      <c r="Q26" s="1178"/>
      <c r="R26" s="1178"/>
      <c r="S26" s="1178"/>
      <c r="T26" s="1178"/>
      <c r="U26" s="1178"/>
      <c r="V26" s="1178"/>
    </row>
    <row r="27" spans="1:22">
      <c r="A27" s="1496"/>
      <c r="B27" s="1178"/>
      <c r="C27" s="1178"/>
      <c r="D27" s="1178"/>
      <c r="E27" s="1178"/>
      <c r="F27" s="1178"/>
      <c r="G27" s="1496"/>
      <c r="H27" s="1178"/>
      <c r="I27" s="1178"/>
      <c r="J27" s="2254"/>
      <c r="K27" s="1178"/>
      <c r="L27" s="1178"/>
      <c r="M27" s="1178"/>
      <c r="N27" s="1178"/>
      <c r="O27" s="1178"/>
      <c r="P27" s="1178"/>
      <c r="Q27" s="1178"/>
      <c r="R27" s="1178"/>
      <c r="S27" s="1178"/>
      <c r="T27" s="1178"/>
      <c r="U27" s="1178"/>
      <c r="V27" s="1178"/>
    </row>
    <row r="28" spans="1:22">
      <c r="A28" s="1496" t="s">
        <v>265</v>
      </c>
      <c r="B28" s="1178"/>
      <c r="C28" s="1178"/>
      <c r="D28" s="1178"/>
      <c r="E28" s="1178"/>
      <c r="F28" s="1178"/>
      <c r="G28" s="1178"/>
      <c r="H28" s="1178"/>
      <c r="I28" s="1178"/>
      <c r="J28" s="1375">
        <f ca="1">SUM(J22:J26)</f>
        <v>-5133384</v>
      </c>
      <c r="K28" s="1178"/>
      <c r="L28" s="1178"/>
      <c r="M28" s="1178"/>
      <c r="N28" s="1178"/>
      <c r="O28" s="1178"/>
      <c r="P28" s="1178"/>
      <c r="Q28" s="1178"/>
      <c r="R28" s="1178"/>
      <c r="S28" s="1178"/>
      <c r="T28" s="1178"/>
      <c r="U28" s="1178"/>
      <c r="V28" s="1178"/>
    </row>
    <row r="29" spans="1:22">
      <c r="A29" s="1178"/>
      <c r="B29" s="1178"/>
      <c r="C29" s="1178"/>
      <c r="D29" s="1178"/>
      <c r="E29" s="1178"/>
      <c r="F29" s="1178"/>
      <c r="G29" s="1178"/>
      <c r="H29" s="1178"/>
      <c r="I29" s="1178"/>
      <c r="J29" s="2255"/>
      <c r="K29" s="1178"/>
      <c r="L29" s="1178"/>
      <c r="M29" s="1178"/>
      <c r="N29" s="1178"/>
      <c r="O29" s="1178"/>
      <c r="P29" s="1178"/>
      <c r="Q29" s="1178"/>
      <c r="R29" s="1178"/>
      <c r="S29" s="1178"/>
      <c r="T29" s="1178"/>
      <c r="U29" s="1178"/>
      <c r="V29" s="1178"/>
    </row>
    <row r="30" spans="1:22">
      <c r="A30" s="1496" t="s">
        <v>266</v>
      </c>
      <c r="B30" s="1178"/>
      <c r="C30" s="1178"/>
      <c r="D30" s="1178"/>
      <c r="E30" s="1178"/>
      <c r="F30" s="1178"/>
      <c r="G30" s="1178"/>
      <c r="H30" s="1178"/>
      <c r="I30" s="1178"/>
      <c r="J30" s="1425">
        <f>VLOOKUP(C35,ALLOCTABLE,2)/100</f>
        <v>1</v>
      </c>
      <c r="K30" s="1178"/>
      <c r="L30" s="1178"/>
      <c r="M30" s="1178"/>
      <c r="N30" s="1178"/>
      <c r="O30" s="1178"/>
      <c r="P30" s="1178"/>
      <c r="Q30" s="1178"/>
      <c r="R30" s="1178"/>
      <c r="S30" s="1178"/>
      <c r="T30" s="1178"/>
      <c r="U30" s="1178"/>
      <c r="V30" s="1178"/>
    </row>
    <row r="31" spans="1:22">
      <c r="A31" s="1178"/>
      <c r="B31" s="1178"/>
      <c r="C31" s="1178"/>
      <c r="D31" s="1178"/>
      <c r="E31" s="1178"/>
      <c r="F31" s="1178"/>
      <c r="G31" s="1178"/>
      <c r="H31" s="1178"/>
      <c r="I31" s="1178"/>
      <c r="J31" s="1178"/>
      <c r="K31" s="1178"/>
      <c r="L31" s="1178"/>
      <c r="M31" s="1178"/>
      <c r="N31" s="1178"/>
      <c r="O31" s="1178"/>
      <c r="P31" s="1178"/>
      <c r="Q31" s="1178"/>
      <c r="R31" s="1178"/>
      <c r="S31" s="1178"/>
      <c r="T31" s="1178"/>
      <c r="U31" s="1178"/>
      <c r="V31" s="1178"/>
    </row>
    <row r="32" spans="1:22" ht="15">
      <c r="A32" s="1496" t="s">
        <v>1236</v>
      </c>
      <c r="B32" s="1178"/>
      <c r="C32" s="1178"/>
      <c r="D32" s="1178"/>
      <c r="E32" s="1178"/>
      <c r="F32" s="1178"/>
      <c r="G32" s="1178"/>
      <c r="H32" s="1178"/>
      <c r="I32" s="1178"/>
      <c r="J32" s="1381">
        <f ca="1">ROUND(J28*J30,0)</f>
        <v>-5133384</v>
      </c>
      <c r="K32" s="1178"/>
      <c r="L32" s="1178"/>
      <c r="M32" s="1178"/>
      <c r="N32" s="1178"/>
      <c r="O32" s="1178"/>
      <c r="P32" s="1178"/>
      <c r="Q32" s="1178"/>
      <c r="R32" s="1178"/>
      <c r="S32" s="1178"/>
      <c r="T32" s="1178"/>
      <c r="U32" s="1178"/>
      <c r="V32" s="1178"/>
    </row>
    <row r="33" spans="1:22">
      <c r="A33" s="1178"/>
      <c r="B33" s="1178"/>
      <c r="C33" s="1178"/>
      <c r="D33" s="1178"/>
      <c r="E33" s="1178"/>
      <c r="F33" s="1178"/>
      <c r="G33" s="1178"/>
      <c r="H33" s="1178"/>
      <c r="I33" s="1178"/>
      <c r="J33" s="2258"/>
      <c r="K33" s="1178"/>
      <c r="L33" s="1178"/>
      <c r="M33" s="1178"/>
      <c r="N33" s="1178"/>
      <c r="O33" s="1178"/>
      <c r="P33" s="1178"/>
      <c r="Q33" s="1178"/>
      <c r="R33" s="1178"/>
      <c r="S33" s="1178"/>
      <c r="T33" s="1178"/>
      <c r="U33" s="1178"/>
      <c r="V33" s="1178"/>
    </row>
    <row r="34" spans="1:22">
      <c r="A34" s="1178"/>
      <c r="B34" s="1178"/>
      <c r="C34" s="1178"/>
      <c r="D34" s="1178"/>
      <c r="E34" s="1178"/>
      <c r="F34" s="1178"/>
      <c r="G34" s="1178"/>
      <c r="H34" s="1178"/>
      <c r="I34" s="1178"/>
      <c r="J34" s="1178"/>
      <c r="K34" s="1178"/>
      <c r="L34" s="1178"/>
      <c r="M34" s="1178"/>
      <c r="N34" s="1178"/>
      <c r="O34" s="1178"/>
      <c r="P34" s="1178"/>
      <c r="Q34" s="1178"/>
      <c r="R34" s="1178"/>
      <c r="S34" s="1178"/>
      <c r="T34" s="1178"/>
      <c r="U34" s="1178"/>
      <c r="V34" s="1178"/>
    </row>
    <row r="35" spans="1:22">
      <c r="A35" s="1496" t="s">
        <v>1237</v>
      </c>
      <c r="B35" s="1178"/>
      <c r="C35" s="2259" t="s">
        <v>593</v>
      </c>
      <c r="D35" s="1178"/>
      <c r="E35" s="1178"/>
      <c r="F35" s="1178"/>
      <c r="G35" s="1178"/>
      <c r="H35" s="1178"/>
      <c r="I35" s="1178"/>
      <c r="J35" s="1178"/>
      <c r="K35" s="1178"/>
      <c r="L35" s="1178"/>
      <c r="M35" s="1178"/>
      <c r="N35" s="1178"/>
      <c r="O35" s="1178"/>
      <c r="P35" s="1178"/>
      <c r="Q35" s="1178"/>
      <c r="R35" s="1178"/>
      <c r="S35" s="1178"/>
      <c r="T35" s="1178"/>
      <c r="U35" s="1178"/>
      <c r="V35" s="1178"/>
    </row>
    <row r="36" spans="1:22">
      <c r="A36" s="1496"/>
      <c r="B36" s="1178"/>
      <c r="C36" s="1178"/>
      <c r="D36" s="1178"/>
      <c r="E36" s="1178"/>
      <c r="F36" s="1178"/>
      <c r="G36" s="1178"/>
      <c r="H36" s="1178"/>
      <c r="I36" s="1178"/>
      <c r="J36" s="1178"/>
      <c r="K36" s="1178"/>
      <c r="L36" s="1178"/>
      <c r="M36" s="1178"/>
      <c r="N36" s="1178"/>
      <c r="O36" s="1178"/>
      <c r="P36" s="1178"/>
      <c r="Q36" s="1178"/>
      <c r="R36" s="1178"/>
      <c r="S36" s="1178"/>
      <c r="T36" s="1178"/>
      <c r="U36" s="1178"/>
      <c r="V36" s="1178"/>
    </row>
    <row r="37" spans="1:22">
      <c r="A37" s="1178"/>
      <c r="B37" s="1178"/>
      <c r="C37" s="1178"/>
      <c r="D37" s="1178"/>
      <c r="E37" s="1178"/>
      <c r="F37" s="1178"/>
      <c r="G37" s="1178"/>
      <c r="H37" s="1178"/>
      <c r="I37" s="1178"/>
      <c r="J37" s="2260"/>
      <c r="K37" s="1178"/>
      <c r="L37" s="1178"/>
      <c r="M37" s="1178"/>
      <c r="N37" s="1178"/>
      <c r="O37" s="1178"/>
      <c r="P37" s="1178"/>
      <c r="Q37" s="1178"/>
      <c r="R37" s="1178"/>
      <c r="S37" s="1178"/>
      <c r="T37" s="1178"/>
      <c r="U37" s="1178"/>
      <c r="V37" s="1178"/>
    </row>
    <row r="38" spans="1:22">
      <c r="A38" s="1178"/>
      <c r="B38" s="1178"/>
      <c r="C38" s="1178"/>
      <c r="D38" s="1178"/>
      <c r="E38" s="1178"/>
      <c r="F38" s="1178"/>
      <c r="G38" s="1178"/>
      <c r="H38" s="1178"/>
      <c r="I38" s="1178"/>
      <c r="J38" s="2261"/>
      <c r="K38" s="1178"/>
      <c r="L38" s="1178"/>
      <c r="M38" s="1178"/>
      <c r="N38" s="1178"/>
      <c r="O38" s="1178"/>
      <c r="P38" s="1178"/>
      <c r="Q38" s="1178"/>
      <c r="R38" s="1178"/>
      <c r="S38" s="1178"/>
      <c r="T38" s="1178"/>
      <c r="U38" s="1178"/>
      <c r="V38" s="1178"/>
    </row>
    <row r="39" spans="1:22">
      <c r="A39" s="1178"/>
      <c r="B39" s="1178"/>
      <c r="C39" s="1178"/>
      <c r="D39" s="1178"/>
      <c r="E39" s="1178"/>
      <c r="F39" s="1178"/>
      <c r="G39" s="1178"/>
      <c r="H39" s="1178"/>
      <c r="I39" s="1178"/>
      <c r="J39" s="2262"/>
      <c r="K39" s="1178"/>
      <c r="L39" s="1178"/>
      <c r="M39" s="1178"/>
      <c r="N39" s="1178"/>
      <c r="O39" s="1178"/>
      <c r="P39" s="1178"/>
      <c r="Q39" s="1178"/>
      <c r="R39" s="1178"/>
      <c r="S39" s="1178"/>
      <c r="T39" s="1178"/>
      <c r="U39" s="1178"/>
      <c r="V39" s="1178"/>
    </row>
    <row r="40" spans="1:22">
      <c r="A40" s="1178"/>
      <c r="B40" s="1178"/>
      <c r="C40" s="1178"/>
      <c r="D40" s="1178"/>
      <c r="E40" s="1178"/>
      <c r="F40" s="1178"/>
      <c r="G40" s="1178"/>
      <c r="H40" s="1178"/>
      <c r="I40" s="1178"/>
      <c r="J40" s="1178"/>
      <c r="K40" s="1178"/>
      <c r="L40" s="1178"/>
      <c r="M40" s="1178"/>
      <c r="N40" s="1178"/>
      <c r="O40" s="1178"/>
      <c r="P40" s="1178"/>
      <c r="Q40" s="1178"/>
      <c r="R40" s="1178"/>
      <c r="S40" s="1178"/>
      <c r="T40" s="1178"/>
      <c r="U40" s="1178"/>
      <c r="V40" s="1178"/>
    </row>
    <row r="41" spans="1:22">
      <c r="A41" s="1178"/>
      <c r="B41" s="1178"/>
      <c r="C41" s="1178"/>
      <c r="D41" s="1178"/>
      <c r="E41" s="1178"/>
      <c r="F41" s="1178"/>
      <c r="G41" s="1178"/>
      <c r="H41" s="1178"/>
      <c r="I41" s="1178"/>
      <c r="J41" s="1178"/>
      <c r="K41" s="1178"/>
      <c r="L41" s="1629" t="str">
        <f>COMPANY</f>
        <v>DUKE ENERGY KENTUCKY, INC.</v>
      </c>
      <c r="M41" s="530"/>
      <c r="N41" s="530"/>
      <c r="O41" s="530"/>
      <c r="P41" s="530"/>
      <c r="Q41" s="530"/>
      <c r="R41" s="1629" t="s">
        <v>1238</v>
      </c>
      <c r="S41" s="530"/>
      <c r="T41" s="1178"/>
      <c r="U41" s="1178"/>
      <c r="V41" s="1178"/>
    </row>
    <row r="42" spans="1:22">
      <c r="A42" s="1178"/>
      <c r="B42" s="1178"/>
      <c r="C42" s="1178"/>
      <c r="D42" s="1178"/>
      <c r="E42" s="1178"/>
      <c r="F42" s="1178"/>
      <c r="G42" s="1178"/>
      <c r="H42" s="1178"/>
      <c r="I42" s="1178"/>
      <c r="J42" s="1178"/>
      <c r="K42" s="1178"/>
      <c r="L42" s="1629" t="str">
        <f>DEPT</f>
        <v>ELECTRIC DEPARTMENT</v>
      </c>
      <c r="M42" s="530"/>
      <c r="N42" s="530"/>
      <c r="O42" s="530"/>
      <c r="P42" s="530"/>
      <c r="Q42" s="530"/>
      <c r="R42" s="1629" t="s">
        <v>1239</v>
      </c>
      <c r="S42" s="530"/>
      <c r="T42" s="1178"/>
      <c r="U42" s="1178"/>
      <c r="V42" s="1178"/>
    </row>
    <row r="43" spans="1:22">
      <c r="A43" s="1178"/>
      <c r="B43" s="1178"/>
      <c r="C43" s="1178"/>
      <c r="D43" s="1178"/>
      <c r="E43" s="1178"/>
      <c r="F43" s="1178"/>
      <c r="G43" s="1178"/>
      <c r="H43" s="1178"/>
      <c r="I43" s="1178"/>
      <c r="J43" s="1178"/>
      <c r="K43" s="1178"/>
      <c r="L43" s="1629" t="str">
        <f>CASE</f>
        <v>CASE NO. 2017-00321</v>
      </c>
      <c r="M43" s="530"/>
      <c r="N43" s="530"/>
      <c r="O43" s="530"/>
      <c r="P43" s="530"/>
      <c r="Q43" s="530"/>
      <c r="R43" s="530" t="str">
        <f>_WIT10</f>
        <v>R. H. PRATT</v>
      </c>
      <c r="S43" s="530"/>
      <c r="T43" s="1178"/>
      <c r="U43" s="1178"/>
      <c r="V43" s="1178"/>
    </row>
    <row r="44" spans="1:22">
      <c r="A44" s="1178"/>
      <c r="B44" s="1178"/>
      <c r="C44" s="1178"/>
      <c r="D44" s="1178"/>
      <c r="E44" s="1178"/>
      <c r="F44" s="1178"/>
      <c r="G44" s="1178"/>
      <c r="H44" s="1178"/>
      <c r="I44" s="1178"/>
      <c r="J44" s="1178"/>
      <c r="K44" s="1178"/>
      <c r="L44" s="1629" t="str">
        <f>A3</f>
        <v>ADJUST BASE PERIOD REVENUE TO FORECASTED PERIOD</v>
      </c>
      <c r="M44" s="530"/>
      <c r="N44" s="530"/>
      <c r="O44" s="530"/>
      <c r="P44" s="530"/>
      <c r="Q44" s="530"/>
      <c r="R44" s="2107"/>
      <c r="S44" s="530"/>
      <c r="T44" s="1178"/>
      <c r="U44" s="1178"/>
      <c r="V44" s="1178"/>
    </row>
    <row r="45" spans="1:22">
      <c r="A45" s="1178"/>
      <c r="B45" s="1178"/>
      <c r="C45" s="1178"/>
      <c r="D45" s="1178"/>
      <c r="E45" s="1178"/>
      <c r="F45" s="1178"/>
      <c r="G45" s="1178"/>
      <c r="H45" s="1178"/>
      <c r="I45" s="1178"/>
      <c r="J45" s="1178"/>
      <c r="K45" s="1178"/>
      <c r="L45" s="1629"/>
      <c r="M45" s="530"/>
      <c r="N45" s="530"/>
      <c r="O45" s="530"/>
      <c r="P45" s="530"/>
      <c r="Q45" s="530"/>
      <c r="R45" s="530"/>
      <c r="S45" s="530"/>
      <c r="T45" s="1178"/>
      <c r="U45" s="1178"/>
      <c r="V45" s="1178"/>
    </row>
    <row r="46" spans="1:22">
      <c r="A46" s="1178"/>
      <c r="B46" s="1178"/>
      <c r="C46" s="1178"/>
      <c r="D46" s="1178"/>
      <c r="E46" s="1178"/>
      <c r="F46" s="1178"/>
      <c r="G46" s="1178"/>
      <c r="H46" s="1178"/>
      <c r="I46" s="1178"/>
      <c r="J46" s="1178"/>
      <c r="K46" s="1178"/>
      <c r="L46" s="1178"/>
      <c r="M46" s="1178"/>
      <c r="N46" s="1178"/>
      <c r="O46" s="1178"/>
      <c r="P46" s="1178"/>
      <c r="Q46" s="1178"/>
      <c r="R46" s="1178"/>
      <c r="S46" s="1178"/>
      <c r="T46" s="1178"/>
      <c r="U46" s="1178"/>
      <c r="V46" s="1178"/>
    </row>
    <row r="47" spans="1:22">
      <c r="A47" s="1178"/>
      <c r="B47" s="1178"/>
      <c r="C47" s="1178"/>
      <c r="D47" s="1178"/>
      <c r="E47" s="1178"/>
      <c r="F47" s="1178"/>
      <c r="G47" s="1178"/>
      <c r="H47" s="1178"/>
      <c r="I47" s="1178"/>
      <c r="J47" s="1178"/>
      <c r="K47" s="1178"/>
      <c r="L47" s="1178"/>
      <c r="M47" s="1178"/>
      <c r="N47" s="1178"/>
      <c r="O47" s="1178"/>
      <c r="P47" s="1178"/>
      <c r="Q47" s="1178"/>
      <c r="R47" s="1178"/>
      <c r="S47" s="1178"/>
      <c r="T47" s="1178"/>
      <c r="U47" s="1178"/>
      <c r="V47" s="1178"/>
    </row>
    <row r="48" spans="1:22">
      <c r="A48" s="1178"/>
      <c r="B48" s="1178"/>
      <c r="C48" s="1178"/>
      <c r="D48" s="1178"/>
      <c r="E48" s="1178"/>
      <c r="F48" s="1178"/>
      <c r="G48" s="1178"/>
      <c r="H48" s="1178"/>
      <c r="I48" s="1178"/>
      <c r="J48" s="1178"/>
      <c r="K48" s="1178"/>
      <c r="L48" s="1423" t="s">
        <v>1240</v>
      </c>
      <c r="M48" s="1423"/>
      <c r="N48" s="1423"/>
      <c r="O48" s="1423"/>
      <c r="P48" s="1423" t="s">
        <v>1117</v>
      </c>
      <c r="Q48" s="1423"/>
      <c r="R48" s="1423" t="s">
        <v>626</v>
      </c>
      <c r="S48" s="1423"/>
      <c r="T48" s="1423"/>
      <c r="U48" s="1423"/>
      <c r="V48" s="1423"/>
    </row>
    <row r="49" spans="1:22">
      <c r="A49" s="1178"/>
      <c r="B49" s="1178"/>
      <c r="C49" s="1178"/>
      <c r="D49" s="1178"/>
      <c r="E49" s="1178"/>
      <c r="F49" s="1178"/>
      <c r="G49" s="1178"/>
      <c r="H49" s="1178"/>
      <c r="I49" s="1178"/>
      <c r="J49" s="1178"/>
      <c r="K49" s="1178"/>
      <c r="L49" s="1424" t="s">
        <v>1241</v>
      </c>
      <c r="M49" s="1424"/>
      <c r="N49" s="1424" t="s">
        <v>1119</v>
      </c>
      <c r="O49" s="1424"/>
      <c r="P49" s="1424" t="s">
        <v>1120</v>
      </c>
      <c r="Q49" s="1424"/>
      <c r="R49" s="1424" t="s">
        <v>1120</v>
      </c>
      <c r="S49" s="1424"/>
      <c r="T49" s="1424" t="s">
        <v>1242</v>
      </c>
      <c r="U49" s="1424"/>
      <c r="V49" s="1424"/>
    </row>
    <row r="50" spans="1:22">
      <c r="A50" s="1178"/>
      <c r="B50" s="1178"/>
      <c r="C50" s="1178"/>
      <c r="D50" s="1178"/>
      <c r="E50" s="1178"/>
      <c r="F50" s="1178"/>
      <c r="G50" s="1178"/>
      <c r="H50" s="1178"/>
      <c r="I50" s="1178"/>
      <c r="J50" s="1178"/>
      <c r="K50" s="1178"/>
      <c r="L50" s="1178"/>
      <c r="M50" s="1178"/>
      <c r="N50" s="1178"/>
      <c r="O50" s="1178"/>
      <c r="P50" s="1178"/>
      <c r="Q50" s="1178"/>
      <c r="R50" s="1178"/>
      <c r="S50" s="1178"/>
      <c r="T50" s="1178"/>
      <c r="U50" s="1178"/>
      <c r="V50" s="1178"/>
    </row>
    <row r="51" spans="1:22">
      <c r="A51" s="1178"/>
      <c r="B51" s="1178"/>
      <c r="C51" s="1178"/>
      <c r="D51" s="1178"/>
      <c r="E51" s="1178"/>
      <c r="F51" s="1178"/>
      <c r="G51" s="1178"/>
      <c r="H51" s="1178"/>
      <c r="I51" s="1178"/>
      <c r="J51" s="1178"/>
      <c r="K51" s="1178"/>
      <c r="L51" s="1423">
        <v>1</v>
      </c>
      <c r="M51" s="1178"/>
      <c r="N51" s="358" t="s">
        <v>1117</v>
      </c>
      <c r="O51" s="1178"/>
      <c r="P51" s="2260">
        <f>WPC_2!E33</f>
        <v>208099411</v>
      </c>
      <c r="Q51" s="1178"/>
      <c r="R51" s="2260">
        <f ca="1">WPC_2!O70</f>
        <v>206547358</v>
      </c>
      <c r="S51" s="1178"/>
      <c r="T51" s="2260">
        <f ca="1">R51-P51</f>
        <v>-1552053</v>
      </c>
      <c r="U51" s="1178"/>
      <c r="V51" s="1178"/>
    </row>
    <row r="52" spans="1:22">
      <c r="A52" s="1178"/>
      <c r="B52" s="1178"/>
      <c r="C52" s="1178"/>
      <c r="D52" s="1178"/>
      <c r="E52" s="1178"/>
      <c r="F52" s="1178"/>
      <c r="G52" s="1178"/>
      <c r="H52" s="1178"/>
      <c r="I52" s="1178"/>
      <c r="J52" s="1178"/>
      <c r="K52" s="1178"/>
      <c r="L52" s="1423">
        <v>2</v>
      </c>
      <c r="M52" s="1178"/>
      <c r="N52" s="358"/>
      <c r="O52" s="1178"/>
      <c r="P52" s="1178"/>
      <c r="Q52" s="1178"/>
      <c r="R52" s="1178"/>
      <c r="S52" s="1178"/>
      <c r="T52" s="1178"/>
      <c r="U52" s="1178"/>
      <c r="V52" s="1178"/>
    </row>
    <row r="53" spans="1:22">
      <c r="A53" s="1178"/>
      <c r="B53" s="1178"/>
      <c r="C53" s="1178"/>
      <c r="D53" s="1178"/>
      <c r="E53" s="1178"/>
      <c r="F53" s="1178"/>
      <c r="G53" s="1178"/>
      <c r="H53" s="1178"/>
      <c r="I53" s="1178"/>
      <c r="J53" s="1178"/>
      <c r="K53" s="1178"/>
      <c r="L53" s="1423">
        <v>3</v>
      </c>
      <c r="M53" s="1178"/>
      <c r="N53" s="358" t="s">
        <v>1033</v>
      </c>
      <c r="O53" s="1178"/>
      <c r="P53" s="2266">
        <f>WPC_2!F33</f>
        <v>93769900</v>
      </c>
      <c r="Q53" s="1178"/>
      <c r="R53" s="2266">
        <f>WPC_2!P70</f>
        <v>96568604</v>
      </c>
      <c r="S53" s="1178"/>
      <c r="T53" s="2266">
        <f>R53-P53</f>
        <v>2798704</v>
      </c>
      <c r="U53" s="1178"/>
      <c r="V53" s="1178"/>
    </row>
    <row r="54" spans="1:22">
      <c r="A54" s="1178"/>
      <c r="B54" s="1178"/>
      <c r="C54" s="1178"/>
      <c r="D54" s="1178"/>
      <c r="E54" s="1178"/>
      <c r="F54" s="1178"/>
      <c r="G54" s="1178"/>
      <c r="H54" s="1178"/>
      <c r="I54" s="1178"/>
      <c r="J54" s="1178"/>
      <c r="K54" s="1178"/>
      <c r="L54" s="1423">
        <v>4</v>
      </c>
      <c r="M54" s="1178"/>
      <c r="N54" s="358"/>
      <c r="O54" s="1178"/>
      <c r="P54" s="1178"/>
      <c r="Q54" s="1178"/>
      <c r="R54" s="1178"/>
      <c r="S54" s="1178"/>
      <c r="T54" s="1178"/>
      <c r="U54" s="1178"/>
      <c r="V54" s="1178"/>
    </row>
    <row r="55" spans="1:22">
      <c r="A55" s="1178"/>
      <c r="B55" s="1178"/>
      <c r="C55" s="1178"/>
      <c r="D55" s="1178"/>
      <c r="E55" s="1178"/>
      <c r="F55" s="1178"/>
      <c r="G55" s="1178"/>
      <c r="H55" s="1178"/>
      <c r="I55" s="1178"/>
      <c r="J55" s="1178"/>
      <c r="K55" s="1178"/>
      <c r="L55" s="1423">
        <v>5</v>
      </c>
      <c r="M55" s="1178"/>
      <c r="N55" s="358" t="s">
        <v>1692</v>
      </c>
      <c r="O55" s="1178"/>
      <c r="P55" s="2269">
        <f>WPC_2!G33</f>
        <v>24583027</v>
      </c>
      <c r="Q55" s="1178"/>
      <c r="R55" s="2269">
        <f ca="1">WPC_2!Q70</f>
        <v>18202992</v>
      </c>
      <c r="S55" s="1178"/>
      <c r="T55" s="2269">
        <f ca="1">R55-P55</f>
        <v>-6380035</v>
      </c>
      <c r="U55" s="1178"/>
      <c r="V55" s="1178"/>
    </row>
    <row r="56" spans="1:22">
      <c r="A56" s="1178"/>
      <c r="B56" s="1178"/>
      <c r="C56" s="1178"/>
      <c r="D56" s="1178"/>
      <c r="E56" s="1178"/>
      <c r="F56" s="1178"/>
      <c r="G56" s="1178"/>
      <c r="H56" s="1178"/>
      <c r="I56" s="1178"/>
      <c r="J56" s="1178"/>
      <c r="K56" s="1178"/>
      <c r="L56" s="1423">
        <v>6</v>
      </c>
      <c r="M56" s="1178"/>
      <c r="N56" s="1178"/>
      <c r="O56" s="1178"/>
      <c r="P56" s="1178"/>
      <c r="Q56" s="1178"/>
      <c r="R56" s="1178"/>
      <c r="S56" s="1178"/>
      <c r="T56" s="1178"/>
      <c r="U56" s="1178"/>
      <c r="V56" s="1178"/>
    </row>
    <row r="57" spans="1:22" ht="13.5" thickBot="1">
      <c r="A57" s="1178"/>
      <c r="B57" s="1178"/>
      <c r="C57" s="1178"/>
      <c r="D57" s="1178"/>
      <c r="E57" s="1178"/>
      <c r="F57" s="1178"/>
      <c r="G57" s="1178"/>
      <c r="H57" s="1178"/>
      <c r="I57" s="1178"/>
      <c r="J57" s="1178"/>
      <c r="K57" s="1178"/>
      <c r="L57" s="1423">
        <v>7</v>
      </c>
      <c r="M57" s="1178"/>
      <c r="N57" s="2274" t="s">
        <v>1243</v>
      </c>
      <c r="O57" s="1178"/>
      <c r="P57" s="2275">
        <f>SUM(P51:P55)</f>
        <v>326452338</v>
      </c>
      <c r="Q57" s="1178"/>
      <c r="R57" s="2275">
        <f ca="1">SUM(R51:R55)</f>
        <v>321318954</v>
      </c>
      <c r="S57" s="1178"/>
      <c r="T57" s="2275">
        <f ca="1">SUM(T51:T55)</f>
        <v>-5133384</v>
      </c>
      <c r="U57" s="1178"/>
      <c r="V57" s="1178"/>
    </row>
    <row r="58" spans="1:22" ht="13.5" thickTop="1">
      <c r="A58" s="1178"/>
      <c r="B58" s="1178"/>
      <c r="C58" s="1178"/>
      <c r="D58" s="1178"/>
      <c r="E58" s="1178"/>
      <c r="F58" s="1178"/>
      <c r="G58" s="1178"/>
      <c r="H58" s="1178"/>
      <c r="I58" s="1178"/>
      <c r="J58" s="1178"/>
      <c r="K58" s="1178"/>
      <c r="L58" s="1423"/>
      <c r="M58" s="1178"/>
      <c r="N58" s="1178"/>
      <c r="O58" s="1178"/>
      <c r="P58" s="1178"/>
      <c r="Q58" s="1178"/>
      <c r="R58" s="1178"/>
      <c r="S58" s="1178"/>
      <c r="T58" s="1178"/>
      <c r="U58" s="1178"/>
      <c r="V58" s="1178"/>
    </row>
    <row r="59" spans="1:22">
      <c r="A59" s="1178"/>
      <c r="B59" s="1178"/>
      <c r="C59" s="1178"/>
      <c r="D59" s="1178"/>
      <c r="E59" s="1178"/>
      <c r="F59" s="1178"/>
      <c r="G59" s="1178"/>
      <c r="H59" s="1178"/>
      <c r="I59" s="1178"/>
      <c r="J59" s="1178"/>
      <c r="K59" s="1178"/>
      <c r="L59" s="1178"/>
      <c r="M59" s="1178"/>
      <c r="N59" s="1178"/>
      <c r="O59" s="1178"/>
      <c r="P59" s="1178"/>
      <c r="Q59" s="1178"/>
      <c r="R59" s="1178"/>
      <c r="S59" s="1178"/>
      <c r="T59" s="1178"/>
      <c r="U59" s="1178"/>
      <c r="V59" s="1178"/>
    </row>
    <row r="60" spans="1:22">
      <c r="A60" s="1178"/>
      <c r="B60" s="1178"/>
      <c r="C60" s="1178"/>
      <c r="D60" s="1178"/>
      <c r="E60" s="1178"/>
      <c r="F60" s="1178"/>
      <c r="G60" s="1178"/>
      <c r="H60" s="1178"/>
      <c r="I60" s="1178"/>
      <c r="J60" s="1178"/>
      <c r="K60" s="1178"/>
      <c r="L60" s="1178"/>
      <c r="M60" s="1178"/>
      <c r="N60" s="1178"/>
      <c r="O60" s="1178"/>
      <c r="P60" s="1178"/>
      <c r="Q60" s="1178"/>
      <c r="R60" s="1178"/>
      <c r="S60" s="1178"/>
      <c r="T60" s="1178"/>
      <c r="U60" s="1178"/>
      <c r="V60" s="1178"/>
    </row>
    <row r="61" spans="1:22">
      <c r="A61" s="1178"/>
      <c r="B61" s="1178"/>
      <c r="C61" s="1178"/>
      <c r="D61" s="1178"/>
      <c r="E61" s="1178"/>
      <c r="F61" s="1178"/>
      <c r="G61" s="1178"/>
      <c r="H61" s="1178"/>
      <c r="I61" s="1178"/>
      <c r="J61" s="1178"/>
      <c r="K61" s="1178"/>
      <c r="L61" s="1178"/>
      <c r="M61" s="1178"/>
      <c r="N61" s="1178"/>
      <c r="O61" s="1178"/>
      <c r="P61" s="1178"/>
      <c r="Q61" s="1178"/>
      <c r="R61" s="1178"/>
      <c r="S61" s="1178"/>
      <c r="T61" s="1423" t="s">
        <v>1244</v>
      </c>
      <c r="U61" s="1178"/>
      <c r="V61" s="1178"/>
    </row>
    <row r="62" spans="1:22">
      <c r="A62" s="1178"/>
      <c r="B62" s="1178"/>
      <c r="C62" s="1178"/>
      <c r="D62" s="1178"/>
      <c r="E62" s="1178"/>
      <c r="F62" s="1178"/>
      <c r="G62" s="1178"/>
      <c r="H62" s="1178"/>
      <c r="I62" s="1178"/>
      <c r="J62" s="1178"/>
      <c r="K62" s="1178"/>
      <c r="L62" s="1178"/>
      <c r="M62" s="1178"/>
      <c r="N62" s="1178"/>
      <c r="O62" s="1178"/>
      <c r="P62" s="1178"/>
      <c r="Q62" s="1178"/>
      <c r="R62" s="1178"/>
      <c r="S62" s="1178"/>
      <c r="T62" s="1178"/>
      <c r="U62" s="1178"/>
      <c r="V62" s="1178"/>
    </row>
    <row r="63" spans="1:22">
      <c r="A63" s="1178"/>
      <c r="B63" s="1178"/>
      <c r="C63" s="1178"/>
      <c r="D63" s="1178"/>
      <c r="E63" s="1178"/>
      <c r="F63" s="1178"/>
      <c r="G63" s="1178"/>
      <c r="H63" s="1178"/>
      <c r="I63" s="1178"/>
      <c r="J63" s="1178"/>
      <c r="K63" s="1178"/>
      <c r="L63" s="1178"/>
      <c r="M63" s="1178"/>
      <c r="N63" s="1178"/>
      <c r="O63" s="1178"/>
      <c r="P63" s="1178"/>
      <c r="Q63" s="1178"/>
      <c r="R63" s="1178"/>
      <c r="S63" s="1178"/>
      <c r="T63" s="1178"/>
      <c r="U63" s="1178"/>
      <c r="V63" s="1178"/>
    </row>
    <row r="64" spans="1:22">
      <c r="A64" s="1178"/>
      <c r="B64" s="1178"/>
      <c r="C64" s="1178"/>
      <c r="D64" s="1178"/>
      <c r="E64" s="1178"/>
      <c r="F64" s="1178"/>
      <c r="G64" s="1178"/>
      <c r="H64" s="1178"/>
      <c r="I64" s="1178"/>
      <c r="J64" s="1178"/>
      <c r="K64" s="1178"/>
      <c r="L64" s="1178"/>
      <c r="M64" s="1178"/>
      <c r="N64" s="1178"/>
      <c r="O64" s="1178"/>
      <c r="P64" s="1178"/>
      <c r="Q64" s="1178"/>
      <c r="R64" s="1178"/>
      <c r="S64" s="1178"/>
      <c r="T64" s="1178"/>
      <c r="U64" s="1178"/>
      <c r="V64" s="1178"/>
    </row>
    <row r="65" spans="1:22">
      <c r="A65" s="1178"/>
      <c r="B65" s="1178"/>
      <c r="C65" s="1178"/>
      <c r="D65" s="1178"/>
      <c r="E65" s="1178"/>
      <c r="F65" s="1178"/>
      <c r="G65" s="1178"/>
      <c r="H65" s="1178"/>
      <c r="I65" s="1178"/>
      <c r="J65" s="1178"/>
      <c r="K65" s="1178"/>
      <c r="L65" s="1178"/>
      <c r="M65" s="1178"/>
      <c r="N65" s="1178"/>
      <c r="O65" s="1178"/>
      <c r="P65" s="1178"/>
      <c r="Q65" s="1178"/>
      <c r="R65" s="1178"/>
      <c r="S65" s="1178"/>
      <c r="T65" s="1178"/>
      <c r="U65" s="1178"/>
      <c r="V65" s="1178"/>
    </row>
    <row r="66" spans="1:22">
      <c r="A66" s="1178"/>
      <c r="B66" s="1178"/>
      <c r="C66" s="1178"/>
      <c r="D66" s="1178"/>
      <c r="E66" s="1178"/>
      <c r="F66" s="1178"/>
      <c r="G66" s="1178"/>
      <c r="H66" s="1178"/>
      <c r="I66" s="1178"/>
      <c r="J66" s="1178"/>
      <c r="K66" s="1178"/>
      <c r="L66" s="1178"/>
      <c r="M66" s="1178"/>
      <c r="N66" s="1178"/>
      <c r="O66" s="1178"/>
      <c r="P66" s="1178"/>
      <c r="Q66" s="1178"/>
      <c r="R66" s="1178"/>
      <c r="S66" s="1178"/>
      <c r="T66" s="1178"/>
      <c r="U66" s="1178"/>
      <c r="V66" s="1178"/>
    </row>
    <row r="67" spans="1:22">
      <c r="A67" s="1178"/>
      <c r="B67" s="1178"/>
      <c r="C67" s="1178"/>
      <c r="D67" s="1178"/>
      <c r="E67" s="1178"/>
      <c r="F67" s="1178"/>
      <c r="G67" s="1178"/>
      <c r="H67" s="1178"/>
      <c r="I67" s="1178"/>
      <c r="J67" s="1178"/>
      <c r="K67" s="1178"/>
      <c r="L67" s="1178"/>
      <c r="M67" s="1178"/>
      <c r="N67" s="1178"/>
      <c r="O67" s="1178"/>
      <c r="P67" s="1178"/>
      <c r="Q67" s="1178"/>
      <c r="R67" s="1178"/>
      <c r="S67" s="1178"/>
      <c r="T67" s="1178"/>
      <c r="U67" s="1178"/>
      <c r="V67" s="1178"/>
    </row>
    <row r="68" spans="1:22">
      <c r="A68" s="1178"/>
      <c r="B68" s="1178"/>
      <c r="C68" s="1178"/>
      <c r="D68" s="1178"/>
      <c r="E68" s="1178"/>
      <c r="F68" s="1178"/>
      <c r="G68" s="1178"/>
      <c r="H68" s="1178"/>
      <c r="I68" s="1178"/>
      <c r="J68" s="1178"/>
      <c r="K68" s="1178"/>
      <c r="L68" s="1178"/>
      <c r="M68" s="1178"/>
      <c r="N68" s="1178"/>
      <c r="O68" s="1178"/>
      <c r="P68" s="1178"/>
      <c r="Q68" s="1178"/>
      <c r="R68" s="1178"/>
      <c r="S68" s="1178"/>
      <c r="T68" s="1178"/>
      <c r="U68" s="1178"/>
      <c r="V68" s="1178"/>
    </row>
    <row r="69" spans="1:22">
      <c r="A69" s="1178"/>
      <c r="B69" s="1178"/>
      <c r="C69" s="1178"/>
      <c r="D69" s="1178"/>
      <c r="E69" s="1178"/>
      <c r="F69" s="1178"/>
      <c r="G69" s="1178"/>
      <c r="H69" s="1178"/>
      <c r="I69" s="1178"/>
      <c r="J69" s="1178"/>
      <c r="K69" s="1178"/>
      <c r="L69" s="1178"/>
      <c r="M69" s="1178"/>
      <c r="N69" s="1178"/>
      <c r="O69" s="1178"/>
      <c r="P69" s="1178"/>
      <c r="Q69" s="1178"/>
      <c r="R69" s="1178"/>
      <c r="S69" s="1178"/>
      <c r="T69" s="1178"/>
      <c r="U69" s="1178"/>
      <c r="V69" s="1178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2" tint="-0.499984740745262"/>
  </sheetPr>
  <dimension ref="A1:R260"/>
  <sheetViews>
    <sheetView tabSelected="1" view="pageLayout" zoomScaleNormal="80" workbookViewId="0">
      <selection activeCell="G1" sqref="G1"/>
    </sheetView>
  </sheetViews>
  <sheetFormatPr defaultColWidth="15.5703125" defaultRowHeight="12.75"/>
  <cols>
    <col min="1" max="1" width="9.85546875" style="18" customWidth="1"/>
    <col min="2" max="2" width="36.28515625" style="18" customWidth="1"/>
    <col min="3" max="4" width="9.85546875" style="18" customWidth="1"/>
    <col min="5" max="5" width="15.5703125" style="18" customWidth="1"/>
    <col min="6" max="18" width="12.7109375" style="18" customWidth="1"/>
    <col min="19" max="16384" width="15.5703125" style="18"/>
  </cols>
  <sheetData>
    <row r="1" spans="1:18">
      <c r="A1" s="14" t="str">
        <f>COMPANY</f>
        <v>DUKE ENERGY KENTUCKY, INC.</v>
      </c>
      <c r="B1" s="14"/>
      <c r="C1" s="15"/>
      <c r="D1" s="15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</row>
    <row r="2" spans="1:18">
      <c r="A2" s="14" t="str">
        <f>CASE</f>
        <v>CASE NO. 2017-00321</v>
      </c>
      <c r="B2" s="14"/>
      <c r="C2" s="15"/>
      <c r="D2" s="15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>
      <c r="A3" s="16" t="s">
        <v>1620</v>
      </c>
      <c r="B3" s="16"/>
      <c r="C3" s="15"/>
      <c r="D3" s="15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8">
      <c r="A4" s="16" t="s">
        <v>1981</v>
      </c>
      <c r="B4" s="16"/>
      <c r="C4" s="15"/>
      <c r="D4" s="15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</row>
    <row r="5" spans="1:18" ht="12" customHeight="1">
      <c r="A5" s="14"/>
      <c r="B5" s="14"/>
      <c r="C5" s="15"/>
      <c r="D5" s="15"/>
      <c r="E5" s="3"/>
      <c r="F5" s="3"/>
      <c r="G5" s="3"/>
      <c r="H5" s="3"/>
      <c r="I5" s="3"/>
      <c r="J5" s="3"/>
      <c r="K5" s="3"/>
      <c r="L5" s="1357"/>
      <c r="M5" s="3"/>
      <c r="N5" s="3"/>
      <c r="O5" s="3"/>
      <c r="P5" s="3"/>
      <c r="Q5" s="3"/>
      <c r="R5" s="3"/>
    </row>
    <row r="6" spans="1:18">
      <c r="A6" s="14" t="str">
        <f>Data</f>
        <v>DATA: "X" BASE PERIOD   FORECASTED PERIOD</v>
      </c>
      <c r="B6" s="14"/>
      <c r="C6" s="15"/>
      <c r="D6" s="15"/>
      <c r="E6" s="3"/>
      <c r="F6" s="2"/>
      <c r="G6" s="3"/>
      <c r="H6" s="3"/>
      <c r="I6" s="3"/>
      <c r="J6" s="3"/>
      <c r="K6" s="3"/>
      <c r="L6" s="2"/>
      <c r="M6" s="2"/>
      <c r="N6" s="2"/>
      <c r="O6" s="3"/>
      <c r="P6" s="3"/>
      <c r="Q6" s="3"/>
      <c r="R6" s="3"/>
    </row>
    <row r="7" spans="1:18">
      <c r="A7" s="14" t="str">
        <f>Type</f>
        <v xml:space="preserve">TYPE OF FILING:  "X" ORIGINAL   UPDATED    REVISED  </v>
      </c>
      <c r="B7" s="14"/>
      <c r="C7" s="15"/>
      <c r="D7" s="15"/>
      <c r="E7" s="3"/>
      <c r="F7" s="2"/>
      <c r="G7" s="3"/>
      <c r="H7" s="3"/>
      <c r="I7" s="3"/>
      <c r="J7" s="3"/>
      <c r="K7" s="3"/>
      <c r="L7" s="2"/>
      <c r="M7" s="2"/>
      <c r="N7" s="2"/>
      <c r="O7" s="3"/>
      <c r="P7" s="3"/>
      <c r="Q7" s="3"/>
      <c r="R7" s="3"/>
    </row>
    <row r="8" spans="1:18">
      <c r="A8" s="15"/>
      <c r="B8" s="15"/>
      <c r="C8" s="15"/>
      <c r="D8" s="15"/>
      <c r="E8" s="2"/>
      <c r="F8" s="2"/>
      <c r="G8" s="2"/>
      <c r="H8" s="2"/>
      <c r="I8" s="2"/>
      <c r="J8" s="2"/>
      <c r="K8" s="2"/>
      <c r="L8" s="3"/>
      <c r="M8" s="3"/>
      <c r="N8" s="3"/>
      <c r="O8" s="3"/>
      <c r="P8" s="3"/>
      <c r="Q8" s="3"/>
      <c r="R8" s="3"/>
    </row>
    <row r="9" spans="1:18" ht="13.5" thickBot="1">
      <c r="A9" s="15"/>
      <c r="B9" s="15"/>
      <c r="C9" s="15"/>
      <c r="D9" s="15"/>
      <c r="E9" s="17"/>
      <c r="F9" s="2778" t="s">
        <v>970</v>
      </c>
      <c r="G9" s="2778" t="s">
        <v>970</v>
      </c>
      <c r="H9" s="2778" t="s">
        <v>970</v>
      </c>
      <c r="I9" s="2778" t="s">
        <v>970</v>
      </c>
      <c r="J9" s="2778" t="s">
        <v>970</v>
      </c>
      <c r="K9" s="2778" t="s">
        <v>970</v>
      </c>
      <c r="L9" s="2779" t="s">
        <v>1508</v>
      </c>
      <c r="M9" s="2779" t="s">
        <v>1508</v>
      </c>
      <c r="N9" s="2779" t="s">
        <v>1508</v>
      </c>
      <c r="O9" s="2779" t="s">
        <v>1508</v>
      </c>
      <c r="P9" s="2779" t="s">
        <v>1508</v>
      </c>
      <c r="Q9" s="2779" t="s">
        <v>1508</v>
      </c>
      <c r="R9" s="3"/>
    </row>
    <row r="10" spans="1:18" ht="13.5" thickBot="1">
      <c r="A10" s="11" t="s">
        <v>1118</v>
      </c>
      <c r="B10" s="12" t="s">
        <v>1119</v>
      </c>
      <c r="C10" s="11" t="s">
        <v>575</v>
      </c>
      <c r="D10" s="11" t="s">
        <v>943</v>
      </c>
      <c r="E10" s="12" t="s">
        <v>1929</v>
      </c>
      <c r="F10" s="13">
        <f>LOGO!I7</f>
        <v>42735</v>
      </c>
      <c r="G10" s="13">
        <f>LOGO!I8</f>
        <v>42766</v>
      </c>
      <c r="H10" s="13">
        <f>LOGO!I9</f>
        <v>42794</v>
      </c>
      <c r="I10" s="13">
        <f>LOGO!I10</f>
        <v>42825</v>
      </c>
      <c r="J10" s="13">
        <f>LOGO!I11</f>
        <v>42855</v>
      </c>
      <c r="K10" s="13">
        <f>LOGO!I12</f>
        <v>42886</v>
      </c>
      <c r="L10" s="13">
        <f>LOGO!I13</f>
        <v>42916</v>
      </c>
      <c r="M10" s="13">
        <f>LOGO!I14</f>
        <v>42947</v>
      </c>
      <c r="N10" s="13">
        <f>LOGO!I15</f>
        <v>42978</v>
      </c>
      <c r="O10" s="13">
        <f>LOGO!I16</f>
        <v>43008</v>
      </c>
      <c r="P10" s="13">
        <f>LOGO!I17</f>
        <v>43039</v>
      </c>
      <c r="Q10" s="13">
        <f>LOGO!I18</f>
        <v>43069</v>
      </c>
      <c r="R10" s="3"/>
    </row>
    <row r="11" spans="1:18">
      <c r="A11" s="1356">
        <v>403002</v>
      </c>
      <c r="B11" s="1522" t="s">
        <v>1989</v>
      </c>
      <c r="C11" s="1356" t="s">
        <v>1186</v>
      </c>
      <c r="D11" s="19">
        <f>VALUE(LEFT(A11,3))</f>
        <v>403</v>
      </c>
      <c r="E11" s="10">
        <f t="shared" ref="E11:E74" si="0">SUM(F11:Q11)</f>
        <v>34057862</v>
      </c>
      <c r="F11" s="64">
        <f t="shared" ref="F11:F30" si="1">IF(ISNA(VLOOKUP(A11,BPActual,3,FALSE)=TRUE),0,VLOOKUP(A11,BPActual,3,FALSE))</f>
        <v>2537047</v>
      </c>
      <c r="G11" s="64">
        <f t="shared" ref="G11:G30" si="2">IF(ISNA(VLOOKUP(A11,BPActual,4,FALSE)=TRUE),0,VLOOKUP(A11,BPActual,4,FALSE))</f>
        <v>2524945</v>
      </c>
      <c r="H11" s="64">
        <f t="shared" ref="H11:H30" si="3">IF(ISNA(VLOOKUP(A11,BPActual,5,FALSE)=TRUE),0,VLOOKUP(A11,BPActual,5,FALSE))</f>
        <v>2519867</v>
      </c>
      <c r="I11" s="64">
        <f t="shared" ref="I11:I30" si="4">IF(ISNA(VLOOKUP(A11,BPActual,6,FALSE)=TRUE),0,VLOOKUP(A11,BPActual,6,FALSE))</f>
        <v>2508876</v>
      </c>
      <c r="J11" s="64">
        <f t="shared" ref="J11:J30" si="5">IF(ISNA(VLOOKUP(A11,BPActual,7,FALSE)=TRUE),0,VLOOKUP(A11,BPActual,7,FALSE))</f>
        <v>2512947</v>
      </c>
      <c r="K11" s="64">
        <f t="shared" ref="K11:K30" si="6">IF(ISNA(VLOOKUP(A11,BPActual,8,FALSE)=TRUE),0,VLOOKUP(A11,BPActual,8,FALSE))</f>
        <v>2514502</v>
      </c>
      <c r="L11" s="64">
        <f t="shared" ref="L11:L30" si="7">IF(ISNA(VLOOKUP(A11,BPActual,9,FALSE)=TRUE),0,VLOOKUP(A11,BPActual,9,FALSE))</f>
        <v>3124053</v>
      </c>
      <c r="M11" s="64">
        <f t="shared" ref="M11:M30" si="8">IF(ISNA(VLOOKUP(A11,BPActual,10,FALSE)=TRUE),0,VLOOKUP(A11,BPActual,10,FALSE))</f>
        <v>3173848</v>
      </c>
      <c r="N11" s="64">
        <f t="shared" ref="N11:N30" si="9">IF(ISNA(VLOOKUP(A11,BPActual,11,FALSE)=TRUE),0,VLOOKUP(A11,BPActual,11,FALSE))</f>
        <v>3137956</v>
      </c>
      <c r="O11" s="64">
        <f t="shared" ref="O11:O30" si="10">IF(ISNA(VLOOKUP(A11,BPActual,12,FALSE)=TRUE),0,VLOOKUP(A11,BPActual,12,FALSE))</f>
        <v>3122944</v>
      </c>
      <c r="P11" s="64">
        <f t="shared" ref="P11:P30" si="11">IF(ISNA(VLOOKUP(A11,BPActual,13,FALSE)=TRUE),0,VLOOKUP(A11,BPActual,13,FALSE))</f>
        <v>3182896</v>
      </c>
      <c r="Q11" s="64">
        <f t="shared" ref="Q11:Q30" si="12">IF(ISNA(VLOOKUP(A11,BPActual,14,FALSE)=TRUE),0,VLOOKUP(A11,BPActual,14,FALSE))</f>
        <v>3197981</v>
      </c>
      <c r="R11" s="2"/>
    </row>
    <row r="12" spans="1:18">
      <c r="A12" s="1356">
        <v>403151</v>
      </c>
      <c r="B12" s="1522" t="s">
        <v>1990</v>
      </c>
      <c r="C12" s="1356" t="s">
        <v>1186</v>
      </c>
      <c r="D12" s="19">
        <f t="shared" ref="D12:D89" si="13">VALUE(LEFT(A12,3))</f>
        <v>403</v>
      </c>
      <c r="E12" s="10">
        <f t="shared" si="0"/>
        <v>0</v>
      </c>
      <c r="F12" s="64">
        <f t="shared" si="1"/>
        <v>0</v>
      </c>
      <c r="G12" s="64">
        <f t="shared" si="2"/>
        <v>0</v>
      </c>
      <c r="H12" s="64">
        <f t="shared" si="3"/>
        <v>0</v>
      </c>
      <c r="I12" s="64">
        <f t="shared" si="4"/>
        <v>0</v>
      </c>
      <c r="J12" s="64">
        <f t="shared" si="5"/>
        <v>0</v>
      </c>
      <c r="K12" s="64">
        <f t="shared" si="6"/>
        <v>0</v>
      </c>
      <c r="L12" s="64">
        <f t="shared" si="7"/>
        <v>0</v>
      </c>
      <c r="M12" s="64">
        <f t="shared" si="8"/>
        <v>0</v>
      </c>
      <c r="N12" s="64">
        <f t="shared" si="9"/>
        <v>0</v>
      </c>
      <c r="O12" s="64">
        <f t="shared" si="10"/>
        <v>0</v>
      </c>
      <c r="P12" s="64">
        <f t="shared" si="11"/>
        <v>0</v>
      </c>
      <c r="Q12" s="64">
        <f t="shared" si="12"/>
        <v>0</v>
      </c>
      <c r="R12" s="2"/>
    </row>
    <row r="13" spans="1:18">
      <c r="A13" s="1356">
        <v>404000</v>
      </c>
      <c r="B13" s="1522" t="s">
        <v>1187</v>
      </c>
      <c r="C13" s="1356" t="s">
        <v>1186</v>
      </c>
      <c r="D13" s="19">
        <f>VALUE(LEFT(A13,3))</f>
        <v>404</v>
      </c>
      <c r="E13" s="10">
        <f t="shared" si="0"/>
        <v>0</v>
      </c>
      <c r="F13" s="64">
        <f t="shared" si="1"/>
        <v>0</v>
      </c>
      <c r="G13" s="64">
        <f t="shared" si="2"/>
        <v>0</v>
      </c>
      <c r="H13" s="64">
        <f t="shared" si="3"/>
        <v>0</v>
      </c>
      <c r="I13" s="64">
        <f t="shared" si="4"/>
        <v>0</v>
      </c>
      <c r="J13" s="64">
        <f t="shared" si="5"/>
        <v>0</v>
      </c>
      <c r="K13" s="64">
        <f t="shared" si="6"/>
        <v>0</v>
      </c>
      <c r="L13" s="64">
        <f t="shared" si="7"/>
        <v>0</v>
      </c>
      <c r="M13" s="64">
        <f t="shared" si="8"/>
        <v>0</v>
      </c>
      <c r="N13" s="64">
        <f t="shared" si="9"/>
        <v>0</v>
      </c>
      <c r="O13" s="64">
        <f t="shared" si="10"/>
        <v>0</v>
      </c>
      <c r="P13" s="64">
        <f t="shared" si="11"/>
        <v>0</v>
      </c>
      <c r="Q13" s="64">
        <f t="shared" si="12"/>
        <v>0</v>
      </c>
      <c r="R13" s="2"/>
    </row>
    <row r="14" spans="1:18">
      <c r="A14" s="1356">
        <v>404200</v>
      </c>
      <c r="B14" s="1522" t="s">
        <v>2936</v>
      </c>
      <c r="C14" s="1356" t="s">
        <v>1186</v>
      </c>
      <c r="D14" s="19">
        <f t="shared" si="13"/>
        <v>404</v>
      </c>
      <c r="E14" s="10">
        <f t="shared" si="0"/>
        <v>1318068</v>
      </c>
      <c r="F14" s="64">
        <f t="shared" si="1"/>
        <v>-122995</v>
      </c>
      <c r="G14" s="64">
        <f t="shared" si="2"/>
        <v>185846</v>
      </c>
      <c r="H14" s="64">
        <f t="shared" si="3"/>
        <v>184652</v>
      </c>
      <c r="I14" s="64">
        <f t="shared" si="4"/>
        <v>186401</v>
      </c>
      <c r="J14" s="64">
        <f t="shared" si="5"/>
        <v>187333</v>
      </c>
      <c r="K14" s="64">
        <f t="shared" si="6"/>
        <v>187661</v>
      </c>
      <c r="L14" s="64">
        <f t="shared" si="7"/>
        <v>82841</v>
      </c>
      <c r="M14" s="64">
        <f t="shared" si="8"/>
        <v>84651</v>
      </c>
      <c r="N14" s="64">
        <f t="shared" si="9"/>
        <v>84651</v>
      </c>
      <c r="O14" s="64">
        <f t="shared" si="10"/>
        <v>84651</v>
      </c>
      <c r="P14" s="64">
        <f t="shared" si="11"/>
        <v>86188</v>
      </c>
      <c r="Q14" s="64">
        <f t="shared" si="12"/>
        <v>86188</v>
      </c>
      <c r="R14" s="2"/>
    </row>
    <row r="15" spans="1:18">
      <c r="A15" s="1356">
        <v>407354</v>
      </c>
      <c r="B15" s="1522" t="s">
        <v>1992</v>
      </c>
      <c r="C15" s="1356" t="s">
        <v>1180</v>
      </c>
      <c r="D15" s="19">
        <f t="shared" si="13"/>
        <v>407</v>
      </c>
      <c r="E15" s="10">
        <f t="shared" si="0"/>
        <v>-2035889</v>
      </c>
      <c r="F15" s="64">
        <f t="shared" si="1"/>
        <v>-73896</v>
      </c>
      <c r="G15" s="64">
        <f t="shared" si="2"/>
        <v>281236</v>
      </c>
      <c r="H15" s="64">
        <f t="shared" si="3"/>
        <v>-75145</v>
      </c>
      <c r="I15" s="64">
        <f t="shared" si="4"/>
        <v>-442920</v>
      </c>
      <c r="J15" s="64">
        <f t="shared" si="5"/>
        <v>-1079095</v>
      </c>
      <c r="K15" s="64">
        <f t="shared" si="6"/>
        <v>-676669</v>
      </c>
      <c r="L15" s="64">
        <f t="shared" si="7"/>
        <v>5100</v>
      </c>
      <c r="M15" s="64">
        <f t="shared" si="8"/>
        <v>5100</v>
      </c>
      <c r="N15" s="64">
        <f t="shared" si="9"/>
        <v>5100</v>
      </c>
      <c r="O15" s="64">
        <f t="shared" si="10"/>
        <v>5100</v>
      </c>
      <c r="P15" s="64">
        <f t="shared" si="11"/>
        <v>5100</v>
      </c>
      <c r="Q15" s="64">
        <f t="shared" si="12"/>
        <v>5100</v>
      </c>
      <c r="R15" s="2"/>
    </row>
    <row r="16" spans="1:18">
      <c r="A16" s="1356">
        <v>407407</v>
      </c>
      <c r="B16" s="1522" t="s">
        <v>1993</v>
      </c>
      <c r="C16" s="1356" t="s">
        <v>1180</v>
      </c>
      <c r="D16" s="19">
        <f t="shared" si="13"/>
        <v>407</v>
      </c>
      <c r="E16" s="10">
        <f t="shared" si="0"/>
        <v>-727216</v>
      </c>
      <c r="F16" s="64">
        <f t="shared" si="1"/>
        <v>-111055</v>
      </c>
      <c r="G16" s="64">
        <f t="shared" si="2"/>
        <v>-115015</v>
      </c>
      <c r="H16" s="64">
        <f t="shared" si="3"/>
        <v>-118681</v>
      </c>
      <c r="I16" s="64">
        <f t="shared" si="4"/>
        <v>-123359</v>
      </c>
      <c r="J16" s="64">
        <f t="shared" si="5"/>
        <v>-126528</v>
      </c>
      <c r="K16" s="64">
        <f t="shared" si="6"/>
        <v>-132578</v>
      </c>
      <c r="L16" s="64">
        <f t="shared" si="7"/>
        <v>0</v>
      </c>
      <c r="M16" s="64">
        <f t="shared" si="8"/>
        <v>0</v>
      </c>
      <c r="N16" s="64">
        <f t="shared" si="9"/>
        <v>0</v>
      </c>
      <c r="O16" s="64">
        <f t="shared" si="10"/>
        <v>0</v>
      </c>
      <c r="P16" s="64">
        <f t="shared" si="11"/>
        <v>0</v>
      </c>
      <c r="Q16" s="64">
        <f t="shared" si="12"/>
        <v>0</v>
      </c>
      <c r="R16" s="2"/>
    </row>
    <row r="17" spans="1:18">
      <c r="A17" s="1356">
        <v>408040</v>
      </c>
      <c r="B17" s="1522" t="s">
        <v>2606</v>
      </c>
      <c r="C17" s="1356" t="s">
        <v>1188</v>
      </c>
      <c r="D17" s="19">
        <f t="shared" si="13"/>
        <v>408</v>
      </c>
      <c r="E17" s="10">
        <f t="shared" si="0"/>
        <v>0</v>
      </c>
      <c r="F17" s="64">
        <f t="shared" si="1"/>
        <v>0</v>
      </c>
      <c r="G17" s="64">
        <f t="shared" si="2"/>
        <v>0</v>
      </c>
      <c r="H17" s="64">
        <f t="shared" si="3"/>
        <v>0</v>
      </c>
      <c r="I17" s="64">
        <f t="shared" si="4"/>
        <v>0</v>
      </c>
      <c r="J17" s="64">
        <f t="shared" si="5"/>
        <v>0</v>
      </c>
      <c r="K17" s="64">
        <f t="shared" si="6"/>
        <v>0</v>
      </c>
      <c r="L17" s="64">
        <f t="shared" si="7"/>
        <v>0</v>
      </c>
      <c r="M17" s="64">
        <f t="shared" si="8"/>
        <v>0</v>
      </c>
      <c r="N17" s="64">
        <f t="shared" si="9"/>
        <v>0</v>
      </c>
      <c r="O17" s="64">
        <f t="shared" si="10"/>
        <v>0</v>
      </c>
      <c r="P17" s="64">
        <f t="shared" si="11"/>
        <v>0</v>
      </c>
      <c r="Q17" s="64">
        <f t="shared" si="12"/>
        <v>0</v>
      </c>
      <c r="R17" s="2"/>
    </row>
    <row r="18" spans="1:18">
      <c r="A18" s="1356">
        <v>408050</v>
      </c>
      <c r="B18" s="1522" t="s">
        <v>1994</v>
      </c>
      <c r="C18" s="1356" t="s">
        <v>1188</v>
      </c>
      <c r="D18" s="19">
        <f t="shared" si="13"/>
        <v>408</v>
      </c>
      <c r="E18" s="10">
        <f t="shared" si="0"/>
        <v>9450</v>
      </c>
      <c r="F18" s="64">
        <f t="shared" si="1"/>
        <v>0</v>
      </c>
      <c r="G18" s="64">
        <f t="shared" si="2"/>
        <v>1890</v>
      </c>
      <c r="H18" s="64">
        <f t="shared" si="3"/>
        <v>1890</v>
      </c>
      <c r="I18" s="64">
        <f t="shared" si="4"/>
        <v>1890</v>
      </c>
      <c r="J18" s="64">
        <f t="shared" si="5"/>
        <v>1890</v>
      </c>
      <c r="K18" s="64">
        <f t="shared" si="6"/>
        <v>1890</v>
      </c>
      <c r="L18" s="64">
        <f t="shared" si="7"/>
        <v>0</v>
      </c>
      <c r="M18" s="64">
        <f t="shared" si="8"/>
        <v>0</v>
      </c>
      <c r="N18" s="64">
        <f t="shared" si="9"/>
        <v>0</v>
      </c>
      <c r="O18" s="64">
        <f t="shared" si="10"/>
        <v>0</v>
      </c>
      <c r="P18" s="64">
        <f t="shared" si="11"/>
        <v>0</v>
      </c>
      <c r="Q18" s="64">
        <f t="shared" si="12"/>
        <v>0</v>
      </c>
      <c r="R18" s="2"/>
    </row>
    <row r="19" spans="1:18">
      <c r="A19" s="1356">
        <v>408120</v>
      </c>
      <c r="B19" s="1522" t="s">
        <v>1995</v>
      </c>
      <c r="C19" s="1356" t="s">
        <v>1188</v>
      </c>
      <c r="D19" s="19">
        <f t="shared" si="13"/>
        <v>408</v>
      </c>
      <c r="E19" s="10">
        <f t="shared" si="0"/>
        <v>0</v>
      </c>
      <c r="F19" s="64">
        <f t="shared" si="1"/>
        <v>0</v>
      </c>
      <c r="G19" s="64">
        <f t="shared" si="2"/>
        <v>0</v>
      </c>
      <c r="H19" s="64">
        <f t="shared" si="3"/>
        <v>0</v>
      </c>
      <c r="I19" s="64">
        <f t="shared" si="4"/>
        <v>0</v>
      </c>
      <c r="J19" s="64">
        <f t="shared" si="5"/>
        <v>0</v>
      </c>
      <c r="K19" s="64">
        <f t="shared" si="6"/>
        <v>0</v>
      </c>
      <c r="L19" s="64">
        <f t="shared" si="7"/>
        <v>0</v>
      </c>
      <c r="M19" s="64">
        <f t="shared" si="8"/>
        <v>0</v>
      </c>
      <c r="N19" s="64">
        <f t="shared" si="9"/>
        <v>0</v>
      </c>
      <c r="O19" s="64">
        <f t="shared" si="10"/>
        <v>0</v>
      </c>
      <c r="P19" s="64">
        <f t="shared" si="11"/>
        <v>0</v>
      </c>
      <c r="Q19" s="64">
        <f t="shared" si="12"/>
        <v>0</v>
      </c>
      <c r="R19" s="2"/>
    </row>
    <row r="20" spans="1:18">
      <c r="A20" s="1356">
        <v>408121</v>
      </c>
      <c r="B20" s="1522" t="s">
        <v>1996</v>
      </c>
      <c r="C20" s="1356" t="s">
        <v>1188</v>
      </c>
      <c r="D20" s="19">
        <f t="shared" si="13"/>
        <v>408</v>
      </c>
      <c r="E20" s="10">
        <f t="shared" si="0"/>
        <v>8626257</v>
      </c>
      <c r="F20" s="64">
        <f t="shared" si="1"/>
        <v>614919</v>
      </c>
      <c r="G20" s="64">
        <f t="shared" si="2"/>
        <v>725968</v>
      </c>
      <c r="H20" s="64">
        <f t="shared" si="3"/>
        <v>732101</v>
      </c>
      <c r="I20" s="64">
        <f t="shared" si="4"/>
        <v>732101</v>
      </c>
      <c r="J20" s="64">
        <f t="shared" si="5"/>
        <v>732101</v>
      </c>
      <c r="K20" s="64">
        <f t="shared" si="6"/>
        <v>732101</v>
      </c>
      <c r="L20" s="64">
        <f t="shared" si="7"/>
        <v>726161</v>
      </c>
      <c r="M20" s="64">
        <f t="shared" si="8"/>
        <v>726161</v>
      </c>
      <c r="N20" s="64">
        <f t="shared" si="9"/>
        <v>726161</v>
      </c>
      <c r="O20" s="64">
        <f t="shared" si="10"/>
        <v>726161</v>
      </c>
      <c r="P20" s="64">
        <f t="shared" si="11"/>
        <v>726161</v>
      </c>
      <c r="Q20" s="64">
        <f t="shared" si="12"/>
        <v>726161</v>
      </c>
      <c r="R20" s="2"/>
    </row>
    <row r="21" spans="1:18">
      <c r="A21" s="1356">
        <v>408150</v>
      </c>
      <c r="B21" s="1522" t="s">
        <v>1997</v>
      </c>
      <c r="C21" s="1356" t="s">
        <v>1188</v>
      </c>
      <c r="D21" s="19">
        <f t="shared" si="13"/>
        <v>408</v>
      </c>
      <c r="E21" s="10">
        <f t="shared" si="0"/>
        <v>9430</v>
      </c>
      <c r="F21" s="64">
        <f t="shared" si="1"/>
        <v>338</v>
      </c>
      <c r="G21" s="64">
        <f t="shared" si="2"/>
        <v>11666</v>
      </c>
      <c r="H21" s="64">
        <f t="shared" si="3"/>
        <v>2265</v>
      </c>
      <c r="I21" s="64">
        <f t="shared" si="4"/>
        <v>-5033</v>
      </c>
      <c r="J21" s="64">
        <f t="shared" si="5"/>
        <v>118</v>
      </c>
      <c r="K21" s="64">
        <f t="shared" si="6"/>
        <v>76</v>
      </c>
      <c r="L21" s="64">
        <f t="shared" si="7"/>
        <v>0</v>
      </c>
      <c r="M21" s="64">
        <f t="shared" si="8"/>
        <v>0</v>
      </c>
      <c r="N21" s="64">
        <f t="shared" si="9"/>
        <v>0</v>
      </c>
      <c r="O21" s="64">
        <f t="shared" si="10"/>
        <v>0</v>
      </c>
      <c r="P21" s="64">
        <f t="shared" si="11"/>
        <v>0</v>
      </c>
      <c r="Q21" s="64">
        <f t="shared" si="12"/>
        <v>0</v>
      </c>
      <c r="R21" s="2"/>
    </row>
    <row r="22" spans="1:18">
      <c r="A22" s="1356">
        <v>408151</v>
      </c>
      <c r="B22" s="1522" t="s">
        <v>1998</v>
      </c>
      <c r="C22" s="1356" t="s">
        <v>1188</v>
      </c>
      <c r="D22" s="19">
        <f t="shared" si="13"/>
        <v>408</v>
      </c>
      <c r="E22" s="10">
        <f t="shared" si="0"/>
        <v>4849</v>
      </c>
      <c r="F22" s="64">
        <f t="shared" si="1"/>
        <v>154</v>
      </c>
      <c r="G22" s="64">
        <f t="shared" si="2"/>
        <v>4078</v>
      </c>
      <c r="H22" s="64">
        <f t="shared" si="3"/>
        <v>-530</v>
      </c>
      <c r="I22" s="64">
        <f t="shared" si="4"/>
        <v>-757</v>
      </c>
      <c r="J22" s="64">
        <f t="shared" si="5"/>
        <v>948</v>
      </c>
      <c r="K22" s="64">
        <f t="shared" si="6"/>
        <v>956</v>
      </c>
      <c r="L22" s="64">
        <f t="shared" si="7"/>
        <v>0</v>
      </c>
      <c r="M22" s="64">
        <f t="shared" si="8"/>
        <v>0</v>
      </c>
      <c r="N22" s="64">
        <f t="shared" si="9"/>
        <v>0</v>
      </c>
      <c r="O22" s="64">
        <f t="shared" si="10"/>
        <v>0</v>
      </c>
      <c r="P22" s="64">
        <f t="shared" si="11"/>
        <v>0</v>
      </c>
      <c r="Q22" s="64">
        <f t="shared" si="12"/>
        <v>0</v>
      </c>
      <c r="R22" s="2"/>
    </row>
    <row r="23" spans="1:18">
      <c r="A23" s="1356">
        <v>408152</v>
      </c>
      <c r="B23" s="1522" t="s">
        <v>1999</v>
      </c>
      <c r="C23" s="1356" t="s">
        <v>1188</v>
      </c>
      <c r="D23" s="19">
        <f t="shared" si="13"/>
        <v>408</v>
      </c>
      <c r="E23" s="10">
        <f t="shared" si="0"/>
        <v>483711</v>
      </c>
      <c r="F23" s="64">
        <f t="shared" si="1"/>
        <v>75800</v>
      </c>
      <c r="G23" s="64">
        <f t="shared" si="2"/>
        <v>82942</v>
      </c>
      <c r="H23" s="64">
        <f t="shared" si="3"/>
        <v>70849</v>
      </c>
      <c r="I23" s="64">
        <f t="shared" si="4"/>
        <v>96625</v>
      </c>
      <c r="J23" s="64">
        <f t="shared" si="5"/>
        <v>72094</v>
      </c>
      <c r="K23" s="64">
        <f t="shared" si="6"/>
        <v>85401</v>
      </c>
      <c r="L23" s="64">
        <f t="shared" si="7"/>
        <v>0</v>
      </c>
      <c r="M23" s="64">
        <f t="shared" si="8"/>
        <v>0</v>
      </c>
      <c r="N23" s="64">
        <f t="shared" si="9"/>
        <v>0</v>
      </c>
      <c r="O23" s="64">
        <f t="shared" si="10"/>
        <v>0</v>
      </c>
      <c r="P23" s="64">
        <f t="shared" si="11"/>
        <v>0</v>
      </c>
      <c r="Q23" s="64">
        <f t="shared" si="12"/>
        <v>0</v>
      </c>
      <c r="R23" s="2"/>
    </row>
    <row r="24" spans="1:18">
      <c r="A24" s="1356">
        <v>408153</v>
      </c>
      <c r="B24" s="1522" t="s">
        <v>2665</v>
      </c>
      <c r="C24" s="1356" t="s">
        <v>1188</v>
      </c>
      <c r="D24" s="19">
        <f>VALUE(LEFT(A24,3))</f>
        <v>408</v>
      </c>
      <c r="E24" s="10">
        <f t="shared" si="0"/>
        <v>3</v>
      </c>
      <c r="F24" s="64">
        <f t="shared" si="1"/>
        <v>0</v>
      </c>
      <c r="G24" s="64">
        <f t="shared" si="2"/>
        <v>0</v>
      </c>
      <c r="H24" s="64">
        <f t="shared" si="3"/>
        <v>3</v>
      </c>
      <c r="I24" s="64">
        <f t="shared" si="4"/>
        <v>0</v>
      </c>
      <c r="J24" s="64">
        <f t="shared" si="5"/>
        <v>0</v>
      </c>
      <c r="K24" s="64">
        <f t="shared" si="6"/>
        <v>0</v>
      </c>
      <c r="L24" s="64">
        <f t="shared" si="7"/>
        <v>0</v>
      </c>
      <c r="M24" s="64">
        <f t="shared" si="8"/>
        <v>0</v>
      </c>
      <c r="N24" s="64">
        <f t="shared" si="9"/>
        <v>0</v>
      </c>
      <c r="O24" s="64">
        <f t="shared" si="10"/>
        <v>0</v>
      </c>
      <c r="P24" s="64">
        <f t="shared" si="11"/>
        <v>0</v>
      </c>
      <c r="Q24" s="64">
        <f t="shared" si="12"/>
        <v>0</v>
      </c>
      <c r="R24" s="2"/>
    </row>
    <row r="25" spans="1:18">
      <c r="A25" s="1356">
        <v>408205</v>
      </c>
      <c r="B25" s="1522" t="s">
        <v>2000</v>
      </c>
      <c r="C25" s="1356" t="s">
        <v>1188</v>
      </c>
      <c r="D25" s="19">
        <f t="shared" si="13"/>
        <v>408</v>
      </c>
      <c r="E25" s="10">
        <f t="shared" si="0"/>
        <v>55</v>
      </c>
      <c r="F25" s="64">
        <f t="shared" si="1"/>
        <v>0</v>
      </c>
      <c r="G25" s="64">
        <f t="shared" si="2"/>
        <v>26</v>
      </c>
      <c r="H25" s="64">
        <f t="shared" si="3"/>
        <v>0</v>
      </c>
      <c r="I25" s="64">
        <f t="shared" si="4"/>
        <v>0</v>
      </c>
      <c r="J25" s="64">
        <f t="shared" si="5"/>
        <v>29</v>
      </c>
      <c r="K25" s="64">
        <f t="shared" si="6"/>
        <v>0</v>
      </c>
      <c r="L25" s="64">
        <f t="shared" si="7"/>
        <v>0</v>
      </c>
      <c r="M25" s="64">
        <f t="shared" si="8"/>
        <v>0</v>
      </c>
      <c r="N25" s="64">
        <f t="shared" si="9"/>
        <v>0</v>
      </c>
      <c r="O25" s="64">
        <f t="shared" si="10"/>
        <v>0</v>
      </c>
      <c r="P25" s="64">
        <f t="shared" si="11"/>
        <v>0</v>
      </c>
      <c r="Q25" s="64">
        <f t="shared" si="12"/>
        <v>0</v>
      </c>
      <c r="R25" s="2"/>
    </row>
    <row r="26" spans="1:18">
      <c r="A26" s="1356">
        <v>408470</v>
      </c>
      <c r="B26" s="1522" t="s">
        <v>2489</v>
      </c>
      <c r="C26" s="1356" t="s">
        <v>1188</v>
      </c>
      <c r="D26" s="19">
        <f>VALUE(LEFT(A26,3))</f>
        <v>408</v>
      </c>
      <c r="E26" s="10">
        <f t="shared" si="0"/>
        <v>29850</v>
      </c>
      <c r="F26" s="64">
        <f t="shared" si="1"/>
        <v>24171</v>
      </c>
      <c r="G26" s="64">
        <f t="shared" si="2"/>
        <v>0</v>
      </c>
      <c r="H26" s="64">
        <f t="shared" si="3"/>
        <v>0</v>
      </c>
      <c r="I26" s="64">
        <f t="shared" si="4"/>
        <v>3407</v>
      </c>
      <c r="J26" s="64">
        <f t="shared" si="5"/>
        <v>0</v>
      </c>
      <c r="K26" s="64">
        <f t="shared" si="6"/>
        <v>2272</v>
      </c>
      <c r="L26" s="64">
        <f t="shared" si="7"/>
        <v>0</v>
      </c>
      <c r="M26" s="64">
        <f t="shared" si="8"/>
        <v>0</v>
      </c>
      <c r="N26" s="64">
        <f t="shared" si="9"/>
        <v>0</v>
      </c>
      <c r="O26" s="64">
        <f t="shared" si="10"/>
        <v>0</v>
      </c>
      <c r="P26" s="64">
        <f t="shared" si="11"/>
        <v>0</v>
      </c>
      <c r="Q26" s="64">
        <f t="shared" si="12"/>
        <v>0</v>
      </c>
      <c r="R26" s="2"/>
    </row>
    <row r="27" spans="1:18">
      <c r="A27" s="1356">
        <v>408700</v>
      </c>
      <c r="B27" s="1522" t="s">
        <v>2001</v>
      </c>
      <c r="C27" s="1356" t="s">
        <v>1188</v>
      </c>
      <c r="D27" s="19">
        <f t="shared" si="13"/>
        <v>408</v>
      </c>
      <c r="E27" s="10">
        <f t="shared" si="0"/>
        <v>-10000</v>
      </c>
      <c r="F27" s="64">
        <f t="shared" si="1"/>
        <v>5000</v>
      </c>
      <c r="G27" s="64">
        <f t="shared" si="2"/>
        <v>0</v>
      </c>
      <c r="H27" s="64">
        <f t="shared" si="3"/>
        <v>0</v>
      </c>
      <c r="I27" s="64">
        <f t="shared" si="4"/>
        <v>-15000</v>
      </c>
      <c r="J27" s="64">
        <f t="shared" si="5"/>
        <v>0</v>
      </c>
      <c r="K27" s="64">
        <f t="shared" si="6"/>
        <v>0</v>
      </c>
      <c r="L27" s="64">
        <f t="shared" si="7"/>
        <v>0</v>
      </c>
      <c r="M27" s="64">
        <f t="shared" si="8"/>
        <v>0</v>
      </c>
      <c r="N27" s="64">
        <f t="shared" si="9"/>
        <v>0</v>
      </c>
      <c r="O27" s="64">
        <f t="shared" si="10"/>
        <v>0</v>
      </c>
      <c r="P27" s="64">
        <f t="shared" si="11"/>
        <v>0</v>
      </c>
      <c r="Q27" s="64">
        <f t="shared" si="12"/>
        <v>0</v>
      </c>
      <c r="R27" s="2"/>
    </row>
    <row r="28" spans="1:18">
      <c r="A28" s="1356">
        <v>408800</v>
      </c>
      <c r="B28" s="1522" t="s">
        <v>2002</v>
      </c>
      <c r="C28" s="1356" t="s">
        <v>1188</v>
      </c>
      <c r="D28" s="19">
        <f t="shared" si="13"/>
        <v>408</v>
      </c>
      <c r="E28" s="10">
        <f t="shared" si="0"/>
        <v>4</v>
      </c>
      <c r="F28" s="64">
        <f t="shared" si="1"/>
        <v>0</v>
      </c>
      <c r="G28" s="64">
        <f t="shared" si="2"/>
        <v>3</v>
      </c>
      <c r="H28" s="64">
        <f t="shared" si="3"/>
        <v>0</v>
      </c>
      <c r="I28" s="64">
        <f t="shared" si="4"/>
        <v>1</v>
      </c>
      <c r="J28" s="64">
        <f t="shared" si="5"/>
        <v>0</v>
      </c>
      <c r="K28" s="64">
        <f t="shared" si="6"/>
        <v>0</v>
      </c>
      <c r="L28" s="64">
        <f t="shared" si="7"/>
        <v>0</v>
      </c>
      <c r="M28" s="64">
        <f t="shared" si="8"/>
        <v>0</v>
      </c>
      <c r="N28" s="64">
        <f t="shared" si="9"/>
        <v>0</v>
      </c>
      <c r="O28" s="64">
        <f t="shared" si="10"/>
        <v>0</v>
      </c>
      <c r="P28" s="64">
        <f t="shared" si="11"/>
        <v>0</v>
      </c>
      <c r="Q28" s="64">
        <f t="shared" si="12"/>
        <v>0</v>
      </c>
      <c r="R28" s="2"/>
    </row>
    <row r="29" spans="1:18">
      <c r="A29" s="1356">
        <v>408851</v>
      </c>
      <c r="B29" s="1522" t="s">
        <v>2003</v>
      </c>
      <c r="C29" s="1356" t="s">
        <v>1188</v>
      </c>
      <c r="D29" s="19">
        <f t="shared" si="13"/>
        <v>408</v>
      </c>
      <c r="E29" s="10">
        <f t="shared" si="0"/>
        <v>-192</v>
      </c>
      <c r="F29" s="64">
        <f t="shared" si="1"/>
        <v>4</v>
      </c>
      <c r="G29" s="64">
        <f t="shared" si="2"/>
        <v>0</v>
      </c>
      <c r="H29" s="64">
        <f t="shared" si="3"/>
        <v>-1</v>
      </c>
      <c r="I29" s="64">
        <f t="shared" si="4"/>
        <v>0</v>
      </c>
      <c r="J29" s="64">
        <f t="shared" si="5"/>
        <v>-195</v>
      </c>
      <c r="K29" s="64">
        <f t="shared" si="6"/>
        <v>0</v>
      </c>
      <c r="L29" s="64">
        <f t="shared" si="7"/>
        <v>0</v>
      </c>
      <c r="M29" s="64">
        <f t="shared" si="8"/>
        <v>0</v>
      </c>
      <c r="N29" s="64">
        <f t="shared" si="9"/>
        <v>0</v>
      </c>
      <c r="O29" s="64">
        <f t="shared" si="10"/>
        <v>0</v>
      </c>
      <c r="P29" s="64">
        <f t="shared" si="11"/>
        <v>0</v>
      </c>
      <c r="Q29" s="64">
        <f t="shared" si="12"/>
        <v>0</v>
      </c>
      <c r="R29" s="2"/>
    </row>
    <row r="30" spans="1:18">
      <c r="A30" s="1356">
        <v>408960</v>
      </c>
      <c r="B30" s="1522" t="s">
        <v>2004</v>
      </c>
      <c r="C30" s="1356" t="s">
        <v>1188</v>
      </c>
      <c r="D30" s="19">
        <f t="shared" si="13"/>
        <v>408</v>
      </c>
      <c r="E30" s="10">
        <f t="shared" si="0"/>
        <v>1522040</v>
      </c>
      <c r="F30" s="64">
        <f t="shared" si="1"/>
        <v>148212</v>
      </c>
      <c r="G30" s="64">
        <f t="shared" si="2"/>
        <v>159781</v>
      </c>
      <c r="H30" s="64">
        <f t="shared" si="3"/>
        <v>83928</v>
      </c>
      <c r="I30" s="64">
        <f t="shared" si="4"/>
        <v>-68933</v>
      </c>
      <c r="J30" s="64">
        <f t="shared" si="5"/>
        <v>82143</v>
      </c>
      <c r="K30" s="64">
        <f t="shared" si="6"/>
        <v>80643</v>
      </c>
      <c r="L30" s="64">
        <f t="shared" si="7"/>
        <v>168235</v>
      </c>
      <c r="M30" s="64">
        <f t="shared" si="8"/>
        <v>167983</v>
      </c>
      <c r="N30" s="64">
        <f t="shared" si="9"/>
        <v>166305</v>
      </c>
      <c r="O30" s="64">
        <f t="shared" si="10"/>
        <v>192529</v>
      </c>
      <c r="P30" s="64">
        <f t="shared" si="11"/>
        <v>173511</v>
      </c>
      <c r="Q30" s="64">
        <f t="shared" si="12"/>
        <v>167703</v>
      </c>
      <c r="R30" s="2"/>
    </row>
    <row r="31" spans="1:18">
      <c r="A31" s="1356">
        <v>409102</v>
      </c>
      <c r="B31" s="1522" t="s">
        <v>2607</v>
      </c>
      <c r="C31" s="1356" t="s">
        <v>1189</v>
      </c>
      <c r="D31" s="19">
        <f t="shared" si="13"/>
        <v>409</v>
      </c>
      <c r="E31" s="10">
        <f t="shared" si="0"/>
        <v>-634892</v>
      </c>
      <c r="F31" s="64">
        <f>ROUND(SCH_E1!$AH$287/12,0)</f>
        <v>-52908</v>
      </c>
      <c r="G31" s="64">
        <f>ROUND(SCH_E1!$AH$287/12,0)</f>
        <v>-52908</v>
      </c>
      <c r="H31" s="64">
        <f>ROUND(SCH_E1!$AH$287/12,0)</f>
        <v>-52908</v>
      </c>
      <c r="I31" s="64">
        <f>ROUND(SCH_E1!$AH$287/12,0)</f>
        <v>-52908</v>
      </c>
      <c r="J31" s="64">
        <f>ROUND(SCH_E1!$AH$287/12,0)</f>
        <v>-52908</v>
      </c>
      <c r="K31" s="64">
        <f>ROUND(SCH_E1!$AH$287/12,0)</f>
        <v>-52908</v>
      </c>
      <c r="L31" s="64">
        <f>ROUND(SCH_E1!$AH$287/12,0)</f>
        <v>-52908</v>
      </c>
      <c r="M31" s="64">
        <f>ROUND(SCH_E1!$AH$287/12,0)</f>
        <v>-52908</v>
      </c>
      <c r="N31" s="64">
        <f>ROUND(SCH_E1!$AH$287/12,0)</f>
        <v>-52908</v>
      </c>
      <c r="O31" s="64">
        <f>ROUND(SCH_E1!$AH$287/12,0)</f>
        <v>-52908</v>
      </c>
      <c r="P31" s="64">
        <f>ROUND(SCH_E1!$AH$287/12,0)</f>
        <v>-52908</v>
      </c>
      <c r="Q31" s="64">
        <f>ROUND(SCH_E1!$AH$287-SUM(F31:P31),0)</f>
        <v>-52904</v>
      </c>
      <c r="R31" s="2"/>
    </row>
    <row r="32" spans="1:18">
      <c r="A32" s="1356">
        <v>409104</v>
      </c>
      <c r="B32" s="1522" t="s">
        <v>2006</v>
      </c>
      <c r="C32" s="1356" t="s">
        <v>1189</v>
      </c>
      <c r="D32" s="19">
        <f t="shared" si="13"/>
        <v>409</v>
      </c>
      <c r="E32" s="10">
        <f t="shared" si="0"/>
        <v>-546785</v>
      </c>
      <c r="F32" s="64">
        <f>IF(ISNA(VLOOKUP(A32,BPActual,3,FALSE)=TRUE),0,VLOOKUP(A32,BPActual,3,FALSE))</f>
        <v>-546785</v>
      </c>
      <c r="G32" s="64">
        <f>IF(ISNA(VLOOKUP(A32,BPActual,4,FALSE)=TRUE),0,VLOOKUP(A32,BPActual,4,FALSE))</f>
        <v>0</v>
      </c>
      <c r="H32" s="64">
        <f>IF(ISNA(VLOOKUP(A32,BPActual,5,FALSE)=TRUE),0,VLOOKUP(A32,BPActual,5,FALSE))</f>
        <v>0</v>
      </c>
      <c r="I32" s="64">
        <f>IF(ISNA(VLOOKUP(A32,BPActual,6,FALSE)=TRUE),0,VLOOKUP(A32,BPActual,6,FALSE))</f>
        <v>0</v>
      </c>
      <c r="J32" s="64">
        <f>IF(ISNA(VLOOKUP(A32,BPActual,7,FALSE)=TRUE),0,VLOOKUP(A32,BPActual,7,FALSE))</f>
        <v>0</v>
      </c>
      <c r="K32" s="64">
        <f>IF(ISNA(VLOOKUP(A32,BPActual,8,FALSE)=TRUE),0,VLOOKUP(A32,BPActual,8,FALSE))</f>
        <v>0</v>
      </c>
      <c r="L32" s="64">
        <f>IF(ISNA(VLOOKUP(A32,BPActual,9,FALSE)=TRUE),0,VLOOKUP(A32,BPActual,9,FALSE))</f>
        <v>0</v>
      </c>
      <c r="M32" s="64">
        <f>IF(ISNA(VLOOKUP(A32,BPActual,10,FALSE)=TRUE),0,VLOOKUP(A32,BPActual,10,FALSE))</f>
        <v>0</v>
      </c>
      <c r="N32" s="64">
        <f>IF(ISNA(VLOOKUP(A32,BPActual,11,FALSE)=TRUE),0,VLOOKUP(A32,BPActual,11,FALSE))</f>
        <v>0</v>
      </c>
      <c r="O32" s="64">
        <f>IF(ISNA(VLOOKUP(A32,BPActual,12,FALSE)=TRUE),0,VLOOKUP(A32,BPActual,12,FALSE))</f>
        <v>0</v>
      </c>
      <c r="P32" s="64">
        <f>IF(ISNA(VLOOKUP(A32,BPActual,13,FALSE)=TRUE),0,VLOOKUP(A32,BPActual,13,FALSE))</f>
        <v>0</v>
      </c>
      <c r="Q32" s="64">
        <f>IF(ISNA(VLOOKUP(A32,BPActual,14,FALSE)=TRUE),0,VLOOKUP(A32,BPActual,14,FALSE))</f>
        <v>0</v>
      </c>
      <c r="R32" s="2"/>
    </row>
    <row r="33" spans="1:18">
      <c r="A33" s="1356">
        <v>409190</v>
      </c>
      <c r="B33" s="1522" t="s">
        <v>2007</v>
      </c>
      <c r="C33" s="1356" t="s">
        <v>1189</v>
      </c>
      <c r="D33" s="19">
        <f t="shared" si="13"/>
        <v>409</v>
      </c>
      <c r="E33" s="10">
        <f t="shared" si="0"/>
        <v>-19738129</v>
      </c>
      <c r="F33" s="64">
        <f>ROUND(SCH_E1!$AH$297/12,0)</f>
        <v>-1644844</v>
      </c>
      <c r="G33" s="64">
        <f>ROUND(SCH_E1!$AH$297/12,0)</f>
        <v>-1644844</v>
      </c>
      <c r="H33" s="64">
        <f>ROUND(SCH_E1!$AH$297/12,0)</f>
        <v>-1644844</v>
      </c>
      <c r="I33" s="64">
        <f>ROUND(SCH_E1!$AH$297/12,0)</f>
        <v>-1644844</v>
      </c>
      <c r="J33" s="64">
        <f>ROUND(SCH_E1!$AH$297/12,0)</f>
        <v>-1644844</v>
      </c>
      <c r="K33" s="64">
        <f>ROUND(SCH_E1!$AH$297/12,0)</f>
        <v>-1644844</v>
      </c>
      <c r="L33" s="64">
        <f>ROUND(SCH_E1!$AH$297/12,0)</f>
        <v>-1644844</v>
      </c>
      <c r="M33" s="64">
        <f>ROUND(SCH_E1!$AH$297/12,0)</f>
        <v>-1644844</v>
      </c>
      <c r="N33" s="64">
        <f>ROUND(SCH_E1!$AH$297/12,0)</f>
        <v>-1644844</v>
      </c>
      <c r="O33" s="64">
        <f>ROUND(SCH_E1!$AH$297/12,0)</f>
        <v>-1644844</v>
      </c>
      <c r="P33" s="64">
        <f>ROUND(SCH_E1!$AH$297/12,0)</f>
        <v>-1644844</v>
      </c>
      <c r="Q33" s="64">
        <f>ROUND(SCH_E1!$AH$297-SUM(F33:P33),0)</f>
        <v>-1644845</v>
      </c>
      <c r="R33" s="2"/>
    </row>
    <row r="34" spans="1:18">
      <c r="A34" s="1356">
        <v>409191</v>
      </c>
      <c r="B34" s="1522" t="s">
        <v>2008</v>
      </c>
      <c r="C34" s="1356" t="s">
        <v>1189</v>
      </c>
      <c r="D34" s="19">
        <f t="shared" si="13"/>
        <v>409</v>
      </c>
      <c r="E34" s="10">
        <f t="shared" si="0"/>
        <v>0</v>
      </c>
      <c r="F34" s="64">
        <f>IF(ISNA(VLOOKUP(A34,BPActual,3,FALSE)=TRUE),0,VLOOKUP(A34,BPActual,3,FALSE))</f>
        <v>0</v>
      </c>
      <c r="G34" s="64">
        <f>IF(ISNA(VLOOKUP(A34,BPActual,4,FALSE)=TRUE),0,VLOOKUP(A34,BPActual,4,FALSE))</f>
        <v>0</v>
      </c>
      <c r="H34" s="64">
        <f>IF(ISNA(VLOOKUP(A34,BPActual,5,FALSE)=TRUE),0,VLOOKUP(A34,BPActual,5,FALSE))</f>
        <v>0</v>
      </c>
      <c r="I34" s="64">
        <f>IF(ISNA(VLOOKUP(A34,BPActual,6,FALSE)=TRUE),0,VLOOKUP(A34,BPActual,6,FALSE))</f>
        <v>0</v>
      </c>
      <c r="J34" s="64">
        <f>IF(ISNA(VLOOKUP(A34,BPActual,7,FALSE)=TRUE),0,VLOOKUP(A34,BPActual,7,FALSE))</f>
        <v>0</v>
      </c>
      <c r="K34" s="64">
        <f>IF(ISNA(VLOOKUP(A34,BPActual,8,FALSE)=TRUE),0,VLOOKUP(A34,BPActual,8,FALSE))</f>
        <v>0</v>
      </c>
      <c r="L34" s="64">
        <f>IF(ISNA(VLOOKUP(A34,BPActual,9,FALSE)=TRUE),0,VLOOKUP(A34,BPActual,9,FALSE))</f>
        <v>0</v>
      </c>
      <c r="M34" s="64">
        <f>IF(ISNA(VLOOKUP(A34,BPActual,10,FALSE)=TRUE),0,VLOOKUP(A34,BPActual,10,FALSE))</f>
        <v>0</v>
      </c>
      <c r="N34" s="64">
        <f>IF(ISNA(VLOOKUP(A34,BPActual,11,FALSE)=TRUE),0,VLOOKUP(A34,BPActual,11,FALSE))</f>
        <v>0</v>
      </c>
      <c r="O34" s="64">
        <f>IF(ISNA(VLOOKUP(A34,BPActual,12,FALSE)=TRUE),0,VLOOKUP(A34,BPActual,12,FALSE))</f>
        <v>0</v>
      </c>
      <c r="P34" s="64">
        <f>IF(ISNA(VLOOKUP(A34,BPActual,13,FALSE)=TRUE),0,VLOOKUP(A34,BPActual,13,FALSE))</f>
        <v>0</v>
      </c>
      <c r="Q34" s="64">
        <f>IF(ISNA(VLOOKUP(A34,BPActual,14,FALSE)=TRUE),0,VLOOKUP(A34,BPActual,14,FALSE))</f>
        <v>0</v>
      </c>
      <c r="R34" s="2"/>
    </row>
    <row r="35" spans="1:18">
      <c r="A35" s="1356">
        <v>409194</v>
      </c>
      <c r="B35" s="1522" t="s">
        <v>2009</v>
      </c>
      <c r="C35" s="1356" t="s">
        <v>1189</v>
      </c>
      <c r="D35" s="19">
        <f t="shared" si="13"/>
        <v>409</v>
      </c>
      <c r="E35" s="10">
        <f t="shared" si="0"/>
        <v>-197047</v>
      </c>
      <c r="F35" s="64">
        <f>IF(ISNA(VLOOKUP(A35,BPActual,3,FALSE)=TRUE),0,VLOOKUP(A35,BPActual,3,FALSE))</f>
        <v>-197047</v>
      </c>
      <c r="G35" s="64">
        <f>IF(ISNA(VLOOKUP(A35,BPActual,4,FALSE)=TRUE),0,VLOOKUP(A35,BPActual,4,FALSE))</f>
        <v>0</v>
      </c>
      <c r="H35" s="64">
        <f>IF(ISNA(VLOOKUP(A35,BPActual,5,FALSE)=TRUE),0,VLOOKUP(A35,BPActual,5,FALSE))</f>
        <v>0</v>
      </c>
      <c r="I35" s="64">
        <f>IF(ISNA(VLOOKUP(A35,BPActual,6,FALSE)=TRUE),0,VLOOKUP(A35,BPActual,6,FALSE))</f>
        <v>0</v>
      </c>
      <c r="J35" s="64">
        <f>IF(ISNA(VLOOKUP(A35,BPActual,7,FALSE)=TRUE),0,VLOOKUP(A35,BPActual,7,FALSE))</f>
        <v>0</v>
      </c>
      <c r="K35" s="64">
        <f>IF(ISNA(VLOOKUP(A35,BPActual,8,FALSE)=TRUE),0,VLOOKUP(A35,BPActual,8,FALSE))</f>
        <v>0</v>
      </c>
      <c r="L35" s="64">
        <f>IF(ISNA(VLOOKUP(A35,BPActual,9,FALSE)=TRUE),0,VLOOKUP(A35,BPActual,9,FALSE))</f>
        <v>0</v>
      </c>
      <c r="M35" s="64">
        <f>IF(ISNA(VLOOKUP(A35,BPActual,10,FALSE)=TRUE),0,VLOOKUP(A35,BPActual,10,FALSE))</f>
        <v>0</v>
      </c>
      <c r="N35" s="64">
        <f>IF(ISNA(VLOOKUP(A35,BPActual,11,FALSE)=TRUE),0,VLOOKUP(A35,BPActual,11,FALSE))</f>
        <v>0</v>
      </c>
      <c r="O35" s="64">
        <f>IF(ISNA(VLOOKUP(A35,BPActual,12,FALSE)=TRUE),0,VLOOKUP(A35,BPActual,12,FALSE))</f>
        <v>0</v>
      </c>
      <c r="P35" s="64">
        <f>IF(ISNA(VLOOKUP(A35,BPActual,13,FALSE)=TRUE),0,VLOOKUP(A35,BPActual,13,FALSE))</f>
        <v>0</v>
      </c>
      <c r="Q35" s="64">
        <f>IF(ISNA(VLOOKUP(A35,BPActual,14,FALSE)=TRUE),0,VLOOKUP(A35,BPActual,14,FALSE))</f>
        <v>0</v>
      </c>
      <c r="R35" s="2"/>
    </row>
    <row r="36" spans="1:18">
      <c r="A36" s="1356">
        <v>409195</v>
      </c>
      <c r="B36" s="1522" t="s">
        <v>2010</v>
      </c>
      <c r="C36" s="1356" t="s">
        <v>1189</v>
      </c>
      <c r="D36" s="19">
        <f t="shared" si="13"/>
        <v>409</v>
      </c>
      <c r="E36" s="10">
        <f t="shared" si="0"/>
        <v>0</v>
      </c>
      <c r="F36" s="64">
        <f>IF(ISNA(VLOOKUP(A36,BPActual,3,FALSE)=TRUE),0,VLOOKUP(A36,BPActual,3,FALSE))</f>
        <v>0</v>
      </c>
      <c r="G36" s="64">
        <f>IF(ISNA(VLOOKUP(A36,BPActual,4,FALSE)=TRUE),0,VLOOKUP(A36,BPActual,4,FALSE))</f>
        <v>0</v>
      </c>
      <c r="H36" s="64">
        <f>IF(ISNA(VLOOKUP(A36,BPActual,5,FALSE)=TRUE),0,VLOOKUP(A36,BPActual,5,FALSE))</f>
        <v>0</v>
      </c>
      <c r="I36" s="64">
        <f>IF(ISNA(VLOOKUP(A36,BPActual,6,FALSE)=TRUE),0,VLOOKUP(A36,BPActual,6,FALSE))</f>
        <v>0</v>
      </c>
      <c r="J36" s="64">
        <f>IF(ISNA(VLOOKUP(A36,BPActual,7,FALSE)=TRUE),0,VLOOKUP(A36,BPActual,7,FALSE))</f>
        <v>0</v>
      </c>
      <c r="K36" s="64">
        <f>IF(ISNA(VLOOKUP(A36,BPActual,8,FALSE)=TRUE),0,VLOOKUP(A36,BPActual,8,FALSE))</f>
        <v>0</v>
      </c>
      <c r="L36" s="64">
        <f>IF(ISNA(VLOOKUP(A36,BPActual,9,FALSE)=TRUE),0,VLOOKUP(A36,BPActual,9,FALSE))</f>
        <v>0</v>
      </c>
      <c r="M36" s="64">
        <f>IF(ISNA(VLOOKUP(A36,BPActual,10,FALSE)=TRUE),0,VLOOKUP(A36,BPActual,10,FALSE))</f>
        <v>0</v>
      </c>
      <c r="N36" s="64">
        <f>IF(ISNA(VLOOKUP(A36,BPActual,11,FALSE)=TRUE),0,VLOOKUP(A36,BPActual,11,FALSE))</f>
        <v>0</v>
      </c>
      <c r="O36" s="64">
        <f>IF(ISNA(VLOOKUP(A36,BPActual,12,FALSE)=TRUE),0,VLOOKUP(A36,BPActual,12,FALSE))</f>
        <v>0</v>
      </c>
      <c r="P36" s="64">
        <f>IF(ISNA(VLOOKUP(A36,BPActual,13,FALSE)=TRUE),0,VLOOKUP(A36,BPActual,13,FALSE))</f>
        <v>0</v>
      </c>
      <c r="Q36" s="64">
        <f>IF(ISNA(VLOOKUP(A36,BPActual,14,FALSE)=TRUE),0,VLOOKUP(A36,BPActual,14,FALSE))</f>
        <v>0</v>
      </c>
      <c r="R36" s="2"/>
    </row>
    <row r="37" spans="1:18">
      <c r="A37" s="1356">
        <v>409197</v>
      </c>
      <c r="B37" s="1522" t="s">
        <v>2543</v>
      </c>
      <c r="C37" s="1356" t="s">
        <v>1189</v>
      </c>
      <c r="D37" s="19">
        <f>VALUE(LEFT(A37,3))</f>
        <v>409</v>
      </c>
      <c r="E37" s="10">
        <f t="shared" si="0"/>
        <v>562990</v>
      </c>
      <c r="F37" s="64">
        <f>IF(ISNA(VLOOKUP(A37,BPActual,3,FALSE)=TRUE),0,VLOOKUP(A37,BPActual,3,FALSE))</f>
        <v>562990</v>
      </c>
      <c r="G37" s="64">
        <f>IF(ISNA(VLOOKUP(A37,BPActual,4,FALSE)=TRUE),0,VLOOKUP(A37,BPActual,4,FALSE))</f>
        <v>0</v>
      </c>
      <c r="H37" s="64">
        <f>IF(ISNA(VLOOKUP(A37,BPActual,5,FALSE)=TRUE),0,VLOOKUP(A37,BPActual,5,FALSE))</f>
        <v>0</v>
      </c>
      <c r="I37" s="64">
        <f>IF(ISNA(VLOOKUP(A37,BPActual,6,FALSE)=TRUE),0,VLOOKUP(A37,BPActual,6,FALSE))</f>
        <v>0</v>
      </c>
      <c r="J37" s="64">
        <f>IF(ISNA(VLOOKUP(A37,BPActual,7,FALSE)=TRUE),0,VLOOKUP(A37,BPActual,7,FALSE))</f>
        <v>0</v>
      </c>
      <c r="K37" s="64">
        <f>IF(ISNA(VLOOKUP(A37,BPActual,8,FALSE)=TRUE),0,VLOOKUP(A37,BPActual,8,FALSE))</f>
        <v>0</v>
      </c>
      <c r="L37" s="64">
        <f>IF(ISNA(VLOOKUP(A37,BPActual,9,FALSE)=TRUE),0,VLOOKUP(A37,BPActual,9,FALSE))</f>
        <v>0</v>
      </c>
      <c r="M37" s="64">
        <f>IF(ISNA(VLOOKUP(A37,BPActual,10,FALSE)=TRUE),0,VLOOKUP(A37,BPActual,10,FALSE))</f>
        <v>0</v>
      </c>
      <c r="N37" s="64">
        <f>IF(ISNA(VLOOKUP(A37,BPActual,11,FALSE)=TRUE),0,VLOOKUP(A37,BPActual,11,FALSE))</f>
        <v>0</v>
      </c>
      <c r="O37" s="64">
        <f>IF(ISNA(VLOOKUP(A37,BPActual,12,FALSE)=TRUE),0,VLOOKUP(A37,BPActual,12,FALSE))</f>
        <v>0</v>
      </c>
      <c r="P37" s="64">
        <f>IF(ISNA(VLOOKUP(A37,BPActual,13,FALSE)=TRUE),0,VLOOKUP(A37,BPActual,13,FALSE))</f>
        <v>0</v>
      </c>
      <c r="Q37" s="64">
        <f>IF(ISNA(VLOOKUP(A37,BPActual,14,FALSE)=TRUE),0,VLOOKUP(A37,BPActual,14,FALSE))</f>
        <v>0</v>
      </c>
      <c r="R37" s="2"/>
    </row>
    <row r="38" spans="1:18">
      <c r="A38" s="1356">
        <v>410100</v>
      </c>
      <c r="B38" s="1522" t="s">
        <v>2011</v>
      </c>
      <c r="C38" s="1356" t="s">
        <v>1189</v>
      </c>
      <c r="D38" s="19">
        <f t="shared" si="13"/>
        <v>410</v>
      </c>
      <c r="E38" s="10">
        <f t="shared" si="0"/>
        <v>34892043</v>
      </c>
      <c r="F38" s="64">
        <f>ROUND((SCH_E1!$G$123+SCH_E1!$G$124)/12,0)</f>
        <v>2907670</v>
      </c>
      <c r="G38" s="64">
        <f>ROUND((SCH_E1!$G$123+SCH_E1!$G$124)/12,0)</f>
        <v>2907670</v>
      </c>
      <c r="H38" s="64">
        <f>ROUND((SCH_E1!$G$123+SCH_E1!$G$124)/12,0)</f>
        <v>2907670</v>
      </c>
      <c r="I38" s="64">
        <f>ROUND((SCH_E1!$G$123+SCH_E1!$G$124)/12,0)</f>
        <v>2907670</v>
      </c>
      <c r="J38" s="64">
        <f>ROUND((SCH_E1!$G$123+SCH_E1!$G$124)/12,0)</f>
        <v>2907670</v>
      </c>
      <c r="K38" s="64">
        <f>ROUND((SCH_E1!$G$123+SCH_E1!$G$124)/12,0)</f>
        <v>2907670</v>
      </c>
      <c r="L38" s="64">
        <f>ROUND((SCH_E1!$G$123+SCH_E1!$G$124)/12,0)</f>
        <v>2907670</v>
      </c>
      <c r="M38" s="64">
        <f>ROUND((SCH_E1!$G$123+SCH_E1!$G$124)/12,0)</f>
        <v>2907670</v>
      </c>
      <c r="N38" s="64">
        <f>ROUND((SCH_E1!$G$123+SCH_E1!$G$124)/12,0)</f>
        <v>2907670</v>
      </c>
      <c r="O38" s="64">
        <f>ROUND((SCH_E1!$G$123+SCH_E1!$G$124)/12,0)</f>
        <v>2907670</v>
      </c>
      <c r="P38" s="64">
        <f>ROUND((SCH_E1!$G$123+SCH_E1!$G$124)/12,0)</f>
        <v>2907670</v>
      </c>
      <c r="Q38" s="64">
        <f>ROUND((SCH_E1!$G$123+SCH_E1!$G$124)-SUM(F38:P38),0)</f>
        <v>2907673</v>
      </c>
      <c r="R38" s="2"/>
    </row>
    <row r="39" spans="1:18">
      <c r="A39" s="1356">
        <v>410102</v>
      </c>
      <c r="B39" s="1522" t="s">
        <v>2012</v>
      </c>
      <c r="C39" s="1356" t="s">
        <v>1189</v>
      </c>
      <c r="D39" s="19">
        <f t="shared" si="13"/>
        <v>410</v>
      </c>
      <c r="E39" s="10">
        <f t="shared" si="0"/>
        <v>3190453</v>
      </c>
      <c r="F39" s="64">
        <f>ROUND((SCH_E1!$G$104+SCH_E1!$G$105)/12,0)</f>
        <v>265871</v>
      </c>
      <c r="G39" s="64">
        <f>ROUND((SCH_E1!$G$104+SCH_E1!$G$105)/12,0)</f>
        <v>265871</v>
      </c>
      <c r="H39" s="64">
        <f>ROUND((SCH_E1!$G$104+SCH_E1!$G$105)/12,0)</f>
        <v>265871</v>
      </c>
      <c r="I39" s="64">
        <f>ROUND((SCH_E1!$G$104+SCH_E1!$G$105)/12,0)</f>
        <v>265871</v>
      </c>
      <c r="J39" s="64">
        <f>ROUND((SCH_E1!$G$104+SCH_E1!$G$105)/12,0)</f>
        <v>265871</v>
      </c>
      <c r="K39" s="64">
        <f>ROUND((SCH_E1!$G$104+SCH_E1!$G$105)/12,0)</f>
        <v>265871</v>
      </c>
      <c r="L39" s="64">
        <f>ROUND((SCH_E1!$G$104+SCH_E1!$G$105)/12,0)</f>
        <v>265871</v>
      </c>
      <c r="M39" s="64">
        <f>ROUND((SCH_E1!$G$104+SCH_E1!$G$105)/12,0)</f>
        <v>265871</v>
      </c>
      <c r="N39" s="64">
        <f>ROUND((SCH_E1!$G$104+SCH_E1!$G$105)/12,0)</f>
        <v>265871</v>
      </c>
      <c r="O39" s="64">
        <f>ROUND((SCH_E1!$G$104+SCH_E1!$G$105)/12,0)</f>
        <v>265871</v>
      </c>
      <c r="P39" s="64">
        <f>ROUND((SCH_E1!$G$104+SCH_E1!$G$105)/12,0)</f>
        <v>265871</v>
      </c>
      <c r="Q39" s="64">
        <f>ROUND((SCH_E1!$G$104+SCH_E1!$G$105)-SUM(F39:P39),0)</f>
        <v>265872</v>
      </c>
      <c r="R39" s="2"/>
    </row>
    <row r="40" spans="1:18">
      <c r="A40" s="1356">
        <v>410105</v>
      </c>
      <c r="B40" s="1522" t="s">
        <v>2013</v>
      </c>
      <c r="C40" s="1356" t="s">
        <v>1189</v>
      </c>
      <c r="D40" s="19">
        <f t="shared" si="13"/>
        <v>410</v>
      </c>
      <c r="E40" s="10">
        <f t="shared" si="0"/>
        <v>0</v>
      </c>
      <c r="F40" s="64">
        <f>IF(ISNA(VLOOKUP(A40,BPActual,3,FALSE)=TRUE),0,VLOOKUP(A40,BPActual,3,FALSE))</f>
        <v>0</v>
      </c>
      <c r="G40" s="64">
        <f>IF(ISNA(VLOOKUP(A40,BPActual,4,FALSE)=TRUE),0,VLOOKUP(A40,BPActual,4,FALSE))</f>
        <v>0</v>
      </c>
      <c r="H40" s="64">
        <f>IF(ISNA(VLOOKUP(A40,BPActual,5,FALSE)=TRUE),0,VLOOKUP(A40,BPActual,5,FALSE))</f>
        <v>0</v>
      </c>
      <c r="I40" s="64">
        <f>IF(ISNA(VLOOKUP(A40,BPActual,6,FALSE)=TRUE),0,VLOOKUP(A40,BPActual,6,FALSE))</f>
        <v>0</v>
      </c>
      <c r="J40" s="64">
        <f>IF(ISNA(VLOOKUP(A40,BPActual,7,FALSE)=TRUE),0,VLOOKUP(A40,BPActual,7,FALSE))</f>
        <v>0</v>
      </c>
      <c r="K40" s="64">
        <f>IF(ISNA(VLOOKUP(A40,BPActual,8,FALSE)=TRUE),0,VLOOKUP(A40,BPActual,8,FALSE))</f>
        <v>0</v>
      </c>
      <c r="L40" s="64">
        <f>IF(ISNA(VLOOKUP(A40,BPActual,9,FALSE)=TRUE),0,VLOOKUP(A40,BPActual,9,FALSE))</f>
        <v>0</v>
      </c>
      <c r="M40" s="64">
        <f>IF(ISNA(VLOOKUP(A40,BPActual,10,FALSE)=TRUE),0,VLOOKUP(A40,BPActual,10,FALSE))</f>
        <v>0</v>
      </c>
      <c r="N40" s="64">
        <f>IF(ISNA(VLOOKUP(A40,BPActual,11,FALSE)=TRUE),0,VLOOKUP(A40,BPActual,11,FALSE))</f>
        <v>0</v>
      </c>
      <c r="O40" s="64">
        <f>IF(ISNA(VLOOKUP(A40,BPActual,12,FALSE)=TRUE),0,VLOOKUP(A40,BPActual,12,FALSE))</f>
        <v>0</v>
      </c>
      <c r="P40" s="64">
        <f>IF(ISNA(VLOOKUP(A40,BPActual,13,FALSE)=TRUE),0,VLOOKUP(A40,BPActual,13,FALSE))</f>
        <v>0</v>
      </c>
      <c r="Q40" s="64">
        <f>IF(ISNA(VLOOKUP(A40,BPActual,14,FALSE)=TRUE),0,VLOOKUP(A40,BPActual,14,FALSE))</f>
        <v>0</v>
      </c>
      <c r="R40" s="2"/>
    </row>
    <row r="41" spans="1:18">
      <c r="A41" s="1356">
        <v>410106</v>
      </c>
      <c r="B41" s="1522" t="s">
        <v>2014</v>
      </c>
      <c r="C41" s="1356" t="s">
        <v>1189</v>
      </c>
      <c r="D41" s="19">
        <f t="shared" si="13"/>
        <v>410</v>
      </c>
      <c r="E41" s="10">
        <f t="shared" si="0"/>
        <v>0</v>
      </c>
      <c r="F41" s="64">
        <f>IF(ISNA(VLOOKUP(A41,BPActual,3,FALSE)=TRUE),0,VLOOKUP(A41,BPActual,3,FALSE))</f>
        <v>0</v>
      </c>
      <c r="G41" s="64">
        <f>IF(ISNA(VLOOKUP(A41,BPActual,4,FALSE)=TRUE),0,VLOOKUP(A41,BPActual,4,FALSE))</f>
        <v>0</v>
      </c>
      <c r="H41" s="64">
        <f>IF(ISNA(VLOOKUP(A41,BPActual,5,FALSE)=TRUE),0,VLOOKUP(A41,BPActual,5,FALSE))</f>
        <v>0</v>
      </c>
      <c r="I41" s="64">
        <f>IF(ISNA(VLOOKUP(A41,BPActual,6,FALSE)=TRUE),0,VLOOKUP(A41,BPActual,6,FALSE))</f>
        <v>0</v>
      </c>
      <c r="J41" s="64">
        <f>IF(ISNA(VLOOKUP(A41,BPActual,7,FALSE)=TRUE),0,VLOOKUP(A41,BPActual,7,FALSE))</f>
        <v>0</v>
      </c>
      <c r="K41" s="64">
        <f>IF(ISNA(VLOOKUP(A41,BPActual,8,FALSE)=TRUE),0,VLOOKUP(A41,BPActual,8,FALSE))</f>
        <v>0</v>
      </c>
      <c r="L41" s="64">
        <f>IF(ISNA(VLOOKUP(A41,BPActual,9,FALSE)=TRUE),0,VLOOKUP(A41,BPActual,9,FALSE))</f>
        <v>0</v>
      </c>
      <c r="M41" s="64">
        <f>IF(ISNA(VLOOKUP(A41,BPActual,10,FALSE)=TRUE),0,VLOOKUP(A41,BPActual,10,FALSE))</f>
        <v>0</v>
      </c>
      <c r="N41" s="64">
        <f>IF(ISNA(VLOOKUP(A41,BPActual,11,FALSE)=TRUE),0,VLOOKUP(A41,BPActual,11,FALSE))</f>
        <v>0</v>
      </c>
      <c r="O41" s="64">
        <f>IF(ISNA(VLOOKUP(A41,BPActual,12,FALSE)=TRUE),0,VLOOKUP(A41,BPActual,12,FALSE))</f>
        <v>0</v>
      </c>
      <c r="P41" s="64">
        <f>IF(ISNA(VLOOKUP(A41,BPActual,13,FALSE)=TRUE),0,VLOOKUP(A41,BPActual,13,FALSE))</f>
        <v>0</v>
      </c>
      <c r="Q41" s="64">
        <f>IF(ISNA(VLOOKUP(A41,BPActual,14,FALSE)=TRUE),0,VLOOKUP(A41,BPActual,14,FALSE))</f>
        <v>0</v>
      </c>
      <c r="R41" s="2"/>
    </row>
    <row r="42" spans="1:18">
      <c r="A42" s="1356">
        <v>411051</v>
      </c>
      <c r="B42" s="1522" t="s">
        <v>2015</v>
      </c>
      <c r="C42" s="1356" t="s">
        <v>1180</v>
      </c>
      <c r="D42" s="19">
        <f t="shared" si="13"/>
        <v>411</v>
      </c>
      <c r="E42" s="10">
        <f t="shared" si="0"/>
        <v>0</v>
      </c>
      <c r="F42" s="64">
        <f>IF(ISNA(VLOOKUP(A42,BPActual,3,FALSE)=TRUE),0,VLOOKUP(A42,BPActual,3,FALSE))</f>
        <v>0</v>
      </c>
      <c r="G42" s="64">
        <f>IF(ISNA(VLOOKUP(A42,BPActual,4,FALSE)=TRUE),0,VLOOKUP(A42,BPActual,4,FALSE))</f>
        <v>0</v>
      </c>
      <c r="H42" s="64">
        <f>IF(ISNA(VLOOKUP(A42,BPActual,5,FALSE)=TRUE),0,VLOOKUP(A42,BPActual,5,FALSE))</f>
        <v>0</v>
      </c>
      <c r="I42" s="64">
        <f>IF(ISNA(VLOOKUP(A42,BPActual,6,FALSE)=TRUE),0,VLOOKUP(A42,BPActual,6,FALSE))</f>
        <v>0</v>
      </c>
      <c r="J42" s="64">
        <f>IF(ISNA(VLOOKUP(A42,BPActual,7,FALSE)=TRUE),0,VLOOKUP(A42,BPActual,7,FALSE))</f>
        <v>0</v>
      </c>
      <c r="K42" s="64">
        <f>IF(ISNA(VLOOKUP(A42,BPActual,8,FALSE)=TRUE),0,VLOOKUP(A42,BPActual,8,FALSE))</f>
        <v>0</v>
      </c>
      <c r="L42" s="64">
        <f>IF(ISNA(VLOOKUP(A42,BPActual,9,FALSE)=TRUE),0,VLOOKUP(A42,BPActual,9,FALSE))</f>
        <v>0</v>
      </c>
      <c r="M42" s="64">
        <f>IF(ISNA(VLOOKUP(A42,BPActual,10,FALSE)=TRUE),0,VLOOKUP(A42,BPActual,10,FALSE))</f>
        <v>0</v>
      </c>
      <c r="N42" s="64">
        <f>IF(ISNA(VLOOKUP(A42,BPActual,11,FALSE)=TRUE),0,VLOOKUP(A42,BPActual,11,FALSE))</f>
        <v>0</v>
      </c>
      <c r="O42" s="64">
        <f>IF(ISNA(VLOOKUP(A42,BPActual,12,FALSE)=TRUE),0,VLOOKUP(A42,BPActual,12,FALSE))</f>
        <v>0</v>
      </c>
      <c r="P42" s="64">
        <f>IF(ISNA(VLOOKUP(A42,BPActual,13,FALSE)=TRUE),0,VLOOKUP(A42,BPActual,13,FALSE))</f>
        <v>0</v>
      </c>
      <c r="Q42" s="64">
        <f>IF(ISNA(VLOOKUP(A42,BPActual,14,FALSE)=TRUE),0,VLOOKUP(A42,BPActual,14,FALSE))</f>
        <v>0</v>
      </c>
      <c r="R42" s="2"/>
    </row>
    <row r="43" spans="1:18">
      <c r="A43" s="1356">
        <v>411100</v>
      </c>
      <c r="B43" s="1522" t="s">
        <v>2016</v>
      </c>
      <c r="C43" s="1356" t="s">
        <v>1189</v>
      </c>
      <c r="D43" s="19">
        <f t="shared" si="13"/>
        <v>411</v>
      </c>
      <c r="E43" s="10">
        <f t="shared" si="0"/>
        <v>0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2"/>
    </row>
    <row r="44" spans="1:18">
      <c r="A44" s="1356">
        <v>411101</v>
      </c>
      <c r="B44" s="1522" t="s">
        <v>2017</v>
      </c>
      <c r="C44" s="1356" t="s">
        <v>1189</v>
      </c>
      <c r="D44" s="19">
        <f t="shared" si="13"/>
        <v>411</v>
      </c>
      <c r="E44" s="10">
        <f t="shared" si="0"/>
        <v>0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2"/>
    </row>
    <row r="45" spans="1:18">
      <c r="A45" s="1356">
        <v>411102</v>
      </c>
      <c r="B45" s="1522" t="s">
        <v>2018</v>
      </c>
      <c r="C45" s="1356" t="s">
        <v>1189</v>
      </c>
      <c r="D45" s="19">
        <f t="shared" si="13"/>
        <v>411</v>
      </c>
      <c r="E45" s="10">
        <f t="shared" si="0"/>
        <v>0</v>
      </c>
      <c r="F45" s="64">
        <f t="shared" ref="F45:F68" si="14">IF(ISNA(VLOOKUP(A45,BPActual,3,FALSE)=TRUE),0,VLOOKUP(A45,BPActual,3,FALSE))</f>
        <v>0</v>
      </c>
      <c r="G45" s="64">
        <f t="shared" ref="G45:G68" si="15">IF(ISNA(VLOOKUP(A45,BPActual,4,FALSE)=TRUE),0,VLOOKUP(A45,BPActual,4,FALSE))</f>
        <v>0</v>
      </c>
      <c r="H45" s="64">
        <f t="shared" ref="H45:H68" si="16">IF(ISNA(VLOOKUP(A45,BPActual,5,FALSE)=TRUE),0,VLOOKUP(A45,BPActual,5,FALSE))</f>
        <v>0</v>
      </c>
      <c r="I45" s="64">
        <f t="shared" ref="I45:I68" si="17">IF(ISNA(VLOOKUP(A45,BPActual,6,FALSE)=TRUE),0,VLOOKUP(A45,BPActual,6,FALSE))</f>
        <v>0</v>
      </c>
      <c r="J45" s="64">
        <f t="shared" ref="J45:J68" si="18">IF(ISNA(VLOOKUP(A45,BPActual,7,FALSE)=TRUE),0,VLOOKUP(A45,BPActual,7,FALSE))</f>
        <v>0</v>
      </c>
      <c r="K45" s="64">
        <f t="shared" ref="K45:K68" si="19">IF(ISNA(VLOOKUP(A45,BPActual,8,FALSE)=TRUE),0,VLOOKUP(A45,BPActual,8,FALSE))</f>
        <v>0</v>
      </c>
      <c r="L45" s="64">
        <f t="shared" ref="L45:L76" si="20">IF(ISNA(VLOOKUP(A45,BPActual,9,FALSE)=TRUE),0,VLOOKUP(A45,BPActual,9,FALSE))</f>
        <v>0</v>
      </c>
      <c r="M45" s="64">
        <f t="shared" ref="M45:M76" si="21">IF(ISNA(VLOOKUP(A45,BPActual,10,FALSE)=TRUE),0,VLOOKUP(A45,BPActual,10,FALSE))</f>
        <v>0</v>
      </c>
      <c r="N45" s="64">
        <f t="shared" ref="N45:N76" si="22">IF(ISNA(VLOOKUP(A45,BPActual,11,FALSE)=TRUE),0,VLOOKUP(A45,BPActual,11,FALSE))</f>
        <v>0</v>
      </c>
      <c r="O45" s="64">
        <f t="shared" ref="O45:O76" si="23">IF(ISNA(VLOOKUP(A45,BPActual,12,FALSE)=TRUE),0,VLOOKUP(A45,BPActual,12,FALSE))</f>
        <v>0</v>
      </c>
      <c r="P45" s="64">
        <f t="shared" ref="P45:P76" si="24">IF(ISNA(VLOOKUP(A45,BPActual,13,FALSE)=TRUE),0,VLOOKUP(A45,BPActual,13,FALSE))</f>
        <v>0</v>
      </c>
      <c r="Q45" s="64">
        <f t="shared" ref="Q45:Q76" si="25">IF(ISNA(VLOOKUP(A45,BPActual,14,FALSE)=TRUE),0,VLOOKUP(A45,BPActual,14,FALSE))</f>
        <v>0</v>
      </c>
      <c r="R45" s="2"/>
    </row>
    <row r="46" spans="1:18">
      <c r="A46" s="1356">
        <v>411103</v>
      </c>
      <c r="B46" s="1522" t="s">
        <v>2019</v>
      </c>
      <c r="C46" s="1356" t="s">
        <v>1189</v>
      </c>
      <c r="D46" s="19">
        <f t="shared" si="13"/>
        <v>411</v>
      </c>
      <c r="E46" s="10">
        <f t="shared" si="0"/>
        <v>0</v>
      </c>
      <c r="F46" s="64">
        <f t="shared" si="14"/>
        <v>0</v>
      </c>
      <c r="G46" s="64">
        <f t="shared" si="15"/>
        <v>0</v>
      </c>
      <c r="H46" s="64">
        <f t="shared" si="16"/>
        <v>0</v>
      </c>
      <c r="I46" s="64">
        <f t="shared" si="17"/>
        <v>0</v>
      </c>
      <c r="J46" s="64">
        <f t="shared" si="18"/>
        <v>0</v>
      </c>
      <c r="K46" s="64">
        <f t="shared" si="19"/>
        <v>0</v>
      </c>
      <c r="L46" s="64">
        <f t="shared" si="20"/>
        <v>0</v>
      </c>
      <c r="M46" s="64">
        <f t="shared" si="21"/>
        <v>0</v>
      </c>
      <c r="N46" s="64">
        <f t="shared" si="22"/>
        <v>0</v>
      </c>
      <c r="O46" s="64">
        <f t="shared" si="23"/>
        <v>0</v>
      </c>
      <c r="P46" s="64">
        <f t="shared" si="24"/>
        <v>0</v>
      </c>
      <c r="Q46" s="64">
        <f t="shared" si="25"/>
        <v>0</v>
      </c>
      <c r="R46" s="2"/>
    </row>
    <row r="47" spans="1:18">
      <c r="A47" s="1356">
        <v>411106</v>
      </c>
      <c r="B47" s="1522" t="s">
        <v>2388</v>
      </c>
      <c r="C47" s="1356" t="s">
        <v>1189</v>
      </c>
      <c r="D47" s="19">
        <f t="shared" si="13"/>
        <v>411</v>
      </c>
      <c r="E47" s="10">
        <f t="shared" si="0"/>
        <v>0</v>
      </c>
      <c r="F47" s="64">
        <f t="shared" si="14"/>
        <v>0</v>
      </c>
      <c r="G47" s="64">
        <f t="shared" si="15"/>
        <v>0</v>
      </c>
      <c r="H47" s="64">
        <f t="shared" si="16"/>
        <v>0</v>
      </c>
      <c r="I47" s="64">
        <f t="shared" si="17"/>
        <v>0</v>
      </c>
      <c r="J47" s="64">
        <f t="shared" si="18"/>
        <v>0</v>
      </c>
      <c r="K47" s="64">
        <f t="shared" si="19"/>
        <v>0</v>
      </c>
      <c r="L47" s="64">
        <f t="shared" si="20"/>
        <v>0</v>
      </c>
      <c r="M47" s="64">
        <f t="shared" si="21"/>
        <v>0</v>
      </c>
      <c r="N47" s="64">
        <f t="shared" si="22"/>
        <v>0</v>
      </c>
      <c r="O47" s="64">
        <f t="shared" si="23"/>
        <v>0</v>
      </c>
      <c r="P47" s="64">
        <f t="shared" si="24"/>
        <v>0</v>
      </c>
      <c r="Q47" s="64">
        <f t="shared" si="25"/>
        <v>0</v>
      </c>
      <c r="R47" s="2"/>
    </row>
    <row r="48" spans="1:18">
      <c r="A48" s="1356">
        <v>411410</v>
      </c>
      <c r="B48" s="1522" t="s">
        <v>2020</v>
      </c>
      <c r="C48" s="1356" t="s">
        <v>1189</v>
      </c>
      <c r="D48" s="19">
        <f t="shared" si="13"/>
        <v>411</v>
      </c>
      <c r="E48" s="10">
        <f t="shared" si="0"/>
        <v>-11950</v>
      </c>
      <c r="F48" s="64">
        <f t="shared" si="14"/>
        <v>-1786</v>
      </c>
      <c r="G48" s="64">
        <f t="shared" si="15"/>
        <v>-924</v>
      </c>
      <c r="H48" s="64">
        <f t="shared" si="16"/>
        <v>-924</v>
      </c>
      <c r="I48" s="64">
        <f t="shared" si="17"/>
        <v>-924</v>
      </c>
      <c r="J48" s="64">
        <f t="shared" si="18"/>
        <v>-924</v>
      </c>
      <c r="K48" s="64">
        <f t="shared" si="19"/>
        <v>-924</v>
      </c>
      <c r="L48" s="64">
        <f t="shared" si="20"/>
        <v>-924</v>
      </c>
      <c r="M48" s="64">
        <f t="shared" si="21"/>
        <v>-924</v>
      </c>
      <c r="N48" s="64">
        <f t="shared" si="22"/>
        <v>-924</v>
      </c>
      <c r="O48" s="64">
        <f t="shared" si="23"/>
        <v>-924</v>
      </c>
      <c r="P48" s="64">
        <f t="shared" si="24"/>
        <v>-924</v>
      </c>
      <c r="Q48" s="64">
        <f t="shared" si="25"/>
        <v>-924</v>
      </c>
      <c r="R48" s="2"/>
    </row>
    <row r="49" spans="1:18">
      <c r="A49" s="19">
        <v>426510</v>
      </c>
      <c r="B49" s="2770" t="s">
        <v>1028</v>
      </c>
      <c r="C49" s="1356" t="s">
        <v>2165</v>
      </c>
      <c r="D49" s="19">
        <f t="shared" si="13"/>
        <v>426</v>
      </c>
      <c r="E49" s="10">
        <f t="shared" si="0"/>
        <v>-1109897</v>
      </c>
      <c r="F49" s="64">
        <f t="shared" si="14"/>
        <v>-1047271</v>
      </c>
      <c r="G49" s="64">
        <f t="shared" si="15"/>
        <v>0</v>
      </c>
      <c r="H49" s="64">
        <f t="shared" si="16"/>
        <v>0</v>
      </c>
      <c r="I49" s="64">
        <f t="shared" si="17"/>
        <v>71623</v>
      </c>
      <c r="J49" s="64">
        <f t="shared" si="18"/>
        <v>-22433</v>
      </c>
      <c r="K49" s="64">
        <f t="shared" si="19"/>
        <v>0</v>
      </c>
      <c r="L49" s="64">
        <f t="shared" si="20"/>
        <v>58301</v>
      </c>
      <c r="M49" s="64">
        <f t="shared" si="21"/>
        <v>-15084</v>
      </c>
      <c r="N49" s="64">
        <f t="shared" si="22"/>
        <v>6751</v>
      </c>
      <c r="O49" s="64">
        <f t="shared" si="23"/>
        <v>16356</v>
      </c>
      <c r="P49" s="64">
        <f t="shared" si="24"/>
        <v>-82565</v>
      </c>
      <c r="Q49" s="64">
        <f t="shared" si="25"/>
        <v>-95575</v>
      </c>
      <c r="R49" s="2"/>
    </row>
    <row r="50" spans="1:18">
      <c r="A50" s="19">
        <v>426891</v>
      </c>
      <c r="B50" s="2770" t="s">
        <v>2613</v>
      </c>
      <c r="C50" s="1356" t="s">
        <v>2165</v>
      </c>
      <c r="D50" s="19">
        <f t="shared" si="13"/>
        <v>426</v>
      </c>
      <c r="E50" s="10">
        <f t="shared" si="0"/>
        <v>310306</v>
      </c>
      <c r="F50" s="64">
        <f t="shared" si="14"/>
        <v>32204</v>
      </c>
      <c r="G50" s="64">
        <f t="shared" si="15"/>
        <v>39962</v>
      </c>
      <c r="H50" s="64">
        <f t="shared" si="16"/>
        <v>42164</v>
      </c>
      <c r="I50" s="64">
        <f t="shared" si="17"/>
        <v>38315</v>
      </c>
      <c r="J50" s="64">
        <f t="shared" si="18"/>
        <v>40189</v>
      </c>
      <c r="K50" s="64">
        <f t="shared" si="19"/>
        <v>36773</v>
      </c>
      <c r="L50" s="64">
        <f t="shared" si="20"/>
        <v>25607</v>
      </c>
      <c r="M50" s="64">
        <f t="shared" si="21"/>
        <v>27842</v>
      </c>
      <c r="N50" s="64">
        <f t="shared" si="22"/>
        <v>27250</v>
      </c>
      <c r="O50" s="64">
        <f t="shared" si="23"/>
        <v>0</v>
      </c>
      <c r="P50" s="64">
        <f t="shared" si="24"/>
        <v>0</v>
      </c>
      <c r="Q50" s="64">
        <f t="shared" si="25"/>
        <v>0</v>
      </c>
      <c r="R50" s="2"/>
    </row>
    <row r="51" spans="1:18">
      <c r="A51" s="1356">
        <v>440000</v>
      </c>
      <c r="B51" s="1522" t="s">
        <v>947</v>
      </c>
      <c r="C51" s="1356" t="s">
        <v>1412</v>
      </c>
      <c r="D51" s="19">
        <f t="shared" si="13"/>
        <v>440</v>
      </c>
      <c r="E51" s="10">
        <f t="shared" si="0"/>
        <v>120707262</v>
      </c>
      <c r="F51" s="64">
        <f t="shared" si="14"/>
        <v>10764634</v>
      </c>
      <c r="G51" s="64">
        <f t="shared" si="15"/>
        <v>12874646</v>
      </c>
      <c r="H51" s="64">
        <f t="shared" si="16"/>
        <v>10127950</v>
      </c>
      <c r="I51" s="64">
        <f t="shared" si="17"/>
        <v>9085273</v>
      </c>
      <c r="J51" s="64">
        <f t="shared" si="18"/>
        <v>7915095</v>
      </c>
      <c r="K51" s="64">
        <f t="shared" si="19"/>
        <v>7508314</v>
      </c>
      <c r="L51" s="64">
        <f t="shared" si="20"/>
        <v>9469175</v>
      </c>
      <c r="M51" s="64">
        <f t="shared" si="21"/>
        <v>12395394</v>
      </c>
      <c r="N51" s="64">
        <f t="shared" si="22"/>
        <v>12702058</v>
      </c>
      <c r="O51" s="64">
        <f t="shared" si="23"/>
        <v>11569355</v>
      </c>
      <c r="P51" s="64">
        <f t="shared" si="24"/>
        <v>8185453</v>
      </c>
      <c r="Q51" s="64">
        <f t="shared" si="25"/>
        <v>8109915</v>
      </c>
      <c r="R51" s="2"/>
    </row>
    <row r="52" spans="1:18">
      <c r="A52" s="1356">
        <v>440990</v>
      </c>
      <c r="B52" s="1522" t="s">
        <v>2021</v>
      </c>
      <c r="C52" s="1356" t="s">
        <v>1412</v>
      </c>
      <c r="D52" s="19">
        <f t="shared" si="13"/>
        <v>440</v>
      </c>
      <c r="E52" s="10">
        <f t="shared" si="0"/>
        <v>-2397730</v>
      </c>
      <c r="F52" s="64">
        <f t="shared" si="14"/>
        <v>1212394</v>
      </c>
      <c r="G52" s="64">
        <f t="shared" si="15"/>
        <v>-1263731</v>
      </c>
      <c r="H52" s="64">
        <f t="shared" si="16"/>
        <v>-836672</v>
      </c>
      <c r="I52" s="64">
        <f t="shared" si="17"/>
        <v>-528078</v>
      </c>
      <c r="J52" s="64">
        <f t="shared" si="18"/>
        <v>-339258</v>
      </c>
      <c r="K52" s="64">
        <f t="shared" si="19"/>
        <v>784453</v>
      </c>
      <c r="L52" s="64">
        <f t="shared" si="20"/>
        <v>1101729</v>
      </c>
      <c r="M52" s="64">
        <f t="shared" si="21"/>
        <v>234596</v>
      </c>
      <c r="N52" s="64">
        <f t="shared" si="22"/>
        <v>-851777</v>
      </c>
      <c r="O52" s="64">
        <f t="shared" si="23"/>
        <v>-2926539</v>
      </c>
      <c r="P52" s="64">
        <f t="shared" si="24"/>
        <v>-67129</v>
      </c>
      <c r="Q52" s="64">
        <f t="shared" si="25"/>
        <v>1082282</v>
      </c>
      <c r="R52" s="2"/>
    </row>
    <row r="53" spans="1:18">
      <c r="A53" s="1356">
        <v>442100</v>
      </c>
      <c r="B53" s="1522" t="s">
        <v>2022</v>
      </c>
      <c r="C53" s="1356" t="s">
        <v>1412</v>
      </c>
      <c r="D53" s="19">
        <f t="shared" si="13"/>
        <v>442</v>
      </c>
      <c r="E53" s="10">
        <f t="shared" si="0"/>
        <v>109529344</v>
      </c>
      <c r="F53" s="64">
        <f t="shared" si="14"/>
        <v>9044777</v>
      </c>
      <c r="G53" s="64">
        <f t="shared" si="15"/>
        <v>9229396</v>
      </c>
      <c r="H53" s="64">
        <f t="shared" si="16"/>
        <v>8637290</v>
      </c>
      <c r="I53" s="64">
        <f t="shared" si="17"/>
        <v>8398799</v>
      </c>
      <c r="J53" s="64">
        <f t="shared" si="18"/>
        <v>8187325</v>
      </c>
      <c r="K53" s="64">
        <f t="shared" si="19"/>
        <v>8137893</v>
      </c>
      <c r="L53" s="64">
        <f t="shared" si="20"/>
        <v>9474717</v>
      </c>
      <c r="M53" s="64">
        <f t="shared" si="21"/>
        <v>10323797</v>
      </c>
      <c r="N53" s="64">
        <f t="shared" si="22"/>
        <v>10314310</v>
      </c>
      <c r="O53" s="64">
        <f t="shared" si="23"/>
        <v>10200665</v>
      </c>
      <c r="P53" s="64">
        <f t="shared" si="24"/>
        <v>8945849</v>
      </c>
      <c r="Q53" s="64">
        <f t="shared" si="25"/>
        <v>8634526</v>
      </c>
      <c r="R53" s="2"/>
    </row>
    <row r="54" spans="1:18">
      <c r="A54" s="1356">
        <v>442190</v>
      </c>
      <c r="B54" s="1522" t="s">
        <v>2023</v>
      </c>
      <c r="C54" s="1356" t="s">
        <v>1412</v>
      </c>
      <c r="D54" s="19">
        <f t="shared" si="13"/>
        <v>442</v>
      </c>
      <c r="E54" s="10">
        <f t="shared" si="0"/>
        <v>123655</v>
      </c>
      <c r="F54" s="64">
        <f t="shared" si="14"/>
        <v>-134486</v>
      </c>
      <c r="G54" s="64">
        <f t="shared" si="15"/>
        <v>-235686</v>
      </c>
      <c r="H54" s="64">
        <f t="shared" si="16"/>
        <v>-289852</v>
      </c>
      <c r="I54" s="64">
        <f t="shared" si="17"/>
        <v>106074</v>
      </c>
      <c r="J54" s="64">
        <f t="shared" si="18"/>
        <v>-21272</v>
      </c>
      <c r="K54" s="64">
        <f t="shared" si="19"/>
        <v>223617</v>
      </c>
      <c r="L54" s="64">
        <f t="shared" si="20"/>
        <v>588408</v>
      </c>
      <c r="M54" s="64">
        <f t="shared" si="21"/>
        <v>375156</v>
      </c>
      <c r="N54" s="64">
        <f t="shared" si="22"/>
        <v>-108433</v>
      </c>
      <c r="O54" s="64">
        <f t="shared" si="23"/>
        <v>-370491</v>
      </c>
      <c r="P54" s="64">
        <f t="shared" si="24"/>
        <v>201645</v>
      </c>
      <c r="Q54" s="64">
        <f t="shared" si="25"/>
        <v>-211025</v>
      </c>
      <c r="R54" s="2"/>
    </row>
    <row r="55" spans="1:18">
      <c r="A55" s="1356">
        <v>442200</v>
      </c>
      <c r="B55" s="1522" t="s">
        <v>2024</v>
      </c>
      <c r="C55" s="1356" t="s">
        <v>1412</v>
      </c>
      <c r="D55" s="19">
        <f t="shared" si="13"/>
        <v>442</v>
      </c>
      <c r="E55" s="10">
        <f t="shared" si="0"/>
        <v>51583879</v>
      </c>
      <c r="F55" s="64">
        <f t="shared" si="14"/>
        <v>4183045</v>
      </c>
      <c r="G55" s="64">
        <f t="shared" si="15"/>
        <v>3985183</v>
      </c>
      <c r="H55" s="64">
        <f t="shared" si="16"/>
        <v>4020096</v>
      </c>
      <c r="I55" s="64">
        <f t="shared" si="17"/>
        <v>3928177</v>
      </c>
      <c r="J55" s="64">
        <f t="shared" si="18"/>
        <v>3887686</v>
      </c>
      <c r="K55" s="64">
        <f t="shared" si="19"/>
        <v>3929156</v>
      </c>
      <c r="L55" s="64">
        <f t="shared" si="20"/>
        <v>4612828</v>
      </c>
      <c r="M55" s="64">
        <f t="shared" si="21"/>
        <v>4698988</v>
      </c>
      <c r="N55" s="64">
        <f t="shared" si="22"/>
        <v>4686098</v>
      </c>
      <c r="O55" s="64">
        <f t="shared" si="23"/>
        <v>4682103</v>
      </c>
      <c r="P55" s="64">
        <f t="shared" si="24"/>
        <v>4527381</v>
      </c>
      <c r="Q55" s="64">
        <f t="shared" si="25"/>
        <v>4443138</v>
      </c>
      <c r="R55" s="2"/>
    </row>
    <row r="56" spans="1:18">
      <c r="A56" s="1356">
        <v>442290</v>
      </c>
      <c r="B56" s="1522" t="s">
        <v>2025</v>
      </c>
      <c r="C56" s="1356" t="s">
        <v>1412</v>
      </c>
      <c r="D56" s="19">
        <f t="shared" si="13"/>
        <v>442</v>
      </c>
      <c r="E56" s="10">
        <f t="shared" si="0"/>
        <v>-8065</v>
      </c>
      <c r="F56" s="64">
        <f t="shared" si="14"/>
        <v>-153749</v>
      </c>
      <c r="G56" s="64">
        <f t="shared" si="15"/>
        <v>15961</v>
      </c>
      <c r="H56" s="64">
        <f t="shared" si="16"/>
        <v>-218848</v>
      </c>
      <c r="I56" s="64">
        <f t="shared" si="17"/>
        <v>136596</v>
      </c>
      <c r="J56" s="64">
        <f t="shared" si="18"/>
        <v>-102759</v>
      </c>
      <c r="K56" s="64">
        <f t="shared" si="19"/>
        <v>162141</v>
      </c>
      <c r="L56" s="64">
        <f t="shared" si="20"/>
        <v>94679</v>
      </c>
      <c r="M56" s="64">
        <f t="shared" si="21"/>
        <v>9994</v>
      </c>
      <c r="N56" s="64">
        <f t="shared" si="22"/>
        <v>15835</v>
      </c>
      <c r="O56" s="64">
        <f t="shared" si="23"/>
        <v>70916</v>
      </c>
      <c r="P56" s="64">
        <f t="shared" si="24"/>
        <v>-20930</v>
      </c>
      <c r="Q56" s="64">
        <f t="shared" si="25"/>
        <v>-17901</v>
      </c>
      <c r="R56" s="2"/>
    </row>
    <row r="57" spans="1:18">
      <c r="A57" s="1356">
        <v>444000</v>
      </c>
      <c r="B57" s="1522" t="s">
        <v>2026</v>
      </c>
      <c r="C57" s="1356" t="s">
        <v>1412</v>
      </c>
      <c r="D57" s="19">
        <f t="shared" si="13"/>
        <v>444</v>
      </c>
      <c r="E57" s="10">
        <f t="shared" si="0"/>
        <v>1597984</v>
      </c>
      <c r="F57" s="64">
        <f t="shared" si="14"/>
        <v>136237</v>
      </c>
      <c r="G57" s="64">
        <f t="shared" si="15"/>
        <v>116540</v>
      </c>
      <c r="H57" s="64">
        <f t="shared" si="16"/>
        <v>135023</v>
      </c>
      <c r="I57" s="64">
        <f t="shared" si="17"/>
        <v>131291</v>
      </c>
      <c r="J57" s="64">
        <f t="shared" si="18"/>
        <v>130149</v>
      </c>
      <c r="K57" s="64">
        <f t="shared" si="19"/>
        <v>127100</v>
      </c>
      <c r="L57" s="64">
        <f t="shared" si="20"/>
        <v>133952</v>
      </c>
      <c r="M57" s="64">
        <f t="shared" si="21"/>
        <v>137708</v>
      </c>
      <c r="N57" s="64">
        <f t="shared" si="22"/>
        <v>137324</v>
      </c>
      <c r="O57" s="64">
        <f t="shared" si="23"/>
        <v>138581</v>
      </c>
      <c r="P57" s="64">
        <f t="shared" si="24"/>
        <v>136305</v>
      </c>
      <c r="Q57" s="64">
        <f t="shared" si="25"/>
        <v>137774</v>
      </c>
      <c r="R57" s="2"/>
    </row>
    <row r="58" spans="1:18">
      <c r="A58" s="1356">
        <v>445000</v>
      </c>
      <c r="B58" s="1522" t="s">
        <v>2027</v>
      </c>
      <c r="C58" s="1356" t="s">
        <v>1412</v>
      </c>
      <c r="D58" s="19">
        <f t="shared" si="13"/>
        <v>445</v>
      </c>
      <c r="E58" s="10">
        <f t="shared" si="0"/>
        <v>20713691</v>
      </c>
      <c r="F58" s="64">
        <f t="shared" si="14"/>
        <v>1709352</v>
      </c>
      <c r="G58" s="64">
        <f t="shared" si="15"/>
        <v>1715247</v>
      </c>
      <c r="H58" s="64">
        <f t="shared" si="16"/>
        <v>1574174</v>
      </c>
      <c r="I58" s="64">
        <f t="shared" si="17"/>
        <v>1646049</v>
      </c>
      <c r="J58" s="64">
        <f t="shared" si="18"/>
        <v>1517430</v>
      </c>
      <c r="K58" s="64">
        <f t="shared" si="19"/>
        <v>1560495</v>
      </c>
      <c r="L58" s="64">
        <f t="shared" si="20"/>
        <v>1770066</v>
      </c>
      <c r="M58" s="64">
        <f t="shared" si="21"/>
        <v>1834370</v>
      </c>
      <c r="N58" s="64">
        <f t="shared" si="22"/>
        <v>1901140</v>
      </c>
      <c r="O58" s="64">
        <f t="shared" si="23"/>
        <v>2009173</v>
      </c>
      <c r="P58" s="64">
        <f t="shared" si="24"/>
        <v>1793742</v>
      </c>
      <c r="Q58" s="64">
        <f t="shared" si="25"/>
        <v>1682453</v>
      </c>
      <c r="R58" s="2"/>
    </row>
    <row r="59" spans="1:18">
      <c r="A59" s="1356">
        <v>445090</v>
      </c>
      <c r="B59" s="1522" t="s">
        <v>2028</v>
      </c>
      <c r="C59" s="1356" t="s">
        <v>1412</v>
      </c>
      <c r="D59" s="19">
        <f t="shared" si="13"/>
        <v>445</v>
      </c>
      <c r="E59" s="10">
        <f t="shared" si="0"/>
        <v>-32783</v>
      </c>
      <c r="F59" s="64">
        <f t="shared" si="14"/>
        <v>-61084</v>
      </c>
      <c r="G59" s="64">
        <f t="shared" si="15"/>
        <v>-10057</v>
      </c>
      <c r="H59" s="64">
        <f t="shared" si="16"/>
        <v>-114799</v>
      </c>
      <c r="I59" s="64">
        <f t="shared" si="17"/>
        <v>44432</v>
      </c>
      <c r="J59" s="64">
        <f t="shared" si="18"/>
        <v>-50026</v>
      </c>
      <c r="K59" s="64">
        <f t="shared" si="19"/>
        <v>63810</v>
      </c>
      <c r="L59" s="64">
        <f t="shared" si="20"/>
        <v>108023</v>
      </c>
      <c r="M59" s="64">
        <f t="shared" si="21"/>
        <v>65849</v>
      </c>
      <c r="N59" s="64">
        <f t="shared" si="22"/>
        <v>49795</v>
      </c>
      <c r="O59" s="64">
        <f t="shared" si="23"/>
        <v>-89899</v>
      </c>
      <c r="P59" s="64">
        <f t="shared" si="24"/>
        <v>24909</v>
      </c>
      <c r="Q59" s="64">
        <f t="shared" si="25"/>
        <v>-63736</v>
      </c>
      <c r="R59" s="2"/>
    </row>
    <row r="60" spans="1:18">
      <c r="A60" s="1356">
        <v>447150</v>
      </c>
      <c r="B60" s="1522" t="s">
        <v>2029</v>
      </c>
      <c r="C60" s="1356" t="s">
        <v>1412</v>
      </c>
      <c r="D60" s="19">
        <f t="shared" si="13"/>
        <v>447</v>
      </c>
      <c r="E60" s="10">
        <f t="shared" si="0"/>
        <v>17932492</v>
      </c>
      <c r="F60" s="64">
        <f t="shared" si="14"/>
        <v>2931217</v>
      </c>
      <c r="G60" s="64">
        <f t="shared" si="15"/>
        <v>1775211</v>
      </c>
      <c r="H60" s="64">
        <f t="shared" si="16"/>
        <v>1608680</v>
      </c>
      <c r="I60" s="64">
        <f t="shared" si="17"/>
        <v>3515082</v>
      </c>
      <c r="J60" s="64">
        <f t="shared" si="18"/>
        <v>2495303</v>
      </c>
      <c r="K60" s="64">
        <f t="shared" si="19"/>
        <v>1297999</v>
      </c>
      <c r="L60" s="64">
        <f t="shared" si="20"/>
        <v>672000</v>
      </c>
      <c r="M60" s="64">
        <f t="shared" si="21"/>
        <v>835000</v>
      </c>
      <c r="N60" s="64">
        <f t="shared" si="22"/>
        <v>716000</v>
      </c>
      <c r="O60" s="64">
        <f t="shared" si="23"/>
        <v>619000</v>
      </c>
      <c r="P60" s="64">
        <f t="shared" si="24"/>
        <v>898000</v>
      </c>
      <c r="Q60" s="64">
        <f t="shared" si="25"/>
        <v>569000</v>
      </c>
      <c r="R60" s="2"/>
    </row>
    <row r="61" spans="1:18">
      <c r="A61" s="1356">
        <v>448000</v>
      </c>
      <c r="B61" s="1522" t="s">
        <v>2031</v>
      </c>
      <c r="C61" s="1356" t="s">
        <v>1412</v>
      </c>
      <c r="D61" s="19">
        <f t="shared" si="13"/>
        <v>448</v>
      </c>
      <c r="E61" s="10">
        <f t="shared" si="0"/>
        <v>52074</v>
      </c>
      <c r="F61" s="64">
        <f t="shared" si="14"/>
        <v>2467</v>
      </c>
      <c r="G61" s="64">
        <f t="shared" si="15"/>
        <v>9022</v>
      </c>
      <c r="H61" s="64">
        <f t="shared" si="16"/>
        <v>11880</v>
      </c>
      <c r="I61" s="64">
        <f t="shared" si="17"/>
        <v>33871</v>
      </c>
      <c r="J61" s="64">
        <f t="shared" si="18"/>
        <v>-26351</v>
      </c>
      <c r="K61" s="64">
        <f t="shared" si="19"/>
        <v>2070</v>
      </c>
      <c r="L61" s="64">
        <f t="shared" si="20"/>
        <v>2989</v>
      </c>
      <c r="M61" s="64">
        <f t="shared" si="21"/>
        <v>4290</v>
      </c>
      <c r="N61" s="64">
        <f t="shared" si="22"/>
        <v>3891</v>
      </c>
      <c r="O61" s="64">
        <f t="shared" si="23"/>
        <v>1790</v>
      </c>
      <c r="P61" s="64">
        <f t="shared" si="24"/>
        <v>1935</v>
      </c>
      <c r="Q61" s="64">
        <f t="shared" si="25"/>
        <v>4220</v>
      </c>
      <c r="R61" s="2"/>
    </row>
    <row r="62" spans="1:18">
      <c r="A62" s="1356">
        <v>449100</v>
      </c>
      <c r="B62" s="1522" t="s">
        <v>2032</v>
      </c>
      <c r="C62" s="1356" t="s">
        <v>1412</v>
      </c>
      <c r="D62" s="19">
        <f t="shared" si="13"/>
        <v>449</v>
      </c>
      <c r="E62" s="10">
        <f t="shared" si="0"/>
        <v>573260</v>
      </c>
      <c r="F62" s="64">
        <f t="shared" si="14"/>
        <v>-379172</v>
      </c>
      <c r="G62" s="64">
        <f t="shared" si="15"/>
        <v>93347</v>
      </c>
      <c r="H62" s="64">
        <f t="shared" si="16"/>
        <v>225359</v>
      </c>
      <c r="I62" s="64">
        <f t="shared" si="17"/>
        <v>-308596</v>
      </c>
      <c r="J62" s="64">
        <f t="shared" si="18"/>
        <v>257601</v>
      </c>
      <c r="K62" s="64">
        <f t="shared" si="19"/>
        <v>684721</v>
      </c>
      <c r="L62" s="64">
        <f t="shared" si="20"/>
        <v>0</v>
      </c>
      <c r="M62" s="64">
        <f t="shared" si="21"/>
        <v>0</v>
      </c>
      <c r="N62" s="64">
        <f t="shared" si="22"/>
        <v>0</v>
      </c>
      <c r="O62" s="64">
        <f t="shared" si="23"/>
        <v>0</v>
      </c>
      <c r="P62" s="64">
        <f t="shared" si="24"/>
        <v>0</v>
      </c>
      <c r="Q62" s="64">
        <f t="shared" si="25"/>
        <v>0</v>
      </c>
      <c r="R62" s="2"/>
    </row>
    <row r="63" spans="1:18">
      <c r="A63" s="1356">
        <v>450100</v>
      </c>
      <c r="B63" s="1522" t="s">
        <v>2169</v>
      </c>
      <c r="C63" s="1356" t="s">
        <v>1412</v>
      </c>
      <c r="D63" s="19">
        <f>VALUE(LEFT(A63,3))</f>
        <v>450</v>
      </c>
      <c r="E63" s="10">
        <f t="shared" si="0"/>
        <v>0</v>
      </c>
      <c r="F63" s="64">
        <f t="shared" si="14"/>
        <v>0</v>
      </c>
      <c r="G63" s="64">
        <f t="shared" si="15"/>
        <v>0</v>
      </c>
      <c r="H63" s="64">
        <f t="shared" si="16"/>
        <v>0</v>
      </c>
      <c r="I63" s="64">
        <f t="shared" si="17"/>
        <v>0</v>
      </c>
      <c r="J63" s="64">
        <f t="shared" si="18"/>
        <v>0</v>
      </c>
      <c r="K63" s="64">
        <f t="shared" si="19"/>
        <v>0</v>
      </c>
      <c r="L63" s="64">
        <f t="shared" si="20"/>
        <v>0</v>
      </c>
      <c r="M63" s="64">
        <f t="shared" si="21"/>
        <v>0</v>
      </c>
      <c r="N63" s="64">
        <f t="shared" si="22"/>
        <v>0</v>
      </c>
      <c r="O63" s="64">
        <f t="shared" si="23"/>
        <v>0</v>
      </c>
      <c r="P63" s="64">
        <f t="shared" si="24"/>
        <v>0</v>
      </c>
      <c r="Q63" s="64">
        <f t="shared" si="25"/>
        <v>0</v>
      </c>
      <c r="R63" s="2"/>
    </row>
    <row r="64" spans="1:18">
      <c r="A64" s="1356">
        <v>451100</v>
      </c>
      <c r="B64" s="1522" t="s">
        <v>2033</v>
      </c>
      <c r="C64" s="1356" t="s">
        <v>1412</v>
      </c>
      <c r="D64" s="19">
        <f t="shared" si="13"/>
        <v>451</v>
      </c>
      <c r="E64" s="10">
        <f t="shared" si="0"/>
        <v>284441</v>
      </c>
      <c r="F64" s="64">
        <f t="shared" si="14"/>
        <v>26203</v>
      </c>
      <c r="G64" s="64">
        <f t="shared" si="15"/>
        <v>19479</v>
      </c>
      <c r="H64" s="64">
        <f t="shared" si="16"/>
        <v>18855</v>
      </c>
      <c r="I64" s="64">
        <f t="shared" si="17"/>
        <v>18420</v>
      </c>
      <c r="J64" s="64">
        <f t="shared" si="18"/>
        <v>23169</v>
      </c>
      <c r="K64" s="64">
        <f t="shared" si="19"/>
        <v>29563</v>
      </c>
      <c r="L64" s="64">
        <f t="shared" si="20"/>
        <v>24792</v>
      </c>
      <c r="M64" s="64">
        <f t="shared" si="21"/>
        <v>24792</v>
      </c>
      <c r="N64" s="64">
        <f t="shared" si="22"/>
        <v>24792</v>
      </c>
      <c r="O64" s="64">
        <f t="shared" si="23"/>
        <v>24792</v>
      </c>
      <c r="P64" s="64">
        <f t="shared" si="24"/>
        <v>24792</v>
      </c>
      <c r="Q64" s="64">
        <f t="shared" si="25"/>
        <v>24792</v>
      </c>
      <c r="R64" s="2"/>
    </row>
    <row r="65" spans="1:18">
      <c r="A65" s="1356">
        <v>453625</v>
      </c>
      <c r="B65" s="1522" t="s">
        <v>2544</v>
      </c>
      <c r="C65" s="1356" t="s">
        <v>1412</v>
      </c>
      <c r="D65" s="19">
        <f t="shared" si="13"/>
        <v>453</v>
      </c>
      <c r="E65" s="10">
        <f t="shared" si="0"/>
        <v>114457</v>
      </c>
      <c r="F65" s="64">
        <f t="shared" si="14"/>
        <v>85000</v>
      </c>
      <c r="G65" s="64">
        <f t="shared" si="15"/>
        <v>9819</v>
      </c>
      <c r="H65" s="64">
        <f t="shared" si="16"/>
        <v>9819</v>
      </c>
      <c r="I65" s="64">
        <f t="shared" si="17"/>
        <v>9819</v>
      </c>
      <c r="J65" s="64">
        <f t="shared" si="18"/>
        <v>0</v>
      </c>
      <c r="K65" s="64">
        <f t="shared" si="19"/>
        <v>0</v>
      </c>
      <c r="L65" s="64">
        <f t="shared" si="20"/>
        <v>0</v>
      </c>
      <c r="M65" s="64">
        <f t="shared" si="21"/>
        <v>0</v>
      </c>
      <c r="N65" s="64">
        <f t="shared" si="22"/>
        <v>0</v>
      </c>
      <c r="O65" s="64">
        <f t="shared" si="23"/>
        <v>0</v>
      </c>
      <c r="P65" s="64">
        <f t="shared" si="24"/>
        <v>0</v>
      </c>
      <c r="Q65" s="64">
        <f t="shared" si="25"/>
        <v>0</v>
      </c>
      <c r="R65" s="2"/>
    </row>
    <row r="66" spans="1:18">
      <c r="A66" s="1356">
        <v>454200</v>
      </c>
      <c r="B66" s="1522" t="s">
        <v>2034</v>
      </c>
      <c r="C66" s="1356" t="s">
        <v>1412</v>
      </c>
      <c r="D66" s="19">
        <f t="shared" si="13"/>
        <v>454</v>
      </c>
      <c r="E66" s="10">
        <f t="shared" si="0"/>
        <v>117775</v>
      </c>
      <c r="F66" s="64">
        <f t="shared" si="14"/>
        <v>0</v>
      </c>
      <c r="G66" s="64">
        <f t="shared" si="15"/>
        <v>32539</v>
      </c>
      <c r="H66" s="64">
        <f t="shared" si="16"/>
        <v>0</v>
      </c>
      <c r="I66" s="64">
        <f t="shared" si="17"/>
        <v>36</v>
      </c>
      <c r="J66" s="64">
        <f t="shared" si="18"/>
        <v>85</v>
      </c>
      <c r="K66" s="64">
        <f t="shared" si="19"/>
        <v>113</v>
      </c>
      <c r="L66" s="64">
        <f t="shared" si="20"/>
        <v>14167</v>
      </c>
      <c r="M66" s="64">
        <f t="shared" si="21"/>
        <v>14167</v>
      </c>
      <c r="N66" s="64">
        <f t="shared" si="22"/>
        <v>14167</v>
      </c>
      <c r="O66" s="64">
        <f t="shared" si="23"/>
        <v>14167</v>
      </c>
      <c r="P66" s="64">
        <f t="shared" si="24"/>
        <v>14167</v>
      </c>
      <c r="Q66" s="64">
        <f t="shared" si="25"/>
        <v>14167</v>
      </c>
      <c r="R66" s="2"/>
    </row>
    <row r="67" spans="1:18">
      <c r="A67" s="1356">
        <v>454300</v>
      </c>
      <c r="B67" s="1522" t="s">
        <v>2035</v>
      </c>
      <c r="C67" s="1356" t="s">
        <v>1412</v>
      </c>
      <c r="D67" s="19">
        <f t="shared" si="13"/>
        <v>454</v>
      </c>
      <c r="E67" s="10">
        <f t="shared" si="0"/>
        <v>1155</v>
      </c>
      <c r="F67" s="64">
        <f t="shared" si="14"/>
        <v>231</v>
      </c>
      <c r="G67" s="64">
        <f t="shared" si="15"/>
        <v>231</v>
      </c>
      <c r="H67" s="64">
        <f t="shared" si="16"/>
        <v>231</v>
      </c>
      <c r="I67" s="64">
        <f t="shared" si="17"/>
        <v>0</v>
      </c>
      <c r="J67" s="64">
        <f t="shared" si="18"/>
        <v>231</v>
      </c>
      <c r="K67" s="64">
        <f t="shared" si="19"/>
        <v>231</v>
      </c>
      <c r="L67" s="64">
        <f t="shared" si="20"/>
        <v>0</v>
      </c>
      <c r="M67" s="64">
        <f t="shared" si="21"/>
        <v>0</v>
      </c>
      <c r="N67" s="64">
        <f t="shared" si="22"/>
        <v>0</v>
      </c>
      <c r="O67" s="64">
        <f t="shared" si="23"/>
        <v>0</v>
      </c>
      <c r="P67" s="64">
        <f t="shared" si="24"/>
        <v>0</v>
      </c>
      <c r="Q67" s="64">
        <f t="shared" si="25"/>
        <v>0</v>
      </c>
      <c r="R67" s="2"/>
    </row>
    <row r="68" spans="1:18">
      <c r="A68" s="1356">
        <v>454400</v>
      </c>
      <c r="B68" s="1522" t="s">
        <v>2036</v>
      </c>
      <c r="C68" s="1356" t="s">
        <v>1412</v>
      </c>
      <c r="D68" s="19">
        <f t="shared" si="13"/>
        <v>454</v>
      </c>
      <c r="E68" s="10">
        <f t="shared" si="0"/>
        <v>930344</v>
      </c>
      <c r="F68" s="64">
        <f t="shared" si="14"/>
        <v>32503</v>
      </c>
      <c r="G68" s="64">
        <f t="shared" si="15"/>
        <v>80504</v>
      </c>
      <c r="H68" s="64">
        <f t="shared" si="16"/>
        <v>66175</v>
      </c>
      <c r="I68" s="64">
        <f t="shared" si="17"/>
        <v>73505</v>
      </c>
      <c r="J68" s="64">
        <f t="shared" si="18"/>
        <v>73073</v>
      </c>
      <c r="K68" s="64">
        <f t="shared" si="19"/>
        <v>75582</v>
      </c>
      <c r="L68" s="64">
        <f t="shared" si="20"/>
        <v>88167</v>
      </c>
      <c r="M68" s="64">
        <f t="shared" si="21"/>
        <v>88167</v>
      </c>
      <c r="N68" s="64">
        <f t="shared" si="22"/>
        <v>88167</v>
      </c>
      <c r="O68" s="64">
        <f t="shared" si="23"/>
        <v>88167</v>
      </c>
      <c r="P68" s="64">
        <f t="shared" si="24"/>
        <v>88167</v>
      </c>
      <c r="Q68" s="64">
        <f t="shared" si="25"/>
        <v>88167</v>
      </c>
      <c r="R68" s="2"/>
    </row>
    <row r="69" spans="1:18">
      <c r="A69" s="1356">
        <v>454601</v>
      </c>
      <c r="B69" s="1522" t="s">
        <v>2605</v>
      </c>
      <c r="C69" s="1356" t="s">
        <v>1412</v>
      </c>
      <c r="D69" s="19">
        <f t="shared" si="13"/>
        <v>454</v>
      </c>
      <c r="E69" s="10">
        <f t="shared" si="0"/>
        <v>0</v>
      </c>
      <c r="F69" s="64"/>
      <c r="G69" s="64"/>
      <c r="H69" s="64"/>
      <c r="I69" s="64"/>
      <c r="J69" s="64"/>
      <c r="K69" s="64"/>
      <c r="L69" s="64">
        <f t="shared" si="20"/>
        <v>0</v>
      </c>
      <c r="M69" s="64">
        <f t="shared" si="21"/>
        <v>0</v>
      </c>
      <c r="N69" s="64">
        <f t="shared" si="22"/>
        <v>0</v>
      </c>
      <c r="O69" s="64">
        <f t="shared" si="23"/>
        <v>0</v>
      </c>
      <c r="P69" s="64">
        <f t="shared" si="24"/>
        <v>0</v>
      </c>
      <c r="Q69" s="64">
        <f t="shared" si="25"/>
        <v>0</v>
      </c>
      <c r="R69" s="2"/>
    </row>
    <row r="70" spans="1:18">
      <c r="A70" s="1356">
        <v>456025</v>
      </c>
      <c r="B70" s="1522" t="s">
        <v>2037</v>
      </c>
      <c r="C70" s="1356" t="s">
        <v>1412</v>
      </c>
      <c r="D70" s="19">
        <f t="shared" si="13"/>
        <v>456</v>
      </c>
      <c r="E70" s="10">
        <f t="shared" si="0"/>
        <v>534671</v>
      </c>
      <c r="F70" s="64">
        <f t="shared" ref="F70:F101" si="26">IF(ISNA(VLOOKUP(A70,BPActual,3,FALSE)=TRUE),0,VLOOKUP(A70,BPActual,3,FALSE))</f>
        <v>66722</v>
      </c>
      <c r="G70" s="64">
        <f t="shared" ref="G70:G101" si="27">IF(ISNA(VLOOKUP(A70,BPActual,4,FALSE)=TRUE),0,VLOOKUP(A70,BPActual,4,FALSE))</f>
        <v>172028</v>
      </c>
      <c r="H70" s="64">
        <f t="shared" ref="H70:H101" si="28">IF(ISNA(VLOOKUP(A70,BPActual,5,FALSE)=TRUE),0,VLOOKUP(A70,BPActual,5,FALSE))</f>
        <v>20831</v>
      </c>
      <c r="I70" s="64">
        <f t="shared" ref="I70:I101" si="29">IF(ISNA(VLOOKUP(A70,BPActual,6,FALSE)=TRUE),0,VLOOKUP(A70,BPActual,6,FALSE))</f>
        <v>222875</v>
      </c>
      <c r="J70" s="64">
        <f t="shared" ref="J70:J101" si="30">IF(ISNA(VLOOKUP(A70,BPActual,7,FALSE)=TRUE),0,VLOOKUP(A70,BPActual,7,FALSE))</f>
        <v>20</v>
      </c>
      <c r="K70" s="64">
        <f t="shared" ref="K70:K101" si="31">IF(ISNA(VLOOKUP(A70,BPActual,8,FALSE)=TRUE),0,VLOOKUP(A70,BPActual,8,FALSE))</f>
        <v>52195</v>
      </c>
      <c r="L70" s="64">
        <f t="shared" si="20"/>
        <v>0</v>
      </c>
      <c r="M70" s="64">
        <f t="shared" si="21"/>
        <v>0</v>
      </c>
      <c r="N70" s="64">
        <f t="shared" si="22"/>
        <v>0</v>
      </c>
      <c r="O70" s="64">
        <f t="shared" si="23"/>
        <v>0</v>
      </c>
      <c r="P70" s="64">
        <f t="shared" si="24"/>
        <v>0</v>
      </c>
      <c r="Q70" s="64">
        <f t="shared" si="25"/>
        <v>0</v>
      </c>
      <c r="R70" s="2"/>
    </row>
    <row r="71" spans="1:18">
      <c r="A71" s="1356">
        <v>456040</v>
      </c>
      <c r="B71" s="1522" t="s">
        <v>2038</v>
      </c>
      <c r="C71" s="1356" t="s">
        <v>1412</v>
      </c>
      <c r="D71" s="19">
        <f t="shared" si="13"/>
        <v>456</v>
      </c>
      <c r="E71" s="10">
        <f t="shared" si="0"/>
        <v>300</v>
      </c>
      <c r="F71" s="64">
        <f t="shared" si="26"/>
        <v>50</v>
      </c>
      <c r="G71" s="64">
        <f t="shared" si="27"/>
        <v>50</v>
      </c>
      <c r="H71" s="64">
        <f t="shared" si="28"/>
        <v>50</v>
      </c>
      <c r="I71" s="64">
        <f t="shared" si="29"/>
        <v>50</v>
      </c>
      <c r="J71" s="64">
        <f t="shared" si="30"/>
        <v>50</v>
      </c>
      <c r="K71" s="64">
        <f t="shared" si="31"/>
        <v>50</v>
      </c>
      <c r="L71" s="64">
        <f t="shared" si="20"/>
        <v>0</v>
      </c>
      <c r="M71" s="64">
        <f t="shared" si="21"/>
        <v>0</v>
      </c>
      <c r="N71" s="64">
        <f t="shared" si="22"/>
        <v>0</v>
      </c>
      <c r="O71" s="64">
        <f t="shared" si="23"/>
        <v>0</v>
      </c>
      <c r="P71" s="64">
        <f t="shared" si="24"/>
        <v>0</v>
      </c>
      <c r="Q71" s="64">
        <f t="shared" si="25"/>
        <v>0</v>
      </c>
      <c r="R71" s="2"/>
    </row>
    <row r="72" spans="1:18">
      <c r="A72" s="1356">
        <v>456110</v>
      </c>
      <c r="B72" s="1522" t="s">
        <v>2039</v>
      </c>
      <c r="C72" s="1356" t="s">
        <v>1412</v>
      </c>
      <c r="D72" s="19">
        <f t="shared" si="13"/>
        <v>456</v>
      </c>
      <c r="E72" s="10">
        <f t="shared" si="0"/>
        <v>102595</v>
      </c>
      <c r="F72" s="64">
        <f t="shared" si="26"/>
        <v>5041</v>
      </c>
      <c r="G72" s="64">
        <f t="shared" si="27"/>
        <v>5369</v>
      </c>
      <c r="H72" s="64">
        <f t="shared" si="28"/>
        <v>6684</v>
      </c>
      <c r="I72" s="64">
        <f t="shared" si="29"/>
        <v>4763</v>
      </c>
      <c r="J72" s="64">
        <f t="shared" si="30"/>
        <v>3621</v>
      </c>
      <c r="K72" s="64">
        <f t="shared" si="31"/>
        <v>4619</v>
      </c>
      <c r="L72" s="64">
        <f t="shared" si="20"/>
        <v>12083</v>
      </c>
      <c r="M72" s="64">
        <f t="shared" si="21"/>
        <v>12083</v>
      </c>
      <c r="N72" s="64">
        <f t="shared" si="22"/>
        <v>12083</v>
      </c>
      <c r="O72" s="64">
        <f t="shared" si="23"/>
        <v>12083</v>
      </c>
      <c r="P72" s="64">
        <f t="shared" si="24"/>
        <v>12083</v>
      </c>
      <c r="Q72" s="64">
        <f t="shared" si="25"/>
        <v>12083</v>
      </c>
      <c r="R72" s="2"/>
    </row>
    <row r="73" spans="1:18">
      <c r="A73" s="1356">
        <v>456111</v>
      </c>
      <c r="B73" s="1522" t="s">
        <v>2040</v>
      </c>
      <c r="C73" s="1356" t="s">
        <v>1412</v>
      </c>
      <c r="D73" s="19">
        <f t="shared" si="13"/>
        <v>456</v>
      </c>
      <c r="E73" s="10">
        <f t="shared" si="0"/>
        <v>1802840</v>
      </c>
      <c r="F73" s="64">
        <f t="shared" si="26"/>
        <v>304346</v>
      </c>
      <c r="G73" s="64">
        <f t="shared" si="27"/>
        <v>60201</v>
      </c>
      <c r="H73" s="64">
        <f t="shared" si="28"/>
        <v>-3379</v>
      </c>
      <c r="I73" s="64">
        <f t="shared" si="29"/>
        <v>-552</v>
      </c>
      <c r="J73" s="64">
        <f t="shared" si="30"/>
        <v>-43274</v>
      </c>
      <c r="K73" s="64">
        <f t="shared" si="31"/>
        <v>121038</v>
      </c>
      <c r="L73" s="64">
        <f t="shared" si="20"/>
        <v>227410</v>
      </c>
      <c r="M73" s="64">
        <f t="shared" si="21"/>
        <v>227410</v>
      </c>
      <c r="N73" s="64">
        <f t="shared" si="22"/>
        <v>227410</v>
      </c>
      <c r="O73" s="64">
        <f t="shared" si="23"/>
        <v>227410</v>
      </c>
      <c r="P73" s="64">
        <f t="shared" si="24"/>
        <v>227410</v>
      </c>
      <c r="Q73" s="64">
        <f t="shared" si="25"/>
        <v>227410</v>
      </c>
      <c r="R73" s="2"/>
    </row>
    <row r="74" spans="1:18">
      <c r="A74" s="1356">
        <v>456610</v>
      </c>
      <c r="B74" s="1522" t="s">
        <v>733</v>
      </c>
      <c r="C74" s="1356" t="s">
        <v>1412</v>
      </c>
      <c r="D74" s="19">
        <f t="shared" si="13"/>
        <v>456</v>
      </c>
      <c r="E74" s="10">
        <f t="shared" si="0"/>
        <v>15633</v>
      </c>
      <c r="F74" s="64">
        <f t="shared" si="26"/>
        <v>0</v>
      </c>
      <c r="G74" s="64">
        <f t="shared" si="27"/>
        <v>15633</v>
      </c>
      <c r="H74" s="64">
        <f t="shared" si="28"/>
        <v>0</v>
      </c>
      <c r="I74" s="64">
        <f t="shared" si="29"/>
        <v>0</v>
      </c>
      <c r="J74" s="64">
        <f t="shared" si="30"/>
        <v>0</v>
      </c>
      <c r="K74" s="64">
        <f t="shared" si="31"/>
        <v>0</v>
      </c>
      <c r="L74" s="64">
        <f t="shared" si="20"/>
        <v>0</v>
      </c>
      <c r="M74" s="64">
        <f t="shared" si="21"/>
        <v>0</v>
      </c>
      <c r="N74" s="64">
        <f t="shared" si="22"/>
        <v>0</v>
      </c>
      <c r="O74" s="64">
        <f t="shared" si="23"/>
        <v>0</v>
      </c>
      <c r="P74" s="64">
        <f t="shared" si="24"/>
        <v>0</v>
      </c>
      <c r="Q74" s="64">
        <f t="shared" si="25"/>
        <v>0</v>
      </c>
      <c r="R74" s="2"/>
    </row>
    <row r="75" spans="1:18">
      <c r="A75" s="1356">
        <v>456970</v>
      </c>
      <c r="B75" s="1522" t="s">
        <v>2041</v>
      </c>
      <c r="C75" s="1356" t="s">
        <v>1412</v>
      </c>
      <c r="D75" s="19">
        <f t="shared" si="13"/>
        <v>456</v>
      </c>
      <c r="E75" s="10">
        <f t="shared" ref="E75:E138" si="32">SUM(F75:Q75)</f>
        <v>42241</v>
      </c>
      <c r="F75" s="64">
        <f t="shared" si="26"/>
        <v>4447</v>
      </c>
      <c r="G75" s="64">
        <f t="shared" si="27"/>
        <v>5764</v>
      </c>
      <c r="H75" s="64">
        <f t="shared" si="28"/>
        <v>5591</v>
      </c>
      <c r="I75" s="64">
        <f t="shared" si="29"/>
        <v>4961</v>
      </c>
      <c r="J75" s="64">
        <f t="shared" si="30"/>
        <v>5195</v>
      </c>
      <c r="K75" s="64">
        <f t="shared" si="31"/>
        <v>4031</v>
      </c>
      <c r="L75" s="64">
        <f t="shared" si="20"/>
        <v>2042</v>
      </c>
      <c r="M75" s="64">
        <f t="shared" si="21"/>
        <v>2042</v>
      </c>
      <c r="N75" s="64">
        <f t="shared" si="22"/>
        <v>2042</v>
      </c>
      <c r="O75" s="64">
        <f t="shared" si="23"/>
        <v>2042</v>
      </c>
      <c r="P75" s="64">
        <f t="shared" si="24"/>
        <v>2042</v>
      </c>
      <c r="Q75" s="64">
        <f t="shared" si="25"/>
        <v>2042</v>
      </c>
      <c r="R75" s="2"/>
    </row>
    <row r="76" spans="1:18">
      <c r="A76" s="1356">
        <v>457100</v>
      </c>
      <c r="B76" s="1522" t="s">
        <v>2595</v>
      </c>
      <c r="C76" s="1356" t="s">
        <v>1412</v>
      </c>
      <c r="D76" s="19">
        <f>VALUE(LEFT(A76,3))</f>
        <v>457</v>
      </c>
      <c r="E76" s="10">
        <f t="shared" si="32"/>
        <v>0</v>
      </c>
      <c r="F76" s="64">
        <f t="shared" si="26"/>
        <v>0</v>
      </c>
      <c r="G76" s="64">
        <f t="shared" si="27"/>
        <v>0</v>
      </c>
      <c r="H76" s="64">
        <f t="shared" si="28"/>
        <v>0</v>
      </c>
      <c r="I76" s="64">
        <f t="shared" si="29"/>
        <v>0</v>
      </c>
      <c r="J76" s="64">
        <f t="shared" si="30"/>
        <v>0</v>
      </c>
      <c r="K76" s="64">
        <f t="shared" si="31"/>
        <v>0</v>
      </c>
      <c r="L76" s="64">
        <f t="shared" si="20"/>
        <v>0</v>
      </c>
      <c r="M76" s="64">
        <f t="shared" si="21"/>
        <v>0</v>
      </c>
      <c r="N76" s="64">
        <f t="shared" si="22"/>
        <v>0</v>
      </c>
      <c r="O76" s="64">
        <f t="shared" si="23"/>
        <v>0</v>
      </c>
      <c r="P76" s="64">
        <f t="shared" si="24"/>
        <v>0</v>
      </c>
      <c r="Q76" s="64">
        <f t="shared" si="25"/>
        <v>0</v>
      </c>
      <c r="R76" s="2"/>
    </row>
    <row r="77" spans="1:18">
      <c r="A77" s="1356">
        <v>457105</v>
      </c>
      <c r="B77" s="1522" t="s">
        <v>2667</v>
      </c>
      <c r="C77" s="1356" t="s">
        <v>1412</v>
      </c>
      <c r="D77" s="19">
        <f>VALUE(LEFT(A77,3))</f>
        <v>457</v>
      </c>
      <c r="E77" s="10">
        <f t="shared" si="32"/>
        <v>94013</v>
      </c>
      <c r="F77" s="64">
        <f t="shared" si="26"/>
        <v>0</v>
      </c>
      <c r="G77" s="64">
        <f t="shared" si="27"/>
        <v>0</v>
      </c>
      <c r="H77" s="64">
        <f t="shared" si="28"/>
        <v>65634</v>
      </c>
      <c r="I77" s="64">
        <f t="shared" si="29"/>
        <v>13302</v>
      </c>
      <c r="J77" s="64">
        <f t="shared" si="30"/>
        <v>-1</v>
      </c>
      <c r="K77" s="64">
        <f t="shared" si="31"/>
        <v>15078</v>
      </c>
      <c r="L77" s="64">
        <f t="shared" ref="L77:L108" si="33">IF(ISNA(VLOOKUP(A77,BPActual,9,FALSE)=TRUE),0,VLOOKUP(A77,BPActual,9,FALSE))</f>
        <v>0</v>
      </c>
      <c r="M77" s="64">
        <f t="shared" ref="M77:M108" si="34">IF(ISNA(VLOOKUP(A77,BPActual,10,FALSE)=TRUE),0,VLOOKUP(A77,BPActual,10,FALSE))</f>
        <v>0</v>
      </c>
      <c r="N77" s="64">
        <f t="shared" ref="N77:N108" si="35">IF(ISNA(VLOOKUP(A77,BPActual,11,FALSE)=TRUE),0,VLOOKUP(A77,BPActual,11,FALSE))</f>
        <v>0</v>
      </c>
      <c r="O77" s="64">
        <f t="shared" ref="O77:O108" si="36">IF(ISNA(VLOOKUP(A77,BPActual,12,FALSE)=TRUE),0,VLOOKUP(A77,BPActual,12,FALSE))</f>
        <v>0</v>
      </c>
      <c r="P77" s="64">
        <f t="shared" ref="P77:P108" si="37">IF(ISNA(VLOOKUP(A77,BPActual,13,FALSE)=TRUE),0,VLOOKUP(A77,BPActual,13,FALSE))</f>
        <v>0</v>
      </c>
      <c r="Q77" s="64">
        <f t="shared" ref="Q77:Q108" si="38">IF(ISNA(VLOOKUP(A77,BPActual,14,FALSE)=TRUE),0,VLOOKUP(A77,BPActual,14,FALSE))</f>
        <v>0</v>
      </c>
      <c r="R77" s="2"/>
    </row>
    <row r="78" spans="1:18">
      <c r="A78" s="1356">
        <v>457204</v>
      </c>
      <c r="B78" s="1522" t="s">
        <v>2545</v>
      </c>
      <c r="C78" s="1356" t="s">
        <v>1412</v>
      </c>
      <c r="D78" s="19">
        <f>VALUE(LEFT(A78,3))</f>
        <v>457</v>
      </c>
      <c r="E78" s="10">
        <f t="shared" si="32"/>
        <v>2036810</v>
      </c>
      <c r="F78" s="64">
        <f t="shared" si="26"/>
        <v>1100470</v>
      </c>
      <c r="G78" s="64">
        <f t="shared" si="27"/>
        <v>24057</v>
      </c>
      <c r="H78" s="64">
        <f t="shared" si="28"/>
        <v>-45057</v>
      </c>
      <c r="I78" s="64">
        <f t="shared" si="29"/>
        <v>622802</v>
      </c>
      <c r="J78" s="64">
        <f t="shared" si="30"/>
        <v>177769</v>
      </c>
      <c r="K78" s="64">
        <f t="shared" si="31"/>
        <v>156769</v>
      </c>
      <c r="L78" s="64">
        <f t="shared" si="33"/>
        <v>0</v>
      </c>
      <c r="M78" s="64">
        <f t="shared" si="34"/>
        <v>0</v>
      </c>
      <c r="N78" s="64">
        <f t="shared" si="35"/>
        <v>0</v>
      </c>
      <c r="O78" s="64">
        <f t="shared" si="36"/>
        <v>0</v>
      </c>
      <c r="P78" s="64">
        <f t="shared" si="37"/>
        <v>0</v>
      </c>
      <c r="Q78" s="64">
        <f t="shared" si="38"/>
        <v>0</v>
      </c>
      <c r="R78" s="2"/>
    </row>
    <row r="79" spans="1:18">
      <c r="A79" s="1356">
        <v>500000</v>
      </c>
      <c r="B79" s="1522" t="s">
        <v>2042</v>
      </c>
      <c r="C79" s="1356" t="s">
        <v>1174</v>
      </c>
      <c r="D79" s="19">
        <f t="shared" si="13"/>
        <v>500</v>
      </c>
      <c r="E79" s="10">
        <f t="shared" si="32"/>
        <v>2208619</v>
      </c>
      <c r="F79" s="64">
        <f t="shared" si="26"/>
        <v>358766</v>
      </c>
      <c r="G79" s="64">
        <f t="shared" si="27"/>
        <v>216246</v>
      </c>
      <c r="H79" s="64">
        <f t="shared" si="28"/>
        <v>312104</v>
      </c>
      <c r="I79" s="64">
        <f t="shared" si="29"/>
        <v>154115</v>
      </c>
      <c r="J79" s="64">
        <f t="shared" si="30"/>
        <v>309876</v>
      </c>
      <c r="K79" s="64">
        <f t="shared" si="31"/>
        <v>256734</v>
      </c>
      <c r="L79" s="64">
        <f t="shared" si="33"/>
        <v>98265</v>
      </c>
      <c r="M79" s="64">
        <f t="shared" si="34"/>
        <v>97670</v>
      </c>
      <c r="N79" s="64">
        <f t="shared" si="35"/>
        <v>100798</v>
      </c>
      <c r="O79" s="64">
        <f t="shared" si="36"/>
        <v>105976</v>
      </c>
      <c r="P79" s="64">
        <f t="shared" si="37"/>
        <v>98780</v>
      </c>
      <c r="Q79" s="64">
        <f t="shared" si="38"/>
        <v>99289</v>
      </c>
      <c r="R79" s="2"/>
    </row>
    <row r="80" spans="1:18">
      <c r="A80" s="1356">
        <v>501110</v>
      </c>
      <c r="B80" s="1522" t="s">
        <v>2043</v>
      </c>
      <c r="C80" s="1356" t="s">
        <v>1623</v>
      </c>
      <c r="D80" s="19">
        <f t="shared" si="13"/>
        <v>501</v>
      </c>
      <c r="E80" s="10">
        <f t="shared" si="32"/>
        <v>86980552</v>
      </c>
      <c r="F80" s="64">
        <f t="shared" si="26"/>
        <v>6189750</v>
      </c>
      <c r="G80" s="64">
        <f t="shared" si="27"/>
        <v>9352399</v>
      </c>
      <c r="H80" s="64">
        <f t="shared" si="28"/>
        <v>7368099</v>
      </c>
      <c r="I80" s="64">
        <f t="shared" si="29"/>
        <v>9054528</v>
      </c>
      <c r="J80" s="64">
        <f t="shared" si="30"/>
        <v>7688931</v>
      </c>
      <c r="K80" s="64">
        <f t="shared" si="31"/>
        <v>6127845</v>
      </c>
      <c r="L80" s="64">
        <f t="shared" si="33"/>
        <v>6782000</v>
      </c>
      <c r="M80" s="64">
        <f t="shared" si="34"/>
        <v>7394000</v>
      </c>
      <c r="N80" s="64">
        <f t="shared" si="35"/>
        <v>7443000</v>
      </c>
      <c r="O80" s="64">
        <f t="shared" si="36"/>
        <v>6486000</v>
      </c>
      <c r="P80" s="64">
        <f t="shared" si="37"/>
        <v>6642000</v>
      </c>
      <c r="Q80" s="64">
        <f t="shared" si="38"/>
        <v>6452000</v>
      </c>
      <c r="R80" s="2"/>
    </row>
    <row r="81" spans="1:18">
      <c r="A81" s="1356">
        <v>501150</v>
      </c>
      <c r="B81" s="1522" t="s">
        <v>2044</v>
      </c>
      <c r="C81" s="1356" t="s">
        <v>1174</v>
      </c>
      <c r="D81" s="19">
        <f t="shared" si="13"/>
        <v>501</v>
      </c>
      <c r="E81" s="10">
        <f t="shared" si="32"/>
        <v>1860149</v>
      </c>
      <c r="F81" s="64">
        <f t="shared" si="26"/>
        <v>478191</v>
      </c>
      <c r="G81" s="64">
        <f t="shared" si="27"/>
        <v>64236</v>
      </c>
      <c r="H81" s="64">
        <f t="shared" si="28"/>
        <v>115658</v>
      </c>
      <c r="I81" s="64">
        <f t="shared" si="29"/>
        <v>108966</v>
      </c>
      <c r="J81" s="64">
        <f t="shared" si="30"/>
        <v>131337</v>
      </c>
      <c r="K81" s="64">
        <f t="shared" si="31"/>
        <v>113379</v>
      </c>
      <c r="L81" s="64">
        <f t="shared" si="33"/>
        <v>138863</v>
      </c>
      <c r="M81" s="64">
        <f t="shared" si="34"/>
        <v>138291</v>
      </c>
      <c r="N81" s="64">
        <f t="shared" si="35"/>
        <v>138442</v>
      </c>
      <c r="O81" s="64">
        <f t="shared" si="36"/>
        <v>156236</v>
      </c>
      <c r="P81" s="64">
        <f t="shared" si="37"/>
        <v>138199</v>
      </c>
      <c r="Q81" s="64">
        <f t="shared" si="38"/>
        <v>138351</v>
      </c>
      <c r="R81" s="2"/>
    </row>
    <row r="82" spans="1:18">
      <c r="A82" s="1356">
        <v>501160</v>
      </c>
      <c r="B82" s="1522" t="s">
        <v>2045</v>
      </c>
      <c r="C82" s="1356" t="s">
        <v>1174</v>
      </c>
      <c r="D82" s="19">
        <f t="shared" si="13"/>
        <v>501</v>
      </c>
      <c r="E82" s="10">
        <f t="shared" si="32"/>
        <v>0</v>
      </c>
      <c r="F82" s="64">
        <f t="shared" si="26"/>
        <v>0</v>
      </c>
      <c r="G82" s="64">
        <f t="shared" si="27"/>
        <v>0</v>
      </c>
      <c r="H82" s="64">
        <f t="shared" si="28"/>
        <v>0</v>
      </c>
      <c r="I82" s="64">
        <f t="shared" si="29"/>
        <v>0</v>
      </c>
      <c r="J82" s="64">
        <f t="shared" si="30"/>
        <v>0</v>
      </c>
      <c r="K82" s="64">
        <f t="shared" si="31"/>
        <v>0</v>
      </c>
      <c r="L82" s="64">
        <f t="shared" si="33"/>
        <v>0</v>
      </c>
      <c r="M82" s="64">
        <f t="shared" si="34"/>
        <v>0</v>
      </c>
      <c r="N82" s="64">
        <f t="shared" si="35"/>
        <v>0</v>
      </c>
      <c r="O82" s="64">
        <f t="shared" si="36"/>
        <v>0</v>
      </c>
      <c r="P82" s="64">
        <f t="shared" si="37"/>
        <v>0</v>
      </c>
      <c r="Q82" s="64">
        <f t="shared" si="38"/>
        <v>0</v>
      </c>
      <c r="R82" s="2"/>
    </row>
    <row r="83" spans="1:18">
      <c r="A83" s="1356">
        <v>501190</v>
      </c>
      <c r="B83" s="1522" t="s">
        <v>2937</v>
      </c>
      <c r="C83" s="1356" t="s">
        <v>1174</v>
      </c>
      <c r="D83" s="19">
        <f t="shared" si="13"/>
        <v>501</v>
      </c>
      <c r="E83" s="10">
        <f t="shared" si="32"/>
        <v>1480799</v>
      </c>
      <c r="F83" s="64">
        <f t="shared" si="26"/>
        <v>188048</v>
      </c>
      <c r="G83" s="64">
        <f t="shared" si="27"/>
        <v>14255</v>
      </c>
      <c r="H83" s="64">
        <f t="shared" si="28"/>
        <v>22671</v>
      </c>
      <c r="I83" s="64">
        <f t="shared" si="29"/>
        <v>31111</v>
      </c>
      <c r="J83" s="64">
        <f t="shared" si="30"/>
        <v>19429</v>
      </c>
      <c r="K83" s="64">
        <f t="shared" si="31"/>
        <v>32435</v>
      </c>
      <c r="L83" s="64">
        <f t="shared" si="33"/>
        <v>195475</v>
      </c>
      <c r="M83" s="64">
        <f t="shared" si="34"/>
        <v>195475</v>
      </c>
      <c r="N83" s="64">
        <f t="shared" si="35"/>
        <v>195475</v>
      </c>
      <c r="O83" s="64">
        <f t="shared" si="36"/>
        <v>195475</v>
      </c>
      <c r="P83" s="64">
        <f t="shared" si="37"/>
        <v>195475</v>
      </c>
      <c r="Q83" s="64">
        <f t="shared" si="38"/>
        <v>195475</v>
      </c>
      <c r="R83" s="2"/>
    </row>
    <row r="84" spans="1:18">
      <c r="A84" s="1356">
        <v>501310</v>
      </c>
      <c r="B84" s="1522" t="s">
        <v>2047</v>
      </c>
      <c r="C84" s="1356" t="s">
        <v>1623</v>
      </c>
      <c r="D84" s="19">
        <f t="shared" si="13"/>
        <v>501</v>
      </c>
      <c r="E84" s="10">
        <f t="shared" si="32"/>
        <v>696452</v>
      </c>
      <c r="F84" s="64">
        <f t="shared" si="26"/>
        <v>223682</v>
      </c>
      <c r="G84" s="64">
        <f t="shared" si="27"/>
        <v>275115</v>
      </c>
      <c r="H84" s="64">
        <f t="shared" si="28"/>
        <v>116257</v>
      </c>
      <c r="I84" s="64">
        <f t="shared" si="29"/>
        <v>48065</v>
      </c>
      <c r="J84" s="64">
        <f t="shared" si="30"/>
        <v>-120684</v>
      </c>
      <c r="K84" s="64">
        <f t="shared" si="31"/>
        <v>154017</v>
      </c>
      <c r="L84" s="64">
        <f t="shared" si="33"/>
        <v>0</v>
      </c>
      <c r="M84" s="64">
        <f t="shared" si="34"/>
        <v>0</v>
      </c>
      <c r="N84" s="64">
        <f t="shared" si="35"/>
        <v>0</v>
      </c>
      <c r="O84" s="64">
        <f t="shared" si="36"/>
        <v>0</v>
      </c>
      <c r="P84" s="64">
        <f t="shared" si="37"/>
        <v>0</v>
      </c>
      <c r="Q84" s="64">
        <f t="shared" si="38"/>
        <v>0</v>
      </c>
      <c r="R84" s="2"/>
    </row>
    <row r="85" spans="1:18">
      <c r="A85" s="1356">
        <v>501350</v>
      </c>
      <c r="B85" s="1522" t="s">
        <v>2048</v>
      </c>
      <c r="C85" s="1356" t="s">
        <v>1174</v>
      </c>
      <c r="D85" s="19">
        <f t="shared" si="13"/>
        <v>501</v>
      </c>
      <c r="E85" s="10">
        <f t="shared" si="32"/>
        <v>0</v>
      </c>
      <c r="F85" s="64">
        <f t="shared" si="26"/>
        <v>0</v>
      </c>
      <c r="G85" s="64">
        <f t="shared" si="27"/>
        <v>0</v>
      </c>
      <c r="H85" s="64">
        <f t="shared" si="28"/>
        <v>0</v>
      </c>
      <c r="I85" s="64">
        <f t="shared" si="29"/>
        <v>0</v>
      </c>
      <c r="J85" s="64">
        <f t="shared" si="30"/>
        <v>0</v>
      </c>
      <c r="K85" s="64">
        <f t="shared" si="31"/>
        <v>0</v>
      </c>
      <c r="L85" s="64">
        <f t="shared" si="33"/>
        <v>0</v>
      </c>
      <c r="M85" s="64">
        <f t="shared" si="34"/>
        <v>0</v>
      </c>
      <c r="N85" s="64">
        <f t="shared" si="35"/>
        <v>0</v>
      </c>
      <c r="O85" s="64">
        <f t="shared" si="36"/>
        <v>0</v>
      </c>
      <c r="P85" s="64">
        <f t="shared" si="37"/>
        <v>0</v>
      </c>
      <c r="Q85" s="64">
        <f t="shared" si="38"/>
        <v>0</v>
      </c>
      <c r="R85" s="2"/>
    </row>
    <row r="86" spans="1:18">
      <c r="A86" s="1356">
        <v>501996</v>
      </c>
      <c r="B86" s="1522" t="s">
        <v>1624</v>
      </c>
      <c r="C86" s="1356" t="s">
        <v>1623</v>
      </c>
      <c r="D86" s="19">
        <f t="shared" si="13"/>
        <v>501</v>
      </c>
      <c r="E86" s="10">
        <f t="shared" si="32"/>
        <v>4035000</v>
      </c>
      <c r="F86" s="64">
        <f t="shared" si="26"/>
        <v>0</v>
      </c>
      <c r="G86" s="64">
        <f t="shared" si="27"/>
        <v>0</v>
      </c>
      <c r="H86" s="64">
        <f t="shared" si="28"/>
        <v>0</v>
      </c>
      <c r="I86" s="64">
        <f t="shared" si="29"/>
        <v>0</v>
      </c>
      <c r="J86" s="64">
        <f t="shared" si="30"/>
        <v>0</v>
      </c>
      <c r="K86" s="64">
        <f t="shared" si="31"/>
        <v>0</v>
      </c>
      <c r="L86" s="64">
        <f t="shared" si="33"/>
        <v>567000</v>
      </c>
      <c r="M86" s="64">
        <f t="shared" si="34"/>
        <v>659000</v>
      </c>
      <c r="N86" s="64">
        <f t="shared" si="35"/>
        <v>729000</v>
      </c>
      <c r="O86" s="64">
        <f t="shared" si="36"/>
        <v>676000</v>
      </c>
      <c r="P86" s="64">
        <f t="shared" si="37"/>
        <v>909000</v>
      </c>
      <c r="Q86" s="64">
        <f t="shared" si="38"/>
        <v>495000</v>
      </c>
      <c r="R86" s="2"/>
    </row>
    <row r="87" spans="1:18">
      <c r="A87" s="1356">
        <v>502040</v>
      </c>
      <c r="B87" s="1522" t="s">
        <v>2049</v>
      </c>
      <c r="C87" s="1356" t="s">
        <v>1174</v>
      </c>
      <c r="D87" s="19">
        <f t="shared" si="13"/>
        <v>502</v>
      </c>
      <c r="E87" s="10">
        <f t="shared" si="32"/>
        <v>4363604</v>
      </c>
      <c r="F87" s="64">
        <f t="shared" si="26"/>
        <v>565241</v>
      </c>
      <c r="G87" s="64">
        <f t="shared" si="27"/>
        <v>899842</v>
      </c>
      <c r="H87" s="64">
        <f t="shared" si="28"/>
        <v>657316</v>
      </c>
      <c r="I87" s="64">
        <f t="shared" si="29"/>
        <v>956771</v>
      </c>
      <c r="J87" s="64">
        <f t="shared" si="30"/>
        <v>558101</v>
      </c>
      <c r="K87" s="64">
        <f t="shared" si="31"/>
        <v>526570</v>
      </c>
      <c r="L87" s="64">
        <f t="shared" si="33"/>
        <v>-37902</v>
      </c>
      <c r="M87" s="64">
        <f t="shared" si="34"/>
        <v>272981</v>
      </c>
      <c r="N87" s="64">
        <f t="shared" si="35"/>
        <v>315881</v>
      </c>
      <c r="O87" s="64">
        <f t="shared" si="36"/>
        <v>-257220</v>
      </c>
      <c r="P87" s="64">
        <f t="shared" si="37"/>
        <v>-355321</v>
      </c>
      <c r="Q87" s="64">
        <f t="shared" si="38"/>
        <v>261344</v>
      </c>
      <c r="R87" s="2"/>
    </row>
    <row r="88" spans="1:18">
      <c r="A88" s="1356">
        <v>502070</v>
      </c>
      <c r="B88" s="1522" t="s">
        <v>2422</v>
      </c>
      <c r="C88" s="1356" t="s">
        <v>1174</v>
      </c>
      <c r="D88" s="19">
        <f>VALUE(LEFT(A88,3))</f>
        <v>502</v>
      </c>
      <c r="E88" s="10">
        <f t="shared" si="32"/>
        <v>25000</v>
      </c>
      <c r="F88" s="64">
        <f t="shared" si="26"/>
        <v>0</v>
      </c>
      <c r="G88" s="64">
        <f t="shared" si="27"/>
        <v>0</v>
      </c>
      <c r="H88" s="64">
        <f t="shared" si="28"/>
        <v>0</v>
      </c>
      <c r="I88" s="64">
        <f t="shared" si="29"/>
        <v>0</v>
      </c>
      <c r="J88" s="64">
        <f t="shared" si="30"/>
        <v>0</v>
      </c>
      <c r="K88" s="64">
        <f t="shared" si="31"/>
        <v>0</v>
      </c>
      <c r="L88" s="64">
        <f t="shared" si="33"/>
        <v>5000</v>
      </c>
      <c r="M88" s="64">
        <f t="shared" si="34"/>
        <v>5000</v>
      </c>
      <c r="N88" s="64">
        <f t="shared" si="35"/>
        <v>5000</v>
      </c>
      <c r="O88" s="64">
        <f t="shared" si="36"/>
        <v>5000</v>
      </c>
      <c r="P88" s="64">
        <f t="shared" si="37"/>
        <v>5000</v>
      </c>
      <c r="Q88" s="64">
        <f t="shared" si="38"/>
        <v>0</v>
      </c>
      <c r="R88" s="2"/>
    </row>
    <row r="89" spans="1:18">
      <c r="A89" s="1356">
        <v>502100</v>
      </c>
      <c r="B89" s="1522" t="s">
        <v>2050</v>
      </c>
      <c r="C89" s="1356" t="s">
        <v>1174</v>
      </c>
      <c r="D89" s="19">
        <f t="shared" si="13"/>
        <v>502</v>
      </c>
      <c r="E89" s="10">
        <f t="shared" si="32"/>
        <v>6908901</v>
      </c>
      <c r="F89" s="64">
        <f t="shared" si="26"/>
        <v>276235</v>
      </c>
      <c r="G89" s="64">
        <f t="shared" si="27"/>
        <v>335629</v>
      </c>
      <c r="H89" s="64">
        <f t="shared" si="28"/>
        <v>260804</v>
      </c>
      <c r="I89" s="64">
        <f t="shared" si="29"/>
        <v>340468</v>
      </c>
      <c r="J89" s="64">
        <f t="shared" si="30"/>
        <v>300401</v>
      </c>
      <c r="K89" s="64">
        <f t="shared" si="31"/>
        <v>346998</v>
      </c>
      <c r="L89" s="64">
        <f t="shared" si="33"/>
        <v>798151</v>
      </c>
      <c r="M89" s="64">
        <f t="shared" si="34"/>
        <v>905744</v>
      </c>
      <c r="N89" s="64">
        <f t="shared" si="35"/>
        <v>921656</v>
      </c>
      <c r="O89" s="64">
        <f t="shared" si="36"/>
        <v>829768</v>
      </c>
      <c r="P89" s="64">
        <f t="shared" si="37"/>
        <v>693175</v>
      </c>
      <c r="Q89" s="64">
        <f t="shared" si="38"/>
        <v>899872</v>
      </c>
      <c r="R89" s="2"/>
    </row>
    <row r="90" spans="1:18">
      <c r="A90" s="1356">
        <v>505000</v>
      </c>
      <c r="B90" s="1522" t="s">
        <v>2051</v>
      </c>
      <c r="C90" s="1356" t="s">
        <v>1174</v>
      </c>
      <c r="D90" s="19">
        <f t="shared" ref="D90:D155" si="39">VALUE(LEFT(A90,3))</f>
        <v>505</v>
      </c>
      <c r="E90" s="10">
        <f t="shared" si="32"/>
        <v>688681</v>
      </c>
      <c r="F90" s="64">
        <f t="shared" si="26"/>
        <v>59590</v>
      </c>
      <c r="G90" s="64">
        <f t="shared" si="27"/>
        <v>76168</v>
      </c>
      <c r="H90" s="64">
        <f t="shared" si="28"/>
        <v>57068</v>
      </c>
      <c r="I90" s="64">
        <f t="shared" si="29"/>
        <v>81114</v>
      </c>
      <c r="J90" s="64">
        <f t="shared" si="30"/>
        <v>59996</v>
      </c>
      <c r="K90" s="64">
        <f t="shared" si="31"/>
        <v>66195</v>
      </c>
      <c r="L90" s="64">
        <f t="shared" si="33"/>
        <v>44824</v>
      </c>
      <c r="M90" s="64">
        <f t="shared" si="34"/>
        <v>44823</v>
      </c>
      <c r="N90" s="64">
        <f t="shared" si="35"/>
        <v>44961</v>
      </c>
      <c r="O90" s="64">
        <f t="shared" si="36"/>
        <v>64325</v>
      </c>
      <c r="P90" s="64">
        <f t="shared" si="37"/>
        <v>44739</v>
      </c>
      <c r="Q90" s="64">
        <f t="shared" si="38"/>
        <v>44878</v>
      </c>
      <c r="R90" s="2"/>
    </row>
    <row r="91" spans="1:18">
      <c r="A91" s="1356">
        <v>506000</v>
      </c>
      <c r="B91" s="1522" t="s">
        <v>2052</v>
      </c>
      <c r="C91" s="1356" t="s">
        <v>1174</v>
      </c>
      <c r="D91" s="19">
        <f t="shared" si="39"/>
        <v>506</v>
      </c>
      <c r="E91" s="10">
        <f t="shared" si="32"/>
        <v>1837781</v>
      </c>
      <c r="F91" s="64">
        <f t="shared" si="26"/>
        <v>441290</v>
      </c>
      <c r="G91" s="64">
        <f t="shared" si="27"/>
        <v>75530</v>
      </c>
      <c r="H91" s="64">
        <f t="shared" si="28"/>
        <v>143951</v>
      </c>
      <c r="I91" s="64">
        <f t="shared" si="29"/>
        <v>137200</v>
      </c>
      <c r="J91" s="64">
        <f t="shared" si="30"/>
        <v>142327</v>
      </c>
      <c r="K91" s="64">
        <f t="shared" si="31"/>
        <v>107698</v>
      </c>
      <c r="L91" s="64">
        <f t="shared" si="33"/>
        <v>114575</v>
      </c>
      <c r="M91" s="64">
        <f t="shared" si="34"/>
        <v>166005</v>
      </c>
      <c r="N91" s="64">
        <f t="shared" si="35"/>
        <v>108638</v>
      </c>
      <c r="O91" s="64">
        <f t="shared" si="36"/>
        <v>124526</v>
      </c>
      <c r="P91" s="64">
        <f t="shared" si="37"/>
        <v>164940</v>
      </c>
      <c r="Q91" s="64">
        <f t="shared" si="38"/>
        <v>111101</v>
      </c>
      <c r="R91" s="2"/>
    </row>
    <row r="92" spans="1:18">
      <c r="A92" s="1356">
        <v>509030</v>
      </c>
      <c r="B92" s="1522" t="s">
        <v>2053</v>
      </c>
      <c r="C92" s="1356" t="s">
        <v>346</v>
      </c>
      <c r="D92" s="19">
        <f t="shared" si="39"/>
        <v>509</v>
      </c>
      <c r="E92" s="10">
        <f t="shared" si="32"/>
        <v>817</v>
      </c>
      <c r="F92" s="64">
        <f t="shared" si="26"/>
        <v>68</v>
      </c>
      <c r="G92" s="64">
        <f t="shared" si="27"/>
        <v>53</v>
      </c>
      <c r="H92" s="64">
        <f t="shared" si="28"/>
        <v>49</v>
      </c>
      <c r="I92" s="64">
        <f t="shared" si="29"/>
        <v>38</v>
      </c>
      <c r="J92" s="64">
        <f t="shared" si="30"/>
        <v>49</v>
      </c>
      <c r="K92" s="64">
        <f t="shared" si="31"/>
        <v>45</v>
      </c>
      <c r="L92" s="64">
        <f t="shared" si="33"/>
        <v>84</v>
      </c>
      <c r="M92" s="64">
        <f t="shared" si="34"/>
        <v>89</v>
      </c>
      <c r="N92" s="64">
        <f t="shared" si="35"/>
        <v>94</v>
      </c>
      <c r="O92" s="64">
        <f t="shared" si="36"/>
        <v>82</v>
      </c>
      <c r="P92" s="64">
        <f t="shared" si="37"/>
        <v>84</v>
      </c>
      <c r="Q92" s="64">
        <f t="shared" si="38"/>
        <v>82</v>
      </c>
      <c r="R92" s="2"/>
    </row>
    <row r="93" spans="1:18">
      <c r="A93" s="1356">
        <v>509210</v>
      </c>
      <c r="B93" s="1522" t="s">
        <v>2054</v>
      </c>
      <c r="C93" s="1356" t="s">
        <v>346</v>
      </c>
      <c r="D93" s="19">
        <f t="shared" si="39"/>
        <v>509</v>
      </c>
      <c r="E93" s="10">
        <f t="shared" si="32"/>
        <v>9856</v>
      </c>
      <c r="F93" s="64">
        <f t="shared" si="26"/>
        <v>-54</v>
      </c>
      <c r="G93" s="64">
        <f t="shared" si="27"/>
        <v>0</v>
      </c>
      <c r="H93" s="64">
        <f t="shared" si="28"/>
        <v>-11</v>
      </c>
      <c r="I93" s="64">
        <f t="shared" si="29"/>
        <v>11</v>
      </c>
      <c r="J93" s="64">
        <f t="shared" si="30"/>
        <v>0</v>
      </c>
      <c r="K93" s="64">
        <f t="shared" si="31"/>
        <v>0</v>
      </c>
      <c r="L93" s="64">
        <f t="shared" si="33"/>
        <v>2374</v>
      </c>
      <c r="M93" s="64">
        <f t="shared" si="34"/>
        <v>2561</v>
      </c>
      <c r="N93" s="64">
        <f t="shared" si="35"/>
        <v>2670</v>
      </c>
      <c r="O93" s="64">
        <f t="shared" si="36"/>
        <v>2305</v>
      </c>
      <c r="P93" s="64">
        <f t="shared" si="37"/>
        <v>0</v>
      </c>
      <c r="Q93" s="64">
        <f t="shared" si="38"/>
        <v>0</v>
      </c>
      <c r="R93" s="2"/>
    </row>
    <row r="94" spans="1:18">
      <c r="A94" s="1356">
        <v>509212</v>
      </c>
      <c r="B94" s="1522" t="s">
        <v>2055</v>
      </c>
      <c r="C94" s="1356" t="s">
        <v>346</v>
      </c>
      <c r="D94" s="19">
        <f t="shared" si="39"/>
        <v>509</v>
      </c>
      <c r="E94" s="10">
        <f t="shared" si="32"/>
        <v>7890</v>
      </c>
      <c r="F94" s="64">
        <f t="shared" si="26"/>
        <v>2678</v>
      </c>
      <c r="G94" s="64">
        <f t="shared" si="27"/>
        <v>2315</v>
      </c>
      <c r="H94" s="64">
        <f t="shared" si="28"/>
        <v>1028</v>
      </c>
      <c r="I94" s="64">
        <f t="shared" si="29"/>
        <v>703</v>
      </c>
      <c r="J94" s="64">
        <f t="shared" si="30"/>
        <v>629</v>
      </c>
      <c r="K94" s="64">
        <f t="shared" si="31"/>
        <v>537</v>
      </c>
      <c r="L94" s="64">
        <f t="shared" si="33"/>
        <v>0</v>
      </c>
      <c r="M94" s="64">
        <f t="shared" si="34"/>
        <v>0</v>
      </c>
      <c r="N94" s="64">
        <f t="shared" si="35"/>
        <v>0</v>
      </c>
      <c r="O94" s="64">
        <f t="shared" si="36"/>
        <v>0</v>
      </c>
      <c r="P94" s="64">
        <f t="shared" si="37"/>
        <v>0</v>
      </c>
      <c r="Q94" s="64">
        <f t="shared" si="38"/>
        <v>0</v>
      </c>
      <c r="R94" s="2"/>
    </row>
    <row r="95" spans="1:18">
      <c r="A95" s="1356">
        <v>510000</v>
      </c>
      <c r="B95" s="1522" t="s">
        <v>2056</v>
      </c>
      <c r="C95" s="1356" t="s">
        <v>1181</v>
      </c>
      <c r="D95" s="19">
        <f t="shared" si="39"/>
        <v>510</v>
      </c>
      <c r="E95" s="10">
        <f t="shared" si="32"/>
        <v>2019409</v>
      </c>
      <c r="F95" s="64">
        <f t="shared" si="26"/>
        <v>171031</v>
      </c>
      <c r="G95" s="64">
        <f t="shared" si="27"/>
        <v>157470</v>
      </c>
      <c r="H95" s="64">
        <f t="shared" si="28"/>
        <v>153293</v>
      </c>
      <c r="I95" s="64">
        <f t="shared" si="29"/>
        <v>134684</v>
      </c>
      <c r="J95" s="64">
        <f t="shared" si="30"/>
        <v>139015</v>
      </c>
      <c r="K95" s="64">
        <f t="shared" si="31"/>
        <v>158412</v>
      </c>
      <c r="L95" s="64">
        <f t="shared" si="33"/>
        <v>183461</v>
      </c>
      <c r="M95" s="64">
        <f t="shared" si="34"/>
        <v>183458</v>
      </c>
      <c r="N95" s="64">
        <f t="shared" si="35"/>
        <v>183972</v>
      </c>
      <c r="O95" s="64">
        <f t="shared" si="36"/>
        <v>181829</v>
      </c>
      <c r="P95" s="64">
        <f t="shared" si="37"/>
        <v>189123</v>
      </c>
      <c r="Q95" s="64">
        <f t="shared" si="38"/>
        <v>183661</v>
      </c>
      <c r="R95" s="2"/>
    </row>
    <row r="96" spans="1:18">
      <c r="A96" s="1356">
        <v>510100</v>
      </c>
      <c r="B96" s="1522" t="s">
        <v>2057</v>
      </c>
      <c r="C96" s="1356" t="s">
        <v>1181</v>
      </c>
      <c r="D96" s="19">
        <f t="shared" si="39"/>
        <v>510</v>
      </c>
      <c r="E96" s="10">
        <f t="shared" si="32"/>
        <v>40154</v>
      </c>
      <c r="F96" s="64">
        <f t="shared" si="26"/>
        <v>4239</v>
      </c>
      <c r="G96" s="64">
        <f t="shared" si="27"/>
        <v>1368</v>
      </c>
      <c r="H96" s="64">
        <f t="shared" si="28"/>
        <v>2830</v>
      </c>
      <c r="I96" s="64">
        <f t="shared" si="29"/>
        <v>3110</v>
      </c>
      <c r="J96" s="64">
        <f t="shared" si="30"/>
        <v>2208</v>
      </c>
      <c r="K96" s="64">
        <f t="shared" si="31"/>
        <v>3046</v>
      </c>
      <c r="L96" s="64">
        <f t="shared" si="33"/>
        <v>3891</v>
      </c>
      <c r="M96" s="64">
        <f t="shared" si="34"/>
        <v>3892</v>
      </c>
      <c r="N96" s="64">
        <f t="shared" si="35"/>
        <v>3893</v>
      </c>
      <c r="O96" s="64">
        <f t="shared" si="36"/>
        <v>3892</v>
      </c>
      <c r="P96" s="64">
        <f t="shared" si="37"/>
        <v>3893</v>
      </c>
      <c r="Q96" s="64">
        <f t="shared" si="38"/>
        <v>3892</v>
      </c>
      <c r="R96" s="2"/>
    </row>
    <row r="97" spans="1:18">
      <c r="A97" s="1356">
        <v>511000</v>
      </c>
      <c r="B97" s="1522" t="s">
        <v>2938</v>
      </c>
      <c r="C97" s="1356" t="s">
        <v>1181</v>
      </c>
      <c r="D97" s="19">
        <f t="shared" si="39"/>
        <v>511</v>
      </c>
      <c r="E97" s="10">
        <f t="shared" si="32"/>
        <v>3490323</v>
      </c>
      <c r="F97" s="64">
        <f t="shared" si="26"/>
        <v>284649</v>
      </c>
      <c r="G97" s="64">
        <f t="shared" si="27"/>
        <v>281469</v>
      </c>
      <c r="H97" s="64">
        <f t="shared" si="28"/>
        <v>275899</v>
      </c>
      <c r="I97" s="64">
        <f t="shared" si="29"/>
        <v>530210</v>
      </c>
      <c r="J97" s="64">
        <f t="shared" si="30"/>
        <v>319727</v>
      </c>
      <c r="K97" s="64">
        <f t="shared" si="31"/>
        <v>348412</v>
      </c>
      <c r="L97" s="64">
        <f t="shared" si="33"/>
        <v>237200</v>
      </c>
      <c r="M97" s="64">
        <f t="shared" si="34"/>
        <v>237232</v>
      </c>
      <c r="N97" s="64">
        <f t="shared" si="35"/>
        <v>237396</v>
      </c>
      <c r="O97" s="64">
        <f t="shared" si="36"/>
        <v>263003</v>
      </c>
      <c r="P97" s="64">
        <f t="shared" si="37"/>
        <v>237086</v>
      </c>
      <c r="Q97" s="64">
        <f t="shared" si="38"/>
        <v>238040</v>
      </c>
      <c r="R97" s="2"/>
    </row>
    <row r="98" spans="1:18">
      <c r="A98" s="1356">
        <v>512100</v>
      </c>
      <c r="B98" s="1522" t="s">
        <v>2939</v>
      </c>
      <c r="C98" s="1356" t="s">
        <v>1181</v>
      </c>
      <c r="D98" s="19">
        <f t="shared" si="39"/>
        <v>512</v>
      </c>
      <c r="E98" s="10">
        <f t="shared" si="32"/>
        <v>5517662</v>
      </c>
      <c r="F98" s="64">
        <f t="shared" si="26"/>
        <v>483448</v>
      </c>
      <c r="G98" s="64">
        <f t="shared" si="27"/>
        <v>509567</v>
      </c>
      <c r="H98" s="64">
        <f t="shared" si="28"/>
        <v>469542</v>
      </c>
      <c r="I98" s="64">
        <f t="shared" si="29"/>
        <v>626293</v>
      </c>
      <c r="J98" s="64">
        <f t="shared" si="30"/>
        <v>389447</v>
      </c>
      <c r="K98" s="64">
        <f t="shared" si="31"/>
        <v>615609</v>
      </c>
      <c r="L98" s="64">
        <f t="shared" si="33"/>
        <v>447765</v>
      </c>
      <c r="M98" s="64">
        <f t="shared" si="34"/>
        <v>377771</v>
      </c>
      <c r="N98" s="64">
        <f t="shared" si="35"/>
        <v>378005</v>
      </c>
      <c r="O98" s="64">
        <f t="shared" si="36"/>
        <v>414776</v>
      </c>
      <c r="P98" s="64">
        <f t="shared" si="37"/>
        <v>397582</v>
      </c>
      <c r="Q98" s="64">
        <f t="shared" si="38"/>
        <v>407857</v>
      </c>
      <c r="R98" s="2"/>
    </row>
    <row r="99" spans="1:18">
      <c r="A99" s="1356">
        <v>513100</v>
      </c>
      <c r="B99" s="1522" t="s">
        <v>2940</v>
      </c>
      <c r="C99" s="1356" t="s">
        <v>1181</v>
      </c>
      <c r="D99" s="19">
        <f t="shared" si="39"/>
        <v>513</v>
      </c>
      <c r="E99" s="10">
        <f t="shared" si="32"/>
        <v>820620</v>
      </c>
      <c r="F99" s="64">
        <f t="shared" si="26"/>
        <v>69752</v>
      </c>
      <c r="G99" s="64">
        <f t="shared" si="27"/>
        <v>161743</v>
      </c>
      <c r="H99" s="64">
        <f t="shared" si="28"/>
        <v>77787</v>
      </c>
      <c r="I99" s="64">
        <f t="shared" si="29"/>
        <v>8025</v>
      </c>
      <c r="J99" s="64">
        <f t="shared" si="30"/>
        <v>14451</v>
      </c>
      <c r="K99" s="64">
        <f t="shared" si="31"/>
        <v>372294</v>
      </c>
      <c r="L99" s="64">
        <f t="shared" si="33"/>
        <v>16477</v>
      </c>
      <c r="M99" s="64">
        <f t="shared" si="34"/>
        <v>16489</v>
      </c>
      <c r="N99" s="64">
        <f t="shared" si="35"/>
        <v>16451</v>
      </c>
      <c r="O99" s="64">
        <f t="shared" si="36"/>
        <v>16428</v>
      </c>
      <c r="P99" s="64">
        <f t="shared" si="37"/>
        <v>17824</v>
      </c>
      <c r="Q99" s="64">
        <f t="shared" si="38"/>
        <v>32899</v>
      </c>
      <c r="R99" s="2"/>
    </row>
    <row r="100" spans="1:18">
      <c r="A100" s="1356">
        <v>514000</v>
      </c>
      <c r="B100" s="1522" t="s">
        <v>2061</v>
      </c>
      <c r="C100" s="1356" t="s">
        <v>1181</v>
      </c>
      <c r="D100" s="19">
        <f t="shared" si="39"/>
        <v>514</v>
      </c>
      <c r="E100" s="10">
        <f t="shared" si="32"/>
        <v>1947895</v>
      </c>
      <c r="F100" s="64">
        <f t="shared" si="26"/>
        <v>235239</v>
      </c>
      <c r="G100" s="64">
        <f t="shared" si="27"/>
        <v>85988</v>
      </c>
      <c r="H100" s="64">
        <f t="shared" si="28"/>
        <v>228980</v>
      </c>
      <c r="I100" s="64">
        <f t="shared" si="29"/>
        <v>132808</v>
      </c>
      <c r="J100" s="64">
        <f t="shared" si="30"/>
        <v>174130</v>
      </c>
      <c r="K100" s="64">
        <f t="shared" si="31"/>
        <v>927328</v>
      </c>
      <c r="L100" s="64">
        <f t="shared" si="33"/>
        <v>25609</v>
      </c>
      <c r="M100" s="64">
        <f t="shared" si="34"/>
        <v>25611</v>
      </c>
      <c r="N100" s="64">
        <f t="shared" si="35"/>
        <v>25671</v>
      </c>
      <c r="O100" s="64">
        <f t="shared" si="36"/>
        <v>35338</v>
      </c>
      <c r="P100" s="64">
        <f t="shared" si="37"/>
        <v>25560</v>
      </c>
      <c r="Q100" s="64">
        <f t="shared" si="38"/>
        <v>25633</v>
      </c>
      <c r="R100" s="2"/>
    </row>
    <row r="101" spans="1:18">
      <c r="A101" s="1356">
        <v>514300</v>
      </c>
      <c r="B101" s="1522" t="s">
        <v>2061</v>
      </c>
      <c r="C101" s="1356" t="s">
        <v>1181</v>
      </c>
      <c r="D101" s="19">
        <f t="shared" si="39"/>
        <v>514</v>
      </c>
      <c r="E101" s="10">
        <f t="shared" si="32"/>
        <v>272</v>
      </c>
      <c r="F101" s="64">
        <f t="shared" si="26"/>
        <v>19</v>
      </c>
      <c r="G101" s="64">
        <f t="shared" si="27"/>
        <v>46</v>
      </c>
      <c r="H101" s="64">
        <f t="shared" si="28"/>
        <v>45</v>
      </c>
      <c r="I101" s="64">
        <f t="shared" si="29"/>
        <v>57</v>
      </c>
      <c r="J101" s="64">
        <f t="shared" si="30"/>
        <v>58</v>
      </c>
      <c r="K101" s="64">
        <f t="shared" si="31"/>
        <v>47</v>
      </c>
      <c r="L101" s="64">
        <f t="shared" si="33"/>
        <v>0</v>
      </c>
      <c r="M101" s="64">
        <f t="shared" si="34"/>
        <v>0</v>
      </c>
      <c r="N101" s="64">
        <f t="shared" si="35"/>
        <v>0</v>
      </c>
      <c r="O101" s="64">
        <f t="shared" si="36"/>
        <v>0</v>
      </c>
      <c r="P101" s="64">
        <f t="shared" si="37"/>
        <v>0</v>
      </c>
      <c r="Q101" s="64">
        <f t="shared" si="38"/>
        <v>0</v>
      </c>
      <c r="R101" s="2"/>
    </row>
    <row r="102" spans="1:18">
      <c r="A102" s="1356">
        <v>546000</v>
      </c>
      <c r="B102" s="1522" t="s">
        <v>2062</v>
      </c>
      <c r="C102" s="1356" t="s">
        <v>1174</v>
      </c>
      <c r="D102" s="19">
        <f t="shared" si="39"/>
        <v>546</v>
      </c>
      <c r="E102" s="10">
        <f t="shared" si="32"/>
        <v>348132</v>
      </c>
      <c r="F102" s="64">
        <f t="shared" ref="F102:F133" si="40">IF(ISNA(VLOOKUP(A102,BPActual,3,FALSE)=TRUE),0,VLOOKUP(A102,BPActual,3,FALSE))</f>
        <v>24593</v>
      </c>
      <c r="G102" s="64">
        <f t="shared" ref="G102:G133" si="41">IF(ISNA(VLOOKUP(A102,BPActual,4,FALSE)=TRUE),0,VLOOKUP(A102,BPActual,4,FALSE))</f>
        <v>31995</v>
      </c>
      <c r="H102" s="64">
        <f t="shared" ref="H102:H133" si="42">IF(ISNA(VLOOKUP(A102,BPActual,5,FALSE)=TRUE),0,VLOOKUP(A102,BPActual,5,FALSE))</f>
        <v>33079</v>
      </c>
      <c r="I102" s="64">
        <f t="shared" ref="I102:I133" si="43">IF(ISNA(VLOOKUP(A102,BPActual,6,FALSE)=TRUE),0,VLOOKUP(A102,BPActual,6,FALSE))</f>
        <v>36570</v>
      </c>
      <c r="J102" s="64">
        <f t="shared" ref="J102:J133" si="44">IF(ISNA(VLOOKUP(A102,BPActual,7,FALSE)=TRUE),0,VLOOKUP(A102,BPActual,7,FALSE))</f>
        <v>35102</v>
      </c>
      <c r="K102" s="64">
        <f t="shared" ref="K102:K133" si="45">IF(ISNA(VLOOKUP(A102,BPActual,8,FALSE)=TRUE),0,VLOOKUP(A102,BPActual,8,FALSE))</f>
        <v>30953</v>
      </c>
      <c r="L102" s="64">
        <f t="shared" si="33"/>
        <v>25705</v>
      </c>
      <c r="M102" s="64">
        <f t="shared" si="34"/>
        <v>25710</v>
      </c>
      <c r="N102" s="64">
        <f t="shared" si="35"/>
        <v>25761</v>
      </c>
      <c r="O102" s="64">
        <f t="shared" si="36"/>
        <v>27256</v>
      </c>
      <c r="P102" s="64">
        <f t="shared" si="37"/>
        <v>25681</v>
      </c>
      <c r="Q102" s="64">
        <f t="shared" si="38"/>
        <v>25727</v>
      </c>
      <c r="R102" s="2"/>
    </row>
    <row r="103" spans="1:18">
      <c r="A103" s="1356">
        <v>547100</v>
      </c>
      <c r="B103" s="1522" t="s">
        <v>2063</v>
      </c>
      <c r="C103" s="1356" t="s">
        <v>1623</v>
      </c>
      <c r="D103" s="19">
        <f t="shared" si="39"/>
        <v>547</v>
      </c>
      <c r="E103" s="10">
        <f t="shared" si="32"/>
        <v>698262</v>
      </c>
      <c r="F103" s="64">
        <f t="shared" si="40"/>
        <v>-10659</v>
      </c>
      <c r="G103" s="64">
        <f t="shared" si="41"/>
        <v>100590</v>
      </c>
      <c r="H103" s="64">
        <f t="shared" si="42"/>
        <v>108101</v>
      </c>
      <c r="I103" s="64">
        <f t="shared" si="43"/>
        <v>145050</v>
      </c>
      <c r="J103" s="64">
        <f t="shared" si="44"/>
        <v>0</v>
      </c>
      <c r="K103" s="64">
        <f t="shared" si="45"/>
        <v>355180</v>
      </c>
      <c r="L103" s="64">
        <f t="shared" si="33"/>
        <v>0</v>
      </c>
      <c r="M103" s="64">
        <f t="shared" si="34"/>
        <v>0</v>
      </c>
      <c r="N103" s="64">
        <f t="shared" si="35"/>
        <v>0</v>
      </c>
      <c r="O103" s="64">
        <f t="shared" si="36"/>
        <v>0</v>
      </c>
      <c r="P103" s="64">
        <f t="shared" si="37"/>
        <v>0</v>
      </c>
      <c r="Q103" s="64">
        <f t="shared" si="38"/>
        <v>0</v>
      </c>
      <c r="R103" s="2"/>
    </row>
    <row r="104" spans="1:18">
      <c r="A104" s="1356">
        <v>547150</v>
      </c>
      <c r="B104" s="1522" t="s">
        <v>2064</v>
      </c>
      <c r="C104" s="1356" t="s">
        <v>1174</v>
      </c>
      <c r="D104" s="19">
        <f t="shared" si="39"/>
        <v>547</v>
      </c>
      <c r="E104" s="10">
        <f t="shared" si="32"/>
        <v>11682</v>
      </c>
      <c r="F104" s="64">
        <f t="shared" si="40"/>
        <v>745</v>
      </c>
      <c r="G104" s="64">
        <f t="shared" si="41"/>
        <v>897</v>
      </c>
      <c r="H104" s="64">
        <f t="shared" si="42"/>
        <v>793</v>
      </c>
      <c r="I104" s="64">
        <f t="shared" si="43"/>
        <v>876</v>
      </c>
      <c r="J104" s="64">
        <f t="shared" si="44"/>
        <v>823</v>
      </c>
      <c r="K104" s="64">
        <f t="shared" si="45"/>
        <v>1740</v>
      </c>
      <c r="L104" s="64">
        <f t="shared" si="33"/>
        <v>968</v>
      </c>
      <c r="M104" s="64">
        <f t="shared" si="34"/>
        <v>968</v>
      </c>
      <c r="N104" s="64">
        <f t="shared" si="35"/>
        <v>968</v>
      </c>
      <c r="O104" s="64">
        <f t="shared" si="36"/>
        <v>968</v>
      </c>
      <c r="P104" s="64">
        <f t="shared" si="37"/>
        <v>968</v>
      </c>
      <c r="Q104" s="64">
        <f t="shared" si="38"/>
        <v>968</v>
      </c>
      <c r="R104" s="2"/>
    </row>
    <row r="105" spans="1:18">
      <c r="A105" s="1356">
        <v>547701</v>
      </c>
      <c r="B105" s="1522" t="s">
        <v>2065</v>
      </c>
      <c r="C105" s="1356" t="s">
        <v>1623</v>
      </c>
      <c r="D105" s="19">
        <f t="shared" si="39"/>
        <v>547</v>
      </c>
      <c r="E105" s="10">
        <f t="shared" si="32"/>
        <v>1813</v>
      </c>
      <c r="F105" s="64">
        <f t="shared" si="40"/>
        <v>290</v>
      </c>
      <c r="G105" s="64">
        <f t="shared" si="41"/>
        <v>457</v>
      </c>
      <c r="H105" s="64">
        <f t="shared" si="42"/>
        <v>209</v>
      </c>
      <c r="I105" s="64">
        <f t="shared" si="43"/>
        <v>254</v>
      </c>
      <c r="J105" s="64">
        <f t="shared" si="44"/>
        <v>277</v>
      </c>
      <c r="K105" s="64">
        <f t="shared" si="45"/>
        <v>326</v>
      </c>
      <c r="L105" s="64">
        <f t="shared" si="33"/>
        <v>0</v>
      </c>
      <c r="M105" s="64">
        <f t="shared" si="34"/>
        <v>0</v>
      </c>
      <c r="N105" s="64">
        <f t="shared" si="35"/>
        <v>0</v>
      </c>
      <c r="O105" s="64">
        <f t="shared" si="36"/>
        <v>0</v>
      </c>
      <c r="P105" s="64">
        <f t="shared" si="37"/>
        <v>0</v>
      </c>
      <c r="Q105" s="64">
        <f t="shared" si="38"/>
        <v>0</v>
      </c>
      <c r="R105" s="2"/>
    </row>
    <row r="106" spans="1:18">
      <c r="A106" s="1356">
        <v>548100</v>
      </c>
      <c r="B106" s="1522" t="s">
        <v>2066</v>
      </c>
      <c r="C106" s="1356" t="s">
        <v>1174</v>
      </c>
      <c r="D106" s="19">
        <f t="shared" si="39"/>
        <v>548</v>
      </c>
      <c r="E106" s="10">
        <f t="shared" si="32"/>
        <v>15102</v>
      </c>
      <c r="F106" s="64">
        <f t="shared" si="40"/>
        <v>517</v>
      </c>
      <c r="G106" s="64">
        <f t="shared" si="41"/>
        <v>485</v>
      </c>
      <c r="H106" s="64">
        <f t="shared" si="42"/>
        <v>237</v>
      </c>
      <c r="I106" s="64">
        <f t="shared" si="43"/>
        <v>467</v>
      </c>
      <c r="J106" s="64">
        <f t="shared" si="44"/>
        <v>507</v>
      </c>
      <c r="K106" s="64">
        <f t="shared" si="45"/>
        <v>1481</v>
      </c>
      <c r="L106" s="64">
        <f t="shared" si="33"/>
        <v>1972</v>
      </c>
      <c r="M106" s="64">
        <f t="shared" si="34"/>
        <v>1903</v>
      </c>
      <c r="N106" s="64">
        <f t="shared" si="35"/>
        <v>1861</v>
      </c>
      <c r="O106" s="64">
        <f t="shared" si="36"/>
        <v>1971</v>
      </c>
      <c r="P106" s="64">
        <f t="shared" si="37"/>
        <v>1840</v>
      </c>
      <c r="Q106" s="64">
        <f t="shared" si="38"/>
        <v>1861</v>
      </c>
      <c r="R106" s="2"/>
    </row>
    <row r="107" spans="1:18">
      <c r="A107" s="1356">
        <v>548200</v>
      </c>
      <c r="B107" s="1522" t="s">
        <v>2067</v>
      </c>
      <c r="C107" s="1356" t="s">
        <v>1174</v>
      </c>
      <c r="D107" s="19">
        <f t="shared" si="39"/>
        <v>548</v>
      </c>
      <c r="E107" s="10">
        <f t="shared" si="32"/>
        <v>322237</v>
      </c>
      <c r="F107" s="64">
        <f t="shared" si="40"/>
        <v>23156</v>
      </c>
      <c r="G107" s="64">
        <f t="shared" si="41"/>
        <v>30205</v>
      </c>
      <c r="H107" s="64">
        <f t="shared" si="42"/>
        <v>22235</v>
      </c>
      <c r="I107" s="64">
        <f t="shared" si="43"/>
        <v>29867</v>
      </c>
      <c r="J107" s="64">
        <f t="shared" si="44"/>
        <v>22347</v>
      </c>
      <c r="K107" s="64">
        <f t="shared" si="45"/>
        <v>24017</v>
      </c>
      <c r="L107" s="64">
        <f t="shared" si="33"/>
        <v>26278</v>
      </c>
      <c r="M107" s="64">
        <f t="shared" si="34"/>
        <v>26277</v>
      </c>
      <c r="N107" s="64">
        <f t="shared" si="35"/>
        <v>26367</v>
      </c>
      <c r="O107" s="64">
        <f t="shared" si="36"/>
        <v>38952</v>
      </c>
      <c r="P107" s="64">
        <f t="shared" si="37"/>
        <v>26223</v>
      </c>
      <c r="Q107" s="64">
        <f t="shared" si="38"/>
        <v>26313</v>
      </c>
      <c r="R107" s="2"/>
    </row>
    <row r="108" spans="1:18">
      <c r="A108" s="1356">
        <v>549000</v>
      </c>
      <c r="B108" s="1522" t="s">
        <v>2068</v>
      </c>
      <c r="C108" s="1356" t="s">
        <v>1174</v>
      </c>
      <c r="D108" s="19">
        <f t="shared" si="39"/>
        <v>549</v>
      </c>
      <c r="E108" s="10">
        <f t="shared" si="32"/>
        <v>867295</v>
      </c>
      <c r="F108" s="64">
        <f t="shared" si="40"/>
        <v>77739</v>
      </c>
      <c r="G108" s="64">
        <f t="shared" si="41"/>
        <v>92270</v>
      </c>
      <c r="H108" s="64">
        <f t="shared" si="42"/>
        <v>64503</v>
      </c>
      <c r="I108" s="64">
        <f t="shared" si="43"/>
        <v>83156</v>
      </c>
      <c r="J108" s="64">
        <f t="shared" si="44"/>
        <v>78211</v>
      </c>
      <c r="K108" s="64">
        <f t="shared" si="45"/>
        <v>77214</v>
      </c>
      <c r="L108" s="64">
        <f t="shared" si="33"/>
        <v>66335</v>
      </c>
      <c r="M108" s="64">
        <f t="shared" si="34"/>
        <v>61413</v>
      </c>
      <c r="N108" s="64">
        <f t="shared" si="35"/>
        <v>61249</v>
      </c>
      <c r="O108" s="64">
        <f t="shared" si="36"/>
        <v>80557</v>
      </c>
      <c r="P108" s="64">
        <f t="shared" si="37"/>
        <v>60960</v>
      </c>
      <c r="Q108" s="64">
        <f t="shared" si="38"/>
        <v>63688</v>
      </c>
      <c r="R108" s="2"/>
    </row>
    <row r="109" spans="1:18">
      <c r="A109" s="1356">
        <v>551000</v>
      </c>
      <c r="B109" s="1522" t="s">
        <v>2069</v>
      </c>
      <c r="C109" s="1356" t="s">
        <v>1181</v>
      </c>
      <c r="D109" s="19">
        <f t="shared" si="39"/>
        <v>551</v>
      </c>
      <c r="E109" s="10">
        <f t="shared" si="32"/>
        <v>211253</v>
      </c>
      <c r="F109" s="64">
        <f t="shared" si="40"/>
        <v>4305</v>
      </c>
      <c r="G109" s="64">
        <f t="shared" si="41"/>
        <v>4695</v>
      </c>
      <c r="H109" s="64">
        <f t="shared" si="42"/>
        <v>5054</v>
      </c>
      <c r="I109" s="64">
        <f t="shared" si="43"/>
        <v>6371</v>
      </c>
      <c r="J109" s="64">
        <f t="shared" si="44"/>
        <v>6426</v>
      </c>
      <c r="K109" s="64">
        <f t="shared" si="45"/>
        <v>6861</v>
      </c>
      <c r="L109" s="64">
        <f t="shared" ref="L109:L140" si="46">IF(ISNA(VLOOKUP(A109,BPActual,9,FALSE)=TRUE),0,VLOOKUP(A109,BPActual,9,FALSE))</f>
        <v>28705</v>
      </c>
      <c r="M109" s="64">
        <f t="shared" ref="M109:M140" si="47">IF(ISNA(VLOOKUP(A109,BPActual,10,FALSE)=TRUE),0,VLOOKUP(A109,BPActual,10,FALSE))</f>
        <v>31409</v>
      </c>
      <c r="N109" s="64">
        <f t="shared" ref="N109:N140" si="48">IF(ISNA(VLOOKUP(A109,BPActual,11,FALSE)=TRUE),0,VLOOKUP(A109,BPActual,11,FALSE))</f>
        <v>28777</v>
      </c>
      <c r="O109" s="64">
        <f t="shared" ref="O109:O140" si="49">IF(ISNA(VLOOKUP(A109,BPActual,12,FALSE)=TRUE),0,VLOOKUP(A109,BPActual,12,FALSE))</f>
        <v>28552</v>
      </c>
      <c r="P109" s="64">
        <f t="shared" ref="P109:P140" si="50">IF(ISNA(VLOOKUP(A109,BPActual,13,FALSE)=TRUE),0,VLOOKUP(A109,BPActual,13,FALSE))</f>
        <v>31365</v>
      </c>
      <c r="Q109" s="64">
        <f t="shared" ref="Q109:Q140" si="51">IF(ISNA(VLOOKUP(A109,BPActual,14,FALSE)=TRUE),0,VLOOKUP(A109,BPActual,14,FALSE))</f>
        <v>28733</v>
      </c>
      <c r="R109" s="2"/>
    </row>
    <row r="110" spans="1:18">
      <c r="A110" s="1356">
        <v>552000</v>
      </c>
      <c r="B110" s="1522" t="s">
        <v>2941</v>
      </c>
      <c r="C110" s="1356" t="s">
        <v>1181</v>
      </c>
      <c r="D110" s="19">
        <f t="shared" si="39"/>
        <v>552</v>
      </c>
      <c r="E110" s="10">
        <f t="shared" si="32"/>
        <v>368286</v>
      </c>
      <c r="F110" s="64">
        <f t="shared" si="40"/>
        <v>52452</v>
      </c>
      <c r="G110" s="64">
        <f t="shared" si="41"/>
        <v>36454</v>
      </c>
      <c r="H110" s="64">
        <f t="shared" si="42"/>
        <v>10251</v>
      </c>
      <c r="I110" s="64">
        <f t="shared" si="43"/>
        <v>31361</v>
      </c>
      <c r="J110" s="64">
        <f t="shared" si="44"/>
        <v>19298</v>
      </c>
      <c r="K110" s="64">
        <f t="shared" si="45"/>
        <v>6571</v>
      </c>
      <c r="L110" s="64">
        <f t="shared" si="46"/>
        <v>31984</v>
      </c>
      <c r="M110" s="64">
        <f t="shared" si="47"/>
        <v>31984</v>
      </c>
      <c r="N110" s="64">
        <f t="shared" si="48"/>
        <v>31983</v>
      </c>
      <c r="O110" s="64">
        <f t="shared" si="49"/>
        <v>51982</v>
      </c>
      <c r="P110" s="64">
        <f t="shared" si="50"/>
        <v>31983</v>
      </c>
      <c r="Q110" s="64">
        <f t="shared" si="51"/>
        <v>31983</v>
      </c>
      <c r="R110" s="2"/>
    </row>
    <row r="111" spans="1:18">
      <c r="A111" s="1356">
        <v>553000</v>
      </c>
      <c r="B111" s="1522" t="s">
        <v>2071</v>
      </c>
      <c r="C111" s="1356" t="s">
        <v>1181</v>
      </c>
      <c r="D111" s="19">
        <f t="shared" si="39"/>
        <v>553</v>
      </c>
      <c r="E111" s="10">
        <f t="shared" si="32"/>
        <v>3654976</v>
      </c>
      <c r="F111" s="64">
        <f t="shared" si="40"/>
        <v>1180961</v>
      </c>
      <c r="G111" s="64">
        <f t="shared" si="41"/>
        <v>94694</v>
      </c>
      <c r="H111" s="64">
        <f t="shared" si="42"/>
        <v>12375</v>
      </c>
      <c r="I111" s="64">
        <f t="shared" si="43"/>
        <v>233974</v>
      </c>
      <c r="J111" s="64">
        <f t="shared" si="44"/>
        <v>145592</v>
      </c>
      <c r="K111" s="64">
        <f t="shared" si="45"/>
        <v>730193</v>
      </c>
      <c r="L111" s="64">
        <f t="shared" si="46"/>
        <v>15572</v>
      </c>
      <c r="M111" s="64">
        <f t="shared" si="47"/>
        <v>6521</v>
      </c>
      <c r="N111" s="64">
        <f t="shared" si="48"/>
        <v>6424</v>
      </c>
      <c r="O111" s="64">
        <f t="shared" si="49"/>
        <v>102482</v>
      </c>
      <c r="P111" s="64">
        <f t="shared" si="50"/>
        <v>563067</v>
      </c>
      <c r="Q111" s="64">
        <f t="shared" si="51"/>
        <v>563121</v>
      </c>
      <c r="R111" s="2"/>
    </row>
    <row r="112" spans="1:18">
      <c r="A112" s="1356">
        <v>554000</v>
      </c>
      <c r="B112" s="1522" t="s">
        <v>2072</v>
      </c>
      <c r="C112" s="1356" t="s">
        <v>1181</v>
      </c>
      <c r="D112" s="19">
        <f t="shared" si="39"/>
        <v>554</v>
      </c>
      <c r="E112" s="10">
        <f t="shared" si="32"/>
        <v>207250</v>
      </c>
      <c r="F112" s="64">
        <f t="shared" si="40"/>
        <v>19946</v>
      </c>
      <c r="G112" s="64">
        <f t="shared" si="41"/>
        <v>18289</v>
      </c>
      <c r="H112" s="64">
        <f t="shared" si="42"/>
        <v>24117</v>
      </c>
      <c r="I112" s="64">
        <f t="shared" si="43"/>
        <v>32303</v>
      </c>
      <c r="J112" s="64">
        <f t="shared" si="44"/>
        <v>23456</v>
      </c>
      <c r="K112" s="64">
        <f t="shared" si="45"/>
        <v>16619</v>
      </c>
      <c r="L112" s="64">
        <f t="shared" si="46"/>
        <v>11653</v>
      </c>
      <c r="M112" s="64">
        <f t="shared" si="47"/>
        <v>11653</v>
      </c>
      <c r="N112" s="64">
        <f t="shared" si="48"/>
        <v>11671</v>
      </c>
      <c r="O112" s="64">
        <f t="shared" si="49"/>
        <v>14242</v>
      </c>
      <c r="P112" s="64">
        <f t="shared" si="50"/>
        <v>11641</v>
      </c>
      <c r="Q112" s="64">
        <f t="shared" si="51"/>
        <v>11660</v>
      </c>
      <c r="R112" s="2"/>
    </row>
    <row r="113" spans="1:18">
      <c r="A113" s="1356">
        <v>555028</v>
      </c>
      <c r="B113" s="1522" t="s">
        <v>2073</v>
      </c>
      <c r="C113" s="1356" t="s">
        <v>1625</v>
      </c>
      <c r="D113" s="19">
        <f t="shared" si="39"/>
        <v>555</v>
      </c>
      <c r="E113" s="10">
        <f t="shared" si="32"/>
        <v>136884</v>
      </c>
      <c r="F113" s="64">
        <f t="shared" si="40"/>
        <v>69722</v>
      </c>
      <c r="G113" s="64">
        <f t="shared" si="41"/>
        <v>0</v>
      </c>
      <c r="H113" s="64">
        <f t="shared" si="42"/>
        <v>0</v>
      </c>
      <c r="I113" s="64">
        <f t="shared" si="43"/>
        <v>67162</v>
      </c>
      <c r="J113" s="64">
        <f t="shared" si="44"/>
        <v>0</v>
      </c>
      <c r="K113" s="64">
        <f t="shared" si="45"/>
        <v>0</v>
      </c>
      <c r="L113" s="64">
        <f t="shared" si="46"/>
        <v>0</v>
      </c>
      <c r="M113" s="64">
        <f t="shared" si="47"/>
        <v>0</v>
      </c>
      <c r="N113" s="64">
        <f t="shared" si="48"/>
        <v>0</v>
      </c>
      <c r="O113" s="64">
        <f t="shared" si="49"/>
        <v>0</v>
      </c>
      <c r="P113" s="64">
        <f t="shared" si="50"/>
        <v>0</v>
      </c>
      <c r="Q113" s="64">
        <f t="shared" si="51"/>
        <v>0</v>
      </c>
      <c r="R113" s="2"/>
    </row>
    <row r="114" spans="1:18">
      <c r="A114" s="1356">
        <v>555190</v>
      </c>
      <c r="B114" s="1522" t="s">
        <v>2074</v>
      </c>
      <c r="C114" s="1356" t="s">
        <v>1625</v>
      </c>
      <c r="D114" s="19">
        <f t="shared" si="39"/>
        <v>555</v>
      </c>
      <c r="E114" s="10">
        <f t="shared" si="32"/>
        <v>0</v>
      </c>
      <c r="F114" s="64">
        <f t="shared" si="40"/>
        <v>0</v>
      </c>
      <c r="G114" s="64">
        <f t="shared" si="41"/>
        <v>0</v>
      </c>
      <c r="H114" s="64">
        <f t="shared" si="42"/>
        <v>0</v>
      </c>
      <c r="I114" s="64">
        <f t="shared" si="43"/>
        <v>0</v>
      </c>
      <c r="J114" s="64">
        <f t="shared" si="44"/>
        <v>0</v>
      </c>
      <c r="K114" s="64">
        <f t="shared" si="45"/>
        <v>0</v>
      </c>
      <c r="L114" s="64">
        <f t="shared" si="46"/>
        <v>0</v>
      </c>
      <c r="M114" s="64">
        <f t="shared" si="47"/>
        <v>0</v>
      </c>
      <c r="N114" s="64">
        <f t="shared" si="48"/>
        <v>0</v>
      </c>
      <c r="O114" s="64">
        <f t="shared" si="49"/>
        <v>0</v>
      </c>
      <c r="P114" s="64">
        <f t="shared" si="50"/>
        <v>0</v>
      </c>
      <c r="Q114" s="64">
        <f t="shared" si="51"/>
        <v>0</v>
      </c>
      <c r="R114" s="2"/>
    </row>
    <row r="115" spans="1:18">
      <c r="A115" s="1356">
        <v>555202</v>
      </c>
      <c r="B115" s="1522" t="s">
        <v>2075</v>
      </c>
      <c r="C115" s="1356" t="s">
        <v>1625</v>
      </c>
      <c r="D115" s="19">
        <f t="shared" si="39"/>
        <v>555</v>
      </c>
      <c r="E115" s="10">
        <f t="shared" si="32"/>
        <v>27119216</v>
      </c>
      <c r="F115" s="64">
        <f t="shared" si="40"/>
        <v>7242320</v>
      </c>
      <c r="G115" s="64">
        <f t="shared" si="41"/>
        <v>426721</v>
      </c>
      <c r="H115" s="64">
        <f t="shared" si="42"/>
        <v>848576</v>
      </c>
      <c r="I115" s="64">
        <f t="shared" si="43"/>
        <v>1411560</v>
      </c>
      <c r="J115" s="64">
        <f t="shared" si="44"/>
        <v>638754</v>
      </c>
      <c r="K115" s="64">
        <f t="shared" si="45"/>
        <v>3913284</v>
      </c>
      <c r="L115" s="64">
        <f t="shared" si="46"/>
        <v>2620511</v>
      </c>
      <c r="M115" s="64">
        <f t="shared" si="47"/>
        <v>3262156</v>
      </c>
      <c r="N115" s="64">
        <f t="shared" si="48"/>
        <v>2318156</v>
      </c>
      <c r="O115" s="64">
        <f t="shared" si="49"/>
        <v>1865511</v>
      </c>
      <c r="P115" s="64">
        <f t="shared" si="50"/>
        <v>1074156</v>
      </c>
      <c r="Q115" s="64">
        <f t="shared" si="51"/>
        <v>1497511</v>
      </c>
      <c r="R115" s="2"/>
    </row>
    <row r="116" spans="1:18">
      <c r="A116" s="1356">
        <v>556000</v>
      </c>
      <c r="B116" s="1522" t="s">
        <v>2076</v>
      </c>
      <c r="C116" s="1356" t="s">
        <v>2171</v>
      </c>
      <c r="D116" s="19">
        <f t="shared" si="39"/>
        <v>556</v>
      </c>
      <c r="E116" s="10">
        <f t="shared" si="32"/>
        <v>814</v>
      </c>
      <c r="F116" s="64">
        <f t="shared" si="40"/>
        <v>38</v>
      </c>
      <c r="G116" s="64">
        <f t="shared" si="41"/>
        <v>169</v>
      </c>
      <c r="H116" s="64">
        <f t="shared" si="42"/>
        <v>29</v>
      </c>
      <c r="I116" s="64">
        <f t="shared" si="43"/>
        <v>119</v>
      </c>
      <c r="J116" s="64">
        <f t="shared" si="44"/>
        <v>168</v>
      </c>
      <c r="K116" s="64">
        <f t="shared" si="45"/>
        <v>147</v>
      </c>
      <c r="L116" s="64">
        <f t="shared" si="46"/>
        <v>24</v>
      </c>
      <c r="M116" s="64">
        <f t="shared" si="47"/>
        <v>24</v>
      </c>
      <c r="N116" s="64">
        <f t="shared" si="48"/>
        <v>24</v>
      </c>
      <c r="O116" s="64">
        <f t="shared" si="49"/>
        <v>24</v>
      </c>
      <c r="P116" s="64">
        <f t="shared" si="50"/>
        <v>24</v>
      </c>
      <c r="Q116" s="64">
        <f t="shared" si="51"/>
        <v>24</v>
      </c>
      <c r="R116" s="2"/>
    </row>
    <row r="117" spans="1:18">
      <c r="A117" s="1356">
        <v>557000</v>
      </c>
      <c r="B117" s="1522" t="s">
        <v>2077</v>
      </c>
      <c r="C117" s="1356" t="s">
        <v>2171</v>
      </c>
      <c r="D117" s="19">
        <f t="shared" si="39"/>
        <v>557</v>
      </c>
      <c r="E117" s="10">
        <f t="shared" si="32"/>
        <v>11795406</v>
      </c>
      <c r="F117" s="64">
        <f t="shared" si="40"/>
        <v>969469</v>
      </c>
      <c r="G117" s="64">
        <f t="shared" si="41"/>
        <v>896361</v>
      </c>
      <c r="H117" s="64">
        <f t="shared" si="42"/>
        <v>934137</v>
      </c>
      <c r="I117" s="64">
        <f t="shared" si="43"/>
        <v>1141812</v>
      </c>
      <c r="J117" s="64">
        <f t="shared" si="44"/>
        <v>1567993</v>
      </c>
      <c r="K117" s="64">
        <f t="shared" si="45"/>
        <v>1478598</v>
      </c>
      <c r="L117" s="64">
        <f t="shared" si="46"/>
        <v>788120</v>
      </c>
      <c r="M117" s="64">
        <f t="shared" si="47"/>
        <v>932400</v>
      </c>
      <c r="N117" s="64">
        <f t="shared" si="48"/>
        <v>825810</v>
      </c>
      <c r="O117" s="64">
        <f t="shared" si="49"/>
        <v>772745</v>
      </c>
      <c r="P117" s="64">
        <f t="shared" si="50"/>
        <v>875246</v>
      </c>
      <c r="Q117" s="64">
        <f t="shared" si="51"/>
        <v>612715</v>
      </c>
      <c r="R117" s="2"/>
    </row>
    <row r="118" spans="1:18">
      <c r="A118" s="1356">
        <v>557450</v>
      </c>
      <c r="B118" s="1522" t="s">
        <v>2078</v>
      </c>
      <c r="C118" s="1356" t="s">
        <v>2171</v>
      </c>
      <c r="D118" s="19">
        <f t="shared" si="39"/>
        <v>557</v>
      </c>
      <c r="E118" s="10">
        <f t="shared" si="32"/>
        <v>18029</v>
      </c>
      <c r="F118" s="64">
        <f t="shared" si="40"/>
        <v>3413</v>
      </c>
      <c r="G118" s="64">
        <f t="shared" si="41"/>
        <v>3059</v>
      </c>
      <c r="H118" s="64">
        <f t="shared" si="42"/>
        <v>2775</v>
      </c>
      <c r="I118" s="64">
        <f t="shared" si="43"/>
        <v>2775</v>
      </c>
      <c r="J118" s="64">
        <f t="shared" si="44"/>
        <v>3110</v>
      </c>
      <c r="K118" s="64">
        <f t="shared" si="45"/>
        <v>2897</v>
      </c>
      <c r="L118" s="64">
        <f t="shared" si="46"/>
        <v>0</v>
      </c>
      <c r="M118" s="64">
        <f t="shared" si="47"/>
        <v>0</v>
      </c>
      <c r="N118" s="64">
        <f t="shared" si="48"/>
        <v>0</v>
      </c>
      <c r="O118" s="64">
        <f t="shared" si="49"/>
        <v>0</v>
      </c>
      <c r="P118" s="64">
        <f t="shared" si="50"/>
        <v>0</v>
      </c>
      <c r="Q118" s="64">
        <f t="shared" si="51"/>
        <v>0</v>
      </c>
      <c r="R118" s="2"/>
    </row>
    <row r="119" spans="1:18">
      <c r="A119" s="1356">
        <v>557980</v>
      </c>
      <c r="B119" s="1522" t="s">
        <v>2079</v>
      </c>
      <c r="C119" s="1356" t="s">
        <v>1623</v>
      </c>
      <c r="D119" s="19">
        <f t="shared" si="39"/>
        <v>557</v>
      </c>
      <c r="E119" s="10">
        <f t="shared" si="32"/>
        <v>-3712734</v>
      </c>
      <c r="F119" s="64">
        <f t="shared" si="40"/>
        <v>-740995</v>
      </c>
      <c r="G119" s="64">
        <f t="shared" si="41"/>
        <v>-150770</v>
      </c>
      <c r="H119" s="64">
        <f t="shared" si="42"/>
        <v>-293962</v>
      </c>
      <c r="I119" s="64">
        <f t="shared" si="43"/>
        <v>-57271</v>
      </c>
      <c r="J119" s="64">
        <f t="shared" si="44"/>
        <v>-515826</v>
      </c>
      <c r="K119" s="64">
        <f t="shared" si="45"/>
        <v>-2760567</v>
      </c>
      <c r="L119" s="64">
        <f t="shared" si="46"/>
        <v>-196528</v>
      </c>
      <c r="M119" s="64">
        <f t="shared" si="47"/>
        <v>-226416</v>
      </c>
      <c r="N119" s="64">
        <f t="shared" si="48"/>
        <v>61472</v>
      </c>
      <c r="O119" s="64">
        <f t="shared" si="49"/>
        <v>863594</v>
      </c>
      <c r="P119" s="64">
        <f t="shared" si="50"/>
        <v>244805</v>
      </c>
      <c r="Q119" s="64">
        <f t="shared" si="51"/>
        <v>59730</v>
      </c>
      <c r="R119" s="2"/>
    </row>
    <row r="120" spans="1:18">
      <c r="A120" s="1356">
        <v>560000</v>
      </c>
      <c r="B120" s="1522" t="s">
        <v>2080</v>
      </c>
      <c r="C120" s="1356" t="s">
        <v>1175</v>
      </c>
      <c r="D120" s="19">
        <f t="shared" si="39"/>
        <v>560</v>
      </c>
      <c r="E120" s="10">
        <f t="shared" si="32"/>
        <v>46986</v>
      </c>
      <c r="F120" s="64">
        <f t="shared" si="40"/>
        <v>168</v>
      </c>
      <c r="G120" s="64">
        <f t="shared" si="41"/>
        <v>156</v>
      </c>
      <c r="H120" s="64">
        <f t="shared" si="42"/>
        <v>238</v>
      </c>
      <c r="I120" s="64">
        <f t="shared" si="43"/>
        <v>419</v>
      </c>
      <c r="J120" s="64">
        <f t="shared" si="44"/>
        <v>197</v>
      </c>
      <c r="K120" s="64">
        <f t="shared" si="45"/>
        <v>255</v>
      </c>
      <c r="L120" s="64">
        <f t="shared" si="46"/>
        <v>8571</v>
      </c>
      <c r="M120" s="64">
        <f t="shared" si="47"/>
        <v>11748</v>
      </c>
      <c r="N120" s="64">
        <f t="shared" si="48"/>
        <v>6489</v>
      </c>
      <c r="O120" s="64">
        <f t="shared" si="49"/>
        <v>12183</v>
      </c>
      <c r="P120" s="64">
        <f t="shared" si="50"/>
        <v>3950</v>
      </c>
      <c r="Q120" s="64">
        <f t="shared" si="51"/>
        <v>2612</v>
      </c>
      <c r="R120" s="2"/>
    </row>
    <row r="121" spans="1:18">
      <c r="A121" s="1356">
        <v>561100</v>
      </c>
      <c r="B121" s="1522" t="s">
        <v>2081</v>
      </c>
      <c r="C121" s="1356" t="s">
        <v>1175</v>
      </c>
      <c r="D121" s="19">
        <f t="shared" si="39"/>
        <v>561</v>
      </c>
      <c r="E121" s="10">
        <f t="shared" si="32"/>
        <v>114339</v>
      </c>
      <c r="F121" s="64">
        <f t="shared" si="40"/>
        <v>9039</v>
      </c>
      <c r="G121" s="64">
        <f t="shared" si="41"/>
        <v>8995</v>
      </c>
      <c r="H121" s="64">
        <f t="shared" si="42"/>
        <v>8554</v>
      </c>
      <c r="I121" s="64">
        <f t="shared" si="43"/>
        <v>9759</v>
      </c>
      <c r="J121" s="64">
        <f t="shared" si="44"/>
        <v>9193</v>
      </c>
      <c r="K121" s="64">
        <f t="shared" si="45"/>
        <v>8993</v>
      </c>
      <c r="L121" s="64">
        <f t="shared" si="46"/>
        <v>9970</v>
      </c>
      <c r="M121" s="64">
        <f t="shared" si="47"/>
        <v>9970</v>
      </c>
      <c r="N121" s="64">
        <f t="shared" si="48"/>
        <v>9952</v>
      </c>
      <c r="O121" s="64">
        <f t="shared" si="49"/>
        <v>9958</v>
      </c>
      <c r="P121" s="64">
        <f t="shared" si="50"/>
        <v>9958</v>
      </c>
      <c r="Q121" s="64">
        <f t="shared" si="51"/>
        <v>9998</v>
      </c>
      <c r="R121" s="2"/>
    </row>
    <row r="122" spans="1:18">
      <c r="A122" s="1356">
        <v>561200</v>
      </c>
      <c r="B122" s="1522" t="s">
        <v>2082</v>
      </c>
      <c r="C122" s="1356" t="s">
        <v>1175</v>
      </c>
      <c r="D122" s="19">
        <f t="shared" si="39"/>
        <v>561</v>
      </c>
      <c r="E122" s="10">
        <f t="shared" si="32"/>
        <v>519513</v>
      </c>
      <c r="F122" s="64">
        <f t="shared" si="40"/>
        <v>42513</v>
      </c>
      <c r="G122" s="64">
        <f t="shared" si="41"/>
        <v>39986</v>
      </c>
      <c r="H122" s="64">
        <f t="shared" si="42"/>
        <v>38840</v>
      </c>
      <c r="I122" s="64">
        <f t="shared" si="43"/>
        <v>46901</v>
      </c>
      <c r="J122" s="64">
        <f t="shared" si="44"/>
        <v>41676</v>
      </c>
      <c r="K122" s="64">
        <f t="shared" si="45"/>
        <v>39949</v>
      </c>
      <c r="L122" s="64">
        <f t="shared" si="46"/>
        <v>44997</v>
      </c>
      <c r="M122" s="64">
        <f t="shared" si="47"/>
        <v>44998</v>
      </c>
      <c r="N122" s="64">
        <f t="shared" si="48"/>
        <v>44894</v>
      </c>
      <c r="O122" s="64">
        <f t="shared" si="49"/>
        <v>44873</v>
      </c>
      <c r="P122" s="64">
        <f t="shared" si="50"/>
        <v>44874</v>
      </c>
      <c r="Q122" s="64">
        <f t="shared" si="51"/>
        <v>45012</v>
      </c>
      <c r="R122" s="2"/>
    </row>
    <row r="123" spans="1:18">
      <c r="A123" s="1356">
        <v>561300</v>
      </c>
      <c r="B123" s="1522" t="s">
        <v>2083</v>
      </c>
      <c r="C123" s="1356" t="s">
        <v>1175</v>
      </c>
      <c r="D123" s="19">
        <f t="shared" si="39"/>
        <v>561</v>
      </c>
      <c r="E123" s="10">
        <f t="shared" si="32"/>
        <v>70326</v>
      </c>
      <c r="F123" s="64">
        <f t="shared" si="40"/>
        <v>5735</v>
      </c>
      <c r="G123" s="64">
        <f t="shared" si="41"/>
        <v>5474</v>
      </c>
      <c r="H123" s="64">
        <f t="shared" si="42"/>
        <v>5235</v>
      </c>
      <c r="I123" s="64">
        <f t="shared" si="43"/>
        <v>6266</v>
      </c>
      <c r="J123" s="64">
        <f t="shared" si="44"/>
        <v>5693</v>
      </c>
      <c r="K123" s="64">
        <f t="shared" si="45"/>
        <v>5483</v>
      </c>
      <c r="L123" s="64">
        <f t="shared" si="46"/>
        <v>6074</v>
      </c>
      <c r="M123" s="64">
        <f t="shared" si="47"/>
        <v>6075</v>
      </c>
      <c r="N123" s="64">
        <f t="shared" si="48"/>
        <v>6066</v>
      </c>
      <c r="O123" s="64">
        <f t="shared" si="49"/>
        <v>6068</v>
      </c>
      <c r="P123" s="64">
        <f t="shared" si="50"/>
        <v>6069</v>
      </c>
      <c r="Q123" s="64">
        <f t="shared" si="51"/>
        <v>6088</v>
      </c>
      <c r="R123" s="2"/>
    </row>
    <row r="124" spans="1:18">
      <c r="A124" s="1356">
        <v>561400</v>
      </c>
      <c r="B124" s="1522" t="s">
        <v>2546</v>
      </c>
      <c r="C124" s="1356" t="s">
        <v>1175</v>
      </c>
      <c r="D124" s="19">
        <f t="shared" si="39"/>
        <v>561</v>
      </c>
      <c r="E124" s="10">
        <f t="shared" si="32"/>
        <v>2306765</v>
      </c>
      <c r="F124" s="64">
        <f t="shared" si="40"/>
        <v>1460340</v>
      </c>
      <c r="G124" s="64">
        <f t="shared" si="41"/>
        <v>0</v>
      </c>
      <c r="H124" s="64">
        <f t="shared" si="42"/>
        <v>70841</v>
      </c>
      <c r="I124" s="64">
        <f t="shared" si="43"/>
        <v>487951</v>
      </c>
      <c r="J124" s="64">
        <f t="shared" si="44"/>
        <v>145656</v>
      </c>
      <c r="K124" s="64">
        <f t="shared" si="45"/>
        <v>141977</v>
      </c>
      <c r="L124" s="64">
        <f t="shared" si="46"/>
        <v>0</v>
      </c>
      <c r="M124" s="64">
        <f t="shared" si="47"/>
        <v>0</v>
      </c>
      <c r="N124" s="64">
        <f t="shared" si="48"/>
        <v>0</v>
      </c>
      <c r="O124" s="64">
        <f t="shared" si="49"/>
        <v>0</v>
      </c>
      <c r="P124" s="64">
        <f t="shared" si="50"/>
        <v>0</v>
      </c>
      <c r="Q124" s="64">
        <f t="shared" si="51"/>
        <v>0</v>
      </c>
      <c r="R124" s="2"/>
    </row>
    <row r="125" spans="1:18">
      <c r="A125" s="1356">
        <v>561500</v>
      </c>
      <c r="B125" s="1522" t="s">
        <v>2084</v>
      </c>
      <c r="C125" s="1356" t="s">
        <v>1175</v>
      </c>
      <c r="D125" s="19">
        <f t="shared" si="39"/>
        <v>561</v>
      </c>
      <c r="E125" s="10">
        <f t="shared" si="32"/>
        <v>2714</v>
      </c>
      <c r="F125" s="64">
        <f t="shared" si="40"/>
        <v>0</v>
      </c>
      <c r="G125" s="64">
        <f t="shared" si="41"/>
        <v>0</v>
      </c>
      <c r="H125" s="64">
        <f t="shared" si="42"/>
        <v>456</v>
      </c>
      <c r="I125" s="64">
        <f t="shared" si="43"/>
        <v>968</v>
      </c>
      <c r="J125" s="64">
        <f t="shared" si="44"/>
        <v>0</v>
      </c>
      <c r="K125" s="64">
        <f t="shared" si="45"/>
        <v>0</v>
      </c>
      <c r="L125" s="64">
        <f t="shared" si="46"/>
        <v>215</v>
      </c>
      <c r="M125" s="64">
        <f t="shared" si="47"/>
        <v>215</v>
      </c>
      <c r="N125" s="64">
        <f t="shared" si="48"/>
        <v>215</v>
      </c>
      <c r="O125" s="64">
        <f t="shared" si="49"/>
        <v>215</v>
      </c>
      <c r="P125" s="64">
        <f t="shared" si="50"/>
        <v>215</v>
      </c>
      <c r="Q125" s="64">
        <f t="shared" si="51"/>
        <v>215</v>
      </c>
      <c r="R125" s="2"/>
    </row>
    <row r="126" spans="1:18">
      <c r="A126" s="1356">
        <v>561800</v>
      </c>
      <c r="B126" s="1522" t="s">
        <v>2084</v>
      </c>
      <c r="C126" s="1356" t="s">
        <v>1175</v>
      </c>
      <c r="D126" s="19">
        <f t="shared" si="39"/>
        <v>561</v>
      </c>
      <c r="E126" s="10">
        <f t="shared" si="32"/>
        <v>860353</v>
      </c>
      <c r="F126" s="64">
        <f t="shared" si="40"/>
        <v>0</v>
      </c>
      <c r="G126" s="64">
        <f t="shared" si="41"/>
        <v>0</v>
      </c>
      <c r="H126" s="64">
        <f t="shared" si="42"/>
        <v>0</v>
      </c>
      <c r="I126" s="64">
        <f t="shared" si="43"/>
        <v>860353</v>
      </c>
      <c r="J126" s="64">
        <f t="shared" si="44"/>
        <v>0</v>
      </c>
      <c r="K126" s="64">
        <f t="shared" si="45"/>
        <v>0</v>
      </c>
      <c r="L126" s="64">
        <f t="shared" si="46"/>
        <v>0</v>
      </c>
      <c r="M126" s="64">
        <f t="shared" si="47"/>
        <v>0</v>
      </c>
      <c r="N126" s="64">
        <f t="shared" si="48"/>
        <v>0</v>
      </c>
      <c r="O126" s="64">
        <f t="shared" si="49"/>
        <v>0</v>
      </c>
      <c r="P126" s="64">
        <f t="shared" si="50"/>
        <v>0</v>
      </c>
      <c r="Q126" s="64">
        <f t="shared" si="51"/>
        <v>0</v>
      </c>
      <c r="R126" s="2"/>
    </row>
    <row r="127" spans="1:18">
      <c r="A127" s="1356">
        <v>562000</v>
      </c>
      <c r="B127" s="1522" t="s">
        <v>1362</v>
      </c>
      <c r="C127" s="1356" t="s">
        <v>1175</v>
      </c>
      <c r="D127" s="19">
        <f t="shared" si="39"/>
        <v>562</v>
      </c>
      <c r="E127" s="10">
        <f t="shared" si="32"/>
        <v>120170</v>
      </c>
      <c r="F127" s="64">
        <f t="shared" si="40"/>
        <v>4787</v>
      </c>
      <c r="G127" s="64">
        <f t="shared" si="41"/>
        <v>18254</v>
      </c>
      <c r="H127" s="64">
        <f t="shared" si="42"/>
        <v>5039</v>
      </c>
      <c r="I127" s="64">
        <f t="shared" si="43"/>
        <v>13173</v>
      </c>
      <c r="J127" s="64">
        <f t="shared" si="44"/>
        <v>17139</v>
      </c>
      <c r="K127" s="64">
        <f t="shared" si="45"/>
        <v>9059</v>
      </c>
      <c r="L127" s="64">
        <f t="shared" si="46"/>
        <v>8779</v>
      </c>
      <c r="M127" s="64">
        <f t="shared" si="47"/>
        <v>8901</v>
      </c>
      <c r="N127" s="64">
        <f t="shared" si="48"/>
        <v>8491</v>
      </c>
      <c r="O127" s="64">
        <f t="shared" si="49"/>
        <v>9441</v>
      </c>
      <c r="P127" s="64">
        <f t="shared" si="50"/>
        <v>8471</v>
      </c>
      <c r="Q127" s="64">
        <f t="shared" si="51"/>
        <v>8636</v>
      </c>
      <c r="R127" s="2"/>
    </row>
    <row r="128" spans="1:18">
      <c r="A128" s="1356">
        <v>563000</v>
      </c>
      <c r="B128" s="1522" t="s">
        <v>2085</v>
      </c>
      <c r="C128" s="1356" t="s">
        <v>1175</v>
      </c>
      <c r="D128" s="19">
        <f t="shared" si="39"/>
        <v>563</v>
      </c>
      <c r="E128" s="10">
        <f t="shared" si="32"/>
        <v>49540</v>
      </c>
      <c r="F128" s="64">
        <f t="shared" si="40"/>
        <v>364</v>
      </c>
      <c r="G128" s="64">
        <f t="shared" si="41"/>
        <v>27842</v>
      </c>
      <c r="H128" s="64">
        <f t="shared" si="42"/>
        <v>406</v>
      </c>
      <c r="I128" s="64">
        <f t="shared" si="43"/>
        <v>732</v>
      </c>
      <c r="J128" s="64">
        <f t="shared" si="44"/>
        <v>9289</v>
      </c>
      <c r="K128" s="64">
        <f t="shared" si="45"/>
        <v>50</v>
      </c>
      <c r="L128" s="64">
        <f t="shared" si="46"/>
        <v>1715</v>
      </c>
      <c r="M128" s="64">
        <f t="shared" si="47"/>
        <v>1739</v>
      </c>
      <c r="N128" s="64">
        <f t="shared" si="48"/>
        <v>1656</v>
      </c>
      <c r="O128" s="64">
        <f t="shared" si="49"/>
        <v>2409</v>
      </c>
      <c r="P128" s="64">
        <f t="shared" si="50"/>
        <v>1652</v>
      </c>
      <c r="Q128" s="64">
        <f t="shared" si="51"/>
        <v>1686</v>
      </c>
      <c r="R128" s="2"/>
    </row>
    <row r="129" spans="1:18">
      <c r="A129" s="1356">
        <v>565000</v>
      </c>
      <c r="B129" s="1522" t="s">
        <v>2942</v>
      </c>
      <c r="C129" s="1356" t="s">
        <v>1175</v>
      </c>
      <c r="D129" s="19">
        <f t="shared" si="39"/>
        <v>565</v>
      </c>
      <c r="E129" s="10">
        <f t="shared" si="32"/>
        <v>12940025</v>
      </c>
      <c r="F129" s="64">
        <f t="shared" si="40"/>
        <v>1378624</v>
      </c>
      <c r="G129" s="64">
        <f t="shared" si="41"/>
        <v>1410810</v>
      </c>
      <c r="H129" s="64">
        <f t="shared" si="42"/>
        <v>1203370</v>
      </c>
      <c r="I129" s="64">
        <f t="shared" si="43"/>
        <v>555301</v>
      </c>
      <c r="J129" s="64">
        <f t="shared" si="44"/>
        <v>1231399</v>
      </c>
      <c r="K129" s="64">
        <f t="shared" si="45"/>
        <v>1222093</v>
      </c>
      <c r="L129" s="64">
        <f t="shared" si="46"/>
        <v>989738</v>
      </c>
      <c r="M129" s="64">
        <f t="shared" si="47"/>
        <v>989738</v>
      </c>
      <c r="N129" s="64">
        <f t="shared" si="48"/>
        <v>989738</v>
      </c>
      <c r="O129" s="64">
        <f t="shared" si="49"/>
        <v>989738</v>
      </c>
      <c r="P129" s="64">
        <f t="shared" si="50"/>
        <v>989738</v>
      </c>
      <c r="Q129" s="64">
        <f t="shared" si="51"/>
        <v>989738</v>
      </c>
      <c r="R129" s="2"/>
    </row>
    <row r="130" spans="1:18">
      <c r="A130" s="1356">
        <v>566000</v>
      </c>
      <c r="B130" s="1522" t="s">
        <v>2087</v>
      </c>
      <c r="C130" s="1356" t="s">
        <v>1175</v>
      </c>
      <c r="D130" s="19">
        <f t="shared" si="39"/>
        <v>566</v>
      </c>
      <c r="E130" s="10">
        <f t="shared" si="32"/>
        <v>378793</v>
      </c>
      <c r="F130" s="64">
        <f t="shared" si="40"/>
        <v>17970</v>
      </c>
      <c r="G130" s="64">
        <f t="shared" si="41"/>
        <v>14313</v>
      </c>
      <c r="H130" s="64">
        <f t="shared" si="42"/>
        <v>73359</v>
      </c>
      <c r="I130" s="64">
        <f t="shared" si="43"/>
        <v>16865</v>
      </c>
      <c r="J130" s="64">
        <f t="shared" si="44"/>
        <v>81773</v>
      </c>
      <c r="K130" s="64">
        <f t="shared" si="45"/>
        <v>13736</v>
      </c>
      <c r="L130" s="64">
        <f t="shared" si="46"/>
        <v>9957</v>
      </c>
      <c r="M130" s="64">
        <f t="shared" si="47"/>
        <v>66864</v>
      </c>
      <c r="N130" s="64">
        <f t="shared" si="48"/>
        <v>6127</v>
      </c>
      <c r="O130" s="64">
        <f t="shared" si="49"/>
        <v>6067</v>
      </c>
      <c r="P130" s="64">
        <f t="shared" si="50"/>
        <v>66505</v>
      </c>
      <c r="Q130" s="64">
        <f t="shared" si="51"/>
        <v>5257</v>
      </c>
      <c r="R130" s="2"/>
    </row>
    <row r="131" spans="1:18">
      <c r="A131" s="1356">
        <v>566100</v>
      </c>
      <c r="B131" s="1522" t="s">
        <v>2088</v>
      </c>
      <c r="C131" s="1356" t="s">
        <v>1175</v>
      </c>
      <c r="D131" s="19">
        <f t="shared" si="39"/>
        <v>566</v>
      </c>
      <c r="E131" s="10">
        <f t="shared" si="32"/>
        <v>589</v>
      </c>
      <c r="F131" s="64">
        <f t="shared" si="40"/>
        <v>260</v>
      </c>
      <c r="G131" s="64">
        <f t="shared" si="41"/>
        <v>83</v>
      </c>
      <c r="H131" s="64">
        <f t="shared" si="42"/>
        <v>60</v>
      </c>
      <c r="I131" s="64">
        <f t="shared" si="43"/>
        <v>113</v>
      </c>
      <c r="J131" s="64">
        <f t="shared" si="44"/>
        <v>37</v>
      </c>
      <c r="K131" s="64">
        <f t="shared" si="45"/>
        <v>36</v>
      </c>
      <c r="L131" s="64">
        <f t="shared" si="46"/>
        <v>0</v>
      </c>
      <c r="M131" s="64">
        <f t="shared" si="47"/>
        <v>0</v>
      </c>
      <c r="N131" s="64">
        <f t="shared" si="48"/>
        <v>0</v>
      </c>
      <c r="O131" s="64">
        <f t="shared" si="49"/>
        <v>0</v>
      </c>
      <c r="P131" s="64">
        <f t="shared" si="50"/>
        <v>0</v>
      </c>
      <c r="Q131" s="64">
        <f t="shared" si="51"/>
        <v>0</v>
      </c>
      <c r="R131" s="2"/>
    </row>
    <row r="132" spans="1:18">
      <c r="A132" s="1356">
        <v>567000</v>
      </c>
      <c r="B132" s="1522" t="s">
        <v>2089</v>
      </c>
      <c r="C132" s="1356" t="s">
        <v>1175</v>
      </c>
      <c r="D132" s="19">
        <f t="shared" si="39"/>
        <v>567</v>
      </c>
      <c r="E132" s="10">
        <f t="shared" si="32"/>
        <v>0</v>
      </c>
      <c r="F132" s="64">
        <f t="shared" si="40"/>
        <v>0</v>
      </c>
      <c r="G132" s="64">
        <f t="shared" si="41"/>
        <v>0</v>
      </c>
      <c r="H132" s="64">
        <f t="shared" si="42"/>
        <v>0</v>
      </c>
      <c r="I132" s="64">
        <f t="shared" si="43"/>
        <v>0</v>
      </c>
      <c r="J132" s="64">
        <f t="shared" si="44"/>
        <v>0</v>
      </c>
      <c r="K132" s="64">
        <f t="shared" si="45"/>
        <v>0</v>
      </c>
      <c r="L132" s="64">
        <f t="shared" si="46"/>
        <v>0</v>
      </c>
      <c r="M132" s="64">
        <f t="shared" si="47"/>
        <v>0</v>
      </c>
      <c r="N132" s="64">
        <f t="shared" si="48"/>
        <v>0</v>
      </c>
      <c r="O132" s="64">
        <f t="shared" si="49"/>
        <v>0</v>
      </c>
      <c r="P132" s="64">
        <f t="shared" si="50"/>
        <v>0</v>
      </c>
      <c r="Q132" s="64">
        <f t="shared" si="51"/>
        <v>0</v>
      </c>
      <c r="R132" s="2"/>
    </row>
    <row r="133" spans="1:18">
      <c r="A133" s="1356">
        <v>569000</v>
      </c>
      <c r="B133" s="1522" t="s">
        <v>2943</v>
      </c>
      <c r="C133" s="1356" t="s">
        <v>1182</v>
      </c>
      <c r="D133" s="19">
        <f t="shared" si="39"/>
        <v>569</v>
      </c>
      <c r="E133" s="10">
        <f t="shared" si="32"/>
        <v>2032</v>
      </c>
      <c r="F133" s="64">
        <f t="shared" si="40"/>
        <v>404</v>
      </c>
      <c r="G133" s="64">
        <f t="shared" si="41"/>
        <v>65</v>
      </c>
      <c r="H133" s="64">
        <f t="shared" si="42"/>
        <v>552</v>
      </c>
      <c r="I133" s="64">
        <f t="shared" si="43"/>
        <v>641</v>
      </c>
      <c r="J133" s="64">
        <f t="shared" si="44"/>
        <v>1160</v>
      </c>
      <c r="K133" s="64">
        <f t="shared" si="45"/>
        <v>-790</v>
      </c>
      <c r="L133" s="64">
        <f t="shared" si="46"/>
        <v>0</v>
      </c>
      <c r="M133" s="64">
        <f t="shared" si="47"/>
        <v>0</v>
      </c>
      <c r="N133" s="64">
        <f t="shared" si="48"/>
        <v>0</v>
      </c>
      <c r="O133" s="64">
        <f t="shared" si="49"/>
        <v>0</v>
      </c>
      <c r="P133" s="64">
        <f t="shared" si="50"/>
        <v>0</v>
      </c>
      <c r="Q133" s="64">
        <f t="shared" si="51"/>
        <v>0</v>
      </c>
      <c r="R133" s="2"/>
    </row>
    <row r="134" spans="1:18">
      <c r="A134" s="1356">
        <v>569100</v>
      </c>
      <c r="B134" s="1522" t="s">
        <v>2091</v>
      </c>
      <c r="C134" s="1356" t="s">
        <v>1182</v>
      </c>
      <c r="D134" s="19">
        <f t="shared" si="39"/>
        <v>569</v>
      </c>
      <c r="E134" s="10">
        <f t="shared" si="32"/>
        <v>183</v>
      </c>
      <c r="F134" s="64">
        <f t="shared" ref="F134:F165" si="52">IF(ISNA(VLOOKUP(A134,BPActual,3,FALSE)=TRUE),0,VLOOKUP(A134,BPActual,3,FALSE))</f>
        <v>71</v>
      </c>
      <c r="G134" s="64">
        <f t="shared" ref="G134:G165" si="53">IF(ISNA(VLOOKUP(A134,BPActual,4,FALSE)=TRUE),0,VLOOKUP(A134,BPActual,4,FALSE))</f>
        <v>0</v>
      </c>
      <c r="H134" s="64">
        <f t="shared" ref="H134:H165" si="54">IF(ISNA(VLOOKUP(A134,BPActual,5,FALSE)=TRUE),0,VLOOKUP(A134,BPActual,5,FALSE))</f>
        <v>89</v>
      </c>
      <c r="I134" s="64">
        <f t="shared" ref="I134:I165" si="55">IF(ISNA(VLOOKUP(A134,BPActual,6,FALSE)=TRUE),0,VLOOKUP(A134,BPActual,6,FALSE))</f>
        <v>23</v>
      </c>
      <c r="J134" s="64">
        <f t="shared" ref="J134:J165" si="56">IF(ISNA(VLOOKUP(A134,BPActual,7,FALSE)=TRUE),0,VLOOKUP(A134,BPActual,7,FALSE))</f>
        <v>0</v>
      </c>
      <c r="K134" s="64">
        <f t="shared" ref="K134:K165" si="57">IF(ISNA(VLOOKUP(A134,BPActual,8,FALSE)=TRUE),0,VLOOKUP(A134,BPActual,8,FALSE))</f>
        <v>0</v>
      </c>
      <c r="L134" s="64">
        <f t="shared" si="46"/>
        <v>0</v>
      </c>
      <c r="M134" s="64">
        <f t="shared" si="47"/>
        <v>0</v>
      </c>
      <c r="N134" s="64">
        <f t="shared" si="48"/>
        <v>0</v>
      </c>
      <c r="O134" s="64">
        <f t="shared" si="49"/>
        <v>0</v>
      </c>
      <c r="P134" s="64">
        <f t="shared" si="50"/>
        <v>0</v>
      </c>
      <c r="Q134" s="64">
        <f t="shared" si="51"/>
        <v>0</v>
      </c>
      <c r="R134" s="2"/>
    </row>
    <row r="135" spans="1:18">
      <c r="A135" s="1356">
        <v>569200</v>
      </c>
      <c r="B135" s="1522" t="s">
        <v>2944</v>
      </c>
      <c r="C135" s="1356" t="s">
        <v>1182</v>
      </c>
      <c r="D135" s="19">
        <f t="shared" si="39"/>
        <v>569</v>
      </c>
      <c r="E135" s="10">
        <f t="shared" si="32"/>
        <v>135726</v>
      </c>
      <c r="F135" s="64">
        <f t="shared" si="52"/>
        <v>8523</v>
      </c>
      <c r="G135" s="64">
        <f t="shared" si="53"/>
        <v>9869</v>
      </c>
      <c r="H135" s="64">
        <f t="shared" si="54"/>
        <v>6901</v>
      </c>
      <c r="I135" s="64">
        <f t="shared" si="55"/>
        <v>12961</v>
      </c>
      <c r="J135" s="64">
        <f t="shared" si="56"/>
        <v>7920</v>
      </c>
      <c r="K135" s="64">
        <f t="shared" si="57"/>
        <v>5434</v>
      </c>
      <c r="L135" s="64">
        <f t="shared" si="46"/>
        <v>13843</v>
      </c>
      <c r="M135" s="64">
        <f t="shared" si="47"/>
        <v>14972</v>
      </c>
      <c r="N135" s="64">
        <f t="shared" si="48"/>
        <v>14225</v>
      </c>
      <c r="O135" s="64">
        <f t="shared" si="49"/>
        <v>12490</v>
      </c>
      <c r="P135" s="64">
        <f t="shared" si="50"/>
        <v>16402</v>
      </c>
      <c r="Q135" s="64">
        <f t="shared" si="51"/>
        <v>12186</v>
      </c>
      <c r="R135" s="2"/>
    </row>
    <row r="136" spans="1:18">
      <c r="A136" s="1356">
        <v>570100</v>
      </c>
      <c r="B136" s="1522" t="s">
        <v>2093</v>
      </c>
      <c r="C136" s="1356" t="s">
        <v>1182</v>
      </c>
      <c r="D136" s="19">
        <f t="shared" si="39"/>
        <v>570</v>
      </c>
      <c r="E136" s="10">
        <f t="shared" si="32"/>
        <v>123479</v>
      </c>
      <c r="F136" s="64">
        <f t="shared" si="52"/>
        <v>-4600</v>
      </c>
      <c r="G136" s="64">
        <f t="shared" si="53"/>
        <v>5786</v>
      </c>
      <c r="H136" s="64">
        <f t="shared" si="54"/>
        <v>9852</v>
      </c>
      <c r="I136" s="64">
        <f t="shared" si="55"/>
        <v>40202</v>
      </c>
      <c r="J136" s="64">
        <f t="shared" si="56"/>
        <v>20920</v>
      </c>
      <c r="K136" s="64">
        <f t="shared" si="57"/>
        <v>14311</v>
      </c>
      <c r="L136" s="64">
        <f t="shared" si="46"/>
        <v>6140</v>
      </c>
      <c r="M136" s="64">
        <f t="shared" si="47"/>
        <v>6220</v>
      </c>
      <c r="N136" s="64">
        <f t="shared" si="48"/>
        <v>5951</v>
      </c>
      <c r="O136" s="64">
        <f t="shared" si="49"/>
        <v>6713</v>
      </c>
      <c r="P136" s="64">
        <f t="shared" si="50"/>
        <v>5938</v>
      </c>
      <c r="Q136" s="64">
        <f t="shared" si="51"/>
        <v>6046</v>
      </c>
      <c r="R136" s="2"/>
    </row>
    <row r="137" spans="1:18">
      <c r="A137" s="1356">
        <v>570200</v>
      </c>
      <c r="B137" s="1522" t="s">
        <v>2094</v>
      </c>
      <c r="C137" s="1356" t="s">
        <v>1182</v>
      </c>
      <c r="D137" s="19">
        <f t="shared" si="39"/>
        <v>570</v>
      </c>
      <c r="E137" s="10">
        <f t="shared" si="32"/>
        <v>124323</v>
      </c>
      <c r="F137" s="64">
        <f t="shared" si="52"/>
        <v>0</v>
      </c>
      <c r="G137" s="64">
        <f t="shared" si="53"/>
        <v>0</v>
      </c>
      <c r="H137" s="64">
        <f t="shared" si="54"/>
        <v>6667</v>
      </c>
      <c r="I137" s="64">
        <f t="shared" si="55"/>
        <v>2333</v>
      </c>
      <c r="J137" s="64">
        <f t="shared" si="56"/>
        <v>7457</v>
      </c>
      <c r="K137" s="64">
        <f t="shared" si="57"/>
        <v>8709</v>
      </c>
      <c r="L137" s="64">
        <f t="shared" si="46"/>
        <v>16896</v>
      </c>
      <c r="M137" s="64">
        <f t="shared" si="47"/>
        <v>17132</v>
      </c>
      <c r="N137" s="64">
        <f t="shared" si="48"/>
        <v>16342</v>
      </c>
      <c r="O137" s="64">
        <f t="shared" si="49"/>
        <v>15861</v>
      </c>
      <c r="P137" s="64">
        <f t="shared" si="50"/>
        <v>16305</v>
      </c>
      <c r="Q137" s="64">
        <f t="shared" si="51"/>
        <v>16621</v>
      </c>
      <c r="R137" s="2"/>
    </row>
    <row r="138" spans="1:18">
      <c r="A138" s="1356">
        <v>571000</v>
      </c>
      <c r="B138" s="1522" t="s">
        <v>2945</v>
      </c>
      <c r="C138" s="1356" t="s">
        <v>1182</v>
      </c>
      <c r="D138" s="19">
        <f t="shared" si="39"/>
        <v>571</v>
      </c>
      <c r="E138" s="10">
        <f t="shared" si="32"/>
        <v>299537</v>
      </c>
      <c r="F138" s="64">
        <f t="shared" si="52"/>
        <v>26170</v>
      </c>
      <c r="G138" s="64">
        <f t="shared" si="53"/>
        <v>-9309</v>
      </c>
      <c r="H138" s="64">
        <f t="shared" si="54"/>
        <v>13888</v>
      </c>
      <c r="I138" s="64">
        <f t="shared" si="55"/>
        <v>30274</v>
      </c>
      <c r="J138" s="64">
        <f t="shared" si="56"/>
        <v>5874</v>
      </c>
      <c r="K138" s="64">
        <f t="shared" si="57"/>
        <v>54577</v>
      </c>
      <c r="L138" s="64">
        <f t="shared" si="46"/>
        <v>28423</v>
      </c>
      <c r="M138" s="64">
        <f t="shared" si="47"/>
        <v>28924</v>
      </c>
      <c r="N138" s="64">
        <f t="shared" si="48"/>
        <v>29836</v>
      </c>
      <c r="O138" s="64">
        <f t="shared" si="49"/>
        <v>35188</v>
      </c>
      <c r="P138" s="64">
        <f t="shared" si="50"/>
        <v>28747</v>
      </c>
      <c r="Q138" s="64">
        <f t="shared" si="51"/>
        <v>26945</v>
      </c>
      <c r="R138" s="2"/>
    </row>
    <row r="139" spans="1:18">
      <c r="A139" s="1356">
        <v>575700</v>
      </c>
      <c r="B139" s="1522" t="s">
        <v>2096</v>
      </c>
      <c r="C139" s="1356" t="s">
        <v>2173</v>
      </c>
      <c r="D139" s="19">
        <f t="shared" si="39"/>
        <v>575</v>
      </c>
      <c r="E139" s="10">
        <f t="shared" ref="E139:E202" si="58">SUM(F139:Q139)</f>
        <v>1637210</v>
      </c>
      <c r="F139" s="64">
        <f t="shared" si="52"/>
        <v>162974</v>
      </c>
      <c r="G139" s="64">
        <f t="shared" si="53"/>
        <v>166543</v>
      </c>
      <c r="H139" s="64">
        <f t="shared" si="54"/>
        <v>139692</v>
      </c>
      <c r="I139" s="64">
        <f t="shared" si="55"/>
        <v>161428</v>
      </c>
      <c r="J139" s="64">
        <f t="shared" si="56"/>
        <v>142700</v>
      </c>
      <c r="K139" s="64">
        <f t="shared" si="57"/>
        <v>32267</v>
      </c>
      <c r="L139" s="64">
        <f t="shared" si="46"/>
        <v>138601</v>
      </c>
      <c r="M139" s="64">
        <f t="shared" si="47"/>
        <v>138601</v>
      </c>
      <c r="N139" s="64">
        <f t="shared" si="48"/>
        <v>138601</v>
      </c>
      <c r="O139" s="64">
        <f t="shared" si="49"/>
        <v>138601</v>
      </c>
      <c r="P139" s="64">
        <f t="shared" si="50"/>
        <v>138601</v>
      </c>
      <c r="Q139" s="64">
        <f t="shared" si="51"/>
        <v>138601</v>
      </c>
      <c r="R139" s="2"/>
    </row>
    <row r="140" spans="1:18">
      <c r="A140" s="1356">
        <v>580000</v>
      </c>
      <c r="B140" s="1522" t="s">
        <v>2097</v>
      </c>
      <c r="C140" s="1356" t="s">
        <v>1177</v>
      </c>
      <c r="D140" s="19">
        <f t="shared" si="39"/>
        <v>580</v>
      </c>
      <c r="E140" s="10">
        <f t="shared" si="58"/>
        <v>192430</v>
      </c>
      <c r="F140" s="64">
        <f t="shared" si="52"/>
        <v>5448</v>
      </c>
      <c r="G140" s="64">
        <f t="shared" si="53"/>
        <v>3077</v>
      </c>
      <c r="H140" s="64">
        <f t="shared" si="54"/>
        <v>3483</v>
      </c>
      <c r="I140" s="64">
        <f t="shared" si="55"/>
        <v>7342</v>
      </c>
      <c r="J140" s="64">
        <f t="shared" si="56"/>
        <v>4132</v>
      </c>
      <c r="K140" s="64">
        <f t="shared" si="57"/>
        <v>3616</v>
      </c>
      <c r="L140" s="64">
        <f t="shared" si="46"/>
        <v>30512</v>
      </c>
      <c r="M140" s="64">
        <f t="shared" si="47"/>
        <v>40046</v>
      </c>
      <c r="N140" s="64">
        <f t="shared" si="48"/>
        <v>24269</v>
      </c>
      <c r="O140" s="64">
        <f t="shared" si="49"/>
        <v>41541</v>
      </c>
      <c r="P140" s="64">
        <f t="shared" si="50"/>
        <v>16490</v>
      </c>
      <c r="Q140" s="64">
        <f t="shared" si="51"/>
        <v>12474</v>
      </c>
      <c r="R140" s="2"/>
    </row>
    <row r="141" spans="1:18">
      <c r="A141" s="1356">
        <v>581004</v>
      </c>
      <c r="B141" s="1522" t="s">
        <v>2098</v>
      </c>
      <c r="C141" s="1356" t="s">
        <v>1177</v>
      </c>
      <c r="D141" s="19">
        <f t="shared" si="39"/>
        <v>581</v>
      </c>
      <c r="E141" s="10">
        <f t="shared" si="58"/>
        <v>427471</v>
      </c>
      <c r="F141" s="64">
        <f t="shared" si="52"/>
        <v>28916</v>
      </c>
      <c r="G141" s="64">
        <f t="shared" si="53"/>
        <v>34357</v>
      </c>
      <c r="H141" s="64">
        <f t="shared" si="54"/>
        <v>32154</v>
      </c>
      <c r="I141" s="64">
        <f t="shared" si="55"/>
        <v>40547</v>
      </c>
      <c r="J141" s="64">
        <f t="shared" si="56"/>
        <v>32013</v>
      </c>
      <c r="K141" s="64">
        <f t="shared" si="57"/>
        <v>32253</v>
      </c>
      <c r="L141" s="64">
        <f t="shared" ref="L141:L172" si="59">IF(ISNA(VLOOKUP(A141,BPActual,9,FALSE)=TRUE),0,VLOOKUP(A141,BPActual,9,FALSE))</f>
        <v>37523</v>
      </c>
      <c r="M141" s="64">
        <f t="shared" ref="M141:M172" si="60">IF(ISNA(VLOOKUP(A141,BPActual,10,FALSE)=TRUE),0,VLOOKUP(A141,BPActual,10,FALSE))</f>
        <v>37819</v>
      </c>
      <c r="N141" s="64">
        <f t="shared" ref="N141:N172" si="61">IF(ISNA(VLOOKUP(A141,BPActual,11,FALSE)=TRUE),0,VLOOKUP(A141,BPActual,11,FALSE))</f>
        <v>37516</v>
      </c>
      <c r="O141" s="64">
        <f t="shared" ref="O141:O172" si="62">IF(ISNA(VLOOKUP(A141,BPActual,12,FALSE)=TRUE),0,VLOOKUP(A141,BPActual,12,FALSE))</f>
        <v>37621</v>
      </c>
      <c r="P141" s="64">
        <f t="shared" ref="P141:P172" si="63">IF(ISNA(VLOOKUP(A141,BPActual,13,FALSE)=TRUE),0,VLOOKUP(A141,BPActual,13,FALSE))</f>
        <v>38653</v>
      </c>
      <c r="Q141" s="64">
        <f t="shared" ref="Q141:Q172" si="64">IF(ISNA(VLOOKUP(A141,BPActual,14,FALSE)=TRUE),0,VLOOKUP(A141,BPActual,14,FALSE))</f>
        <v>38099</v>
      </c>
      <c r="R141" s="2"/>
    </row>
    <row r="142" spans="1:18">
      <c r="A142" s="1356">
        <v>582100</v>
      </c>
      <c r="B142" s="1522" t="s">
        <v>2099</v>
      </c>
      <c r="C142" s="1356" t="s">
        <v>1177</v>
      </c>
      <c r="D142" s="19">
        <f t="shared" si="39"/>
        <v>582</v>
      </c>
      <c r="E142" s="10">
        <f t="shared" si="58"/>
        <v>156850</v>
      </c>
      <c r="F142" s="64">
        <f t="shared" si="52"/>
        <v>7535</v>
      </c>
      <c r="G142" s="64">
        <f t="shared" si="53"/>
        <v>20491</v>
      </c>
      <c r="H142" s="64">
        <f t="shared" si="54"/>
        <v>16776</v>
      </c>
      <c r="I142" s="64">
        <f t="shared" si="55"/>
        <v>20273</v>
      </c>
      <c r="J142" s="64">
        <f t="shared" si="56"/>
        <v>17862</v>
      </c>
      <c r="K142" s="64">
        <f t="shared" si="57"/>
        <v>20178</v>
      </c>
      <c r="L142" s="64">
        <f t="shared" si="59"/>
        <v>9151</v>
      </c>
      <c r="M142" s="64">
        <f t="shared" si="60"/>
        <v>9275</v>
      </c>
      <c r="N142" s="64">
        <f t="shared" si="61"/>
        <v>8859</v>
      </c>
      <c r="O142" s="64">
        <f t="shared" si="62"/>
        <v>8605</v>
      </c>
      <c r="P142" s="64">
        <f t="shared" si="63"/>
        <v>8839</v>
      </c>
      <c r="Q142" s="64">
        <f t="shared" si="64"/>
        <v>9006</v>
      </c>
      <c r="R142" s="2"/>
    </row>
    <row r="143" spans="1:18">
      <c r="A143" s="1356">
        <v>583100</v>
      </c>
      <c r="B143" s="1522" t="s">
        <v>2100</v>
      </c>
      <c r="C143" s="1356" t="s">
        <v>1177</v>
      </c>
      <c r="D143" s="19">
        <f t="shared" si="39"/>
        <v>583</v>
      </c>
      <c r="E143" s="10">
        <f t="shared" si="58"/>
        <v>185512</v>
      </c>
      <c r="F143" s="64">
        <f t="shared" si="52"/>
        <v>-22821</v>
      </c>
      <c r="G143" s="64">
        <f t="shared" si="53"/>
        <v>8300</v>
      </c>
      <c r="H143" s="64">
        <f t="shared" si="54"/>
        <v>2721</v>
      </c>
      <c r="I143" s="64">
        <f t="shared" si="55"/>
        <v>-6214</v>
      </c>
      <c r="J143" s="64">
        <f t="shared" si="56"/>
        <v>3375</v>
      </c>
      <c r="K143" s="64">
        <f t="shared" si="57"/>
        <v>2143</v>
      </c>
      <c r="L143" s="64">
        <f t="shared" si="59"/>
        <v>55529</v>
      </c>
      <c r="M143" s="64">
        <f t="shared" si="60"/>
        <v>21357</v>
      </c>
      <c r="N143" s="64">
        <f t="shared" si="61"/>
        <v>20426</v>
      </c>
      <c r="O143" s="64">
        <f t="shared" si="62"/>
        <v>57595</v>
      </c>
      <c r="P143" s="64">
        <f t="shared" si="63"/>
        <v>20471</v>
      </c>
      <c r="Q143" s="64">
        <f t="shared" si="64"/>
        <v>22630</v>
      </c>
      <c r="R143" s="2"/>
    </row>
    <row r="144" spans="1:18">
      <c r="A144" s="1356">
        <v>583200</v>
      </c>
      <c r="B144" s="1522" t="s">
        <v>2101</v>
      </c>
      <c r="C144" s="1356" t="s">
        <v>1177</v>
      </c>
      <c r="D144" s="19">
        <f t="shared" si="39"/>
        <v>583</v>
      </c>
      <c r="E144" s="10">
        <f t="shared" si="58"/>
        <v>93910</v>
      </c>
      <c r="F144" s="64">
        <f t="shared" si="52"/>
        <v>10865</v>
      </c>
      <c r="G144" s="64">
        <f t="shared" si="53"/>
        <v>8212</v>
      </c>
      <c r="H144" s="64">
        <f t="shared" si="54"/>
        <v>8864</v>
      </c>
      <c r="I144" s="64">
        <f t="shared" si="55"/>
        <v>11067</v>
      </c>
      <c r="J144" s="64">
        <f t="shared" si="56"/>
        <v>6693</v>
      </c>
      <c r="K144" s="64">
        <f t="shared" si="57"/>
        <v>7528</v>
      </c>
      <c r="L144" s="64">
        <f t="shared" si="59"/>
        <v>6201</v>
      </c>
      <c r="M144" s="64">
        <f t="shared" si="60"/>
        <v>6201</v>
      </c>
      <c r="N144" s="64">
        <f t="shared" si="61"/>
        <v>6201</v>
      </c>
      <c r="O144" s="64">
        <f t="shared" si="62"/>
        <v>9302</v>
      </c>
      <c r="P144" s="64">
        <f t="shared" si="63"/>
        <v>6388</v>
      </c>
      <c r="Q144" s="64">
        <f t="shared" si="64"/>
        <v>6388</v>
      </c>
      <c r="R144" s="2"/>
    </row>
    <row r="145" spans="1:18">
      <c r="A145" s="1356">
        <v>584000</v>
      </c>
      <c r="B145" s="1522" t="s">
        <v>2102</v>
      </c>
      <c r="C145" s="1356" t="s">
        <v>1177</v>
      </c>
      <c r="D145" s="19">
        <f t="shared" si="39"/>
        <v>584</v>
      </c>
      <c r="E145" s="10">
        <f t="shared" si="58"/>
        <v>406624</v>
      </c>
      <c r="F145" s="64">
        <f t="shared" si="52"/>
        <v>22406</v>
      </c>
      <c r="G145" s="64">
        <f t="shared" si="53"/>
        <v>37990</v>
      </c>
      <c r="H145" s="64">
        <f t="shared" si="54"/>
        <v>31451</v>
      </c>
      <c r="I145" s="64">
        <f t="shared" si="55"/>
        <v>36860</v>
      </c>
      <c r="J145" s="64">
        <f t="shared" si="56"/>
        <v>55286</v>
      </c>
      <c r="K145" s="64">
        <f t="shared" si="57"/>
        <v>4848</v>
      </c>
      <c r="L145" s="64">
        <f t="shared" si="59"/>
        <v>39861</v>
      </c>
      <c r="M145" s="64">
        <f t="shared" si="60"/>
        <v>56350</v>
      </c>
      <c r="N145" s="64">
        <f t="shared" si="61"/>
        <v>29571</v>
      </c>
      <c r="O145" s="64">
        <f t="shared" si="62"/>
        <v>35495</v>
      </c>
      <c r="P145" s="64">
        <f t="shared" si="63"/>
        <v>28770</v>
      </c>
      <c r="Q145" s="64">
        <f t="shared" si="64"/>
        <v>27736</v>
      </c>
      <c r="R145" s="2"/>
    </row>
    <row r="146" spans="1:18">
      <c r="A146" s="1356">
        <v>586000</v>
      </c>
      <c r="B146" s="1522" t="s">
        <v>2103</v>
      </c>
      <c r="C146" s="1356" t="s">
        <v>1177</v>
      </c>
      <c r="D146" s="19">
        <f t="shared" si="39"/>
        <v>586</v>
      </c>
      <c r="E146" s="10">
        <f t="shared" si="58"/>
        <v>427539</v>
      </c>
      <c r="F146" s="64">
        <f t="shared" si="52"/>
        <v>73202</v>
      </c>
      <c r="G146" s="64">
        <f t="shared" si="53"/>
        <v>68930</v>
      </c>
      <c r="H146" s="64">
        <f t="shared" si="54"/>
        <v>61309</v>
      </c>
      <c r="I146" s="64">
        <f t="shared" si="55"/>
        <v>81633</v>
      </c>
      <c r="J146" s="64">
        <f t="shared" si="56"/>
        <v>57809</v>
      </c>
      <c r="K146" s="64">
        <f t="shared" si="57"/>
        <v>58189</v>
      </c>
      <c r="L146" s="64">
        <f t="shared" si="59"/>
        <v>2633</v>
      </c>
      <c r="M146" s="64">
        <f t="shared" si="60"/>
        <v>1860</v>
      </c>
      <c r="N146" s="64">
        <f t="shared" si="61"/>
        <v>5305</v>
      </c>
      <c r="O146" s="64">
        <f t="shared" si="62"/>
        <v>9143</v>
      </c>
      <c r="P146" s="64">
        <f t="shared" si="63"/>
        <v>5573</v>
      </c>
      <c r="Q146" s="64">
        <f t="shared" si="64"/>
        <v>1953</v>
      </c>
      <c r="R146" s="2"/>
    </row>
    <row r="147" spans="1:18">
      <c r="A147" s="1356">
        <v>587000</v>
      </c>
      <c r="B147" s="1522" t="s">
        <v>2104</v>
      </c>
      <c r="C147" s="1356" t="s">
        <v>1177</v>
      </c>
      <c r="D147" s="19">
        <f t="shared" si="39"/>
        <v>587</v>
      </c>
      <c r="E147" s="10">
        <f t="shared" si="58"/>
        <v>923352</v>
      </c>
      <c r="F147" s="64">
        <f t="shared" si="52"/>
        <v>85750</v>
      </c>
      <c r="G147" s="64">
        <f t="shared" si="53"/>
        <v>60557</v>
      </c>
      <c r="H147" s="64">
        <f t="shared" si="54"/>
        <v>46019</v>
      </c>
      <c r="I147" s="64">
        <f t="shared" si="55"/>
        <v>8338</v>
      </c>
      <c r="J147" s="64">
        <f t="shared" si="56"/>
        <v>32222</v>
      </c>
      <c r="K147" s="64">
        <f t="shared" si="57"/>
        <v>32224</v>
      </c>
      <c r="L147" s="64">
        <f t="shared" si="59"/>
        <v>95159</v>
      </c>
      <c r="M147" s="64">
        <f t="shared" si="60"/>
        <v>74419</v>
      </c>
      <c r="N147" s="64">
        <f t="shared" si="61"/>
        <v>83562</v>
      </c>
      <c r="O147" s="64">
        <f t="shared" si="62"/>
        <v>113510</v>
      </c>
      <c r="P147" s="64">
        <f t="shared" si="63"/>
        <v>157416</v>
      </c>
      <c r="Q147" s="64">
        <f t="shared" si="64"/>
        <v>134176</v>
      </c>
      <c r="R147" s="2"/>
    </row>
    <row r="148" spans="1:18">
      <c r="A148" s="1356">
        <v>588100</v>
      </c>
      <c r="B148" s="1522" t="s">
        <v>2105</v>
      </c>
      <c r="C148" s="1356" t="s">
        <v>1177</v>
      </c>
      <c r="D148" s="19">
        <f t="shared" si="39"/>
        <v>588</v>
      </c>
      <c r="E148" s="10">
        <f t="shared" si="58"/>
        <v>2887739</v>
      </c>
      <c r="F148" s="64">
        <f t="shared" si="52"/>
        <v>229803</v>
      </c>
      <c r="G148" s="64">
        <f t="shared" si="53"/>
        <v>136198</v>
      </c>
      <c r="H148" s="64">
        <f t="shared" si="54"/>
        <v>221862</v>
      </c>
      <c r="I148" s="64">
        <f t="shared" si="55"/>
        <v>222700</v>
      </c>
      <c r="J148" s="64">
        <f t="shared" si="56"/>
        <v>425622</v>
      </c>
      <c r="K148" s="64">
        <f t="shared" si="57"/>
        <v>149967</v>
      </c>
      <c r="L148" s="64">
        <f t="shared" si="59"/>
        <v>285046</v>
      </c>
      <c r="M148" s="64">
        <f t="shared" si="60"/>
        <v>232777</v>
      </c>
      <c r="N148" s="64">
        <f t="shared" si="61"/>
        <v>172491</v>
      </c>
      <c r="O148" s="64">
        <f t="shared" si="62"/>
        <v>256674</v>
      </c>
      <c r="P148" s="64">
        <f t="shared" si="63"/>
        <v>351507</v>
      </c>
      <c r="Q148" s="64">
        <f t="shared" si="64"/>
        <v>203092</v>
      </c>
      <c r="R148" s="2"/>
    </row>
    <row r="149" spans="1:18">
      <c r="A149" s="1356">
        <v>589000</v>
      </c>
      <c r="B149" s="1522" t="s">
        <v>2106</v>
      </c>
      <c r="C149" s="1356" t="s">
        <v>1177</v>
      </c>
      <c r="D149" s="19">
        <f t="shared" si="39"/>
        <v>589</v>
      </c>
      <c r="E149" s="10">
        <f t="shared" si="58"/>
        <v>31480</v>
      </c>
      <c r="F149" s="64">
        <f t="shared" si="52"/>
        <v>8450</v>
      </c>
      <c r="G149" s="64">
        <f t="shared" si="53"/>
        <v>3370</v>
      </c>
      <c r="H149" s="64">
        <f t="shared" si="54"/>
        <v>13192</v>
      </c>
      <c r="I149" s="64">
        <f t="shared" si="55"/>
        <v>-23685</v>
      </c>
      <c r="J149" s="64">
        <f t="shared" si="56"/>
        <v>4991</v>
      </c>
      <c r="K149" s="64">
        <f t="shared" si="57"/>
        <v>6573</v>
      </c>
      <c r="L149" s="64">
        <f t="shared" si="59"/>
        <v>0</v>
      </c>
      <c r="M149" s="64">
        <f t="shared" si="60"/>
        <v>0</v>
      </c>
      <c r="N149" s="64">
        <f t="shared" si="61"/>
        <v>480</v>
      </c>
      <c r="O149" s="64">
        <f t="shared" si="62"/>
        <v>13920</v>
      </c>
      <c r="P149" s="64">
        <f t="shared" si="63"/>
        <v>666</v>
      </c>
      <c r="Q149" s="64">
        <f t="shared" si="64"/>
        <v>3523</v>
      </c>
      <c r="R149" s="2"/>
    </row>
    <row r="150" spans="1:18">
      <c r="A150" s="1356">
        <v>591000</v>
      </c>
      <c r="B150" s="1522" t="s">
        <v>2946</v>
      </c>
      <c r="C150" s="1356" t="s">
        <v>1183</v>
      </c>
      <c r="D150" s="19">
        <f t="shared" si="39"/>
        <v>591</v>
      </c>
      <c r="E150" s="10">
        <f t="shared" si="58"/>
        <v>608</v>
      </c>
      <c r="F150" s="64">
        <f t="shared" si="52"/>
        <v>466</v>
      </c>
      <c r="G150" s="64">
        <f t="shared" si="53"/>
        <v>0</v>
      </c>
      <c r="H150" s="64">
        <f t="shared" si="54"/>
        <v>0</v>
      </c>
      <c r="I150" s="64">
        <f t="shared" si="55"/>
        <v>142</v>
      </c>
      <c r="J150" s="64">
        <f t="shared" si="56"/>
        <v>0</v>
      </c>
      <c r="K150" s="64">
        <f t="shared" si="57"/>
        <v>0</v>
      </c>
      <c r="L150" s="64">
        <f t="shared" si="59"/>
        <v>0</v>
      </c>
      <c r="M150" s="64">
        <f t="shared" si="60"/>
        <v>0</v>
      </c>
      <c r="N150" s="64">
        <f t="shared" si="61"/>
        <v>0</v>
      </c>
      <c r="O150" s="64">
        <f t="shared" si="62"/>
        <v>0</v>
      </c>
      <c r="P150" s="64">
        <f t="shared" si="63"/>
        <v>0</v>
      </c>
      <c r="Q150" s="64">
        <f t="shared" si="64"/>
        <v>0</v>
      </c>
      <c r="R150" s="2"/>
    </row>
    <row r="151" spans="1:18">
      <c r="A151" s="1356">
        <v>592100</v>
      </c>
      <c r="B151" s="1522" t="s">
        <v>2108</v>
      </c>
      <c r="C151" s="1356" t="s">
        <v>1183</v>
      </c>
      <c r="D151" s="19">
        <f t="shared" si="39"/>
        <v>592</v>
      </c>
      <c r="E151" s="10">
        <f t="shared" si="58"/>
        <v>183655</v>
      </c>
      <c r="F151" s="64">
        <f t="shared" si="52"/>
        <v>14114</v>
      </c>
      <c r="G151" s="64">
        <f t="shared" si="53"/>
        <v>28402</v>
      </c>
      <c r="H151" s="64">
        <f t="shared" si="54"/>
        <v>15685</v>
      </c>
      <c r="I151" s="64">
        <f t="shared" si="55"/>
        <v>23778</v>
      </c>
      <c r="J151" s="64">
        <f t="shared" si="56"/>
        <v>20187</v>
      </c>
      <c r="K151" s="64">
        <f t="shared" si="57"/>
        <v>30645</v>
      </c>
      <c r="L151" s="64">
        <f t="shared" si="59"/>
        <v>8035</v>
      </c>
      <c r="M151" s="64">
        <f t="shared" si="60"/>
        <v>8151</v>
      </c>
      <c r="N151" s="64">
        <f t="shared" si="61"/>
        <v>7760</v>
      </c>
      <c r="O151" s="64">
        <f t="shared" si="62"/>
        <v>11260</v>
      </c>
      <c r="P151" s="64">
        <f t="shared" si="63"/>
        <v>7740</v>
      </c>
      <c r="Q151" s="64">
        <f t="shared" si="64"/>
        <v>7898</v>
      </c>
      <c r="R151" s="2"/>
    </row>
    <row r="152" spans="1:18">
      <c r="A152" s="1356">
        <v>592200</v>
      </c>
      <c r="B152" s="1522" t="s">
        <v>2423</v>
      </c>
      <c r="C152" s="1356" t="s">
        <v>1183</v>
      </c>
      <c r="D152" s="19">
        <f>VALUE(LEFT(A152,3))</f>
        <v>592</v>
      </c>
      <c r="E152" s="10">
        <f t="shared" si="58"/>
        <v>196871</v>
      </c>
      <c r="F152" s="64">
        <f t="shared" si="52"/>
        <v>0</v>
      </c>
      <c r="G152" s="64">
        <f t="shared" si="53"/>
        <v>0</v>
      </c>
      <c r="H152" s="64">
        <f t="shared" si="54"/>
        <v>0</v>
      </c>
      <c r="I152" s="64">
        <f t="shared" si="55"/>
        <v>8196</v>
      </c>
      <c r="J152" s="64">
        <f t="shared" si="56"/>
        <v>4333</v>
      </c>
      <c r="K152" s="64">
        <f t="shared" si="57"/>
        <v>4333</v>
      </c>
      <c r="L152" s="64">
        <f t="shared" si="59"/>
        <v>30623</v>
      </c>
      <c r="M152" s="64">
        <f t="shared" si="60"/>
        <v>31019</v>
      </c>
      <c r="N152" s="64">
        <f t="shared" si="61"/>
        <v>29693</v>
      </c>
      <c r="O152" s="64">
        <f t="shared" si="62"/>
        <v>28884</v>
      </c>
      <c r="P152" s="64">
        <f t="shared" si="63"/>
        <v>29630</v>
      </c>
      <c r="Q152" s="64">
        <f t="shared" si="64"/>
        <v>30160</v>
      </c>
      <c r="R152" s="2"/>
    </row>
    <row r="153" spans="1:18">
      <c r="A153" s="1356">
        <v>593000</v>
      </c>
      <c r="B153" s="1522" t="s">
        <v>2109</v>
      </c>
      <c r="C153" s="1356" t="s">
        <v>1183</v>
      </c>
      <c r="D153" s="19">
        <f t="shared" si="39"/>
        <v>593</v>
      </c>
      <c r="E153" s="10">
        <f t="shared" si="58"/>
        <v>6708909</v>
      </c>
      <c r="F153" s="64">
        <f t="shared" si="52"/>
        <v>455910</v>
      </c>
      <c r="G153" s="64">
        <f t="shared" si="53"/>
        <v>307484</v>
      </c>
      <c r="H153" s="64">
        <f t="shared" si="54"/>
        <v>247181</v>
      </c>
      <c r="I153" s="64">
        <f t="shared" si="55"/>
        <v>1747639</v>
      </c>
      <c r="J153" s="64">
        <f t="shared" si="56"/>
        <v>491939</v>
      </c>
      <c r="K153" s="64">
        <f t="shared" si="57"/>
        <v>790646</v>
      </c>
      <c r="L153" s="64">
        <f t="shared" si="59"/>
        <v>432589</v>
      </c>
      <c r="M153" s="64">
        <f t="shared" si="60"/>
        <v>535150</v>
      </c>
      <c r="N153" s="64">
        <f t="shared" si="61"/>
        <v>533226</v>
      </c>
      <c r="O153" s="64">
        <f t="shared" si="62"/>
        <v>487696</v>
      </c>
      <c r="P153" s="64">
        <f t="shared" si="63"/>
        <v>330075</v>
      </c>
      <c r="Q153" s="64">
        <f t="shared" si="64"/>
        <v>349374</v>
      </c>
      <c r="R153" s="2"/>
    </row>
    <row r="154" spans="1:18">
      <c r="A154" s="1356">
        <v>593100</v>
      </c>
      <c r="B154" s="1522" t="s">
        <v>2947</v>
      </c>
      <c r="C154" s="1356" t="s">
        <v>1183</v>
      </c>
      <c r="D154" s="19">
        <f t="shared" si="39"/>
        <v>593</v>
      </c>
      <c r="E154" s="10">
        <f t="shared" si="58"/>
        <v>13335</v>
      </c>
      <c r="F154" s="64">
        <f t="shared" si="52"/>
        <v>0</v>
      </c>
      <c r="G154" s="64">
        <f t="shared" si="53"/>
        <v>0</v>
      </c>
      <c r="H154" s="64">
        <f t="shared" si="54"/>
        <v>0</v>
      </c>
      <c r="I154" s="64">
        <f t="shared" si="55"/>
        <v>0</v>
      </c>
      <c r="J154" s="64">
        <f t="shared" si="56"/>
        <v>0</v>
      </c>
      <c r="K154" s="64">
        <f t="shared" si="57"/>
        <v>0</v>
      </c>
      <c r="L154" s="64">
        <f t="shared" si="59"/>
        <v>5080</v>
      </c>
      <c r="M154" s="64">
        <f t="shared" si="60"/>
        <v>2413</v>
      </c>
      <c r="N154" s="64">
        <f t="shared" si="61"/>
        <v>2413</v>
      </c>
      <c r="O154" s="64">
        <f t="shared" si="62"/>
        <v>1143</v>
      </c>
      <c r="P154" s="64">
        <f t="shared" si="63"/>
        <v>1143</v>
      </c>
      <c r="Q154" s="64">
        <f t="shared" si="64"/>
        <v>1143</v>
      </c>
      <c r="R154" s="2"/>
    </row>
    <row r="155" spans="1:18">
      <c r="A155" s="1356">
        <v>594000</v>
      </c>
      <c r="B155" s="1522" t="s">
        <v>2111</v>
      </c>
      <c r="C155" s="1356" t="s">
        <v>1183</v>
      </c>
      <c r="D155" s="19">
        <f t="shared" si="39"/>
        <v>594</v>
      </c>
      <c r="E155" s="10">
        <f t="shared" si="58"/>
        <v>368544</v>
      </c>
      <c r="F155" s="64">
        <f t="shared" si="52"/>
        <v>14430</v>
      </c>
      <c r="G155" s="64">
        <f t="shared" si="53"/>
        <v>17660</v>
      </c>
      <c r="H155" s="64">
        <f t="shared" si="54"/>
        <v>20898</v>
      </c>
      <c r="I155" s="64">
        <f t="shared" si="55"/>
        <v>15559</v>
      </c>
      <c r="J155" s="64">
        <f t="shared" si="56"/>
        <v>16278</v>
      </c>
      <c r="K155" s="64">
        <f t="shared" si="57"/>
        <v>42785</v>
      </c>
      <c r="L155" s="64">
        <f t="shared" si="59"/>
        <v>30756</v>
      </c>
      <c r="M155" s="64">
        <f t="shared" si="60"/>
        <v>45607</v>
      </c>
      <c r="N155" s="64">
        <f t="shared" si="61"/>
        <v>46271</v>
      </c>
      <c r="O155" s="64">
        <f t="shared" si="62"/>
        <v>41726</v>
      </c>
      <c r="P155" s="64">
        <f t="shared" si="63"/>
        <v>39075</v>
      </c>
      <c r="Q155" s="64">
        <f t="shared" si="64"/>
        <v>37499</v>
      </c>
      <c r="R155" s="2"/>
    </row>
    <row r="156" spans="1:18">
      <c r="A156" s="1356">
        <v>595100</v>
      </c>
      <c r="B156" s="1522" t="s">
        <v>2112</v>
      </c>
      <c r="C156" s="1356" t="s">
        <v>1183</v>
      </c>
      <c r="D156" s="19">
        <f t="shared" ref="D156:D218" si="65">VALUE(LEFT(A156,3))</f>
        <v>595</v>
      </c>
      <c r="E156" s="10">
        <f t="shared" si="58"/>
        <v>239724</v>
      </c>
      <c r="F156" s="64">
        <f t="shared" si="52"/>
        <v>106</v>
      </c>
      <c r="G156" s="64">
        <f t="shared" si="53"/>
        <v>778</v>
      </c>
      <c r="H156" s="64">
        <f t="shared" si="54"/>
        <v>1169</v>
      </c>
      <c r="I156" s="64">
        <f t="shared" si="55"/>
        <v>626</v>
      </c>
      <c r="J156" s="64">
        <f t="shared" si="56"/>
        <v>470</v>
      </c>
      <c r="K156" s="64">
        <f t="shared" si="57"/>
        <v>191336</v>
      </c>
      <c r="L156" s="64">
        <f t="shared" si="59"/>
        <v>6272</v>
      </c>
      <c r="M156" s="64">
        <f t="shared" si="60"/>
        <v>4499</v>
      </c>
      <c r="N156" s="64">
        <f t="shared" si="61"/>
        <v>5701</v>
      </c>
      <c r="O156" s="64">
        <f t="shared" si="62"/>
        <v>16286</v>
      </c>
      <c r="P156" s="64">
        <f t="shared" si="63"/>
        <v>6116</v>
      </c>
      <c r="Q156" s="64">
        <f t="shared" si="64"/>
        <v>6365</v>
      </c>
      <c r="R156" s="2"/>
    </row>
    <row r="157" spans="1:18">
      <c r="A157" s="1356">
        <v>596000</v>
      </c>
      <c r="B157" s="1522" t="s">
        <v>2113</v>
      </c>
      <c r="C157" s="1356" t="s">
        <v>1183</v>
      </c>
      <c r="D157" s="19">
        <f t="shared" si="65"/>
        <v>596</v>
      </c>
      <c r="E157" s="10">
        <f t="shared" si="58"/>
        <v>433205</v>
      </c>
      <c r="F157" s="64">
        <f t="shared" si="52"/>
        <v>69734</v>
      </c>
      <c r="G157" s="64">
        <f t="shared" si="53"/>
        <v>40106</v>
      </c>
      <c r="H157" s="64">
        <f t="shared" si="54"/>
        <v>31987</v>
      </c>
      <c r="I157" s="64">
        <f t="shared" si="55"/>
        <v>27763</v>
      </c>
      <c r="J157" s="64">
        <f t="shared" si="56"/>
        <v>29229</v>
      </c>
      <c r="K157" s="64">
        <f t="shared" si="57"/>
        <v>43473</v>
      </c>
      <c r="L157" s="64">
        <f t="shared" si="59"/>
        <v>19742</v>
      </c>
      <c r="M157" s="64">
        <f t="shared" si="60"/>
        <v>28736</v>
      </c>
      <c r="N157" s="64">
        <f t="shared" si="61"/>
        <v>21928</v>
      </c>
      <c r="O157" s="64">
        <f t="shared" si="62"/>
        <v>14504</v>
      </c>
      <c r="P157" s="64">
        <f t="shared" si="63"/>
        <v>32322</v>
      </c>
      <c r="Q157" s="64">
        <f t="shared" si="64"/>
        <v>73681</v>
      </c>
      <c r="R157" s="2"/>
    </row>
    <row r="158" spans="1:18">
      <c r="A158" s="1356">
        <v>597000</v>
      </c>
      <c r="B158" s="1522" t="s">
        <v>2948</v>
      </c>
      <c r="C158" s="1356" t="s">
        <v>1183</v>
      </c>
      <c r="D158" s="19">
        <f t="shared" si="65"/>
        <v>597</v>
      </c>
      <c r="E158" s="10">
        <f t="shared" si="58"/>
        <v>316205</v>
      </c>
      <c r="F158" s="64">
        <f t="shared" si="52"/>
        <v>25519</v>
      </c>
      <c r="G158" s="64">
        <f t="shared" si="53"/>
        <v>28348</v>
      </c>
      <c r="H158" s="64">
        <f t="shared" si="54"/>
        <v>21261</v>
      </c>
      <c r="I158" s="64">
        <f t="shared" si="55"/>
        <v>33155</v>
      </c>
      <c r="J158" s="64">
        <f t="shared" si="56"/>
        <v>25637</v>
      </c>
      <c r="K158" s="64">
        <f t="shared" si="57"/>
        <v>28314</v>
      </c>
      <c r="L158" s="64">
        <f t="shared" si="59"/>
        <v>24399</v>
      </c>
      <c r="M158" s="64">
        <f t="shared" si="60"/>
        <v>24399</v>
      </c>
      <c r="N158" s="64">
        <f t="shared" si="61"/>
        <v>24399</v>
      </c>
      <c r="O158" s="64">
        <f t="shared" si="62"/>
        <v>31976</v>
      </c>
      <c r="P158" s="64">
        <f t="shared" si="63"/>
        <v>24399</v>
      </c>
      <c r="Q158" s="64">
        <f t="shared" si="64"/>
        <v>24399</v>
      </c>
      <c r="R158" s="2"/>
    </row>
    <row r="159" spans="1:18">
      <c r="A159" s="1356">
        <v>901000</v>
      </c>
      <c r="B159" s="1522" t="s">
        <v>2115</v>
      </c>
      <c r="C159" s="1356" t="s">
        <v>2165</v>
      </c>
      <c r="D159" s="19">
        <f t="shared" si="65"/>
        <v>901</v>
      </c>
      <c r="E159" s="10">
        <f t="shared" si="58"/>
        <v>481439</v>
      </c>
      <c r="F159" s="64">
        <f t="shared" si="52"/>
        <v>18261</v>
      </c>
      <c r="G159" s="64">
        <f t="shared" si="53"/>
        <v>22044</v>
      </c>
      <c r="H159" s="64">
        <f t="shared" si="54"/>
        <v>18728</v>
      </c>
      <c r="I159" s="64">
        <f t="shared" si="55"/>
        <v>26180</v>
      </c>
      <c r="J159" s="64">
        <f t="shared" si="56"/>
        <v>23299</v>
      </c>
      <c r="K159" s="64">
        <f t="shared" si="57"/>
        <v>22578</v>
      </c>
      <c r="L159" s="64">
        <f t="shared" si="59"/>
        <v>57585</v>
      </c>
      <c r="M159" s="64">
        <f t="shared" si="60"/>
        <v>57588</v>
      </c>
      <c r="N159" s="64">
        <f t="shared" si="61"/>
        <v>57588</v>
      </c>
      <c r="O159" s="64">
        <f t="shared" si="62"/>
        <v>62413</v>
      </c>
      <c r="P159" s="64">
        <f t="shared" si="63"/>
        <v>57589</v>
      </c>
      <c r="Q159" s="64">
        <f t="shared" si="64"/>
        <v>57586</v>
      </c>
      <c r="R159" s="2"/>
    </row>
    <row r="160" spans="1:18">
      <c r="A160" s="1356">
        <v>902000</v>
      </c>
      <c r="B160" s="1522" t="s">
        <v>2116</v>
      </c>
      <c r="C160" s="1356" t="s">
        <v>2165</v>
      </c>
      <c r="D160" s="19">
        <f t="shared" si="65"/>
        <v>902</v>
      </c>
      <c r="E160" s="10">
        <f t="shared" si="58"/>
        <v>838339</v>
      </c>
      <c r="F160" s="64">
        <f t="shared" si="52"/>
        <v>65006</v>
      </c>
      <c r="G160" s="64">
        <f t="shared" si="53"/>
        <v>88441</v>
      </c>
      <c r="H160" s="64">
        <f t="shared" si="54"/>
        <v>61626</v>
      </c>
      <c r="I160" s="64">
        <f t="shared" si="55"/>
        <v>95860</v>
      </c>
      <c r="J160" s="64">
        <f t="shared" si="56"/>
        <v>70904</v>
      </c>
      <c r="K160" s="64">
        <f t="shared" si="57"/>
        <v>44737</v>
      </c>
      <c r="L160" s="64">
        <f t="shared" si="59"/>
        <v>65649</v>
      </c>
      <c r="M160" s="64">
        <f t="shared" si="60"/>
        <v>72688</v>
      </c>
      <c r="N160" s="64">
        <f t="shared" si="61"/>
        <v>72133</v>
      </c>
      <c r="O160" s="64">
        <f t="shared" si="62"/>
        <v>73871</v>
      </c>
      <c r="P160" s="64">
        <f t="shared" si="63"/>
        <v>62230</v>
      </c>
      <c r="Q160" s="64">
        <f t="shared" si="64"/>
        <v>65194</v>
      </c>
      <c r="R160" s="2"/>
    </row>
    <row r="161" spans="1:18">
      <c r="A161" s="1356">
        <v>903000</v>
      </c>
      <c r="B161" s="1522" t="s">
        <v>2117</v>
      </c>
      <c r="C161" s="1356" t="s">
        <v>2165</v>
      </c>
      <c r="D161" s="19">
        <f t="shared" si="65"/>
        <v>903</v>
      </c>
      <c r="E161" s="10">
        <f t="shared" si="58"/>
        <v>2504114</v>
      </c>
      <c r="F161" s="64">
        <f t="shared" si="52"/>
        <v>159586</v>
      </c>
      <c r="G161" s="64">
        <f t="shared" si="53"/>
        <v>290243</v>
      </c>
      <c r="H161" s="64">
        <f t="shared" si="54"/>
        <v>248045</v>
      </c>
      <c r="I161" s="64">
        <f t="shared" si="55"/>
        <v>338746</v>
      </c>
      <c r="J161" s="64">
        <f t="shared" si="56"/>
        <v>225033</v>
      </c>
      <c r="K161" s="64">
        <f t="shared" si="57"/>
        <v>273838</v>
      </c>
      <c r="L161" s="64">
        <f t="shared" si="59"/>
        <v>162945</v>
      </c>
      <c r="M161" s="64">
        <f t="shared" si="60"/>
        <v>126194</v>
      </c>
      <c r="N161" s="64">
        <f t="shared" si="61"/>
        <v>175978</v>
      </c>
      <c r="O161" s="64">
        <f t="shared" si="62"/>
        <v>151220</v>
      </c>
      <c r="P161" s="64">
        <f t="shared" si="63"/>
        <v>159721</v>
      </c>
      <c r="Q161" s="64">
        <f t="shared" si="64"/>
        <v>192565</v>
      </c>
      <c r="R161" s="2"/>
    </row>
    <row r="162" spans="1:18">
      <c r="A162" s="1356">
        <v>903100</v>
      </c>
      <c r="B162" s="1522" t="s">
        <v>2118</v>
      </c>
      <c r="C162" s="1356" t="s">
        <v>2165</v>
      </c>
      <c r="D162" s="19">
        <f t="shared" si="65"/>
        <v>903</v>
      </c>
      <c r="E162" s="10">
        <f t="shared" si="58"/>
        <v>397790</v>
      </c>
      <c r="F162" s="64">
        <f t="shared" si="52"/>
        <v>26921</v>
      </c>
      <c r="G162" s="64">
        <f t="shared" si="53"/>
        <v>22422</v>
      </c>
      <c r="H162" s="64">
        <f t="shared" si="54"/>
        <v>8014</v>
      </c>
      <c r="I162" s="64">
        <f t="shared" si="55"/>
        <v>19539</v>
      </c>
      <c r="J162" s="64">
        <f t="shared" si="56"/>
        <v>13570</v>
      </c>
      <c r="K162" s="64">
        <f t="shared" si="57"/>
        <v>16216</v>
      </c>
      <c r="L162" s="64">
        <f t="shared" si="59"/>
        <v>47801</v>
      </c>
      <c r="M162" s="64">
        <f t="shared" si="60"/>
        <v>48390</v>
      </c>
      <c r="N162" s="64">
        <f t="shared" si="61"/>
        <v>49675</v>
      </c>
      <c r="O162" s="64">
        <f t="shared" si="62"/>
        <v>50311</v>
      </c>
      <c r="P162" s="64">
        <f t="shared" si="63"/>
        <v>48465</v>
      </c>
      <c r="Q162" s="64">
        <f t="shared" si="64"/>
        <v>46466</v>
      </c>
      <c r="R162" s="2"/>
    </row>
    <row r="163" spans="1:18">
      <c r="A163" s="1356">
        <v>903200</v>
      </c>
      <c r="B163" s="1522" t="s">
        <v>2119</v>
      </c>
      <c r="C163" s="1356" t="s">
        <v>2165</v>
      </c>
      <c r="D163" s="19">
        <f t="shared" si="65"/>
        <v>903</v>
      </c>
      <c r="E163" s="10">
        <f t="shared" si="58"/>
        <v>1011093</v>
      </c>
      <c r="F163" s="64">
        <f t="shared" si="52"/>
        <v>73103</v>
      </c>
      <c r="G163" s="64">
        <f t="shared" si="53"/>
        <v>75475</v>
      </c>
      <c r="H163" s="64">
        <f t="shared" si="54"/>
        <v>193688</v>
      </c>
      <c r="I163" s="64">
        <f t="shared" si="55"/>
        <v>86893</v>
      </c>
      <c r="J163" s="64">
        <f t="shared" si="56"/>
        <v>72872</v>
      </c>
      <c r="K163" s="64">
        <f t="shared" si="57"/>
        <v>71275</v>
      </c>
      <c r="L163" s="64">
        <f t="shared" si="59"/>
        <v>70986</v>
      </c>
      <c r="M163" s="64">
        <f t="shared" si="60"/>
        <v>71544</v>
      </c>
      <c r="N163" s="64">
        <f t="shared" si="61"/>
        <v>72759</v>
      </c>
      <c r="O163" s="64">
        <f t="shared" si="62"/>
        <v>81291</v>
      </c>
      <c r="P163" s="64">
        <f t="shared" si="63"/>
        <v>71549</v>
      </c>
      <c r="Q163" s="64">
        <f t="shared" si="64"/>
        <v>69658</v>
      </c>
      <c r="R163" s="2"/>
    </row>
    <row r="164" spans="1:18">
      <c r="A164" s="1356">
        <v>903250</v>
      </c>
      <c r="B164" s="1522" t="s">
        <v>2430</v>
      </c>
      <c r="C164" s="1356" t="s">
        <v>2165</v>
      </c>
      <c r="D164" s="19">
        <f>VALUE(LEFT(A164,3))</f>
        <v>903</v>
      </c>
      <c r="E164" s="10">
        <f t="shared" si="58"/>
        <v>-357793</v>
      </c>
      <c r="F164" s="64">
        <f t="shared" si="52"/>
        <v>149909</v>
      </c>
      <c r="G164" s="64">
        <f t="shared" si="53"/>
        <v>0</v>
      </c>
      <c r="H164" s="64">
        <f t="shared" si="54"/>
        <v>0</v>
      </c>
      <c r="I164" s="64">
        <f t="shared" si="55"/>
        <v>0</v>
      </c>
      <c r="J164" s="64">
        <f t="shared" si="56"/>
        <v>0</v>
      </c>
      <c r="K164" s="64">
        <f t="shared" si="57"/>
        <v>0</v>
      </c>
      <c r="L164" s="64">
        <f t="shared" si="59"/>
        <v>-105802</v>
      </c>
      <c r="M164" s="64">
        <f t="shared" si="60"/>
        <v>-110008</v>
      </c>
      <c r="N164" s="64">
        <f t="shared" si="61"/>
        <v>-99267</v>
      </c>
      <c r="O164" s="64">
        <f t="shared" si="62"/>
        <v>-67897</v>
      </c>
      <c r="P164" s="64">
        <f t="shared" si="63"/>
        <v>-51028</v>
      </c>
      <c r="Q164" s="64">
        <f t="shared" si="64"/>
        <v>-73700</v>
      </c>
      <c r="R164" s="2"/>
    </row>
    <row r="165" spans="1:18">
      <c r="A165" s="1356">
        <v>903300</v>
      </c>
      <c r="B165" s="1522" t="s">
        <v>2120</v>
      </c>
      <c r="C165" s="1356" t="s">
        <v>2165</v>
      </c>
      <c r="D165" s="19">
        <f t="shared" si="65"/>
        <v>903</v>
      </c>
      <c r="E165" s="10">
        <f t="shared" si="58"/>
        <v>386353</v>
      </c>
      <c r="F165" s="64">
        <f t="shared" si="52"/>
        <v>22220</v>
      </c>
      <c r="G165" s="64">
        <f t="shared" si="53"/>
        <v>22388</v>
      </c>
      <c r="H165" s="64">
        <f t="shared" si="54"/>
        <v>18811</v>
      </c>
      <c r="I165" s="64">
        <f t="shared" si="55"/>
        <v>22067</v>
      </c>
      <c r="J165" s="64">
        <f t="shared" si="56"/>
        <v>15674</v>
      </c>
      <c r="K165" s="64">
        <f t="shared" si="57"/>
        <v>21084</v>
      </c>
      <c r="L165" s="64">
        <f t="shared" si="59"/>
        <v>42647</v>
      </c>
      <c r="M165" s="64">
        <f t="shared" si="60"/>
        <v>43018</v>
      </c>
      <c r="N165" s="64">
        <f t="shared" si="61"/>
        <v>48332</v>
      </c>
      <c r="O165" s="64">
        <f t="shared" si="62"/>
        <v>45080</v>
      </c>
      <c r="P165" s="64">
        <f t="shared" si="63"/>
        <v>43022</v>
      </c>
      <c r="Q165" s="64">
        <f t="shared" si="64"/>
        <v>42010</v>
      </c>
      <c r="R165" s="2"/>
    </row>
    <row r="166" spans="1:18">
      <c r="A166" s="1356">
        <v>903400</v>
      </c>
      <c r="B166" s="1522" t="s">
        <v>2121</v>
      </c>
      <c r="C166" s="1356" t="s">
        <v>2165</v>
      </c>
      <c r="D166" s="19">
        <f t="shared" si="65"/>
        <v>903</v>
      </c>
      <c r="E166" s="10">
        <f t="shared" si="58"/>
        <v>66331</v>
      </c>
      <c r="F166" s="64">
        <f t="shared" ref="F166:F197" si="66">IF(ISNA(VLOOKUP(A166,BPActual,3,FALSE)=TRUE),0,VLOOKUP(A166,BPActual,3,FALSE))</f>
        <v>5728</v>
      </c>
      <c r="G166" s="64">
        <f t="shared" ref="G166:G197" si="67">IF(ISNA(VLOOKUP(A166,BPActual,4,FALSE)=TRUE),0,VLOOKUP(A166,BPActual,4,FALSE))</f>
        <v>3132</v>
      </c>
      <c r="H166" s="64">
        <f t="shared" ref="H166:H197" si="68">IF(ISNA(VLOOKUP(A166,BPActual,5,FALSE)=TRUE),0,VLOOKUP(A166,BPActual,5,FALSE))</f>
        <v>2803</v>
      </c>
      <c r="I166" s="64">
        <f t="shared" ref="I166:I197" si="69">IF(ISNA(VLOOKUP(A166,BPActual,6,FALSE)=TRUE),0,VLOOKUP(A166,BPActual,6,FALSE))</f>
        <v>3012</v>
      </c>
      <c r="J166" s="64">
        <f t="shared" ref="J166:J197" si="70">IF(ISNA(VLOOKUP(A166,BPActual,7,FALSE)=TRUE),0,VLOOKUP(A166,BPActual,7,FALSE))</f>
        <v>3117</v>
      </c>
      <c r="K166" s="64">
        <f t="shared" ref="K166:K197" si="71">IF(ISNA(VLOOKUP(A166,BPActual,8,FALSE)=TRUE),0,VLOOKUP(A166,BPActual,8,FALSE))</f>
        <v>3347</v>
      </c>
      <c r="L166" s="64">
        <f t="shared" si="59"/>
        <v>7312</v>
      </c>
      <c r="M166" s="64">
        <f t="shared" si="60"/>
        <v>7388</v>
      </c>
      <c r="N166" s="64">
        <f t="shared" si="61"/>
        <v>7465</v>
      </c>
      <c r="O166" s="64">
        <f t="shared" si="62"/>
        <v>7668</v>
      </c>
      <c r="P166" s="64">
        <f t="shared" si="63"/>
        <v>7641</v>
      </c>
      <c r="Q166" s="64">
        <f t="shared" si="64"/>
        <v>7718</v>
      </c>
      <c r="R166" s="2"/>
    </row>
    <row r="167" spans="1:18">
      <c r="A167" s="1356">
        <v>903750</v>
      </c>
      <c r="B167" s="1522" t="s">
        <v>2389</v>
      </c>
      <c r="C167" s="1356" t="s">
        <v>2165</v>
      </c>
      <c r="D167" s="19">
        <f t="shared" si="65"/>
        <v>903</v>
      </c>
      <c r="E167" s="10">
        <f t="shared" si="58"/>
        <v>0</v>
      </c>
      <c r="F167" s="64">
        <f t="shared" si="66"/>
        <v>0</v>
      </c>
      <c r="G167" s="64">
        <f t="shared" si="67"/>
        <v>0</v>
      </c>
      <c r="H167" s="64">
        <f t="shared" si="68"/>
        <v>0</v>
      </c>
      <c r="I167" s="64">
        <f t="shared" si="69"/>
        <v>0</v>
      </c>
      <c r="J167" s="64">
        <f t="shared" si="70"/>
        <v>0</v>
      </c>
      <c r="K167" s="64">
        <f t="shared" si="71"/>
        <v>0</v>
      </c>
      <c r="L167" s="64">
        <f t="shared" si="59"/>
        <v>0</v>
      </c>
      <c r="M167" s="64">
        <f t="shared" si="60"/>
        <v>0</v>
      </c>
      <c r="N167" s="64">
        <f t="shared" si="61"/>
        <v>0</v>
      </c>
      <c r="O167" s="64">
        <f t="shared" si="62"/>
        <v>0</v>
      </c>
      <c r="P167" s="64">
        <f t="shared" si="63"/>
        <v>0</v>
      </c>
      <c r="Q167" s="64">
        <f t="shared" si="64"/>
        <v>0</v>
      </c>
      <c r="R167" s="2"/>
    </row>
    <row r="168" spans="1:18">
      <c r="A168" s="1356">
        <v>903891</v>
      </c>
      <c r="B168" s="1522" t="s">
        <v>2547</v>
      </c>
      <c r="C168" s="1356" t="s">
        <v>2165</v>
      </c>
      <c r="D168" s="19">
        <f t="shared" si="65"/>
        <v>903</v>
      </c>
      <c r="E168" s="10">
        <f t="shared" si="58"/>
        <v>-236615</v>
      </c>
      <c r="F168" s="64">
        <f t="shared" si="66"/>
        <v>-166863</v>
      </c>
      <c r="G168" s="64">
        <f t="shared" si="67"/>
        <v>-17585</v>
      </c>
      <c r="H168" s="64">
        <f t="shared" si="68"/>
        <v>-14980</v>
      </c>
      <c r="I168" s="64">
        <f t="shared" si="69"/>
        <v>-14184</v>
      </c>
      <c r="J168" s="64">
        <f t="shared" si="70"/>
        <v>-11546</v>
      </c>
      <c r="K168" s="64">
        <f t="shared" si="71"/>
        <v>-11457</v>
      </c>
      <c r="L168" s="64">
        <f t="shared" si="59"/>
        <v>0</v>
      </c>
      <c r="M168" s="64">
        <f t="shared" si="60"/>
        <v>0</v>
      </c>
      <c r="N168" s="64">
        <f t="shared" si="61"/>
        <v>0</v>
      </c>
      <c r="O168" s="64">
        <f t="shared" si="62"/>
        <v>0</v>
      </c>
      <c r="P168" s="64">
        <f t="shared" si="63"/>
        <v>0</v>
      </c>
      <c r="Q168" s="64">
        <f t="shared" si="64"/>
        <v>0</v>
      </c>
      <c r="R168" s="2"/>
    </row>
    <row r="169" spans="1:18">
      <c r="A169" s="1356">
        <v>904001</v>
      </c>
      <c r="B169" s="1522" t="s">
        <v>2122</v>
      </c>
      <c r="C169" s="1356" t="s">
        <v>2165</v>
      </c>
      <c r="D169" s="19">
        <f t="shared" si="65"/>
        <v>904</v>
      </c>
      <c r="E169" s="10">
        <f t="shared" si="58"/>
        <v>-59691</v>
      </c>
      <c r="F169" s="64">
        <f t="shared" si="66"/>
        <v>-114140</v>
      </c>
      <c r="G169" s="64">
        <f t="shared" si="67"/>
        <v>9320</v>
      </c>
      <c r="H169" s="64">
        <f t="shared" si="68"/>
        <v>-12108</v>
      </c>
      <c r="I169" s="64">
        <f t="shared" si="69"/>
        <v>-2728</v>
      </c>
      <c r="J169" s="64">
        <f t="shared" si="70"/>
        <v>-289</v>
      </c>
      <c r="K169" s="64">
        <f t="shared" si="71"/>
        <v>32654</v>
      </c>
      <c r="L169" s="64">
        <f t="shared" si="59"/>
        <v>4600</v>
      </c>
      <c r="M169" s="64">
        <f t="shared" si="60"/>
        <v>4600</v>
      </c>
      <c r="N169" s="64">
        <f t="shared" si="61"/>
        <v>4600</v>
      </c>
      <c r="O169" s="64">
        <f t="shared" si="62"/>
        <v>4600</v>
      </c>
      <c r="P169" s="64">
        <f t="shared" si="63"/>
        <v>4600</v>
      </c>
      <c r="Q169" s="64">
        <f t="shared" si="64"/>
        <v>4600</v>
      </c>
      <c r="R169" s="2"/>
    </row>
    <row r="170" spans="1:18">
      <c r="A170" s="1356">
        <v>904003</v>
      </c>
      <c r="B170" s="1522" t="s">
        <v>1363</v>
      </c>
      <c r="C170" s="1356" t="s">
        <v>2165</v>
      </c>
      <c r="D170" s="19">
        <f t="shared" si="65"/>
        <v>904</v>
      </c>
      <c r="E170" s="10">
        <f t="shared" si="58"/>
        <v>1163597</v>
      </c>
      <c r="F170" s="64">
        <f t="shared" si="66"/>
        <v>0</v>
      </c>
      <c r="G170" s="64">
        <f t="shared" si="67"/>
        <v>0</v>
      </c>
      <c r="H170" s="64">
        <f t="shared" si="68"/>
        <v>0</v>
      </c>
      <c r="I170" s="64">
        <f t="shared" si="69"/>
        <v>0</v>
      </c>
      <c r="J170" s="64">
        <f t="shared" si="70"/>
        <v>0</v>
      </c>
      <c r="K170" s="64">
        <f t="shared" si="71"/>
        <v>0</v>
      </c>
      <c r="L170" s="64">
        <f t="shared" si="59"/>
        <v>142941</v>
      </c>
      <c r="M170" s="64">
        <f t="shared" si="60"/>
        <v>228881</v>
      </c>
      <c r="N170" s="64">
        <f t="shared" si="61"/>
        <v>194090</v>
      </c>
      <c r="O170" s="64">
        <f t="shared" si="62"/>
        <v>134949</v>
      </c>
      <c r="P170" s="64">
        <f t="shared" si="63"/>
        <v>211117</v>
      </c>
      <c r="Q170" s="64">
        <f t="shared" si="64"/>
        <v>251619</v>
      </c>
      <c r="R170" s="2"/>
    </row>
    <row r="171" spans="1:18">
      <c r="A171" s="1356">
        <v>904891</v>
      </c>
      <c r="B171" s="1522" t="s">
        <v>2123</v>
      </c>
      <c r="C171" s="1356" t="s">
        <v>2165</v>
      </c>
      <c r="D171" s="19">
        <f t="shared" si="65"/>
        <v>904</v>
      </c>
      <c r="E171" s="10">
        <f t="shared" si="58"/>
        <v>681208</v>
      </c>
      <c r="F171" s="64">
        <f t="shared" si="66"/>
        <v>681208</v>
      </c>
      <c r="G171" s="64">
        <f t="shared" si="67"/>
        <v>0</v>
      </c>
      <c r="H171" s="64">
        <f t="shared" si="68"/>
        <v>0</v>
      </c>
      <c r="I171" s="64">
        <f t="shared" si="69"/>
        <v>0</v>
      </c>
      <c r="J171" s="64">
        <f t="shared" si="70"/>
        <v>0</v>
      </c>
      <c r="K171" s="64">
        <f t="shared" si="71"/>
        <v>0</v>
      </c>
      <c r="L171" s="64">
        <f t="shared" si="59"/>
        <v>0</v>
      </c>
      <c r="M171" s="64">
        <f t="shared" si="60"/>
        <v>0</v>
      </c>
      <c r="N171" s="64">
        <f t="shared" si="61"/>
        <v>0</v>
      </c>
      <c r="O171" s="64">
        <f t="shared" si="62"/>
        <v>0</v>
      </c>
      <c r="P171" s="64">
        <f t="shared" si="63"/>
        <v>0</v>
      </c>
      <c r="Q171" s="64">
        <f t="shared" si="64"/>
        <v>0</v>
      </c>
      <c r="R171" s="2"/>
    </row>
    <row r="172" spans="1:18">
      <c r="A172" s="1356">
        <v>905000</v>
      </c>
      <c r="B172" s="1522" t="s">
        <v>2124</v>
      </c>
      <c r="C172" s="1356" t="s">
        <v>2165</v>
      </c>
      <c r="D172" s="19">
        <f t="shared" si="65"/>
        <v>905</v>
      </c>
      <c r="E172" s="10">
        <f t="shared" si="58"/>
        <v>303</v>
      </c>
      <c r="F172" s="64">
        <f t="shared" si="66"/>
        <v>63</v>
      </c>
      <c r="G172" s="64">
        <f t="shared" si="67"/>
        <v>32</v>
      </c>
      <c r="H172" s="64">
        <f t="shared" si="68"/>
        <v>20</v>
      </c>
      <c r="I172" s="64">
        <f t="shared" si="69"/>
        <v>15</v>
      </c>
      <c r="J172" s="64">
        <f t="shared" si="70"/>
        <v>125</v>
      </c>
      <c r="K172" s="64">
        <f t="shared" si="71"/>
        <v>48</v>
      </c>
      <c r="L172" s="64">
        <f t="shared" si="59"/>
        <v>0</v>
      </c>
      <c r="M172" s="64">
        <f t="shared" si="60"/>
        <v>0</v>
      </c>
      <c r="N172" s="64">
        <f t="shared" si="61"/>
        <v>0</v>
      </c>
      <c r="O172" s="64">
        <f t="shared" si="62"/>
        <v>0</v>
      </c>
      <c r="P172" s="64">
        <f t="shared" si="63"/>
        <v>0</v>
      </c>
      <c r="Q172" s="64">
        <f t="shared" si="64"/>
        <v>0</v>
      </c>
      <c r="R172" s="2"/>
    </row>
    <row r="173" spans="1:18">
      <c r="A173" s="1356">
        <v>908000</v>
      </c>
      <c r="B173" s="1522" t="s">
        <v>2125</v>
      </c>
      <c r="C173" s="1356" t="s">
        <v>713</v>
      </c>
      <c r="D173" s="19">
        <f t="shared" si="65"/>
        <v>908</v>
      </c>
      <c r="E173" s="10">
        <f t="shared" si="58"/>
        <v>56329</v>
      </c>
      <c r="F173" s="64">
        <f t="shared" si="66"/>
        <v>3</v>
      </c>
      <c r="G173" s="64">
        <f t="shared" si="67"/>
        <v>0</v>
      </c>
      <c r="H173" s="64">
        <f t="shared" si="68"/>
        <v>1</v>
      </c>
      <c r="I173" s="64">
        <f t="shared" si="69"/>
        <v>0</v>
      </c>
      <c r="J173" s="64">
        <f t="shared" si="70"/>
        <v>0</v>
      </c>
      <c r="K173" s="64">
        <f t="shared" si="71"/>
        <v>3</v>
      </c>
      <c r="L173" s="64">
        <f t="shared" ref="L173:L204" si="72">IF(ISNA(VLOOKUP(A173,BPActual,9,FALSE)=TRUE),0,VLOOKUP(A173,BPActual,9,FALSE))</f>
        <v>9387</v>
      </c>
      <c r="M173" s="64">
        <f t="shared" ref="M173:M204" si="73">IF(ISNA(VLOOKUP(A173,BPActual,10,FALSE)=TRUE),0,VLOOKUP(A173,BPActual,10,FALSE))</f>
        <v>9387</v>
      </c>
      <c r="N173" s="64">
        <f t="shared" ref="N173:N204" si="74">IF(ISNA(VLOOKUP(A173,BPActual,11,FALSE)=TRUE),0,VLOOKUP(A173,BPActual,11,FALSE))</f>
        <v>9387</v>
      </c>
      <c r="O173" s="64">
        <f t="shared" ref="O173:O204" si="75">IF(ISNA(VLOOKUP(A173,BPActual,12,FALSE)=TRUE),0,VLOOKUP(A173,BPActual,12,FALSE))</f>
        <v>9387</v>
      </c>
      <c r="P173" s="64">
        <f t="shared" ref="P173:P204" si="76">IF(ISNA(VLOOKUP(A173,BPActual,13,FALSE)=TRUE),0,VLOOKUP(A173,BPActual,13,FALSE))</f>
        <v>9387</v>
      </c>
      <c r="Q173" s="64">
        <f t="shared" ref="Q173:Q204" si="77">IF(ISNA(VLOOKUP(A173,BPActual,14,FALSE)=TRUE),0,VLOOKUP(A173,BPActual,14,FALSE))</f>
        <v>9387</v>
      </c>
      <c r="R173" s="2"/>
    </row>
    <row r="174" spans="1:18">
      <c r="A174" s="1356">
        <v>909650</v>
      </c>
      <c r="B174" s="1522" t="s">
        <v>2126</v>
      </c>
      <c r="C174" s="1356" t="s">
        <v>713</v>
      </c>
      <c r="D174" s="19">
        <f t="shared" si="65"/>
        <v>909</v>
      </c>
      <c r="E174" s="10">
        <f t="shared" si="58"/>
        <v>2327</v>
      </c>
      <c r="F174" s="64">
        <f t="shared" si="66"/>
        <v>643</v>
      </c>
      <c r="G174" s="64">
        <f t="shared" si="67"/>
        <v>1192</v>
      </c>
      <c r="H174" s="64">
        <f t="shared" si="68"/>
        <v>0</v>
      </c>
      <c r="I174" s="64">
        <f t="shared" si="69"/>
        <v>492</v>
      </c>
      <c r="J174" s="64">
        <f t="shared" si="70"/>
        <v>0</v>
      </c>
      <c r="K174" s="64">
        <f t="shared" si="71"/>
        <v>0</v>
      </c>
      <c r="L174" s="64">
        <f t="shared" si="72"/>
        <v>0</v>
      </c>
      <c r="M174" s="64">
        <f t="shared" si="73"/>
        <v>0</v>
      </c>
      <c r="N174" s="64">
        <f t="shared" si="74"/>
        <v>0</v>
      </c>
      <c r="O174" s="64">
        <f t="shared" si="75"/>
        <v>0</v>
      </c>
      <c r="P174" s="64">
        <f t="shared" si="76"/>
        <v>0</v>
      </c>
      <c r="Q174" s="64">
        <f t="shared" si="77"/>
        <v>0</v>
      </c>
      <c r="R174" s="2"/>
    </row>
    <row r="175" spans="1:18">
      <c r="A175" s="1356">
        <v>910000</v>
      </c>
      <c r="B175" s="1522" t="s">
        <v>2127</v>
      </c>
      <c r="C175" s="1356" t="s">
        <v>713</v>
      </c>
      <c r="D175" s="19">
        <f t="shared" si="65"/>
        <v>910</v>
      </c>
      <c r="E175" s="10">
        <f t="shared" si="58"/>
        <v>406705</v>
      </c>
      <c r="F175" s="64">
        <f t="shared" si="66"/>
        <v>33579</v>
      </c>
      <c r="G175" s="64">
        <f t="shared" si="67"/>
        <v>36653</v>
      </c>
      <c r="H175" s="64">
        <f t="shared" si="68"/>
        <v>49442</v>
      </c>
      <c r="I175" s="64">
        <f t="shared" si="69"/>
        <v>25591</v>
      </c>
      <c r="J175" s="64">
        <f t="shared" si="70"/>
        <v>20316</v>
      </c>
      <c r="K175" s="64">
        <f t="shared" si="71"/>
        <v>42632</v>
      </c>
      <c r="L175" s="64">
        <f t="shared" si="72"/>
        <v>35735</v>
      </c>
      <c r="M175" s="64">
        <f t="shared" si="73"/>
        <v>32446</v>
      </c>
      <c r="N175" s="64">
        <f t="shared" si="74"/>
        <v>31679</v>
      </c>
      <c r="O175" s="64">
        <f t="shared" si="75"/>
        <v>35106</v>
      </c>
      <c r="P175" s="64">
        <f t="shared" si="76"/>
        <v>33012</v>
      </c>
      <c r="Q175" s="64">
        <f t="shared" si="77"/>
        <v>30514</v>
      </c>
      <c r="R175" s="2"/>
    </row>
    <row r="176" spans="1:18">
      <c r="A176" s="1356">
        <v>910100</v>
      </c>
      <c r="B176" s="1522" t="s">
        <v>2128</v>
      </c>
      <c r="C176" s="1356" t="s">
        <v>713</v>
      </c>
      <c r="D176" s="19">
        <f t="shared" si="65"/>
        <v>910</v>
      </c>
      <c r="E176" s="10">
        <f t="shared" si="58"/>
        <v>432716</v>
      </c>
      <c r="F176" s="64">
        <f t="shared" si="66"/>
        <v>41563</v>
      </c>
      <c r="G176" s="64">
        <f t="shared" si="67"/>
        <v>18031</v>
      </c>
      <c r="H176" s="64">
        <f t="shared" si="68"/>
        <v>15190</v>
      </c>
      <c r="I176" s="64">
        <f t="shared" si="69"/>
        <v>19453</v>
      </c>
      <c r="J176" s="64">
        <f t="shared" si="70"/>
        <v>23974</v>
      </c>
      <c r="K176" s="64">
        <f t="shared" si="71"/>
        <v>32223</v>
      </c>
      <c r="L176" s="64">
        <f t="shared" si="72"/>
        <v>43991</v>
      </c>
      <c r="M176" s="64">
        <f t="shared" si="73"/>
        <v>46999</v>
      </c>
      <c r="N176" s="64">
        <f t="shared" si="74"/>
        <v>41818</v>
      </c>
      <c r="O176" s="64">
        <f t="shared" si="75"/>
        <v>68159</v>
      </c>
      <c r="P176" s="64">
        <f t="shared" si="76"/>
        <v>39542</v>
      </c>
      <c r="Q176" s="64">
        <f t="shared" si="77"/>
        <v>41773</v>
      </c>
      <c r="R176" s="2"/>
    </row>
    <row r="177" spans="1:18">
      <c r="A177" s="1356">
        <v>912000</v>
      </c>
      <c r="B177" s="1522" t="s">
        <v>2129</v>
      </c>
      <c r="C177" s="1356" t="s">
        <v>2167</v>
      </c>
      <c r="D177" s="19">
        <f t="shared" si="65"/>
        <v>912</v>
      </c>
      <c r="E177" s="10">
        <f t="shared" si="58"/>
        <v>908839</v>
      </c>
      <c r="F177" s="64">
        <f t="shared" si="66"/>
        <v>90487</v>
      </c>
      <c r="G177" s="64">
        <f t="shared" si="67"/>
        <v>64056</v>
      </c>
      <c r="H177" s="64">
        <f t="shared" si="68"/>
        <v>64375</v>
      </c>
      <c r="I177" s="64">
        <f t="shared" si="69"/>
        <v>65375</v>
      </c>
      <c r="J177" s="64">
        <f t="shared" si="70"/>
        <v>63184</v>
      </c>
      <c r="K177" s="64">
        <f t="shared" si="71"/>
        <v>42846</v>
      </c>
      <c r="L177" s="64">
        <f t="shared" si="72"/>
        <v>85515</v>
      </c>
      <c r="M177" s="64">
        <f t="shared" si="73"/>
        <v>85538</v>
      </c>
      <c r="N177" s="64">
        <f t="shared" si="74"/>
        <v>85858</v>
      </c>
      <c r="O177" s="64">
        <f t="shared" si="75"/>
        <v>89541</v>
      </c>
      <c r="P177" s="64">
        <f t="shared" si="76"/>
        <v>85841</v>
      </c>
      <c r="Q177" s="64">
        <f t="shared" si="77"/>
        <v>86223</v>
      </c>
      <c r="R177" s="2"/>
    </row>
    <row r="178" spans="1:18">
      <c r="A178" s="1356">
        <v>913001</v>
      </c>
      <c r="B178" s="1522" t="s">
        <v>2130</v>
      </c>
      <c r="C178" s="1356" t="s">
        <v>2167</v>
      </c>
      <c r="D178" s="19">
        <f t="shared" si="65"/>
        <v>913</v>
      </c>
      <c r="E178" s="10">
        <f t="shared" si="58"/>
        <v>37800</v>
      </c>
      <c r="F178" s="64">
        <f t="shared" si="66"/>
        <v>19556</v>
      </c>
      <c r="G178" s="64">
        <f t="shared" si="67"/>
        <v>1436</v>
      </c>
      <c r="H178" s="64">
        <f t="shared" si="68"/>
        <v>1729</v>
      </c>
      <c r="I178" s="64">
        <f t="shared" si="69"/>
        <v>1779</v>
      </c>
      <c r="J178" s="64">
        <f t="shared" si="70"/>
        <v>3810</v>
      </c>
      <c r="K178" s="64">
        <f t="shared" si="71"/>
        <v>8560</v>
      </c>
      <c r="L178" s="64">
        <f t="shared" si="72"/>
        <v>155</v>
      </c>
      <c r="M178" s="64">
        <f t="shared" si="73"/>
        <v>155</v>
      </c>
      <c r="N178" s="64">
        <f t="shared" si="74"/>
        <v>155</v>
      </c>
      <c r="O178" s="64">
        <f t="shared" si="75"/>
        <v>155</v>
      </c>
      <c r="P178" s="64">
        <f t="shared" si="76"/>
        <v>155</v>
      </c>
      <c r="Q178" s="64">
        <f t="shared" si="77"/>
        <v>155</v>
      </c>
      <c r="R178" s="2"/>
    </row>
    <row r="179" spans="1:18">
      <c r="A179" s="1356">
        <v>920000</v>
      </c>
      <c r="B179" s="1522" t="s">
        <v>2131</v>
      </c>
      <c r="C179" s="1356" t="s">
        <v>1179</v>
      </c>
      <c r="D179" s="19">
        <f t="shared" si="65"/>
        <v>920</v>
      </c>
      <c r="E179" s="10">
        <f t="shared" si="58"/>
        <v>5950412</v>
      </c>
      <c r="F179" s="64">
        <f t="shared" si="66"/>
        <v>1191335</v>
      </c>
      <c r="G179" s="64">
        <f t="shared" si="67"/>
        <v>437118</v>
      </c>
      <c r="H179" s="64">
        <f t="shared" si="68"/>
        <v>439971</v>
      </c>
      <c r="I179" s="64">
        <f t="shared" si="69"/>
        <v>298770</v>
      </c>
      <c r="J179" s="64">
        <f t="shared" si="70"/>
        <v>462305</v>
      </c>
      <c r="K179" s="64">
        <f t="shared" si="71"/>
        <v>486236</v>
      </c>
      <c r="L179" s="64">
        <f t="shared" si="72"/>
        <v>556109</v>
      </c>
      <c r="M179" s="64">
        <f t="shared" si="73"/>
        <v>481434</v>
      </c>
      <c r="N179" s="64">
        <f t="shared" si="74"/>
        <v>481150</v>
      </c>
      <c r="O179" s="64">
        <f t="shared" si="75"/>
        <v>154052</v>
      </c>
      <c r="P179" s="64">
        <f t="shared" si="76"/>
        <v>481015</v>
      </c>
      <c r="Q179" s="64">
        <f t="shared" si="77"/>
        <v>480917</v>
      </c>
      <c r="R179" s="2"/>
    </row>
    <row r="180" spans="1:18">
      <c r="A180" s="1356">
        <v>921100</v>
      </c>
      <c r="B180" s="1522" t="s">
        <v>2132</v>
      </c>
      <c r="C180" s="1356" t="s">
        <v>1179</v>
      </c>
      <c r="D180" s="19">
        <f t="shared" si="65"/>
        <v>921</v>
      </c>
      <c r="E180" s="10">
        <f t="shared" si="58"/>
        <v>284441</v>
      </c>
      <c r="F180" s="64">
        <f t="shared" si="66"/>
        <v>-15331</v>
      </c>
      <c r="G180" s="64">
        <f t="shared" si="67"/>
        <v>44316</v>
      </c>
      <c r="H180" s="64">
        <f t="shared" si="68"/>
        <v>27264</v>
      </c>
      <c r="I180" s="64">
        <f t="shared" si="69"/>
        <v>36372</v>
      </c>
      <c r="J180" s="64">
        <f t="shared" si="70"/>
        <v>27886</v>
      </c>
      <c r="K180" s="64">
        <f t="shared" si="71"/>
        <v>18289</v>
      </c>
      <c r="L180" s="64">
        <f t="shared" si="72"/>
        <v>25404</v>
      </c>
      <c r="M180" s="64">
        <f t="shared" si="73"/>
        <v>23254</v>
      </c>
      <c r="N180" s="64">
        <f t="shared" si="74"/>
        <v>23445</v>
      </c>
      <c r="O180" s="64">
        <f t="shared" si="75"/>
        <v>26152</v>
      </c>
      <c r="P180" s="64">
        <f t="shared" si="76"/>
        <v>23480</v>
      </c>
      <c r="Q180" s="64">
        <f t="shared" si="77"/>
        <v>23910</v>
      </c>
      <c r="R180" s="2"/>
    </row>
    <row r="181" spans="1:18">
      <c r="A181" s="1356">
        <v>921101</v>
      </c>
      <c r="B181" s="1522" t="s">
        <v>2133</v>
      </c>
      <c r="C181" s="1356" t="s">
        <v>1179</v>
      </c>
      <c r="D181" s="19">
        <f t="shared" si="65"/>
        <v>921</v>
      </c>
      <c r="E181" s="10">
        <f t="shared" si="58"/>
        <v>3</v>
      </c>
      <c r="F181" s="64">
        <f t="shared" si="66"/>
        <v>3</v>
      </c>
      <c r="G181" s="64">
        <f t="shared" si="67"/>
        <v>0</v>
      </c>
      <c r="H181" s="64">
        <f t="shared" si="68"/>
        <v>0</v>
      </c>
      <c r="I181" s="64">
        <f t="shared" si="69"/>
        <v>0</v>
      </c>
      <c r="J181" s="64">
        <f t="shared" si="70"/>
        <v>0</v>
      </c>
      <c r="K181" s="64">
        <f t="shared" si="71"/>
        <v>0</v>
      </c>
      <c r="L181" s="64">
        <f t="shared" si="72"/>
        <v>0</v>
      </c>
      <c r="M181" s="64">
        <f t="shared" si="73"/>
        <v>0</v>
      </c>
      <c r="N181" s="64">
        <f t="shared" si="74"/>
        <v>0</v>
      </c>
      <c r="O181" s="64">
        <f t="shared" si="75"/>
        <v>0</v>
      </c>
      <c r="P181" s="64">
        <f t="shared" si="76"/>
        <v>0</v>
      </c>
      <c r="Q181" s="64">
        <f t="shared" si="77"/>
        <v>0</v>
      </c>
      <c r="R181" s="2"/>
    </row>
    <row r="182" spans="1:18">
      <c r="A182" s="1356">
        <v>921110</v>
      </c>
      <c r="B182" s="1522" t="s">
        <v>2134</v>
      </c>
      <c r="C182" s="1356" t="s">
        <v>1179</v>
      </c>
      <c r="D182" s="19">
        <f t="shared" si="65"/>
        <v>921</v>
      </c>
      <c r="E182" s="10">
        <f t="shared" si="58"/>
        <v>13</v>
      </c>
      <c r="F182" s="64">
        <f t="shared" si="66"/>
        <v>3</v>
      </c>
      <c r="G182" s="64">
        <f t="shared" si="67"/>
        <v>0</v>
      </c>
      <c r="H182" s="64">
        <f t="shared" si="68"/>
        <v>5</v>
      </c>
      <c r="I182" s="64">
        <f t="shared" si="69"/>
        <v>0</v>
      </c>
      <c r="J182" s="64">
        <f t="shared" si="70"/>
        <v>0</v>
      </c>
      <c r="K182" s="64">
        <f t="shared" si="71"/>
        <v>5</v>
      </c>
      <c r="L182" s="64">
        <f t="shared" si="72"/>
        <v>0</v>
      </c>
      <c r="M182" s="64">
        <f t="shared" si="73"/>
        <v>0</v>
      </c>
      <c r="N182" s="64">
        <f t="shared" si="74"/>
        <v>0</v>
      </c>
      <c r="O182" s="64">
        <f t="shared" si="75"/>
        <v>0</v>
      </c>
      <c r="P182" s="64">
        <f t="shared" si="76"/>
        <v>0</v>
      </c>
      <c r="Q182" s="64">
        <f t="shared" si="77"/>
        <v>0</v>
      </c>
      <c r="R182" s="2"/>
    </row>
    <row r="183" spans="1:18">
      <c r="A183" s="1356">
        <v>921200</v>
      </c>
      <c r="B183" s="1522" t="s">
        <v>2135</v>
      </c>
      <c r="C183" s="1356" t="s">
        <v>1179</v>
      </c>
      <c r="D183" s="19">
        <f t="shared" si="65"/>
        <v>921</v>
      </c>
      <c r="E183" s="10">
        <f t="shared" si="58"/>
        <v>739731</v>
      </c>
      <c r="F183" s="64">
        <f t="shared" si="66"/>
        <v>66587</v>
      </c>
      <c r="G183" s="64">
        <f t="shared" si="67"/>
        <v>39743</v>
      </c>
      <c r="H183" s="64">
        <f t="shared" si="68"/>
        <v>36019</v>
      </c>
      <c r="I183" s="64">
        <f t="shared" si="69"/>
        <v>51125</v>
      </c>
      <c r="J183" s="64">
        <f t="shared" si="70"/>
        <v>50441</v>
      </c>
      <c r="K183" s="64">
        <f t="shared" si="71"/>
        <v>44215</v>
      </c>
      <c r="L183" s="64">
        <f t="shared" si="72"/>
        <v>92056</v>
      </c>
      <c r="M183" s="64">
        <f t="shared" si="73"/>
        <v>66674</v>
      </c>
      <c r="N183" s="64">
        <f t="shared" si="74"/>
        <v>65572</v>
      </c>
      <c r="O183" s="64">
        <f t="shared" si="75"/>
        <v>96541</v>
      </c>
      <c r="P183" s="64">
        <f t="shared" si="76"/>
        <v>65712</v>
      </c>
      <c r="Q183" s="64">
        <f t="shared" si="77"/>
        <v>65046</v>
      </c>
      <c r="R183" s="2"/>
    </row>
    <row r="184" spans="1:18">
      <c r="A184" s="1356">
        <v>921300</v>
      </c>
      <c r="B184" s="1522" t="s">
        <v>2136</v>
      </c>
      <c r="C184" s="1356" t="s">
        <v>1179</v>
      </c>
      <c r="D184" s="19">
        <f t="shared" si="65"/>
        <v>921</v>
      </c>
      <c r="E184" s="10">
        <f t="shared" si="58"/>
        <v>3</v>
      </c>
      <c r="F184" s="64">
        <f t="shared" si="66"/>
        <v>2</v>
      </c>
      <c r="G184" s="64">
        <f t="shared" si="67"/>
        <v>0</v>
      </c>
      <c r="H184" s="64">
        <f t="shared" si="68"/>
        <v>0</v>
      </c>
      <c r="I184" s="64">
        <f t="shared" si="69"/>
        <v>1</v>
      </c>
      <c r="J184" s="64">
        <f t="shared" si="70"/>
        <v>0</v>
      </c>
      <c r="K184" s="64">
        <f t="shared" si="71"/>
        <v>0</v>
      </c>
      <c r="L184" s="64">
        <f t="shared" si="72"/>
        <v>0</v>
      </c>
      <c r="M184" s="64">
        <f t="shared" si="73"/>
        <v>0</v>
      </c>
      <c r="N184" s="64">
        <f t="shared" si="74"/>
        <v>0</v>
      </c>
      <c r="O184" s="64">
        <f t="shared" si="75"/>
        <v>0</v>
      </c>
      <c r="P184" s="64">
        <f t="shared" si="76"/>
        <v>0</v>
      </c>
      <c r="Q184" s="64">
        <f t="shared" si="77"/>
        <v>0</v>
      </c>
      <c r="R184" s="2"/>
    </row>
    <row r="185" spans="1:18">
      <c r="A185" s="1356">
        <v>921400</v>
      </c>
      <c r="B185" s="1522" t="s">
        <v>2137</v>
      </c>
      <c r="C185" s="1356" t="s">
        <v>1179</v>
      </c>
      <c r="D185" s="19">
        <f t="shared" si="65"/>
        <v>921</v>
      </c>
      <c r="E185" s="10">
        <f t="shared" si="58"/>
        <v>298275</v>
      </c>
      <c r="F185" s="64">
        <f t="shared" si="66"/>
        <v>119226</v>
      </c>
      <c r="G185" s="64">
        <f t="shared" si="67"/>
        <v>34640</v>
      </c>
      <c r="H185" s="64">
        <f t="shared" si="68"/>
        <v>18101</v>
      </c>
      <c r="I185" s="64">
        <f t="shared" si="69"/>
        <v>18592</v>
      </c>
      <c r="J185" s="64">
        <f t="shared" si="70"/>
        <v>11479</v>
      </c>
      <c r="K185" s="64">
        <f t="shared" si="71"/>
        <v>3212</v>
      </c>
      <c r="L185" s="64">
        <f t="shared" si="72"/>
        <v>34304</v>
      </c>
      <c r="M185" s="64">
        <f t="shared" si="73"/>
        <v>18887</v>
      </c>
      <c r="N185" s="64">
        <f t="shared" si="74"/>
        <v>8501</v>
      </c>
      <c r="O185" s="64">
        <f t="shared" si="75"/>
        <v>9531</v>
      </c>
      <c r="P185" s="64">
        <f t="shared" si="76"/>
        <v>12795</v>
      </c>
      <c r="Q185" s="64">
        <f t="shared" si="77"/>
        <v>9007</v>
      </c>
      <c r="R185" s="2"/>
    </row>
    <row r="186" spans="1:18">
      <c r="A186" s="1356">
        <v>921540</v>
      </c>
      <c r="B186" s="1522" t="s">
        <v>2138</v>
      </c>
      <c r="C186" s="1356" t="s">
        <v>1179</v>
      </c>
      <c r="D186" s="19">
        <f t="shared" si="65"/>
        <v>921</v>
      </c>
      <c r="E186" s="10">
        <f t="shared" si="58"/>
        <v>22364</v>
      </c>
      <c r="F186" s="64">
        <f t="shared" si="66"/>
        <v>2113</v>
      </c>
      <c r="G186" s="64">
        <f t="shared" si="67"/>
        <v>3630</v>
      </c>
      <c r="H186" s="64">
        <f t="shared" si="68"/>
        <v>4056</v>
      </c>
      <c r="I186" s="64">
        <f t="shared" si="69"/>
        <v>3774</v>
      </c>
      <c r="J186" s="64">
        <f t="shared" si="70"/>
        <v>2931</v>
      </c>
      <c r="K186" s="64">
        <f t="shared" si="71"/>
        <v>4804</v>
      </c>
      <c r="L186" s="64">
        <f t="shared" si="72"/>
        <v>44</v>
      </c>
      <c r="M186" s="64">
        <f t="shared" si="73"/>
        <v>836</v>
      </c>
      <c r="N186" s="64">
        <f t="shared" si="74"/>
        <v>44</v>
      </c>
      <c r="O186" s="64">
        <f t="shared" si="75"/>
        <v>44</v>
      </c>
      <c r="P186" s="64">
        <f t="shared" si="76"/>
        <v>44</v>
      </c>
      <c r="Q186" s="64">
        <f t="shared" si="77"/>
        <v>44</v>
      </c>
      <c r="R186" s="2"/>
    </row>
    <row r="187" spans="1:18">
      <c r="A187" s="1356">
        <v>921600</v>
      </c>
      <c r="B187" s="1522" t="s">
        <v>1028</v>
      </c>
      <c r="C187" s="1356" t="s">
        <v>1179</v>
      </c>
      <c r="D187" s="19">
        <f t="shared" si="65"/>
        <v>921</v>
      </c>
      <c r="E187" s="10">
        <f t="shared" si="58"/>
        <v>294</v>
      </c>
      <c r="F187" s="64">
        <f t="shared" si="66"/>
        <v>70</v>
      </c>
      <c r="G187" s="64">
        <f t="shared" si="67"/>
        <v>2</v>
      </c>
      <c r="H187" s="64">
        <f t="shared" si="68"/>
        <v>24</v>
      </c>
      <c r="I187" s="64">
        <f t="shared" si="69"/>
        <v>19</v>
      </c>
      <c r="J187" s="64">
        <f t="shared" si="70"/>
        <v>73</v>
      </c>
      <c r="K187" s="64">
        <f t="shared" si="71"/>
        <v>106</v>
      </c>
      <c r="L187" s="64">
        <f t="shared" si="72"/>
        <v>0</v>
      </c>
      <c r="M187" s="64">
        <f t="shared" si="73"/>
        <v>0</v>
      </c>
      <c r="N187" s="64">
        <f t="shared" si="74"/>
        <v>0</v>
      </c>
      <c r="O187" s="64">
        <f t="shared" si="75"/>
        <v>0</v>
      </c>
      <c r="P187" s="64">
        <f t="shared" si="76"/>
        <v>0</v>
      </c>
      <c r="Q187" s="64">
        <f t="shared" si="77"/>
        <v>0</v>
      </c>
      <c r="R187" s="2"/>
    </row>
    <row r="188" spans="1:18">
      <c r="A188" s="1356">
        <v>921980</v>
      </c>
      <c r="B188" s="1522" t="s">
        <v>2139</v>
      </c>
      <c r="C188" s="1356" t="s">
        <v>1179</v>
      </c>
      <c r="D188" s="19">
        <f t="shared" si="65"/>
        <v>921</v>
      </c>
      <c r="E188" s="10">
        <f t="shared" si="58"/>
        <v>1170266</v>
      </c>
      <c r="F188" s="64">
        <f t="shared" si="66"/>
        <v>109204</v>
      </c>
      <c r="G188" s="64">
        <f t="shared" si="67"/>
        <v>81479</v>
      </c>
      <c r="H188" s="64">
        <f t="shared" si="68"/>
        <v>82939</v>
      </c>
      <c r="I188" s="64">
        <f t="shared" si="69"/>
        <v>90572</v>
      </c>
      <c r="J188" s="64">
        <f t="shared" si="70"/>
        <v>83206</v>
      </c>
      <c r="K188" s="64">
        <f t="shared" si="71"/>
        <v>82607</v>
      </c>
      <c r="L188" s="64">
        <f t="shared" si="72"/>
        <v>106874</v>
      </c>
      <c r="M188" s="64">
        <f t="shared" si="73"/>
        <v>106756</v>
      </c>
      <c r="N188" s="64">
        <f t="shared" si="74"/>
        <v>106723</v>
      </c>
      <c r="O188" s="64">
        <f t="shared" si="75"/>
        <v>106208</v>
      </c>
      <c r="P188" s="64">
        <f t="shared" si="76"/>
        <v>106832</v>
      </c>
      <c r="Q188" s="64">
        <f t="shared" si="77"/>
        <v>106866</v>
      </c>
      <c r="R188" s="2"/>
    </row>
    <row r="189" spans="1:18">
      <c r="A189" s="1356">
        <v>922000</v>
      </c>
      <c r="B189" s="1522" t="s">
        <v>2429</v>
      </c>
      <c r="C189" s="1356" t="s">
        <v>1179</v>
      </c>
      <c r="D189" s="19">
        <f t="shared" si="65"/>
        <v>922</v>
      </c>
      <c r="E189" s="10">
        <f t="shared" si="58"/>
        <v>23</v>
      </c>
      <c r="F189" s="64">
        <f t="shared" si="66"/>
        <v>0</v>
      </c>
      <c r="G189" s="64">
        <f t="shared" si="67"/>
        <v>23</v>
      </c>
      <c r="H189" s="64">
        <f t="shared" si="68"/>
        <v>0</v>
      </c>
      <c r="I189" s="64">
        <f t="shared" si="69"/>
        <v>0</v>
      </c>
      <c r="J189" s="64">
        <f t="shared" si="70"/>
        <v>0</v>
      </c>
      <c r="K189" s="64">
        <f t="shared" si="71"/>
        <v>0</v>
      </c>
      <c r="L189" s="64">
        <f t="shared" si="72"/>
        <v>0</v>
      </c>
      <c r="M189" s="64">
        <f t="shared" si="73"/>
        <v>0</v>
      </c>
      <c r="N189" s="64">
        <f t="shared" si="74"/>
        <v>0</v>
      </c>
      <c r="O189" s="64">
        <f t="shared" si="75"/>
        <v>0</v>
      </c>
      <c r="P189" s="64">
        <f t="shared" si="76"/>
        <v>0</v>
      </c>
      <c r="Q189" s="64">
        <f t="shared" si="77"/>
        <v>0</v>
      </c>
      <c r="R189" s="2"/>
    </row>
    <row r="190" spans="1:18">
      <c r="A190" s="1356">
        <v>923000</v>
      </c>
      <c r="B190" s="1522" t="s">
        <v>1899</v>
      </c>
      <c r="C190" s="1356" t="s">
        <v>1179</v>
      </c>
      <c r="D190" s="19">
        <f t="shared" si="65"/>
        <v>923</v>
      </c>
      <c r="E190" s="10">
        <f t="shared" si="58"/>
        <v>2142738</v>
      </c>
      <c r="F190" s="64">
        <f t="shared" si="66"/>
        <v>229444</v>
      </c>
      <c r="G190" s="64">
        <f t="shared" si="67"/>
        <v>66138</v>
      </c>
      <c r="H190" s="64">
        <f t="shared" si="68"/>
        <v>150687</v>
      </c>
      <c r="I190" s="64">
        <f t="shared" si="69"/>
        <v>146760</v>
      </c>
      <c r="J190" s="64">
        <f t="shared" si="70"/>
        <v>115234</v>
      </c>
      <c r="K190" s="64">
        <f t="shared" si="71"/>
        <v>126012</v>
      </c>
      <c r="L190" s="64">
        <f t="shared" si="72"/>
        <v>265705</v>
      </c>
      <c r="M190" s="64">
        <f t="shared" si="73"/>
        <v>187380</v>
      </c>
      <c r="N190" s="64">
        <f t="shared" si="74"/>
        <v>199175</v>
      </c>
      <c r="O190" s="64">
        <f t="shared" si="75"/>
        <v>260078</v>
      </c>
      <c r="P190" s="64">
        <f t="shared" si="76"/>
        <v>203712</v>
      </c>
      <c r="Q190" s="64">
        <f t="shared" si="77"/>
        <v>192413</v>
      </c>
      <c r="R190" s="2"/>
    </row>
    <row r="191" spans="1:18">
      <c r="A191" s="1356">
        <v>923980</v>
      </c>
      <c r="B191" s="1522" t="s">
        <v>2140</v>
      </c>
      <c r="C191" s="1356" t="s">
        <v>1179</v>
      </c>
      <c r="D191" s="19">
        <f t="shared" si="65"/>
        <v>923</v>
      </c>
      <c r="E191" s="10">
        <f t="shared" si="58"/>
        <v>-12554</v>
      </c>
      <c r="F191" s="64">
        <f t="shared" si="66"/>
        <v>-217</v>
      </c>
      <c r="G191" s="64">
        <f t="shared" si="67"/>
        <v>-1366</v>
      </c>
      <c r="H191" s="64">
        <f t="shared" si="68"/>
        <v>-1098</v>
      </c>
      <c r="I191" s="64">
        <f t="shared" si="69"/>
        <v>-3846</v>
      </c>
      <c r="J191" s="64">
        <f t="shared" si="70"/>
        <v>-1997</v>
      </c>
      <c r="K191" s="64">
        <f t="shared" si="71"/>
        <v>-4030</v>
      </c>
      <c r="L191" s="64">
        <f t="shared" si="72"/>
        <v>0</v>
      </c>
      <c r="M191" s="64">
        <f t="shared" si="73"/>
        <v>0</v>
      </c>
      <c r="N191" s="64">
        <f t="shared" si="74"/>
        <v>0</v>
      </c>
      <c r="O191" s="64">
        <f t="shared" si="75"/>
        <v>0</v>
      </c>
      <c r="P191" s="64">
        <f t="shared" si="76"/>
        <v>0</v>
      </c>
      <c r="Q191" s="64">
        <f t="shared" si="77"/>
        <v>0</v>
      </c>
      <c r="R191" s="2"/>
    </row>
    <row r="192" spans="1:18">
      <c r="A192" s="1356">
        <v>924000</v>
      </c>
      <c r="B192" s="1522" t="s">
        <v>1900</v>
      </c>
      <c r="C192" s="1356" t="s">
        <v>1179</v>
      </c>
      <c r="D192" s="19">
        <f t="shared" si="65"/>
        <v>924</v>
      </c>
      <c r="E192" s="10">
        <f t="shared" si="58"/>
        <v>2772</v>
      </c>
      <c r="F192" s="64">
        <f t="shared" si="66"/>
        <v>-466</v>
      </c>
      <c r="G192" s="64">
        <f t="shared" si="67"/>
        <v>403</v>
      </c>
      <c r="H192" s="64">
        <f t="shared" si="68"/>
        <v>361</v>
      </c>
      <c r="I192" s="64">
        <f t="shared" si="69"/>
        <v>-60</v>
      </c>
      <c r="J192" s="64">
        <f t="shared" si="70"/>
        <v>403</v>
      </c>
      <c r="K192" s="64">
        <f t="shared" si="71"/>
        <v>-232</v>
      </c>
      <c r="L192" s="64">
        <f t="shared" si="72"/>
        <v>0</v>
      </c>
      <c r="M192" s="64">
        <f t="shared" si="73"/>
        <v>2363</v>
      </c>
      <c r="N192" s="64">
        <f t="shared" si="74"/>
        <v>0</v>
      </c>
      <c r="O192" s="64">
        <f t="shared" si="75"/>
        <v>0</v>
      </c>
      <c r="P192" s="64">
        <f t="shared" si="76"/>
        <v>0</v>
      </c>
      <c r="Q192" s="64">
        <f t="shared" si="77"/>
        <v>0</v>
      </c>
      <c r="R192" s="2"/>
    </row>
    <row r="193" spans="1:18">
      <c r="A193" s="1356">
        <v>924050</v>
      </c>
      <c r="B193" s="1522" t="s">
        <v>2141</v>
      </c>
      <c r="C193" s="1356" t="s">
        <v>1179</v>
      </c>
      <c r="D193" s="19">
        <f t="shared" si="65"/>
        <v>924</v>
      </c>
      <c r="E193" s="10">
        <f t="shared" si="58"/>
        <v>180681</v>
      </c>
      <c r="F193" s="64">
        <f t="shared" si="66"/>
        <v>15328</v>
      </c>
      <c r="G193" s="64">
        <f t="shared" si="67"/>
        <v>15781</v>
      </c>
      <c r="H193" s="64">
        <f t="shared" si="68"/>
        <v>15781</v>
      </c>
      <c r="I193" s="64">
        <f t="shared" si="69"/>
        <v>15781</v>
      </c>
      <c r="J193" s="64">
        <f t="shared" si="70"/>
        <v>15781</v>
      </c>
      <c r="K193" s="64">
        <f t="shared" si="71"/>
        <v>15781</v>
      </c>
      <c r="L193" s="64">
        <f t="shared" si="72"/>
        <v>14408</v>
      </c>
      <c r="M193" s="64">
        <f t="shared" si="73"/>
        <v>14408</v>
      </c>
      <c r="N193" s="64">
        <f t="shared" si="74"/>
        <v>14408</v>
      </c>
      <c r="O193" s="64">
        <f t="shared" si="75"/>
        <v>14408</v>
      </c>
      <c r="P193" s="64">
        <f t="shared" si="76"/>
        <v>14408</v>
      </c>
      <c r="Q193" s="64">
        <f t="shared" si="77"/>
        <v>14408</v>
      </c>
      <c r="R193" s="2"/>
    </row>
    <row r="194" spans="1:18">
      <c r="A194" s="1356">
        <v>924980</v>
      </c>
      <c r="B194" s="1522" t="s">
        <v>2142</v>
      </c>
      <c r="C194" s="1356" t="s">
        <v>1179</v>
      </c>
      <c r="D194" s="19">
        <f t="shared" si="65"/>
        <v>924</v>
      </c>
      <c r="E194" s="10">
        <f t="shared" si="58"/>
        <v>171660</v>
      </c>
      <c r="F194" s="64">
        <f t="shared" si="66"/>
        <v>14213</v>
      </c>
      <c r="G194" s="64">
        <f t="shared" si="67"/>
        <v>13553</v>
      </c>
      <c r="H194" s="64">
        <f t="shared" si="68"/>
        <v>13553</v>
      </c>
      <c r="I194" s="64">
        <f t="shared" si="69"/>
        <v>13553</v>
      </c>
      <c r="J194" s="64">
        <f t="shared" si="70"/>
        <v>13553</v>
      </c>
      <c r="K194" s="64">
        <f t="shared" si="71"/>
        <v>13553</v>
      </c>
      <c r="L194" s="64">
        <f t="shared" si="72"/>
        <v>14947</v>
      </c>
      <c r="M194" s="64">
        <f t="shared" si="73"/>
        <v>14947</v>
      </c>
      <c r="N194" s="64">
        <f t="shared" si="74"/>
        <v>14947</v>
      </c>
      <c r="O194" s="64">
        <f t="shared" si="75"/>
        <v>14947</v>
      </c>
      <c r="P194" s="64">
        <f t="shared" si="76"/>
        <v>14947</v>
      </c>
      <c r="Q194" s="64">
        <f t="shared" si="77"/>
        <v>14947</v>
      </c>
      <c r="R194" s="2"/>
    </row>
    <row r="195" spans="1:18">
      <c r="A195" s="1356">
        <v>925000</v>
      </c>
      <c r="B195" s="1522" t="s">
        <v>1891</v>
      </c>
      <c r="C195" s="1356" t="s">
        <v>1179</v>
      </c>
      <c r="D195" s="19">
        <f t="shared" si="65"/>
        <v>925</v>
      </c>
      <c r="E195" s="10">
        <f t="shared" si="58"/>
        <v>174915</v>
      </c>
      <c r="F195" s="64">
        <f t="shared" si="66"/>
        <v>13943</v>
      </c>
      <c r="G195" s="64">
        <f t="shared" si="67"/>
        <v>15626</v>
      </c>
      <c r="H195" s="64">
        <f t="shared" si="68"/>
        <v>17260</v>
      </c>
      <c r="I195" s="64">
        <f t="shared" si="69"/>
        <v>16654</v>
      </c>
      <c r="J195" s="64">
        <f t="shared" si="70"/>
        <v>15188</v>
      </c>
      <c r="K195" s="64">
        <f t="shared" si="71"/>
        <v>28342</v>
      </c>
      <c r="L195" s="64">
        <f t="shared" si="72"/>
        <v>11317</v>
      </c>
      <c r="M195" s="64">
        <f t="shared" si="73"/>
        <v>11317</v>
      </c>
      <c r="N195" s="64">
        <f t="shared" si="74"/>
        <v>11317</v>
      </c>
      <c r="O195" s="64">
        <f t="shared" si="75"/>
        <v>11317</v>
      </c>
      <c r="P195" s="64">
        <f t="shared" si="76"/>
        <v>11317</v>
      </c>
      <c r="Q195" s="64">
        <f t="shared" si="77"/>
        <v>11317</v>
      </c>
      <c r="R195" s="2"/>
    </row>
    <row r="196" spans="1:18">
      <c r="A196" s="1356">
        <v>925050</v>
      </c>
      <c r="B196" s="1522" t="s">
        <v>2609</v>
      </c>
      <c r="C196" s="1356" t="s">
        <v>1179</v>
      </c>
      <c r="D196" s="19">
        <f>VALUE(LEFT(A196,3))</f>
        <v>925</v>
      </c>
      <c r="E196" s="10">
        <f t="shared" si="58"/>
        <v>0</v>
      </c>
      <c r="F196" s="64">
        <f t="shared" si="66"/>
        <v>0</v>
      </c>
      <c r="G196" s="64">
        <f t="shared" si="67"/>
        <v>0</v>
      </c>
      <c r="H196" s="64">
        <f t="shared" si="68"/>
        <v>0</v>
      </c>
      <c r="I196" s="64">
        <f t="shared" si="69"/>
        <v>0</v>
      </c>
      <c r="J196" s="64">
        <f t="shared" si="70"/>
        <v>0</v>
      </c>
      <c r="K196" s="64">
        <f t="shared" si="71"/>
        <v>0</v>
      </c>
      <c r="L196" s="64">
        <f t="shared" si="72"/>
        <v>0</v>
      </c>
      <c r="M196" s="64">
        <f t="shared" si="73"/>
        <v>0</v>
      </c>
      <c r="N196" s="64">
        <f t="shared" si="74"/>
        <v>0</v>
      </c>
      <c r="O196" s="64">
        <f t="shared" si="75"/>
        <v>0</v>
      </c>
      <c r="P196" s="64">
        <f t="shared" si="76"/>
        <v>0</v>
      </c>
      <c r="Q196" s="64">
        <f t="shared" si="77"/>
        <v>0</v>
      </c>
      <c r="R196" s="2"/>
    </row>
    <row r="197" spans="1:18">
      <c r="A197" s="1356">
        <v>925051</v>
      </c>
      <c r="B197" s="1522" t="s">
        <v>2143</v>
      </c>
      <c r="C197" s="1356" t="s">
        <v>1179</v>
      </c>
      <c r="D197" s="19">
        <f t="shared" si="65"/>
        <v>925</v>
      </c>
      <c r="E197" s="10">
        <f t="shared" si="58"/>
        <v>761555</v>
      </c>
      <c r="F197" s="64">
        <f t="shared" si="66"/>
        <v>54925</v>
      </c>
      <c r="G197" s="64">
        <f t="shared" si="67"/>
        <v>60266</v>
      </c>
      <c r="H197" s="64">
        <f t="shared" si="68"/>
        <v>60266</v>
      </c>
      <c r="I197" s="64">
        <f t="shared" si="69"/>
        <v>60266</v>
      </c>
      <c r="J197" s="64">
        <f t="shared" si="70"/>
        <v>60266</v>
      </c>
      <c r="K197" s="64">
        <f t="shared" si="71"/>
        <v>60266</v>
      </c>
      <c r="L197" s="64">
        <f t="shared" si="72"/>
        <v>67550</v>
      </c>
      <c r="M197" s="64">
        <f t="shared" si="73"/>
        <v>67550</v>
      </c>
      <c r="N197" s="64">
        <f t="shared" si="74"/>
        <v>67550</v>
      </c>
      <c r="O197" s="64">
        <f t="shared" si="75"/>
        <v>67550</v>
      </c>
      <c r="P197" s="64">
        <f t="shared" si="76"/>
        <v>67550</v>
      </c>
      <c r="Q197" s="64">
        <f t="shared" si="77"/>
        <v>67550</v>
      </c>
      <c r="R197" s="2"/>
    </row>
    <row r="198" spans="1:18">
      <c r="A198" s="1356">
        <v>925200</v>
      </c>
      <c r="B198" s="1522" t="s">
        <v>2144</v>
      </c>
      <c r="C198" s="1356" t="s">
        <v>1179</v>
      </c>
      <c r="D198" s="19">
        <f t="shared" si="65"/>
        <v>925</v>
      </c>
      <c r="E198" s="10">
        <f t="shared" si="58"/>
        <v>4035</v>
      </c>
      <c r="F198" s="64">
        <f t="shared" ref="F198:F222" si="78">IF(ISNA(VLOOKUP(A198,BPActual,3,FALSE)=TRUE),0,VLOOKUP(A198,BPActual,3,FALSE))</f>
        <v>900</v>
      </c>
      <c r="G198" s="64">
        <f t="shared" ref="G198:G222" si="79">IF(ISNA(VLOOKUP(A198,BPActual,4,FALSE)=TRUE),0,VLOOKUP(A198,BPActual,4,FALSE))</f>
        <v>669</v>
      </c>
      <c r="H198" s="64">
        <f t="shared" ref="H198:H222" si="80">IF(ISNA(VLOOKUP(A198,BPActual,5,FALSE)=TRUE),0,VLOOKUP(A198,BPActual,5,FALSE))</f>
        <v>519</v>
      </c>
      <c r="I198" s="64">
        <f t="shared" ref="I198:I222" si="81">IF(ISNA(VLOOKUP(A198,BPActual,6,FALSE)=TRUE),0,VLOOKUP(A198,BPActual,6,FALSE))</f>
        <v>666</v>
      </c>
      <c r="J198" s="64">
        <f t="shared" ref="J198:J222" si="82">IF(ISNA(VLOOKUP(A198,BPActual,7,FALSE)=TRUE),0,VLOOKUP(A198,BPActual,7,FALSE))</f>
        <v>630</v>
      </c>
      <c r="K198" s="64">
        <f t="shared" ref="K198:K222" si="83">IF(ISNA(VLOOKUP(A198,BPActual,8,FALSE)=TRUE),0,VLOOKUP(A198,BPActual,8,FALSE))</f>
        <v>651</v>
      </c>
      <c r="L198" s="64">
        <f t="shared" si="72"/>
        <v>0</v>
      </c>
      <c r="M198" s="64">
        <f t="shared" si="73"/>
        <v>0</v>
      </c>
      <c r="N198" s="64">
        <f t="shared" si="74"/>
        <v>0</v>
      </c>
      <c r="O198" s="64">
        <f t="shared" si="75"/>
        <v>0</v>
      </c>
      <c r="P198" s="64">
        <f t="shared" si="76"/>
        <v>0</v>
      </c>
      <c r="Q198" s="64">
        <f t="shared" si="77"/>
        <v>0</v>
      </c>
      <c r="R198" s="2"/>
    </row>
    <row r="199" spans="1:18">
      <c r="A199" s="1356">
        <v>925980</v>
      </c>
      <c r="B199" s="1522" t="s">
        <v>2145</v>
      </c>
      <c r="C199" s="1356" t="s">
        <v>1179</v>
      </c>
      <c r="D199" s="19">
        <f t="shared" si="65"/>
        <v>925</v>
      </c>
      <c r="E199" s="10">
        <f t="shared" si="58"/>
        <v>48112</v>
      </c>
      <c r="F199" s="64">
        <f t="shared" si="78"/>
        <v>1076</v>
      </c>
      <c r="G199" s="64">
        <f t="shared" si="79"/>
        <v>1054</v>
      </c>
      <c r="H199" s="64">
        <f t="shared" si="80"/>
        <v>1054</v>
      </c>
      <c r="I199" s="64">
        <f t="shared" si="81"/>
        <v>1054</v>
      </c>
      <c r="J199" s="64">
        <f t="shared" si="82"/>
        <v>1054</v>
      </c>
      <c r="K199" s="64">
        <f t="shared" si="83"/>
        <v>1054</v>
      </c>
      <c r="L199" s="64">
        <f t="shared" si="72"/>
        <v>5001</v>
      </c>
      <c r="M199" s="64">
        <f t="shared" si="73"/>
        <v>7645</v>
      </c>
      <c r="N199" s="64">
        <f t="shared" si="74"/>
        <v>5841</v>
      </c>
      <c r="O199" s="64">
        <f t="shared" si="75"/>
        <v>5098</v>
      </c>
      <c r="P199" s="64">
        <f t="shared" si="76"/>
        <v>13803</v>
      </c>
      <c r="Q199" s="64">
        <f t="shared" si="77"/>
        <v>4378</v>
      </c>
      <c r="R199" s="2"/>
    </row>
    <row r="200" spans="1:18">
      <c r="A200" s="1356">
        <v>926000</v>
      </c>
      <c r="B200" s="1522" t="s">
        <v>2146</v>
      </c>
      <c r="C200" s="1356" t="s">
        <v>1179</v>
      </c>
      <c r="D200" s="19">
        <f t="shared" si="65"/>
        <v>926</v>
      </c>
      <c r="E200" s="10">
        <f t="shared" si="58"/>
        <v>4038807</v>
      </c>
      <c r="F200" s="64">
        <f t="shared" si="78"/>
        <v>396955</v>
      </c>
      <c r="G200" s="64">
        <f t="shared" si="79"/>
        <v>284723</v>
      </c>
      <c r="H200" s="64">
        <f t="shared" si="80"/>
        <v>336818</v>
      </c>
      <c r="I200" s="64">
        <f t="shared" si="81"/>
        <v>326413</v>
      </c>
      <c r="J200" s="64">
        <f t="shared" si="82"/>
        <v>551265</v>
      </c>
      <c r="K200" s="64">
        <f t="shared" si="83"/>
        <v>307970</v>
      </c>
      <c r="L200" s="64">
        <f t="shared" si="72"/>
        <v>353840</v>
      </c>
      <c r="M200" s="64">
        <f t="shared" si="73"/>
        <v>323531</v>
      </c>
      <c r="N200" s="64">
        <f t="shared" si="74"/>
        <v>322813</v>
      </c>
      <c r="O200" s="64">
        <f t="shared" si="75"/>
        <v>189989</v>
      </c>
      <c r="P200" s="64">
        <f t="shared" si="76"/>
        <v>322347</v>
      </c>
      <c r="Q200" s="64">
        <f t="shared" si="77"/>
        <v>322143</v>
      </c>
      <c r="R200" s="2"/>
    </row>
    <row r="201" spans="1:18">
      <c r="A201" s="1356">
        <v>926430</v>
      </c>
      <c r="B201" s="1522" t="s">
        <v>2147</v>
      </c>
      <c r="C201" s="1356" t="s">
        <v>1179</v>
      </c>
      <c r="D201" s="19">
        <f t="shared" si="65"/>
        <v>926</v>
      </c>
      <c r="E201" s="10">
        <f t="shared" si="58"/>
        <v>867</v>
      </c>
      <c r="F201" s="64">
        <f t="shared" si="78"/>
        <v>21</v>
      </c>
      <c r="G201" s="64">
        <f t="shared" si="79"/>
        <v>0</v>
      </c>
      <c r="H201" s="64">
        <f t="shared" si="80"/>
        <v>0</v>
      </c>
      <c r="I201" s="64">
        <f t="shared" si="81"/>
        <v>0</v>
      </c>
      <c r="J201" s="64">
        <f t="shared" si="82"/>
        <v>0</v>
      </c>
      <c r="K201" s="64">
        <f t="shared" si="83"/>
        <v>0</v>
      </c>
      <c r="L201" s="64">
        <f t="shared" si="72"/>
        <v>141</v>
      </c>
      <c r="M201" s="64">
        <f t="shared" si="73"/>
        <v>141</v>
      </c>
      <c r="N201" s="64">
        <f t="shared" si="74"/>
        <v>141</v>
      </c>
      <c r="O201" s="64">
        <f t="shared" si="75"/>
        <v>141</v>
      </c>
      <c r="P201" s="64">
        <f t="shared" si="76"/>
        <v>141</v>
      </c>
      <c r="Q201" s="64">
        <f t="shared" si="77"/>
        <v>141</v>
      </c>
      <c r="R201" s="2"/>
    </row>
    <row r="202" spans="1:18">
      <c r="A202" s="1356">
        <v>926490</v>
      </c>
      <c r="B202" s="1522" t="s">
        <v>2181</v>
      </c>
      <c r="C202" s="1356" t="s">
        <v>1179</v>
      </c>
      <c r="D202" s="19">
        <f t="shared" si="65"/>
        <v>926</v>
      </c>
      <c r="E202" s="10">
        <f t="shared" si="58"/>
        <v>0</v>
      </c>
      <c r="F202" s="64">
        <f t="shared" si="78"/>
        <v>0</v>
      </c>
      <c r="G202" s="64">
        <f t="shared" si="79"/>
        <v>0</v>
      </c>
      <c r="H202" s="64">
        <f t="shared" si="80"/>
        <v>0</v>
      </c>
      <c r="I202" s="64">
        <f t="shared" si="81"/>
        <v>0</v>
      </c>
      <c r="J202" s="64">
        <f t="shared" si="82"/>
        <v>0</v>
      </c>
      <c r="K202" s="64">
        <f t="shared" si="83"/>
        <v>0</v>
      </c>
      <c r="L202" s="64">
        <f t="shared" si="72"/>
        <v>0</v>
      </c>
      <c r="M202" s="64">
        <f t="shared" si="73"/>
        <v>0</v>
      </c>
      <c r="N202" s="64">
        <f t="shared" si="74"/>
        <v>0</v>
      </c>
      <c r="O202" s="64">
        <f t="shared" si="75"/>
        <v>0</v>
      </c>
      <c r="P202" s="64">
        <f t="shared" si="76"/>
        <v>0</v>
      </c>
      <c r="Q202" s="64">
        <f t="shared" si="77"/>
        <v>0</v>
      </c>
      <c r="R202" s="2"/>
    </row>
    <row r="203" spans="1:18">
      <c r="A203" s="1356">
        <v>926600</v>
      </c>
      <c r="B203" s="1522" t="s">
        <v>2148</v>
      </c>
      <c r="C203" s="1356" t="s">
        <v>1179</v>
      </c>
      <c r="D203" s="19">
        <f t="shared" si="65"/>
        <v>926</v>
      </c>
      <c r="E203" s="10">
        <f t="shared" ref="E203:E222" si="84">SUM(F203:Q203)</f>
        <v>2247360</v>
      </c>
      <c r="F203" s="64">
        <f t="shared" si="78"/>
        <v>38101</v>
      </c>
      <c r="G203" s="64">
        <f t="shared" si="79"/>
        <v>235088</v>
      </c>
      <c r="H203" s="64">
        <f t="shared" si="80"/>
        <v>190713</v>
      </c>
      <c r="I203" s="64">
        <f t="shared" si="81"/>
        <v>154761</v>
      </c>
      <c r="J203" s="64">
        <f t="shared" si="82"/>
        <v>197247</v>
      </c>
      <c r="K203" s="64">
        <f t="shared" si="83"/>
        <v>164479</v>
      </c>
      <c r="L203" s="64">
        <f t="shared" si="72"/>
        <v>211482</v>
      </c>
      <c r="M203" s="64">
        <f t="shared" si="73"/>
        <v>228440</v>
      </c>
      <c r="N203" s="64">
        <f t="shared" si="74"/>
        <v>172799</v>
      </c>
      <c r="O203" s="64">
        <f t="shared" si="75"/>
        <v>256533</v>
      </c>
      <c r="P203" s="64">
        <f t="shared" si="76"/>
        <v>197987</v>
      </c>
      <c r="Q203" s="64">
        <f t="shared" si="77"/>
        <v>199730</v>
      </c>
      <c r="R203" s="2"/>
    </row>
    <row r="204" spans="1:18">
      <c r="A204" s="1356">
        <v>928000</v>
      </c>
      <c r="B204" s="1522" t="s">
        <v>2448</v>
      </c>
      <c r="C204" s="1356" t="s">
        <v>1179</v>
      </c>
      <c r="D204" s="19">
        <f t="shared" si="65"/>
        <v>928</v>
      </c>
      <c r="E204" s="10">
        <f t="shared" si="84"/>
        <v>0</v>
      </c>
      <c r="F204" s="64">
        <f t="shared" si="78"/>
        <v>0</v>
      </c>
      <c r="G204" s="64">
        <f t="shared" si="79"/>
        <v>0</v>
      </c>
      <c r="H204" s="64">
        <f t="shared" si="80"/>
        <v>0</v>
      </c>
      <c r="I204" s="64">
        <f t="shared" si="81"/>
        <v>0</v>
      </c>
      <c r="J204" s="64">
        <f t="shared" si="82"/>
        <v>0</v>
      </c>
      <c r="K204" s="64">
        <f t="shared" si="83"/>
        <v>0</v>
      </c>
      <c r="L204" s="64">
        <f t="shared" si="72"/>
        <v>0</v>
      </c>
      <c r="M204" s="64">
        <f t="shared" si="73"/>
        <v>0</v>
      </c>
      <c r="N204" s="64">
        <f t="shared" si="74"/>
        <v>0</v>
      </c>
      <c r="O204" s="64">
        <f t="shared" si="75"/>
        <v>0</v>
      </c>
      <c r="P204" s="64">
        <f t="shared" si="76"/>
        <v>0</v>
      </c>
      <c r="Q204" s="64">
        <f t="shared" si="77"/>
        <v>0</v>
      </c>
      <c r="R204" s="2"/>
    </row>
    <row r="205" spans="1:18">
      <c r="A205" s="1356">
        <v>928006</v>
      </c>
      <c r="B205" s="1522" t="s">
        <v>345</v>
      </c>
      <c r="C205" s="1356" t="s">
        <v>1179</v>
      </c>
      <c r="D205" s="19">
        <f t="shared" si="65"/>
        <v>928</v>
      </c>
      <c r="E205" s="10">
        <f t="shared" si="84"/>
        <v>706932</v>
      </c>
      <c r="F205" s="64">
        <f t="shared" si="78"/>
        <v>58602</v>
      </c>
      <c r="G205" s="64">
        <f t="shared" si="79"/>
        <v>58602</v>
      </c>
      <c r="H205" s="64">
        <f t="shared" si="80"/>
        <v>58602</v>
      </c>
      <c r="I205" s="64">
        <f t="shared" si="81"/>
        <v>58602</v>
      </c>
      <c r="J205" s="64">
        <f t="shared" si="82"/>
        <v>58602</v>
      </c>
      <c r="K205" s="64">
        <f t="shared" si="83"/>
        <v>58602</v>
      </c>
      <c r="L205" s="64">
        <f t="shared" ref="L205:L222" si="85">IF(ISNA(VLOOKUP(A205,BPActual,9,FALSE)=TRUE),0,VLOOKUP(A205,BPActual,9,FALSE))</f>
        <v>59220</v>
      </c>
      <c r="M205" s="64">
        <f t="shared" ref="M205:M222" si="86">IF(ISNA(VLOOKUP(A205,BPActual,10,FALSE)=TRUE),0,VLOOKUP(A205,BPActual,10,FALSE))</f>
        <v>59220</v>
      </c>
      <c r="N205" s="64">
        <f t="shared" ref="N205:N222" si="87">IF(ISNA(VLOOKUP(A205,BPActual,11,FALSE)=TRUE),0,VLOOKUP(A205,BPActual,11,FALSE))</f>
        <v>59220</v>
      </c>
      <c r="O205" s="64">
        <f t="shared" ref="O205:O222" si="88">IF(ISNA(VLOOKUP(A205,BPActual,12,FALSE)=TRUE),0,VLOOKUP(A205,BPActual,12,FALSE))</f>
        <v>59220</v>
      </c>
      <c r="P205" s="64">
        <f t="shared" ref="P205:P222" si="89">IF(ISNA(VLOOKUP(A205,BPActual,13,FALSE)=TRUE),0,VLOOKUP(A205,BPActual,13,FALSE))</f>
        <v>59220</v>
      </c>
      <c r="Q205" s="64">
        <f t="shared" ref="Q205:Q222" si="90">IF(ISNA(VLOOKUP(A205,BPActual,14,FALSE)=TRUE),0,VLOOKUP(A205,BPActual,14,FALSE))</f>
        <v>59220</v>
      </c>
      <c r="R205" s="2"/>
    </row>
    <row r="206" spans="1:18">
      <c r="A206" s="1356">
        <v>928030</v>
      </c>
      <c r="B206" s="1522" t="s">
        <v>2491</v>
      </c>
      <c r="C206" s="1356" t="s">
        <v>1179</v>
      </c>
      <c r="D206" s="19">
        <f>VALUE(LEFT(A206,3))</f>
        <v>928</v>
      </c>
      <c r="E206" s="10">
        <f t="shared" si="84"/>
        <v>0</v>
      </c>
      <c r="F206" s="64">
        <f t="shared" si="78"/>
        <v>0</v>
      </c>
      <c r="G206" s="64">
        <f t="shared" si="79"/>
        <v>0</v>
      </c>
      <c r="H206" s="64">
        <f t="shared" si="80"/>
        <v>0</v>
      </c>
      <c r="I206" s="64">
        <f t="shared" si="81"/>
        <v>0</v>
      </c>
      <c r="J206" s="64">
        <f t="shared" si="82"/>
        <v>0</v>
      </c>
      <c r="K206" s="64">
        <f t="shared" si="83"/>
        <v>0</v>
      </c>
      <c r="L206" s="64">
        <f t="shared" si="85"/>
        <v>0</v>
      </c>
      <c r="M206" s="64">
        <f t="shared" si="86"/>
        <v>0</v>
      </c>
      <c r="N206" s="64">
        <f t="shared" si="87"/>
        <v>0</v>
      </c>
      <c r="O206" s="64">
        <f t="shared" si="88"/>
        <v>0</v>
      </c>
      <c r="P206" s="64">
        <f t="shared" si="89"/>
        <v>0</v>
      </c>
      <c r="Q206" s="64">
        <f t="shared" si="90"/>
        <v>0</v>
      </c>
      <c r="R206" s="2"/>
    </row>
    <row r="207" spans="1:18">
      <c r="A207" s="1356">
        <v>929000</v>
      </c>
      <c r="B207" s="1522" t="s">
        <v>2149</v>
      </c>
      <c r="C207" s="1356" t="s">
        <v>1179</v>
      </c>
      <c r="D207" s="19">
        <f t="shared" si="65"/>
        <v>929</v>
      </c>
      <c r="E207" s="10">
        <f t="shared" si="84"/>
        <v>-23231</v>
      </c>
      <c r="F207" s="64">
        <f t="shared" si="78"/>
        <v>-3281</v>
      </c>
      <c r="G207" s="64">
        <f t="shared" si="79"/>
        <v>-4416</v>
      </c>
      <c r="H207" s="64">
        <f t="shared" si="80"/>
        <v>-4247</v>
      </c>
      <c r="I207" s="64">
        <f t="shared" si="81"/>
        <v>-3825</v>
      </c>
      <c r="J207" s="64">
        <f t="shared" si="82"/>
        <v>-3815</v>
      </c>
      <c r="K207" s="64">
        <f t="shared" si="83"/>
        <v>-3647</v>
      </c>
      <c r="L207" s="64">
        <f t="shared" si="85"/>
        <v>0</v>
      </c>
      <c r="M207" s="64">
        <f t="shared" si="86"/>
        <v>0</v>
      </c>
      <c r="N207" s="64">
        <f t="shared" si="87"/>
        <v>0</v>
      </c>
      <c r="O207" s="64">
        <f t="shared" si="88"/>
        <v>0</v>
      </c>
      <c r="P207" s="64">
        <f t="shared" si="89"/>
        <v>0</v>
      </c>
      <c r="Q207" s="64">
        <f t="shared" si="90"/>
        <v>0</v>
      </c>
      <c r="R207" s="2"/>
    </row>
    <row r="208" spans="1:18">
      <c r="A208" s="1356">
        <v>929500</v>
      </c>
      <c r="B208" s="1522" t="s">
        <v>2150</v>
      </c>
      <c r="C208" s="1356" t="s">
        <v>1179</v>
      </c>
      <c r="D208" s="19">
        <f t="shared" si="65"/>
        <v>929</v>
      </c>
      <c r="E208" s="10">
        <f t="shared" si="84"/>
        <v>-394584</v>
      </c>
      <c r="F208" s="64">
        <f t="shared" si="78"/>
        <v>-31499</v>
      </c>
      <c r="G208" s="64">
        <f t="shared" si="79"/>
        <v>-26046</v>
      </c>
      <c r="H208" s="64">
        <f t="shared" si="80"/>
        <v>-29757</v>
      </c>
      <c r="I208" s="64">
        <f t="shared" si="81"/>
        <v>-59220</v>
      </c>
      <c r="J208" s="64">
        <f t="shared" si="82"/>
        <v>-33576</v>
      </c>
      <c r="K208" s="64">
        <f t="shared" si="83"/>
        <v>-37886</v>
      </c>
      <c r="L208" s="64">
        <f t="shared" si="85"/>
        <v>-27273</v>
      </c>
      <c r="M208" s="64">
        <f t="shared" si="86"/>
        <v>-27273</v>
      </c>
      <c r="N208" s="64">
        <f t="shared" si="87"/>
        <v>-27273</v>
      </c>
      <c r="O208" s="64">
        <f t="shared" si="88"/>
        <v>-40235</v>
      </c>
      <c r="P208" s="64">
        <f t="shared" si="89"/>
        <v>-27273</v>
      </c>
      <c r="Q208" s="64">
        <f t="shared" si="90"/>
        <v>-27273</v>
      </c>
      <c r="R208" s="2"/>
    </row>
    <row r="209" spans="1:18">
      <c r="A209" s="1356">
        <v>930150</v>
      </c>
      <c r="B209" s="1522" t="s">
        <v>2151</v>
      </c>
      <c r="C209" s="1356" t="s">
        <v>1179</v>
      </c>
      <c r="D209" s="19">
        <f t="shared" si="65"/>
        <v>930</v>
      </c>
      <c r="E209" s="10">
        <f t="shared" si="84"/>
        <v>11346</v>
      </c>
      <c r="F209" s="64">
        <f t="shared" si="78"/>
        <v>1260</v>
      </c>
      <c r="G209" s="64">
        <f t="shared" si="79"/>
        <v>1713</v>
      </c>
      <c r="H209" s="64">
        <f t="shared" si="80"/>
        <v>1850</v>
      </c>
      <c r="I209" s="64">
        <f t="shared" si="81"/>
        <v>1153</v>
      </c>
      <c r="J209" s="64">
        <f t="shared" si="82"/>
        <v>2168</v>
      </c>
      <c r="K209" s="64">
        <f t="shared" si="83"/>
        <v>3202</v>
      </c>
      <c r="L209" s="64">
        <f t="shared" si="85"/>
        <v>0</v>
      </c>
      <c r="M209" s="64">
        <f t="shared" si="86"/>
        <v>0</v>
      </c>
      <c r="N209" s="64">
        <f t="shared" si="87"/>
        <v>0</v>
      </c>
      <c r="O209" s="64">
        <f t="shared" si="88"/>
        <v>0</v>
      </c>
      <c r="P209" s="64">
        <f t="shared" si="89"/>
        <v>0</v>
      </c>
      <c r="Q209" s="64">
        <f t="shared" si="90"/>
        <v>0</v>
      </c>
      <c r="R209" s="2"/>
    </row>
    <row r="210" spans="1:18">
      <c r="A210" s="1356">
        <v>930200</v>
      </c>
      <c r="B210" s="1522" t="s">
        <v>2152</v>
      </c>
      <c r="C210" s="1356" t="s">
        <v>1179</v>
      </c>
      <c r="D210" s="19">
        <f t="shared" si="65"/>
        <v>930</v>
      </c>
      <c r="E210" s="10">
        <f t="shared" si="84"/>
        <v>497785</v>
      </c>
      <c r="F210" s="64">
        <f t="shared" si="78"/>
        <v>26195</v>
      </c>
      <c r="G210" s="64">
        <f t="shared" si="79"/>
        <v>24148</v>
      </c>
      <c r="H210" s="64">
        <f t="shared" si="80"/>
        <v>32100</v>
      </c>
      <c r="I210" s="64">
        <f t="shared" si="81"/>
        <v>43449</v>
      </c>
      <c r="J210" s="64">
        <f t="shared" si="82"/>
        <v>34388</v>
      </c>
      <c r="K210" s="64">
        <f t="shared" si="83"/>
        <v>38274</v>
      </c>
      <c r="L210" s="64">
        <f t="shared" si="85"/>
        <v>48994</v>
      </c>
      <c r="M210" s="64">
        <f t="shared" si="86"/>
        <v>49625</v>
      </c>
      <c r="N210" s="64">
        <f t="shared" si="87"/>
        <v>49800</v>
      </c>
      <c r="O210" s="64">
        <f t="shared" si="88"/>
        <v>52556</v>
      </c>
      <c r="P210" s="64">
        <f t="shared" si="89"/>
        <v>49221</v>
      </c>
      <c r="Q210" s="64">
        <f t="shared" si="90"/>
        <v>49035</v>
      </c>
      <c r="R210" s="2"/>
    </row>
    <row r="211" spans="1:18">
      <c r="A211" s="1356">
        <v>930210</v>
      </c>
      <c r="B211" s="1522" t="s">
        <v>2153</v>
      </c>
      <c r="C211" s="1356" t="s">
        <v>1179</v>
      </c>
      <c r="D211" s="19">
        <f t="shared" si="65"/>
        <v>930</v>
      </c>
      <c r="E211" s="10">
        <f t="shared" si="84"/>
        <v>40462</v>
      </c>
      <c r="F211" s="64">
        <f t="shared" si="78"/>
        <v>0</v>
      </c>
      <c r="G211" s="64">
        <f t="shared" si="79"/>
        <v>47702</v>
      </c>
      <c r="H211" s="64">
        <f t="shared" si="80"/>
        <v>0</v>
      </c>
      <c r="I211" s="64">
        <f t="shared" si="81"/>
        <v>-7240</v>
      </c>
      <c r="J211" s="64">
        <f t="shared" si="82"/>
        <v>0</v>
      </c>
      <c r="K211" s="64">
        <f t="shared" si="83"/>
        <v>0</v>
      </c>
      <c r="L211" s="64">
        <f t="shared" si="85"/>
        <v>0</v>
      </c>
      <c r="M211" s="64">
        <f t="shared" si="86"/>
        <v>0</v>
      </c>
      <c r="N211" s="64">
        <f t="shared" si="87"/>
        <v>0</v>
      </c>
      <c r="O211" s="64">
        <f t="shared" si="88"/>
        <v>0</v>
      </c>
      <c r="P211" s="64">
        <f t="shared" si="89"/>
        <v>0</v>
      </c>
      <c r="Q211" s="64">
        <f t="shared" si="90"/>
        <v>0</v>
      </c>
      <c r="R211" s="2"/>
    </row>
    <row r="212" spans="1:18">
      <c r="A212" s="1356">
        <v>930220</v>
      </c>
      <c r="B212" s="1522" t="s">
        <v>2949</v>
      </c>
      <c r="C212" s="1356" t="s">
        <v>1179</v>
      </c>
      <c r="D212" s="19">
        <f t="shared" si="65"/>
        <v>930</v>
      </c>
      <c r="E212" s="10">
        <f t="shared" si="84"/>
        <v>23504</v>
      </c>
      <c r="F212" s="64">
        <f t="shared" si="78"/>
        <v>-41</v>
      </c>
      <c r="G212" s="64">
        <f t="shared" si="79"/>
        <v>0</v>
      </c>
      <c r="H212" s="64">
        <f t="shared" si="80"/>
        <v>0</v>
      </c>
      <c r="I212" s="64">
        <f t="shared" si="81"/>
        <v>12040</v>
      </c>
      <c r="J212" s="64">
        <f t="shared" si="82"/>
        <v>5000</v>
      </c>
      <c r="K212" s="64">
        <f t="shared" si="83"/>
        <v>6505</v>
      </c>
      <c r="L212" s="64">
        <f t="shared" si="85"/>
        <v>0</v>
      </c>
      <c r="M212" s="64">
        <f t="shared" si="86"/>
        <v>0</v>
      </c>
      <c r="N212" s="64">
        <f t="shared" si="87"/>
        <v>0</v>
      </c>
      <c r="O212" s="64">
        <f t="shared" si="88"/>
        <v>0</v>
      </c>
      <c r="P212" s="64">
        <f t="shared" si="89"/>
        <v>0</v>
      </c>
      <c r="Q212" s="64">
        <f t="shared" si="90"/>
        <v>0</v>
      </c>
      <c r="R212" s="2"/>
    </row>
    <row r="213" spans="1:18">
      <c r="A213" s="1356">
        <v>930230</v>
      </c>
      <c r="B213" s="1522" t="s">
        <v>2155</v>
      </c>
      <c r="C213" s="1356" t="s">
        <v>1179</v>
      </c>
      <c r="D213" s="19">
        <f t="shared" si="65"/>
        <v>930</v>
      </c>
      <c r="E213" s="10">
        <f t="shared" si="84"/>
        <v>31672</v>
      </c>
      <c r="F213" s="64">
        <f t="shared" si="78"/>
        <v>10399</v>
      </c>
      <c r="G213" s="64">
        <f t="shared" si="79"/>
        <v>947</v>
      </c>
      <c r="H213" s="64">
        <f t="shared" si="80"/>
        <v>62</v>
      </c>
      <c r="I213" s="64">
        <f t="shared" si="81"/>
        <v>958</v>
      </c>
      <c r="J213" s="64">
        <f t="shared" si="82"/>
        <v>1671</v>
      </c>
      <c r="K213" s="64">
        <f t="shared" si="83"/>
        <v>35</v>
      </c>
      <c r="L213" s="64">
        <f t="shared" si="85"/>
        <v>1467</v>
      </c>
      <c r="M213" s="64">
        <f t="shared" si="86"/>
        <v>1550</v>
      </c>
      <c r="N213" s="64">
        <f t="shared" si="87"/>
        <v>3004</v>
      </c>
      <c r="O213" s="64">
        <f t="shared" si="88"/>
        <v>1194</v>
      </c>
      <c r="P213" s="64">
        <f t="shared" si="89"/>
        <v>4219</v>
      </c>
      <c r="Q213" s="64">
        <f t="shared" si="90"/>
        <v>6166</v>
      </c>
      <c r="R213" s="2"/>
    </row>
    <row r="214" spans="1:18">
      <c r="A214" s="1356">
        <v>930240</v>
      </c>
      <c r="B214" s="1522" t="s">
        <v>2156</v>
      </c>
      <c r="C214" s="1356" t="s">
        <v>1179</v>
      </c>
      <c r="D214" s="19">
        <f t="shared" si="65"/>
        <v>930</v>
      </c>
      <c r="E214" s="10">
        <f t="shared" si="84"/>
        <v>42313</v>
      </c>
      <c r="F214" s="64">
        <f t="shared" si="78"/>
        <v>6826</v>
      </c>
      <c r="G214" s="64">
        <f t="shared" si="79"/>
        <v>7167</v>
      </c>
      <c r="H214" s="64">
        <f t="shared" si="80"/>
        <v>13</v>
      </c>
      <c r="I214" s="64">
        <f t="shared" si="81"/>
        <v>488</v>
      </c>
      <c r="J214" s="64">
        <f t="shared" si="82"/>
        <v>5174</v>
      </c>
      <c r="K214" s="64">
        <f t="shared" si="83"/>
        <v>22645</v>
      </c>
      <c r="L214" s="64">
        <f t="shared" si="85"/>
        <v>0</v>
      </c>
      <c r="M214" s="64">
        <f t="shared" si="86"/>
        <v>0</v>
      </c>
      <c r="N214" s="64">
        <f t="shared" si="87"/>
        <v>0</v>
      </c>
      <c r="O214" s="64">
        <f t="shared" si="88"/>
        <v>0</v>
      </c>
      <c r="P214" s="64">
        <f t="shared" si="89"/>
        <v>0</v>
      </c>
      <c r="Q214" s="64">
        <f t="shared" si="90"/>
        <v>0</v>
      </c>
      <c r="R214" s="2"/>
    </row>
    <row r="215" spans="1:18">
      <c r="A215" s="1356">
        <v>930250</v>
      </c>
      <c r="B215" s="1522" t="s">
        <v>2157</v>
      </c>
      <c r="C215" s="1356" t="s">
        <v>1179</v>
      </c>
      <c r="D215" s="19">
        <f t="shared" si="65"/>
        <v>930</v>
      </c>
      <c r="E215" s="10">
        <f t="shared" si="84"/>
        <v>16905</v>
      </c>
      <c r="F215" s="64">
        <f t="shared" si="78"/>
        <v>3347</v>
      </c>
      <c r="G215" s="64">
        <f t="shared" si="79"/>
        <v>2978</v>
      </c>
      <c r="H215" s="64">
        <f t="shared" si="80"/>
        <v>-236</v>
      </c>
      <c r="I215" s="64">
        <f t="shared" si="81"/>
        <v>1125</v>
      </c>
      <c r="J215" s="64">
        <f t="shared" si="82"/>
        <v>1154</v>
      </c>
      <c r="K215" s="64">
        <f t="shared" si="83"/>
        <v>1765</v>
      </c>
      <c r="L215" s="64">
        <f t="shared" si="85"/>
        <v>2784</v>
      </c>
      <c r="M215" s="64">
        <f t="shared" si="86"/>
        <v>301</v>
      </c>
      <c r="N215" s="64">
        <f t="shared" si="87"/>
        <v>301</v>
      </c>
      <c r="O215" s="64">
        <f t="shared" si="88"/>
        <v>2784</v>
      </c>
      <c r="P215" s="64">
        <f t="shared" si="89"/>
        <v>301</v>
      </c>
      <c r="Q215" s="64">
        <f t="shared" si="90"/>
        <v>301</v>
      </c>
      <c r="R215" s="2"/>
    </row>
    <row r="216" spans="1:18">
      <c r="A216" s="1356">
        <v>930600</v>
      </c>
      <c r="B216" s="1522" t="s">
        <v>2666</v>
      </c>
      <c r="C216" s="1356" t="s">
        <v>1179</v>
      </c>
      <c r="D216" s="19">
        <f t="shared" si="65"/>
        <v>930</v>
      </c>
      <c r="E216" s="10">
        <f t="shared" si="84"/>
        <v>27</v>
      </c>
      <c r="F216" s="64">
        <f t="shared" si="78"/>
        <v>0</v>
      </c>
      <c r="G216" s="64">
        <f t="shared" si="79"/>
        <v>0</v>
      </c>
      <c r="H216" s="64">
        <f t="shared" si="80"/>
        <v>12</v>
      </c>
      <c r="I216" s="64">
        <f t="shared" si="81"/>
        <v>15</v>
      </c>
      <c r="J216" s="64">
        <f t="shared" si="82"/>
        <v>0</v>
      </c>
      <c r="K216" s="64">
        <f t="shared" si="83"/>
        <v>0</v>
      </c>
      <c r="L216" s="64">
        <f t="shared" si="85"/>
        <v>0</v>
      </c>
      <c r="M216" s="64">
        <f t="shared" si="86"/>
        <v>0</v>
      </c>
      <c r="N216" s="64">
        <f t="shared" si="87"/>
        <v>0</v>
      </c>
      <c r="O216" s="64">
        <f t="shared" si="88"/>
        <v>0</v>
      </c>
      <c r="P216" s="64">
        <f t="shared" si="89"/>
        <v>0</v>
      </c>
      <c r="Q216" s="64">
        <f t="shared" si="90"/>
        <v>0</v>
      </c>
      <c r="R216" s="2"/>
    </row>
    <row r="217" spans="1:18">
      <c r="A217" s="1356">
        <v>930700</v>
      </c>
      <c r="B217" s="1522" t="s">
        <v>2158</v>
      </c>
      <c r="C217" s="1356" t="s">
        <v>1179</v>
      </c>
      <c r="D217" s="19">
        <f t="shared" si="65"/>
        <v>930</v>
      </c>
      <c r="E217" s="10">
        <f t="shared" si="84"/>
        <v>1836</v>
      </c>
      <c r="F217" s="64">
        <f t="shared" si="78"/>
        <v>501</v>
      </c>
      <c r="G217" s="64">
        <f t="shared" si="79"/>
        <v>45</v>
      </c>
      <c r="H217" s="64">
        <f t="shared" si="80"/>
        <v>465</v>
      </c>
      <c r="I217" s="64">
        <f t="shared" si="81"/>
        <v>71</v>
      </c>
      <c r="J217" s="64">
        <f t="shared" si="82"/>
        <v>496</v>
      </c>
      <c r="K217" s="64">
        <f t="shared" si="83"/>
        <v>258</v>
      </c>
      <c r="L217" s="64">
        <f t="shared" si="85"/>
        <v>0</v>
      </c>
      <c r="M217" s="64">
        <f t="shared" si="86"/>
        <v>0</v>
      </c>
      <c r="N217" s="64">
        <f t="shared" si="87"/>
        <v>0</v>
      </c>
      <c r="O217" s="64">
        <f t="shared" si="88"/>
        <v>0</v>
      </c>
      <c r="P217" s="64">
        <f t="shared" si="89"/>
        <v>0</v>
      </c>
      <c r="Q217" s="64">
        <f t="shared" si="90"/>
        <v>0</v>
      </c>
      <c r="R217" s="2"/>
    </row>
    <row r="218" spans="1:18">
      <c r="A218" s="1356">
        <v>930940</v>
      </c>
      <c r="B218" s="1522" t="s">
        <v>2159</v>
      </c>
      <c r="C218" s="1356" t="s">
        <v>1179</v>
      </c>
      <c r="D218" s="19">
        <f t="shared" si="65"/>
        <v>930</v>
      </c>
      <c r="E218" s="10">
        <f t="shared" si="84"/>
        <v>1000</v>
      </c>
      <c r="F218" s="64">
        <f t="shared" si="78"/>
        <v>260</v>
      </c>
      <c r="G218" s="64">
        <f t="shared" si="79"/>
        <v>86</v>
      </c>
      <c r="H218" s="64">
        <f t="shared" si="80"/>
        <v>457</v>
      </c>
      <c r="I218" s="64">
        <f t="shared" si="81"/>
        <v>53</v>
      </c>
      <c r="J218" s="64">
        <f t="shared" si="82"/>
        <v>43</v>
      </c>
      <c r="K218" s="64">
        <f t="shared" si="83"/>
        <v>101</v>
      </c>
      <c r="L218" s="64">
        <f t="shared" si="85"/>
        <v>0</v>
      </c>
      <c r="M218" s="64">
        <f t="shared" si="86"/>
        <v>0</v>
      </c>
      <c r="N218" s="64">
        <f t="shared" si="87"/>
        <v>0</v>
      </c>
      <c r="O218" s="64">
        <f t="shared" si="88"/>
        <v>0</v>
      </c>
      <c r="P218" s="64">
        <f t="shared" si="89"/>
        <v>0</v>
      </c>
      <c r="Q218" s="64">
        <f t="shared" si="90"/>
        <v>0</v>
      </c>
      <c r="R218" s="2"/>
    </row>
    <row r="219" spans="1:18">
      <c r="A219" s="1356">
        <v>931001</v>
      </c>
      <c r="B219" s="1522" t="s">
        <v>2160</v>
      </c>
      <c r="C219" s="1356" t="s">
        <v>1179</v>
      </c>
      <c r="D219" s="19">
        <f>VALUE(LEFT(A219,3))</f>
        <v>931</v>
      </c>
      <c r="E219" s="10">
        <f t="shared" si="84"/>
        <v>222066</v>
      </c>
      <c r="F219" s="64">
        <f t="shared" si="78"/>
        <v>18992</v>
      </c>
      <c r="G219" s="64">
        <f t="shared" si="79"/>
        <v>18418</v>
      </c>
      <c r="H219" s="64">
        <f t="shared" si="80"/>
        <v>17180</v>
      </c>
      <c r="I219" s="64">
        <f t="shared" si="81"/>
        <v>18198</v>
      </c>
      <c r="J219" s="64">
        <f t="shared" si="82"/>
        <v>18562</v>
      </c>
      <c r="K219" s="64">
        <f t="shared" si="83"/>
        <v>17020</v>
      </c>
      <c r="L219" s="64">
        <f t="shared" si="85"/>
        <v>18964</v>
      </c>
      <c r="M219" s="64">
        <f t="shared" si="86"/>
        <v>18849</v>
      </c>
      <c r="N219" s="64">
        <f t="shared" si="87"/>
        <v>18958</v>
      </c>
      <c r="O219" s="64">
        <f t="shared" si="88"/>
        <v>18975</v>
      </c>
      <c r="P219" s="64">
        <f t="shared" si="89"/>
        <v>18975</v>
      </c>
      <c r="Q219" s="64">
        <f t="shared" si="90"/>
        <v>18975</v>
      </c>
      <c r="R219" s="2"/>
    </row>
    <row r="220" spans="1:18">
      <c r="A220" s="1356">
        <v>931008</v>
      </c>
      <c r="B220" s="1522" t="s">
        <v>2161</v>
      </c>
      <c r="C220" s="1356" t="s">
        <v>1179</v>
      </c>
      <c r="D220" s="19">
        <f>VALUE(LEFT(A220,3))</f>
        <v>931</v>
      </c>
      <c r="E220" s="10">
        <f t="shared" si="84"/>
        <v>964298</v>
      </c>
      <c r="F220" s="64">
        <f t="shared" si="78"/>
        <v>83131</v>
      </c>
      <c r="G220" s="64">
        <f t="shared" si="79"/>
        <v>81259</v>
      </c>
      <c r="H220" s="64">
        <f t="shared" si="80"/>
        <v>80709</v>
      </c>
      <c r="I220" s="64">
        <f t="shared" si="81"/>
        <v>88016</v>
      </c>
      <c r="J220" s="64">
        <f t="shared" si="82"/>
        <v>87304</v>
      </c>
      <c r="K220" s="64">
        <f t="shared" si="83"/>
        <v>56073</v>
      </c>
      <c r="L220" s="64">
        <f t="shared" si="85"/>
        <v>81301</v>
      </c>
      <c r="M220" s="64">
        <f t="shared" si="86"/>
        <v>81301</v>
      </c>
      <c r="N220" s="64">
        <f t="shared" si="87"/>
        <v>81301</v>
      </c>
      <c r="O220" s="64">
        <f t="shared" si="88"/>
        <v>81301</v>
      </c>
      <c r="P220" s="64">
        <f t="shared" si="89"/>
        <v>81301</v>
      </c>
      <c r="Q220" s="64">
        <f t="shared" si="90"/>
        <v>81301</v>
      </c>
      <c r="R220" s="2"/>
    </row>
    <row r="221" spans="1:18">
      <c r="A221" s="1356">
        <v>935100</v>
      </c>
      <c r="B221" s="1522" t="s">
        <v>2162</v>
      </c>
      <c r="C221" s="1356" t="s">
        <v>1184</v>
      </c>
      <c r="D221" s="19">
        <f>VALUE(LEFT(A221,3))</f>
        <v>935</v>
      </c>
      <c r="E221" s="10">
        <f t="shared" si="84"/>
        <v>37849</v>
      </c>
      <c r="F221" s="64">
        <f t="shared" si="78"/>
        <v>49</v>
      </c>
      <c r="G221" s="64">
        <f t="shared" si="79"/>
        <v>1465</v>
      </c>
      <c r="H221" s="64">
        <f t="shared" si="80"/>
        <v>-541</v>
      </c>
      <c r="I221" s="64">
        <f t="shared" si="81"/>
        <v>549</v>
      </c>
      <c r="J221" s="64">
        <f t="shared" si="82"/>
        <v>2011</v>
      </c>
      <c r="K221" s="64">
        <f t="shared" si="83"/>
        <v>145</v>
      </c>
      <c r="L221" s="64">
        <f t="shared" si="85"/>
        <v>4280</v>
      </c>
      <c r="M221" s="64">
        <f t="shared" si="86"/>
        <v>16187</v>
      </c>
      <c r="N221" s="64">
        <f t="shared" si="87"/>
        <v>3340</v>
      </c>
      <c r="O221" s="64">
        <f t="shared" si="88"/>
        <v>3684</v>
      </c>
      <c r="P221" s="64">
        <f t="shared" si="89"/>
        <v>3340</v>
      </c>
      <c r="Q221" s="64">
        <f t="shared" si="90"/>
        <v>3340</v>
      </c>
      <c r="R221" s="2"/>
    </row>
    <row r="222" spans="1:18">
      <c r="A222" s="1356">
        <v>935200</v>
      </c>
      <c r="B222" s="1522" t="s">
        <v>2163</v>
      </c>
      <c r="C222" s="1356" t="s">
        <v>1184</v>
      </c>
      <c r="D222" s="19">
        <f>VALUE(LEFT(A222,3))</f>
        <v>935</v>
      </c>
      <c r="E222" s="10">
        <f t="shared" si="84"/>
        <v>14</v>
      </c>
      <c r="F222" s="64">
        <f t="shared" si="78"/>
        <v>14</v>
      </c>
      <c r="G222" s="64">
        <f t="shared" si="79"/>
        <v>3</v>
      </c>
      <c r="H222" s="64">
        <f t="shared" si="80"/>
        <v>0</v>
      </c>
      <c r="I222" s="64">
        <f t="shared" si="81"/>
        <v>-4</v>
      </c>
      <c r="J222" s="64">
        <f t="shared" si="82"/>
        <v>0</v>
      </c>
      <c r="K222" s="64">
        <f t="shared" si="83"/>
        <v>1</v>
      </c>
      <c r="L222" s="64">
        <f t="shared" si="85"/>
        <v>0</v>
      </c>
      <c r="M222" s="64">
        <f t="shared" si="86"/>
        <v>0</v>
      </c>
      <c r="N222" s="64">
        <f t="shared" si="87"/>
        <v>0</v>
      </c>
      <c r="O222" s="64">
        <f t="shared" si="88"/>
        <v>0</v>
      </c>
      <c r="P222" s="64">
        <f t="shared" si="89"/>
        <v>0</v>
      </c>
      <c r="Q222" s="64">
        <f t="shared" si="90"/>
        <v>0</v>
      </c>
      <c r="R222" s="2"/>
    </row>
    <row r="223" spans="1:18">
      <c r="A223" s="19"/>
      <c r="B223" s="20"/>
      <c r="C223" s="19"/>
      <c r="D223" s="19"/>
      <c r="E223" s="2">
        <f t="shared" ref="E223:Q223" si="91">SUM(E11:E222)</f>
        <v>616516768</v>
      </c>
      <c r="F223" s="2">
        <f t="shared" si="91"/>
        <v>60868510</v>
      </c>
      <c r="G223" s="2">
        <f t="shared" si="91"/>
        <v>52892320</v>
      </c>
      <c r="H223" s="2">
        <f t="shared" si="91"/>
        <v>46546218</v>
      </c>
      <c r="I223" s="2">
        <f t="shared" si="91"/>
        <v>53707863</v>
      </c>
      <c r="J223" s="2">
        <f t="shared" si="91"/>
        <v>45389264</v>
      </c>
      <c r="K223" s="2">
        <f t="shared" si="91"/>
        <v>48414233</v>
      </c>
      <c r="L223" s="2">
        <f t="shared" si="91"/>
        <v>52130197</v>
      </c>
      <c r="M223" s="2">
        <f t="shared" si="91"/>
        <v>56807569</v>
      </c>
      <c r="N223" s="2">
        <f t="shared" si="91"/>
        <v>54589448</v>
      </c>
      <c r="O223" s="2">
        <f t="shared" si="91"/>
        <v>49693104</v>
      </c>
      <c r="P223" s="2">
        <f t="shared" si="91"/>
        <v>47868010</v>
      </c>
      <c r="Q223" s="2">
        <f t="shared" si="91"/>
        <v>47610032</v>
      </c>
      <c r="R223" s="3"/>
    </row>
    <row r="224" spans="1:18">
      <c r="A224" s="19"/>
      <c r="B224" s="20"/>
      <c r="C224" s="19"/>
      <c r="D224" s="19"/>
      <c r="E224" s="9"/>
      <c r="F224" s="9"/>
      <c r="G224" s="3"/>
      <c r="H224" s="3"/>
      <c r="I224" s="2"/>
      <c r="J224" s="2"/>
      <c r="K224" s="2"/>
      <c r="L224" s="2"/>
      <c r="M224" s="2"/>
      <c r="N224" s="2"/>
      <c r="O224" s="2"/>
      <c r="P224" s="2"/>
      <c r="Q224" s="2"/>
      <c r="R224" s="3"/>
    </row>
    <row r="225" spans="1:18">
      <c r="A225" s="19"/>
      <c r="B225" s="5" t="s">
        <v>1621</v>
      </c>
      <c r="C225" s="4" t="s">
        <v>1412</v>
      </c>
      <c r="D225" s="27"/>
      <c r="E225" s="10">
        <f>SUM(F225:Q225)</f>
        <v>326452338</v>
      </c>
      <c r="F225" s="2">
        <f>SUMIF(CODE,C225,Base1)</f>
        <v>30880645</v>
      </c>
      <c r="G225" s="2">
        <f>SUMIF(CODE,C225,Base2)</f>
        <v>28730753</v>
      </c>
      <c r="H225" s="2">
        <f>SUMIF(CODE,C225,Base3)</f>
        <v>25025715</v>
      </c>
      <c r="I225" s="2">
        <f>SUMIF(CODE,C225,Base4)</f>
        <v>27158951</v>
      </c>
      <c r="J225" s="2">
        <f>SUMIF(CODE,C225,Base5)</f>
        <v>24090861</v>
      </c>
      <c r="K225" s="2">
        <f>SUMIF(CODE,C225,Base6)</f>
        <v>24941038</v>
      </c>
      <c r="L225" s="2">
        <f>SUMIF(CODE,C225,Base7)</f>
        <v>28397227</v>
      </c>
      <c r="M225" s="2">
        <f>SUMIF(CODE,C225,Base8)</f>
        <v>31283803</v>
      </c>
      <c r="N225" s="2">
        <f>SUMIF(CODE,C225,Base9)</f>
        <v>29934902</v>
      </c>
      <c r="O225" s="2">
        <f>SUMIF(CODE,C225,Base10)</f>
        <v>26273315</v>
      </c>
      <c r="P225" s="2">
        <f>SUMIF(CODE,C225,Base11)</f>
        <v>24995821</v>
      </c>
      <c r="Q225" s="2">
        <f>SUMIF(CODE,C225,Base12)</f>
        <v>24739307</v>
      </c>
      <c r="R225" s="2"/>
    </row>
    <row r="226" spans="1:18">
      <c r="A226" s="19"/>
      <c r="B226" s="6" t="s">
        <v>1622</v>
      </c>
      <c r="C226" s="4"/>
      <c r="D226" s="27"/>
      <c r="E226" s="9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</row>
    <row r="227" spans="1:18">
      <c r="A227" s="19"/>
      <c r="B227" s="7" t="s">
        <v>1624</v>
      </c>
      <c r="C227" s="4" t="s">
        <v>1623</v>
      </c>
      <c r="D227" s="27"/>
      <c r="E227" s="10">
        <f>SUM(F227:Q227)</f>
        <v>88699345</v>
      </c>
      <c r="F227" s="2">
        <f>SUMIF(CODE,C227,Base1)</f>
        <v>5662068</v>
      </c>
      <c r="G227" s="2">
        <f>SUMIF(CODE,C227,Base2)</f>
        <v>9577791</v>
      </c>
      <c r="H227" s="2">
        <f>SUMIF(CODE,C227,Base3)</f>
        <v>7298704</v>
      </c>
      <c r="I227" s="2">
        <f>SUMIF(CODE,C227,Base4)</f>
        <v>9190626</v>
      </c>
      <c r="J227" s="2">
        <f>SUMIF(CODE,C227,Base5)</f>
        <v>7052698</v>
      </c>
      <c r="K227" s="2">
        <f>SUMIF(CODE,C227,Base6)</f>
        <v>3876801</v>
      </c>
      <c r="L227" s="2">
        <f>SUMIF(CODE,C227,Base7)</f>
        <v>7152472</v>
      </c>
      <c r="M227" s="2">
        <f>SUMIF(CODE,C227,Base8)</f>
        <v>7826584</v>
      </c>
      <c r="N227" s="2">
        <f>SUMIF(CODE,C227,Base9)</f>
        <v>8233472</v>
      </c>
      <c r="O227" s="2">
        <f>SUMIF(CODE,C227,Base10)</f>
        <v>8025594</v>
      </c>
      <c r="P227" s="2">
        <f>SUMIF(CODE,C227,Base11)</f>
        <v>7795805</v>
      </c>
      <c r="Q227" s="2">
        <f>SUMIF(CODE,C227,Base12)</f>
        <v>7006730</v>
      </c>
      <c r="R227" s="2"/>
    </row>
    <row r="228" spans="1:18">
      <c r="A228" s="19"/>
      <c r="B228" s="7" t="s">
        <v>1173</v>
      </c>
      <c r="C228" s="4" t="s">
        <v>1625</v>
      </c>
      <c r="D228" s="27"/>
      <c r="E228" s="10">
        <f>SUM(F228:Q228)</f>
        <v>27256100</v>
      </c>
      <c r="F228" s="2">
        <f>SUMIF(CODE,C228,Base1)</f>
        <v>7312042</v>
      </c>
      <c r="G228" s="2">
        <f>SUMIF(CODE,C228,Base2)</f>
        <v>426721</v>
      </c>
      <c r="H228" s="2">
        <f>SUMIF(CODE,C228,Base3)</f>
        <v>848576</v>
      </c>
      <c r="I228" s="2">
        <f>SUMIF(CODE,C228,Base4)</f>
        <v>1478722</v>
      </c>
      <c r="J228" s="2">
        <f>SUMIF(CODE,C228,Base5)</f>
        <v>638754</v>
      </c>
      <c r="K228" s="2">
        <f>SUMIF(CODE,C228,Base6)</f>
        <v>3913284</v>
      </c>
      <c r="L228" s="2">
        <f>SUMIF(CODE,C228,Base7)</f>
        <v>2620511</v>
      </c>
      <c r="M228" s="2">
        <f>SUMIF(CODE,C228,Base8)</f>
        <v>3262156</v>
      </c>
      <c r="N228" s="2">
        <f>SUMIF(CODE,C228,Base9)</f>
        <v>2318156</v>
      </c>
      <c r="O228" s="2">
        <f>SUMIF(CODE,C228,Base10)</f>
        <v>1865511</v>
      </c>
      <c r="P228" s="2">
        <f>SUMIF(CODE,C228,Base11)</f>
        <v>1074156</v>
      </c>
      <c r="Q228" s="2">
        <f>SUMIF(CODE,C228,Base12)</f>
        <v>1497511</v>
      </c>
      <c r="R228" s="2"/>
    </row>
    <row r="229" spans="1:18">
      <c r="A229" s="19"/>
      <c r="B229" s="7" t="s">
        <v>2172</v>
      </c>
      <c r="C229" s="4" t="s">
        <v>2171</v>
      </c>
      <c r="D229" s="27"/>
      <c r="E229" s="10">
        <f>SUM(F229:Q229)</f>
        <v>11814249</v>
      </c>
      <c r="F229" s="2">
        <f>SUMIF(CODE,C229,Base1)</f>
        <v>972920</v>
      </c>
      <c r="G229" s="2">
        <f>SUMIF(CODE,C229,Base2)</f>
        <v>899589</v>
      </c>
      <c r="H229" s="2">
        <f>SUMIF(CODE,C229,Base3)</f>
        <v>936941</v>
      </c>
      <c r="I229" s="2">
        <f>SUMIF(CODE,C229,Base4)</f>
        <v>1144706</v>
      </c>
      <c r="J229" s="2">
        <f>SUMIF(CODE,C229,Base5)</f>
        <v>1571271</v>
      </c>
      <c r="K229" s="2">
        <f>SUMIF(CODE,C229,Base6)</f>
        <v>1481642</v>
      </c>
      <c r="L229" s="2">
        <f>SUMIF(CODE,C229,Base7)</f>
        <v>788144</v>
      </c>
      <c r="M229" s="2">
        <f>SUMIF(CODE,C229,Base8)</f>
        <v>932424</v>
      </c>
      <c r="N229" s="2">
        <f>SUMIF(CODE,C229,Base9)</f>
        <v>825834</v>
      </c>
      <c r="O229" s="2">
        <f>SUMIF(CODE,C229,Base10)</f>
        <v>772769</v>
      </c>
      <c r="P229" s="2">
        <f>SUMIF(CODE,C229,Base11)</f>
        <v>875270</v>
      </c>
      <c r="Q229" s="2">
        <f>SUMIF(CODE,C229,Base12)</f>
        <v>612739</v>
      </c>
      <c r="R229" s="2"/>
    </row>
    <row r="230" spans="1:18">
      <c r="A230" s="19"/>
      <c r="B230" s="7" t="s">
        <v>1827</v>
      </c>
      <c r="C230" s="4" t="s">
        <v>346</v>
      </c>
      <c r="D230" s="27"/>
      <c r="E230" s="10">
        <f>SUM(F230:Q230)</f>
        <v>18563</v>
      </c>
      <c r="F230" s="2">
        <f>SUMIF(CODE,C230,Base1)</f>
        <v>2692</v>
      </c>
      <c r="G230" s="2">
        <f>SUMIF(CODE,C230,Base2)</f>
        <v>2368</v>
      </c>
      <c r="H230" s="2">
        <f>SUMIF(CODE,C230,Base3)</f>
        <v>1066</v>
      </c>
      <c r="I230" s="2">
        <f>SUMIF(CODE,C230,Base4)</f>
        <v>752</v>
      </c>
      <c r="J230" s="2">
        <f>SUMIF(CODE,C230,Base5)</f>
        <v>678</v>
      </c>
      <c r="K230" s="2">
        <f>SUMIF(CODE,C230,Base6)</f>
        <v>582</v>
      </c>
      <c r="L230" s="2">
        <f>SUMIF(CODE,C230,Base7)</f>
        <v>2458</v>
      </c>
      <c r="M230" s="2">
        <f>SUMIF(CODE,C230,Base8)</f>
        <v>2650</v>
      </c>
      <c r="N230" s="2">
        <f>SUMIF(CODE,C230,Base9)</f>
        <v>2764</v>
      </c>
      <c r="O230" s="2">
        <f>SUMIF(CODE,C230,Base10)</f>
        <v>2387</v>
      </c>
      <c r="P230" s="2">
        <f>SUMIF(CODE,C230,Base11)</f>
        <v>84</v>
      </c>
      <c r="Q230" s="2">
        <f>SUMIF(CODE,C230,Base12)</f>
        <v>82</v>
      </c>
      <c r="R230" s="2"/>
    </row>
    <row r="231" spans="1:18">
      <c r="A231" s="19"/>
      <c r="B231" s="6" t="s">
        <v>1101</v>
      </c>
      <c r="C231" s="4"/>
      <c r="D231" s="27"/>
      <c r="E231" s="9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3"/>
    </row>
    <row r="232" spans="1:18">
      <c r="A232" s="19"/>
      <c r="B232" s="7" t="s">
        <v>1194</v>
      </c>
      <c r="C232" s="4" t="s">
        <v>1174</v>
      </c>
      <c r="D232" s="27"/>
      <c r="E232" s="10">
        <f t="shared" ref="E232:E240" si="92">SUM(F232:Q232)</f>
        <v>20937982</v>
      </c>
      <c r="F232" s="2">
        <f t="shared" ref="F232:F240" si="93">SUMIF(CODE,C232,Base1)</f>
        <v>2494111</v>
      </c>
      <c r="G232" s="2">
        <f t="shared" ref="G232:G240" si="94">SUMIF(CODE,C232,Base2)</f>
        <v>1837758</v>
      </c>
      <c r="H232" s="2">
        <f t="shared" ref="H232:H240" si="95">SUMIF(CODE,C232,Base3)</f>
        <v>1690419</v>
      </c>
      <c r="I232" s="2">
        <f t="shared" ref="I232:I240" si="96">SUMIF(CODE,C232,Base4)</f>
        <v>1960681</v>
      </c>
      <c r="J232" s="2">
        <f t="shared" ref="J232:J240" si="97">SUMIF(CODE,C232,Base5)</f>
        <v>1658457</v>
      </c>
      <c r="K232" s="2">
        <f t="shared" ref="K232:K240" si="98">SUMIF(CODE,C232,Base6)</f>
        <v>1585414</v>
      </c>
      <c r="L232" s="2">
        <f t="shared" ref="L232:L240" si="99">SUMIF(CODE,C232,Base7)</f>
        <v>1478509</v>
      </c>
      <c r="M232" s="2">
        <f t="shared" ref="M232:M240" si="100">SUMIF(CODE,C232,Base8)</f>
        <v>1942260</v>
      </c>
      <c r="N232" s="2">
        <f t="shared" ref="N232:N240" si="101">SUMIF(CODE,C232,Base9)</f>
        <v>1947057</v>
      </c>
      <c r="O232" s="2">
        <f t="shared" ref="O232:O240" si="102">SUMIF(CODE,C232,Base10)</f>
        <v>1373790</v>
      </c>
      <c r="P232" s="2">
        <f t="shared" ref="P232:P240" si="103">SUMIF(CODE,C232,Base11)</f>
        <v>1100659</v>
      </c>
      <c r="Q232" s="2">
        <f t="shared" ref="Q232:Q240" si="104">SUMIF(CODE,C232,Base12)</f>
        <v>1868867</v>
      </c>
      <c r="R232" s="3"/>
    </row>
    <row r="233" spans="1:18">
      <c r="A233" s="19"/>
      <c r="B233" s="66" t="s">
        <v>2164</v>
      </c>
      <c r="C233" s="67" t="s">
        <v>2165</v>
      </c>
      <c r="D233" s="27"/>
      <c r="E233" s="10">
        <f t="shared" si="92"/>
        <v>6076877</v>
      </c>
      <c r="F233" s="2">
        <f t="shared" si="93"/>
        <v>-94065</v>
      </c>
      <c r="G233" s="2">
        <f t="shared" si="94"/>
        <v>555874</v>
      </c>
      <c r="H233" s="2">
        <f t="shared" si="95"/>
        <v>566811</v>
      </c>
      <c r="I233" s="2">
        <f t="shared" si="96"/>
        <v>685338</v>
      </c>
      <c r="J233" s="2">
        <f t="shared" si="97"/>
        <v>430515</v>
      </c>
      <c r="K233" s="2">
        <f t="shared" si="98"/>
        <v>511093</v>
      </c>
      <c r="L233" s="2">
        <f t="shared" si="99"/>
        <v>580572</v>
      </c>
      <c r="M233" s="2">
        <f t="shared" si="100"/>
        <v>563041</v>
      </c>
      <c r="N233" s="2">
        <f t="shared" si="101"/>
        <v>617354</v>
      </c>
      <c r="O233" s="2">
        <f t="shared" si="102"/>
        <v>559862</v>
      </c>
      <c r="P233" s="2">
        <f t="shared" si="103"/>
        <v>532341</v>
      </c>
      <c r="Q233" s="2">
        <f t="shared" si="104"/>
        <v>568141</v>
      </c>
      <c r="R233" s="2"/>
    </row>
    <row r="234" spans="1:18">
      <c r="A234" s="19"/>
      <c r="B234" s="66" t="s">
        <v>2166</v>
      </c>
      <c r="C234" s="67" t="s">
        <v>713</v>
      </c>
      <c r="D234" s="27"/>
      <c r="E234" s="10">
        <f t="shared" si="92"/>
        <v>898077</v>
      </c>
      <c r="F234" s="2">
        <f t="shared" si="93"/>
        <v>75788</v>
      </c>
      <c r="G234" s="2">
        <f t="shared" si="94"/>
        <v>55876</v>
      </c>
      <c r="H234" s="2">
        <f t="shared" si="95"/>
        <v>64633</v>
      </c>
      <c r="I234" s="2">
        <f t="shared" si="96"/>
        <v>45536</v>
      </c>
      <c r="J234" s="2">
        <f t="shared" si="97"/>
        <v>44290</v>
      </c>
      <c r="K234" s="2">
        <f t="shared" si="98"/>
        <v>74858</v>
      </c>
      <c r="L234" s="2">
        <f t="shared" si="99"/>
        <v>89113</v>
      </c>
      <c r="M234" s="2">
        <f t="shared" si="100"/>
        <v>88832</v>
      </c>
      <c r="N234" s="2">
        <f t="shared" si="101"/>
        <v>82884</v>
      </c>
      <c r="O234" s="2">
        <f t="shared" si="102"/>
        <v>112652</v>
      </c>
      <c r="P234" s="2">
        <f t="shared" si="103"/>
        <v>81941</v>
      </c>
      <c r="Q234" s="2">
        <f t="shared" si="104"/>
        <v>81674</v>
      </c>
      <c r="R234" s="2"/>
    </row>
    <row r="235" spans="1:18">
      <c r="A235" s="19"/>
      <c r="B235" s="66" t="s">
        <v>176</v>
      </c>
      <c r="C235" s="67" t="s">
        <v>2167</v>
      </c>
      <c r="D235" s="27"/>
      <c r="E235" s="10">
        <f t="shared" si="92"/>
        <v>946639</v>
      </c>
      <c r="F235" s="2">
        <f t="shared" si="93"/>
        <v>110043</v>
      </c>
      <c r="G235" s="2">
        <f t="shared" si="94"/>
        <v>65492</v>
      </c>
      <c r="H235" s="2">
        <f t="shared" si="95"/>
        <v>66104</v>
      </c>
      <c r="I235" s="2">
        <f t="shared" si="96"/>
        <v>67154</v>
      </c>
      <c r="J235" s="2">
        <f t="shared" si="97"/>
        <v>66994</v>
      </c>
      <c r="K235" s="2">
        <f t="shared" si="98"/>
        <v>51406</v>
      </c>
      <c r="L235" s="2">
        <f t="shared" si="99"/>
        <v>85670</v>
      </c>
      <c r="M235" s="2">
        <f t="shared" si="100"/>
        <v>85693</v>
      </c>
      <c r="N235" s="2">
        <f t="shared" si="101"/>
        <v>86013</v>
      </c>
      <c r="O235" s="2">
        <f t="shared" si="102"/>
        <v>89696</v>
      </c>
      <c r="P235" s="2">
        <f t="shared" si="103"/>
        <v>85996</v>
      </c>
      <c r="Q235" s="2">
        <f t="shared" si="104"/>
        <v>86378</v>
      </c>
      <c r="R235" s="2"/>
    </row>
    <row r="236" spans="1:18">
      <c r="A236" s="19"/>
      <c r="B236" s="7" t="s">
        <v>1176</v>
      </c>
      <c r="C236" s="4" t="s">
        <v>1175</v>
      </c>
      <c r="D236" s="27"/>
      <c r="E236" s="10">
        <f t="shared" si="92"/>
        <v>17410113</v>
      </c>
      <c r="F236" s="2">
        <f t="shared" si="93"/>
        <v>2919800</v>
      </c>
      <c r="G236" s="2">
        <f t="shared" si="94"/>
        <v>1525913</v>
      </c>
      <c r="H236" s="2">
        <f t="shared" si="95"/>
        <v>1406398</v>
      </c>
      <c r="I236" s="2">
        <f t="shared" si="96"/>
        <v>1998801</v>
      </c>
      <c r="J236" s="2">
        <f t="shared" si="97"/>
        <v>1542052</v>
      </c>
      <c r="K236" s="2">
        <f t="shared" si="98"/>
        <v>1441631</v>
      </c>
      <c r="L236" s="2">
        <f t="shared" si="99"/>
        <v>1080016</v>
      </c>
      <c r="M236" s="2">
        <f t="shared" si="100"/>
        <v>1140248</v>
      </c>
      <c r="N236" s="2">
        <f t="shared" si="101"/>
        <v>1073628</v>
      </c>
      <c r="O236" s="2">
        <f t="shared" si="102"/>
        <v>1080952</v>
      </c>
      <c r="P236" s="2">
        <f t="shared" si="103"/>
        <v>1131432</v>
      </c>
      <c r="Q236" s="2">
        <f t="shared" si="104"/>
        <v>1069242</v>
      </c>
      <c r="R236" s="2"/>
    </row>
    <row r="237" spans="1:18">
      <c r="A237" s="19"/>
      <c r="B237" s="7" t="s">
        <v>2174</v>
      </c>
      <c r="C237" s="4" t="s">
        <v>2173</v>
      </c>
      <c r="D237" s="27"/>
      <c r="E237" s="10">
        <f t="shared" si="92"/>
        <v>1637210</v>
      </c>
      <c r="F237" s="2">
        <f t="shared" si="93"/>
        <v>162974</v>
      </c>
      <c r="G237" s="2">
        <f t="shared" si="94"/>
        <v>166543</v>
      </c>
      <c r="H237" s="2">
        <f t="shared" si="95"/>
        <v>139692</v>
      </c>
      <c r="I237" s="2">
        <f t="shared" si="96"/>
        <v>161428</v>
      </c>
      <c r="J237" s="2">
        <f t="shared" si="97"/>
        <v>142700</v>
      </c>
      <c r="K237" s="2">
        <f t="shared" si="98"/>
        <v>32267</v>
      </c>
      <c r="L237" s="2">
        <f t="shared" si="99"/>
        <v>138601</v>
      </c>
      <c r="M237" s="2">
        <f t="shared" si="100"/>
        <v>138601</v>
      </c>
      <c r="N237" s="2">
        <f t="shared" si="101"/>
        <v>138601</v>
      </c>
      <c r="O237" s="2">
        <f t="shared" si="102"/>
        <v>138601</v>
      </c>
      <c r="P237" s="2">
        <f t="shared" si="103"/>
        <v>138601</v>
      </c>
      <c r="Q237" s="2">
        <f t="shared" si="104"/>
        <v>138601</v>
      </c>
      <c r="R237" s="2"/>
    </row>
    <row r="238" spans="1:18">
      <c r="A238" s="19"/>
      <c r="B238" s="7" t="s">
        <v>1178</v>
      </c>
      <c r="C238" s="4" t="s">
        <v>1177</v>
      </c>
      <c r="D238" s="27"/>
      <c r="E238" s="10">
        <f t="shared" si="92"/>
        <v>5732907</v>
      </c>
      <c r="F238" s="2">
        <f t="shared" si="93"/>
        <v>449554</v>
      </c>
      <c r="G238" s="2">
        <f t="shared" si="94"/>
        <v>381482</v>
      </c>
      <c r="H238" s="2">
        <f t="shared" si="95"/>
        <v>437831</v>
      </c>
      <c r="I238" s="2">
        <f t="shared" si="96"/>
        <v>398861</v>
      </c>
      <c r="J238" s="2">
        <f t="shared" si="97"/>
        <v>640005</v>
      </c>
      <c r="K238" s="2">
        <f t="shared" si="98"/>
        <v>317519</v>
      </c>
      <c r="L238" s="2">
        <f t="shared" si="99"/>
        <v>561615</v>
      </c>
      <c r="M238" s="2">
        <f t="shared" si="100"/>
        <v>480104</v>
      </c>
      <c r="N238" s="2">
        <f t="shared" si="101"/>
        <v>388680</v>
      </c>
      <c r="O238" s="2">
        <f t="shared" si="102"/>
        <v>583406</v>
      </c>
      <c r="P238" s="2">
        <f t="shared" si="103"/>
        <v>634773</v>
      </c>
      <c r="Q238" s="2">
        <f t="shared" si="104"/>
        <v>459077</v>
      </c>
      <c r="R238" s="2"/>
    </row>
    <row r="239" spans="1:18">
      <c r="A239" s="19"/>
      <c r="B239" s="7" t="s">
        <v>248</v>
      </c>
      <c r="C239" s="4" t="s">
        <v>1179</v>
      </c>
      <c r="D239" s="27"/>
      <c r="E239" s="10">
        <f t="shared" si="92"/>
        <v>20369104</v>
      </c>
      <c r="F239" s="2">
        <f t="shared" si="93"/>
        <v>2412127</v>
      </c>
      <c r="G239" s="2">
        <f t="shared" si="94"/>
        <v>1545489</v>
      </c>
      <c r="H239" s="2">
        <f t="shared" si="95"/>
        <v>1551503</v>
      </c>
      <c r="I239" s="2">
        <f t="shared" si="96"/>
        <v>1385110</v>
      </c>
      <c r="J239" s="2">
        <f t="shared" si="97"/>
        <v>1784116</v>
      </c>
      <c r="K239" s="2">
        <f t="shared" si="98"/>
        <v>1516267</v>
      </c>
      <c r="L239" s="2">
        <f t="shared" si="99"/>
        <v>1944639</v>
      </c>
      <c r="M239" s="2">
        <f t="shared" si="100"/>
        <v>1739136</v>
      </c>
      <c r="N239" s="2">
        <f t="shared" si="101"/>
        <v>1679737</v>
      </c>
      <c r="O239" s="2">
        <f t="shared" si="102"/>
        <v>1388384</v>
      </c>
      <c r="P239" s="2">
        <f t="shared" si="103"/>
        <v>1722054</v>
      </c>
      <c r="Q239" s="2">
        <f t="shared" si="104"/>
        <v>1700542</v>
      </c>
      <c r="R239" s="2"/>
    </row>
    <row r="240" spans="1:18">
      <c r="A240" s="19"/>
      <c r="B240" s="7" t="s">
        <v>1028</v>
      </c>
      <c r="C240" s="4" t="s">
        <v>1180</v>
      </c>
      <c r="D240" s="27"/>
      <c r="E240" s="10">
        <f t="shared" si="92"/>
        <v>-2763105</v>
      </c>
      <c r="F240" s="2">
        <f t="shared" si="93"/>
        <v>-184951</v>
      </c>
      <c r="G240" s="2">
        <f t="shared" si="94"/>
        <v>166221</v>
      </c>
      <c r="H240" s="2">
        <f t="shared" si="95"/>
        <v>-193826</v>
      </c>
      <c r="I240" s="2">
        <f t="shared" si="96"/>
        <v>-566279</v>
      </c>
      <c r="J240" s="2">
        <f t="shared" si="97"/>
        <v>-1205623</v>
      </c>
      <c r="K240" s="2">
        <f t="shared" si="98"/>
        <v>-809247</v>
      </c>
      <c r="L240" s="2">
        <f t="shared" si="99"/>
        <v>5100</v>
      </c>
      <c r="M240" s="2">
        <f t="shared" si="100"/>
        <v>5100</v>
      </c>
      <c r="N240" s="2">
        <f t="shared" si="101"/>
        <v>5100</v>
      </c>
      <c r="O240" s="2">
        <f t="shared" si="102"/>
        <v>5100</v>
      </c>
      <c r="P240" s="2">
        <f t="shared" si="103"/>
        <v>5100</v>
      </c>
      <c r="Q240" s="2">
        <f t="shared" si="104"/>
        <v>5100</v>
      </c>
      <c r="R240" s="2"/>
    </row>
    <row r="241" spans="1:18">
      <c r="A241" s="19"/>
      <c r="B241" s="6" t="s">
        <v>1103</v>
      </c>
      <c r="C241" s="4"/>
      <c r="D241" s="27"/>
      <c r="E241" s="9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</row>
    <row r="242" spans="1:18">
      <c r="A242" s="19"/>
      <c r="B242" s="7" t="s">
        <v>1194</v>
      </c>
      <c r="C242" s="4" t="s">
        <v>1181</v>
      </c>
      <c r="D242" s="27"/>
      <c r="E242" s="10">
        <f>SUM(F242:Q242)</f>
        <v>18278100</v>
      </c>
      <c r="F242" s="2">
        <f>SUMIF(CODE,C242,Base1)</f>
        <v>2506041</v>
      </c>
      <c r="G242" s="2">
        <f>SUMIF(CODE,C242,Base2)</f>
        <v>1351783</v>
      </c>
      <c r="H242" s="2">
        <f>SUMIF(CODE,C242,Base3)</f>
        <v>1260173</v>
      </c>
      <c r="I242" s="2">
        <f>SUMIF(CODE,C242,Base4)</f>
        <v>1739196</v>
      </c>
      <c r="J242" s="2">
        <f>SUMIF(CODE,C242,Base5)</f>
        <v>1233808</v>
      </c>
      <c r="K242" s="2">
        <f>SUMIF(CODE,C242,Base6)</f>
        <v>3185392</v>
      </c>
      <c r="L242" s="2">
        <f>SUMIF(CODE,C242,Base7)</f>
        <v>1002317</v>
      </c>
      <c r="M242" s="2">
        <f>SUMIF(CODE,C242,Base8)</f>
        <v>926020</v>
      </c>
      <c r="N242" s="2">
        <f>SUMIF(CODE,C242,Base9)</f>
        <v>924243</v>
      </c>
      <c r="O242" s="2">
        <f>SUMIF(CODE,C242,Base10)</f>
        <v>1112524</v>
      </c>
      <c r="P242" s="2">
        <f>SUMIF(CODE,C242,Base11)</f>
        <v>1509124</v>
      </c>
      <c r="Q242" s="2">
        <f>SUMIF(CODE,C242,Base12)</f>
        <v>1527479</v>
      </c>
      <c r="R242" s="2"/>
    </row>
    <row r="243" spans="1:18">
      <c r="A243" s="19"/>
      <c r="B243" s="7" t="s">
        <v>1176</v>
      </c>
      <c r="C243" s="4" t="s">
        <v>1182</v>
      </c>
      <c r="D243" s="27"/>
      <c r="E243" s="10">
        <f>SUM(F243:Q243)</f>
        <v>685280</v>
      </c>
      <c r="F243" s="2">
        <f>SUMIF(CODE,C243,Base1)</f>
        <v>30568</v>
      </c>
      <c r="G243" s="2">
        <f>SUMIF(CODE,C243,Base2)</f>
        <v>6411</v>
      </c>
      <c r="H243" s="2">
        <f>SUMIF(CODE,C243,Base3)</f>
        <v>37949</v>
      </c>
      <c r="I243" s="2">
        <f>SUMIF(CODE,C243,Base4)</f>
        <v>86434</v>
      </c>
      <c r="J243" s="2">
        <f>SUMIF(CODE,C243,Base5)</f>
        <v>43331</v>
      </c>
      <c r="K243" s="2">
        <f>SUMIF(CODE,C243,Base6)</f>
        <v>82241</v>
      </c>
      <c r="L243" s="2">
        <f>SUMIF(CODE,C243,Base7)</f>
        <v>65302</v>
      </c>
      <c r="M243" s="2">
        <f>SUMIF(CODE,C243,Base8)</f>
        <v>67248</v>
      </c>
      <c r="N243" s="2">
        <f>SUMIF(CODE,C243,Base9)</f>
        <v>66354</v>
      </c>
      <c r="O243" s="2">
        <f>SUMIF(CODE,C243,Base10)</f>
        <v>70252</v>
      </c>
      <c r="P243" s="2">
        <f>SUMIF(CODE,C243,Base11)</f>
        <v>67392</v>
      </c>
      <c r="Q243" s="2">
        <f>SUMIF(CODE,C243,Base12)</f>
        <v>61798</v>
      </c>
      <c r="R243" s="2"/>
    </row>
    <row r="244" spans="1:18">
      <c r="A244" s="19"/>
      <c r="B244" s="7" t="s">
        <v>2174</v>
      </c>
      <c r="C244" s="4" t="s">
        <v>2175</v>
      </c>
      <c r="D244" s="27"/>
      <c r="E244" s="10">
        <f>SUM(F244:Q244)</f>
        <v>0</v>
      </c>
      <c r="F244" s="2">
        <f>SUMIF(CODE,C244,Base1)</f>
        <v>0</v>
      </c>
      <c r="G244" s="2">
        <f>SUMIF(CODE,C244,Base2)</f>
        <v>0</v>
      </c>
      <c r="H244" s="2">
        <f>SUMIF(CODE,C244,Base3)</f>
        <v>0</v>
      </c>
      <c r="I244" s="2">
        <f>SUMIF(CODE,C244,Base4)</f>
        <v>0</v>
      </c>
      <c r="J244" s="2">
        <f>SUMIF(CODE,C244,Base5)</f>
        <v>0</v>
      </c>
      <c r="K244" s="2">
        <f>SUMIF(CODE,C244,Base6)</f>
        <v>0</v>
      </c>
      <c r="L244" s="2">
        <f>SUMIF(CODE,C244,Base7)</f>
        <v>0</v>
      </c>
      <c r="M244" s="2">
        <f>SUMIF(CODE,C244,Base8)</f>
        <v>0</v>
      </c>
      <c r="N244" s="2">
        <f>SUMIF(CODE,C244,Base9)</f>
        <v>0</v>
      </c>
      <c r="O244" s="2">
        <f>SUMIF(CODE,C244,Base10)</f>
        <v>0</v>
      </c>
      <c r="P244" s="2">
        <f>SUMIF(CODE,C244,Base11)</f>
        <v>0</v>
      </c>
      <c r="Q244" s="2">
        <f>SUMIF(CODE,C244,Base12)</f>
        <v>0</v>
      </c>
      <c r="R244" s="2"/>
    </row>
    <row r="245" spans="1:18">
      <c r="A245" s="19"/>
      <c r="B245" s="7" t="s">
        <v>1178</v>
      </c>
      <c r="C245" s="4" t="s">
        <v>1183</v>
      </c>
      <c r="D245" s="27"/>
      <c r="E245" s="10">
        <f>SUM(F245:Q245)</f>
        <v>8461056</v>
      </c>
      <c r="F245" s="2">
        <f>SUMIF(CODE,C245,Base1)</f>
        <v>580279</v>
      </c>
      <c r="G245" s="2">
        <f>SUMIF(CODE,C245,Base2)</f>
        <v>422778</v>
      </c>
      <c r="H245" s="2">
        <f>SUMIF(CODE,C245,Base3)</f>
        <v>338181</v>
      </c>
      <c r="I245" s="2">
        <f>SUMIF(CODE,C245,Base4)</f>
        <v>1856858</v>
      </c>
      <c r="J245" s="2">
        <f>SUMIF(CODE,C245,Base5)</f>
        <v>588073</v>
      </c>
      <c r="K245" s="2">
        <f>SUMIF(CODE,C245,Base6)</f>
        <v>1131532</v>
      </c>
      <c r="L245" s="2">
        <f>SUMIF(CODE,C245,Base7)</f>
        <v>557496</v>
      </c>
      <c r="M245" s="2">
        <f>SUMIF(CODE,C245,Base8)</f>
        <v>679974</v>
      </c>
      <c r="N245" s="2">
        <f>SUMIF(CODE,C245,Base9)</f>
        <v>671391</v>
      </c>
      <c r="O245" s="2">
        <f>SUMIF(CODE,C245,Base10)</f>
        <v>633475</v>
      </c>
      <c r="P245" s="2">
        <f>SUMIF(CODE,C245,Base11)</f>
        <v>470500</v>
      </c>
      <c r="Q245" s="2">
        <f>SUMIF(CODE,C245,Base12)</f>
        <v>530519</v>
      </c>
      <c r="R245" s="2"/>
    </row>
    <row r="246" spans="1:18">
      <c r="A246" s="19"/>
      <c r="B246" s="7" t="s">
        <v>248</v>
      </c>
      <c r="C246" s="4" t="s">
        <v>1184</v>
      </c>
      <c r="D246" s="27"/>
      <c r="E246" s="10">
        <f>SUM(F246:Q246)</f>
        <v>37863</v>
      </c>
      <c r="F246" s="2">
        <f>SUMIF(CODE,C246,Base1)</f>
        <v>63</v>
      </c>
      <c r="G246" s="2">
        <f>SUMIF(CODE,C246,Base2)</f>
        <v>1468</v>
      </c>
      <c r="H246" s="2">
        <f>SUMIF(CODE,C246,Base3)</f>
        <v>-541</v>
      </c>
      <c r="I246" s="2">
        <f>SUMIF(CODE,C246,Base4)</f>
        <v>545</v>
      </c>
      <c r="J246" s="2">
        <f>SUMIF(CODE,C246,Base5)</f>
        <v>2011</v>
      </c>
      <c r="K246" s="2">
        <f>SUMIF(CODE,C246,Base6)</f>
        <v>146</v>
      </c>
      <c r="L246" s="2">
        <f>SUMIF(CODE,C246,Base7)</f>
        <v>4280</v>
      </c>
      <c r="M246" s="2">
        <f>SUMIF(CODE,C246,Base8)</f>
        <v>16187</v>
      </c>
      <c r="N246" s="2">
        <f>SUMIF(CODE,C246,Base9)</f>
        <v>3340</v>
      </c>
      <c r="O246" s="2">
        <f>SUMIF(CODE,C246,Base10)</f>
        <v>3684</v>
      </c>
      <c r="P246" s="2">
        <f>SUMIF(CODE,C246,Base11)</f>
        <v>3340</v>
      </c>
      <c r="Q246" s="2">
        <f>SUMIF(CODE,C246,Base12)</f>
        <v>3340</v>
      </c>
      <c r="R246" s="2"/>
    </row>
    <row r="247" spans="1:18">
      <c r="A247" s="19"/>
      <c r="B247" s="8" t="s">
        <v>1185</v>
      </c>
      <c r="C247" s="4"/>
      <c r="D247" s="27"/>
      <c r="E247" s="9">
        <f>SUM(E232:E240)+SUM(E242:E246)</f>
        <v>98708103</v>
      </c>
      <c r="F247" s="9">
        <f t="shared" ref="F247:Q247" si="105">SUM(F232:F240)+SUM(F242:F246)</f>
        <v>11462332</v>
      </c>
      <c r="G247" s="9">
        <f t="shared" si="105"/>
        <v>8083088</v>
      </c>
      <c r="H247" s="9">
        <f t="shared" si="105"/>
        <v>7365327</v>
      </c>
      <c r="I247" s="9">
        <f t="shared" si="105"/>
        <v>9819663</v>
      </c>
      <c r="J247" s="9">
        <f t="shared" si="105"/>
        <v>6970729</v>
      </c>
      <c r="K247" s="9">
        <f>SUM(K232:K240)+SUM(K242:K246)</f>
        <v>9120519</v>
      </c>
      <c r="L247" s="9">
        <f t="shared" si="105"/>
        <v>7593230</v>
      </c>
      <c r="M247" s="9">
        <f t="shared" si="105"/>
        <v>7872444</v>
      </c>
      <c r="N247" s="9">
        <f t="shared" si="105"/>
        <v>7684382</v>
      </c>
      <c r="O247" s="9">
        <f t="shared" si="105"/>
        <v>7152378</v>
      </c>
      <c r="P247" s="9">
        <f t="shared" si="105"/>
        <v>7483253</v>
      </c>
      <c r="Q247" s="9">
        <f t="shared" si="105"/>
        <v>8100758</v>
      </c>
      <c r="R247" s="3"/>
    </row>
    <row r="248" spans="1:18">
      <c r="A248" s="19"/>
      <c r="B248" s="69" t="s">
        <v>2178</v>
      </c>
      <c r="C248" s="4"/>
      <c r="D248" s="27"/>
      <c r="E248" s="9">
        <f>E247+E227+E228+E229+E230</f>
        <v>226496360</v>
      </c>
      <c r="F248" s="9">
        <f t="shared" ref="F248:Q248" si="106">F247+F227+F228+F229+F230</f>
        <v>25412054</v>
      </c>
      <c r="G248" s="9">
        <f t="shared" si="106"/>
        <v>18989557</v>
      </c>
      <c r="H248" s="9">
        <f>H247+H227+H228+H229+H230</f>
        <v>16450614</v>
      </c>
      <c r="I248" s="9">
        <f t="shared" si="106"/>
        <v>21634469</v>
      </c>
      <c r="J248" s="9">
        <f t="shared" si="106"/>
        <v>16234130</v>
      </c>
      <c r="K248" s="9">
        <f t="shared" si="106"/>
        <v>18392828</v>
      </c>
      <c r="L248" s="9">
        <f t="shared" si="106"/>
        <v>18156815</v>
      </c>
      <c r="M248" s="9">
        <f t="shared" si="106"/>
        <v>19896258</v>
      </c>
      <c r="N248" s="9">
        <f t="shared" si="106"/>
        <v>19064608</v>
      </c>
      <c r="O248" s="9">
        <f t="shared" si="106"/>
        <v>17818639</v>
      </c>
      <c r="P248" s="9">
        <f t="shared" si="106"/>
        <v>17228568</v>
      </c>
      <c r="Q248" s="9">
        <f t="shared" si="106"/>
        <v>17217820</v>
      </c>
      <c r="R248" s="3"/>
    </row>
    <row r="249" spans="1:18">
      <c r="A249" s="19"/>
      <c r="B249" s="5" t="s">
        <v>179</v>
      </c>
      <c r="C249" s="4" t="s">
        <v>1186</v>
      </c>
      <c r="D249" s="27"/>
      <c r="E249" s="10">
        <f>SUM(F249:Q249)</f>
        <v>35375930</v>
      </c>
      <c r="F249" s="2">
        <f>SUMIF(CODE,C249,Base1)</f>
        <v>2414052</v>
      </c>
      <c r="G249" s="2">
        <f>SUMIF(CODE,C249,Base2)</f>
        <v>2710791</v>
      </c>
      <c r="H249" s="2">
        <f>SUMIF(CODE,C249,Base3)</f>
        <v>2704519</v>
      </c>
      <c r="I249" s="2">
        <f>SUMIF(CODE,C249,Base4)</f>
        <v>2695277</v>
      </c>
      <c r="J249" s="2">
        <f>SUMIF(CODE,C249,Base5)</f>
        <v>2700280</v>
      </c>
      <c r="K249" s="2">
        <f>SUMIF(CODE,C249,Base6)</f>
        <v>2702163</v>
      </c>
      <c r="L249" s="2">
        <f>SUMIF(CODE,C249,Base7)</f>
        <v>3206894</v>
      </c>
      <c r="M249" s="2">
        <f>SUMIF(CODE,C249,Base8)</f>
        <v>3258499</v>
      </c>
      <c r="N249" s="2">
        <f>SUMIF(CODE,C249,Base9)</f>
        <v>3222607</v>
      </c>
      <c r="O249" s="2">
        <f>SUMIF(CODE,C249,Base10)</f>
        <v>3207595</v>
      </c>
      <c r="P249" s="2">
        <f>SUMIF(CODE,C249,Base11)</f>
        <v>3269084</v>
      </c>
      <c r="Q249" s="2">
        <f>SUMIF(CODE,C249,Base12)</f>
        <v>3284169</v>
      </c>
      <c r="R249" s="2"/>
    </row>
    <row r="250" spans="1:18">
      <c r="A250" s="19"/>
      <c r="B250" s="5" t="s">
        <v>1187</v>
      </c>
      <c r="C250" s="4"/>
      <c r="D250" s="27"/>
      <c r="E250" s="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</row>
    <row r="251" spans="1:18">
      <c r="A251" s="19"/>
      <c r="B251" s="5" t="s">
        <v>951</v>
      </c>
      <c r="C251" s="4" t="s">
        <v>1188</v>
      </c>
      <c r="D251" s="27"/>
      <c r="E251" s="10">
        <f>SUM(F251:Q251)</f>
        <v>10675457</v>
      </c>
      <c r="F251" s="2">
        <f>SUMIF(CODE,C251,Base1)</f>
        <v>868598</v>
      </c>
      <c r="G251" s="2">
        <f>SUMIF(CODE,C251,Base2)</f>
        <v>986354</v>
      </c>
      <c r="H251" s="2">
        <f>SUMIF(CODE,C251,Base3)</f>
        <v>890505</v>
      </c>
      <c r="I251" s="2">
        <f>SUMIF(CODE,C251,Base4)</f>
        <v>744301</v>
      </c>
      <c r="J251" s="2">
        <f>SUMIF(CODE,C251,Base5)</f>
        <v>889128</v>
      </c>
      <c r="K251" s="2">
        <f>SUMIF(CODE,C251,Base6)</f>
        <v>903339</v>
      </c>
      <c r="L251" s="2">
        <f>SUMIF(CODE,C251,Base7)</f>
        <v>894396</v>
      </c>
      <c r="M251" s="2">
        <f>SUMIF(CODE,C251,Base8)</f>
        <v>894144</v>
      </c>
      <c r="N251" s="2">
        <f>SUMIF(CODE,C251,Base9)</f>
        <v>892466</v>
      </c>
      <c r="O251" s="2">
        <f>SUMIF(CODE,C251,Base10)</f>
        <v>918690</v>
      </c>
      <c r="P251" s="2">
        <f>SUMIF(CODE,C251,Base11)</f>
        <v>899672</v>
      </c>
      <c r="Q251" s="2">
        <f>SUMIF(CODE,C251,Base12)</f>
        <v>893864</v>
      </c>
      <c r="R251" s="2"/>
    </row>
    <row r="252" spans="1:18">
      <c r="A252" s="19"/>
      <c r="B252" s="5" t="s">
        <v>1190</v>
      </c>
      <c r="C252" s="4" t="s">
        <v>1189</v>
      </c>
      <c r="D252" s="27"/>
      <c r="E252" s="10">
        <f>SUM(F252:Q252)</f>
        <v>17516683</v>
      </c>
      <c r="F252" s="2">
        <f>SUMIF(CODE,C252,Base1)</f>
        <v>1293161</v>
      </c>
      <c r="G252" s="2">
        <f>SUMIF(CODE,C252,Base2)</f>
        <v>1474865</v>
      </c>
      <c r="H252" s="2">
        <f>SUMIF(CODE,C252,Base3)</f>
        <v>1474865</v>
      </c>
      <c r="I252" s="2">
        <f>SUMIF(CODE,C252,Base4)</f>
        <v>1474865</v>
      </c>
      <c r="J252" s="2">
        <f>SUMIF(CODE,C252,Base5)</f>
        <v>1474865</v>
      </c>
      <c r="K252" s="2">
        <f>SUMIF(CODE,C252,Base6)</f>
        <v>1474865</v>
      </c>
      <c r="L252" s="2">
        <f>SUMIF(CODE,C252,Base7)</f>
        <v>1474865</v>
      </c>
      <c r="M252" s="2">
        <f>SUMIF(CODE,C252,Base8)</f>
        <v>1474865</v>
      </c>
      <c r="N252" s="2">
        <f>SUMIF(CODE,C252,Base9)</f>
        <v>1474865</v>
      </c>
      <c r="O252" s="2">
        <f>SUMIF(CODE,C252,Base10)</f>
        <v>1474865</v>
      </c>
      <c r="P252" s="2">
        <f>SUMIF(CODE,C252,Base11)</f>
        <v>1474865</v>
      </c>
      <c r="Q252" s="2">
        <f>SUMIF(CODE,C252,Base12)</f>
        <v>1474872</v>
      </c>
      <c r="R252" s="2"/>
    </row>
    <row r="253" spans="1:18">
      <c r="A253" s="19"/>
      <c r="B253" s="5"/>
      <c r="C253" s="27"/>
      <c r="D253" s="27"/>
      <c r="E253" s="9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</row>
    <row r="254" spans="1:18">
      <c r="A254" s="19"/>
      <c r="B254" s="5" t="s">
        <v>569</v>
      </c>
      <c r="C254" s="27"/>
      <c r="D254" s="27"/>
      <c r="E254" s="9">
        <f>E225-E227-E228-E229-E230-E247-E249-E250-E251-E252</f>
        <v>36387908</v>
      </c>
      <c r="F254" s="1523">
        <f>F225-F227-F228-F229-F230-F247-F249-F250-F251-F252</f>
        <v>892780</v>
      </c>
      <c r="G254" s="9">
        <f t="shared" ref="G254:Q254" si="107">G225-G227-G228-G229-G230-G247-G249-G250-G251-G252</f>
        <v>4569186</v>
      </c>
      <c r="H254" s="9">
        <f t="shared" si="107"/>
        <v>3505212</v>
      </c>
      <c r="I254" s="9">
        <f t="shared" si="107"/>
        <v>610039</v>
      </c>
      <c r="J254" s="9">
        <f t="shared" si="107"/>
        <v>2792458</v>
      </c>
      <c r="K254" s="9">
        <f t="shared" si="107"/>
        <v>1467843</v>
      </c>
      <c r="L254" s="9">
        <f t="shared" si="107"/>
        <v>4664257</v>
      </c>
      <c r="M254" s="9">
        <f t="shared" si="107"/>
        <v>5760037</v>
      </c>
      <c r="N254" s="9">
        <f t="shared" si="107"/>
        <v>5280356</v>
      </c>
      <c r="O254" s="9">
        <f t="shared" si="107"/>
        <v>2853526</v>
      </c>
      <c r="P254" s="9">
        <f t="shared" si="107"/>
        <v>2123632</v>
      </c>
      <c r="Q254" s="9">
        <f t="shared" si="107"/>
        <v>1868582</v>
      </c>
      <c r="R254" s="3"/>
    </row>
    <row r="255" spans="1:18">
      <c r="A255" s="19"/>
      <c r="B255" s="5"/>
      <c r="C255" s="27"/>
      <c r="D255" s="27"/>
      <c r="E255" s="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</row>
    <row r="256" spans="1:18">
      <c r="A256" s="19"/>
      <c r="B256" s="5" t="s">
        <v>942</v>
      </c>
      <c r="C256" s="27"/>
      <c r="D256" s="27"/>
      <c r="E256" s="9">
        <f t="shared" ref="E256" si="108">E254+E252</f>
        <v>53904591</v>
      </c>
      <c r="F256" s="1523">
        <f>F225-F227-F228-F229-F230-F247-F249-F250-F251</f>
        <v>2185941</v>
      </c>
      <c r="G256" s="1523">
        <f t="shared" ref="G256:Q256" si="109">G225-G227-G228-G229-G230-G247-G249-G250-G251</f>
        <v>6044051</v>
      </c>
      <c r="H256" s="1523">
        <f t="shared" si="109"/>
        <v>4980077</v>
      </c>
      <c r="I256" s="1523">
        <f t="shared" si="109"/>
        <v>2084904</v>
      </c>
      <c r="J256" s="1523">
        <f t="shared" si="109"/>
        <v>4267323</v>
      </c>
      <c r="K256" s="1523">
        <f t="shared" si="109"/>
        <v>2942708</v>
      </c>
      <c r="L256" s="1523">
        <f t="shared" si="109"/>
        <v>6139122</v>
      </c>
      <c r="M256" s="1523">
        <f t="shared" si="109"/>
        <v>7234902</v>
      </c>
      <c r="N256" s="1523">
        <f t="shared" si="109"/>
        <v>6755221</v>
      </c>
      <c r="O256" s="1523">
        <f t="shared" si="109"/>
        <v>4328391</v>
      </c>
      <c r="P256" s="1523">
        <f t="shared" si="109"/>
        <v>3598497</v>
      </c>
      <c r="Q256" s="1523">
        <f t="shared" si="109"/>
        <v>3343454</v>
      </c>
      <c r="R256" s="3"/>
    </row>
    <row r="257" spans="1:18">
      <c r="A257" s="19"/>
      <c r="B257" s="20"/>
      <c r="C257" s="19"/>
      <c r="D257" s="19"/>
      <c r="E257" s="9"/>
      <c r="F257" s="9"/>
      <c r="G257" s="3"/>
      <c r="H257" s="3"/>
      <c r="I257" s="3"/>
      <c r="J257" s="3"/>
      <c r="K257" s="3"/>
      <c r="L257" s="3"/>
      <c r="M257" s="3"/>
      <c r="N257" s="3"/>
      <c r="O257" s="2"/>
      <c r="P257" s="2"/>
      <c r="Q257" s="2"/>
      <c r="R257" s="3"/>
    </row>
    <row r="258" spans="1:18">
      <c r="A258" s="19"/>
      <c r="B258" s="20"/>
      <c r="C258" s="19"/>
      <c r="D258" s="19"/>
      <c r="E258" s="2780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3"/>
    </row>
    <row r="259" spans="1:18">
      <c r="A259" s="19"/>
      <c r="B259" s="20"/>
      <c r="C259" s="19"/>
      <c r="D259" s="19"/>
      <c r="E259" s="2780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3"/>
    </row>
    <row r="260" spans="1:18">
      <c r="A260" s="19"/>
      <c r="B260" s="20"/>
      <c r="C260" s="19"/>
      <c r="D260" s="19"/>
      <c r="E260" s="2780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</row>
  </sheetData>
  <phoneticPr fontId="19" type="noConversion"/>
  <pageMargins left="0.75" right="0.75" top="1" bottom="1" header="0.5" footer="0.5"/>
  <pageSetup scale="59" orientation="landscape" blackAndWhite="1" r:id="rId1"/>
  <headerFooter alignWithMargins="0">
    <oddHeader>&amp;C&amp;A&amp;R&amp;"Times New Roman,Bold"KyPSC Case No. 2017-00321
STAFF-DR-01-071 SFRs Attachment
Page &amp;P of &amp;N</oddHeader>
    <oddFooter>Page &amp;P</oddFooter>
  </headerFooter>
  <rowBreaks count="2" manualBreakCount="2">
    <brk id="175" max="16" man="1"/>
    <brk id="223" max="16" man="1"/>
  </rowBreaks>
  <colBreaks count="1" manualBreakCount="1">
    <brk id="11" max="253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7" tint="-0.249977111117893"/>
  </sheetPr>
  <dimension ref="A1:W69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8" style="18" customWidth="1"/>
    <col min="2" max="2" width="20.42578125" style="18" customWidth="1"/>
    <col min="3" max="3" width="8" style="18" customWidth="1"/>
    <col min="4" max="4" width="10.42578125" style="18" customWidth="1"/>
    <col min="5" max="7" width="8" style="18" customWidth="1"/>
    <col min="8" max="8" width="12.42578125" style="18" customWidth="1"/>
    <col min="9" max="9" width="10" style="18" customWidth="1"/>
    <col min="10" max="10" width="18.42578125" style="18" customWidth="1"/>
    <col min="11" max="12" width="8" style="18" customWidth="1"/>
    <col min="13" max="13" width="2.42578125" style="18" customWidth="1"/>
    <col min="14" max="14" width="42.140625" style="18" customWidth="1"/>
    <col min="15" max="15" width="3.85546875" style="18" customWidth="1"/>
    <col min="16" max="16" width="18.28515625" style="18" customWidth="1"/>
    <col min="17" max="17" width="1.85546875" style="18" customWidth="1"/>
    <col min="18" max="18" width="18.140625" style="18" customWidth="1"/>
    <col min="19" max="19" width="2.28515625" style="18" customWidth="1"/>
    <col min="20" max="20" width="16.42578125" style="18" customWidth="1"/>
    <col min="21" max="16384" width="8" style="18"/>
  </cols>
  <sheetData>
    <row r="1" spans="1:23">
      <c r="A1" s="2087" t="str">
        <f>LOGO!B5</f>
        <v>DUKE ENERGY KENTUCKY, INC.</v>
      </c>
      <c r="B1" s="2195"/>
      <c r="C1" s="2195"/>
      <c r="D1" s="2195"/>
      <c r="E1" s="2195"/>
      <c r="F1" s="2195"/>
      <c r="G1" s="2195"/>
      <c r="H1" s="2195"/>
      <c r="I1" s="2195"/>
      <c r="J1" s="2195"/>
      <c r="K1" s="1180"/>
      <c r="L1" s="1180"/>
      <c r="M1" s="1180"/>
      <c r="N1" s="1180"/>
      <c r="O1" s="1180"/>
      <c r="P1" s="1180"/>
      <c r="Q1" s="1180"/>
      <c r="R1" s="1180"/>
      <c r="S1" s="1180"/>
      <c r="T1" s="1180"/>
      <c r="U1" s="1180"/>
      <c r="V1" s="1180"/>
      <c r="W1" s="1180"/>
    </row>
    <row r="2" spans="1:23">
      <c r="A2" s="2087" t="str">
        <f>LOGO!B6</f>
        <v>CASE NO. 2017-00321</v>
      </c>
      <c r="B2" s="2195"/>
      <c r="C2" s="2195"/>
      <c r="D2" s="2195"/>
      <c r="E2" s="2195"/>
      <c r="F2" s="2195"/>
      <c r="G2" s="2195"/>
      <c r="H2" s="2195"/>
      <c r="I2" s="2195"/>
      <c r="J2" s="2195"/>
      <c r="K2" s="1180"/>
      <c r="L2" s="1180"/>
      <c r="M2" s="1180"/>
      <c r="N2" s="1180"/>
      <c r="O2" s="1180"/>
      <c r="P2" s="1180"/>
      <c r="Q2" s="1180"/>
      <c r="R2" s="1180"/>
      <c r="S2" s="1180"/>
      <c r="T2" s="1180"/>
      <c r="U2" s="1180"/>
      <c r="V2" s="1180"/>
      <c r="W2" s="1180"/>
    </row>
    <row r="3" spans="1:23">
      <c r="A3" s="2166" t="s">
        <v>1408</v>
      </c>
      <c r="B3" s="2195"/>
      <c r="C3" s="2195"/>
      <c r="D3" s="2195"/>
      <c r="E3" s="2195"/>
      <c r="F3" s="2195"/>
      <c r="G3" s="2195"/>
      <c r="H3" s="2195"/>
      <c r="I3" s="2195"/>
      <c r="J3" s="2195"/>
      <c r="K3" s="1180"/>
      <c r="L3" s="1180"/>
      <c r="M3" s="1180"/>
      <c r="N3" s="1180"/>
      <c r="O3" s="1180"/>
      <c r="P3" s="1180"/>
      <c r="Q3" s="1180"/>
      <c r="R3" s="1180"/>
      <c r="S3" s="1180"/>
      <c r="T3" s="1180"/>
      <c r="U3" s="1180"/>
      <c r="V3" s="1180"/>
      <c r="W3" s="1180"/>
    </row>
    <row r="4" spans="1:23">
      <c r="A4" s="2087" t="str">
        <f>LOGO!B8</f>
        <v>FOR THE TWELVE MONTHS ENDED MARCH 31, 2019</v>
      </c>
      <c r="B4" s="2195"/>
      <c r="C4" s="2195"/>
      <c r="D4" s="2195"/>
      <c r="E4" s="2195"/>
      <c r="F4" s="2195"/>
      <c r="G4" s="2195"/>
      <c r="H4" s="2195"/>
      <c r="I4" s="2195"/>
      <c r="J4" s="2195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</row>
    <row r="5" spans="1:23">
      <c r="A5" s="1180"/>
      <c r="B5" s="1180"/>
      <c r="C5" s="1180"/>
      <c r="D5" s="1180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80"/>
      <c r="U5" s="1180"/>
      <c r="V5" s="1180"/>
      <c r="W5" s="1180"/>
    </row>
    <row r="6" spans="1:23">
      <c r="A6" s="2206" t="str">
        <f>DataB</f>
        <v>DATA: "X" BASE PERIOD  "X" FORECASTED PERIOD</v>
      </c>
      <c r="B6" s="1180"/>
      <c r="C6" s="1180"/>
      <c r="D6" s="1180"/>
      <c r="E6" s="1180"/>
      <c r="F6" s="1180"/>
      <c r="G6" s="1180"/>
      <c r="H6" s="1180"/>
      <c r="I6" s="2196" t="s">
        <v>1245</v>
      </c>
      <c r="J6" s="1180"/>
      <c r="K6" s="1180"/>
      <c r="L6" s="1180"/>
      <c r="M6" s="1180"/>
      <c r="N6" s="1180"/>
      <c r="O6" s="1180"/>
      <c r="P6" s="1180"/>
      <c r="Q6" s="1180"/>
      <c r="R6" s="1180"/>
      <c r="S6" s="1180"/>
      <c r="T6" s="1180"/>
      <c r="U6" s="1180"/>
      <c r="V6" s="1180"/>
      <c r="W6" s="1180"/>
    </row>
    <row r="7" spans="1:23">
      <c r="A7" s="2206" t="str">
        <f>LOGO!B15</f>
        <v xml:space="preserve">TYPE OF FILING:  "X" ORIGINAL   UPDATED    REVISED  </v>
      </c>
      <c r="B7" s="1180"/>
      <c r="C7" s="1180"/>
      <c r="D7" s="1180"/>
      <c r="E7" s="1180"/>
      <c r="F7" s="1180"/>
      <c r="G7" s="1180"/>
      <c r="H7" s="1180"/>
      <c r="I7" s="1179" t="s">
        <v>620</v>
      </c>
      <c r="J7" s="1180"/>
      <c r="K7" s="1180"/>
      <c r="L7" s="1180"/>
      <c r="M7" s="1180"/>
      <c r="N7" s="1180"/>
      <c r="O7" s="1180"/>
      <c r="P7" s="1180"/>
      <c r="Q7" s="1180"/>
      <c r="R7" s="1180"/>
      <c r="S7" s="1180"/>
      <c r="T7" s="1180"/>
      <c r="U7" s="1180"/>
      <c r="V7" s="1180"/>
      <c r="W7" s="1180"/>
    </row>
    <row r="8" spans="1:23">
      <c r="A8" s="1179" t="s">
        <v>886</v>
      </c>
      <c r="B8" s="1180"/>
      <c r="C8" s="1180"/>
      <c r="D8" s="1180"/>
      <c r="E8" s="1180"/>
      <c r="F8" s="1180"/>
      <c r="G8" s="1180"/>
      <c r="H8" s="1180"/>
      <c r="I8" s="1179" t="s">
        <v>622</v>
      </c>
      <c r="J8" s="1180"/>
      <c r="K8" s="1180"/>
      <c r="L8" s="1180"/>
      <c r="M8" s="1180"/>
      <c r="N8" s="1180"/>
      <c r="O8" s="1180"/>
      <c r="P8" s="1180"/>
      <c r="Q8" s="1180"/>
      <c r="R8" s="1180"/>
      <c r="S8" s="1180"/>
      <c r="T8" s="1180"/>
      <c r="U8" s="1180"/>
      <c r="V8" s="1180"/>
      <c r="W8" s="1180"/>
    </row>
    <row r="9" spans="1:23">
      <c r="A9" s="1180"/>
      <c r="B9" s="1180"/>
      <c r="C9" s="1180"/>
      <c r="D9" s="1180"/>
      <c r="E9" s="1180"/>
      <c r="F9" s="1180"/>
      <c r="G9" s="1180"/>
      <c r="H9" s="1180"/>
      <c r="I9" s="1179" t="str">
        <f>_WIT10</f>
        <v>R. H. PRATT</v>
      </c>
      <c r="J9" s="1180"/>
      <c r="K9" s="1180"/>
      <c r="L9" s="1180"/>
      <c r="M9" s="1180"/>
      <c r="N9" s="1180"/>
      <c r="O9" s="1180"/>
      <c r="P9" s="1180"/>
      <c r="Q9" s="1180"/>
      <c r="R9" s="1180"/>
      <c r="S9" s="1180"/>
      <c r="T9" s="1180"/>
      <c r="U9" s="1180"/>
      <c r="V9" s="1180"/>
      <c r="W9" s="1180"/>
    </row>
    <row r="10" spans="1:23">
      <c r="A10" s="2197"/>
      <c r="B10" s="2197"/>
      <c r="C10" s="2197"/>
      <c r="D10" s="2197"/>
      <c r="E10" s="2197"/>
      <c r="F10" s="2197"/>
      <c r="G10" s="2197"/>
      <c r="H10" s="2197"/>
      <c r="I10" s="2197"/>
      <c r="J10" s="2197"/>
      <c r="K10" s="1179"/>
      <c r="L10" s="1180"/>
      <c r="M10" s="1180"/>
      <c r="N10" s="1180"/>
      <c r="O10" s="1180"/>
      <c r="P10" s="1180"/>
      <c r="Q10" s="1180"/>
      <c r="R10" s="1180"/>
      <c r="S10" s="1180"/>
      <c r="T10" s="1180"/>
      <c r="U10" s="1180"/>
      <c r="V10" s="1180"/>
      <c r="W10" s="1180"/>
    </row>
    <row r="11" spans="1:23">
      <c r="A11" s="1180"/>
      <c r="B11" s="1180"/>
      <c r="C11" s="1180"/>
      <c r="D11" s="1180"/>
      <c r="E11" s="1180"/>
      <c r="F11" s="1180"/>
      <c r="G11" s="1180"/>
      <c r="H11" s="1180"/>
      <c r="I11" s="1180"/>
      <c r="J11" s="1180"/>
      <c r="K11" s="1180"/>
      <c r="L11" s="1180"/>
      <c r="M11" s="1180"/>
      <c r="N11" s="1180"/>
      <c r="O11" s="1180"/>
      <c r="P11" s="1180"/>
      <c r="Q11" s="1180"/>
      <c r="R11" s="1180"/>
      <c r="S11" s="1180"/>
      <c r="T11" s="1180"/>
      <c r="U11" s="1180"/>
      <c r="V11" s="1180"/>
      <c r="W11" s="1180"/>
    </row>
    <row r="12" spans="1:23">
      <c r="A12" s="1179" t="s">
        <v>1246</v>
      </c>
      <c r="B12" s="1180"/>
      <c r="C12" s="1180"/>
      <c r="D12" s="1180"/>
      <c r="E12" s="1180"/>
      <c r="F12" s="1180"/>
      <c r="G12" s="1180"/>
      <c r="H12" s="1180"/>
      <c r="I12" s="1180"/>
      <c r="J12" s="2198" t="s">
        <v>364</v>
      </c>
      <c r="K12" s="1180"/>
      <c r="L12" s="1180"/>
      <c r="M12" s="1180"/>
      <c r="N12" s="1180"/>
      <c r="O12" s="1180"/>
      <c r="P12" s="1180"/>
      <c r="Q12" s="1180"/>
      <c r="R12" s="1180"/>
      <c r="S12" s="1180"/>
      <c r="T12" s="1180"/>
      <c r="U12" s="1180"/>
      <c r="V12" s="1180"/>
      <c r="W12" s="1180"/>
    </row>
    <row r="13" spans="1:23">
      <c r="A13" s="2197"/>
      <c r="B13" s="2197"/>
      <c r="C13" s="2197"/>
      <c r="D13" s="2197"/>
      <c r="E13" s="2197"/>
      <c r="F13" s="2197"/>
      <c r="G13" s="2197"/>
      <c r="H13" s="2197"/>
      <c r="I13" s="2197"/>
      <c r="J13" s="2197"/>
      <c r="K13" s="1179"/>
      <c r="L13" s="1180"/>
      <c r="M13" s="1180"/>
      <c r="N13" s="1180"/>
      <c r="O13" s="1180"/>
      <c r="P13" s="1180"/>
      <c r="Q13" s="1180"/>
      <c r="R13" s="1180"/>
      <c r="S13" s="1180"/>
      <c r="T13" s="1180"/>
      <c r="U13" s="1180"/>
      <c r="V13" s="1180"/>
      <c r="W13" s="1180"/>
    </row>
    <row r="14" spans="1:23">
      <c r="A14" s="1180"/>
      <c r="B14" s="1180"/>
      <c r="C14" s="1180"/>
      <c r="D14" s="1180"/>
      <c r="E14" s="1180"/>
      <c r="F14" s="1180"/>
      <c r="G14" s="1180"/>
      <c r="H14" s="1180"/>
      <c r="I14" s="1180"/>
      <c r="J14" s="2199"/>
      <c r="K14" s="1180"/>
      <c r="L14" s="1180"/>
      <c r="M14" s="1180"/>
      <c r="N14" s="1180"/>
      <c r="O14" s="1180"/>
      <c r="P14" s="1180"/>
      <c r="Q14" s="1180"/>
      <c r="R14" s="1180"/>
      <c r="S14" s="1180"/>
      <c r="T14" s="1180"/>
      <c r="U14" s="1180"/>
      <c r="V14" s="1180"/>
      <c r="W14" s="1180"/>
    </row>
    <row r="15" spans="1:23">
      <c r="A15" s="1581" t="s">
        <v>417</v>
      </c>
      <c r="B15" s="1180"/>
      <c r="C15" s="1180"/>
      <c r="D15" s="1180"/>
      <c r="E15" s="1180"/>
      <c r="F15" s="1180"/>
      <c r="G15" s="1180"/>
      <c r="H15" s="1180"/>
      <c r="I15" s="1180"/>
      <c r="J15" s="1180"/>
      <c r="K15" s="1180"/>
      <c r="L15" s="1180"/>
      <c r="M15" s="1180"/>
      <c r="N15" s="1180"/>
      <c r="O15" s="1180"/>
      <c r="P15" s="1180"/>
      <c r="Q15" s="1180"/>
      <c r="R15" s="1180"/>
      <c r="S15" s="1180"/>
      <c r="T15" s="1180"/>
      <c r="U15" s="1180"/>
      <c r="V15" s="1180"/>
      <c r="W15" s="1180"/>
    </row>
    <row r="16" spans="1:23">
      <c r="A16" s="1581" t="s">
        <v>1409</v>
      </c>
      <c r="B16" s="1180"/>
      <c r="C16" s="1180"/>
      <c r="D16" s="1180"/>
      <c r="E16" s="1180"/>
      <c r="F16" s="1180"/>
      <c r="G16" s="1180"/>
      <c r="H16" s="1180"/>
      <c r="I16" s="1180"/>
      <c r="J16" s="1180"/>
      <c r="K16" s="1180"/>
      <c r="L16" s="1180"/>
      <c r="M16" s="1180"/>
      <c r="N16" s="1180"/>
      <c r="O16" s="1180"/>
      <c r="P16" s="1180"/>
      <c r="Q16" s="1180"/>
      <c r="R16" s="1180"/>
      <c r="S16" s="1180"/>
      <c r="T16" s="1180"/>
      <c r="U16" s="1180"/>
      <c r="V16" s="1180"/>
      <c r="W16" s="1180"/>
    </row>
    <row r="17" spans="1:23">
      <c r="A17" s="1179"/>
      <c r="B17" s="1180"/>
      <c r="C17" s="1180"/>
      <c r="D17" s="1180"/>
      <c r="E17" s="1180"/>
      <c r="F17" s="1180"/>
      <c r="G17" s="1180"/>
      <c r="H17" s="1180"/>
      <c r="I17" s="1180"/>
      <c r="J17" s="1180"/>
      <c r="K17" s="1180"/>
      <c r="L17" s="1180"/>
      <c r="M17" s="1180"/>
      <c r="N17" s="1180"/>
      <c r="O17" s="1180"/>
      <c r="P17" s="1180"/>
      <c r="Q17" s="1180"/>
      <c r="R17" s="1180"/>
      <c r="S17" s="1180"/>
      <c r="T17" s="1180"/>
      <c r="U17" s="1180"/>
      <c r="V17" s="1180"/>
      <c r="W17" s="1180"/>
    </row>
    <row r="18" spans="1:23">
      <c r="A18" s="1179"/>
      <c r="B18" s="1180"/>
      <c r="C18" s="1180"/>
      <c r="D18" s="1180"/>
      <c r="E18" s="1180"/>
      <c r="F18" s="1180"/>
      <c r="G18" s="1180"/>
      <c r="H18" s="1180"/>
      <c r="I18" s="1180"/>
      <c r="J18" s="1180"/>
      <c r="K18" s="1180"/>
      <c r="L18" s="1180"/>
      <c r="M18" s="1180"/>
      <c r="N18" s="1180"/>
      <c r="O18" s="1180"/>
      <c r="P18" s="1180"/>
      <c r="Q18" s="1180"/>
      <c r="R18" s="1180"/>
      <c r="S18" s="1180"/>
      <c r="T18" s="1180"/>
      <c r="U18" s="1180"/>
      <c r="V18" s="1180"/>
      <c r="W18" s="1180"/>
    </row>
    <row r="19" spans="1:23">
      <c r="A19" s="1179"/>
      <c r="B19" s="1180"/>
      <c r="C19" s="1180"/>
      <c r="D19" s="1180"/>
      <c r="E19" s="1180"/>
      <c r="F19" s="1180"/>
      <c r="G19" s="1180"/>
      <c r="H19" s="1180"/>
      <c r="I19" s="1180"/>
      <c r="J19" s="1180"/>
      <c r="K19" s="1180"/>
      <c r="L19" s="1180"/>
      <c r="M19" s="1180"/>
      <c r="N19" s="1180"/>
      <c r="O19" s="1180"/>
      <c r="P19" s="1180"/>
      <c r="Q19" s="1180"/>
      <c r="R19" s="1180"/>
      <c r="S19" s="1180"/>
      <c r="T19" s="1180"/>
      <c r="U19" s="1180"/>
      <c r="V19" s="1180"/>
      <c r="W19" s="1180"/>
    </row>
    <row r="20" spans="1:23">
      <c r="A20" s="1179"/>
      <c r="B20" s="1180"/>
      <c r="C20" s="1180"/>
      <c r="D20" s="1180"/>
      <c r="E20" s="1180"/>
      <c r="F20" s="1180"/>
      <c r="G20" s="1180"/>
      <c r="H20" s="2199"/>
      <c r="I20" s="1180"/>
      <c r="J20" s="1180"/>
      <c r="K20" s="1180"/>
      <c r="L20" s="1180"/>
      <c r="M20" s="1180"/>
      <c r="N20" s="1180"/>
      <c r="O20" s="1180"/>
      <c r="P20" s="1180"/>
      <c r="Q20" s="1180"/>
      <c r="R20" s="1180"/>
      <c r="S20" s="1180"/>
      <c r="T20" s="1180"/>
      <c r="U20" s="1180"/>
      <c r="V20" s="1180"/>
      <c r="W20" s="1180"/>
    </row>
    <row r="21" spans="1:23">
      <c r="A21" s="1502"/>
      <c r="B21" s="1180"/>
      <c r="C21" s="1180"/>
      <c r="D21" s="1180"/>
      <c r="E21" s="1180"/>
      <c r="F21" s="1180"/>
      <c r="G21" s="1180"/>
      <c r="H21" s="2170"/>
      <c r="I21" s="1180"/>
      <c r="J21" s="1180"/>
      <c r="K21" s="1180"/>
      <c r="L21" s="1180"/>
      <c r="M21" s="1180"/>
      <c r="N21" s="1180"/>
      <c r="O21" s="1180"/>
      <c r="P21" s="1180"/>
      <c r="Q21" s="1180"/>
      <c r="R21" s="1180"/>
      <c r="S21" s="1180"/>
      <c r="T21" s="1180"/>
      <c r="U21" s="1180"/>
      <c r="V21" s="1180"/>
      <c r="W21" s="1180"/>
    </row>
    <row r="22" spans="1:23">
      <c r="A22" s="1179" t="s">
        <v>416</v>
      </c>
      <c r="B22" s="1180"/>
      <c r="C22" s="1180"/>
      <c r="D22" s="1180"/>
      <c r="E22" s="1180"/>
      <c r="F22" s="1180"/>
      <c r="G22" s="1180"/>
      <c r="H22" s="2199"/>
      <c r="I22" s="1180"/>
      <c r="J22" s="1375">
        <f ca="1">T51</f>
        <v>-1284619</v>
      </c>
      <c r="K22" s="1180"/>
      <c r="L22" s="1180"/>
      <c r="M22" s="1180"/>
      <c r="N22" s="1180"/>
      <c r="O22" s="1180"/>
      <c r="P22" s="1180"/>
      <c r="Q22" s="1180"/>
      <c r="R22" s="1180"/>
      <c r="S22" s="1180"/>
      <c r="T22" s="1180"/>
      <c r="U22" s="1180"/>
      <c r="V22" s="1180"/>
      <c r="W22" s="1180"/>
    </row>
    <row r="23" spans="1:23">
      <c r="A23" s="1180"/>
      <c r="B23" s="1180"/>
      <c r="C23" s="1180"/>
      <c r="D23" s="1180"/>
      <c r="E23" s="1180"/>
      <c r="F23" s="1180"/>
      <c r="G23" s="1180"/>
      <c r="H23" s="1180"/>
      <c r="I23" s="1180"/>
      <c r="J23" s="1180"/>
      <c r="K23" s="1180"/>
      <c r="L23" s="1180"/>
      <c r="M23" s="1180"/>
      <c r="N23" s="1180"/>
      <c r="O23" s="1180"/>
      <c r="P23" s="1180"/>
      <c r="Q23" s="1180"/>
      <c r="R23" s="1180"/>
      <c r="S23" s="1180"/>
      <c r="T23" s="1180"/>
      <c r="U23" s="1180"/>
      <c r="V23" s="1180"/>
      <c r="W23" s="1180"/>
    </row>
    <row r="24" spans="1:23">
      <c r="A24" s="1179" t="s">
        <v>266</v>
      </c>
      <c r="B24" s="1180"/>
      <c r="C24" s="1180"/>
      <c r="D24" s="1180"/>
      <c r="E24" s="1180"/>
      <c r="F24" s="1180"/>
      <c r="G24" s="1180"/>
      <c r="H24" s="1180"/>
      <c r="I24" s="1180"/>
      <c r="J24" s="1425">
        <f>VLOOKUP(D31,ALLOCTABLE,2)/100</f>
        <v>1</v>
      </c>
      <c r="K24" s="1180"/>
      <c r="L24" s="1180"/>
      <c r="M24" s="1180"/>
      <c r="N24" s="1180"/>
      <c r="O24" s="1180"/>
      <c r="P24" s="1180"/>
      <c r="Q24" s="1180"/>
      <c r="R24" s="1180"/>
      <c r="S24" s="1180"/>
      <c r="T24" s="1180"/>
      <c r="U24" s="1180"/>
      <c r="V24" s="1180"/>
      <c r="W24" s="1180"/>
    </row>
    <row r="25" spans="1:23">
      <c r="A25" s="1180"/>
      <c r="B25" s="1180"/>
      <c r="C25" s="1180"/>
      <c r="D25" s="1180"/>
      <c r="E25" s="1180"/>
      <c r="F25" s="1180"/>
      <c r="G25" s="1180"/>
      <c r="H25" s="1180"/>
      <c r="I25" s="1180"/>
      <c r="J25" s="1426"/>
      <c r="K25" s="1180"/>
      <c r="L25" s="1180"/>
      <c r="M25" s="1180"/>
      <c r="N25" s="1180"/>
      <c r="O25" s="1180"/>
      <c r="P25" s="1180"/>
      <c r="Q25" s="1180"/>
      <c r="R25" s="1180"/>
      <c r="S25" s="1180"/>
      <c r="T25" s="1180"/>
      <c r="U25" s="1180"/>
      <c r="V25" s="1180"/>
      <c r="W25" s="1180"/>
    </row>
    <row r="26" spans="1:23">
      <c r="A26" s="1180"/>
      <c r="B26" s="1180"/>
      <c r="C26" s="1180"/>
      <c r="D26" s="1180"/>
      <c r="E26" s="1180"/>
      <c r="F26" s="1180"/>
      <c r="G26" s="1180"/>
      <c r="H26" s="1180"/>
      <c r="I26" s="1180"/>
      <c r="J26" s="1180"/>
      <c r="K26" s="1180"/>
      <c r="L26" s="1180"/>
      <c r="M26" s="1180"/>
      <c r="N26" s="1180"/>
      <c r="O26" s="1180"/>
      <c r="P26" s="1180"/>
      <c r="Q26" s="1180"/>
      <c r="R26" s="1180"/>
      <c r="S26" s="1180"/>
      <c r="T26" s="1180"/>
      <c r="U26" s="1180"/>
      <c r="V26" s="1180"/>
      <c r="W26" s="1180"/>
    </row>
    <row r="27" spans="1:23" ht="15">
      <c r="A27" s="1179" t="s">
        <v>1236</v>
      </c>
      <c r="B27" s="1180"/>
      <c r="C27" s="1180"/>
      <c r="D27" s="1180"/>
      <c r="E27" s="1180"/>
      <c r="F27" s="1179" t="s">
        <v>1213</v>
      </c>
      <c r="G27" s="1180"/>
      <c r="H27" s="1180"/>
      <c r="I27" s="1426"/>
      <c r="J27" s="1427">
        <f ca="1">ROUND(J22*J24,0)</f>
        <v>-1284619</v>
      </c>
      <c r="K27" s="1180"/>
      <c r="L27" s="1180"/>
      <c r="M27" s="1180"/>
      <c r="N27" s="1180"/>
      <c r="O27" s="1180"/>
      <c r="P27" s="1180"/>
      <c r="Q27" s="1180"/>
      <c r="R27" s="1180"/>
      <c r="S27" s="1180"/>
      <c r="T27" s="1180"/>
      <c r="U27" s="1180"/>
      <c r="V27" s="1180"/>
      <c r="W27" s="1180"/>
    </row>
    <row r="28" spans="1:23">
      <c r="A28" s="1180"/>
      <c r="B28" s="1180"/>
      <c r="C28" s="1180"/>
      <c r="D28" s="1180"/>
      <c r="E28" s="1180"/>
      <c r="F28" s="1180"/>
      <c r="G28" s="1180"/>
      <c r="H28" s="1180"/>
      <c r="I28" s="1180"/>
      <c r="J28" s="1426"/>
      <c r="K28" s="1180"/>
      <c r="L28" s="1180"/>
      <c r="M28" s="1180"/>
      <c r="N28" s="1180"/>
      <c r="O28" s="1180"/>
      <c r="P28" s="1180"/>
      <c r="Q28" s="1180"/>
      <c r="R28" s="1180"/>
      <c r="S28" s="1180"/>
      <c r="T28" s="1180"/>
      <c r="U28" s="1180"/>
      <c r="V28" s="1180"/>
      <c r="W28" s="1180"/>
    </row>
    <row r="29" spans="1:23">
      <c r="A29" s="1180"/>
      <c r="B29" s="1180"/>
      <c r="C29" s="1180"/>
      <c r="D29" s="1180"/>
      <c r="E29" s="1180"/>
      <c r="F29" s="1180"/>
      <c r="G29" s="1180"/>
      <c r="H29" s="1180"/>
      <c r="I29" s="1180"/>
      <c r="J29" s="1180"/>
      <c r="K29" s="1180"/>
      <c r="L29" s="1180"/>
      <c r="M29" s="1180"/>
      <c r="N29" s="1180"/>
      <c r="O29" s="1180"/>
      <c r="P29" s="1180"/>
      <c r="Q29" s="1180"/>
      <c r="R29" s="1180"/>
      <c r="S29" s="1180"/>
      <c r="T29" s="1180"/>
      <c r="U29" s="1180"/>
      <c r="V29" s="1180"/>
      <c r="W29" s="1180"/>
    </row>
    <row r="30" spans="1:23">
      <c r="A30" s="1180"/>
      <c r="B30" s="1180"/>
      <c r="C30" s="1180"/>
      <c r="D30" s="1180"/>
      <c r="E30" s="1180"/>
      <c r="F30" s="1180"/>
      <c r="G30" s="1180"/>
      <c r="H30" s="1180"/>
      <c r="I30" s="1180"/>
      <c r="J30" s="1180"/>
      <c r="K30" s="1180"/>
      <c r="L30" s="1180"/>
      <c r="M30" s="1180"/>
      <c r="N30" s="1180"/>
      <c r="O30" s="1180"/>
      <c r="P30" s="1180"/>
      <c r="Q30" s="1180"/>
      <c r="R30" s="1180"/>
      <c r="S30" s="1180"/>
      <c r="T30" s="1180"/>
      <c r="U30" s="1180"/>
      <c r="V30" s="1180"/>
      <c r="W30" s="1180"/>
    </row>
    <row r="31" spans="1:23">
      <c r="A31" s="1179" t="s">
        <v>1237</v>
      </c>
      <c r="B31" s="1180"/>
      <c r="C31" s="1180"/>
      <c r="D31" s="2149" t="s">
        <v>593</v>
      </c>
      <c r="E31" s="1180"/>
      <c r="F31" s="1180"/>
      <c r="G31" s="1180"/>
      <c r="H31" s="1180"/>
      <c r="I31" s="1180"/>
      <c r="J31" s="1180"/>
      <c r="K31" s="1180"/>
      <c r="L31" s="1180"/>
      <c r="M31" s="1180"/>
      <c r="N31" s="1180"/>
      <c r="O31" s="1180"/>
      <c r="P31" s="1180"/>
      <c r="Q31" s="1180"/>
      <c r="R31" s="1180"/>
      <c r="S31" s="1180"/>
      <c r="T31" s="1180"/>
      <c r="U31" s="1180"/>
      <c r="V31" s="1180"/>
      <c r="W31" s="1180"/>
    </row>
    <row r="32" spans="1:23">
      <c r="A32" s="1179"/>
      <c r="B32" s="1180"/>
      <c r="C32" s="1180"/>
      <c r="D32" s="1180"/>
      <c r="E32" s="1180"/>
      <c r="F32" s="1180"/>
      <c r="G32" s="1180"/>
      <c r="H32" s="1180"/>
      <c r="I32" s="1180"/>
      <c r="J32" s="1180"/>
      <c r="K32" s="1180"/>
      <c r="L32" s="1180"/>
      <c r="M32" s="1180"/>
      <c r="N32" s="1180"/>
      <c r="O32" s="1180"/>
      <c r="P32" s="1180"/>
      <c r="Q32" s="1180"/>
      <c r="R32" s="1180"/>
      <c r="S32" s="1180"/>
      <c r="T32" s="1180"/>
      <c r="U32" s="1180"/>
      <c r="V32" s="1180"/>
      <c r="W32" s="1180"/>
    </row>
    <row r="33" spans="1:23">
      <c r="A33" s="1180"/>
      <c r="B33" s="1180"/>
      <c r="C33" s="1180"/>
      <c r="D33" s="1180"/>
      <c r="E33" s="1180"/>
      <c r="F33" s="1180"/>
      <c r="G33" s="1180"/>
      <c r="H33" s="1180"/>
      <c r="I33" s="1180"/>
      <c r="J33" s="1180"/>
      <c r="K33" s="1180"/>
      <c r="L33" s="1180"/>
      <c r="M33" s="1180"/>
      <c r="N33" s="1180"/>
      <c r="O33" s="1180"/>
      <c r="P33" s="1180"/>
      <c r="Q33" s="1180"/>
      <c r="R33" s="1180"/>
      <c r="S33" s="1180"/>
      <c r="T33" s="1180"/>
      <c r="U33" s="1180"/>
      <c r="V33" s="1180"/>
      <c r="W33" s="1180"/>
    </row>
    <row r="34" spans="1:23">
      <c r="A34" s="1180"/>
      <c r="B34" s="1180"/>
      <c r="C34" s="1180"/>
      <c r="D34" s="1180"/>
      <c r="E34" s="1180"/>
      <c r="F34" s="1180"/>
      <c r="G34" s="1180"/>
      <c r="H34" s="1180"/>
      <c r="I34" s="1180"/>
      <c r="J34" s="1180"/>
      <c r="K34" s="1180"/>
      <c r="L34" s="1180"/>
      <c r="M34" s="1180"/>
      <c r="N34" s="1180"/>
      <c r="O34" s="1180"/>
      <c r="P34" s="1180"/>
      <c r="Q34" s="1180"/>
      <c r="R34" s="1180"/>
      <c r="S34" s="1180"/>
      <c r="T34" s="1180"/>
      <c r="U34" s="1180"/>
      <c r="V34" s="1180"/>
      <c r="W34" s="1180"/>
    </row>
    <row r="35" spans="1:23">
      <c r="A35" s="1180"/>
      <c r="B35" s="1180"/>
      <c r="C35" s="1180"/>
      <c r="D35" s="1180"/>
      <c r="E35" s="1180"/>
      <c r="F35" s="1180"/>
      <c r="G35" s="1180"/>
      <c r="H35" s="1180"/>
      <c r="I35" s="1180"/>
      <c r="J35" s="1180"/>
      <c r="K35" s="1180"/>
      <c r="L35" s="1180"/>
      <c r="M35" s="1180"/>
      <c r="N35" s="1180"/>
      <c r="O35" s="1180"/>
      <c r="P35" s="1180"/>
      <c r="Q35" s="1180"/>
      <c r="R35" s="1180"/>
      <c r="S35" s="1180"/>
      <c r="T35" s="1180"/>
      <c r="U35" s="1180"/>
      <c r="V35" s="1180"/>
      <c r="W35" s="1180"/>
    </row>
    <row r="36" spans="1:23">
      <c r="A36" s="1180"/>
      <c r="B36" s="1180"/>
      <c r="C36" s="1180"/>
      <c r="D36" s="1180"/>
      <c r="E36" s="1180"/>
      <c r="F36" s="1180"/>
      <c r="G36" s="1180"/>
      <c r="H36" s="1180"/>
      <c r="I36" s="1180"/>
      <c r="J36" s="1180"/>
      <c r="K36" s="1180"/>
      <c r="L36" s="1180"/>
      <c r="M36" s="1180"/>
      <c r="N36" s="1180"/>
      <c r="O36" s="1180"/>
      <c r="P36" s="1180"/>
      <c r="Q36" s="1180"/>
      <c r="R36" s="1180"/>
      <c r="S36" s="1180"/>
      <c r="T36" s="1180"/>
      <c r="U36" s="1180"/>
      <c r="V36" s="1180"/>
      <c r="W36" s="1180"/>
    </row>
    <row r="37" spans="1:23">
      <c r="A37" s="1180"/>
      <c r="B37" s="1180"/>
      <c r="C37" s="1180"/>
      <c r="D37" s="1180"/>
      <c r="E37" s="1180"/>
      <c r="F37" s="1180"/>
      <c r="G37" s="1180"/>
      <c r="H37" s="1180"/>
      <c r="I37" s="1180"/>
      <c r="J37" s="1180"/>
      <c r="K37" s="1180"/>
      <c r="L37" s="1180"/>
      <c r="M37" s="1180"/>
      <c r="N37" s="1180"/>
      <c r="O37" s="1180"/>
      <c r="P37" s="1180"/>
      <c r="Q37" s="1180"/>
      <c r="R37" s="1180"/>
      <c r="S37" s="1180"/>
      <c r="T37" s="1180"/>
      <c r="U37" s="1180"/>
      <c r="V37" s="1180"/>
      <c r="W37" s="1180"/>
    </row>
    <row r="38" spans="1:23">
      <c r="A38" s="1180"/>
      <c r="B38" s="1180"/>
      <c r="C38" s="1180"/>
      <c r="D38" s="1180"/>
      <c r="E38" s="1180"/>
      <c r="F38" s="1180"/>
      <c r="G38" s="1180"/>
      <c r="H38" s="1180"/>
      <c r="I38" s="1180"/>
      <c r="J38" s="1180"/>
      <c r="K38" s="1180"/>
      <c r="L38" s="1180"/>
      <c r="M38" s="1180"/>
      <c r="N38" s="1180"/>
      <c r="O38" s="1180"/>
      <c r="P38" s="1180"/>
      <c r="Q38" s="1180"/>
      <c r="R38" s="1180"/>
      <c r="S38" s="1180"/>
      <c r="T38" s="1180"/>
      <c r="U38" s="1180"/>
      <c r="V38" s="1180"/>
      <c r="W38" s="1180"/>
    </row>
    <row r="39" spans="1:23">
      <c r="A39" s="1180"/>
      <c r="B39" s="1180"/>
      <c r="C39" s="1180"/>
      <c r="D39" s="1180"/>
      <c r="E39" s="1180"/>
      <c r="F39" s="1180"/>
      <c r="G39" s="1180"/>
      <c r="H39" s="1180"/>
      <c r="I39" s="1180"/>
      <c r="J39" s="1180"/>
      <c r="K39" s="1180"/>
      <c r="L39" s="1180"/>
      <c r="M39" s="1180"/>
      <c r="N39" s="1180"/>
      <c r="O39" s="1180"/>
      <c r="P39" s="1180"/>
      <c r="Q39" s="1180"/>
      <c r="R39" s="1180"/>
      <c r="S39" s="1180"/>
      <c r="T39" s="1180"/>
      <c r="U39" s="1180"/>
      <c r="V39" s="1180"/>
      <c r="W39" s="1180"/>
    </row>
    <row r="40" spans="1:23">
      <c r="A40" s="1180"/>
      <c r="B40" s="1180"/>
      <c r="C40" s="1180"/>
      <c r="D40" s="1180"/>
      <c r="E40" s="1180"/>
      <c r="F40" s="1180"/>
      <c r="G40" s="1180"/>
      <c r="H40" s="1180"/>
      <c r="I40" s="1180"/>
      <c r="J40" s="1180"/>
      <c r="K40" s="1180"/>
      <c r="L40" s="1180"/>
      <c r="M40" s="1180"/>
      <c r="N40" s="1180"/>
      <c r="O40" s="1180"/>
      <c r="P40" s="1180"/>
      <c r="Q40" s="1180"/>
      <c r="R40" s="1180"/>
      <c r="S40" s="1180"/>
      <c r="T40" s="1180"/>
      <c r="U40" s="1180"/>
      <c r="V40" s="1180"/>
      <c r="W40" s="1180"/>
    </row>
    <row r="41" spans="1:23">
      <c r="A41" s="1180"/>
      <c r="B41" s="1180"/>
      <c r="C41" s="1180"/>
      <c r="D41" s="1180"/>
      <c r="E41" s="1180"/>
      <c r="F41" s="1180"/>
      <c r="G41" s="1180"/>
      <c r="H41" s="1180"/>
      <c r="I41" s="1180"/>
      <c r="J41" s="1180"/>
      <c r="K41" s="1180"/>
      <c r="L41" s="1629" t="str">
        <f>COMPANY</f>
        <v>DUKE ENERGY KENTUCKY, INC.</v>
      </c>
      <c r="M41" s="530"/>
      <c r="N41" s="530"/>
      <c r="O41" s="530"/>
      <c r="P41" s="530"/>
      <c r="Q41" s="530"/>
      <c r="R41" s="1629" t="s">
        <v>1214</v>
      </c>
      <c r="S41" s="530"/>
      <c r="T41" s="1178"/>
      <c r="U41" s="1180"/>
      <c r="V41" s="1180"/>
      <c r="W41" s="1180"/>
    </row>
    <row r="42" spans="1:23">
      <c r="A42" s="1180"/>
      <c r="B42" s="1180"/>
      <c r="C42" s="1180"/>
      <c r="D42" s="1180"/>
      <c r="E42" s="1180"/>
      <c r="F42" s="1180"/>
      <c r="G42" s="1180"/>
      <c r="H42" s="1180"/>
      <c r="I42" s="1180"/>
      <c r="J42" s="1180"/>
      <c r="K42" s="1180"/>
      <c r="L42" s="1629" t="str">
        <f>DEPT</f>
        <v>ELECTRIC DEPARTMENT</v>
      </c>
      <c r="M42" s="530"/>
      <c r="N42" s="530"/>
      <c r="O42" s="530"/>
      <c r="P42" s="530"/>
      <c r="Q42" s="530"/>
      <c r="R42" s="1629" t="s">
        <v>1239</v>
      </c>
      <c r="S42" s="530"/>
      <c r="T42" s="1178"/>
      <c r="U42" s="1180"/>
      <c r="V42" s="1180"/>
      <c r="W42" s="1180"/>
    </row>
    <row r="43" spans="1:23">
      <c r="A43" s="1180"/>
      <c r="B43" s="1180"/>
      <c r="C43" s="1180"/>
      <c r="D43" s="1180"/>
      <c r="E43" s="1180"/>
      <c r="F43" s="1180"/>
      <c r="G43" s="1180"/>
      <c r="H43" s="1180"/>
      <c r="I43" s="1180"/>
      <c r="J43" s="1180"/>
      <c r="K43" s="1180"/>
      <c r="L43" s="1629" t="str">
        <f>CASE</f>
        <v>CASE NO. 2017-00321</v>
      </c>
      <c r="M43" s="530"/>
      <c r="N43" s="530"/>
      <c r="O43" s="530"/>
      <c r="P43" s="530"/>
      <c r="Q43" s="530"/>
      <c r="R43" s="530" t="str">
        <f>_WIT10</f>
        <v>R. H. PRATT</v>
      </c>
      <c r="S43" s="530"/>
      <c r="T43" s="1178"/>
      <c r="U43" s="1180"/>
      <c r="V43" s="1180"/>
      <c r="W43" s="1180"/>
    </row>
    <row r="44" spans="1:23">
      <c r="A44" s="1180"/>
      <c r="B44" s="1180"/>
      <c r="C44" s="1180"/>
      <c r="D44" s="1180"/>
      <c r="E44" s="1180"/>
      <c r="F44" s="1180"/>
      <c r="G44" s="1180"/>
      <c r="H44" s="1180"/>
      <c r="I44" s="1180"/>
      <c r="J44" s="1180"/>
      <c r="K44" s="1180"/>
      <c r="L44" s="1629" t="s">
        <v>111</v>
      </c>
      <c r="M44" s="530"/>
      <c r="N44" s="530"/>
      <c r="O44" s="530"/>
      <c r="P44" s="530"/>
      <c r="Q44" s="530"/>
      <c r="R44" s="2107"/>
      <c r="S44" s="530"/>
      <c r="T44" s="1178"/>
      <c r="U44" s="1180"/>
      <c r="V44" s="1180"/>
      <c r="W44" s="1180"/>
    </row>
    <row r="45" spans="1:23">
      <c r="A45" s="1180"/>
      <c r="B45" s="1180"/>
      <c r="C45" s="1180"/>
      <c r="D45" s="1180"/>
      <c r="E45" s="1180"/>
      <c r="F45" s="1180"/>
      <c r="G45" s="1180"/>
      <c r="H45" s="1180"/>
      <c r="I45" s="1180"/>
      <c r="J45" s="1180"/>
      <c r="K45" s="1180"/>
      <c r="L45" s="1629"/>
      <c r="M45" s="530"/>
      <c r="N45" s="530"/>
      <c r="O45" s="530"/>
      <c r="P45" s="530"/>
      <c r="Q45" s="530"/>
      <c r="R45" s="530"/>
      <c r="S45" s="530"/>
      <c r="T45" s="1178"/>
      <c r="U45" s="1180"/>
      <c r="V45" s="1180"/>
      <c r="W45" s="1180"/>
    </row>
    <row r="46" spans="1:23">
      <c r="A46" s="1180"/>
      <c r="B46" s="1180"/>
      <c r="C46" s="1180"/>
      <c r="D46" s="1180"/>
      <c r="E46" s="1180"/>
      <c r="F46" s="1180"/>
      <c r="G46" s="1180"/>
      <c r="H46" s="1180"/>
      <c r="I46" s="1180"/>
      <c r="J46" s="1180"/>
      <c r="K46" s="1180"/>
      <c r="L46" s="1178"/>
      <c r="M46" s="1178"/>
      <c r="N46" s="1178"/>
      <c r="O46" s="1178"/>
      <c r="P46" s="1178"/>
      <c r="Q46" s="1178"/>
      <c r="R46" s="1178"/>
      <c r="S46" s="1178"/>
      <c r="T46" s="1178"/>
      <c r="U46" s="1180"/>
      <c r="V46" s="1180"/>
      <c r="W46" s="1180"/>
    </row>
    <row r="47" spans="1:23">
      <c r="A47" s="1180"/>
      <c r="B47" s="1180"/>
      <c r="C47" s="1180"/>
      <c r="D47" s="1180"/>
      <c r="E47" s="1180"/>
      <c r="F47" s="1180"/>
      <c r="G47" s="1180"/>
      <c r="H47" s="1180"/>
      <c r="I47" s="1180"/>
      <c r="J47" s="1180"/>
      <c r="K47" s="1180"/>
      <c r="L47" s="1178"/>
      <c r="M47" s="1178"/>
      <c r="N47" s="1178"/>
      <c r="O47" s="1178"/>
      <c r="P47" s="1178"/>
      <c r="Q47" s="1178"/>
      <c r="R47" s="1178"/>
      <c r="S47" s="1178"/>
      <c r="T47" s="1178"/>
      <c r="U47" s="1180"/>
      <c r="V47" s="1180"/>
      <c r="W47" s="1180"/>
    </row>
    <row r="48" spans="1:23">
      <c r="A48" s="1180"/>
      <c r="B48" s="1180"/>
      <c r="C48" s="1180"/>
      <c r="D48" s="1180"/>
      <c r="E48" s="1180"/>
      <c r="F48" s="1180"/>
      <c r="G48" s="1180"/>
      <c r="H48" s="1180"/>
      <c r="I48" s="1180"/>
      <c r="J48" s="1180"/>
      <c r="K48" s="1180"/>
      <c r="L48" s="1423" t="s">
        <v>1240</v>
      </c>
      <c r="M48" s="1423"/>
      <c r="N48" s="1423"/>
      <c r="O48" s="1423"/>
      <c r="P48" s="1423" t="s">
        <v>1117</v>
      </c>
      <c r="Q48" s="1423"/>
      <c r="R48" s="1423" t="s">
        <v>626</v>
      </c>
      <c r="S48" s="1423"/>
      <c r="T48" s="1423"/>
      <c r="U48" s="1180"/>
      <c r="V48" s="1180"/>
      <c r="W48" s="1180"/>
    </row>
    <row r="49" spans="1:23">
      <c r="A49" s="1180"/>
      <c r="B49" s="1180"/>
      <c r="C49" s="1180"/>
      <c r="D49" s="1180"/>
      <c r="E49" s="1180"/>
      <c r="F49" s="1180"/>
      <c r="G49" s="1180"/>
      <c r="H49" s="1180"/>
      <c r="I49" s="1180"/>
      <c r="J49" s="1180"/>
      <c r="K49" s="1180"/>
      <c r="L49" s="1424" t="s">
        <v>1241</v>
      </c>
      <c r="M49" s="1424"/>
      <c r="N49" s="1424" t="s">
        <v>1119</v>
      </c>
      <c r="O49" s="1424"/>
      <c r="P49" s="1424" t="s">
        <v>1120</v>
      </c>
      <c r="Q49" s="1424"/>
      <c r="R49" s="1424" t="s">
        <v>1120</v>
      </c>
      <c r="S49" s="1424"/>
      <c r="T49" s="1424" t="s">
        <v>1242</v>
      </c>
      <c r="U49" s="1180"/>
      <c r="V49" s="1180"/>
      <c r="W49" s="1180"/>
    </row>
    <row r="50" spans="1:23">
      <c r="A50" s="1180"/>
      <c r="B50" s="1180"/>
      <c r="C50" s="1180"/>
      <c r="D50" s="1180"/>
      <c r="E50" s="1180"/>
      <c r="F50" s="1180"/>
      <c r="G50" s="1180"/>
      <c r="H50" s="1180"/>
      <c r="I50" s="1180"/>
      <c r="J50" s="1180"/>
      <c r="K50" s="1180"/>
      <c r="L50" s="1178"/>
      <c r="M50" s="1178"/>
      <c r="N50" s="1178"/>
      <c r="O50" s="1178"/>
      <c r="P50" s="1178"/>
      <c r="Q50" s="1178"/>
      <c r="R50" s="1178"/>
      <c r="S50" s="1178"/>
      <c r="T50" s="1178"/>
      <c r="U50" s="1180"/>
      <c r="V50" s="1180"/>
      <c r="W50" s="1180"/>
    </row>
    <row r="51" spans="1:23" ht="13.5" thickBot="1">
      <c r="A51" s="1180"/>
      <c r="B51" s="1180"/>
      <c r="C51" s="1180"/>
      <c r="D51" s="1180"/>
      <c r="E51" s="1180"/>
      <c r="F51" s="1180"/>
      <c r="G51" s="1180"/>
      <c r="H51" s="1180"/>
      <c r="I51" s="1180"/>
      <c r="J51" s="1180"/>
      <c r="K51" s="1180"/>
      <c r="L51" s="1423">
        <v>1</v>
      </c>
      <c r="M51" s="1178"/>
      <c r="N51" s="1179" t="s">
        <v>416</v>
      </c>
      <c r="O51" s="1178"/>
      <c r="P51" s="2275">
        <f>SCH_C2!E25</f>
        <v>115955445</v>
      </c>
      <c r="Q51" s="1178"/>
      <c r="R51" s="2275">
        <f ca="1">SCH_C2!H25</f>
        <v>114670826</v>
      </c>
      <c r="S51" s="1178"/>
      <c r="T51" s="2275">
        <f ca="1">R51-P51</f>
        <v>-1284619</v>
      </c>
      <c r="U51" s="1180"/>
      <c r="V51" s="1180"/>
      <c r="W51" s="1180"/>
    </row>
    <row r="52" spans="1:23" ht="13.5" thickTop="1">
      <c r="A52" s="1180"/>
      <c r="B52" s="1180"/>
      <c r="C52" s="1180"/>
      <c r="D52" s="1180"/>
      <c r="E52" s="1180"/>
      <c r="F52" s="1180"/>
      <c r="G52" s="1180"/>
      <c r="H52" s="1180"/>
      <c r="I52" s="1180"/>
      <c r="J52" s="1180"/>
      <c r="K52" s="1180"/>
      <c r="L52" s="1423"/>
      <c r="M52" s="1178"/>
      <c r="N52" s="1179"/>
      <c r="O52" s="1178"/>
      <c r="P52" s="1178"/>
      <c r="Q52" s="1178"/>
      <c r="R52" s="1178"/>
      <c r="S52" s="1178"/>
      <c r="T52" s="1178"/>
      <c r="U52" s="1180"/>
      <c r="V52" s="1180"/>
      <c r="W52" s="1180"/>
    </row>
    <row r="53" spans="1:23">
      <c r="A53" s="1180"/>
      <c r="B53" s="1180"/>
      <c r="C53" s="1180"/>
      <c r="D53" s="1180"/>
      <c r="E53" s="1180"/>
      <c r="F53" s="1180"/>
      <c r="G53" s="1180"/>
      <c r="H53" s="1180"/>
      <c r="I53" s="1180"/>
      <c r="J53" s="1180"/>
      <c r="K53" s="1180"/>
      <c r="L53" s="1423"/>
      <c r="M53" s="1178"/>
      <c r="N53" s="1178"/>
      <c r="O53" s="1178"/>
      <c r="P53" s="1178"/>
      <c r="Q53" s="1178"/>
      <c r="R53" s="1178"/>
      <c r="S53" s="1178"/>
      <c r="T53" s="1178"/>
      <c r="U53" s="1180"/>
      <c r="V53" s="1180"/>
      <c r="W53" s="1180"/>
    </row>
    <row r="54" spans="1:23">
      <c r="A54" s="1180"/>
      <c r="B54" s="1180"/>
      <c r="C54" s="1180"/>
      <c r="D54" s="1180"/>
      <c r="E54" s="1180"/>
      <c r="F54" s="1180"/>
      <c r="G54" s="1180"/>
      <c r="H54" s="1180"/>
      <c r="I54" s="1180"/>
      <c r="J54" s="1180"/>
      <c r="K54" s="1180"/>
      <c r="L54" s="1178"/>
      <c r="M54" s="1178"/>
      <c r="N54" s="1178"/>
      <c r="O54" s="1178"/>
      <c r="P54" s="1178"/>
      <c r="Q54" s="1178"/>
      <c r="R54" s="1178"/>
      <c r="S54" s="1178"/>
      <c r="T54" s="1178"/>
      <c r="U54" s="1180"/>
      <c r="V54" s="1180"/>
      <c r="W54" s="1180"/>
    </row>
    <row r="55" spans="1:23">
      <c r="A55" s="1180"/>
      <c r="B55" s="1180"/>
      <c r="C55" s="1180"/>
      <c r="D55" s="1180"/>
      <c r="E55" s="1180"/>
      <c r="F55" s="1180"/>
      <c r="G55" s="1180"/>
      <c r="H55" s="1180"/>
      <c r="I55" s="1180"/>
      <c r="J55" s="1180"/>
      <c r="K55" s="1180"/>
      <c r="L55" s="1178"/>
      <c r="M55" s="1178"/>
      <c r="N55" s="1178"/>
      <c r="O55" s="1178"/>
      <c r="P55" s="1178"/>
      <c r="Q55" s="1178"/>
      <c r="R55" s="1178"/>
      <c r="S55" s="1178"/>
      <c r="T55" s="1178"/>
      <c r="U55" s="1180"/>
      <c r="V55" s="1180"/>
      <c r="W55" s="1180"/>
    </row>
    <row r="56" spans="1:23">
      <c r="A56" s="1180"/>
      <c r="B56" s="1180"/>
      <c r="C56" s="1180"/>
      <c r="D56" s="1180"/>
      <c r="E56" s="1180"/>
      <c r="F56" s="1180"/>
      <c r="G56" s="1180"/>
      <c r="H56" s="1180"/>
      <c r="I56" s="1180"/>
      <c r="J56" s="1180"/>
      <c r="K56" s="1180"/>
      <c r="L56" s="1178"/>
      <c r="M56" s="1178"/>
      <c r="N56" s="1178"/>
      <c r="O56" s="1178"/>
      <c r="P56" s="1178"/>
      <c r="Q56" s="1178"/>
      <c r="R56" s="1178"/>
      <c r="S56" s="1178"/>
      <c r="T56" s="1423" t="s">
        <v>1244</v>
      </c>
      <c r="U56" s="1180"/>
      <c r="V56" s="1180"/>
      <c r="W56" s="1180"/>
    </row>
    <row r="57" spans="1:23">
      <c r="A57" s="1180"/>
      <c r="B57" s="1180"/>
      <c r="C57" s="1180"/>
      <c r="D57" s="1180"/>
      <c r="E57" s="1180"/>
      <c r="F57" s="1180"/>
      <c r="G57" s="1180"/>
      <c r="H57" s="1180"/>
      <c r="I57" s="1180"/>
      <c r="J57" s="1180"/>
      <c r="K57" s="1180"/>
      <c r="L57" s="1180"/>
      <c r="M57" s="1180"/>
      <c r="N57" s="1180"/>
      <c r="O57" s="1180"/>
      <c r="P57" s="1180"/>
      <c r="Q57" s="1180"/>
      <c r="R57" s="1180"/>
      <c r="S57" s="1180"/>
      <c r="T57" s="1180"/>
      <c r="U57" s="1180"/>
      <c r="V57" s="1180"/>
      <c r="W57" s="1180"/>
    </row>
    <row r="58" spans="1:23">
      <c r="A58" s="1180"/>
      <c r="B58" s="1180"/>
      <c r="C58" s="1180"/>
      <c r="D58" s="1180"/>
      <c r="E58" s="1180"/>
      <c r="F58" s="1180"/>
      <c r="G58" s="1180"/>
      <c r="H58" s="1180"/>
      <c r="I58" s="1180"/>
      <c r="J58" s="1180"/>
      <c r="K58" s="1180"/>
      <c r="L58" s="1180"/>
      <c r="M58" s="1180"/>
      <c r="N58" s="1180"/>
      <c r="O58" s="1180"/>
      <c r="P58" s="1180"/>
      <c r="Q58" s="1180"/>
      <c r="R58" s="1180"/>
      <c r="S58" s="1180"/>
      <c r="T58" s="1180"/>
      <c r="U58" s="1180"/>
      <c r="V58" s="1180"/>
      <c r="W58" s="1180"/>
    </row>
    <row r="59" spans="1:23">
      <c r="A59" s="1180"/>
      <c r="B59" s="1180"/>
      <c r="C59" s="1180"/>
      <c r="D59" s="1180"/>
      <c r="E59" s="1180"/>
      <c r="F59" s="1180"/>
      <c r="G59" s="1180"/>
      <c r="H59" s="1180"/>
      <c r="I59" s="1180"/>
      <c r="J59" s="1180"/>
      <c r="K59" s="1180"/>
      <c r="L59" s="1180"/>
      <c r="M59" s="1180"/>
      <c r="N59" s="1180"/>
      <c r="O59" s="1180"/>
      <c r="P59" s="1180"/>
      <c r="Q59" s="1180"/>
      <c r="R59" s="2370"/>
      <c r="S59" s="1180"/>
      <c r="T59" s="1180"/>
      <c r="U59" s="1180"/>
      <c r="V59" s="1180"/>
      <c r="W59" s="1180"/>
    </row>
    <row r="60" spans="1:23">
      <c r="A60" s="1180"/>
      <c r="B60" s="1180"/>
      <c r="C60" s="1180"/>
      <c r="D60" s="1180"/>
      <c r="E60" s="1180"/>
      <c r="F60" s="1180"/>
      <c r="G60" s="1180"/>
      <c r="H60" s="1180"/>
      <c r="I60" s="1180"/>
      <c r="J60" s="1180"/>
      <c r="K60" s="1180"/>
      <c r="L60" s="1180"/>
      <c r="M60" s="1180"/>
      <c r="N60" s="1180"/>
      <c r="O60" s="1180"/>
      <c r="P60" s="1180"/>
      <c r="Q60" s="1180"/>
      <c r="R60" s="1180"/>
      <c r="S60" s="1180"/>
      <c r="T60" s="1180"/>
      <c r="U60" s="1180"/>
      <c r="V60" s="1180"/>
      <c r="W60" s="1180"/>
    </row>
    <row r="61" spans="1:23">
      <c r="A61" s="1180"/>
      <c r="B61" s="1180"/>
      <c r="C61" s="1180"/>
      <c r="D61" s="1180"/>
      <c r="E61" s="1180"/>
      <c r="F61" s="1180"/>
      <c r="G61" s="1180"/>
      <c r="H61" s="1180"/>
      <c r="I61" s="1180"/>
      <c r="J61" s="1180"/>
      <c r="K61" s="1180"/>
      <c r="L61" s="1180"/>
      <c r="M61" s="1180"/>
      <c r="N61" s="1180"/>
      <c r="O61" s="1180"/>
      <c r="P61" s="1180"/>
      <c r="Q61" s="1180"/>
      <c r="R61" s="1180"/>
      <c r="S61" s="1180"/>
      <c r="T61" s="1180"/>
      <c r="U61" s="1180"/>
      <c r="V61" s="1180"/>
      <c r="W61" s="1180"/>
    </row>
    <row r="62" spans="1:23">
      <c r="A62" s="1180"/>
      <c r="B62" s="1180"/>
      <c r="C62" s="1180"/>
      <c r="D62" s="1180"/>
      <c r="E62" s="1180"/>
      <c r="F62" s="1180"/>
      <c r="G62" s="1180"/>
      <c r="H62" s="1180"/>
      <c r="I62" s="1180"/>
      <c r="J62" s="1180"/>
      <c r="K62" s="1180"/>
      <c r="L62" s="1180"/>
      <c r="M62" s="1180"/>
      <c r="N62" s="1180"/>
      <c r="O62" s="1180"/>
      <c r="P62" s="1180"/>
      <c r="Q62" s="1180"/>
      <c r="R62" s="1180"/>
      <c r="S62" s="1180"/>
      <c r="T62" s="1180"/>
      <c r="U62" s="1180"/>
      <c r="V62" s="1180"/>
      <c r="W62" s="1180"/>
    </row>
    <row r="63" spans="1:23">
      <c r="A63" s="1180"/>
      <c r="B63" s="1180"/>
      <c r="C63" s="1180"/>
      <c r="D63" s="1180"/>
      <c r="E63" s="1180"/>
      <c r="F63" s="1180"/>
      <c r="G63" s="1180"/>
      <c r="H63" s="1180"/>
      <c r="I63" s="1180"/>
      <c r="J63" s="1180"/>
      <c r="K63" s="1180"/>
      <c r="L63" s="1180"/>
      <c r="M63" s="1180"/>
      <c r="N63" s="1180"/>
      <c r="O63" s="1180"/>
      <c r="P63" s="1180"/>
      <c r="Q63" s="1180"/>
      <c r="R63" s="1180"/>
      <c r="S63" s="1180"/>
      <c r="T63" s="1180"/>
      <c r="U63" s="1180"/>
      <c r="V63" s="1180"/>
      <c r="W63" s="1180"/>
    </row>
    <row r="64" spans="1:23">
      <c r="A64" s="1180"/>
      <c r="B64" s="1180"/>
      <c r="C64" s="1180"/>
      <c r="D64" s="1180"/>
      <c r="E64" s="1180"/>
      <c r="F64" s="1180"/>
      <c r="G64" s="1180"/>
      <c r="H64" s="1180"/>
      <c r="I64" s="1180"/>
      <c r="J64" s="1180"/>
      <c r="K64" s="1180"/>
      <c r="L64" s="1180"/>
      <c r="M64" s="1180"/>
      <c r="N64" s="1180"/>
      <c r="O64" s="1180"/>
      <c r="P64" s="1180"/>
      <c r="Q64" s="1180"/>
      <c r="R64" s="1180"/>
      <c r="S64" s="1180"/>
      <c r="T64" s="1180"/>
      <c r="U64" s="1180"/>
      <c r="V64" s="1180"/>
      <c r="W64" s="1180"/>
    </row>
    <row r="65" spans="1:23">
      <c r="A65" s="1180"/>
      <c r="B65" s="1180"/>
      <c r="C65" s="1180"/>
      <c r="D65" s="1180"/>
      <c r="E65" s="1180"/>
      <c r="F65" s="1180"/>
      <c r="G65" s="1180"/>
      <c r="H65" s="1180"/>
      <c r="I65" s="1180"/>
      <c r="J65" s="1180"/>
      <c r="K65" s="1180"/>
      <c r="L65" s="1180"/>
      <c r="M65" s="1180"/>
      <c r="N65" s="1180"/>
      <c r="O65" s="1180"/>
      <c r="P65" s="1180"/>
      <c r="Q65" s="1180"/>
      <c r="R65" s="1180"/>
      <c r="S65" s="1180"/>
      <c r="T65" s="1180"/>
      <c r="U65" s="1180"/>
      <c r="V65" s="1180"/>
      <c r="W65" s="1180"/>
    </row>
    <row r="66" spans="1:23">
      <c r="A66" s="1180"/>
      <c r="B66" s="1180"/>
      <c r="C66" s="1180"/>
      <c r="D66" s="1180"/>
      <c r="E66" s="1180"/>
      <c r="F66" s="1180"/>
      <c r="G66" s="1180"/>
      <c r="H66" s="1180"/>
      <c r="I66" s="1180"/>
      <c r="J66" s="1180"/>
      <c r="K66" s="1180"/>
      <c r="L66" s="1180"/>
      <c r="M66" s="1180"/>
      <c r="N66" s="1180"/>
      <c r="O66" s="1180"/>
      <c r="P66" s="1180"/>
      <c r="Q66" s="1180"/>
      <c r="R66" s="1180"/>
      <c r="S66" s="1180"/>
      <c r="T66" s="1180"/>
      <c r="U66" s="1180"/>
      <c r="V66" s="1180"/>
      <c r="W66" s="1180"/>
    </row>
    <row r="67" spans="1:23">
      <c r="A67" s="1180"/>
      <c r="B67" s="1180"/>
      <c r="C67" s="1180"/>
      <c r="D67" s="1180"/>
      <c r="E67" s="1180"/>
      <c r="F67" s="1180"/>
      <c r="G67" s="1180"/>
      <c r="H67" s="1180"/>
      <c r="I67" s="1180"/>
      <c r="J67" s="1180"/>
      <c r="K67" s="1180"/>
      <c r="L67" s="1180"/>
      <c r="M67" s="1180"/>
      <c r="N67" s="1180"/>
      <c r="O67" s="1180"/>
      <c r="P67" s="1180"/>
      <c r="Q67" s="1180"/>
      <c r="R67" s="1180"/>
      <c r="S67" s="1180"/>
      <c r="T67" s="1180"/>
      <c r="U67" s="1180"/>
      <c r="V67" s="1180"/>
      <c r="W67" s="1180"/>
    </row>
    <row r="68" spans="1:23">
      <c r="A68" s="1180"/>
      <c r="B68" s="1180"/>
      <c r="C68" s="1180"/>
      <c r="D68" s="1180"/>
      <c r="E68" s="1180"/>
      <c r="F68" s="1180"/>
      <c r="G68" s="1180"/>
      <c r="H68" s="1180"/>
      <c r="I68" s="1180"/>
      <c r="J68" s="1180"/>
      <c r="K68" s="1180"/>
      <c r="L68" s="1180"/>
      <c r="M68" s="1180"/>
      <c r="N68" s="1180"/>
      <c r="O68" s="1180"/>
      <c r="P68" s="1180"/>
      <c r="Q68" s="1180"/>
      <c r="R68" s="1180"/>
      <c r="S68" s="1180"/>
      <c r="T68" s="1180"/>
      <c r="U68" s="1180"/>
      <c r="V68" s="1180"/>
      <c r="W68" s="1180"/>
    </row>
    <row r="69" spans="1:23">
      <c r="A69" s="1180"/>
      <c r="B69" s="1180"/>
      <c r="C69" s="1180"/>
      <c r="D69" s="1180"/>
      <c r="E69" s="1180"/>
      <c r="F69" s="1180"/>
      <c r="G69" s="1180"/>
      <c r="H69" s="1180"/>
      <c r="I69" s="1180"/>
      <c r="J69" s="1180"/>
      <c r="K69" s="1180"/>
      <c r="L69" s="1180"/>
      <c r="M69" s="1180"/>
      <c r="N69" s="1180"/>
      <c r="O69" s="1180"/>
      <c r="P69" s="1180"/>
      <c r="Q69" s="1180"/>
      <c r="R69" s="1180"/>
      <c r="S69" s="1180"/>
      <c r="T69" s="1180"/>
      <c r="U69" s="1180"/>
      <c r="V69" s="1180"/>
      <c r="W69" s="1180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7" tint="-0.249977111117893"/>
  </sheetPr>
  <dimension ref="A1:X69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8" style="18" customWidth="1"/>
    <col min="2" max="2" width="20.42578125" style="18" customWidth="1"/>
    <col min="3" max="3" width="8" style="18" customWidth="1"/>
    <col min="4" max="4" width="10.42578125" style="18" customWidth="1"/>
    <col min="5" max="7" width="8" style="18" customWidth="1"/>
    <col min="8" max="8" width="12.42578125" style="18" customWidth="1"/>
    <col min="9" max="9" width="10" style="18" customWidth="1"/>
    <col min="10" max="10" width="18.42578125" style="18" customWidth="1"/>
    <col min="11" max="12" width="8" style="18" customWidth="1"/>
    <col min="13" max="13" width="2.42578125" style="18" customWidth="1"/>
    <col min="14" max="14" width="42.140625" style="18" customWidth="1"/>
    <col min="15" max="15" width="3.85546875" style="18" customWidth="1"/>
    <col min="16" max="16" width="16" style="18" customWidth="1"/>
    <col min="17" max="17" width="1.85546875" style="18" customWidth="1"/>
    <col min="18" max="18" width="18.140625" style="18" customWidth="1"/>
    <col min="19" max="19" width="2.28515625" style="18" customWidth="1"/>
    <col min="20" max="20" width="16.42578125" style="18" customWidth="1"/>
    <col min="21" max="16384" width="8" style="18"/>
  </cols>
  <sheetData>
    <row r="1" spans="1:24">
      <c r="A1" s="2087" t="str">
        <f>LOGO!B5</f>
        <v>DUKE ENERGY KENTUCKY, INC.</v>
      </c>
      <c r="B1" s="2195"/>
      <c r="C1" s="2195"/>
      <c r="D1" s="2195"/>
      <c r="E1" s="2195"/>
      <c r="F1" s="2195"/>
      <c r="G1" s="2195"/>
      <c r="H1" s="2195"/>
      <c r="I1" s="2195"/>
      <c r="J1" s="2195"/>
      <c r="K1" s="1180"/>
      <c r="L1" s="1180"/>
      <c r="M1" s="1180"/>
      <c r="N1" s="1180"/>
      <c r="O1" s="1180"/>
      <c r="P1" s="1180"/>
      <c r="Q1" s="1180"/>
      <c r="R1" s="1180"/>
      <c r="S1" s="1180"/>
      <c r="T1" s="1180"/>
      <c r="U1" s="1180"/>
      <c r="V1" s="1180"/>
      <c r="W1" s="1180"/>
      <c r="X1" s="1180"/>
    </row>
    <row r="2" spans="1:24">
      <c r="A2" s="2087" t="str">
        <f>LOGO!B6</f>
        <v>CASE NO. 2017-00321</v>
      </c>
      <c r="B2" s="2195"/>
      <c r="C2" s="2195"/>
      <c r="D2" s="2195"/>
      <c r="E2" s="2195"/>
      <c r="F2" s="2195"/>
      <c r="G2" s="2195"/>
      <c r="H2" s="2195"/>
      <c r="I2" s="2195"/>
      <c r="J2" s="2195"/>
      <c r="K2" s="1180"/>
      <c r="L2" s="1180"/>
      <c r="M2" s="1180"/>
      <c r="N2" s="1180"/>
      <c r="O2" s="1180"/>
      <c r="P2" s="1180"/>
      <c r="Q2" s="1180"/>
      <c r="R2" s="1180"/>
      <c r="S2" s="1180"/>
      <c r="T2" s="1180"/>
      <c r="U2" s="1180"/>
      <c r="V2" s="1180"/>
      <c r="W2" s="1180"/>
      <c r="X2" s="1180"/>
    </row>
    <row r="3" spans="1:24">
      <c r="A3" s="2166" t="s">
        <v>181</v>
      </c>
      <c r="B3" s="2195"/>
      <c r="C3" s="2195"/>
      <c r="D3" s="2195"/>
      <c r="E3" s="2195"/>
      <c r="F3" s="2195"/>
      <c r="G3" s="2195"/>
      <c r="H3" s="2195"/>
      <c r="I3" s="2195"/>
      <c r="J3" s="2195"/>
      <c r="K3" s="1180"/>
      <c r="L3" s="1180"/>
      <c r="M3" s="1180"/>
      <c r="N3" s="1180"/>
      <c r="O3" s="1180"/>
      <c r="P3" s="1180"/>
      <c r="Q3" s="1180"/>
      <c r="R3" s="1180"/>
      <c r="S3" s="1180"/>
      <c r="T3" s="1180"/>
      <c r="U3" s="1180"/>
      <c r="V3" s="1180"/>
      <c r="W3" s="1180"/>
      <c r="X3" s="1180"/>
    </row>
    <row r="4" spans="1:24">
      <c r="A4" s="2087" t="str">
        <f>LOGO!B8</f>
        <v>FOR THE TWELVE MONTHS ENDED MARCH 31, 2019</v>
      </c>
      <c r="B4" s="2195"/>
      <c r="C4" s="2195"/>
      <c r="D4" s="2195"/>
      <c r="E4" s="2195"/>
      <c r="F4" s="2195"/>
      <c r="G4" s="2195"/>
      <c r="H4" s="2195"/>
      <c r="I4" s="2195"/>
      <c r="J4" s="2195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</row>
    <row r="5" spans="1:24">
      <c r="A5" s="1180"/>
      <c r="B5" s="1180"/>
      <c r="C5" s="1180"/>
      <c r="D5" s="1180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80"/>
      <c r="U5" s="1180"/>
      <c r="V5" s="1180"/>
      <c r="W5" s="1180"/>
      <c r="X5" s="1180"/>
    </row>
    <row r="6" spans="1:24">
      <c r="A6" s="2206" t="str">
        <f>DataB</f>
        <v>DATA: "X" BASE PERIOD  "X" FORECASTED PERIOD</v>
      </c>
      <c r="B6" s="1180"/>
      <c r="C6" s="1180"/>
      <c r="D6" s="1180"/>
      <c r="E6" s="1180"/>
      <c r="F6" s="1180"/>
      <c r="G6" s="1180"/>
      <c r="H6" s="1180"/>
      <c r="I6" s="2196" t="s">
        <v>1215</v>
      </c>
      <c r="J6" s="1180"/>
      <c r="K6" s="1180"/>
      <c r="L6" s="1180"/>
      <c r="M6" s="1180"/>
      <c r="N6" s="1180"/>
      <c r="O6" s="1180"/>
      <c r="P6" s="1180"/>
      <c r="Q6" s="1180"/>
      <c r="R6" s="1180"/>
      <c r="S6" s="1180"/>
      <c r="T6" s="1180"/>
      <c r="U6" s="1180"/>
      <c r="V6" s="1180"/>
      <c r="W6" s="1180"/>
      <c r="X6" s="1180"/>
    </row>
    <row r="7" spans="1:24">
      <c r="A7" s="2206" t="str">
        <f>LOGO!B15</f>
        <v xml:space="preserve">TYPE OF FILING:  "X" ORIGINAL   UPDATED    REVISED  </v>
      </c>
      <c r="B7" s="1180"/>
      <c r="C7" s="1180"/>
      <c r="D7" s="1180"/>
      <c r="E7" s="1180"/>
      <c r="F7" s="1180"/>
      <c r="G7" s="1180"/>
      <c r="H7" s="1180"/>
      <c r="I7" s="1179" t="s">
        <v>620</v>
      </c>
      <c r="J7" s="1180"/>
      <c r="K7" s="1180"/>
      <c r="L7" s="1180"/>
      <c r="M7" s="1180"/>
      <c r="N7" s="1180"/>
      <c r="O7" s="1180"/>
      <c r="P7" s="1180"/>
      <c r="Q7" s="1180"/>
      <c r="R7" s="1180"/>
      <c r="S7" s="1180"/>
      <c r="T7" s="1180"/>
      <c r="U7" s="1180"/>
      <c r="V7" s="1180"/>
      <c r="W7" s="1180"/>
      <c r="X7" s="1180"/>
    </row>
    <row r="8" spans="1:24">
      <c r="A8" s="1179" t="s">
        <v>887</v>
      </c>
      <c r="B8" s="1180"/>
      <c r="C8" s="1180"/>
      <c r="D8" s="1180"/>
      <c r="E8" s="1180"/>
      <c r="F8" s="1180"/>
      <c r="G8" s="1180"/>
      <c r="H8" s="1180"/>
      <c r="I8" s="1179" t="s">
        <v>622</v>
      </c>
      <c r="J8" s="1180"/>
      <c r="K8" s="1180"/>
      <c r="L8" s="1180"/>
      <c r="M8" s="1180"/>
      <c r="N8" s="1180"/>
      <c r="O8" s="1180"/>
      <c r="P8" s="1180"/>
      <c r="Q8" s="1180"/>
      <c r="R8" s="1180"/>
      <c r="S8" s="1180"/>
      <c r="T8" s="1180"/>
      <c r="U8" s="1180"/>
      <c r="V8" s="1180"/>
      <c r="W8" s="1180"/>
      <c r="X8" s="1180"/>
    </row>
    <row r="9" spans="1:24">
      <c r="A9" s="1180"/>
      <c r="B9" s="1180"/>
      <c r="C9" s="1180"/>
      <c r="D9" s="1180"/>
      <c r="E9" s="1180"/>
      <c r="F9" s="1180"/>
      <c r="G9" s="1180"/>
      <c r="H9" s="1180"/>
      <c r="I9" s="1179" t="str">
        <f>_WIT10</f>
        <v>R. H. PRATT</v>
      </c>
      <c r="J9" s="1180"/>
      <c r="K9" s="1180"/>
      <c r="L9" s="1180"/>
      <c r="M9" s="1180"/>
      <c r="N9" s="1180"/>
      <c r="O9" s="1180"/>
      <c r="P9" s="1180"/>
      <c r="Q9" s="1180"/>
      <c r="R9" s="1180"/>
      <c r="S9" s="1180"/>
      <c r="T9" s="1180"/>
      <c r="U9" s="1180"/>
      <c r="V9" s="1180"/>
      <c r="W9" s="1180"/>
      <c r="X9" s="1180"/>
    </row>
    <row r="10" spans="1:24">
      <c r="A10" s="2197"/>
      <c r="B10" s="2197"/>
      <c r="C10" s="2197"/>
      <c r="D10" s="2197"/>
      <c r="E10" s="2197"/>
      <c r="F10" s="2197"/>
      <c r="G10" s="2197"/>
      <c r="H10" s="2197"/>
      <c r="I10" s="2197"/>
      <c r="J10" s="2197"/>
      <c r="K10" s="1179"/>
      <c r="L10" s="1180"/>
      <c r="M10" s="1180"/>
      <c r="N10" s="1180"/>
      <c r="O10" s="1180"/>
      <c r="P10" s="1180"/>
      <c r="Q10" s="1180"/>
      <c r="R10" s="1180"/>
      <c r="S10" s="1180"/>
      <c r="T10" s="1180"/>
      <c r="U10" s="1180"/>
      <c r="V10" s="1180"/>
      <c r="W10" s="1180"/>
      <c r="X10" s="1180"/>
    </row>
    <row r="11" spans="1:24">
      <c r="A11" s="1180"/>
      <c r="B11" s="1180"/>
      <c r="C11" s="1180"/>
      <c r="D11" s="1180"/>
      <c r="E11" s="1180"/>
      <c r="F11" s="1180"/>
      <c r="G11" s="1180"/>
      <c r="H11" s="1180"/>
      <c r="I11" s="1180"/>
      <c r="J11" s="1180"/>
      <c r="K11" s="1180"/>
      <c r="L11" s="1180"/>
      <c r="M11" s="1180"/>
      <c r="N11" s="1180"/>
      <c r="O11" s="1180"/>
      <c r="P11" s="1180"/>
      <c r="Q11" s="1180"/>
      <c r="R11" s="1180"/>
      <c r="S11" s="1180"/>
      <c r="T11" s="1180"/>
      <c r="U11" s="1180"/>
      <c r="V11" s="1180"/>
      <c r="W11" s="1180"/>
      <c r="X11" s="1180"/>
    </row>
    <row r="12" spans="1:24">
      <c r="A12" s="1179" t="s">
        <v>1246</v>
      </c>
      <c r="B12" s="1180"/>
      <c r="C12" s="1180"/>
      <c r="D12" s="1180"/>
      <c r="E12" s="1180"/>
      <c r="F12" s="1180"/>
      <c r="G12" s="1180"/>
      <c r="H12" s="1180"/>
      <c r="I12" s="1180"/>
      <c r="J12" s="2198" t="s">
        <v>364</v>
      </c>
      <c r="K12" s="1180"/>
      <c r="L12" s="1180"/>
      <c r="M12" s="1180"/>
      <c r="N12" s="1180"/>
      <c r="O12" s="1180"/>
      <c r="P12" s="1180"/>
      <c r="Q12" s="1180"/>
      <c r="R12" s="1180"/>
      <c r="S12" s="1180"/>
      <c r="T12" s="1180"/>
      <c r="U12" s="1180"/>
      <c r="V12" s="1180"/>
      <c r="W12" s="1180"/>
      <c r="X12" s="1180"/>
    </row>
    <row r="13" spans="1:24">
      <c r="A13" s="2197"/>
      <c r="B13" s="2197"/>
      <c r="C13" s="2197"/>
      <c r="D13" s="2197"/>
      <c r="E13" s="2197"/>
      <c r="F13" s="2197"/>
      <c r="G13" s="2197"/>
      <c r="H13" s="2197"/>
      <c r="I13" s="2197"/>
      <c r="J13" s="2197"/>
      <c r="K13" s="1179"/>
      <c r="L13" s="1180"/>
      <c r="M13" s="1180"/>
      <c r="N13" s="1180"/>
      <c r="O13" s="1180"/>
      <c r="P13" s="1180"/>
      <c r="Q13" s="1180"/>
      <c r="R13" s="1180"/>
      <c r="S13" s="1180"/>
      <c r="T13" s="1180"/>
      <c r="U13" s="1180"/>
      <c r="V13" s="1180"/>
      <c r="W13" s="1180"/>
      <c r="X13" s="1180"/>
    </row>
    <row r="14" spans="1:24">
      <c r="A14" s="1180"/>
      <c r="B14" s="1180"/>
      <c r="C14" s="1180"/>
      <c r="D14" s="1180"/>
      <c r="E14" s="1180"/>
      <c r="F14" s="1180"/>
      <c r="G14" s="1180"/>
      <c r="H14" s="1180"/>
      <c r="I14" s="1180"/>
      <c r="J14" s="2199"/>
      <c r="K14" s="1180"/>
      <c r="L14" s="1180"/>
      <c r="M14" s="1180"/>
      <c r="N14" s="1180"/>
      <c r="O14" s="1180"/>
      <c r="P14" s="1180"/>
      <c r="Q14" s="1180"/>
      <c r="R14" s="1180"/>
      <c r="S14" s="1180"/>
      <c r="T14" s="1180"/>
      <c r="U14" s="1180"/>
      <c r="V14" s="1180"/>
      <c r="W14" s="1180"/>
      <c r="X14" s="1180"/>
    </row>
    <row r="15" spans="1:24">
      <c r="A15" s="1581" t="s">
        <v>1216</v>
      </c>
      <c r="B15" s="1180"/>
      <c r="C15" s="1180"/>
      <c r="D15" s="1180"/>
      <c r="E15" s="1180"/>
      <c r="F15" s="1180"/>
      <c r="G15" s="1180"/>
      <c r="H15" s="1180"/>
      <c r="I15" s="1180"/>
      <c r="J15" s="1180"/>
      <c r="K15" s="1180"/>
      <c r="L15" s="1180"/>
      <c r="M15" s="1180"/>
      <c r="N15" s="1180"/>
      <c r="O15" s="1180"/>
      <c r="P15" s="1180"/>
      <c r="Q15" s="1180"/>
      <c r="R15" s="1180"/>
      <c r="S15" s="1180"/>
      <c r="T15" s="1180"/>
      <c r="U15" s="1180"/>
      <c r="V15" s="1180"/>
      <c r="W15" s="1180"/>
      <c r="X15" s="1180"/>
    </row>
    <row r="16" spans="1:24">
      <c r="A16" s="1581" t="s">
        <v>182</v>
      </c>
      <c r="B16" s="1180"/>
      <c r="C16" s="1180"/>
      <c r="D16" s="1180"/>
      <c r="E16" s="1180"/>
      <c r="F16" s="1180"/>
      <c r="G16" s="1180"/>
      <c r="H16" s="1180"/>
      <c r="I16" s="1180"/>
      <c r="J16" s="1180"/>
      <c r="K16" s="1180"/>
      <c r="L16" s="1180"/>
      <c r="M16" s="1180"/>
      <c r="N16" s="1180"/>
      <c r="O16" s="1180"/>
      <c r="P16" s="1180"/>
      <c r="Q16" s="1180"/>
      <c r="R16" s="1180"/>
      <c r="S16" s="1180"/>
      <c r="T16" s="1180"/>
      <c r="U16" s="1180"/>
      <c r="V16" s="1180"/>
      <c r="W16" s="1180"/>
      <c r="X16" s="1180"/>
    </row>
    <row r="17" spans="1:24">
      <c r="A17" s="1179"/>
      <c r="B17" s="1180"/>
      <c r="C17" s="1180"/>
      <c r="D17" s="1180"/>
      <c r="E17" s="1180"/>
      <c r="F17" s="1180"/>
      <c r="G17" s="1180"/>
      <c r="H17" s="1180"/>
      <c r="I17" s="1180"/>
      <c r="J17" s="1180"/>
      <c r="K17" s="1180"/>
      <c r="L17" s="1180"/>
      <c r="M17" s="1180"/>
      <c r="N17" s="1180"/>
      <c r="O17" s="1180"/>
      <c r="P17" s="1180"/>
      <c r="Q17" s="1180"/>
      <c r="R17" s="1180"/>
      <c r="S17" s="1180"/>
      <c r="T17" s="1180"/>
      <c r="U17" s="1180"/>
      <c r="V17" s="1180"/>
      <c r="W17" s="1180"/>
      <c r="X17" s="1180"/>
    </row>
    <row r="18" spans="1:24">
      <c r="A18" s="1179"/>
      <c r="B18" s="1180"/>
      <c r="C18" s="1180"/>
      <c r="D18" s="1180"/>
      <c r="E18" s="1180"/>
      <c r="F18" s="1180"/>
      <c r="G18" s="1180"/>
      <c r="H18" s="1180"/>
      <c r="I18" s="1180"/>
      <c r="J18" s="1180"/>
      <c r="K18" s="1180"/>
      <c r="L18" s="1180"/>
      <c r="M18" s="1180"/>
      <c r="N18" s="1180"/>
      <c r="O18" s="1180"/>
      <c r="P18" s="1180"/>
      <c r="Q18" s="1180"/>
      <c r="R18" s="1180"/>
      <c r="S18" s="1180"/>
      <c r="T18" s="1180"/>
      <c r="U18" s="1180"/>
      <c r="V18" s="1180"/>
      <c r="W18" s="1180"/>
      <c r="X18" s="1180"/>
    </row>
    <row r="19" spans="1:24">
      <c r="A19" s="1179"/>
      <c r="B19" s="1180"/>
      <c r="C19" s="1180"/>
      <c r="D19" s="1180"/>
      <c r="E19" s="1180"/>
      <c r="F19" s="1180"/>
      <c r="G19" s="1180"/>
      <c r="H19" s="1180"/>
      <c r="I19" s="1180"/>
      <c r="J19" s="1180"/>
      <c r="K19" s="1180"/>
      <c r="L19" s="1180"/>
      <c r="M19" s="1180"/>
      <c r="N19" s="1180"/>
      <c r="O19" s="1180"/>
      <c r="P19" s="1180"/>
      <c r="Q19" s="1180"/>
      <c r="R19" s="1180"/>
      <c r="S19" s="1180"/>
      <c r="T19" s="1180"/>
      <c r="U19" s="1180"/>
      <c r="V19" s="1180"/>
      <c r="W19" s="1180"/>
      <c r="X19" s="1180"/>
    </row>
    <row r="20" spans="1:24">
      <c r="A20" s="1179"/>
      <c r="B20" s="1180"/>
      <c r="C20" s="1180"/>
      <c r="D20" s="1180"/>
      <c r="E20" s="1180"/>
      <c r="F20" s="1180"/>
      <c r="G20" s="1180"/>
      <c r="H20" s="2199"/>
      <c r="I20" s="1180"/>
      <c r="J20" s="1180"/>
      <c r="K20" s="1180"/>
      <c r="L20" s="1180"/>
      <c r="M20" s="1180"/>
      <c r="N20" s="1180"/>
      <c r="O20" s="1180"/>
      <c r="P20" s="1180"/>
      <c r="Q20" s="1180"/>
      <c r="R20" s="1180"/>
      <c r="S20" s="1180"/>
      <c r="T20" s="1180"/>
      <c r="U20" s="1180"/>
      <c r="V20" s="1180"/>
      <c r="W20" s="1180"/>
      <c r="X20" s="1180"/>
    </row>
    <row r="21" spans="1:24">
      <c r="A21" s="1502"/>
      <c r="B21" s="1180"/>
      <c r="C21" s="1180"/>
      <c r="D21" s="1180"/>
      <c r="E21" s="1180"/>
      <c r="F21" s="1180"/>
      <c r="G21" s="1180"/>
      <c r="H21" s="2170"/>
      <c r="I21" s="1180"/>
      <c r="J21" s="1180"/>
      <c r="K21" s="1180"/>
      <c r="L21" s="1180"/>
      <c r="M21" s="1180"/>
      <c r="N21" s="1180"/>
      <c r="O21" s="1180"/>
      <c r="P21" s="1180"/>
      <c r="Q21" s="1180"/>
      <c r="R21" s="1180"/>
      <c r="S21" s="1180"/>
      <c r="T21" s="1180"/>
      <c r="U21" s="1180"/>
      <c r="V21" s="1180"/>
      <c r="W21" s="1180"/>
      <c r="X21" s="1180"/>
    </row>
    <row r="22" spans="1:24">
      <c r="A22" s="1180"/>
      <c r="B22" s="1180"/>
      <c r="C22" s="1180"/>
      <c r="D22" s="1180"/>
      <c r="E22" s="1180"/>
      <c r="F22" s="1180"/>
      <c r="G22" s="1180"/>
      <c r="H22" s="1180"/>
      <c r="I22" s="1180"/>
      <c r="J22" s="1180"/>
      <c r="K22" s="1180"/>
      <c r="L22" s="1180"/>
      <c r="M22" s="1180"/>
      <c r="N22" s="1180"/>
      <c r="O22" s="1180"/>
      <c r="P22" s="1180"/>
      <c r="Q22" s="1180"/>
      <c r="R22" s="1180"/>
      <c r="S22" s="1180"/>
      <c r="T22" s="1180"/>
      <c r="U22" s="1180"/>
      <c r="V22" s="1180"/>
      <c r="W22" s="1180"/>
      <c r="X22" s="1180"/>
    </row>
    <row r="23" spans="1:24">
      <c r="A23" s="1179" t="s">
        <v>1217</v>
      </c>
      <c r="B23" s="1180"/>
      <c r="C23" s="1180"/>
      <c r="D23" s="1180"/>
      <c r="E23" s="1180"/>
      <c r="F23" s="1180"/>
      <c r="G23" s="1180"/>
      <c r="H23" s="1180"/>
      <c r="I23" s="1426"/>
      <c r="J23" s="1375">
        <f ca="1">T53</f>
        <v>12650083</v>
      </c>
      <c r="K23" s="1180"/>
      <c r="L23" s="1180"/>
      <c r="M23" s="1180"/>
      <c r="N23" s="1180"/>
      <c r="O23" s="1180"/>
      <c r="P23" s="1180"/>
      <c r="Q23" s="1180"/>
      <c r="R23" s="1180"/>
      <c r="S23" s="1180"/>
      <c r="T23" s="1180"/>
      <c r="U23" s="1180"/>
      <c r="V23" s="1180"/>
      <c r="W23" s="1180"/>
      <c r="X23" s="1180"/>
    </row>
    <row r="24" spans="1:24">
      <c r="A24" s="1180"/>
      <c r="B24" s="1180"/>
      <c r="C24" s="1180"/>
      <c r="D24" s="1180"/>
      <c r="E24" s="1180"/>
      <c r="F24" s="1180"/>
      <c r="G24" s="1180"/>
      <c r="H24" s="1180"/>
      <c r="I24" s="1180"/>
      <c r="J24" s="1426"/>
      <c r="K24" s="1180"/>
      <c r="L24" s="1180"/>
      <c r="M24" s="1180"/>
      <c r="N24" s="1180"/>
      <c r="O24" s="1180"/>
      <c r="P24" s="1180"/>
      <c r="Q24" s="1180"/>
      <c r="R24" s="1180"/>
      <c r="S24" s="1180"/>
      <c r="T24" s="1180"/>
      <c r="U24" s="1180"/>
      <c r="V24" s="1180"/>
      <c r="W24" s="1180"/>
      <c r="X24" s="1180"/>
    </row>
    <row r="25" spans="1:24">
      <c r="A25" s="1180"/>
      <c r="B25" s="1180"/>
      <c r="C25" s="1180"/>
      <c r="D25" s="1180"/>
      <c r="E25" s="1180"/>
      <c r="F25" s="1180"/>
      <c r="G25" s="1180"/>
      <c r="H25" s="1180"/>
      <c r="I25" s="1180"/>
      <c r="J25" s="1180"/>
      <c r="K25" s="1180"/>
      <c r="L25" s="1180"/>
      <c r="M25" s="1180"/>
      <c r="N25" s="1180"/>
      <c r="O25" s="1180"/>
      <c r="P25" s="1180"/>
      <c r="Q25" s="1180"/>
      <c r="R25" s="1180"/>
      <c r="S25" s="1180"/>
      <c r="T25" s="1180"/>
      <c r="U25" s="1180"/>
      <c r="V25" s="1180"/>
      <c r="W25" s="1180"/>
      <c r="X25" s="1180"/>
    </row>
    <row r="26" spans="1:24">
      <c r="A26" s="1179" t="s">
        <v>266</v>
      </c>
      <c r="B26" s="1180"/>
      <c r="C26" s="1180"/>
      <c r="D26" s="1180"/>
      <c r="E26" s="1180"/>
      <c r="F26" s="1180"/>
      <c r="G26" s="1180"/>
      <c r="H26" s="1180"/>
      <c r="I26" s="1180"/>
      <c r="J26" s="1425">
        <f>VLOOKUP(D33,ALLOCTABLE,2)/100</f>
        <v>1</v>
      </c>
      <c r="K26" s="1180"/>
      <c r="L26" s="1180"/>
      <c r="M26" s="1180"/>
      <c r="N26" s="1180"/>
      <c r="O26" s="1180"/>
      <c r="P26" s="1180"/>
      <c r="Q26" s="1180"/>
      <c r="R26" s="1180"/>
      <c r="S26" s="1180"/>
      <c r="T26" s="1180"/>
      <c r="U26" s="1180"/>
      <c r="V26" s="1180"/>
      <c r="W26" s="1180"/>
      <c r="X26" s="1180"/>
    </row>
    <row r="27" spans="1:24">
      <c r="A27" s="1180"/>
      <c r="B27" s="1180"/>
      <c r="C27" s="1180"/>
      <c r="D27" s="1180"/>
      <c r="E27" s="1180"/>
      <c r="F27" s="1180"/>
      <c r="G27" s="1180"/>
      <c r="H27" s="1180"/>
      <c r="I27" s="1180"/>
      <c r="J27" s="1426"/>
      <c r="K27" s="1180"/>
      <c r="L27" s="1180"/>
      <c r="M27" s="1180"/>
      <c r="N27" s="1180"/>
      <c r="O27" s="1180"/>
      <c r="P27" s="1180"/>
      <c r="Q27" s="1180"/>
      <c r="R27" s="1180"/>
      <c r="S27" s="1180"/>
      <c r="T27" s="1180"/>
      <c r="U27" s="1180"/>
      <c r="V27" s="1180"/>
      <c r="W27" s="1180"/>
      <c r="X27" s="1180"/>
    </row>
    <row r="28" spans="1:24">
      <c r="A28" s="1180"/>
      <c r="B28" s="1180"/>
      <c r="C28" s="1180"/>
      <c r="D28" s="1180"/>
      <c r="E28" s="1180"/>
      <c r="F28" s="1180"/>
      <c r="G28" s="1180"/>
      <c r="H28" s="1180"/>
      <c r="I28" s="1180"/>
      <c r="J28" s="1180"/>
      <c r="K28" s="1180"/>
      <c r="L28" s="1180"/>
      <c r="M28" s="1180"/>
      <c r="N28" s="1180"/>
      <c r="O28" s="1180"/>
      <c r="P28" s="1180"/>
      <c r="Q28" s="1180"/>
      <c r="R28" s="1180"/>
      <c r="S28" s="1180"/>
      <c r="T28" s="1180"/>
      <c r="U28" s="1180"/>
      <c r="V28" s="1180"/>
      <c r="W28" s="1180"/>
      <c r="X28" s="1180"/>
    </row>
    <row r="29" spans="1:24" ht="15">
      <c r="A29" s="1179" t="s">
        <v>1236</v>
      </c>
      <c r="B29" s="1180"/>
      <c r="C29" s="1180"/>
      <c r="D29" s="1180"/>
      <c r="E29" s="1180"/>
      <c r="F29" s="1179" t="s">
        <v>1213</v>
      </c>
      <c r="G29" s="1180"/>
      <c r="H29" s="1180"/>
      <c r="I29" s="1426"/>
      <c r="J29" s="1427">
        <f ca="1">ROUND(J23*J26,0)</f>
        <v>12650083</v>
      </c>
      <c r="K29" s="1180"/>
      <c r="L29" s="1180"/>
      <c r="M29" s="1180"/>
      <c r="N29" s="1180"/>
      <c r="O29" s="1180"/>
      <c r="P29" s="1180"/>
      <c r="Q29" s="1180"/>
      <c r="R29" s="1180"/>
      <c r="S29" s="1180"/>
      <c r="T29" s="1180"/>
      <c r="U29" s="1180"/>
      <c r="V29" s="1180"/>
      <c r="W29" s="1180"/>
      <c r="X29" s="1180"/>
    </row>
    <row r="30" spans="1:24">
      <c r="A30" s="1180"/>
      <c r="B30" s="1180"/>
      <c r="C30" s="1180"/>
      <c r="D30" s="1180"/>
      <c r="E30" s="1180"/>
      <c r="F30" s="1180"/>
      <c r="G30" s="1180"/>
      <c r="H30" s="1180"/>
      <c r="I30" s="1180"/>
      <c r="J30" s="1426"/>
      <c r="K30" s="1180"/>
      <c r="L30" s="1180"/>
      <c r="M30" s="1180"/>
      <c r="N30" s="1180"/>
      <c r="O30" s="1180"/>
      <c r="P30" s="1180"/>
      <c r="Q30" s="1180"/>
      <c r="R30" s="1180"/>
      <c r="S30" s="1180"/>
      <c r="T30" s="1180"/>
      <c r="U30" s="1180"/>
      <c r="V30" s="1180"/>
      <c r="W30" s="1180"/>
      <c r="X30" s="1180"/>
    </row>
    <row r="31" spans="1:24">
      <c r="A31" s="1180"/>
      <c r="B31" s="1180"/>
      <c r="C31" s="1180"/>
      <c r="D31" s="1180"/>
      <c r="E31" s="1180"/>
      <c r="F31" s="1180"/>
      <c r="G31" s="1180"/>
      <c r="H31" s="1180"/>
      <c r="I31" s="1180"/>
      <c r="J31" s="1180"/>
      <c r="K31" s="1180"/>
      <c r="L31" s="1180"/>
      <c r="M31" s="1180"/>
      <c r="N31" s="1180"/>
      <c r="O31" s="1180"/>
      <c r="P31" s="1180"/>
      <c r="Q31" s="1180"/>
      <c r="R31" s="1180"/>
      <c r="S31" s="1180"/>
      <c r="T31" s="1180"/>
      <c r="U31" s="1180"/>
      <c r="V31" s="1180"/>
      <c r="W31" s="1180"/>
      <c r="X31" s="1180"/>
    </row>
    <row r="32" spans="1:24">
      <c r="A32" s="1180"/>
      <c r="B32" s="1180"/>
      <c r="C32" s="1180"/>
      <c r="D32" s="1180"/>
      <c r="E32" s="1180"/>
      <c r="F32" s="1180"/>
      <c r="G32" s="1180"/>
      <c r="H32" s="1180"/>
      <c r="I32" s="1180"/>
      <c r="J32" s="1180"/>
      <c r="K32" s="1180"/>
      <c r="L32" s="1180"/>
      <c r="M32" s="1180"/>
      <c r="N32" s="1180"/>
      <c r="O32" s="1180"/>
      <c r="P32" s="1180"/>
      <c r="Q32" s="1180"/>
      <c r="R32" s="1180"/>
      <c r="S32" s="1180"/>
      <c r="T32" s="1180"/>
      <c r="U32" s="1180"/>
      <c r="V32" s="1180"/>
      <c r="W32" s="1180"/>
      <c r="X32" s="1180"/>
    </row>
    <row r="33" spans="1:24">
      <c r="A33" s="1179" t="s">
        <v>1237</v>
      </c>
      <c r="B33" s="1180"/>
      <c r="C33" s="1180"/>
      <c r="D33" s="2149" t="s">
        <v>593</v>
      </c>
      <c r="E33" s="1180"/>
      <c r="F33" s="1180"/>
      <c r="G33" s="1180"/>
      <c r="H33" s="1180"/>
      <c r="I33" s="1180"/>
      <c r="J33" s="1180"/>
      <c r="K33" s="1180"/>
      <c r="L33" s="1180"/>
      <c r="M33" s="1180"/>
      <c r="N33" s="1180"/>
      <c r="O33" s="1180"/>
      <c r="P33" s="1180"/>
      <c r="Q33" s="1180"/>
      <c r="R33" s="1180"/>
      <c r="S33" s="1180"/>
      <c r="T33" s="1180"/>
      <c r="U33" s="1180"/>
      <c r="V33" s="1180"/>
      <c r="W33" s="1180"/>
      <c r="X33" s="1180"/>
    </row>
    <row r="34" spans="1:24">
      <c r="A34" s="1179"/>
      <c r="B34" s="1180"/>
      <c r="C34" s="1180"/>
      <c r="D34" s="1180"/>
      <c r="E34" s="1180"/>
      <c r="F34" s="1180"/>
      <c r="G34" s="1180"/>
      <c r="H34" s="1180"/>
      <c r="I34" s="1180"/>
      <c r="J34" s="1180"/>
      <c r="K34" s="1180"/>
      <c r="L34" s="1180"/>
      <c r="M34" s="1180"/>
      <c r="N34" s="1180"/>
      <c r="O34" s="1180"/>
      <c r="P34" s="1180"/>
      <c r="Q34" s="1180"/>
      <c r="R34" s="1180"/>
      <c r="S34" s="1180"/>
      <c r="T34" s="1180"/>
      <c r="U34" s="1180"/>
      <c r="V34" s="1180"/>
      <c r="W34" s="1180"/>
      <c r="X34" s="1180"/>
    </row>
    <row r="35" spans="1:24">
      <c r="A35" s="1180"/>
      <c r="B35" s="1180"/>
      <c r="C35" s="1180"/>
      <c r="D35" s="1180"/>
      <c r="E35" s="1180"/>
      <c r="F35" s="1180"/>
      <c r="G35" s="1180"/>
      <c r="H35" s="1180"/>
      <c r="I35" s="1180"/>
      <c r="J35" s="1180"/>
      <c r="K35" s="1180"/>
      <c r="L35" s="1180"/>
      <c r="M35" s="1180"/>
      <c r="N35" s="1180"/>
      <c r="O35" s="1180"/>
      <c r="P35" s="1180"/>
      <c r="Q35" s="1180"/>
      <c r="R35" s="1180"/>
      <c r="S35" s="1180"/>
      <c r="T35" s="1180"/>
      <c r="U35" s="1180"/>
      <c r="V35" s="1180"/>
      <c r="W35" s="1180"/>
      <c r="X35" s="1180"/>
    </row>
    <row r="36" spans="1:24">
      <c r="A36" s="1180"/>
      <c r="B36" s="1180"/>
      <c r="C36" s="1180"/>
      <c r="D36" s="1180"/>
      <c r="E36" s="1180"/>
      <c r="F36" s="1180"/>
      <c r="G36" s="1180"/>
      <c r="H36" s="1180"/>
      <c r="I36" s="1180"/>
      <c r="J36" s="1180"/>
      <c r="K36" s="1180"/>
      <c r="L36" s="1180"/>
      <c r="M36" s="1180"/>
      <c r="N36" s="1180"/>
      <c r="O36" s="1180"/>
      <c r="P36" s="1180"/>
      <c r="Q36" s="1180"/>
      <c r="R36" s="1180"/>
      <c r="S36" s="1180"/>
      <c r="T36" s="1180"/>
      <c r="U36" s="1180"/>
      <c r="V36" s="1180"/>
      <c r="W36" s="1180"/>
      <c r="X36" s="1180"/>
    </row>
    <row r="37" spans="1:24">
      <c r="A37" s="1180"/>
      <c r="B37" s="1180"/>
      <c r="C37" s="1180"/>
      <c r="D37" s="1180"/>
      <c r="E37" s="1180"/>
      <c r="F37" s="1180"/>
      <c r="G37" s="1180"/>
      <c r="H37" s="1180"/>
      <c r="I37" s="1180"/>
      <c r="J37" s="1180"/>
      <c r="K37" s="1180"/>
      <c r="L37" s="1180"/>
      <c r="M37" s="1180"/>
      <c r="N37" s="1180"/>
      <c r="O37" s="1180"/>
      <c r="P37" s="1180"/>
      <c r="Q37" s="1180"/>
      <c r="R37" s="1180"/>
      <c r="S37" s="1180"/>
      <c r="T37" s="1180"/>
      <c r="U37" s="1180"/>
      <c r="V37" s="1180"/>
      <c r="W37" s="1180"/>
      <c r="X37" s="1180"/>
    </row>
    <row r="38" spans="1:24">
      <c r="A38" s="1180"/>
      <c r="B38" s="1180"/>
      <c r="C38" s="1180"/>
      <c r="D38" s="1180"/>
      <c r="E38" s="1180"/>
      <c r="F38" s="1180"/>
      <c r="G38" s="1180"/>
      <c r="H38" s="1180"/>
      <c r="I38" s="1180"/>
      <c r="J38" s="1180"/>
      <c r="K38" s="1180"/>
      <c r="L38" s="1180"/>
      <c r="M38" s="1180"/>
      <c r="N38" s="1180"/>
      <c r="O38" s="1180"/>
      <c r="P38" s="1180"/>
      <c r="Q38" s="1180"/>
      <c r="R38" s="1180"/>
      <c r="S38" s="1180"/>
      <c r="T38" s="1180"/>
      <c r="U38" s="1180"/>
      <c r="V38" s="1180"/>
      <c r="W38" s="1180"/>
      <c r="X38" s="1180"/>
    </row>
    <row r="39" spans="1:24">
      <c r="A39" s="1180"/>
      <c r="B39" s="1180"/>
      <c r="C39" s="1180"/>
      <c r="D39" s="1180"/>
      <c r="E39" s="1180"/>
      <c r="F39" s="1180"/>
      <c r="G39" s="1180"/>
      <c r="H39" s="1180"/>
      <c r="I39" s="1180"/>
      <c r="J39" s="1180"/>
      <c r="K39" s="1180"/>
      <c r="L39" s="1180"/>
      <c r="M39" s="1180"/>
      <c r="N39" s="1180"/>
      <c r="O39" s="1180"/>
      <c r="P39" s="1180"/>
      <c r="Q39" s="1180"/>
      <c r="R39" s="1180"/>
      <c r="S39" s="1180"/>
      <c r="T39" s="1180"/>
      <c r="U39" s="1180"/>
      <c r="V39" s="1180"/>
      <c r="W39" s="1180"/>
      <c r="X39" s="1180"/>
    </row>
    <row r="40" spans="1:24">
      <c r="A40" s="1180"/>
      <c r="B40" s="1180"/>
      <c r="C40" s="1180"/>
      <c r="D40" s="1180"/>
      <c r="E40" s="1180"/>
      <c r="F40" s="1180"/>
      <c r="G40" s="1180"/>
      <c r="H40" s="1180"/>
      <c r="I40" s="1180"/>
      <c r="J40" s="1180"/>
      <c r="K40" s="1180"/>
      <c r="L40" s="1180"/>
      <c r="M40" s="1180"/>
      <c r="N40" s="1180"/>
      <c r="O40" s="1180"/>
      <c r="P40" s="1180"/>
      <c r="Q40" s="1180"/>
      <c r="R40" s="1180"/>
      <c r="S40" s="1180"/>
      <c r="T40" s="1180"/>
      <c r="U40" s="1180"/>
      <c r="V40" s="1180"/>
      <c r="W40" s="1180"/>
      <c r="X40" s="1180"/>
    </row>
    <row r="41" spans="1:24">
      <c r="A41" s="1180"/>
      <c r="B41" s="1180"/>
      <c r="C41" s="1180"/>
      <c r="D41" s="1180"/>
      <c r="E41" s="1180"/>
      <c r="F41" s="1180"/>
      <c r="G41" s="1180"/>
      <c r="H41" s="1180"/>
      <c r="I41" s="1180"/>
      <c r="J41" s="1180"/>
      <c r="K41" s="1180"/>
      <c r="L41" s="1180"/>
      <c r="M41" s="1180"/>
      <c r="N41" s="1180"/>
      <c r="O41" s="1180"/>
      <c r="P41" s="1180"/>
      <c r="Q41" s="1180"/>
      <c r="R41" s="1180"/>
      <c r="S41" s="1180"/>
      <c r="T41" s="1180"/>
      <c r="U41" s="1180"/>
      <c r="V41" s="1180"/>
      <c r="W41" s="1180"/>
      <c r="X41" s="1180"/>
    </row>
    <row r="42" spans="1:24">
      <c r="A42" s="1180"/>
      <c r="B42" s="1180"/>
      <c r="C42" s="1180"/>
      <c r="D42" s="1180"/>
      <c r="E42" s="1180"/>
      <c r="F42" s="1180"/>
      <c r="G42" s="1180"/>
      <c r="H42" s="1180"/>
      <c r="I42" s="1180"/>
      <c r="J42" s="1180"/>
      <c r="K42" s="1180"/>
      <c r="L42" s="1180"/>
      <c r="M42" s="1180"/>
      <c r="N42" s="1180"/>
      <c r="O42" s="1180"/>
      <c r="P42" s="1180"/>
      <c r="Q42" s="1180"/>
      <c r="R42" s="1180"/>
      <c r="S42" s="1180"/>
      <c r="T42" s="1180"/>
      <c r="U42" s="1180"/>
      <c r="V42" s="1180"/>
      <c r="W42" s="1180"/>
      <c r="X42" s="1180"/>
    </row>
    <row r="43" spans="1:24">
      <c r="A43" s="1180"/>
      <c r="B43" s="1180"/>
      <c r="C43" s="1180"/>
      <c r="D43" s="1180"/>
      <c r="E43" s="1180"/>
      <c r="F43" s="1180"/>
      <c r="G43" s="1180"/>
      <c r="H43" s="1180"/>
      <c r="I43" s="1180"/>
      <c r="J43" s="1180"/>
      <c r="K43" s="1180"/>
      <c r="L43" s="1629" t="str">
        <f>COMPANY</f>
        <v>DUKE ENERGY KENTUCKY, INC.</v>
      </c>
      <c r="M43" s="530"/>
      <c r="N43" s="530"/>
      <c r="O43" s="530"/>
      <c r="P43" s="530"/>
      <c r="Q43" s="530"/>
      <c r="R43" s="1629" t="s">
        <v>1218</v>
      </c>
      <c r="S43" s="530"/>
      <c r="T43" s="1178"/>
      <c r="U43" s="1180"/>
      <c r="V43" s="1180"/>
      <c r="W43" s="1180"/>
      <c r="X43" s="1180"/>
    </row>
    <row r="44" spans="1:24">
      <c r="A44" s="1180"/>
      <c r="B44" s="1180"/>
      <c r="C44" s="1180"/>
      <c r="D44" s="1180"/>
      <c r="E44" s="1180"/>
      <c r="F44" s="1180"/>
      <c r="G44" s="1180"/>
      <c r="H44" s="1180"/>
      <c r="I44" s="1180"/>
      <c r="J44" s="1180"/>
      <c r="K44" s="1180"/>
      <c r="L44" s="1629" t="str">
        <f>DEPT</f>
        <v>ELECTRIC DEPARTMENT</v>
      </c>
      <c r="M44" s="530"/>
      <c r="N44" s="530"/>
      <c r="O44" s="530"/>
      <c r="P44" s="530"/>
      <c r="Q44" s="530"/>
      <c r="R44" s="1629" t="s">
        <v>1239</v>
      </c>
      <c r="S44" s="530"/>
      <c r="T44" s="1178"/>
      <c r="U44" s="1180"/>
      <c r="V44" s="1180"/>
      <c r="W44" s="1180"/>
      <c r="X44" s="1180"/>
    </row>
    <row r="45" spans="1:24">
      <c r="A45" s="1180"/>
      <c r="B45" s="1180"/>
      <c r="C45" s="1180"/>
      <c r="D45" s="1180"/>
      <c r="E45" s="1180"/>
      <c r="F45" s="1180"/>
      <c r="G45" s="1180"/>
      <c r="H45" s="1180"/>
      <c r="I45" s="1180"/>
      <c r="J45" s="1180"/>
      <c r="K45" s="1180"/>
      <c r="L45" s="1629" t="str">
        <f>CASE</f>
        <v>CASE NO. 2017-00321</v>
      </c>
      <c r="M45" s="530"/>
      <c r="N45" s="530"/>
      <c r="O45" s="530"/>
      <c r="P45" s="530"/>
      <c r="Q45" s="530"/>
      <c r="R45" s="530" t="str">
        <f>_WIT10</f>
        <v>R. H. PRATT</v>
      </c>
      <c r="S45" s="530"/>
      <c r="T45" s="1178"/>
      <c r="U45" s="1180"/>
      <c r="V45" s="1180"/>
      <c r="W45" s="1180"/>
      <c r="X45" s="1180"/>
    </row>
    <row r="46" spans="1:24">
      <c r="A46" s="1180"/>
      <c r="B46" s="1180"/>
      <c r="C46" s="1180"/>
      <c r="D46" s="1180"/>
      <c r="E46" s="1180"/>
      <c r="F46" s="1180"/>
      <c r="G46" s="1180"/>
      <c r="H46" s="1180"/>
      <c r="I46" s="1180"/>
      <c r="J46" s="1180"/>
      <c r="K46" s="1180"/>
      <c r="L46" s="1629" t="s">
        <v>1219</v>
      </c>
      <c r="M46" s="530"/>
      <c r="N46" s="530"/>
      <c r="O46" s="530"/>
      <c r="P46" s="530"/>
      <c r="Q46" s="530"/>
      <c r="R46" s="2107"/>
      <c r="S46" s="530"/>
      <c r="T46" s="1178"/>
      <c r="U46" s="1180"/>
      <c r="V46" s="1180"/>
      <c r="W46" s="1180"/>
      <c r="X46" s="1180"/>
    </row>
    <row r="47" spans="1:24">
      <c r="A47" s="1180"/>
      <c r="B47" s="1180"/>
      <c r="C47" s="1180"/>
      <c r="D47" s="1180"/>
      <c r="E47" s="1180"/>
      <c r="F47" s="1180"/>
      <c r="G47" s="1180"/>
      <c r="H47" s="1180"/>
      <c r="I47" s="1180"/>
      <c r="J47" s="1180"/>
      <c r="K47" s="1180"/>
      <c r="L47" s="1629"/>
      <c r="M47" s="530"/>
      <c r="N47" s="530"/>
      <c r="O47" s="530"/>
      <c r="P47" s="530"/>
      <c r="Q47" s="530"/>
      <c r="R47" s="530"/>
      <c r="S47" s="530"/>
      <c r="T47" s="1178"/>
      <c r="U47" s="1180"/>
      <c r="V47" s="1180"/>
      <c r="W47" s="1180"/>
      <c r="X47" s="1180"/>
    </row>
    <row r="48" spans="1:24">
      <c r="A48" s="1180"/>
      <c r="B48" s="1180"/>
      <c r="C48" s="1180"/>
      <c r="D48" s="1180"/>
      <c r="E48" s="1180"/>
      <c r="F48" s="1180"/>
      <c r="G48" s="1180"/>
      <c r="H48" s="1180"/>
      <c r="I48" s="1180"/>
      <c r="J48" s="1180"/>
      <c r="K48" s="1180"/>
      <c r="L48" s="1178"/>
      <c r="M48" s="1178"/>
      <c r="N48" s="1178"/>
      <c r="O48" s="1178"/>
      <c r="P48" s="1178"/>
      <c r="Q48" s="1178"/>
      <c r="R48" s="1178"/>
      <c r="S48" s="1178"/>
      <c r="T48" s="1178"/>
      <c r="U48" s="1180"/>
      <c r="V48" s="1180"/>
      <c r="W48" s="1180"/>
      <c r="X48" s="1180"/>
    </row>
    <row r="49" spans="1:24">
      <c r="A49" s="1180"/>
      <c r="B49" s="1180"/>
      <c r="C49" s="1180"/>
      <c r="D49" s="1180"/>
      <c r="E49" s="1180"/>
      <c r="F49" s="1180"/>
      <c r="G49" s="1180"/>
      <c r="H49" s="1180"/>
      <c r="I49" s="1180"/>
      <c r="J49" s="1180"/>
      <c r="K49" s="1180"/>
      <c r="L49" s="1178"/>
      <c r="M49" s="1178"/>
      <c r="N49" s="1178"/>
      <c r="O49" s="1178"/>
      <c r="P49" s="1178"/>
      <c r="Q49" s="1178"/>
      <c r="R49" s="1178"/>
      <c r="S49" s="1178"/>
      <c r="T49" s="1178"/>
      <c r="U49" s="1180"/>
      <c r="V49" s="1180"/>
      <c r="W49" s="1180"/>
      <c r="X49" s="1180"/>
    </row>
    <row r="50" spans="1:24">
      <c r="A50" s="1180"/>
      <c r="B50" s="1180"/>
      <c r="C50" s="1180"/>
      <c r="D50" s="1180"/>
      <c r="E50" s="1180"/>
      <c r="F50" s="1180"/>
      <c r="G50" s="1180"/>
      <c r="H50" s="1180"/>
      <c r="I50" s="1180"/>
      <c r="J50" s="1180"/>
      <c r="K50" s="1180"/>
      <c r="L50" s="1423" t="s">
        <v>1240</v>
      </c>
      <c r="M50" s="1423"/>
      <c r="N50" s="1423"/>
      <c r="O50" s="1423"/>
      <c r="P50" s="1423" t="s">
        <v>1117</v>
      </c>
      <c r="Q50" s="1423"/>
      <c r="R50" s="1423" t="s">
        <v>626</v>
      </c>
      <c r="S50" s="1423"/>
      <c r="T50" s="1423"/>
      <c r="U50" s="1180"/>
      <c r="V50" s="1180"/>
      <c r="W50" s="1180"/>
      <c r="X50" s="1180"/>
    </row>
    <row r="51" spans="1:24">
      <c r="A51" s="1180"/>
      <c r="B51" s="1180"/>
      <c r="C51" s="1180"/>
      <c r="D51" s="1180"/>
      <c r="E51" s="1180"/>
      <c r="F51" s="1180"/>
      <c r="G51" s="1180"/>
      <c r="H51" s="1180"/>
      <c r="I51" s="1180"/>
      <c r="J51" s="1180"/>
      <c r="K51" s="1180"/>
      <c r="L51" s="1424" t="s">
        <v>1241</v>
      </c>
      <c r="M51" s="1424"/>
      <c r="N51" s="1424" t="s">
        <v>1119</v>
      </c>
      <c r="O51" s="1424"/>
      <c r="P51" s="1424" t="s">
        <v>1120</v>
      </c>
      <c r="Q51" s="1424"/>
      <c r="R51" s="1424" t="s">
        <v>1120</v>
      </c>
      <c r="S51" s="1424"/>
      <c r="T51" s="1424" t="s">
        <v>1242</v>
      </c>
      <c r="U51" s="1180"/>
      <c r="V51" s="1180"/>
      <c r="W51" s="1180"/>
      <c r="X51" s="1180"/>
    </row>
    <row r="52" spans="1:24">
      <c r="A52" s="1180"/>
      <c r="B52" s="1180"/>
      <c r="C52" s="1180"/>
      <c r="D52" s="1180"/>
      <c r="E52" s="1180"/>
      <c r="F52" s="1180"/>
      <c r="G52" s="1180"/>
      <c r="H52" s="1180"/>
      <c r="I52" s="1180"/>
      <c r="J52" s="1180"/>
      <c r="K52" s="1180"/>
      <c r="L52" s="1178"/>
      <c r="M52" s="1178"/>
      <c r="N52" s="1178"/>
      <c r="O52" s="1178"/>
      <c r="P52" s="1178"/>
      <c r="Q52" s="1178"/>
      <c r="R52" s="1178"/>
      <c r="S52" s="1178"/>
      <c r="T52" s="1178"/>
      <c r="U52" s="1180"/>
      <c r="V52" s="1180"/>
      <c r="W52" s="1180"/>
      <c r="X52" s="1180"/>
    </row>
    <row r="53" spans="1:24" ht="13.5" thickBot="1">
      <c r="A53" s="1180"/>
      <c r="B53" s="1180"/>
      <c r="C53" s="1180"/>
      <c r="D53" s="1180"/>
      <c r="E53" s="1180"/>
      <c r="F53" s="1180"/>
      <c r="G53" s="1180"/>
      <c r="H53" s="1180"/>
      <c r="I53" s="1180"/>
      <c r="J53" s="1180"/>
      <c r="K53" s="1180"/>
      <c r="L53" s="1423">
        <v>1</v>
      </c>
      <c r="M53" s="1178"/>
      <c r="N53" s="1179" t="s">
        <v>1217</v>
      </c>
      <c r="O53" s="1178"/>
      <c r="P53" s="2275">
        <f>SCH_C2!E26</f>
        <v>51048894</v>
      </c>
      <c r="Q53" s="1178"/>
      <c r="R53" s="2275">
        <f ca="1">SCH_C2!H26</f>
        <v>63698977</v>
      </c>
      <c r="S53" s="1178"/>
      <c r="T53" s="2275">
        <f ca="1">R53-P53</f>
        <v>12650083</v>
      </c>
      <c r="U53" s="1180"/>
      <c r="V53" s="1180"/>
      <c r="W53" s="1180"/>
      <c r="X53" s="1180"/>
    </row>
    <row r="54" spans="1:24" ht="13.5" thickTop="1">
      <c r="A54" s="1180"/>
      <c r="B54" s="1180"/>
      <c r="C54" s="1180"/>
      <c r="D54" s="1180"/>
      <c r="E54" s="1180"/>
      <c r="F54" s="1180"/>
      <c r="G54" s="1180"/>
      <c r="H54" s="1180"/>
      <c r="I54" s="1180"/>
      <c r="J54" s="1180"/>
      <c r="K54" s="1180"/>
      <c r="L54" s="1423"/>
      <c r="M54" s="1178"/>
      <c r="N54" s="1178"/>
      <c r="O54" s="1178"/>
      <c r="P54" s="1178"/>
      <c r="Q54" s="1178"/>
      <c r="R54" s="1178"/>
      <c r="S54" s="1178"/>
      <c r="T54" s="1178"/>
      <c r="U54" s="1180"/>
      <c r="V54" s="1180"/>
      <c r="W54" s="1180"/>
      <c r="X54" s="1180"/>
    </row>
    <row r="55" spans="1:24">
      <c r="A55" s="1180"/>
      <c r="B55" s="1180"/>
      <c r="C55" s="1180"/>
      <c r="D55" s="1180"/>
      <c r="E55" s="1180"/>
      <c r="F55" s="1180"/>
      <c r="G55" s="1180"/>
      <c r="H55" s="1180"/>
      <c r="I55" s="1180"/>
      <c r="J55" s="1180"/>
      <c r="K55" s="1180"/>
      <c r="L55" s="1178"/>
      <c r="M55" s="1178"/>
      <c r="N55" s="1178"/>
      <c r="O55" s="1178"/>
      <c r="P55" s="1178"/>
      <c r="Q55" s="1178"/>
      <c r="R55" s="1178"/>
      <c r="S55" s="1178"/>
      <c r="T55" s="1178"/>
      <c r="U55" s="1180"/>
      <c r="V55" s="1180"/>
      <c r="W55" s="1180"/>
      <c r="X55" s="1180"/>
    </row>
    <row r="56" spans="1:24">
      <c r="A56" s="1180"/>
      <c r="B56" s="1180"/>
      <c r="C56" s="1180"/>
      <c r="D56" s="1180"/>
      <c r="E56" s="1180"/>
      <c r="F56" s="1180"/>
      <c r="G56" s="1180"/>
      <c r="H56" s="1180"/>
      <c r="I56" s="1180"/>
      <c r="J56" s="1180"/>
      <c r="K56" s="1180"/>
      <c r="L56" s="1178"/>
      <c r="M56" s="1178"/>
      <c r="N56" s="1178"/>
      <c r="O56" s="1178"/>
      <c r="P56" s="1178"/>
      <c r="Q56" s="1178"/>
      <c r="R56" s="1178"/>
      <c r="S56" s="1178"/>
      <c r="T56" s="1178"/>
      <c r="U56" s="1180"/>
      <c r="V56" s="1180"/>
      <c r="W56" s="1180"/>
      <c r="X56" s="1180"/>
    </row>
    <row r="57" spans="1:24">
      <c r="A57" s="1180"/>
      <c r="B57" s="1180"/>
      <c r="C57" s="1180"/>
      <c r="D57" s="1180"/>
      <c r="E57" s="1180"/>
      <c r="F57" s="1180"/>
      <c r="G57" s="1180"/>
      <c r="H57" s="1180"/>
      <c r="I57" s="1180"/>
      <c r="J57" s="1180"/>
      <c r="K57" s="1180"/>
      <c r="L57" s="1178"/>
      <c r="M57" s="1178"/>
      <c r="N57" s="1178"/>
      <c r="O57" s="1178"/>
      <c r="P57" s="1178"/>
      <c r="Q57" s="1178"/>
      <c r="R57" s="1178"/>
      <c r="S57" s="1178"/>
      <c r="T57" s="1423" t="s">
        <v>1244</v>
      </c>
      <c r="U57" s="1180"/>
      <c r="V57" s="1180"/>
      <c r="W57" s="1180"/>
      <c r="X57" s="1180"/>
    </row>
    <row r="58" spans="1:24">
      <c r="A58" s="1180"/>
      <c r="B58" s="1180"/>
      <c r="C58" s="1180"/>
      <c r="D58" s="1180"/>
      <c r="E58" s="1180"/>
      <c r="F58" s="1180"/>
      <c r="G58" s="1180"/>
      <c r="H58" s="1180"/>
      <c r="I58" s="1180"/>
      <c r="J58" s="1180"/>
      <c r="K58" s="1180"/>
      <c r="L58" s="1180"/>
      <c r="M58" s="1180"/>
      <c r="N58" s="1180"/>
      <c r="O58" s="1180"/>
      <c r="P58" s="1180"/>
      <c r="Q58" s="1180"/>
      <c r="R58" s="1180"/>
      <c r="S58" s="1180"/>
      <c r="T58" s="1180"/>
      <c r="U58" s="1180"/>
      <c r="V58" s="1180"/>
      <c r="W58" s="1180"/>
      <c r="X58" s="1180"/>
    </row>
    <row r="59" spans="1:24">
      <c r="A59" s="1180"/>
      <c r="B59" s="1180"/>
      <c r="C59" s="1180"/>
      <c r="D59" s="1180"/>
      <c r="E59" s="1180"/>
      <c r="F59" s="1180"/>
      <c r="G59" s="1180"/>
      <c r="H59" s="1180"/>
      <c r="I59" s="1180"/>
      <c r="J59" s="1180"/>
      <c r="K59" s="1180"/>
      <c r="L59" s="1180"/>
      <c r="M59" s="1180"/>
      <c r="N59" s="1180"/>
      <c r="O59" s="1180"/>
      <c r="P59" s="1180"/>
      <c r="Q59" s="1180"/>
      <c r="R59" s="1180"/>
      <c r="S59" s="1180"/>
      <c r="T59" s="1180"/>
      <c r="U59" s="1180"/>
      <c r="V59" s="1180"/>
      <c r="W59" s="1180"/>
      <c r="X59" s="1180"/>
    </row>
    <row r="60" spans="1:24">
      <c r="A60" s="1180"/>
      <c r="B60" s="1180"/>
      <c r="C60" s="1180"/>
      <c r="D60" s="1180"/>
      <c r="E60" s="1180"/>
      <c r="F60" s="1180"/>
      <c r="G60" s="1180"/>
      <c r="H60" s="1180"/>
      <c r="I60" s="1180"/>
      <c r="J60" s="1180"/>
      <c r="K60" s="1180"/>
      <c r="L60" s="1180"/>
      <c r="M60" s="1180"/>
      <c r="N60" s="1180"/>
      <c r="O60" s="1180"/>
      <c r="P60" s="1180"/>
      <c r="Q60" s="1180"/>
      <c r="R60" s="2370"/>
      <c r="S60" s="1180"/>
      <c r="T60" s="1180"/>
      <c r="U60" s="1180"/>
      <c r="V60" s="1180"/>
      <c r="W60" s="1180"/>
      <c r="X60" s="1180"/>
    </row>
    <row r="61" spans="1:24">
      <c r="A61" s="1180"/>
      <c r="B61" s="1180"/>
      <c r="C61" s="1180"/>
      <c r="D61" s="1180"/>
      <c r="E61" s="1180"/>
      <c r="F61" s="1180"/>
      <c r="G61" s="1180"/>
      <c r="H61" s="1180"/>
      <c r="I61" s="1180"/>
      <c r="J61" s="1180"/>
      <c r="K61" s="1180"/>
      <c r="L61" s="1180"/>
      <c r="M61" s="1180"/>
      <c r="N61" s="1180"/>
      <c r="O61" s="1180"/>
      <c r="P61" s="1180"/>
      <c r="Q61" s="1180"/>
      <c r="R61" s="1180"/>
      <c r="S61" s="1180"/>
      <c r="T61" s="1180"/>
      <c r="U61" s="1180"/>
      <c r="V61" s="1180"/>
      <c r="W61" s="1180"/>
      <c r="X61" s="1180"/>
    </row>
    <row r="62" spans="1:24">
      <c r="A62" s="1180"/>
      <c r="B62" s="1180"/>
      <c r="C62" s="1180"/>
      <c r="D62" s="1180"/>
      <c r="E62" s="1180"/>
      <c r="F62" s="1180"/>
      <c r="G62" s="1180"/>
      <c r="H62" s="1180"/>
      <c r="I62" s="1180"/>
      <c r="J62" s="1180"/>
      <c r="K62" s="1180"/>
      <c r="L62" s="1180"/>
      <c r="M62" s="1180"/>
      <c r="N62" s="1180"/>
      <c r="O62" s="1180"/>
      <c r="P62" s="1180"/>
      <c r="Q62" s="1180"/>
      <c r="R62" s="1180"/>
      <c r="S62" s="1180"/>
      <c r="T62" s="1180"/>
      <c r="U62" s="1180"/>
      <c r="V62" s="1180"/>
      <c r="W62" s="1180"/>
      <c r="X62" s="1180"/>
    </row>
    <row r="63" spans="1:24">
      <c r="A63" s="1180"/>
      <c r="B63" s="1180"/>
      <c r="C63" s="1180"/>
      <c r="D63" s="1180"/>
      <c r="E63" s="1180"/>
      <c r="F63" s="1180"/>
      <c r="G63" s="1180"/>
      <c r="H63" s="1180"/>
      <c r="I63" s="1180"/>
      <c r="J63" s="1180"/>
      <c r="K63" s="1180"/>
      <c r="L63" s="1180"/>
      <c r="M63" s="1180"/>
      <c r="N63" s="1180"/>
      <c r="O63" s="1180"/>
      <c r="P63" s="1180"/>
      <c r="Q63" s="1180"/>
      <c r="R63" s="1180"/>
      <c r="S63" s="1180"/>
      <c r="T63" s="1180"/>
      <c r="U63" s="1180"/>
      <c r="V63" s="1180"/>
      <c r="W63" s="1180"/>
      <c r="X63" s="1180"/>
    </row>
    <row r="64" spans="1:24">
      <c r="A64" s="1180"/>
      <c r="B64" s="1180"/>
      <c r="C64" s="1180"/>
      <c r="D64" s="1180"/>
      <c r="E64" s="1180"/>
      <c r="F64" s="1180"/>
      <c r="G64" s="1180"/>
      <c r="H64" s="1180"/>
      <c r="I64" s="1180"/>
      <c r="J64" s="1180"/>
      <c r="K64" s="1180"/>
      <c r="L64" s="1180"/>
      <c r="M64" s="1180"/>
      <c r="N64" s="1180"/>
      <c r="O64" s="1180"/>
      <c r="P64" s="1180"/>
      <c r="Q64" s="1180"/>
      <c r="R64" s="1180"/>
      <c r="S64" s="1180"/>
      <c r="T64" s="1180"/>
      <c r="U64" s="1180"/>
      <c r="V64" s="1180"/>
      <c r="W64" s="1180"/>
      <c r="X64" s="1180"/>
    </row>
    <row r="65" spans="1:24">
      <c r="A65" s="1180"/>
      <c r="B65" s="1180"/>
      <c r="C65" s="1180"/>
      <c r="D65" s="1180"/>
      <c r="E65" s="1180"/>
      <c r="F65" s="1180"/>
      <c r="G65" s="1180"/>
      <c r="H65" s="1180"/>
      <c r="I65" s="1180"/>
      <c r="J65" s="1180"/>
      <c r="K65" s="1180"/>
      <c r="L65" s="1180"/>
      <c r="M65" s="1180"/>
      <c r="N65" s="1180"/>
      <c r="O65" s="1180"/>
      <c r="P65" s="1180"/>
      <c r="Q65" s="1180"/>
      <c r="R65" s="1180"/>
      <c r="S65" s="1180"/>
      <c r="T65" s="1180"/>
      <c r="U65" s="1180"/>
      <c r="V65" s="1180"/>
      <c r="W65" s="1180"/>
      <c r="X65" s="1180"/>
    </row>
    <row r="66" spans="1:24">
      <c r="A66" s="1180"/>
      <c r="B66" s="1180"/>
      <c r="C66" s="1180"/>
      <c r="D66" s="1180"/>
      <c r="E66" s="1180"/>
      <c r="F66" s="1180"/>
      <c r="G66" s="1180"/>
      <c r="H66" s="1180"/>
      <c r="I66" s="1180"/>
      <c r="J66" s="1180"/>
      <c r="K66" s="1180"/>
      <c r="L66" s="1180"/>
      <c r="M66" s="1180"/>
      <c r="N66" s="1180"/>
      <c r="O66" s="1180"/>
      <c r="P66" s="1180"/>
      <c r="Q66" s="1180"/>
      <c r="R66" s="1180"/>
      <c r="S66" s="1180"/>
      <c r="T66" s="1180"/>
      <c r="U66" s="1180"/>
      <c r="V66" s="1180"/>
      <c r="W66" s="1180"/>
      <c r="X66" s="1180"/>
    </row>
    <row r="67" spans="1:24">
      <c r="A67" s="1180"/>
      <c r="B67" s="1180"/>
      <c r="C67" s="1180"/>
      <c r="D67" s="1180"/>
      <c r="E67" s="1180"/>
      <c r="F67" s="1180"/>
      <c r="G67" s="1180"/>
      <c r="H67" s="1180"/>
      <c r="I67" s="1180"/>
      <c r="J67" s="1180"/>
      <c r="K67" s="1180"/>
      <c r="L67" s="1180"/>
      <c r="M67" s="1180"/>
      <c r="N67" s="1180"/>
      <c r="O67" s="1180"/>
      <c r="P67" s="1180"/>
      <c r="Q67" s="1180"/>
      <c r="R67" s="1180"/>
      <c r="S67" s="1180"/>
      <c r="T67" s="1180"/>
      <c r="U67" s="1180"/>
      <c r="V67" s="1180"/>
      <c r="W67" s="1180"/>
      <c r="X67" s="1180"/>
    </row>
    <row r="68" spans="1:24">
      <c r="A68" s="1180"/>
      <c r="B68" s="1180"/>
      <c r="C68" s="1180"/>
      <c r="D68" s="1180"/>
      <c r="E68" s="1180"/>
      <c r="F68" s="1180"/>
      <c r="G68" s="1180"/>
      <c r="H68" s="1180"/>
      <c r="I68" s="1180"/>
      <c r="J68" s="1180"/>
      <c r="K68" s="1180"/>
      <c r="L68" s="1180"/>
      <c r="M68" s="1180"/>
      <c r="N68" s="1180"/>
      <c r="O68" s="1180"/>
      <c r="P68" s="1180"/>
      <c r="Q68" s="1180"/>
      <c r="R68" s="1180"/>
      <c r="S68" s="1180"/>
      <c r="T68" s="1180"/>
      <c r="U68" s="1180"/>
      <c r="V68" s="1180"/>
      <c r="W68" s="1180"/>
      <c r="X68" s="1180"/>
    </row>
    <row r="69" spans="1:24">
      <c r="A69" s="1180"/>
      <c r="B69" s="1180"/>
      <c r="C69" s="1180"/>
      <c r="D69" s="1180"/>
      <c r="E69" s="1180"/>
      <c r="F69" s="1180"/>
      <c r="G69" s="1180"/>
      <c r="H69" s="1180"/>
      <c r="I69" s="1180"/>
      <c r="J69" s="1180"/>
      <c r="K69" s="1180"/>
      <c r="L69" s="1180"/>
      <c r="M69" s="1180"/>
      <c r="N69" s="1180"/>
      <c r="O69" s="1180"/>
      <c r="P69" s="1180"/>
      <c r="Q69" s="1180"/>
      <c r="R69" s="1180"/>
      <c r="S69" s="1180"/>
      <c r="T69" s="1180"/>
      <c r="U69" s="1180"/>
      <c r="V69" s="1180"/>
      <c r="W69" s="1180"/>
      <c r="X69" s="1180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7" tint="-0.249977111117893"/>
  </sheetPr>
  <dimension ref="A1:M33"/>
  <sheetViews>
    <sheetView tabSelected="1" view="pageLayout" topLeftCell="A7" zoomScaleNormal="90" workbookViewId="0">
      <selection activeCell="G1" sqref="G1"/>
    </sheetView>
  </sheetViews>
  <sheetFormatPr defaultColWidth="8" defaultRowHeight="12.75"/>
  <cols>
    <col min="1" max="1" width="8" style="18" customWidth="1"/>
    <col min="2" max="2" width="20.42578125" style="18" customWidth="1"/>
    <col min="3" max="3" width="8" style="18" customWidth="1"/>
    <col min="4" max="4" width="10.42578125" style="18" customWidth="1"/>
    <col min="5" max="7" width="8" style="18" customWidth="1"/>
    <col min="8" max="8" width="12.42578125" style="18" customWidth="1"/>
    <col min="9" max="9" width="10" style="18" customWidth="1"/>
    <col min="10" max="10" width="18.42578125" style="18" customWidth="1"/>
    <col min="11" max="12" width="8" style="18" customWidth="1"/>
    <col min="13" max="13" width="2.42578125" style="18" customWidth="1"/>
    <col min="14" max="14" width="42.140625" style="18" customWidth="1"/>
    <col min="15" max="15" width="3.85546875" style="18" customWidth="1"/>
    <col min="16" max="16" width="16" style="18" customWidth="1"/>
    <col min="17" max="17" width="1.85546875" style="18" customWidth="1"/>
    <col min="18" max="18" width="18.140625" style="18" customWidth="1"/>
    <col min="19" max="19" width="2.28515625" style="18" customWidth="1"/>
    <col min="20" max="20" width="18.7109375" style="18" customWidth="1"/>
    <col min="21" max="16384" width="8" style="18"/>
  </cols>
  <sheetData>
    <row r="1" spans="1:13">
      <c r="A1" s="2087" t="str">
        <f>LOGO!B5</f>
        <v>DUKE ENERGY KENTUCKY, INC.</v>
      </c>
      <c r="B1" s="2195"/>
      <c r="C1" s="2195"/>
      <c r="D1" s="2195"/>
      <c r="E1" s="2195"/>
      <c r="F1" s="2195"/>
      <c r="G1" s="2195"/>
      <c r="H1" s="2195"/>
      <c r="I1" s="2195"/>
      <c r="J1" s="2195"/>
      <c r="K1" s="1180"/>
      <c r="L1" s="1180"/>
      <c r="M1" s="1180"/>
    </row>
    <row r="2" spans="1:13">
      <c r="A2" s="2087" t="str">
        <f>LOGO!B6</f>
        <v>CASE NO. 2017-00321</v>
      </c>
      <c r="B2" s="2195"/>
      <c r="C2" s="2195"/>
      <c r="D2" s="2195"/>
      <c r="E2" s="2195"/>
      <c r="F2" s="2195"/>
      <c r="G2" s="2195"/>
      <c r="H2" s="2195"/>
      <c r="I2" s="2195"/>
      <c r="J2" s="2195"/>
      <c r="K2" s="1180"/>
      <c r="L2" s="1180"/>
      <c r="M2" s="1180"/>
    </row>
    <row r="3" spans="1:13">
      <c r="A3" s="2371" t="s">
        <v>1822</v>
      </c>
      <c r="B3" s="2195"/>
      <c r="C3" s="2195"/>
      <c r="D3" s="2195"/>
      <c r="E3" s="2195"/>
      <c r="F3" s="2195"/>
      <c r="G3" s="2195"/>
      <c r="H3" s="2195"/>
      <c r="I3" s="2195"/>
      <c r="J3" s="2195"/>
      <c r="K3" s="1180"/>
      <c r="L3" s="1180"/>
      <c r="M3" s="1180"/>
    </row>
    <row r="4" spans="1:13">
      <c r="A4" s="2087" t="str">
        <f>LOGO!B8</f>
        <v>FOR THE TWELVE MONTHS ENDED MARCH 31, 2019</v>
      </c>
      <c r="B4" s="2195"/>
      <c r="C4" s="2195"/>
      <c r="D4" s="2195"/>
      <c r="E4" s="2195"/>
      <c r="F4" s="2195"/>
      <c r="G4" s="2195"/>
      <c r="H4" s="2195"/>
      <c r="I4" s="2195"/>
      <c r="J4" s="2195"/>
      <c r="K4" s="1180"/>
      <c r="L4" s="1180"/>
      <c r="M4" s="1180"/>
    </row>
    <row r="5" spans="1:13">
      <c r="A5" s="1180"/>
      <c r="B5" s="1180"/>
      <c r="C5" s="1180"/>
      <c r="D5" s="1180"/>
      <c r="E5" s="1180"/>
      <c r="F5" s="1180"/>
      <c r="G5" s="1180"/>
      <c r="H5" s="1180"/>
      <c r="I5" s="1180"/>
      <c r="J5" s="1180"/>
      <c r="K5" s="1180"/>
      <c r="L5" s="1180"/>
      <c r="M5" s="1180"/>
    </row>
    <row r="6" spans="1:13">
      <c r="A6" s="2206" t="str">
        <f>DataB</f>
        <v>DATA: "X" BASE PERIOD  "X" FORECASTED PERIOD</v>
      </c>
      <c r="B6" s="1180"/>
      <c r="C6" s="1180"/>
      <c r="D6" s="1180"/>
      <c r="E6" s="1180"/>
      <c r="F6" s="1180"/>
      <c r="G6" s="1180"/>
      <c r="H6" s="1180"/>
      <c r="I6" s="2196" t="s">
        <v>1220</v>
      </c>
      <c r="J6" s="1180"/>
      <c r="K6" s="1180"/>
      <c r="L6" s="1180"/>
      <c r="M6" s="1180"/>
    </row>
    <row r="7" spans="1:13">
      <c r="A7" s="2206" t="str">
        <f>LOGO!B15</f>
        <v xml:space="preserve">TYPE OF FILING:  "X" ORIGINAL   UPDATED    REVISED  </v>
      </c>
      <c r="B7" s="1180"/>
      <c r="C7" s="1180"/>
      <c r="D7" s="1180"/>
      <c r="E7" s="1180"/>
      <c r="F7" s="1180"/>
      <c r="G7" s="1180"/>
      <c r="H7" s="1180"/>
      <c r="I7" s="1179" t="s">
        <v>620</v>
      </c>
      <c r="J7" s="1180"/>
      <c r="K7" s="1180"/>
      <c r="L7" s="1180"/>
      <c r="M7" s="1180"/>
    </row>
    <row r="8" spans="1:13">
      <c r="A8" s="1179" t="s">
        <v>1879</v>
      </c>
      <c r="B8" s="1180"/>
      <c r="C8" s="1180"/>
      <c r="D8" s="1180"/>
      <c r="E8" s="1180"/>
      <c r="F8" s="1180"/>
      <c r="G8" s="1180"/>
      <c r="H8" s="1180"/>
      <c r="I8" s="1179" t="s">
        <v>622</v>
      </c>
      <c r="J8" s="1180"/>
      <c r="K8" s="1180"/>
      <c r="L8" s="1180"/>
      <c r="M8" s="1180"/>
    </row>
    <row r="9" spans="1:13">
      <c r="A9" s="1180"/>
      <c r="B9" s="1180"/>
      <c r="C9" s="1180"/>
      <c r="D9" s="1180"/>
      <c r="E9" s="1180"/>
      <c r="F9" s="1180"/>
      <c r="G9" s="1180"/>
      <c r="H9" s="1180"/>
      <c r="I9" s="1179" t="str">
        <f>_WIT10</f>
        <v>R. H. PRATT</v>
      </c>
      <c r="J9" s="1180"/>
      <c r="K9" s="1180"/>
      <c r="L9" s="1180"/>
      <c r="M9" s="1180"/>
    </row>
    <row r="10" spans="1:13">
      <c r="A10" s="2197"/>
      <c r="B10" s="2197"/>
      <c r="C10" s="2197"/>
      <c r="D10" s="2197"/>
      <c r="E10" s="2197"/>
      <c r="F10" s="2197"/>
      <c r="G10" s="2197"/>
      <c r="H10" s="2197"/>
      <c r="I10" s="2197"/>
      <c r="J10" s="2197"/>
      <c r="K10" s="1179"/>
      <c r="L10" s="1180"/>
      <c r="M10" s="1180"/>
    </row>
    <row r="11" spans="1:13">
      <c r="A11" s="1180"/>
      <c r="B11" s="1180"/>
      <c r="C11" s="1180"/>
      <c r="D11" s="1180"/>
      <c r="E11" s="1180"/>
      <c r="F11" s="1180"/>
      <c r="G11" s="1180"/>
      <c r="H11" s="1180"/>
      <c r="I11" s="1180"/>
      <c r="J11" s="1180"/>
      <c r="K11" s="1180"/>
      <c r="L11" s="1180"/>
      <c r="M11" s="1180"/>
    </row>
    <row r="12" spans="1:13">
      <c r="A12" s="1179" t="s">
        <v>1246</v>
      </c>
      <c r="B12" s="1180"/>
      <c r="C12" s="1180"/>
      <c r="D12" s="1180"/>
      <c r="E12" s="1180"/>
      <c r="F12" s="1180"/>
      <c r="G12" s="1180"/>
      <c r="H12" s="1180"/>
      <c r="I12" s="1180"/>
      <c r="J12" s="2198" t="s">
        <v>364</v>
      </c>
      <c r="K12" s="1180"/>
      <c r="L12" s="1180"/>
      <c r="M12" s="1180"/>
    </row>
    <row r="13" spans="1:13">
      <c r="A13" s="2197"/>
      <c r="B13" s="2197"/>
      <c r="C13" s="2197"/>
      <c r="D13" s="2197"/>
      <c r="E13" s="2197"/>
      <c r="F13" s="2197"/>
      <c r="G13" s="2197"/>
      <c r="H13" s="2197"/>
      <c r="I13" s="2197"/>
      <c r="J13" s="2197"/>
      <c r="K13" s="1179"/>
      <c r="L13" s="1180"/>
      <c r="M13" s="1180"/>
    </row>
    <row r="14" spans="1:13">
      <c r="A14" s="1180"/>
      <c r="B14" s="1180"/>
      <c r="C14" s="1180"/>
      <c r="D14" s="1180"/>
      <c r="E14" s="1180"/>
      <c r="F14" s="1180"/>
      <c r="G14" s="1180"/>
      <c r="H14" s="1180"/>
      <c r="I14" s="1180"/>
      <c r="J14" s="2199"/>
      <c r="K14" s="1180"/>
      <c r="L14" s="1180"/>
      <c r="M14" s="1180"/>
    </row>
    <row r="15" spans="1:13">
      <c r="A15" s="1581" t="s">
        <v>418</v>
      </c>
      <c r="B15" s="1180"/>
      <c r="C15" s="1180"/>
      <c r="D15" s="1180"/>
      <c r="E15" s="1180"/>
      <c r="F15" s="1180"/>
      <c r="G15" s="1180"/>
      <c r="H15" s="1180"/>
      <c r="I15" s="1180"/>
      <c r="J15" s="1180"/>
      <c r="K15" s="1180"/>
      <c r="L15" s="1180"/>
      <c r="M15" s="1180"/>
    </row>
    <row r="16" spans="1:13">
      <c r="A16" s="1581"/>
      <c r="B16" s="1180"/>
      <c r="C16" s="1180"/>
      <c r="D16" s="1180"/>
      <c r="E16" s="1180"/>
      <c r="F16" s="1180"/>
      <c r="G16" s="1180"/>
      <c r="H16" s="1180"/>
      <c r="I16" s="1180"/>
      <c r="J16" s="1180"/>
      <c r="K16" s="1180"/>
      <c r="L16" s="1180"/>
      <c r="M16" s="1180"/>
    </row>
    <row r="17" spans="1:13">
      <c r="A17" s="1179"/>
      <c r="B17" s="1180"/>
      <c r="C17" s="1180"/>
      <c r="D17" s="1180"/>
      <c r="E17" s="1180"/>
      <c r="F17" s="1180"/>
      <c r="G17" s="1180"/>
      <c r="H17" s="2199"/>
      <c r="I17" s="1180"/>
      <c r="J17" s="1180"/>
      <c r="K17" s="1180"/>
      <c r="L17" s="1180"/>
      <c r="M17" s="1180"/>
    </row>
    <row r="18" spans="1:13">
      <c r="A18" s="1502"/>
      <c r="B18" s="1180"/>
      <c r="C18" s="1180"/>
      <c r="D18" s="1180"/>
      <c r="E18" s="1180"/>
      <c r="F18" s="1180"/>
      <c r="G18" s="1180"/>
      <c r="H18" s="2170"/>
      <c r="I18" s="1180"/>
      <c r="J18" s="1180"/>
      <c r="K18" s="1180"/>
      <c r="L18" s="1180"/>
      <c r="M18" s="1180"/>
    </row>
    <row r="19" spans="1:13">
      <c r="A19" s="1180"/>
      <c r="B19" s="1180"/>
      <c r="C19" s="1180"/>
      <c r="D19" s="1180"/>
      <c r="E19" s="1180"/>
      <c r="F19" s="1180"/>
      <c r="G19" s="1180"/>
      <c r="H19" s="1180"/>
      <c r="I19" s="1180"/>
      <c r="J19" s="1180"/>
      <c r="K19" s="1180"/>
      <c r="L19" s="1180"/>
      <c r="M19" s="1180"/>
    </row>
    <row r="20" spans="1:13">
      <c r="A20" s="396" t="s">
        <v>419</v>
      </c>
      <c r="B20" s="1180"/>
      <c r="C20" s="1180"/>
      <c r="D20" s="1180"/>
      <c r="E20" s="1180"/>
      <c r="F20" s="1180"/>
      <c r="G20" s="1180"/>
      <c r="H20" s="1180"/>
      <c r="I20" s="1426"/>
      <c r="J20" s="1375">
        <v>0</v>
      </c>
      <c r="K20" s="1180"/>
      <c r="L20" s="1180"/>
      <c r="M20" s="1180"/>
    </row>
    <row r="21" spans="1:13">
      <c r="A21" s="1180"/>
      <c r="B21" s="1180"/>
      <c r="C21" s="1180"/>
      <c r="D21" s="1180"/>
      <c r="E21" s="1180"/>
      <c r="F21" s="1180"/>
      <c r="G21" s="1180"/>
      <c r="H21" s="1180"/>
      <c r="I21" s="1180"/>
      <c r="J21" s="1426"/>
      <c r="K21" s="1180"/>
      <c r="L21" s="1180"/>
      <c r="M21" s="1180"/>
    </row>
    <row r="22" spans="1:13">
      <c r="A22" s="1180"/>
      <c r="B22" s="1180"/>
      <c r="C22" s="1180"/>
      <c r="D22" s="1180"/>
      <c r="E22" s="1180"/>
      <c r="F22" s="1180"/>
      <c r="G22" s="1180"/>
      <c r="H22" s="1180"/>
      <c r="I22" s="1180"/>
      <c r="J22" s="1180"/>
      <c r="K22" s="1180"/>
      <c r="L22" s="1180"/>
      <c r="M22" s="1180"/>
    </row>
    <row r="23" spans="1:13">
      <c r="A23" s="1179" t="s">
        <v>266</v>
      </c>
      <c r="B23" s="1180"/>
      <c r="C23" s="1180"/>
      <c r="D23" s="1180"/>
      <c r="E23" s="1180"/>
      <c r="F23" s="1180"/>
      <c r="G23" s="1180"/>
      <c r="H23" s="1180"/>
      <c r="I23" s="1180"/>
      <c r="J23" s="1425">
        <f>VLOOKUP(D30,ALLOCTABLE,2)/100</f>
        <v>1</v>
      </c>
      <c r="K23" s="1180"/>
      <c r="L23" s="1180"/>
      <c r="M23" s="1180"/>
    </row>
    <row r="24" spans="1:13">
      <c r="A24" s="1180"/>
      <c r="B24" s="1180"/>
      <c r="C24" s="1180"/>
      <c r="D24" s="1180"/>
      <c r="E24" s="1180"/>
      <c r="F24" s="1180"/>
      <c r="G24" s="1180"/>
      <c r="H24" s="1180"/>
      <c r="I24" s="1180"/>
      <c r="J24" s="1426"/>
      <c r="K24" s="1180"/>
      <c r="L24" s="1180"/>
      <c r="M24" s="1180"/>
    </row>
    <row r="25" spans="1:13">
      <c r="A25" s="1180"/>
      <c r="B25" s="1180"/>
      <c r="C25" s="1180"/>
      <c r="D25" s="1180"/>
      <c r="E25" s="1180"/>
      <c r="F25" s="1180"/>
      <c r="G25" s="1180"/>
      <c r="H25" s="1180"/>
      <c r="I25" s="1180"/>
      <c r="J25" s="1180"/>
      <c r="K25" s="1180"/>
      <c r="L25" s="1180"/>
      <c r="M25" s="1180"/>
    </row>
    <row r="26" spans="1:13" ht="15">
      <c r="A26" s="1179" t="s">
        <v>1236</v>
      </c>
      <c r="B26" s="1180"/>
      <c r="C26" s="1180"/>
      <c r="D26" s="1180"/>
      <c r="E26" s="1180"/>
      <c r="F26" s="1179" t="s">
        <v>1213</v>
      </c>
      <c r="G26" s="1180"/>
      <c r="H26" s="1180"/>
      <c r="I26" s="1426"/>
      <c r="J26" s="1427">
        <f>ROUND(J20*J23,0)</f>
        <v>0</v>
      </c>
      <c r="K26" s="1180"/>
      <c r="L26" s="1180"/>
      <c r="M26" s="1180"/>
    </row>
    <row r="27" spans="1:13">
      <c r="A27" s="1180"/>
      <c r="B27" s="1180"/>
      <c r="C27" s="1180"/>
      <c r="D27" s="1180"/>
      <c r="E27" s="1180"/>
      <c r="F27" s="1180"/>
      <c r="G27" s="1180"/>
      <c r="H27" s="1180"/>
      <c r="I27" s="1180"/>
      <c r="J27" s="1426"/>
      <c r="K27" s="1180"/>
      <c r="L27" s="1180"/>
      <c r="M27" s="1180"/>
    </row>
    <row r="28" spans="1:13">
      <c r="A28" s="1180"/>
      <c r="B28" s="1180"/>
      <c r="C28" s="1180"/>
      <c r="D28" s="1180"/>
      <c r="E28" s="1180"/>
      <c r="F28" s="1180"/>
      <c r="G28" s="1180"/>
      <c r="H28" s="1180"/>
      <c r="I28" s="1180"/>
      <c r="J28" s="1180"/>
      <c r="K28" s="1180"/>
      <c r="L28" s="1180"/>
      <c r="M28" s="1180"/>
    </row>
    <row r="29" spans="1:13">
      <c r="A29" s="1180"/>
      <c r="B29" s="1180"/>
      <c r="C29" s="1180"/>
      <c r="D29" s="1180"/>
      <c r="E29" s="1180"/>
      <c r="F29" s="1180"/>
      <c r="G29" s="1180"/>
      <c r="H29" s="1180"/>
      <c r="I29" s="1180"/>
      <c r="J29" s="1180"/>
      <c r="K29" s="1180"/>
      <c r="L29" s="1180"/>
      <c r="M29" s="1180"/>
    </row>
    <row r="30" spans="1:13">
      <c r="A30" s="1179" t="s">
        <v>1237</v>
      </c>
      <c r="B30" s="1180"/>
      <c r="C30" s="1180"/>
      <c r="D30" s="2149" t="s">
        <v>593</v>
      </c>
      <c r="E30" s="1180"/>
      <c r="F30" s="1180"/>
      <c r="G30" s="1180"/>
      <c r="H30" s="1180"/>
      <c r="I30" s="1180"/>
      <c r="J30" s="1180"/>
      <c r="K30" s="1180"/>
      <c r="L30" s="1180"/>
      <c r="M30" s="1180"/>
    </row>
    <row r="31" spans="1:13">
      <c r="A31" s="1179"/>
      <c r="B31" s="1180"/>
      <c r="C31" s="1180"/>
      <c r="D31" s="1180"/>
      <c r="E31" s="1180"/>
      <c r="F31" s="1180"/>
      <c r="G31" s="1180"/>
      <c r="H31" s="1180"/>
      <c r="I31" s="1180"/>
      <c r="J31" s="1180"/>
      <c r="K31" s="1180"/>
      <c r="L31" s="1180"/>
      <c r="M31" s="1180"/>
    </row>
    <row r="32" spans="1:13">
      <c r="A32" s="1180"/>
      <c r="B32" s="1180"/>
      <c r="C32" s="1180"/>
      <c r="D32" s="1180"/>
      <c r="E32" s="1180"/>
      <c r="F32" s="1180"/>
      <c r="G32" s="1180"/>
      <c r="H32" s="1180"/>
      <c r="I32" s="1180"/>
      <c r="J32" s="1180"/>
      <c r="K32" s="1180"/>
      <c r="L32" s="1180"/>
      <c r="M32" s="1180"/>
    </row>
    <row r="33" spans="1:13">
      <c r="A33" s="1180"/>
      <c r="B33" s="1180"/>
      <c r="C33" s="1180"/>
      <c r="D33" s="1180"/>
      <c r="E33" s="1180"/>
      <c r="F33" s="1180"/>
      <c r="G33" s="1180"/>
      <c r="H33" s="1180"/>
      <c r="I33" s="1180"/>
      <c r="J33" s="1180"/>
      <c r="K33" s="1180"/>
      <c r="L33" s="1180"/>
      <c r="M33" s="1180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tabColor theme="7" tint="-0.249977111117893"/>
  </sheetPr>
  <dimension ref="A1:V69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8" style="18" customWidth="1"/>
    <col min="2" max="2" width="20.42578125" style="18" customWidth="1"/>
    <col min="3" max="3" width="8" style="18" customWidth="1"/>
    <col min="4" max="4" width="10.42578125" style="18" customWidth="1"/>
    <col min="5" max="7" width="8" style="18" customWidth="1"/>
    <col min="8" max="8" width="12.42578125" style="18" customWidth="1"/>
    <col min="9" max="9" width="10" style="18" customWidth="1"/>
    <col min="10" max="10" width="18.42578125" style="18" customWidth="1"/>
    <col min="11" max="12" width="8" style="18" customWidth="1"/>
    <col min="13" max="13" width="2.42578125" style="18" customWidth="1"/>
    <col min="14" max="14" width="42.140625" style="18" customWidth="1"/>
    <col min="15" max="15" width="3.85546875" style="18" customWidth="1"/>
    <col min="16" max="16" width="16" style="18" customWidth="1"/>
    <col min="17" max="17" width="1.85546875" style="18" customWidth="1"/>
    <col min="18" max="18" width="18.140625" style="18" customWidth="1"/>
    <col min="19" max="19" width="2.28515625" style="18" customWidth="1"/>
    <col min="20" max="20" width="18.85546875" style="18" customWidth="1"/>
    <col min="21" max="16384" width="8" style="18"/>
  </cols>
  <sheetData>
    <row r="1" spans="1:22">
      <c r="A1" s="2087" t="str">
        <f>LOGO!B5</f>
        <v>DUKE ENERGY KENTUCKY, INC.</v>
      </c>
      <c r="B1" s="2195"/>
      <c r="C1" s="2195"/>
      <c r="D1" s="2195"/>
      <c r="E1" s="2195"/>
      <c r="F1" s="2195"/>
      <c r="G1" s="2195"/>
      <c r="H1" s="2195"/>
      <c r="I1" s="2195"/>
      <c r="J1" s="2195"/>
      <c r="K1" s="1180"/>
      <c r="L1" s="1180"/>
      <c r="M1" s="1180"/>
      <c r="N1" s="1180"/>
      <c r="O1" s="1180"/>
      <c r="P1" s="1180"/>
      <c r="Q1" s="1180"/>
      <c r="R1" s="1180"/>
      <c r="S1" s="1180"/>
      <c r="T1" s="1180"/>
      <c r="U1" s="1180"/>
      <c r="V1" s="1180"/>
    </row>
    <row r="2" spans="1:22">
      <c r="A2" s="2087" t="str">
        <f>LOGO!B6</f>
        <v>CASE NO. 2017-00321</v>
      </c>
      <c r="B2" s="2195"/>
      <c r="C2" s="2195"/>
      <c r="D2" s="2195"/>
      <c r="E2" s="2195"/>
      <c r="F2" s="2195"/>
      <c r="G2" s="2195"/>
      <c r="H2" s="2195"/>
      <c r="I2" s="2195"/>
      <c r="J2" s="2195"/>
      <c r="K2" s="1180"/>
      <c r="L2" s="1180"/>
      <c r="M2" s="1180"/>
      <c r="N2" s="1180"/>
      <c r="O2" s="1180"/>
      <c r="P2" s="1180"/>
      <c r="Q2" s="1180"/>
      <c r="R2" s="1180"/>
      <c r="S2" s="1180"/>
      <c r="T2" s="1180"/>
      <c r="U2" s="1180"/>
      <c r="V2" s="1180"/>
    </row>
    <row r="3" spans="1:22">
      <c r="A3" s="2166" t="s">
        <v>183</v>
      </c>
      <c r="B3" s="2195"/>
      <c r="C3" s="2195"/>
      <c r="D3" s="2195"/>
      <c r="E3" s="2195"/>
      <c r="F3" s="2195"/>
      <c r="G3" s="2195"/>
      <c r="H3" s="2195"/>
      <c r="I3" s="2195"/>
      <c r="J3" s="2195"/>
      <c r="K3" s="1180"/>
      <c r="L3" s="1180"/>
      <c r="M3" s="1180"/>
      <c r="N3" s="1180"/>
      <c r="O3" s="1180"/>
      <c r="P3" s="1180"/>
      <c r="Q3" s="1180"/>
      <c r="R3" s="1180"/>
      <c r="S3" s="1180"/>
      <c r="T3" s="1180"/>
      <c r="U3" s="1180"/>
      <c r="V3" s="1180"/>
    </row>
    <row r="4" spans="1:22">
      <c r="A4" s="2087" t="str">
        <f>LOGO!B8</f>
        <v>FOR THE TWELVE MONTHS ENDED MARCH 31, 2019</v>
      </c>
      <c r="B4" s="2195"/>
      <c r="C4" s="2195"/>
      <c r="D4" s="2195"/>
      <c r="E4" s="2195"/>
      <c r="F4" s="2195"/>
      <c r="G4" s="2195"/>
      <c r="H4" s="2195"/>
      <c r="I4" s="2195"/>
      <c r="J4" s="2195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</row>
    <row r="5" spans="1:22">
      <c r="A5" s="1180"/>
      <c r="B5" s="1180"/>
      <c r="C5" s="1180"/>
      <c r="D5" s="1180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80"/>
      <c r="U5" s="1180"/>
      <c r="V5" s="1180"/>
    </row>
    <row r="6" spans="1:22">
      <c r="A6" s="2206" t="str">
        <f>DataB</f>
        <v>DATA: "X" BASE PERIOD  "X" FORECASTED PERIOD</v>
      </c>
      <c r="B6" s="1180"/>
      <c r="C6" s="1180"/>
      <c r="D6" s="1180"/>
      <c r="E6" s="1180"/>
      <c r="F6" s="1180"/>
      <c r="G6" s="1180"/>
      <c r="H6" s="1180"/>
      <c r="I6" s="2196" t="s">
        <v>1221</v>
      </c>
      <c r="J6" s="1180"/>
      <c r="K6" s="1180"/>
      <c r="L6" s="1180"/>
      <c r="M6" s="1180"/>
      <c r="N6" s="1180"/>
      <c r="O6" s="1180"/>
      <c r="P6" s="1180"/>
      <c r="Q6" s="1180"/>
      <c r="R6" s="1180"/>
      <c r="S6" s="1180"/>
      <c r="T6" s="1180"/>
      <c r="U6" s="1180"/>
      <c r="V6" s="1180"/>
    </row>
    <row r="7" spans="1:22">
      <c r="A7" s="2206" t="str">
        <f>LOGO!B15</f>
        <v xml:space="preserve">TYPE OF FILING:  "X" ORIGINAL   UPDATED    REVISED  </v>
      </c>
      <c r="B7" s="1180"/>
      <c r="C7" s="1180"/>
      <c r="D7" s="1180"/>
      <c r="E7" s="1180"/>
      <c r="F7" s="1180"/>
      <c r="G7" s="1180"/>
      <c r="H7" s="1180"/>
      <c r="I7" s="1179" t="s">
        <v>620</v>
      </c>
      <c r="J7" s="1180"/>
      <c r="K7" s="1180"/>
      <c r="L7" s="1180"/>
      <c r="M7" s="1180"/>
      <c r="N7" s="1180"/>
      <c r="O7" s="1180"/>
      <c r="P7" s="1180"/>
      <c r="Q7" s="1180"/>
      <c r="R7" s="1180"/>
      <c r="S7" s="1180"/>
      <c r="T7" s="1180"/>
      <c r="U7" s="1180"/>
      <c r="V7" s="1180"/>
    </row>
    <row r="8" spans="1:22">
      <c r="A8" s="1179" t="s">
        <v>1547</v>
      </c>
      <c r="B8" s="1180"/>
      <c r="C8" s="1180"/>
      <c r="D8" s="1180"/>
      <c r="E8" s="1180"/>
      <c r="F8" s="1180"/>
      <c r="G8" s="1180"/>
      <c r="H8" s="1180"/>
      <c r="I8" s="1179" t="s">
        <v>622</v>
      </c>
      <c r="J8" s="1180"/>
      <c r="K8" s="1180"/>
      <c r="L8" s="1180"/>
      <c r="M8" s="1180"/>
      <c r="N8" s="1180"/>
      <c r="O8" s="1180"/>
      <c r="P8" s="1180"/>
      <c r="Q8" s="1180"/>
      <c r="R8" s="1180"/>
      <c r="S8" s="1180"/>
      <c r="T8" s="1180"/>
      <c r="U8" s="1180"/>
      <c r="V8" s="1180"/>
    </row>
    <row r="9" spans="1:22">
      <c r="A9" s="1180"/>
      <c r="B9" s="1180"/>
      <c r="C9" s="1180"/>
      <c r="D9" s="1180"/>
      <c r="E9" s="1180"/>
      <c r="F9" s="1180"/>
      <c r="G9" s="1180"/>
      <c r="H9" s="1180"/>
      <c r="I9" s="1179" t="str">
        <f>_WIT10</f>
        <v>R. H. PRATT</v>
      </c>
      <c r="J9" s="1180"/>
      <c r="K9" s="1180"/>
      <c r="L9" s="1180"/>
      <c r="M9" s="1180"/>
      <c r="N9" s="1180"/>
      <c r="O9" s="1180"/>
      <c r="P9" s="1180"/>
      <c r="Q9" s="1180"/>
      <c r="R9" s="1180"/>
      <c r="S9" s="1180"/>
      <c r="T9" s="1180"/>
      <c r="U9" s="1180"/>
      <c r="V9" s="1180"/>
    </row>
    <row r="10" spans="1:22">
      <c r="A10" s="2197"/>
      <c r="B10" s="2197"/>
      <c r="C10" s="2197"/>
      <c r="D10" s="2197"/>
      <c r="E10" s="2197"/>
      <c r="F10" s="2197"/>
      <c r="G10" s="2197"/>
      <c r="H10" s="2197"/>
      <c r="I10" s="2197"/>
      <c r="J10" s="2197"/>
      <c r="K10" s="1179"/>
      <c r="L10" s="1180"/>
      <c r="M10" s="1180"/>
      <c r="N10" s="1180"/>
      <c r="O10" s="1180"/>
      <c r="P10" s="1180"/>
      <c r="Q10" s="1180"/>
      <c r="R10" s="1180"/>
      <c r="S10" s="1180"/>
      <c r="T10" s="1180"/>
      <c r="U10" s="1180"/>
      <c r="V10" s="1180"/>
    </row>
    <row r="11" spans="1:22">
      <c r="A11" s="1180"/>
      <c r="B11" s="1180"/>
      <c r="C11" s="1180"/>
      <c r="D11" s="1180"/>
      <c r="E11" s="1180"/>
      <c r="F11" s="1180"/>
      <c r="G11" s="1180"/>
      <c r="H11" s="1180"/>
      <c r="I11" s="1180"/>
      <c r="J11" s="1180"/>
      <c r="K11" s="1180"/>
      <c r="L11" s="1180"/>
      <c r="M11" s="1180"/>
      <c r="N11" s="1180"/>
      <c r="O11" s="1180"/>
      <c r="P11" s="1180"/>
      <c r="Q11" s="1180"/>
      <c r="R11" s="1180"/>
      <c r="S11" s="1180"/>
      <c r="T11" s="1180"/>
      <c r="U11" s="1180"/>
      <c r="V11" s="1180"/>
    </row>
    <row r="12" spans="1:22">
      <c r="A12" s="1179" t="s">
        <v>1246</v>
      </c>
      <c r="B12" s="1180"/>
      <c r="C12" s="1180"/>
      <c r="D12" s="1180"/>
      <c r="E12" s="1180"/>
      <c r="F12" s="1180"/>
      <c r="G12" s="1180"/>
      <c r="H12" s="1180"/>
      <c r="I12" s="1180"/>
      <c r="J12" s="2198" t="s">
        <v>364</v>
      </c>
      <c r="K12" s="1180"/>
      <c r="L12" s="1180"/>
      <c r="M12" s="1180"/>
      <c r="N12" s="1180"/>
      <c r="O12" s="1180"/>
      <c r="P12" s="1180"/>
      <c r="Q12" s="1180"/>
      <c r="R12" s="1180"/>
      <c r="S12" s="1180"/>
      <c r="T12" s="1180"/>
      <c r="U12" s="1180"/>
      <c r="V12" s="1180"/>
    </row>
    <row r="13" spans="1:22">
      <c r="A13" s="2197"/>
      <c r="B13" s="2197"/>
      <c r="C13" s="2197"/>
      <c r="D13" s="2197"/>
      <c r="E13" s="2197"/>
      <c r="F13" s="2197"/>
      <c r="G13" s="2197"/>
      <c r="H13" s="2197"/>
      <c r="I13" s="2197"/>
      <c r="J13" s="2197"/>
      <c r="K13" s="1179"/>
      <c r="L13" s="1180"/>
      <c r="M13" s="1180"/>
      <c r="N13" s="1180"/>
      <c r="O13" s="1180"/>
      <c r="P13" s="1180"/>
      <c r="Q13" s="1180"/>
      <c r="R13" s="1180"/>
      <c r="S13" s="1180"/>
      <c r="T13" s="1180"/>
      <c r="U13" s="1180"/>
      <c r="V13" s="1180"/>
    </row>
    <row r="14" spans="1:22">
      <c r="A14" s="1180"/>
      <c r="B14" s="1180"/>
      <c r="C14" s="1180"/>
      <c r="D14" s="1180"/>
      <c r="E14" s="1180"/>
      <c r="F14" s="1180"/>
      <c r="G14" s="1180"/>
      <c r="H14" s="1180"/>
      <c r="I14" s="1180"/>
      <c r="J14" s="2199"/>
      <c r="K14" s="1180"/>
      <c r="L14" s="1180"/>
      <c r="M14" s="1180"/>
      <c r="N14" s="1180"/>
      <c r="O14" s="1180"/>
      <c r="P14" s="1180"/>
      <c r="Q14" s="1180"/>
      <c r="R14" s="1180"/>
      <c r="S14" s="1180"/>
      <c r="T14" s="1180"/>
      <c r="U14" s="1180"/>
      <c r="V14" s="1180"/>
    </row>
    <row r="15" spans="1:22">
      <c r="A15" s="1581" t="s">
        <v>194</v>
      </c>
      <c r="B15" s="1180"/>
      <c r="C15" s="1180"/>
      <c r="D15" s="1180"/>
      <c r="E15" s="1180"/>
      <c r="F15" s="1180"/>
      <c r="G15" s="1180"/>
      <c r="H15" s="1180"/>
      <c r="I15" s="1180"/>
      <c r="J15" s="1180"/>
      <c r="K15" s="1180"/>
      <c r="L15" s="1180"/>
      <c r="M15" s="1180"/>
      <c r="N15" s="1180"/>
      <c r="O15" s="1180"/>
      <c r="P15" s="1180"/>
      <c r="Q15" s="1180"/>
      <c r="R15" s="1180"/>
      <c r="S15" s="1180"/>
      <c r="T15" s="1180"/>
      <c r="U15" s="1180"/>
      <c r="V15" s="1180"/>
    </row>
    <row r="16" spans="1:22">
      <c r="A16" s="1581" t="s">
        <v>182</v>
      </c>
      <c r="B16" s="1180"/>
      <c r="C16" s="1180"/>
      <c r="D16" s="1180"/>
      <c r="E16" s="1180"/>
      <c r="F16" s="1180"/>
      <c r="G16" s="1180"/>
      <c r="H16" s="1180"/>
      <c r="I16" s="1180"/>
      <c r="J16" s="1180"/>
      <c r="K16" s="1180"/>
      <c r="L16" s="1180"/>
      <c r="M16" s="1180"/>
      <c r="N16" s="1180"/>
      <c r="O16" s="1180"/>
      <c r="P16" s="1180"/>
      <c r="Q16" s="1180"/>
      <c r="R16" s="1180"/>
      <c r="S16" s="1180"/>
      <c r="T16" s="1180"/>
      <c r="U16" s="1180"/>
      <c r="V16" s="1180"/>
    </row>
    <row r="17" spans="1:22">
      <c r="A17" s="1179"/>
      <c r="B17" s="1180"/>
      <c r="C17" s="1180"/>
      <c r="D17" s="1180"/>
      <c r="E17" s="1180"/>
      <c r="F17" s="1180"/>
      <c r="G17" s="1180"/>
      <c r="H17" s="1180"/>
      <c r="I17" s="1180"/>
      <c r="J17" s="1180"/>
      <c r="K17" s="1180"/>
      <c r="L17" s="1180"/>
      <c r="M17" s="1180"/>
      <c r="N17" s="1180"/>
      <c r="O17" s="1180"/>
      <c r="P17" s="1180"/>
      <c r="Q17" s="1180"/>
      <c r="R17" s="1180"/>
      <c r="S17" s="1180"/>
      <c r="T17" s="1180"/>
      <c r="U17" s="1180"/>
      <c r="V17" s="1180"/>
    </row>
    <row r="18" spans="1:22">
      <c r="A18" s="1179"/>
      <c r="B18" s="1180"/>
      <c r="C18" s="1180"/>
      <c r="D18" s="1180"/>
      <c r="E18" s="1180"/>
      <c r="F18" s="1180"/>
      <c r="G18" s="1180"/>
      <c r="H18" s="1180"/>
      <c r="I18" s="1180"/>
      <c r="J18" s="1180"/>
      <c r="K18" s="1180"/>
      <c r="L18" s="1180"/>
      <c r="M18" s="1180"/>
      <c r="N18" s="1180"/>
      <c r="O18" s="1180"/>
      <c r="P18" s="1180"/>
      <c r="Q18" s="1180"/>
      <c r="R18" s="1180"/>
      <c r="S18" s="1180"/>
      <c r="T18" s="1180"/>
      <c r="U18" s="1180"/>
      <c r="V18" s="1180"/>
    </row>
    <row r="19" spans="1:22">
      <c r="A19" s="1179"/>
      <c r="B19" s="1180"/>
      <c r="C19" s="1180"/>
      <c r="D19" s="1180"/>
      <c r="E19" s="1180"/>
      <c r="F19" s="1180"/>
      <c r="G19" s="1180"/>
      <c r="H19" s="1180"/>
      <c r="I19" s="1180"/>
      <c r="J19" s="1180"/>
      <c r="K19" s="1180"/>
      <c r="L19" s="1180"/>
      <c r="M19" s="1180"/>
      <c r="N19" s="1180"/>
      <c r="O19" s="1180"/>
      <c r="P19" s="1180"/>
      <c r="Q19" s="1180"/>
      <c r="R19" s="1180"/>
      <c r="S19" s="1180"/>
      <c r="T19" s="1180"/>
      <c r="U19" s="1180"/>
      <c r="V19" s="1180"/>
    </row>
    <row r="20" spans="1:22">
      <c r="A20" s="1179"/>
      <c r="B20" s="1180"/>
      <c r="C20" s="1180"/>
      <c r="D20" s="1180"/>
      <c r="E20" s="1180"/>
      <c r="F20" s="1180"/>
      <c r="G20" s="1180"/>
      <c r="H20" s="2199"/>
      <c r="I20" s="1180"/>
      <c r="J20" s="1180"/>
      <c r="K20" s="1180"/>
      <c r="L20" s="1180"/>
      <c r="M20" s="1180"/>
      <c r="N20" s="1180"/>
      <c r="O20" s="1180"/>
      <c r="P20" s="1180"/>
      <c r="Q20" s="1180"/>
      <c r="R20" s="1180"/>
      <c r="S20" s="1180"/>
      <c r="T20" s="1180"/>
      <c r="U20" s="1180"/>
      <c r="V20" s="1180"/>
    </row>
    <row r="21" spans="1:22">
      <c r="A21" s="1502"/>
      <c r="B21" s="1180"/>
      <c r="C21" s="1180"/>
      <c r="D21" s="1180"/>
      <c r="E21" s="1180"/>
      <c r="F21" s="1180"/>
      <c r="G21" s="1180"/>
      <c r="H21" s="2170"/>
      <c r="I21" s="1180"/>
      <c r="J21" s="1180"/>
      <c r="K21" s="1180"/>
      <c r="L21" s="1180"/>
      <c r="M21" s="1180"/>
      <c r="N21" s="1180"/>
      <c r="O21" s="1180"/>
      <c r="P21" s="1180"/>
      <c r="Q21" s="1180"/>
      <c r="R21" s="1180"/>
      <c r="S21" s="1180"/>
      <c r="T21" s="1180"/>
      <c r="U21" s="1180"/>
      <c r="V21" s="1180"/>
    </row>
    <row r="22" spans="1:22">
      <c r="A22" s="1180"/>
      <c r="B22" s="1180"/>
      <c r="C22" s="1180"/>
      <c r="D22" s="1180"/>
      <c r="E22" s="1180"/>
      <c r="F22" s="1180"/>
      <c r="G22" s="1180"/>
      <c r="H22" s="1180"/>
      <c r="I22" s="1180"/>
      <c r="J22" s="1180"/>
      <c r="K22" s="1180"/>
      <c r="L22" s="1180"/>
      <c r="M22" s="1180"/>
      <c r="N22" s="1180"/>
      <c r="O22" s="1180"/>
      <c r="P22" s="1180"/>
      <c r="Q22" s="1180"/>
      <c r="R22" s="1180"/>
      <c r="S22" s="1180"/>
      <c r="T22" s="1180"/>
      <c r="U22" s="1180"/>
      <c r="V22" s="1180"/>
    </row>
    <row r="23" spans="1:22">
      <c r="A23" s="1179" t="s">
        <v>2399</v>
      </c>
      <c r="B23" s="1180"/>
      <c r="C23" s="1180"/>
      <c r="D23" s="1180"/>
      <c r="E23" s="1180"/>
      <c r="F23" s="1180"/>
      <c r="G23" s="1180"/>
      <c r="H23" s="1180"/>
      <c r="I23" s="1426"/>
      <c r="J23" s="1375">
        <f ca="1">T53</f>
        <v>919747</v>
      </c>
      <c r="K23" s="1180"/>
      <c r="L23" s="1180"/>
      <c r="M23" s="1180"/>
      <c r="N23" s="1180"/>
      <c r="O23" s="1180"/>
      <c r="P23" s="1180"/>
      <c r="Q23" s="1180"/>
      <c r="R23" s="1180"/>
      <c r="S23" s="1180"/>
      <c r="T23" s="1180"/>
      <c r="U23" s="1180"/>
      <c r="V23" s="1180"/>
    </row>
    <row r="24" spans="1:22">
      <c r="A24" s="1180"/>
      <c r="B24" s="1180"/>
      <c r="C24" s="1180"/>
      <c r="D24" s="1180"/>
      <c r="E24" s="1180"/>
      <c r="F24" s="1180"/>
      <c r="G24" s="1180"/>
      <c r="H24" s="1180"/>
      <c r="I24" s="1180"/>
      <c r="J24" s="1426"/>
      <c r="K24" s="1180"/>
      <c r="L24" s="1180"/>
      <c r="M24" s="1180"/>
      <c r="N24" s="1180"/>
      <c r="O24" s="1180"/>
      <c r="P24" s="1180"/>
      <c r="Q24" s="1180"/>
      <c r="R24" s="1180"/>
      <c r="S24" s="1180"/>
      <c r="T24" s="1180"/>
      <c r="U24" s="1180"/>
      <c r="V24" s="1180"/>
    </row>
    <row r="25" spans="1:22">
      <c r="A25" s="1180"/>
      <c r="B25" s="1180"/>
      <c r="C25" s="1180"/>
      <c r="D25" s="1180"/>
      <c r="E25" s="1180"/>
      <c r="F25" s="1180"/>
      <c r="G25" s="1180"/>
      <c r="H25" s="1180"/>
      <c r="I25" s="1180"/>
      <c r="J25" s="1180"/>
      <c r="K25" s="1180"/>
      <c r="L25" s="1180"/>
      <c r="M25" s="1180"/>
      <c r="N25" s="1180"/>
      <c r="O25" s="1180"/>
      <c r="P25" s="1180"/>
      <c r="Q25" s="1180"/>
      <c r="R25" s="1180"/>
      <c r="S25" s="1180"/>
      <c r="T25" s="1180"/>
      <c r="U25" s="1180"/>
      <c r="V25" s="1180"/>
    </row>
    <row r="26" spans="1:22">
      <c r="A26" s="1179" t="s">
        <v>266</v>
      </c>
      <c r="B26" s="1180"/>
      <c r="C26" s="1180"/>
      <c r="D26" s="1180"/>
      <c r="E26" s="1180"/>
      <c r="F26" s="1180"/>
      <c r="G26" s="1180"/>
      <c r="H26" s="1180"/>
      <c r="I26" s="1180"/>
      <c r="J26" s="1425">
        <f>VLOOKUP(D33,ALLOCTABLE,2)/100</f>
        <v>1</v>
      </c>
      <c r="K26" s="1180"/>
      <c r="L26" s="1180"/>
      <c r="M26" s="1180"/>
      <c r="N26" s="1180"/>
      <c r="O26" s="1180"/>
      <c r="P26" s="1180"/>
      <c r="Q26" s="1180"/>
      <c r="R26" s="1180"/>
      <c r="S26" s="1180"/>
      <c r="T26" s="1180"/>
      <c r="U26" s="1180"/>
      <c r="V26" s="1180"/>
    </row>
    <row r="27" spans="1:22">
      <c r="A27" s="1180"/>
      <c r="B27" s="1180"/>
      <c r="C27" s="1180"/>
      <c r="D27" s="1180"/>
      <c r="E27" s="1180"/>
      <c r="F27" s="1180"/>
      <c r="G27" s="1180"/>
      <c r="H27" s="1180"/>
      <c r="I27" s="1180"/>
      <c r="J27" s="1426"/>
      <c r="K27" s="1180"/>
      <c r="L27" s="1180"/>
      <c r="M27" s="1180"/>
      <c r="N27" s="1180"/>
      <c r="O27" s="1180"/>
      <c r="P27" s="1180"/>
      <c r="Q27" s="1180"/>
      <c r="R27" s="1180"/>
      <c r="S27" s="1180"/>
      <c r="T27" s="1180"/>
      <c r="U27" s="1180"/>
      <c r="V27" s="1180"/>
    </row>
    <row r="28" spans="1:22">
      <c r="A28" s="1180"/>
      <c r="B28" s="1180"/>
      <c r="C28" s="1180"/>
      <c r="D28" s="1180"/>
      <c r="E28" s="1180"/>
      <c r="F28" s="1180"/>
      <c r="G28" s="1180"/>
      <c r="H28" s="1180"/>
      <c r="I28" s="1180"/>
      <c r="J28" s="1180"/>
      <c r="K28" s="1180"/>
      <c r="L28" s="1180"/>
      <c r="M28" s="1180"/>
      <c r="N28" s="1180"/>
      <c r="O28" s="1180"/>
      <c r="P28" s="1180"/>
      <c r="Q28" s="1180"/>
      <c r="R28" s="1180"/>
      <c r="S28" s="1180"/>
      <c r="T28" s="1180"/>
      <c r="U28" s="1180"/>
      <c r="V28" s="1180"/>
    </row>
    <row r="29" spans="1:22" ht="15">
      <c r="A29" s="1179" t="s">
        <v>1236</v>
      </c>
      <c r="B29" s="1180"/>
      <c r="C29" s="1180"/>
      <c r="D29" s="1180"/>
      <c r="E29" s="1180"/>
      <c r="F29" s="1179" t="s">
        <v>1213</v>
      </c>
      <c r="G29" s="1180"/>
      <c r="H29" s="1180"/>
      <c r="I29" s="1426"/>
      <c r="J29" s="1427">
        <f ca="1">ROUND(J23*J26,0)</f>
        <v>919747</v>
      </c>
      <c r="K29" s="1180"/>
      <c r="L29" s="1180"/>
      <c r="M29" s="1180"/>
      <c r="N29" s="1180"/>
      <c r="O29" s="1180"/>
      <c r="P29" s="1180"/>
      <c r="Q29" s="1180"/>
      <c r="R29" s="1180"/>
      <c r="S29" s="1180"/>
      <c r="T29" s="1180"/>
      <c r="U29" s="1180"/>
      <c r="V29" s="1180"/>
    </row>
    <row r="30" spans="1:22">
      <c r="A30" s="1180"/>
      <c r="B30" s="1180"/>
      <c r="C30" s="1180"/>
      <c r="D30" s="1180"/>
      <c r="E30" s="1180"/>
      <c r="F30" s="1180"/>
      <c r="G30" s="1180"/>
      <c r="H30" s="1180"/>
      <c r="I30" s="1180"/>
      <c r="J30" s="1426"/>
      <c r="K30" s="1180"/>
      <c r="L30" s="1180"/>
      <c r="M30" s="1180"/>
      <c r="N30" s="1180"/>
      <c r="O30" s="1180"/>
      <c r="P30" s="1180"/>
      <c r="Q30" s="1180"/>
      <c r="R30" s="1180"/>
      <c r="S30" s="1180"/>
      <c r="T30" s="1180"/>
      <c r="U30" s="1180"/>
      <c r="V30" s="1180"/>
    </row>
    <row r="31" spans="1:22">
      <c r="A31" s="1180"/>
      <c r="B31" s="1180"/>
      <c r="C31" s="1180"/>
      <c r="D31" s="1180"/>
      <c r="E31" s="1180"/>
      <c r="F31" s="1180"/>
      <c r="G31" s="1180"/>
      <c r="H31" s="1180"/>
      <c r="I31" s="1180"/>
      <c r="J31" s="1180"/>
      <c r="K31" s="1180"/>
      <c r="L31" s="1180"/>
      <c r="M31" s="1180"/>
      <c r="N31" s="1180"/>
      <c r="O31" s="1180"/>
      <c r="P31" s="1180"/>
      <c r="Q31" s="1180"/>
      <c r="R31" s="1180"/>
      <c r="S31" s="1180"/>
      <c r="T31" s="1180"/>
      <c r="U31" s="1180"/>
      <c r="V31" s="1180"/>
    </row>
    <row r="32" spans="1:22">
      <c r="A32" s="1180"/>
      <c r="B32" s="1180"/>
      <c r="C32" s="1180"/>
      <c r="D32" s="1180"/>
      <c r="E32" s="1180"/>
      <c r="F32" s="1180"/>
      <c r="G32" s="1180"/>
      <c r="H32" s="1180"/>
      <c r="I32" s="1180"/>
      <c r="J32" s="1180"/>
      <c r="K32" s="1180"/>
      <c r="L32" s="1180"/>
      <c r="M32" s="1180"/>
      <c r="N32" s="1180"/>
      <c r="O32" s="1180"/>
      <c r="P32" s="1180"/>
      <c r="Q32" s="1180"/>
      <c r="R32" s="1180"/>
      <c r="S32" s="1180"/>
      <c r="T32" s="1180"/>
      <c r="U32" s="1180"/>
      <c r="V32" s="1180"/>
    </row>
    <row r="33" spans="1:22">
      <c r="A33" s="1179" t="s">
        <v>1237</v>
      </c>
      <c r="B33" s="1180"/>
      <c r="C33" s="1180"/>
      <c r="D33" s="2149" t="s">
        <v>593</v>
      </c>
      <c r="E33" s="1180"/>
      <c r="F33" s="1180"/>
      <c r="G33" s="1180"/>
      <c r="H33" s="1180"/>
      <c r="I33" s="1180"/>
      <c r="J33" s="1180"/>
      <c r="K33" s="1180"/>
      <c r="L33" s="1180"/>
      <c r="M33" s="1180"/>
      <c r="N33" s="1180"/>
      <c r="O33" s="1180"/>
      <c r="P33" s="1180"/>
      <c r="Q33" s="1180"/>
      <c r="R33" s="1180"/>
      <c r="S33" s="1180"/>
      <c r="T33" s="1180"/>
      <c r="U33" s="1180"/>
      <c r="V33" s="1180"/>
    </row>
    <row r="34" spans="1:22">
      <c r="A34" s="1179"/>
      <c r="B34" s="1180"/>
      <c r="C34" s="1180"/>
      <c r="D34" s="1180"/>
      <c r="E34" s="1180"/>
      <c r="F34" s="1180"/>
      <c r="G34" s="1180"/>
      <c r="H34" s="1180"/>
      <c r="I34" s="1180"/>
      <c r="J34" s="1180"/>
      <c r="K34" s="1180"/>
      <c r="L34" s="1180"/>
      <c r="M34" s="1180"/>
      <c r="N34" s="1180"/>
      <c r="O34" s="1180"/>
      <c r="P34" s="1180"/>
      <c r="Q34" s="1180"/>
      <c r="R34" s="1180"/>
      <c r="S34" s="1180"/>
      <c r="T34" s="1180"/>
      <c r="U34" s="1180"/>
      <c r="V34" s="1180"/>
    </row>
    <row r="35" spans="1:22">
      <c r="A35" s="1180"/>
      <c r="B35" s="1180"/>
      <c r="C35" s="1180"/>
      <c r="D35" s="1180"/>
      <c r="E35" s="1180"/>
      <c r="F35" s="1180"/>
      <c r="G35" s="1180"/>
      <c r="H35" s="1180"/>
      <c r="I35" s="1180"/>
      <c r="J35" s="1180"/>
      <c r="K35" s="1180"/>
      <c r="L35" s="1180"/>
      <c r="M35" s="1180"/>
      <c r="N35" s="1180"/>
      <c r="O35" s="1180"/>
      <c r="P35" s="1180"/>
      <c r="Q35" s="1180"/>
      <c r="R35" s="1180"/>
      <c r="S35" s="1180"/>
      <c r="T35" s="1180"/>
      <c r="U35" s="1180"/>
      <c r="V35" s="1180"/>
    </row>
    <row r="36" spans="1:22">
      <c r="A36" s="1180"/>
      <c r="B36" s="1180"/>
      <c r="C36" s="1180"/>
      <c r="D36" s="1180"/>
      <c r="E36" s="1180"/>
      <c r="F36" s="1180"/>
      <c r="G36" s="1180"/>
      <c r="H36" s="1180"/>
      <c r="I36" s="1180"/>
      <c r="J36" s="1180"/>
      <c r="K36" s="1180"/>
      <c r="L36" s="1180"/>
      <c r="M36" s="1180"/>
      <c r="N36" s="1180"/>
      <c r="O36" s="1180"/>
      <c r="P36" s="1180"/>
      <c r="Q36" s="1180"/>
      <c r="R36" s="1180"/>
      <c r="S36" s="1180"/>
      <c r="T36" s="1180"/>
      <c r="U36" s="1180"/>
      <c r="V36" s="1180"/>
    </row>
    <row r="37" spans="1:22">
      <c r="A37" s="1180"/>
      <c r="B37" s="1180"/>
      <c r="C37" s="1180"/>
      <c r="D37" s="1180"/>
      <c r="E37" s="1180"/>
      <c r="F37" s="1180"/>
      <c r="G37" s="1180"/>
      <c r="H37" s="1180"/>
      <c r="I37" s="1180"/>
      <c r="J37" s="1180"/>
      <c r="K37" s="1180"/>
      <c r="L37" s="1180"/>
      <c r="M37" s="1180"/>
      <c r="N37" s="1180"/>
      <c r="O37" s="1180"/>
      <c r="P37" s="1180"/>
      <c r="Q37" s="1180"/>
      <c r="R37" s="1180"/>
      <c r="S37" s="1180"/>
      <c r="T37" s="1180"/>
      <c r="U37" s="1180"/>
      <c r="V37" s="1180"/>
    </row>
    <row r="38" spans="1:22">
      <c r="A38" s="1180"/>
      <c r="B38" s="1180"/>
      <c r="C38" s="1180"/>
      <c r="D38" s="1180"/>
      <c r="E38" s="1180"/>
      <c r="F38" s="1180"/>
      <c r="G38" s="1180"/>
      <c r="H38" s="1180"/>
      <c r="I38" s="1180"/>
      <c r="J38" s="1180"/>
      <c r="K38" s="1180"/>
      <c r="L38" s="1180"/>
      <c r="M38" s="1180"/>
      <c r="N38" s="1180"/>
      <c r="O38" s="1180"/>
      <c r="P38" s="1180"/>
      <c r="Q38" s="1180"/>
      <c r="R38" s="1180"/>
      <c r="S38" s="1180"/>
      <c r="T38" s="1180"/>
      <c r="U38" s="1180"/>
      <c r="V38" s="1180"/>
    </row>
    <row r="39" spans="1:22">
      <c r="A39" s="1180"/>
      <c r="B39" s="1180"/>
      <c r="C39" s="1180"/>
      <c r="D39" s="1180"/>
      <c r="E39" s="1180"/>
      <c r="F39" s="1180"/>
      <c r="G39" s="1180"/>
      <c r="H39" s="1180"/>
      <c r="I39" s="1180"/>
      <c r="J39" s="1180"/>
      <c r="K39" s="1180"/>
      <c r="L39" s="1180"/>
      <c r="M39" s="1180"/>
      <c r="N39" s="1180"/>
      <c r="O39" s="1180"/>
      <c r="P39" s="1180"/>
      <c r="Q39" s="1180"/>
      <c r="R39" s="1180"/>
      <c r="S39" s="1180"/>
      <c r="T39" s="1180"/>
      <c r="U39" s="1180"/>
      <c r="V39" s="1180"/>
    </row>
    <row r="40" spans="1:22">
      <c r="A40" s="1180"/>
      <c r="B40" s="1180"/>
      <c r="C40" s="1180"/>
      <c r="D40" s="1180"/>
      <c r="E40" s="1180"/>
      <c r="F40" s="1180"/>
      <c r="G40" s="1180"/>
      <c r="H40" s="1180"/>
      <c r="I40" s="1180"/>
      <c r="J40" s="1180"/>
      <c r="K40" s="1180"/>
      <c r="L40" s="1180"/>
      <c r="M40" s="1180"/>
      <c r="N40" s="1180"/>
      <c r="O40" s="1180"/>
      <c r="P40" s="1180"/>
      <c r="Q40" s="1180"/>
      <c r="R40" s="1180"/>
      <c r="S40" s="1180"/>
      <c r="T40" s="1180"/>
      <c r="U40" s="1180"/>
      <c r="V40" s="1180"/>
    </row>
    <row r="41" spans="1:22">
      <c r="A41" s="1180"/>
      <c r="B41" s="1180"/>
      <c r="C41" s="1180"/>
      <c r="D41" s="1180"/>
      <c r="E41" s="1180"/>
      <c r="F41" s="1180"/>
      <c r="G41" s="1180"/>
      <c r="H41" s="1180"/>
      <c r="I41" s="1180"/>
      <c r="J41" s="1180"/>
      <c r="K41" s="1180"/>
      <c r="L41" s="1180"/>
      <c r="M41" s="1180"/>
      <c r="N41" s="1180"/>
      <c r="O41" s="1180"/>
      <c r="P41" s="1180"/>
      <c r="Q41" s="1180"/>
      <c r="R41" s="1180"/>
      <c r="S41" s="1180"/>
      <c r="T41" s="1180"/>
      <c r="U41" s="1180"/>
      <c r="V41" s="1180"/>
    </row>
    <row r="42" spans="1:22">
      <c r="A42" s="1180"/>
      <c r="B42" s="1180"/>
      <c r="C42" s="1180"/>
      <c r="D42" s="1180"/>
      <c r="E42" s="1180"/>
      <c r="F42" s="1180"/>
      <c r="G42" s="1180"/>
      <c r="H42" s="1180"/>
      <c r="I42" s="1180"/>
      <c r="J42" s="1180"/>
      <c r="K42" s="1180"/>
      <c r="L42" s="1180"/>
      <c r="M42" s="1180"/>
      <c r="N42" s="1180"/>
      <c r="O42" s="1180"/>
      <c r="P42" s="1180"/>
      <c r="Q42" s="1180"/>
      <c r="R42" s="1180"/>
      <c r="S42" s="1180"/>
      <c r="T42" s="1180"/>
      <c r="U42" s="1180"/>
      <c r="V42" s="1180"/>
    </row>
    <row r="43" spans="1:22">
      <c r="A43" s="1180"/>
      <c r="B43" s="1180"/>
      <c r="C43" s="1180"/>
      <c r="D43" s="1180"/>
      <c r="E43" s="1180"/>
      <c r="F43" s="1180"/>
      <c r="G43" s="1180"/>
      <c r="H43" s="1180"/>
      <c r="I43" s="1180"/>
      <c r="J43" s="1180"/>
      <c r="K43" s="1180"/>
      <c r="L43" s="1629" t="str">
        <f>COMPANY</f>
        <v>DUKE ENERGY KENTUCKY, INC.</v>
      </c>
      <c r="M43" s="530"/>
      <c r="N43" s="530"/>
      <c r="O43" s="530"/>
      <c r="P43" s="530"/>
      <c r="Q43" s="530"/>
      <c r="R43" s="1629" t="s">
        <v>1223</v>
      </c>
      <c r="S43" s="530"/>
      <c r="T43" s="1178"/>
      <c r="U43" s="1180"/>
      <c r="V43" s="1180"/>
    </row>
    <row r="44" spans="1:22">
      <c r="A44" s="1180"/>
      <c r="B44" s="1180"/>
      <c r="C44" s="1180"/>
      <c r="D44" s="1180"/>
      <c r="E44" s="1180"/>
      <c r="F44" s="1180"/>
      <c r="G44" s="1180"/>
      <c r="H44" s="1180"/>
      <c r="I44" s="1180"/>
      <c r="J44" s="1180"/>
      <c r="K44" s="1180"/>
      <c r="L44" s="1629" t="str">
        <f>DEPT</f>
        <v>ELECTRIC DEPARTMENT</v>
      </c>
      <c r="M44" s="530"/>
      <c r="N44" s="530"/>
      <c r="O44" s="530"/>
      <c r="P44" s="530"/>
      <c r="Q44" s="530"/>
      <c r="R44" s="1629" t="s">
        <v>1239</v>
      </c>
      <c r="S44" s="530"/>
      <c r="T44" s="1178"/>
      <c r="U44" s="1180"/>
      <c r="V44" s="1180"/>
    </row>
    <row r="45" spans="1:22">
      <c r="A45" s="1180"/>
      <c r="B45" s="1180"/>
      <c r="C45" s="1180"/>
      <c r="D45" s="1180"/>
      <c r="E45" s="1180"/>
      <c r="F45" s="1180"/>
      <c r="G45" s="1180"/>
      <c r="H45" s="1180"/>
      <c r="I45" s="1180"/>
      <c r="J45" s="1180"/>
      <c r="K45" s="1180"/>
      <c r="L45" s="1629" t="str">
        <f>CASE</f>
        <v>CASE NO. 2017-00321</v>
      </c>
      <c r="M45" s="530"/>
      <c r="N45" s="530"/>
      <c r="O45" s="530"/>
      <c r="P45" s="530"/>
      <c r="Q45" s="530"/>
      <c r="R45" s="530" t="str">
        <f>_WIT10</f>
        <v>R. H. PRATT</v>
      </c>
      <c r="S45" s="530"/>
      <c r="T45" s="1178"/>
      <c r="U45" s="1180"/>
      <c r="V45" s="1180"/>
    </row>
    <row r="46" spans="1:22">
      <c r="A46" s="1180"/>
      <c r="B46" s="1180"/>
      <c r="C46" s="1180"/>
      <c r="D46" s="1180"/>
      <c r="E46" s="1180"/>
      <c r="F46" s="1180"/>
      <c r="G46" s="1180"/>
      <c r="H46" s="1180"/>
      <c r="I46" s="1180"/>
      <c r="J46" s="1180"/>
      <c r="K46" s="1180"/>
      <c r="L46" s="1629" t="s">
        <v>195</v>
      </c>
      <c r="M46" s="530"/>
      <c r="N46" s="530"/>
      <c r="O46" s="530"/>
      <c r="P46" s="530"/>
      <c r="Q46" s="530"/>
      <c r="R46" s="2107"/>
      <c r="S46" s="530"/>
      <c r="T46" s="1178"/>
      <c r="U46" s="1180"/>
      <c r="V46" s="1180"/>
    </row>
    <row r="47" spans="1:22">
      <c r="A47" s="1180"/>
      <c r="B47" s="1180"/>
      <c r="C47" s="1180"/>
      <c r="D47" s="1180"/>
      <c r="E47" s="1180"/>
      <c r="F47" s="1180"/>
      <c r="G47" s="1180"/>
      <c r="H47" s="1180"/>
      <c r="I47" s="1180"/>
      <c r="J47" s="1180"/>
      <c r="K47" s="1180"/>
      <c r="L47" s="1629"/>
      <c r="M47" s="530"/>
      <c r="N47" s="530"/>
      <c r="O47" s="530"/>
      <c r="P47" s="530"/>
      <c r="Q47" s="530"/>
      <c r="R47" s="530"/>
      <c r="S47" s="530"/>
      <c r="T47" s="1178"/>
      <c r="U47" s="1180"/>
      <c r="V47" s="1180"/>
    </row>
    <row r="48" spans="1:22">
      <c r="A48" s="1180"/>
      <c r="B48" s="1180"/>
      <c r="C48" s="1180"/>
      <c r="D48" s="1180"/>
      <c r="E48" s="1180"/>
      <c r="F48" s="1180"/>
      <c r="G48" s="1180"/>
      <c r="H48" s="1180"/>
      <c r="I48" s="1180"/>
      <c r="J48" s="1180"/>
      <c r="K48" s="1180"/>
      <c r="L48" s="1178"/>
      <c r="M48" s="1178"/>
      <c r="N48" s="1178"/>
      <c r="O48" s="1178"/>
      <c r="P48" s="1178"/>
      <c r="Q48" s="1178"/>
      <c r="R48" s="1178"/>
      <c r="S48" s="1178"/>
      <c r="T48" s="1178"/>
      <c r="U48" s="1180"/>
      <c r="V48" s="1180"/>
    </row>
    <row r="49" spans="1:22">
      <c r="A49" s="1180"/>
      <c r="B49" s="1180"/>
      <c r="C49" s="1180"/>
      <c r="D49" s="1180"/>
      <c r="E49" s="1180"/>
      <c r="F49" s="1180"/>
      <c r="G49" s="1180"/>
      <c r="H49" s="1180"/>
      <c r="I49" s="1180"/>
      <c r="J49" s="1180"/>
      <c r="K49" s="1180"/>
      <c r="L49" s="1178"/>
      <c r="M49" s="1178"/>
      <c r="N49" s="1178"/>
      <c r="O49" s="1178"/>
      <c r="P49" s="1178"/>
      <c r="Q49" s="1178"/>
      <c r="R49" s="1178"/>
      <c r="S49" s="1178"/>
      <c r="T49" s="1178"/>
      <c r="U49" s="1180"/>
      <c r="V49" s="1180"/>
    </row>
    <row r="50" spans="1:22">
      <c r="A50" s="1180"/>
      <c r="B50" s="1180"/>
      <c r="C50" s="1180"/>
      <c r="D50" s="1180"/>
      <c r="E50" s="1180"/>
      <c r="F50" s="1180"/>
      <c r="G50" s="1180"/>
      <c r="H50" s="1180"/>
      <c r="I50" s="1180"/>
      <c r="J50" s="1180"/>
      <c r="K50" s="1180"/>
      <c r="L50" s="1423" t="s">
        <v>1240</v>
      </c>
      <c r="M50" s="1423"/>
      <c r="N50" s="1423"/>
      <c r="O50" s="1423"/>
      <c r="P50" s="1423" t="s">
        <v>1117</v>
      </c>
      <c r="Q50" s="1423"/>
      <c r="R50" s="1423" t="s">
        <v>626</v>
      </c>
      <c r="S50" s="1423"/>
      <c r="T50" s="1423"/>
      <c r="U50" s="1180"/>
      <c r="V50" s="1180"/>
    </row>
    <row r="51" spans="1:22">
      <c r="A51" s="1180"/>
      <c r="B51" s="1180"/>
      <c r="C51" s="1180"/>
      <c r="D51" s="1180"/>
      <c r="E51" s="1180"/>
      <c r="F51" s="1180"/>
      <c r="G51" s="1180"/>
      <c r="H51" s="1180"/>
      <c r="I51" s="1180"/>
      <c r="J51" s="1180"/>
      <c r="K51" s="1180"/>
      <c r="L51" s="1424" t="s">
        <v>1241</v>
      </c>
      <c r="M51" s="1424"/>
      <c r="N51" s="1424" t="s">
        <v>1119</v>
      </c>
      <c r="O51" s="1424"/>
      <c r="P51" s="1424" t="s">
        <v>1120</v>
      </c>
      <c r="Q51" s="1424"/>
      <c r="R51" s="1424" t="s">
        <v>1120</v>
      </c>
      <c r="S51" s="1424"/>
      <c r="T51" s="1424" t="s">
        <v>1242</v>
      </c>
      <c r="U51" s="1180"/>
      <c r="V51" s="1180"/>
    </row>
    <row r="52" spans="1:22">
      <c r="A52" s="1180"/>
      <c r="B52" s="1180"/>
      <c r="C52" s="1180"/>
      <c r="D52" s="1180"/>
      <c r="E52" s="1180"/>
      <c r="F52" s="1180"/>
      <c r="G52" s="1180"/>
      <c r="H52" s="1180"/>
      <c r="I52" s="1180"/>
      <c r="J52" s="1180"/>
      <c r="K52" s="1180"/>
      <c r="L52" s="1178"/>
      <c r="M52" s="1178"/>
      <c r="N52" s="1178"/>
      <c r="O52" s="1178"/>
      <c r="P52" s="1178"/>
      <c r="Q52" s="1178"/>
      <c r="R52" s="1178"/>
      <c r="S52" s="1178"/>
      <c r="T52" s="1178"/>
      <c r="U52" s="1180"/>
      <c r="V52" s="1180"/>
    </row>
    <row r="53" spans="1:22" ht="13.5" thickBot="1">
      <c r="A53" s="1180"/>
      <c r="B53" s="1180"/>
      <c r="C53" s="1180"/>
      <c r="D53" s="1180"/>
      <c r="E53" s="1180"/>
      <c r="F53" s="1180"/>
      <c r="G53" s="1180"/>
      <c r="H53" s="1180"/>
      <c r="I53" s="1180"/>
      <c r="J53" s="1180"/>
      <c r="K53" s="1180"/>
      <c r="L53" s="1423">
        <v>1</v>
      </c>
      <c r="M53" s="1178"/>
      <c r="N53" s="1179" t="s">
        <v>897</v>
      </c>
      <c r="O53" s="1178"/>
      <c r="P53" s="2275">
        <f>SCH_C2!E29</f>
        <v>18095393</v>
      </c>
      <c r="Q53" s="1178"/>
      <c r="R53" s="2275">
        <f ca="1">SCH_C2!H29</f>
        <v>19015140</v>
      </c>
      <c r="S53" s="1178"/>
      <c r="T53" s="2275">
        <f ca="1">R53-P53</f>
        <v>919747</v>
      </c>
      <c r="U53" s="1180"/>
      <c r="V53" s="1180"/>
    </row>
    <row r="54" spans="1:22" ht="13.5" thickTop="1">
      <c r="A54" s="1180"/>
      <c r="B54" s="1180"/>
      <c r="C54" s="1180"/>
      <c r="D54" s="1180"/>
      <c r="E54" s="1180"/>
      <c r="F54" s="1180"/>
      <c r="G54" s="1180"/>
      <c r="H54" s="1180"/>
      <c r="I54" s="1180"/>
      <c r="J54" s="1180"/>
      <c r="K54" s="1180"/>
      <c r="L54" s="1423"/>
      <c r="M54" s="1178"/>
      <c r="N54" s="1178"/>
      <c r="O54" s="1178"/>
      <c r="P54" s="1178"/>
      <c r="Q54" s="1178"/>
      <c r="R54" s="1178"/>
      <c r="S54" s="1178"/>
      <c r="T54" s="1178"/>
      <c r="U54" s="1180"/>
      <c r="V54" s="1180"/>
    </row>
    <row r="55" spans="1:22">
      <c r="A55" s="1180"/>
      <c r="B55" s="1180"/>
      <c r="C55" s="1180"/>
      <c r="D55" s="1180"/>
      <c r="E55" s="1180"/>
      <c r="F55" s="1180"/>
      <c r="G55" s="1180"/>
      <c r="H55" s="1180"/>
      <c r="I55" s="1180"/>
      <c r="J55" s="1180"/>
      <c r="K55" s="1180"/>
      <c r="L55" s="1178"/>
      <c r="M55" s="1178"/>
      <c r="N55" s="1178"/>
      <c r="O55" s="1178"/>
      <c r="P55" s="1178"/>
      <c r="Q55" s="1178"/>
      <c r="R55" s="1178"/>
      <c r="S55" s="1178"/>
      <c r="T55" s="1178"/>
      <c r="U55" s="1180"/>
      <c r="V55" s="1180"/>
    </row>
    <row r="56" spans="1:22">
      <c r="A56" s="1180"/>
      <c r="B56" s="1180"/>
      <c r="C56" s="1180"/>
      <c r="D56" s="1180"/>
      <c r="E56" s="1180"/>
      <c r="F56" s="1180"/>
      <c r="G56" s="1180"/>
      <c r="H56" s="1180"/>
      <c r="I56" s="1180"/>
      <c r="J56" s="1180"/>
      <c r="K56" s="1180"/>
      <c r="L56" s="1178"/>
      <c r="M56" s="1178"/>
      <c r="N56" s="1178"/>
      <c r="O56" s="1178"/>
      <c r="P56" s="1178"/>
      <c r="Q56" s="1178"/>
      <c r="R56" s="1178"/>
      <c r="S56" s="1178"/>
      <c r="T56" s="1178"/>
      <c r="U56" s="1180"/>
      <c r="V56" s="1180"/>
    </row>
    <row r="57" spans="1:22">
      <c r="A57" s="1180"/>
      <c r="B57" s="1180"/>
      <c r="C57" s="1180"/>
      <c r="D57" s="1180"/>
      <c r="E57" s="1180"/>
      <c r="F57" s="1180"/>
      <c r="G57" s="1180"/>
      <c r="H57" s="1180"/>
      <c r="I57" s="1180"/>
      <c r="J57" s="1180"/>
      <c r="K57" s="1180"/>
      <c r="L57" s="1178"/>
      <c r="M57" s="1178"/>
      <c r="N57" s="1178"/>
      <c r="O57" s="1178"/>
      <c r="P57" s="1178"/>
      <c r="Q57" s="1178"/>
      <c r="R57" s="1178"/>
      <c r="S57" s="1178"/>
      <c r="T57" s="1423" t="s">
        <v>1244</v>
      </c>
      <c r="U57" s="1180"/>
      <c r="V57" s="1180"/>
    </row>
    <row r="58" spans="1:22">
      <c r="A58" s="1180"/>
      <c r="B58" s="1180"/>
      <c r="C58" s="1180"/>
      <c r="D58" s="1180"/>
      <c r="E58" s="1180"/>
      <c r="F58" s="1180"/>
      <c r="G58" s="1180"/>
      <c r="H58" s="1180"/>
      <c r="I58" s="1180"/>
      <c r="J58" s="1180"/>
      <c r="K58" s="1180"/>
      <c r="L58" s="1180"/>
      <c r="M58" s="1180"/>
      <c r="N58" s="1180"/>
      <c r="O58" s="1180"/>
      <c r="P58" s="1180"/>
      <c r="Q58" s="1180"/>
      <c r="R58" s="1180"/>
      <c r="S58" s="1180"/>
      <c r="T58" s="1180"/>
      <c r="U58" s="1180"/>
      <c r="V58" s="1180"/>
    </row>
    <row r="59" spans="1:22">
      <c r="A59" s="1180"/>
      <c r="B59" s="1180"/>
      <c r="C59" s="1180"/>
      <c r="D59" s="1180"/>
      <c r="E59" s="1180"/>
      <c r="F59" s="1180"/>
      <c r="G59" s="1180"/>
      <c r="H59" s="1180"/>
      <c r="I59" s="1180"/>
      <c r="J59" s="1180"/>
      <c r="K59" s="1180"/>
      <c r="L59" s="1180"/>
      <c r="M59" s="1180"/>
      <c r="N59" s="1180"/>
      <c r="O59" s="1180"/>
      <c r="P59" s="1180"/>
      <c r="Q59" s="1180"/>
      <c r="R59" s="1180"/>
      <c r="S59" s="1180"/>
      <c r="T59" s="1180"/>
      <c r="U59" s="1180"/>
      <c r="V59" s="1180"/>
    </row>
    <row r="60" spans="1:22">
      <c r="A60" s="1180"/>
      <c r="B60" s="1180"/>
      <c r="C60" s="1180"/>
      <c r="D60" s="1180"/>
      <c r="E60" s="1180"/>
      <c r="F60" s="1180"/>
      <c r="G60" s="1180"/>
      <c r="H60" s="1180"/>
      <c r="I60" s="1180"/>
      <c r="J60" s="1180"/>
      <c r="K60" s="1180"/>
      <c r="L60" s="1180"/>
      <c r="M60" s="1180"/>
      <c r="N60" s="1180"/>
      <c r="O60" s="1180"/>
      <c r="P60" s="1180"/>
      <c r="Q60" s="1180"/>
      <c r="R60" s="2370"/>
      <c r="S60" s="1180"/>
      <c r="T60" s="1180"/>
      <c r="U60" s="1180"/>
      <c r="V60" s="1180"/>
    </row>
    <row r="61" spans="1:22">
      <c r="A61" s="1180"/>
      <c r="B61" s="1180"/>
      <c r="C61" s="1180"/>
      <c r="D61" s="1180"/>
      <c r="E61" s="1180"/>
      <c r="F61" s="1180"/>
      <c r="G61" s="1180"/>
      <c r="H61" s="1180"/>
      <c r="I61" s="1180"/>
      <c r="J61" s="1180"/>
      <c r="K61" s="1180"/>
      <c r="L61" s="1180"/>
      <c r="M61" s="1180"/>
      <c r="N61" s="1180"/>
      <c r="O61" s="1180"/>
      <c r="P61" s="1180"/>
      <c r="Q61" s="1180"/>
      <c r="R61" s="1180"/>
      <c r="S61" s="1180"/>
      <c r="T61" s="1180"/>
      <c r="U61" s="1180"/>
      <c r="V61" s="1180"/>
    </row>
    <row r="62" spans="1:22">
      <c r="A62" s="1180"/>
      <c r="B62" s="1180"/>
      <c r="C62" s="1180"/>
      <c r="D62" s="1180"/>
      <c r="E62" s="1180"/>
      <c r="F62" s="1180"/>
      <c r="G62" s="1180"/>
      <c r="H62" s="1180"/>
      <c r="I62" s="1180"/>
      <c r="J62" s="1180"/>
      <c r="K62" s="1180"/>
      <c r="L62" s="1180"/>
      <c r="M62" s="1180"/>
      <c r="N62" s="1180"/>
      <c r="O62" s="1180"/>
      <c r="P62" s="1180"/>
      <c r="Q62" s="1180"/>
      <c r="R62" s="1180"/>
      <c r="S62" s="1180"/>
      <c r="T62" s="1180"/>
      <c r="U62" s="1180"/>
      <c r="V62" s="1180"/>
    </row>
    <row r="63" spans="1:22">
      <c r="A63" s="1180"/>
      <c r="B63" s="1180"/>
      <c r="C63" s="1180"/>
      <c r="D63" s="1180"/>
      <c r="E63" s="1180"/>
      <c r="F63" s="1180"/>
      <c r="G63" s="1180"/>
      <c r="H63" s="1180"/>
      <c r="I63" s="1180"/>
      <c r="J63" s="1180"/>
      <c r="K63" s="1180"/>
      <c r="L63" s="1180"/>
      <c r="M63" s="1180"/>
      <c r="N63" s="1180"/>
      <c r="O63" s="1180"/>
      <c r="P63" s="1180"/>
      <c r="Q63" s="1180"/>
      <c r="R63" s="1180"/>
      <c r="S63" s="1180"/>
      <c r="T63" s="1180"/>
      <c r="U63" s="1180"/>
      <c r="V63" s="1180"/>
    </row>
    <row r="64" spans="1:22">
      <c r="A64" s="1180"/>
      <c r="B64" s="1180"/>
      <c r="C64" s="1180"/>
      <c r="D64" s="1180"/>
      <c r="E64" s="1180"/>
      <c r="F64" s="1180"/>
      <c r="G64" s="1180"/>
      <c r="H64" s="1180"/>
      <c r="I64" s="1180"/>
      <c r="J64" s="1180"/>
      <c r="K64" s="1180"/>
      <c r="L64" s="1180"/>
      <c r="M64" s="1180"/>
      <c r="N64" s="1180"/>
      <c r="O64" s="1180"/>
      <c r="P64" s="1180"/>
      <c r="Q64" s="1180"/>
      <c r="R64" s="1180"/>
      <c r="S64" s="1180"/>
      <c r="T64" s="1180"/>
      <c r="U64" s="1180"/>
      <c r="V64" s="1180"/>
    </row>
    <row r="65" spans="1:22">
      <c r="A65" s="1180"/>
      <c r="B65" s="1180"/>
      <c r="C65" s="1180"/>
      <c r="D65" s="1180"/>
      <c r="E65" s="1180"/>
      <c r="F65" s="1180"/>
      <c r="G65" s="1180"/>
      <c r="H65" s="1180"/>
      <c r="I65" s="1180"/>
      <c r="J65" s="1180"/>
      <c r="K65" s="1180"/>
      <c r="L65" s="1180"/>
      <c r="M65" s="1180"/>
      <c r="N65" s="1180"/>
      <c r="O65" s="1180"/>
      <c r="P65" s="1180"/>
      <c r="Q65" s="1180"/>
      <c r="R65" s="1180"/>
      <c r="S65" s="1180"/>
      <c r="T65" s="1180"/>
      <c r="U65" s="1180"/>
      <c r="V65" s="1180"/>
    </row>
    <row r="66" spans="1:22">
      <c r="A66" s="1180"/>
      <c r="B66" s="1180"/>
      <c r="C66" s="1180"/>
      <c r="D66" s="1180"/>
      <c r="E66" s="1180"/>
      <c r="F66" s="1180"/>
      <c r="G66" s="1180"/>
      <c r="H66" s="1180"/>
      <c r="I66" s="1180"/>
      <c r="J66" s="1180"/>
      <c r="K66" s="1180"/>
      <c r="L66" s="1180"/>
      <c r="M66" s="1180"/>
      <c r="N66" s="1180"/>
      <c r="O66" s="1180"/>
      <c r="P66" s="1180"/>
      <c r="Q66" s="1180"/>
      <c r="R66" s="1180"/>
      <c r="S66" s="1180"/>
      <c r="T66" s="1180"/>
      <c r="U66" s="1180"/>
      <c r="V66" s="1180"/>
    </row>
    <row r="67" spans="1:22">
      <c r="A67" s="1180"/>
      <c r="B67" s="1180"/>
      <c r="C67" s="1180"/>
      <c r="D67" s="1180"/>
      <c r="E67" s="1180"/>
      <c r="F67" s="1180"/>
      <c r="G67" s="1180"/>
      <c r="H67" s="1180"/>
      <c r="I67" s="1180"/>
      <c r="J67" s="1180"/>
      <c r="K67" s="1180"/>
      <c r="L67" s="1180"/>
      <c r="M67" s="1180"/>
      <c r="N67" s="1180"/>
      <c r="O67" s="1180"/>
      <c r="P67" s="1180"/>
      <c r="Q67" s="1180"/>
      <c r="R67" s="1180"/>
      <c r="S67" s="1180"/>
      <c r="T67" s="1180"/>
      <c r="U67" s="1180"/>
      <c r="V67" s="1180"/>
    </row>
    <row r="68" spans="1:22">
      <c r="A68" s="1180"/>
      <c r="B68" s="1180"/>
      <c r="C68" s="1180"/>
      <c r="D68" s="1180"/>
      <c r="E68" s="1180"/>
      <c r="F68" s="1180"/>
      <c r="G68" s="1180"/>
      <c r="H68" s="1180"/>
      <c r="I68" s="1180"/>
      <c r="J68" s="1180"/>
      <c r="K68" s="1180"/>
      <c r="L68" s="1180"/>
      <c r="M68" s="1180"/>
      <c r="N68" s="1180"/>
      <c r="O68" s="1180"/>
      <c r="P68" s="1180"/>
      <c r="Q68" s="1180"/>
      <c r="R68" s="1180"/>
      <c r="S68" s="1180"/>
      <c r="T68" s="1180"/>
      <c r="U68" s="1180"/>
      <c r="V68" s="1180"/>
    </row>
    <row r="69" spans="1:22">
      <c r="A69" s="1180"/>
      <c r="B69" s="1180"/>
      <c r="C69" s="1180"/>
      <c r="D69" s="1180"/>
      <c r="E69" s="1180"/>
      <c r="F69" s="1180"/>
      <c r="G69" s="1180"/>
      <c r="H69" s="1180"/>
      <c r="I69" s="1180"/>
      <c r="J69" s="1180"/>
      <c r="K69" s="1180"/>
      <c r="L69" s="1180"/>
      <c r="M69" s="1180"/>
      <c r="N69" s="1180"/>
      <c r="O69" s="1180"/>
      <c r="P69" s="1180"/>
      <c r="Q69" s="1180"/>
      <c r="R69" s="1180"/>
      <c r="S69" s="1180"/>
      <c r="T69" s="1180"/>
      <c r="U69" s="1180"/>
      <c r="V69" s="1180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tabColor theme="7" tint="-0.249977111117893"/>
  </sheetPr>
  <dimension ref="A1:U69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8" style="18" customWidth="1"/>
    <col min="2" max="2" width="20.42578125" style="18" customWidth="1"/>
    <col min="3" max="3" width="8" style="18" customWidth="1"/>
    <col min="4" max="4" width="10.42578125" style="18" customWidth="1"/>
    <col min="5" max="7" width="8" style="18" customWidth="1"/>
    <col min="8" max="8" width="12.42578125" style="18" customWidth="1"/>
    <col min="9" max="9" width="10" style="18" customWidth="1"/>
    <col min="10" max="10" width="18.42578125" style="18" customWidth="1"/>
    <col min="11" max="12" width="8" style="18" customWidth="1"/>
    <col min="13" max="13" width="2.42578125" style="18" customWidth="1"/>
    <col min="14" max="14" width="42.140625" style="18" customWidth="1"/>
    <col min="15" max="15" width="3.85546875" style="18" customWidth="1"/>
    <col min="16" max="16" width="16" style="18" customWidth="1"/>
    <col min="17" max="17" width="1.85546875" style="18" customWidth="1"/>
    <col min="18" max="18" width="18.140625" style="18" customWidth="1"/>
    <col min="19" max="19" width="2.28515625" style="18" customWidth="1"/>
    <col min="20" max="20" width="16.42578125" style="18" customWidth="1"/>
    <col min="21" max="16384" width="8" style="18"/>
  </cols>
  <sheetData>
    <row r="1" spans="1:21">
      <c r="A1" s="2087" t="str">
        <f>LOGO!B5</f>
        <v>DUKE ENERGY KENTUCKY, INC.</v>
      </c>
      <c r="B1" s="2195"/>
      <c r="C1" s="2195"/>
      <c r="D1" s="2195"/>
      <c r="E1" s="2195"/>
      <c r="F1" s="2195"/>
      <c r="G1" s="2195"/>
      <c r="H1" s="2195"/>
      <c r="I1" s="2195"/>
      <c r="J1" s="2195"/>
      <c r="K1" s="1180"/>
      <c r="L1" s="1180"/>
      <c r="M1" s="1180"/>
      <c r="N1" s="1180"/>
      <c r="O1" s="1180"/>
      <c r="P1" s="1180"/>
      <c r="Q1" s="1180"/>
      <c r="R1" s="1180"/>
      <c r="S1" s="1180"/>
      <c r="T1" s="1180"/>
      <c r="U1" s="1180"/>
    </row>
    <row r="2" spans="1:21">
      <c r="A2" s="2087" t="str">
        <f>LOGO!B6</f>
        <v>CASE NO. 2017-00321</v>
      </c>
      <c r="B2" s="2195"/>
      <c r="C2" s="2195"/>
      <c r="D2" s="2195"/>
      <c r="E2" s="2195"/>
      <c r="F2" s="2195"/>
      <c r="G2" s="2195"/>
      <c r="H2" s="2195"/>
      <c r="I2" s="2195"/>
      <c r="J2" s="2195"/>
      <c r="K2" s="1180"/>
      <c r="L2" s="1180"/>
      <c r="M2" s="1180"/>
      <c r="N2" s="1180"/>
      <c r="O2" s="1180"/>
      <c r="P2" s="1180"/>
      <c r="Q2" s="1180"/>
      <c r="R2" s="1180"/>
      <c r="S2" s="1180"/>
      <c r="T2" s="1180"/>
      <c r="U2" s="1180"/>
    </row>
    <row r="3" spans="1:21">
      <c r="A3" s="2166" t="s">
        <v>3348</v>
      </c>
      <c r="B3" s="2195"/>
      <c r="C3" s="2195"/>
      <c r="D3" s="2195"/>
      <c r="E3" s="2195"/>
      <c r="F3" s="2195"/>
      <c r="G3" s="2195"/>
      <c r="H3" s="2195"/>
      <c r="I3" s="2195"/>
      <c r="J3" s="2195"/>
      <c r="K3" s="1180"/>
      <c r="L3" s="1180"/>
      <c r="M3" s="1180"/>
      <c r="N3" s="1180"/>
      <c r="O3" s="1180"/>
      <c r="P3" s="1180"/>
      <c r="Q3" s="1180"/>
      <c r="R3" s="1180"/>
      <c r="S3" s="1180"/>
      <c r="T3" s="1180"/>
      <c r="U3" s="1180"/>
    </row>
    <row r="4" spans="1:21">
      <c r="A4" s="2087" t="str">
        <f>LOGO!B8</f>
        <v>FOR THE TWELVE MONTHS ENDED MARCH 31, 2019</v>
      </c>
      <c r="B4" s="2195"/>
      <c r="C4" s="2195"/>
      <c r="D4" s="2195"/>
      <c r="E4" s="2195"/>
      <c r="F4" s="2195"/>
      <c r="G4" s="2195"/>
      <c r="H4" s="2195"/>
      <c r="I4" s="2195"/>
      <c r="J4" s="2195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</row>
    <row r="5" spans="1:21">
      <c r="A5" s="1180"/>
      <c r="B5" s="1180"/>
      <c r="C5" s="1180"/>
      <c r="D5" s="1180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80"/>
      <c r="U5" s="1180"/>
    </row>
    <row r="6" spans="1:21">
      <c r="A6" s="2206" t="str">
        <f>DataB</f>
        <v>DATA: "X" BASE PERIOD  "X" FORECASTED PERIOD</v>
      </c>
      <c r="B6" s="1180"/>
      <c r="C6" s="1180"/>
      <c r="D6" s="1180"/>
      <c r="E6" s="1180"/>
      <c r="F6" s="1180"/>
      <c r="G6" s="1180"/>
      <c r="H6" s="1180"/>
      <c r="I6" s="2196" t="s">
        <v>965</v>
      </c>
      <c r="J6" s="1180"/>
      <c r="K6" s="1180"/>
      <c r="L6" s="1180"/>
      <c r="M6" s="1180"/>
      <c r="N6" s="1180"/>
      <c r="O6" s="1180"/>
      <c r="P6" s="1180"/>
      <c r="Q6" s="1180"/>
      <c r="R6" s="1180"/>
      <c r="S6" s="1180"/>
      <c r="T6" s="1180"/>
      <c r="U6" s="1180"/>
    </row>
    <row r="7" spans="1:21">
      <c r="A7" s="2206" t="str">
        <f>LOGO!B15</f>
        <v xml:space="preserve">TYPE OF FILING:  "X" ORIGINAL   UPDATED    REVISED  </v>
      </c>
      <c r="B7" s="1180"/>
      <c r="C7" s="1180"/>
      <c r="D7" s="1180"/>
      <c r="E7" s="1180"/>
      <c r="F7" s="1180"/>
      <c r="G7" s="1180"/>
      <c r="H7" s="1180"/>
      <c r="I7" s="1179" t="s">
        <v>620</v>
      </c>
      <c r="J7" s="1180"/>
      <c r="K7" s="1180"/>
      <c r="L7" s="1180"/>
      <c r="M7" s="1180"/>
      <c r="N7" s="1180"/>
      <c r="O7" s="1180"/>
      <c r="P7" s="1180"/>
      <c r="Q7" s="1180"/>
      <c r="R7" s="1180"/>
      <c r="S7" s="1180"/>
      <c r="T7" s="1180"/>
      <c r="U7" s="1180"/>
    </row>
    <row r="8" spans="1:21">
      <c r="A8" s="1179" t="s">
        <v>1546</v>
      </c>
      <c r="B8" s="1180"/>
      <c r="C8" s="1180"/>
      <c r="D8" s="1180"/>
      <c r="E8" s="1180"/>
      <c r="F8" s="1180"/>
      <c r="G8" s="1180"/>
      <c r="H8" s="1180"/>
      <c r="I8" s="1179" t="s">
        <v>622</v>
      </c>
      <c r="J8" s="1180"/>
      <c r="K8" s="1180"/>
      <c r="L8" s="1180"/>
      <c r="M8" s="1180"/>
      <c r="N8" s="1180"/>
      <c r="O8" s="1180"/>
      <c r="P8" s="1180"/>
      <c r="Q8" s="1180"/>
      <c r="R8" s="1180"/>
      <c r="S8" s="1180"/>
      <c r="T8" s="1180"/>
      <c r="U8" s="1180"/>
    </row>
    <row r="9" spans="1:21">
      <c r="A9" s="1180"/>
      <c r="B9" s="1180"/>
      <c r="C9" s="1180"/>
      <c r="D9" s="1180"/>
      <c r="E9" s="1180"/>
      <c r="F9" s="1180"/>
      <c r="G9" s="1180"/>
      <c r="H9" s="1180"/>
      <c r="I9" s="1179" t="str">
        <f>_WIT10</f>
        <v>R. H. PRATT</v>
      </c>
      <c r="J9" s="1180"/>
      <c r="K9" s="1180"/>
      <c r="L9" s="1180"/>
      <c r="M9" s="1180"/>
      <c r="N9" s="1180"/>
      <c r="O9" s="1180"/>
      <c r="P9" s="1180"/>
      <c r="Q9" s="1180"/>
      <c r="R9" s="1180"/>
      <c r="S9" s="1180"/>
      <c r="T9" s="1180"/>
      <c r="U9" s="1180"/>
    </row>
    <row r="10" spans="1:21">
      <c r="A10" s="2197"/>
      <c r="B10" s="2197"/>
      <c r="C10" s="2197"/>
      <c r="D10" s="2197"/>
      <c r="E10" s="2197"/>
      <c r="F10" s="2197"/>
      <c r="G10" s="2197"/>
      <c r="H10" s="2197"/>
      <c r="I10" s="2197"/>
      <c r="J10" s="2197"/>
      <c r="K10" s="1179"/>
      <c r="L10" s="1180"/>
      <c r="M10" s="1180"/>
      <c r="N10" s="1180"/>
      <c r="O10" s="1180"/>
      <c r="P10" s="1180"/>
      <c r="Q10" s="1180"/>
      <c r="R10" s="1180"/>
      <c r="S10" s="1180"/>
      <c r="T10" s="1180"/>
      <c r="U10" s="1180"/>
    </row>
    <row r="11" spans="1:21">
      <c r="A11" s="1180"/>
      <c r="B11" s="1180"/>
      <c r="C11" s="1180"/>
      <c r="D11" s="1180"/>
      <c r="E11" s="1180"/>
      <c r="F11" s="1180"/>
      <c r="G11" s="1180"/>
      <c r="H11" s="1180"/>
      <c r="I11" s="1180"/>
      <c r="J11" s="1180"/>
      <c r="K11" s="1180"/>
      <c r="L11" s="1180"/>
      <c r="M11" s="1180"/>
      <c r="N11" s="1180"/>
      <c r="O11" s="1180"/>
      <c r="P11" s="1180"/>
      <c r="Q11" s="1180"/>
      <c r="R11" s="1180"/>
      <c r="S11" s="1180"/>
      <c r="T11" s="1180"/>
      <c r="U11" s="1180"/>
    </row>
    <row r="12" spans="1:21">
      <c r="A12" s="1179" t="s">
        <v>1246</v>
      </c>
      <c r="B12" s="1180"/>
      <c r="C12" s="1180"/>
      <c r="D12" s="1180"/>
      <c r="E12" s="1180"/>
      <c r="F12" s="1180"/>
      <c r="G12" s="1180"/>
      <c r="H12" s="1180"/>
      <c r="I12" s="1180"/>
      <c r="J12" s="2198" t="s">
        <v>364</v>
      </c>
      <c r="K12" s="1180"/>
      <c r="L12" s="1180"/>
      <c r="M12" s="1180"/>
      <c r="N12" s="1180"/>
      <c r="O12" s="1180"/>
      <c r="P12" s="1180"/>
      <c r="Q12" s="1180"/>
      <c r="R12" s="1180"/>
      <c r="S12" s="1180"/>
      <c r="T12" s="1180"/>
      <c r="U12" s="1180"/>
    </row>
    <row r="13" spans="1:21">
      <c r="A13" s="2197"/>
      <c r="B13" s="2197"/>
      <c r="C13" s="2197"/>
      <c r="D13" s="2197"/>
      <c r="E13" s="2197"/>
      <c r="F13" s="2197"/>
      <c r="G13" s="2197"/>
      <c r="H13" s="2197"/>
      <c r="I13" s="2197"/>
      <c r="J13" s="2197"/>
      <c r="K13" s="1179"/>
      <c r="L13" s="1180"/>
      <c r="M13" s="1180"/>
      <c r="N13" s="1180"/>
      <c r="O13" s="1180"/>
      <c r="P13" s="1180"/>
      <c r="Q13" s="1180"/>
      <c r="R13" s="1180"/>
      <c r="S13" s="1180"/>
      <c r="T13" s="1180"/>
      <c r="U13" s="1180"/>
    </row>
    <row r="14" spans="1:21">
      <c r="A14" s="1180"/>
      <c r="B14" s="1180"/>
      <c r="C14" s="1180"/>
      <c r="D14" s="1180"/>
      <c r="E14" s="1180"/>
      <c r="F14" s="1180"/>
      <c r="G14" s="1180"/>
      <c r="H14" s="1180"/>
      <c r="I14" s="1180"/>
      <c r="J14" s="2199"/>
      <c r="K14" s="1180"/>
      <c r="L14" s="1180"/>
      <c r="M14" s="1180"/>
      <c r="N14" s="1180"/>
      <c r="O14" s="1180"/>
      <c r="P14" s="1180"/>
      <c r="Q14" s="1180"/>
      <c r="R14" s="1180"/>
      <c r="S14" s="1180"/>
      <c r="T14" s="1180"/>
      <c r="U14" s="1180"/>
    </row>
    <row r="15" spans="1:21">
      <c r="A15" s="1581" t="s">
        <v>2268</v>
      </c>
      <c r="B15" s="1180"/>
      <c r="C15" s="1180"/>
      <c r="D15" s="1180"/>
      <c r="E15" s="1180"/>
      <c r="F15" s="1180"/>
      <c r="G15" s="1180"/>
      <c r="H15" s="1180"/>
      <c r="I15" s="1180"/>
      <c r="J15" s="1180"/>
      <c r="K15" s="1180"/>
      <c r="L15" s="1180"/>
      <c r="M15" s="1180"/>
      <c r="N15" s="1180"/>
      <c r="O15" s="1180"/>
      <c r="P15" s="1180"/>
      <c r="Q15" s="1180"/>
      <c r="R15" s="1180"/>
      <c r="S15" s="1180"/>
      <c r="T15" s="1180"/>
      <c r="U15" s="1180"/>
    </row>
    <row r="16" spans="1:21">
      <c r="A16" s="1581" t="s">
        <v>182</v>
      </c>
      <c r="B16" s="1180"/>
      <c r="C16" s="1180"/>
      <c r="D16" s="1180"/>
      <c r="E16" s="1180"/>
      <c r="F16" s="1180"/>
      <c r="G16" s="1180"/>
      <c r="H16" s="1180"/>
      <c r="I16" s="1180"/>
      <c r="J16" s="1180"/>
      <c r="K16" s="1180"/>
      <c r="L16" s="1180"/>
      <c r="M16" s="1180"/>
      <c r="N16" s="1180"/>
      <c r="O16" s="1180"/>
      <c r="P16" s="1180"/>
      <c r="Q16" s="1180"/>
      <c r="R16" s="1180"/>
      <c r="S16" s="1180"/>
      <c r="T16" s="1180"/>
      <c r="U16" s="1180"/>
    </row>
    <row r="17" spans="1:21">
      <c r="A17" s="1179"/>
      <c r="B17" s="1180"/>
      <c r="C17" s="1180"/>
      <c r="D17" s="1180"/>
      <c r="E17" s="1180"/>
      <c r="F17" s="1180"/>
      <c r="G17" s="1180"/>
      <c r="H17" s="1180"/>
      <c r="I17" s="1180"/>
      <c r="J17" s="1180"/>
      <c r="K17" s="1180"/>
      <c r="L17" s="1180"/>
      <c r="M17" s="1180"/>
      <c r="N17" s="1180"/>
      <c r="O17" s="1180"/>
      <c r="P17" s="1180"/>
      <c r="Q17" s="1180"/>
      <c r="R17" s="1180"/>
      <c r="S17" s="1180"/>
      <c r="T17" s="1180"/>
      <c r="U17" s="1180"/>
    </row>
    <row r="18" spans="1:21">
      <c r="A18" s="1179"/>
      <c r="B18" s="1180"/>
      <c r="C18" s="1180"/>
      <c r="D18" s="1180"/>
      <c r="E18" s="1180"/>
      <c r="F18" s="1180"/>
      <c r="G18" s="1180"/>
      <c r="H18" s="1180"/>
      <c r="I18" s="1180"/>
      <c r="J18" s="1180"/>
      <c r="K18" s="1180"/>
      <c r="L18" s="1180"/>
      <c r="M18" s="1180"/>
      <c r="N18" s="1180"/>
      <c r="O18" s="1180"/>
      <c r="P18" s="1180"/>
      <c r="Q18" s="1180"/>
      <c r="R18" s="1180"/>
      <c r="S18" s="1180"/>
      <c r="T18" s="1180"/>
      <c r="U18" s="1180"/>
    </row>
    <row r="19" spans="1:21">
      <c r="A19" s="1179"/>
      <c r="B19" s="1180"/>
      <c r="C19" s="1180"/>
      <c r="D19" s="1180"/>
      <c r="E19" s="1180"/>
      <c r="F19" s="1180"/>
      <c r="G19" s="1180"/>
      <c r="H19" s="1180"/>
      <c r="I19" s="1180"/>
      <c r="J19" s="1180"/>
      <c r="K19" s="1180"/>
      <c r="L19" s="1180"/>
      <c r="M19" s="1180"/>
      <c r="N19" s="1180"/>
      <c r="O19" s="1180"/>
      <c r="P19" s="1180"/>
      <c r="Q19" s="1180"/>
      <c r="R19" s="1180"/>
      <c r="S19" s="1180"/>
      <c r="T19" s="1180"/>
      <c r="U19" s="1180"/>
    </row>
    <row r="20" spans="1:21">
      <c r="A20" s="1179"/>
      <c r="B20" s="1180"/>
      <c r="C20" s="1180"/>
      <c r="D20" s="1180"/>
      <c r="E20" s="1180"/>
      <c r="F20" s="1180"/>
      <c r="G20" s="1180"/>
      <c r="H20" s="2199"/>
      <c r="I20" s="1180"/>
      <c r="J20" s="1180"/>
      <c r="K20" s="1180"/>
      <c r="L20" s="1180"/>
      <c r="M20" s="1180"/>
      <c r="N20" s="1180"/>
      <c r="O20" s="1180"/>
      <c r="P20" s="1180"/>
      <c r="Q20" s="1180"/>
      <c r="R20" s="1180"/>
      <c r="S20" s="1180"/>
      <c r="T20" s="1180"/>
      <c r="U20" s="1180"/>
    </row>
    <row r="21" spans="1:21">
      <c r="A21" s="1502"/>
      <c r="B21" s="1180"/>
      <c r="C21" s="1180"/>
      <c r="D21" s="1180"/>
      <c r="E21" s="1180"/>
      <c r="F21" s="1180"/>
      <c r="G21" s="1180"/>
      <c r="H21" s="2170"/>
      <c r="I21" s="1180"/>
      <c r="J21" s="1180"/>
      <c r="K21" s="1180"/>
      <c r="L21" s="1180"/>
      <c r="M21" s="1180"/>
      <c r="N21" s="1180"/>
      <c r="O21" s="1180"/>
      <c r="P21" s="1180"/>
      <c r="Q21" s="1180"/>
      <c r="R21" s="1180"/>
      <c r="S21" s="1180"/>
      <c r="T21" s="1180"/>
      <c r="U21" s="1180"/>
    </row>
    <row r="22" spans="1:21">
      <c r="A22" s="1180"/>
      <c r="B22" s="1180"/>
      <c r="C22" s="1180"/>
      <c r="D22" s="1180"/>
      <c r="E22" s="1180"/>
      <c r="F22" s="1180"/>
      <c r="G22" s="1180"/>
      <c r="H22" s="1180"/>
      <c r="I22" s="1180"/>
      <c r="J22" s="1180"/>
      <c r="K22" s="1180"/>
      <c r="L22" s="1180"/>
      <c r="M22" s="1180"/>
      <c r="N22" s="1180"/>
      <c r="O22" s="1180"/>
      <c r="P22" s="1180"/>
      <c r="Q22" s="1180"/>
      <c r="R22" s="1180"/>
      <c r="S22" s="1180"/>
      <c r="T22" s="1180"/>
      <c r="U22" s="1180"/>
    </row>
    <row r="23" spans="1:21">
      <c r="A23" s="1179" t="s">
        <v>2249</v>
      </c>
      <c r="B23" s="1180"/>
      <c r="C23" s="1180"/>
      <c r="D23" s="1180"/>
      <c r="E23" s="1180"/>
      <c r="F23" s="1180"/>
      <c r="G23" s="1180"/>
      <c r="H23" s="1180"/>
      <c r="I23" s="1426"/>
      <c r="J23" s="1375">
        <f ca="1">T53</f>
        <v>79447</v>
      </c>
      <c r="K23" s="1180"/>
      <c r="L23" s="1180"/>
      <c r="M23" s="1180"/>
      <c r="N23" s="1180"/>
      <c r="O23" s="1180"/>
      <c r="P23" s="1180"/>
      <c r="Q23" s="1180"/>
      <c r="R23" s="1180"/>
      <c r="S23" s="1180"/>
      <c r="T23" s="1180"/>
      <c r="U23" s="1180"/>
    </row>
    <row r="24" spans="1:21">
      <c r="A24" s="1180"/>
      <c r="B24" s="1180"/>
      <c r="C24" s="1180"/>
      <c r="D24" s="1180"/>
      <c r="E24" s="1180"/>
      <c r="F24" s="1180"/>
      <c r="G24" s="1180"/>
      <c r="H24" s="1180"/>
      <c r="I24" s="1180"/>
      <c r="J24" s="1426"/>
      <c r="K24" s="1180"/>
      <c r="L24" s="1180"/>
      <c r="M24" s="1180"/>
      <c r="N24" s="1180"/>
      <c r="O24" s="1180"/>
      <c r="P24" s="1180"/>
      <c r="Q24" s="1180"/>
      <c r="R24" s="1180"/>
      <c r="S24" s="1180"/>
      <c r="T24" s="1180"/>
      <c r="U24" s="1180"/>
    </row>
    <row r="25" spans="1:21">
      <c r="A25" s="1180"/>
      <c r="B25" s="1180"/>
      <c r="C25" s="1180"/>
      <c r="D25" s="1180"/>
      <c r="E25" s="1180"/>
      <c r="F25" s="1180"/>
      <c r="G25" s="1180"/>
      <c r="H25" s="1180"/>
      <c r="I25" s="1180"/>
      <c r="J25" s="1180"/>
      <c r="K25" s="1180"/>
      <c r="L25" s="1180"/>
      <c r="M25" s="1180"/>
      <c r="N25" s="1180"/>
      <c r="O25" s="1180"/>
      <c r="P25" s="1180"/>
      <c r="Q25" s="1180"/>
      <c r="R25" s="1180"/>
      <c r="S25" s="1180"/>
      <c r="T25" s="1180"/>
      <c r="U25" s="1180"/>
    </row>
    <row r="26" spans="1:21">
      <c r="A26" s="1179" t="s">
        <v>266</v>
      </c>
      <c r="B26" s="1180"/>
      <c r="C26" s="1180"/>
      <c r="D26" s="1180"/>
      <c r="E26" s="1180"/>
      <c r="F26" s="1180"/>
      <c r="G26" s="1180"/>
      <c r="H26" s="1180"/>
      <c r="I26" s="1180"/>
      <c r="J26" s="1425">
        <f>VLOOKUP(D33,ALLOCTABLE,2)/100</f>
        <v>1</v>
      </c>
      <c r="K26" s="1180"/>
      <c r="L26" s="1180"/>
      <c r="M26" s="1180"/>
      <c r="N26" s="1180"/>
      <c r="O26" s="1180"/>
      <c r="P26" s="1180"/>
      <c r="Q26" s="1180"/>
      <c r="R26" s="1180"/>
      <c r="S26" s="1180"/>
      <c r="T26" s="1180"/>
      <c r="U26" s="1180"/>
    </row>
    <row r="27" spans="1:21">
      <c r="A27" s="1180"/>
      <c r="B27" s="1180"/>
      <c r="C27" s="1180"/>
      <c r="D27" s="1180"/>
      <c r="E27" s="1180"/>
      <c r="F27" s="1180"/>
      <c r="G27" s="1180"/>
      <c r="H27" s="1180"/>
      <c r="I27" s="1180"/>
      <c r="J27" s="1426"/>
      <c r="K27" s="1180"/>
      <c r="L27" s="1180"/>
      <c r="M27" s="1180"/>
      <c r="N27" s="1180"/>
      <c r="O27" s="1180"/>
      <c r="P27" s="1180"/>
      <c r="Q27" s="1180"/>
      <c r="R27" s="1180"/>
      <c r="S27" s="1180"/>
      <c r="T27" s="1180"/>
      <c r="U27" s="1180"/>
    </row>
    <row r="28" spans="1:21">
      <c r="A28" s="1180"/>
      <c r="B28" s="1180"/>
      <c r="C28" s="1180"/>
      <c r="D28" s="1180"/>
      <c r="E28" s="1180"/>
      <c r="F28" s="1180"/>
      <c r="G28" s="1180"/>
      <c r="H28" s="1180"/>
      <c r="I28" s="1180"/>
      <c r="J28" s="1180"/>
      <c r="K28" s="1180"/>
      <c r="L28" s="1180"/>
      <c r="M28" s="1180"/>
      <c r="N28" s="1180"/>
      <c r="O28" s="1180"/>
      <c r="P28" s="1180"/>
      <c r="Q28" s="1180"/>
      <c r="R28" s="1180"/>
      <c r="S28" s="1180"/>
      <c r="T28" s="1180"/>
      <c r="U28" s="1180"/>
    </row>
    <row r="29" spans="1:21" ht="15">
      <c r="A29" s="1179" t="s">
        <v>1236</v>
      </c>
      <c r="B29" s="1180"/>
      <c r="C29" s="1180"/>
      <c r="D29" s="1180"/>
      <c r="E29" s="1180"/>
      <c r="F29" s="1179" t="s">
        <v>1213</v>
      </c>
      <c r="G29" s="1180"/>
      <c r="H29" s="1180"/>
      <c r="I29" s="1426"/>
      <c r="J29" s="1427">
        <f ca="1">ROUND(J23*J26,0)</f>
        <v>79447</v>
      </c>
      <c r="K29" s="1180"/>
      <c r="L29" s="1180"/>
      <c r="M29" s="1180"/>
      <c r="N29" s="1180"/>
      <c r="O29" s="1180"/>
      <c r="P29" s="1180"/>
      <c r="Q29" s="1180"/>
      <c r="R29" s="1180"/>
      <c r="S29" s="1180"/>
      <c r="T29" s="1180"/>
      <c r="U29" s="1180"/>
    </row>
    <row r="30" spans="1:21">
      <c r="A30" s="1180"/>
      <c r="B30" s="1180"/>
      <c r="C30" s="1180"/>
      <c r="D30" s="1180"/>
      <c r="E30" s="1180"/>
      <c r="F30" s="1180"/>
      <c r="G30" s="1180"/>
      <c r="H30" s="1180"/>
      <c r="I30" s="1180"/>
      <c r="J30" s="1426"/>
      <c r="K30" s="1180"/>
      <c r="L30" s="1180"/>
      <c r="M30" s="1180"/>
      <c r="N30" s="1180"/>
      <c r="O30" s="1180"/>
      <c r="P30" s="1180"/>
      <c r="Q30" s="1180"/>
      <c r="R30" s="1180"/>
      <c r="S30" s="1180"/>
      <c r="T30" s="1180"/>
      <c r="U30" s="1180"/>
    </row>
    <row r="31" spans="1:21">
      <c r="A31" s="1180"/>
      <c r="B31" s="1180"/>
      <c r="C31" s="1180"/>
      <c r="D31" s="1180"/>
      <c r="E31" s="1180"/>
      <c r="F31" s="1180"/>
      <c r="G31" s="1180"/>
      <c r="H31" s="1180"/>
      <c r="I31" s="1180"/>
      <c r="J31" s="1180"/>
      <c r="K31" s="1180"/>
      <c r="L31" s="1180"/>
      <c r="M31" s="1180"/>
      <c r="N31" s="1180"/>
      <c r="O31" s="1180"/>
      <c r="P31" s="1180"/>
      <c r="Q31" s="1180"/>
      <c r="R31" s="1180"/>
      <c r="S31" s="1180"/>
      <c r="T31" s="1180"/>
      <c r="U31" s="1180"/>
    </row>
    <row r="32" spans="1:21">
      <c r="A32" s="1180"/>
      <c r="B32" s="1180"/>
      <c r="C32" s="1180"/>
      <c r="D32" s="1180"/>
      <c r="E32" s="1180"/>
      <c r="F32" s="1180"/>
      <c r="G32" s="1180"/>
      <c r="H32" s="1180"/>
      <c r="I32" s="1180"/>
      <c r="J32" s="1180"/>
      <c r="K32" s="1180"/>
      <c r="L32" s="1180"/>
      <c r="M32" s="1180"/>
      <c r="N32" s="1180"/>
      <c r="O32" s="1180"/>
      <c r="P32" s="1180"/>
      <c r="Q32" s="1180"/>
      <c r="R32" s="1180"/>
      <c r="S32" s="1180"/>
      <c r="T32" s="1180"/>
      <c r="U32" s="1180"/>
    </row>
    <row r="33" spans="1:21">
      <c r="A33" s="1179" t="s">
        <v>1237</v>
      </c>
      <c r="B33" s="1180"/>
      <c r="C33" s="1180"/>
      <c r="D33" s="2149" t="s">
        <v>593</v>
      </c>
      <c r="E33" s="1180"/>
      <c r="F33" s="1180"/>
      <c r="G33" s="1180"/>
      <c r="H33" s="1180"/>
      <c r="I33" s="1180"/>
      <c r="J33" s="1180"/>
      <c r="K33" s="1180"/>
      <c r="L33" s="1180"/>
      <c r="M33" s="1180"/>
      <c r="N33" s="1180"/>
      <c r="O33" s="1180"/>
      <c r="P33" s="1180"/>
      <c r="Q33" s="1180"/>
      <c r="R33" s="1180"/>
      <c r="S33" s="1180"/>
      <c r="T33" s="1180"/>
      <c r="U33" s="1180"/>
    </row>
    <row r="34" spans="1:21">
      <c r="A34" s="1179"/>
      <c r="B34" s="1180"/>
      <c r="C34" s="1180"/>
      <c r="D34" s="1180"/>
      <c r="E34" s="1180"/>
      <c r="F34" s="1180"/>
      <c r="G34" s="1180"/>
      <c r="H34" s="1180"/>
      <c r="I34" s="1180"/>
      <c r="J34" s="1180"/>
      <c r="K34" s="1180"/>
      <c r="L34" s="1180"/>
      <c r="M34" s="1180"/>
      <c r="N34" s="1180"/>
      <c r="O34" s="1180"/>
      <c r="P34" s="1180"/>
      <c r="Q34" s="1180"/>
      <c r="R34" s="1180"/>
      <c r="S34" s="1180"/>
      <c r="T34" s="1180"/>
      <c r="U34" s="1180"/>
    </row>
    <row r="35" spans="1:21">
      <c r="A35" s="1180"/>
      <c r="B35" s="1180"/>
      <c r="C35" s="1180"/>
      <c r="D35" s="1180"/>
      <c r="E35" s="1180"/>
      <c r="F35" s="1180"/>
      <c r="G35" s="1180"/>
      <c r="H35" s="1180"/>
      <c r="I35" s="1180"/>
      <c r="J35" s="1180"/>
      <c r="K35" s="1180"/>
      <c r="L35" s="1180"/>
      <c r="M35" s="1180"/>
      <c r="N35" s="1180"/>
      <c r="O35" s="1180"/>
      <c r="P35" s="1180"/>
      <c r="Q35" s="1180"/>
      <c r="R35" s="1180"/>
      <c r="S35" s="1180"/>
      <c r="T35" s="1180"/>
      <c r="U35" s="1180"/>
    </row>
    <row r="36" spans="1:21">
      <c r="A36" s="1180"/>
      <c r="B36" s="1180"/>
      <c r="C36" s="1180"/>
      <c r="D36" s="1180"/>
      <c r="E36" s="1180"/>
      <c r="F36" s="1180"/>
      <c r="G36" s="1180"/>
      <c r="H36" s="1180"/>
      <c r="I36" s="1180"/>
      <c r="J36" s="1180"/>
      <c r="K36" s="1180"/>
      <c r="L36" s="1180"/>
      <c r="M36" s="1180"/>
      <c r="N36" s="1180"/>
      <c r="O36" s="1180"/>
      <c r="P36" s="1180"/>
      <c r="Q36" s="1180"/>
      <c r="R36" s="1180"/>
      <c r="S36" s="1180"/>
      <c r="T36" s="1180"/>
      <c r="U36" s="1180"/>
    </row>
    <row r="37" spans="1:21">
      <c r="A37" s="1180"/>
      <c r="B37" s="1180"/>
      <c r="C37" s="1180"/>
      <c r="D37" s="1180"/>
      <c r="E37" s="1180"/>
      <c r="F37" s="1180"/>
      <c r="G37" s="1180"/>
      <c r="H37" s="1180"/>
      <c r="I37" s="1180"/>
      <c r="J37" s="1180"/>
      <c r="K37" s="1180"/>
      <c r="L37" s="1180"/>
      <c r="M37" s="1180"/>
      <c r="N37" s="1180"/>
      <c r="O37" s="1180"/>
      <c r="P37" s="1180"/>
      <c r="Q37" s="1180"/>
      <c r="R37" s="1180"/>
      <c r="S37" s="1180"/>
      <c r="T37" s="1180"/>
      <c r="U37" s="1180"/>
    </row>
    <row r="38" spans="1:21">
      <c r="A38" s="1180"/>
      <c r="B38" s="1180"/>
      <c r="C38" s="1180"/>
      <c r="D38" s="1180"/>
      <c r="E38" s="1180"/>
      <c r="F38" s="1180"/>
      <c r="G38" s="1180"/>
      <c r="H38" s="1180"/>
      <c r="I38" s="1180"/>
      <c r="J38" s="1180"/>
      <c r="K38" s="1180"/>
      <c r="L38" s="1180"/>
      <c r="M38" s="1180"/>
      <c r="N38" s="1180"/>
      <c r="O38" s="1180"/>
      <c r="P38" s="1180"/>
      <c r="Q38" s="1180"/>
      <c r="R38" s="1180"/>
      <c r="S38" s="1180"/>
      <c r="T38" s="1180"/>
      <c r="U38" s="1180"/>
    </row>
    <row r="39" spans="1:21">
      <c r="A39" s="1180"/>
      <c r="B39" s="1180"/>
      <c r="C39" s="1180"/>
      <c r="D39" s="1180"/>
      <c r="E39" s="1180"/>
      <c r="F39" s="1180"/>
      <c r="G39" s="1180"/>
      <c r="H39" s="1180"/>
      <c r="I39" s="1180"/>
      <c r="J39" s="1180"/>
      <c r="K39" s="1180"/>
      <c r="L39" s="1180"/>
      <c r="M39" s="1180"/>
      <c r="N39" s="1180"/>
      <c r="O39" s="1180"/>
      <c r="P39" s="1180"/>
      <c r="Q39" s="1180"/>
      <c r="R39" s="1180"/>
      <c r="S39" s="1180"/>
      <c r="T39" s="1180"/>
      <c r="U39" s="1180"/>
    </row>
    <row r="40" spans="1:21">
      <c r="A40" s="1180"/>
      <c r="B40" s="1180"/>
      <c r="C40" s="1180"/>
      <c r="D40" s="1180"/>
      <c r="E40" s="1180"/>
      <c r="F40" s="1180"/>
      <c r="G40" s="1180"/>
      <c r="H40" s="1180"/>
      <c r="I40" s="1180"/>
      <c r="J40" s="1180"/>
      <c r="K40" s="1180"/>
      <c r="L40" s="1180"/>
      <c r="M40" s="1180"/>
      <c r="N40" s="1180"/>
      <c r="O40" s="1180"/>
      <c r="P40" s="1180"/>
      <c r="Q40" s="1180"/>
      <c r="R40" s="1180"/>
      <c r="S40" s="1180"/>
      <c r="T40" s="1180"/>
      <c r="U40" s="1180"/>
    </row>
    <row r="41" spans="1:21">
      <c r="A41" s="1180"/>
      <c r="B41" s="1180"/>
      <c r="C41" s="1180"/>
      <c r="D41" s="1180"/>
      <c r="E41" s="1180"/>
      <c r="F41" s="1180"/>
      <c r="G41" s="1180"/>
      <c r="H41" s="1180"/>
      <c r="I41" s="1180"/>
      <c r="J41" s="1180"/>
      <c r="K41" s="1180"/>
      <c r="L41" s="1180"/>
      <c r="M41" s="1180"/>
      <c r="N41" s="1180"/>
      <c r="O41" s="1180"/>
      <c r="P41" s="1180"/>
      <c r="Q41" s="1180"/>
      <c r="R41" s="1180"/>
      <c r="S41" s="1180"/>
      <c r="T41" s="1180"/>
      <c r="U41" s="1180"/>
    </row>
    <row r="42" spans="1:21">
      <c r="A42" s="1180"/>
      <c r="B42" s="1180"/>
      <c r="C42" s="1180"/>
      <c r="D42" s="1180"/>
      <c r="E42" s="1180"/>
      <c r="F42" s="1180"/>
      <c r="G42" s="1180"/>
      <c r="H42" s="1180"/>
      <c r="I42" s="1180"/>
      <c r="J42" s="1180"/>
      <c r="K42" s="1180"/>
      <c r="L42" s="1180"/>
      <c r="M42" s="1180"/>
      <c r="N42" s="1180"/>
      <c r="O42" s="1180"/>
      <c r="P42" s="1180"/>
      <c r="Q42" s="1180"/>
      <c r="R42" s="1180"/>
      <c r="S42" s="1180"/>
      <c r="T42" s="1180"/>
      <c r="U42" s="1180"/>
    </row>
    <row r="43" spans="1:21">
      <c r="A43" s="1180"/>
      <c r="B43" s="1180"/>
      <c r="C43" s="1180"/>
      <c r="D43" s="1180"/>
      <c r="E43" s="1180"/>
      <c r="F43" s="1180"/>
      <c r="G43" s="1180"/>
      <c r="H43" s="1180"/>
      <c r="I43" s="1180"/>
      <c r="J43" s="1180"/>
      <c r="K43" s="1180"/>
      <c r="L43" s="1629" t="str">
        <f>COMPANY</f>
        <v>DUKE ENERGY KENTUCKY, INC.</v>
      </c>
      <c r="M43" s="530"/>
      <c r="N43" s="530"/>
      <c r="O43" s="530"/>
      <c r="P43" s="530"/>
      <c r="Q43" s="530"/>
      <c r="R43" s="1629" t="s">
        <v>1073</v>
      </c>
      <c r="S43" s="530"/>
      <c r="T43" s="1178"/>
      <c r="U43" s="1180"/>
    </row>
    <row r="44" spans="1:21">
      <c r="A44" s="1180"/>
      <c r="B44" s="1180"/>
      <c r="C44" s="1180"/>
      <c r="D44" s="1180"/>
      <c r="E44" s="1180"/>
      <c r="F44" s="1180"/>
      <c r="G44" s="1180"/>
      <c r="H44" s="1180"/>
      <c r="I44" s="1180"/>
      <c r="J44" s="1180"/>
      <c r="K44" s="1180"/>
      <c r="L44" s="1629" t="str">
        <f>DEPT</f>
        <v>ELECTRIC DEPARTMENT</v>
      </c>
      <c r="M44" s="530"/>
      <c r="N44" s="530"/>
      <c r="O44" s="530"/>
      <c r="P44" s="530"/>
      <c r="Q44" s="530"/>
      <c r="R44" s="1629" t="s">
        <v>1239</v>
      </c>
      <c r="S44" s="530"/>
      <c r="T44" s="1178"/>
      <c r="U44" s="1180"/>
    </row>
    <row r="45" spans="1:21">
      <c r="A45" s="1180"/>
      <c r="B45" s="1180"/>
      <c r="C45" s="1180"/>
      <c r="D45" s="1180"/>
      <c r="E45" s="1180"/>
      <c r="F45" s="1180"/>
      <c r="G45" s="1180"/>
      <c r="H45" s="1180"/>
      <c r="I45" s="1180"/>
      <c r="J45" s="1180"/>
      <c r="K45" s="1180"/>
      <c r="L45" s="1629" t="str">
        <f>CASE</f>
        <v>CASE NO. 2017-00321</v>
      </c>
      <c r="M45" s="530"/>
      <c r="N45" s="530"/>
      <c r="O45" s="530"/>
      <c r="P45" s="530"/>
      <c r="Q45" s="530"/>
      <c r="R45" s="530" t="str">
        <f>_WIT10</f>
        <v>R. H. PRATT</v>
      </c>
      <c r="S45" s="530"/>
      <c r="T45" s="1178"/>
      <c r="U45" s="1180"/>
    </row>
    <row r="46" spans="1:21">
      <c r="A46" s="1180"/>
      <c r="B46" s="1180"/>
      <c r="C46" s="1180"/>
      <c r="D46" s="1180"/>
      <c r="E46" s="1180"/>
      <c r="F46" s="1180"/>
      <c r="G46" s="1180"/>
      <c r="H46" s="1180"/>
      <c r="I46" s="1180"/>
      <c r="J46" s="1180"/>
      <c r="K46" s="1180"/>
      <c r="L46" s="1629" t="s">
        <v>2269</v>
      </c>
      <c r="M46" s="530"/>
      <c r="N46" s="530"/>
      <c r="O46" s="530"/>
      <c r="P46" s="530"/>
      <c r="Q46" s="530"/>
      <c r="R46" s="2107"/>
      <c r="S46" s="530"/>
      <c r="T46" s="1178"/>
      <c r="U46" s="1180"/>
    </row>
    <row r="47" spans="1:21">
      <c r="A47" s="1180"/>
      <c r="B47" s="1180"/>
      <c r="C47" s="1180"/>
      <c r="D47" s="1180"/>
      <c r="E47" s="1180"/>
      <c r="F47" s="1180"/>
      <c r="G47" s="1180"/>
      <c r="H47" s="1180"/>
      <c r="I47" s="1180"/>
      <c r="J47" s="1180"/>
      <c r="K47" s="1180"/>
      <c r="L47" s="1629"/>
      <c r="M47" s="530"/>
      <c r="N47" s="530"/>
      <c r="O47" s="530"/>
      <c r="P47" s="530"/>
      <c r="Q47" s="530"/>
      <c r="R47" s="530"/>
      <c r="S47" s="530"/>
      <c r="T47" s="1178"/>
      <c r="U47" s="1180"/>
    </row>
    <row r="48" spans="1:21">
      <c r="A48" s="1180"/>
      <c r="B48" s="1180"/>
      <c r="C48" s="1180"/>
      <c r="D48" s="1180"/>
      <c r="E48" s="1180"/>
      <c r="F48" s="1180"/>
      <c r="G48" s="1180"/>
      <c r="H48" s="1180"/>
      <c r="I48" s="1180"/>
      <c r="J48" s="1180"/>
      <c r="K48" s="1180"/>
      <c r="L48" s="1178"/>
      <c r="M48" s="1178"/>
      <c r="N48" s="1178"/>
      <c r="O48" s="1178"/>
      <c r="P48" s="1178"/>
      <c r="Q48" s="1178"/>
      <c r="R48" s="1178"/>
      <c r="S48" s="1178"/>
      <c r="T48" s="1178"/>
      <c r="U48" s="1180"/>
    </row>
    <row r="49" spans="1:21">
      <c r="A49" s="1180"/>
      <c r="B49" s="1180"/>
      <c r="C49" s="1180"/>
      <c r="D49" s="1180"/>
      <c r="E49" s="1180"/>
      <c r="F49" s="1180"/>
      <c r="G49" s="1180"/>
      <c r="H49" s="1180"/>
      <c r="I49" s="1180"/>
      <c r="J49" s="1180"/>
      <c r="K49" s="1180"/>
      <c r="L49" s="1178"/>
      <c r="M49" s="1178"/>
      <c r="N49" s="1178"/>
      <c r="O49" s="1178"/>
      <c r="P49" s="1178"/>
      <c r="Q49" s="1178"/>
      <c r="R49" s="1178"/>
      <c r="S49" s="1178"/>
      <c r="T49" s="1178"/>
      <c r="U49" s="1180"/>
    </row>
    <row r="50" spans="1:21">
      <c r="A50" s="1180"/>
      <c r="B50" s="1180"/>
      <c r="C50" s="1180"/>
      <c r="D50" s="1180"/>
      <c r="E50" s="1180"/>
      <c r="F50" s="1180"/>
      <c r="G50" s="1180"/>
      <c r="H50" s="1180"/>
      <c r="I50" s="1180"/>
      <c r="J50" s="1180"/>
      <c r="K50" s="1180"/>
      <c r="L50" s="1423" t="s">
        <v>1240</v>
      </c>
      <c r="M50" s="1423"/>
      <c r="N50" s="1423"/>
      <c r="O50" s="1423"/>
      <c r="P50" s="1423" t="s">
        <v>1117</v>
      </c>
      <c r="Q50" s="1423"/>
      <c r="R50" s="1423" t="s">
        <v>626</v>
      </c>
      <c r="S50" s="1423"/>
      <c r="T50" s="1423"/>
      <c r="U50" s="1180"/>
    </row>
    <row r="51" spans="1:21">
      <c r="A51" s="1180"/>
      <c r="B51" s="1180"/>
      <c r="C51" s="1180"/>
      <c r="D51" s="1180"/>
      <c r="E51" s="1180"/>
      <c r="F51" s="1180"/>
      <c r="G51" s="1180"/>
      <c r="H51" s="1180"/>
      <c r="I51" s="1180"/>
      <c r="J51" s="1180"/>
      <c r="K51" s="1180"/>
      <c r="L51" s="1424" t="s">
        <v>1241</v>
      </c>
      <c r="M51" s="1424"/>
      <c r="N51" s="1424" t="s">
        <v>1119</v>
      </c>
      <c r="O51" s="1424"/>
      <c r="P51" s="1424" t="s">
        <v>1120</v>
      </c>
      <c r="Q51" s="1424"/>
      <c r="R51" s="1424" t="s">
        <v>1120</v>
      </c>
      <c r="S51" s="1424"/>
      <c r="T51" s="1424" t="s">
        <v>1242</v>
      </c>
      <c r="U51" s="1180"/>
    </row>
    <row r="52" spans="1:21">
      <c r="A52" s="1180"/>
      <c r="B52" s="1180"/>
      <c r="C52" s="1180"/>
      <c r="D52" s="1180"/>
      <c r="E52" s="1180"/>
      <c r="F52" s="1180"/>
      <c r="G52" s="1180"/>
      <c r="H52" s="1180"/>
      <c r="I52" s="1180"/>
      <c r="J52" s="1180"/>
      <c r="K52" s="1180"/>
      <c r="L52" s="1178"/>
      <c r="M52" s="1178"/>
      <c r="N52" s="1178"/>
      <c r="O52" s="1178"/>
      <c r="P52" s="1178"/>
      <c r="Q52" s="1178"/>
      <c r="R52" s="1178"/>
      <c r="S52" s="1178"/>
      <c r="T52" s="1178"/>
      <c r="U52" s="1180"/>
    </row>
    <row r="53" spans="1:21" ht="13.5" thickBot="1">
      <c r="A53" s="1180"/>
      <c r="B53" s="1180"/>
      <c r="C53" s="1180"/>
      <c r="D53" s="1180"/>
      <c r="E53" s="1180"/>
      <c r="F53" s="1180"/>
      <c r="G53" s="1180"/>
      <c r="H53" s="1180"/>
      <c r="I53" s="1180"/>
      <c r="J53" s="1180"/>
      <c r="K53" s="1180"/>
      <c r="L53" s="1423">
        <v>1</v>
      </c>
      <c r="M53" s="1178"/>
      <c r="N53" s="1179" t="s">
        <v>2249</v>
      </c>
      <c r="O53" s="1178"/>
      <c r="P53" s="2275">
        <f>SCH_C2!E30</f>
        <v>1637210</v>
      </c>
      <c r="Q53" s="1178"/>
      <c r="R53" s="2275">
        <f ca="1">SCH_C2!H30</f>
        <v>1716657</v>
      </c>
      <c r="S53" s="1178"/>
      <c r="T53" s="2275">
        <f ca="1">R53-P53</f>
        <v>79447</v>
      </c>
      <c r="U53" s="1180"/>
    </row>
    <row r="54" spans="1:21" ht="13.5" thickTop="1">
      <c r="A54" s="1180"/>
      <c r="B54" s="1180"/>
      <c r="C54" s="1180"/>
      <c r="D54" s="1180"/>
      <c r="E54" s="1180"/>
      <c r="F54" s="1180"/>
      <c r="G54" s="1180"/>
      <c r="H54" s="1180"/>
      <c r="I54" s="1180"/>
      <c r="J54" s="1180"/>
      <c r="K54" s="1180"/>
      <c r="L54" s="1423"/>
      <c r="M54" s="1178"/>
      <c r="N54" s="1178"/>
      <c r="O54" s="1178"/>
      <c r="P54" s="1178"/>
      <c r="Q54" s="1178"/>
      <c r="R54" s="1178"/>
      <c r="S54" s="1178"/>
      <c r="T54" s="1178"/>
      <c r="U54" s="1180"/>
    </row>
    <row r="55" spans="1:21">
      <c r="A55" s="1180"/>
      <c r="B55" s="1180"/>
      <c r="C55" s="1180"/>
      <c r="D55" s="1180"/>
      <c r="E55" s="1180"/>
      <c r="F55" s="1180"/>
      <c r="G55" s="1180"/>
      <c r="H55" s="1180"/>
      <c r="I55" s="1180"/>
      <c r="J55" s="1180"/>
      <c r="K55" s="1180"/>
      <c r="L55" s="1178"/>
      <c r="M55" s="1178"/>
      <c r="N55" s="1178"/>
      <c r="O55" s="1178"/>
      <c r="P55" s="1178"/>
      <c r="Q55" s="1178"/>
      <c r="R55" s="1178"/>
      <c r="S55" s="1178"/>
      <c r="T55" s="1178"/>
      <c r="U55" s="1180"/>
    </row>
    <row r="56" spans="1:21">
      <c r="A56" s="1180"/>
      <c r="B56" s="1180"/>
      <c r="C56" s="1180"/>
      <c r="D56" s="1180"/>
      <c r="E56" s="1180"/>
      <c r="F56" s="1180"/>
      <c r="G56" s="1180"/>
      <c r="H56" s="1180"/>
      <c r="I56" s="1180"/>
      <c r="J56" s="1180"/>
      <c r="K56" s="1180"/>
      <c r="L56" s="1178"/>
      <c r="M56" s="1178"/>
      <c r="N56" s="1178"/>
      <c r="O56" s="1178"/>
      <c r="P56" s="1178"/>
      <c r="Q56" s="1178"/>
      <c r="R56" s="1178"/>
      <c r="S56" s="1178"/>
      <c r="T56" s="1178"/>
      <c r="U56" s="1180"/>
    </row>
    <row r="57" spans="1:21">
      <c r="A57" s="1180"/>
      <c r="B57" s="1180"/>
      <c r="C57" s="1180"/>
      <c r="D57" s="1180"/>
      <c r="E57" s="1180"/>
      <c r="F57" s="1180"/>
      <c r="G57" s="1180"/>
      <c r="H57" s="1180"/>
      <c r="I57" s="1180"/>
      <c r="J57" s="1180"/>
      <c r="K57" s="1180"/>
      <c r="L57" s="1178"/>
      <c r="M57" s="1178"/>
      <c r="N57" s="1178"/>
      <c r="O57" s="1178"/>
      <c r="P57" s="1178"/>
      <c r="Q57" s="1178"/>
      <c r="R57" s="1178"/>
      <c r="S57" s="1178"/>
      <c r="T57" s="1423" t="s">
        <v>1244</v>
      </c>
      <c r="U57" s="1180"/>
    </row>
    <row r="58" spans="1:21">
      <c r="A58" s="1180"/>
      <c r="B58" s="1180"/>
      <c r="C58" s="1180"/>
      <c r="D58" s="1180"/>
      <c r="E58" s="1180"/>
      <c r="F58" s="1180"/>
      <c r="G58" s="1180"/>
      <c r="H58" s="1180"/>
      <c r="I58" s="1180"/>
      <c r="J58" s="1180"/>
      <c r="K58" s="1180"/>
      <c r="L58" s="1180"/>
      <c r="M58" s="1180"/>
      <c r="N58" s="1180"/>
      <c r="O58" s="1180"/>
      <c r="P58" s="1180"/>
      <c r="Q58" s="1180"/>
      <c r="R58" s="1180"/>
      <c r="S58" s="1180"/>
      <c r="T58" s="1180"/>
      <c r="U58" s="1180"/>
    </row>
    <row r="59" spans="1:21">
      <c r="A59" s="1180"/>
      <c r="B59" s="1180"/>
      <c r="C59" s="1180"/>
      <c r="D59" s="1180"/>
      <c r="E59" s="1180"/>
      <c r="F59" s="1180"/>
      <c r="G59" s="1180"/>
      <c r="H59" s="1180"/>
      <c r="I59" s="1180"/>
      <c r="J59" s="1180"/>
      <c r="K59" s="1180"/>
      <c r="L59" s="1180"/>
      <c r="M59" s="1180"/>
      <c r="N59" s="1180"/>
      <c r="O59" s="1180"/>
      <c r="P59" s="1180"/>
      <c r="Q59" s="1180"/>
      <c r="R59" s="1180"/>
      <c r="S59" s="1180"/>
      <c r="T59" s="1180"/>
      <c r="U59" s="1180"/>
    </row>
    <row r="60" spans="1:21">
      <c r="A60" s="1180"/>
      <c r="B60" s="1180"/>
      <c r="C60" s="1180"/>
      <c r="D60" s="1180"/>
      <c r="E60" s="1180"/>
      <c r="F60" s="1180"/>
      <c r="G60" s="1180"/>
      <c r="H60" s="1180"/>
      <c r="I60" s="1180"/>
      <c r="J60" s="1180"/>
      <c r="K60" s="1180"/>
      <c r="L60" s="1180"/>
      <c r="M60" s="1180"/>
      <c r="N60" s="1180"/>
      <c r="O60" s="1180"/>
      <c r="P60" s="1180"/>
      <c r="Q60" s="1180"/>
      <c r="R60" s="2370"/>
      <c r="S60" s="1180"/>
      <c r="T60" s="1180"/>
      <c r="U60" s="1180"/>
    </row>
    <row r="61" spans="1:21">
      <c r="A61" s="1180"/>
      <c r="B61" s="1180"/>
      <c r="C61" s="1180"/>
      <c r="D61" s="1180"/>
      <c r="E61" s="1180"/>
      <c r="F61" s="1180"/>
      <c r="G61" s="1180"/>
      <c r="H61" s="1180"/>
      <c r="I61" s="1180"/>
      <c r="J61" s="1180"/>
      <c r="K61" s="1180"/>
      <c r="L61" s="1180"/>
      <c r="M61" s="1180"/>
      <c r="N61" s="1180"/>
      <c r="O61" s="1180"/>
      <c r="P61" s="1180"/>
      <c r="Q61" s="1180"/>
      <c r="R61" s="1180"/>
      <c r="S61" s="1180"/>
      <c r="T61" s="1180"/>
      <c r="U61" s="1180"/>
    </row>
    <row r="62" spans="1:21">
      <c r="A62" s="1180"/>
      <c r="B62" s="1180"/>
      <c r="C62" s="1180"/>
      <c r="D62" s="1180"/>
      <c r="E62" s="1180"/>
      <c r="F62" s="1180"/>
      <c r="G62" s="1180"/>
      <c r="H62" s="1180"/>
      <c r="I62" s="1180"/>
      <c r="J62" s="1180"/>
      <c r="K62" s="1180"/>
      <c r="L62" s="1180"/>
      <c r="M62" s="1180"/>
      <c r="N62" s="1180"/>
      <c r="O62" s="1180"/>
      <c r="P62" s="1180"/>
      <c r="Q62" s="1180"/>
      <c r="R62" s="1180"/>
      <c r="S62" s="1180"/>
      <c r="T62" s="1180"/>
      <c r="U62" s="1180"/>
    </row>
    <row r="63" spans="1:21">
      <c r="A63" s="1180"/>
      <c r="B63" s="1180"/>
      <c r="C63" s="1180"/>
      <c r="D63" s="1180"/>
      <c r="E63" s="1180"/>
      <c r="F63" s="1180"/>
      <c r="G63" s="1180"/>
      <c r="H63" s="1180"/>
      <c r="I63" s="1180"/>
      <c r="J63" s="1180"/>
      <c r="K63" s="1180"/>
      <c r="L63" s="1180"/>
      <c r="M63" s="1180"/>
      <c r="N63" s="1180"/>
      <c r="O63" s="1180"/>
      <c r="P63" s="1180"/>
      <c r="Q63" s="1180"/>
      <c r="R63" s="1180"/>
      <c r="S63" s="1180"/>
      <c r="T63" s="1180"/>
      <c r="U63" s="1180"/>
    </row>
    <row r="64" spans="1:21">
      <c r="A64" s="1180"/>
      <c r="B64" s="1180"/>
      <c r="C64" s="1180"/>
      <c r="D64" s="1180"/>
      <c r="E64" s="1180"/>
      <c r="F64" s="1180"/>
      <c r="G64" s="1180"/>
      <c r="H64" s="1180"/>
      <c r="I64" s="1180"/>
      <c r="J64" s="1180"/>
      <c r="K64" s="1180"/>
      <c r="L64" s="1180"/>
      <c r="M64" s="1180"/>
      <c r="N64" s="1180"/>
      <c r="O64" s="1180"/>
      <c r="P64" s="1180"/>
      <c r="Q64" s="1180"/>
      <c r="R64" s="1180"/>
      <c r="S64" s="1180"/>
      <c r="T64" s="1180"/>
      <c r="U64" s="1180"/>
    </row>
    <row r="65" spans="1:21">
      <c r="A65" s="1180"/>
      <c r="B65" s="1180"/>
      <c r="C65" s="1180"/>
      <c r="D65" s="1180"/>
      <c r="E65" s="1180"/>
      <c r="F65" s="1180"/>
      <c r="G65" s="1180"/>
      <c r="H65" s="1180"/>
      <c r="I65" s="1180"/>
      <c r="J65" s="1180"/>
      <c r="K65" s="1180"/>
      <c r="L65" s="1180"/>
      <c r="M65" s="1180"/>
      <c r="N65" s="1180"/>
      <c r="O65" s="1180"/>
      <c r="P65" s="1180"/>
      <c r="Q65" s="1180"/>
      <c r="R65" s="1180"/>
      <c r="S65" s="1180"/>
      <c r="T65" s="1180"/>
      <c r="U65" s="1180"/>
    </row>
    <row r="66" spans="1:21">
      <c r="A66" s="1180"/>
      <c r="B66" s="1180"/>
      <c r="C66" s="1180"/>
      <c r="D66" s="1180"/>
      <c r="E66" s="1180"/>
      <c r="F66" s="1180"/>
      <c r="G66" s="1180"/>
      <c r="H66" s="1180"/>
      <c r="I66" s="1180"/>
      <c r="J66" s="1180"/>
      <c r="K66" s="1180"/>
      <c r="L66" s="1180"/>
      <c r="M66" s="1180"/>
      <c r="N66" s="1180"/>
      <c r="O66" s="1180"/>
      <c r="P66" s="1180"/>
      <c r="Q66" s="1180"/>
      <c r="R66" s="1180"/>
      <c r="S66" s="1180"/>
      <c r="T66" s="1180"/>
      <c r="U66" s="1180"/>
    </row>
    <row r="67" spans="1:21">
      <c r="A67" s="1180"/>
      <c r="B67" s="1180"/>
      <c r="C67" s="1180"/>
      <c r="D67" s="1180"/>
      <c r="E67" s="1180"/>
      <c r="F67" s="1180"/>
      <c r="G67" s="1180"/>
      <c r="H67" s="1180"/>
      <c r="I67" s="1180"/>
      <c r="J67" s="1180"/>
      <c r="K67" s="1180"/>
      <c r="L67" s="1180"/>
      <c r="M67" s="1180"/>
      <c r="N67" s="1180"/>
      <c r="O67" s="1180"/>
      <c r="P67" s="1180"/>
      <c r="Q67" s="1180"/>
      <c r="R67" s="1180"/>
      <c r="S67" s="1180"/>
      <c r="T67" s="1180"/>
      <c r="U67" s="1180"/>
    </row>
    <row r="68" spans="1:21">
      <c r="A68" s="1180"/>
      <c r="B68" s="1180"/>
      <c r="C68" s="1180"/>
      <c r="D68" s="1180"/>
      <c r="E68" s="1180"/>
      <c r="F68" s="1180"/>
      <c r="G68" s="1180"/>
      <c r="H68" s="1180"/>
      <c r="I68" s="1180"/>
      <c r="J68" s="1180"/>
      <c r="K68" s="1180"/>
      <c r="L68" s="1180"/>
      <c r="M68" s="1180"/>
      <c r="N68" s="1180"/>
      <c r="O68" s="1180"/>
      <c r="P68" s="1180"/>
      <c r="Q68" s="1180"/>
      <c r="R68" s="1180"/>
      <c r="S68" s="1180"/>
      <c r="T68" s="1180"/>
      <c r="U68" s="1180"/>
    </row>
    <row r="69" spans="1:21">
      <c r="A69" s="1180"/>
      <c r="B69" s="1180"/>
      <c r="C69" s="1180"/>
      <c r="D69" s="1180"/>
      <c r="E69" s="1180"/>
      <c r="F69" s="1180"/>
      <c r="G69" s="1180"/>
      <c r="H69" s="1180"/>
      <c r="I69" s="1180"/>
      <c r="J69" s="1180"/>
      <c r="K69" s="1180"/>
      <c r="L69" s="1180"/>
      <c r="M69" s="1180"/>
      <c r="N69" s="1180"/>
      <c r="O69" s="1180"/>
      <c r="P69" s="1180"/>
      <c r="Q69" s="1180"/>
      <c r="R69" s="1180"/>
      <c r="S69" s="1180"/>
      <c r="T69" s="1180"/>
      <c r="U69" s="1180"/>
    </row>
  </sheetData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7" tint="-0.249977111117893"/>
  </sheetPr>
  <dimension ref="A1:U69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8" style="18" customWidth="1"/>
    <col min="2" max="2" width="20.42578125" style="18" customWidth="1"/>
    <col min="3" max="3" width="8" style="18" customWidth="1"/>
    <col min="4" max="4" width="10.42578125" style="18" customWidth="1"/>
    <col min="5" max="7" width="8" style="18" customWidth="1"/>
    <col min="8" max="8" width="12.42578125" style="18" customWidth="1"/>
    <col min="9" max="9" width="10" style="18" customWidth="1"/>
    <col min="10" max="10" width="18.42578125" style="18" customWidth="1"/>
    <col min="11" max="12" width="8" style="18" customWidth="1"/>
    <col min="13" max="13" width="2.42578125" style="18" customWidth="1"/>
    <col min="14" max="14" width="42.140625" style="18" customWidth="1"/>
    <col min="15" max="15" width="3.85546875" style="18" customWidth="1"/>
    <col min="16" max="16" width="16" style="18" customWidth="1"/>
    <col min="17" max="17" width="1.85546875" style="18" customWidth="1"/>
    <col min="18" max="18" width="18.140625" style="18" customWidth="1"/>
    <col min="19" max="19" width="2.28515625" style="18" customWidth="1"/>
    <col min="20" max="20" width="16.42578125" style="18" customWidth="1"/>
    <col min="21" max="16384" width="8" style="18"/>
  </cols>
  <sheetData>
    <row r="1" spans="1:21">
      <c r="A1" s="2087" t="str">
        <f>LOGO!B5</f>
        <v>DUKE ENERGY KENTUCKY, INC.</v>
      </c>
      <c r="B1" s="2195"/>
      <c r="C1" s="2195"/>
      <c r="D1" s="2195"/>
      <c r="E1" s="2195"/>
      <c r="F1" s="2195"/>
      <c r="G1" s="2195"/>
      <c r="H1" s="2195"/>
      <c r="I1" s="2195"/>
      <c r="J1" s="2195"/>
      <c r="K1" s="1180"/>
      <c r="L1" s="1180"/>
      <c r="M1" s="1180"/>
      <c r="N1" s="1180"/>
      <c r="O1" s="1180"/>
      <c r="P1" s="1180"/>
      <c r="Q1" s="1180"/>
      <c r="R1" s="1180"/>
      <c r="S1" s="1180"/>
      <c r="T1" s="1180"/>
      <c r="U1" s="1180"/>
    </row>
    <row r="2" spans="1:21">
      <c r="A2" s="2087" t="str">
        <f>LOGO!B6</f>
        <v>CASE NO. 2017-00321</v>
      </c>
      <c r="B2" s="2195"/>
      <c r="C2" s="2195"/>
      <c r="D2" s="2195"/>
      <c r="E2" s="2195"/>
      <c r="F2" s="2195"/>
      <c r="G2" s="2195"/>
      <c r="H2" s="2195"/>
      <c r="I2" s="2195"/>
      <c r="J2" s="2195"/>
      <c r="K2" s="1180"/>
      <c r="L2" s="1180"/>
      <c r="M2" s="1180"/>
      <c r="N2" s="1180"/>
      <c r="O2" s="1180"/>
      <c r="P2" s="1180"/>
      <c r="Q2" s="1180"/>
      <c r="R2" s="1180"/>
      <c r="S2" s="1180"/>
      <c r="T2" s="1180"/>
      <c r="U2" s="1180"/>
    </row>
    <row r="3" spans="1:21">
      <c r="A3" s="2166" t="s">
        <v>184</v>
      </c>
      <c r="B3" s="2195"/>
      <c r="C3" s="2195"/>
      <c r="D3" s="2195"/>
      <c r="E3" s="2195"/>
      <c r="F3" s="2195"/>
      <c r="G3" s="2195"/>
      <c r="H3" s="2195"/>
      <c r="I3" s="2195"/>
      <c r="J3" s="2195"/>
      <c r="K3" s="1180"/>
      <c r="L3" s="1180"/>
      <c r="M3" s="1180"/>
      <c r="N3" s="1180"/>
      <c r="O3" s="1180"/>
      <c r="P3" s="1180"/>
      <c r="Q3" s="1180"/>
      <c r="R3" s="1180"/>
      <c r="S3" s="1180"/>
      <c r="T3" s="1180"/>
      <c r="U3" s="1180"/>
    </row>
    <row r="4" spans="1:21">
      <c r="A4" s="2087" t="str">
        <f>LOGO!B8</f>
        <v>FOR THE TWELVE MONTHS ENDED MARCH 31, 2019</v>
      </c>
      <c r="B4" s="2195"/>
      <c r="C4" s="2195"/>
      <c r="D4" s="2195"/>
      <c r="E4" s="2195"/>
      <c r="F4" s="2195"/>
      <c r="G4" s="2195"/>
      <c r="H4" s="2195"/>
      <c r="I4" s="2195"/>
      <c r="J4" s="2195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</row>
    <row r="5" spans="1:21">
      <c r="A5" s="1180"/>
      <c r="B5" s="1180"/>
      <c r="C5" s="1180"/>
      <c r="D5" s="1180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80"/>
      <c r="U5" s="1180"/>
    </row>
    <row r="6" spans="1:21">
      <c r="A6" s="2206" t="str">
        <f>DataB</f>
        <v>DATA: "X" BASE PERIOD  "X" FORECASTED PERIOD</v>
      </c>
      <c r="B6" s="1180"/>
      <c r="C6" s="1180"/>
      <c r="D6" s="1180"/>
      <c r="E6" s="1180"/>
      <c r="F6" s="1180"/>
      <c r="G6" s="1180"/>
      <c r="H6" s="1180"/>
      <c r="I6" s="2196" t="s">
        <v>1075</v>
      </c>
      <c r="J6" s="1180"/>
      <c r="K6" s="1180"/>
      <c r="L6" s="1180"/>
      <c r="M6" s="1180"/>
      <c r="N6" s="1180"/>
      <c r="O6" s="1180"/>
      <c r="P6" s="1180"/>
      <c r="Q6" s="1180"/>
      <c r="R6" s="1180"/>
      <c r="S6" s="1180"/>
      <c r="T6" s="1180"/>
      <c r="U6" s="1180"/>
    </row>
    <row r="7" spans="1:21">
      <c r="A7" s="2206" t="str">
        <f>LOGO!B15</f>
        <v xml:space="preserve">TYPE OF FILING:  "X" ORIGINAL   UPDATED    REVISED  </v>
      </c>
      <c r="B7" s="1180"/>
      <c r="C7" s="1180"/>
      <c r="D7" s="1180"/>
      <c r="E7" s="1180"/>
      <c r="F7" s="1180"/>
      <c r="G7" s="1180"/>
      <c r="H7" s="1180"/>
      <c r="I7" s="1179" t="s">
        <v>620</v>
      </c>
      <c r="J7" s="1180"/>
      <c r="K7" s="1180"/>
      <c r="L7" s="1180"/>
      <c r="M7" s="1180"/>
      <c r="N7" s="1180"/>
      <c r="O7" s="1180"/>
      <c r="P7" s="1180"/>
      <c r="Q7" s="1180"/>
      <c r="R7" s="1180"/>
      <c r="S7" s="1180"/>
      <c r="T7" s="1180"/>
      <c r="U7" s="1180"/>
    </row>
    <row r="8" spans="1:21">
      <c r="A8" s="1179" t="s">
        <v>888</v>
      </c>
      <c r="B8" s="1180"/>
      <c r="C8" s="1180"/>
      <c r="D8" s="1180"/>
      <c r="E8" s="1180"/>
      <c r="F8" s="1180"/>
      <c r="G8" s="1180"/>
      <c r="H8" s="1180"/>
      <c r="I8" s="1179" t="s">
        <v>622</v>
      </c>
      <c r="J8" s="1180"/>
      <c r="K8" s="1180"/>
      <c r="L8" s="1180"/>
      <c r="M8" s="1180"/>
      <c r="N8" s="1180"/>
      <c r="O8" s="1180"/>
      <c r="P8" s="1180"/>
      <c r="Q8" s="1180"/>
      <c r="R8" s="1180"/>
      <c r="S8" s="1180"/>
      <c r="T8" s="1180"/>
      <c r="U8" s="1180"/>
    </row>
    <row r="9" spans="1:21">
      <c r="A9" s="1180"/>
      <c r="B9" s="1180"/>
      <c r="C9" s="1180"/>
      <c r="D9" s="1180"/>
      <c r="E9" s="1180"/>
      <c r="F9" s="1180"/>
      <c r="G9" s="1180"/>
      <c r="H9" s="1180"/>
      <c r="I9" s="1179" t="str">
        <f>_WIT10</f>
        <v>R. H. PRATT</v>
      </c>
      <c r="J9" s="1180"/>
      <c r="K9" s="1180"/>
      <c r="L9" s="1180"/>
      <c r="M9" s="1180"/>
      <c r="N9" s="1180"/>
      <c r="O9" s="1180"/>
      <c r="P9" s="1180"/>
      <c r="Q9" s="1180"/>
      <c r="R9" s="1180"/>
      <c r="S9" s="1180"/>
      <c r="T9" s="1180"/>
      <c r="U9" s="1180"/>
    </row>
    <row r="10" spans="1:21">
      <c r="A10" s="2197"/>
      <c r="B10" s="2197"/>
      <c r="C10" s="2197"/>
      <c r="D10" s="2197"/>
      <c r="E10" s="2197"/>
      <c r="F10" s="2197"/>
      <c r="G10" s="2197"/>
      <c r="H10" s="2197"/>
      <c r="I10" s="2197"/>
      <c r="J10" s="2197"/>
      <c r="K10" s="1179"/>
      <c r="L10" s="1180"/>
      <c r="M10" s="1180"/>
      <c r="N10" s="1180"/>
      <c r="O10" s="1180"/>
      <c r="P10" s="1180"/>
      <c r="Q10" s="1180"/>
      <c r="R10" s="1180"/>
      <c r="S10" s="1180"/>
      <c r="T10" s="1180"/>
      <c r="U10" s="1180"/>
    </row>
    <row r="11" spans="1:21">
      <c r="A11" s="1180"/>
      <c r="B11" s="1180"/>
      <c r="C11" s="1180"/>
      <c r="D11" s="1180"/>
      <c r="E11" s="1180"/>
      <c r="F11" s="1180"/>
      <c r="G11" s="1180"/>
      <c r="H11" s="1180"/>
      <c r="I11" s="1180"/>
      <c r="J11" s="1180"/>
      <c r="K11" s="1180"/>
      <c r="L11" s="1180"/>
      <c r="M11" s="1180"/>
      <c r="N11" s="1180"/>
      <c r="O11" s="1180"/>
      <c r="P11" s="1180"/>
      <c r="Q11" s="1180"/>
      <c r="R11" s="1180"/>
      <c r="S11" s="1180"/>
      <c r="T11" s="1180"/>
      <c r="U11" s="1180"/>
    </row>
    <row r="12" spans="1:21">
      <c r="A12" s="1179" t="s">
        <v>1246</v>
      </c>
      <c r="B12" s="1180"/>
      <c r="C12" s="1180"/>
      <c r="D12" s="1180"/>
      <c r="E12" s="1180"/>
      <c r="F12" s="1180"/>
      <c r="G12" s="1180"/>
      <c r="H12" s="1180"/>
      <c r="I12" s="1180"/>
      <c r="J12" s="2198" t="s">
        <v>364</v>
      </c>
      <c r="K12" s="1180"/>
      <c r="L12" s="1180"/>
      <c r="M12" s="1180"/>
      <c r="N12" s="1180"/>
      <c r="O12" s="1180"/>
      <c r="P12" s="1180"/>
      <c r="Q12" s="1180"/>
      <c r="R12" s="1180"/>
      <c r="S12" s="1180"/>
      <c r="T12" s="1180"/>
      <c r="U12" s="1180"/>
    </row>
    <row r="13" spans="1:21">
      <c r="A13" s="2197"/>
      <c r="B13" s="2197"/>
      <c r="C13" s="2197"/>
      <c r="D13" s="2197"/>
      <c r="E13" s="2197"/>
      <c r="F13" s="2197"/>
      <c r="G13" s="2197"/>
      <c r="H13" s="2197"/>
      <c r="I13" s="2197"/>
      <c r="J13" s="2197"/>
      <c r="K13" s="1179"/>
      <c r="L13" s="1180"/>
      <c r="M13" s="1180"/>
      <c r="N13" s="1180"/>
      <c r="O13" s="1180"/>
      <c r="P13" s="1180"/>
      <c r="Q13" s="1180"/>
      <c r="R13" s="1180"/>
      <c r="S13" s="1180"/>
      <c r="T13" s="1180"/>
      <c r="U13" s="1180"/>
    </row>
    <row r="14" spans="1:21">
      <c r="A14" s="1180"/>
      <c r="B14" s="1180"/>
      <c r="C14" s="1180"/>
      <c r="D14" s="1180"/>
      <c r="E14" s="1180"/>
      <c r="F14" s="1180"/>
      <c r="G14" s="1180"/>
      <c r="H14" s="1180"/>
      <c r="I14" s="1180"/>
      <c r="J14" s="2199"/>
      <c r="K14" s="1180"/>
      <c r="L14" s="1180"/>
      <c r="M14" s="1180"/>
      <c r="N14" s="1180"/>
      <c r="O14" s="1180"/>
      <c r="P14" s="1180"/>
      <c r="Q14" s="1180"/>
      <c r="R14" s="1180"/>
      <c r="S14" s="1180"/>
      <c r="T14" s="1180"/>
      <c r="U14" s="1180"/>
    </row>
    <row r="15" spans="1:21">
      <c r="A15" s="1581" t="s">
        <v>1222</v>
      </c>
      <c r="B15" s="1180"/>
      <c r="C15" s="1180"/>
      <c r="D15" s="1180"/>
      <c r="E15" s="1180"/>
      <c r="F15" s="1180"/>
      <c r="G15" s="1180"/>
      <c r="H15" s="1180"/>
      <c r="I15" s="1180"/>
      <c r="J15" s="1180"/>
      <c r="K15" s="1180"/>
      <c r="L15" s="1180"/>
      <c r="M15" s="1180"/>
      <c r="N15" s="1180"/>
      <c r="O15" s="1180"/>
      <c r="P15" s="1180"/>
      <c r="Q15" s="1180"/>
      <c r="R15" s="1180"/>
      <c r="S15" s="1180"/>
      <c r="T15" s="1180"/>
      <c r="U15" s="1180"/>
    </row>
    <row r="16" spans="1:21">
      <c r="A16" s="1581" t="s">
        <v>182</v>
      </c>
      <c r="B16" s="1180"/>
      <c r="C16" s="1180"/>
      <c r="D16" s="1180"/>
      <c r="E16" s="1180"/>
      <c r="F16" s="1180"/>
      <c r="G16" s="1180"/>
      <c r="H16" s="1180"/>
      <c r="I16" s="1180"/>
      <c r="J16" s="1180"/>
      <c r="K16" s="1180"/>
      <c r="L16" s="1180"/>
      <c r="M16" s="1180"/>
      <c r="N16" s="1180"/>
      <c r="O16" s="1180"/>
      <c r="P16" s="1180"/>
      <c r="Q16" s="1180"/>
      <c r="R16" s="1180"/>
      <c r="S16" s="1180"/>
      <c r="T16" s="1180"/>
      <c r="U16" s="1180"/>
    </row>
    <row r="17" spans="1:21">
      <c r="A17" s="1179"/>
      <c r="B17" s="1180"/>
      <c r="C17" s="1180"/>
      <c r="D17" s="1180"/>
      <c r="E17" s="1180"/>
      <c r="F17" s="1180"/>
      <c r="G17" s="1180"/>
      <c r="H17" s="1180"/>
      <c r="I17" s="1180"/>
      <c r="J17" s="1180"/>
      <c r="K17" s="1180"/>
      <c r="L17" s="1180"/>
      <c r="M17" s="1180"/>
      <c r="N17" s="1180"/>
      <c r="O17" s="1180"/>
      <c r="P17" s="1180"/>
      <c r="Q17" s="1180"/>
      <c r="R17" s="1180"/>
      <c r="S17" s="1180"/>
      <c r="T17" s="1180"/>
      <c r="U17" s="1180"/>
    </row>
    <row r="18" spans="1:21">
      <c r="A18" s="1179"/>
      <c r="B18" s="1180"/>
      <c r="C18" s="1180"/>
      <c r="D18" s="1180"/>
      <c r="E18" s="1180"/>
      <c r="F18" s="1180"/>
      <c r="G18" s="1180"/>
      <c r="H18" s="1180"/>
      <c r="I18" s="1180"/>
      <c r="J18" s="1180"/>
      <c r="K18" s="1180"/>
      <c r="L18" s="1180"/>
      <c r="M18" s="1180"/>
      <c r="N18" s="1180"/>
      <c r="O18" s="1180"/>
      <c r="P18" s="1180"/>
      <c r="Q18" s="1180"/>
      <c r="R18" s="1180"/>
      <c r="S18" s="1180"/>
      <c r="T18" s="1180"/>
      <c r="U18" s="1180"/>
    </row>
    <row r="19" spans="1:21">
      <c r="A19" s="1179"/>
      <c r="B19" s="1180"/>
      <c r="C19" s="1180"/>
      <c r="D19" s="1180"/>
      <c r="E19" s="1180"/>
      <c r="F19" s="1180"/>
      <c r="G19" s="1180"/>
      <c r="H19" s="1180"/>
      <c r="I19" s="1180"/>
      <c r="J19" s="1180"/>
      <c r="K19" s="1180"/>
      <c r="L19" s="1180"/>
      <c r="M19" s="1180"/>
      <c r="N19" s="1180"/>
      <c r="O19" s="1180"/>
      <c r="P19" s="1180"/>
      <c r="Q19" s="1180"/>
      <c r="R19" s="1180"/>
      <c r="S19" s="1180"/>
      <c r="T19" s="1180"/>
      <c r="U19" s="1180"/>
    </row>
    <row r="20" spans="1:21">
      <c r="A20" s="1179"/>
      <c r="B20" s="1180"/>
      <c r="C20" s="1180"/>
      <c r="D20" s="1180"/>
      <c r="E20" s="1180"/>
      <c r="F20" s="1180"/>
      <c r="G20" s="1180"/>
      <c r="H20" s="2199"/>
      <c r="I20" s="1180"/>
      <c r="J20" s="1180"/>
      <c r="K20" s="1180"/>
      <c r="L20" s="1180"/>
      <c r="M20" s="1180"/>
      <c r="N20" s="1180"/>
      <c r="O20" s="1180"/>
      <c r="P20" s="1180"/>
      <c r="Q20" s="1180"/>
      <c r="R20" s="1180"/>
      <c r="S20" s="1180"/>
      <c r="T20" s="1180"/>
      <c r="U20" s="1180"/>
    </row>
    <row r="21" spans="1:21">
      <c r="A21" s="1502"/>
      <c r="B21" s="1180"/>
      <c r="C21" s="1180"/>
      <c r="D21" s="1180"/>
      <c r="E21" s="1180"/>
      <c r="F21" s="1180"/>
      <c r="G21" s="1180"/>
      <c r="H21" s="2170"/>
      <c r="I21" s="1180"/>
      <c r="J21" s="1180"/>
      <c r="K21" s="1180"/>
      <c r="L21" s="1180"/>
      <c r="M21" s="1180"/>
      <c r="N21" s="1180"/>
      <c r="O21" s="1180"/>
      <c r="P21" s="1180"/>
      <c r="Q21" s="1180"/>
      <c r="R21" s="1180"/>
      <c r="S21" s="1180"/>
      <c r="T21" s="1180"/>
      <c r="U21" s="1180"/>
    </row>
    <row r="22" spans="1:21">
      <c r="A22" s="1180"/>
      <c r="B22" s="1180"/>
      <c r="C22" s="1180"/>
      <c r="D22" s="1180"/>
      <c r="E22" s="1180"/>
      <c r="F22" s="1180"/>
      <c r="G22" s="1180"/>
      <c r="H22" s="1180"/>
      <c r="I22" s="1180"/>
      <c r="J22" s="1180"/>
      <c r="K22" s="1180"/>
      <c r="L22" s="1180"/>
      <c r="M22" s="1180"/>
      <c r="N22" s="1180"/>
      <c r="O22" s="1180"/>
      <c r="P22" s="1180"/>
      <c r="Q22" s="1180"/>
      <c r="R22" s="1180"/>
      <c r="S22" s="1180"/>
      <c r="T22" s="1180"/>
      <c r="U22" s="1180"/>
    </row>
    <row r="23" spans="1:21">
      <c r="A23" s="1179" t="s">
        <v>793</v>
      </c>
      <c r="B23" s="1180"/>
      <c r="C23" s="1180"/>
      <c r="D23" s="1180"/>
      <c r="E23" s="1180"/>
      <c r="F23" s="1180"/>
      <c r="G23" s="1180"/>
      <c r="H23" s="1180"/>
      <c r="I23" s="1426"/>
      <c r="J23" s="1375">
        <f ca="1">T53</f>
        <v>-43555</v>
      </c>
      <c r="K23" s="1180"/>
      <c r="L23" s="1180"/>
      <c r="M23" s="1180"/>
      <c r="N23" s="1180"/>
      <c r="O23" s="1180"/>
      <c r="P23" s="1180"/>
      <c r="Q23" s="1180"/>
      <c r="R23" s="1180"/>
      <c r="S23" s="1180"/>
      <c r="T23" s="1180"/>
      <c r="U23" s="1180"/>
    </row>
    <row r="24" spans="1:21">
      <c r="A24" s="1180"/>
      <c r="B24" s="1180"/>
      <c r="C24" s="1180"/>
      <c r="D24" s="1180"/>
      <c r="E24" s="1180"/>
      <c r="F24" s="1180"/>
      <c r="G24" s="1180"/>
      <c r="H24" s="1180"/>
      <c r="I24" s="1180"/>
      <c r="J24" s="1426"/>
      <c r="K24" s="1180"/>
      <c r="L24" s="1180"/>
      <c r="M24" s="1180"/>
      <c r="N24" s="1180"/>
      <c r="O24" s="1180"/>
      <c r="P24" s="1180"/>
      <c r="Q24" s="1180"/>
      <c r="R24" s="1180"/>
      <c r="S24" s="1180"/>
      <c r="T24" s="1180"/>
      <c r="U24" s="1180"/>
    </row>
    <row r="25" spans="1:21">
      <c r="A25" s="1180"/>
      <c r="B25" s="1180"/>
      <c r="C25" s="1180"/>
      <c r="D25" s="1180"/>
      <c r="E25" s="1180"/>
      <c r="F25" s="1180"/>
      <c r="G25" s="1180"/>
      <c r="H25" s="1180"/>
      <c r="I25" s="1180"/>
      <c r="J25" s="1180"/>
      <c r="K25" s="1180"/>
      <c r="L25" s="1180"/>
      <c r="M25" s="1180"/>
      <c r="N25" s="1180"/>
      <c r="O25" s="1180"/>
      <c r="P25" s="1180"/>
      <c r="Q25" s="1180"/>
      <c r="R25" s="1180"/>
      <c r="S25" s="1180"/>
      <c r="T25" s="1180"/>
      <c r="U25" s="1180"/>
    </row>
    <row r="26" spans="1:21">
      <c r="A26" s="1179" t="s">
        <v>266</v>
      </c>
      <c r="B26" s="1180"/>
      <c r="C26" s="1180"/>
      <c r="D26" s="1180"/>
      <c r="E26" s="1180"/>
      <c r="F26" s="1180"/>
      <c r="G26" s="1180"/>
      <c r="H26" s="1180"/>
      <c r="I26" s="1180"/>
      <c r="J26" s="1425">
        <f>VLOOKUP(D33,ALLOCTABLE,2)/100</f>
        <v>1</v>
      </c>
      <c r="K26" s="1180"/>
      <c r="L26" s="1180"/>
      <c r="M26" s="1180"/>
      <c r="N26" s="1180"/>
      <c r="O26" s="1180"/>
      <c r="P26" s="1180"/>
      <c r="Q26" s="1180"/>
      <c r="R26" s="1180"/>
      <c r="S26" s="1180"/>
      <c r="T26" s="1180"/>
      <c r="U26" s="1180"/>
    </row>
    <row r="27" spans="1:21">
      <c r="A27" s="1180"/>
      <c r="B27" s="1180"/>
      <c r="C27" s="1180"/>
      <c r="D27" s="1180"/>
      <c r="E27" s="1180"/>
      <c r="F27" s="1180"/>
      <c r="G27" s="1180"/>
      <c r="H27" s="1180"/>
      <c r="I27" s="1180"/>
      <c r="J27" s="1426"/>
      <c r="K27" s="1180"/>
      <c r="L27" s="1180"/>
      <c r="M27" s="1180"/>
      <c r="N27" s="1180"/>
      <c r="O27" s="1180"/>
      <c r="P27" s="1180"/>
      <c r="Q27" s="1180"/>
      <c r="R27" s="1180"/>
      <c r="S27" s="1180"/>
      <c r="T27" s="1180"/>
      <c r="U27" s="1180"/>
    </row>
    <row r="28" spans="1:21">
      <c r="A28" s="1180"/>
      <c r="B28" s="1180"/>
      <c r="C28" s="1180"/>
      <c r="D28" s="1180"/>
      <c r="E28" s="1180"/>
      <c r="F28" s="1180"/>
      <c r="G28" s="1180"/>
      <c r="H28" s="1180"/>
      <c r="I28" s="1180"/>
      <c r="J28" s="1180"/>
      <c r="K28" s="1180"/>
      <c r="L28" s="1180"/>
      <c r="M28" s="1180"/>
      <c r="N28" s="1180"/>
      <c r="O28" s="1180"/>
      <c r="P28" s="1180"/>
      <c r="Q28" s="1180"/>
      <c r="R28" s="1180"/>
      <c r="S28" s="1180"/>
      <c r="T28" s="1180"/>
      <c r="U28" s="1180"/>
    </row>
    <row r="29" spans="1:21" ht="15">
      <c r="A29" s="1179" t="s">
        <v>1236</v>
      </c>
      <c r="B29" s="1180"/>
      <c r="C29" s="1180"/>
      <c r="D29" s="1180"/>
      <c r="E29" s="1180"/>
      <c r="F29" s="1179" t="s">
        <v>1213</v>
      </c>
      <c r="G29" s="1180"/>
      <c r="H29" s="1180"/>
      <c r="I29" s="1426"/>
      <c r="J29" s="1427">
        <f ca="1">ROUND(J23*J26,0)</f>
        <v>-43555</v>
      </c>
      <c r="K29" s="1180"/>
      <c r="L29" s="1180"/>
      <c r="M29" s="1180"/>
      <c r="N29" s="1180"/>
      <c r="O29" s="1180"/>
      <c r="P29" s="1180"/>
      <c r="Q29" s="1180"/>
      <c r="R29" s="1180"/>
      <c r="S29" s="1180"/>
      <c r="T29" s="1180"/>
      <c r="U29" s="1180"/>
    </row>
    <row r="30" spans="1:21">
      <c r="A30" s="1180"/>
      <c r="B30" s="1180"/>
      <c r="C30" s="1180"/>
      <c r="D30" s="1180"/>
      <c r="E30" s="1180"/>
      <c r="F30" s="1180"/>
      <c r="G30" s="1180"/>
      <c r="H30" s="1180"/>
      <c r="I30" s="1180"/>
      <c r="J30" s="1426"/>
      <c r="K30" s="1180"/>
      <c r="L30" s="1180"/>
      <c r="M30" s="1180"/>
      <c r="N30" s="1180"/>
      <c r="O30" s="1180"/>
      <c r="P30" s="1180"/>
      <c r="Q30" s="1180"/>
      <c r="R30" s="1180"/>
      <c r="S30" s="1180"/>
      <c r="T30" s="1180"/>
      <c r="U30" s="1180"/>
    </row>
    <row r="31" spans="1:21">
      <c r="A31" s="1180"/>
      <c r="B31" s="1180"/>
      <c r="C31" s="1180"/>
      <c r="D31" s="1180"/>
      <c r="E31" s="1180"/>
      <c r="F31" s="1180"/>
      <c r="G31" s="1180"/>
      <c r="H31" s="1180"/>
      <c r="I31" s="1180"/>
      <c r="J31" s="1180"/>
      <c r="K31" s="1180"/>
      <c r="L31" s="1180"/>
      <c r="M31" s="1180"/>
      <c r="N31" s="1180"/>
      <c r="O31" s="1180"/>
      <c r="P31" s="1180"/>
      <c r="Q31" s="1180"/>
      <c r="R31" s="1180"/>
      <c r="S31" s="1180"/>
      <c r="T31" s="1180"/>
      <c r="U31" s="1180"/>
    </row>
    <row r="32" spans="1:21">
      <c r="A32" s="1180"/>
      <c r="B32" s="1180"/>
      <c r="C32" s="1180"/>
      <c r="D32" s="1180"/>
      <c r="E32" s="1180"/>
      <c r="F32" s="1180"/>
      <c r="G32" s="1180"/>
      <c r="H32" s="1180"/>
      <c r="I32" s="1180"/>
      <c r="J32" s="1180"/>
      <c r="K32" s="1180"/>
      <c r="L32" s="1180"/>
      <c r="M32" s="1180"/>
      <c r="N32" s="1180"/>
      <c r="O32" s="1180"/>
      <c r="P32" s="1180"/>
      <c r="Q32" s="1180"/>
      <c r="R32" s="1180"/>
      <c r="S32" s="1180"/>
      <c r="T32" s="1180"/>
      <c r="U32" s="1180"/>
    </row>
    <row r="33" spans="1:21">
      <c r="A33" s="1179" t="s">
        <v>1237</v>
      </c>
      <c r="B33" s="1180"/>
      <c r="C33" s="1180"/>
      <c r="D33" s="2149" t="s">
        <v>593</v>
      </c>
      <c r="E33" s="1180"/>
      <c r="F33" s="1180"/>
      <c r="G33" s="1180"/>
      <c r="H33" s="1180"/>
      <c r="I33" s="1180"/>
      <c r="J33" s="1180"/>
      <c r="K33" s="1180"/>
      <c r="L33" s="1180"/>
      <c r="M33" s="1180"/>
      <c r="N33" s="1180"/>
      <c r="O33" s="1180"/>
      <c r="P33" s="1180"/>
      <c r="Q33" s="1180"/>
      <c r="R33" s="1180"/>
      <c r="S33" s="1180"/>
      <c r="T33" s="1180"/>
      <c r="U33" s="1180"/>
    </row>
    <row r="34" spans="1:21">
      <c r="A34" s="1179"/>
      <c r="B34" s="1180"/>
      <c r="C34" s="1180"/>
      <c r="D34" s="1180"/>
      <c r="E34" s="1180"/>
      <c r="F34" s="1180"/>
      <c r="G34" s="1180"/>
      <c r="H34" s="1180"/>
      <c r="I34" s="1180"/>
      <c r="J34" s="1180"/>
      <c r="K34" s="1180"/>
      <c r="L34" s="1180"/>
      <c r="M34" s="1180"/>
      <c r="N34" s="1180"/>
      <c r="O34" s="1180"/>
      <c r="P34" s="1180"/>
      <c r="Q34" s="1180"/>
      <c r="R34" s="1180"/>
      <c r="S34" s="1180"/>
      <c r="T34" s="1180"/>
      <c r="U34" s="1180"/>
    </row>
    <row r="35" spans="1:21">
      <c r="A35" s="1180"/>
      <c r="B35" s="1180"/>
      <c r="C35" s="1180"/>
      <c r="D35" s="1180"/>
      <c r="E35" s="1180"/>
      <c r="F35" s="1180"/>
      <c r="G35" s="1180"/>
      <c r="H35" s="1180"/>
      <c r="I35" s="1180"/>
      <c r="J35" s="1180"/>
      <c r="K35" s="1180"/>
      <c r="L35" s="1180"/>
      <c r="M35" s="1180"/>
      <c r="N35" s="1180"/>
      <c r="O35" s="1180"/>
      <c r="P35" s="1180"/>
      <c r="Q35" s="1180"/>
      <c r="R35" s="1180"/>
      <c r="S35" s="1180"/>
      <c r="T35" s="1180"/>
      <c r="U35" s="1180"/>
    </row>
    <row r="36" spans="1:21">
      <c r="A36" s="1180"/>
      <c r="B36" s="1180"/>
      <c r="C36" s="1180"/>
      <c r="D36" s="1180"/>
      <c r="E36" s="1180"/>
      <c r="F36" s="1180"/>
      <c r="G36" s="1180"/>
      <c r="H36" s="1180"/>
      <c r="I36" s="1180"/>
      <c r="J36" s="1180"/>
      <c r="K36" s="1180"/>
      <c r="L36" s="1180"/>
      <c r="M36" s="1180"/>
      <c r="N36" s="1180"/>
      <c r="O36" s="1180"/>
      <c r="P36" s="1180"/>
      <c r="Q36" s="1180"/>
      <c r="R36" s="1180"/>
      <c r="S36" s="1180"/>
      <c r="T36" s="1180"/>
      <c r="U36" s="1180"/>
    </row>
    <row r="37" spans="1:21">
      <c r="A37" s="1180"/>
      <c r="B37" s="1180"/>
      <c r="C37" s="1180"/>
      <c r="D37" s="1180"/>
      <c r="E37" s="1180"/>
      <c r="F37" s="1180"/>
      <c r="G37" s="1180"/>
      <c r="H37" s="1180"/>
      <c r="I37" s="1180"/>
      <c r="J37" s="1180"/>
      <c r="K37" s="1180"/>
      <c r="L37" s="1180"/>
      <c r="M37" s="1180"/>
      <c r="N37" s="1180"/>
      <c r="O37" s="1180"/>
      <c r="P37" s="1180"/>
      <c r="Q37" s="1180"/>
      <c r="R37" s="1180"/>
      <c r="S37" s="1180"/>
      <c r="T37" s="1180"/>
      <c r="U37" s="1180"/>
    </row>
    <row r="38" spans="1:21">
      <c r="A38" s="1180"/>
      <c r="B38" s="1180"/>
      <c r="C38" s="1180"/>
      <c r="D38" s="1180"/>
      <c r="E38" s="1180"/>
      <c r="F38" s="1180"/>
      <c r="G38" s="1180"/>
      <c r="H38" s="1180"/>
      <c r="I38" s="1180"/>
      <c r="J38" s="1180"/>
      <c r="K38" s="1180"/>
      <c r="L38" s="1180"/>
      <c r="M38" s="1180"/>
      <c r="N38" s="1180"/>
      <c r="O38" s="1180"/>
      <c r="P38" s="1180"/>
      <c r="Q38" s="1180"/>
      <c r="R38" s="1180"/>
      <c r="S38" s="1180"/>
      <c r="T38" s="1180"/>
      <c r="U38" s="1180"/>
    </row>
    <row r="39" spans="1:21">
      <c r="A39" s="1180"/>
      <c r="B39" s="1180"/>
      <c r="C39" s="1180"/>
      <c r="D39" s="1180"/>
      <c r="E39" s="1180"/>
      <c r="F39" s="1180"/>
      <c r="G39" s="1180"/>
      <c r="H39" s="1180"/>
      <c r="I39" s="1180"/>
      <c r="J39" s="1180"/>
      <c r="K39" s="1180"/>
      <c r="L39" s="1180"/>
      <c r="M39" s="1180"/>
      <c r="N39" s="1180"/>
      <c r="O39" s="1180"/>
      <c r="P39" s="1180"/>
      <c r="Q39" s="1180"/>
      <c r="R39" s="1180"/>
      <c r="S39" s="1180"/>
      <c r="T39" s="1180"/>
      <c r="U39" s="1180"/>
    </row>
    <row r="40" spans="1:21">
      <c r="A40" s="1180"/>
      <c r="B40" s="1180"/>
      <c r="C40" s="1180"/>
      <c r="D40" s="1180"/>
      <c r="E40" s="1180"/>
      <c r="F40" s="1180"/>
      <c r="G40" s="1180"/>
      <c r="H40" s="1180"/>
      <c r="I40" s="1180"/>
      <c r="J40" s="1180"/>
      <c r="K40" s="1180"/>
      <c r="L40" s="1180"/>
      <c r="M40" s="1180"/>
      <c r="N40" s="1180"/>
      <c r="O40" s="1180"/>
      <c r="P40" s="1180"/>
      <c r="Q40" s="1180"/>
      <c r="R40" s="1180"/>
      <c r="S40" s="1180"/>
      <c r="T40" s="1180"/>
      <c r="U40" s="1180"/>
    </row>
    <row r="41" spans="1:21">
      <c r="A41" s="1180"/>
      <c r="B41" s="1180"/>
      <c r="C41" s="1180"/>
      <c r="D41" s="1180"/>
      <c r="E41" s="1180"/>
      <c r="F41" s="1180"/>
      <c r="G41" s="1180"/>
      <c r="H41" s="1180"/>
      <c r="I41" s="1180"/>
      <c r="J41" s="1180"/>
      <c r="K41" s="1180"/>
      <c r="L41" s="1180"/>
      <c r="M41" s="1180"/>
      <c r="N41" s="1180"/>
      <c r="O41" s="1180"/>
      <c r="P41" s="1180"/>
      <c r="Q41" s="1180"/>
      <c r="R41" s="1180"/>
      <c r="S41" s="1180"/>
      <c r="T41" s="1180"/>
      <c r="U41" s="1180"/>
    </row>
    <row r="42" spans="1:21">
      <c r="A42" s="1180"/>
      <c r="B42" s="1180"/>
      <c r="C42" s="1180"/>
      <c r="D42" s="1180"/>
      <c r="E42" s="1180"/>
      <c r="F42" s="1180"/>
      <c r="G42" s="1180"/>
      <c r="H42" s="1180"/>
      <c r="I42" s="1180"/>
      <c r="J42" s="1180"/>
      <c r="K42" s="1180"/>
      <c r="L42" s="1180"/>
      <c r="M42" s="1180"/>
      <c r="N42" s="1180"/>
      <c r="O42" s="1180"/>
      <c r="P42" s="1180"/>
      <c r="Q42" s="1180"/>
      <c r="R42" s="1180"/>
      <c r="S42" s="1180"/>
      <c r="T42" s="1180"/>
      <c r="U42" s="1180"/>
    </row>
    <row r="43" spans="1:21">
      <c r="A43" s="1180"/>
      <c r="B43" s="1180"/>
      <c r="C43" s="1180"/>
      <c r="D43" s="1180"/>
      <c r="E43" s="1180"/>
      <c r="F43" s="1180"/>
      <c r="G43" s="1180"/>
      <c r="H43" s="1180"/>
      <c r="I43" s="1180"/>
      <c r="J43" s="1180"/>
      <c r="K43" s="1180"/>
      <c r="L43" s="1629" t="str">
        <f>COMPANY</f>
        <v>DUKE ENERGY KENTUCKY, INC.</v>
      </c>
      <c r="M43" s="530"/>
      <c r="N43" s="530"/>
      <c r="O43" s="530"/>
      <c r="P43" s="530"/>
      <c r="Q43" s="530"/>
      <c r="R43" s="1629" t="s">
        <v>1392</v>
      </c>
      <c r="S43" s="530"/>
      <c r="T43" s="1178"/>
      <c r="U43" s="1180"/>
    </row>
    <row r="44" spans="1:21">
      <c r="A44" s="1180"/>
      <c r="B44" s="1180"/>
      <c r="C44" s="1180"/>
      <c r="D44" s="1180"/>
      <c r="E44" s="1180"/>
      <c r="F44" s="1180"/>
      <c r="G44" s="1180"/>
      <c r="H44" s="1180"/>
      <c r="I44" s="1180"/>
      <c r="J44" s="1180"/>
      <c r="K44" s="1180"/>
      <c r="L44" s="1629" t="str">
        <f>DEPT</f>
        <v>ELECTRIC DEPARTMENT</v>
      </c>
      <c r="M44" s="530"/>
      <c r="N44" s="530"/>
      <c r="O44" s="530"/>
      <c r="P44" s="530"/>
      <c r="Q44" s="530"/>
      <c r="R44" s="1629" t="s">
        <v>1239</v>
      </c>
      <c r="S44" s="530"/>
      <c r="T44" s="1178"/>
      <c r="U44" s="1180"/>
    </row>
    <row r="45" spans="1:21">
      <c r="A45" s="1180"/>
      <c r="B45" s="1180"/>
      <c r="C45" s="1180"/>
      <c r="D45" s="1180"/>
      <c r="E45" s="1180"/>
      <c r="F45" s="1180"/>
      <c r="G45" s="1180"/>
      <c r="H45" s="1180"/>
      <c r="I45" s="1180"/>
      <c r="J45" s="1180"/>
      <c r="K45" s="1180"/>
      <c r="L45" s="1629" t="str">
        <f>CASE</f>
        <v>CASE NO. 2017-00321</v>
      </c>
      <c r="M45" s="530"/>
      <c r="N45" s="530"/>
      <c r="O45" s="530"/>
      <c r="P45" s="530"/>
      <c r="Q45" s="530"/>
      <c r="R45" s="530" t="str">
        <f>_WIT10</f>
        <v>R. H. PRATT</v>
      </c>
      <c r="S45" s="530"/>
      <c r="T45" s="1178"/>
      <c r="U45" s="1180"/>
    </row>
    <row r="46" spans="1:21">
      <c r="A46" s="1180"/>
      <c r="B46" s="1180"/>
      <c r="C46" s="1180"/>
      <c r="D46" s="1180"/>
      <c r="E46" s="1180"/>
      <c r="F46" s="1180"/>
      <c r="G46" s="1180"/>
      <c r="H46" s="1180"/>
      <c r="I46" s="1180"/>
      <c r="J46" s="1180"/>
      <c r="K46" s="1180"/>
      <c r="L46" s="1629" t="s">
        <v>1224</v>
      </c>
      <c r="M46" s="530"/>
      <c r="N46" s="530"/>
      <c r="O46" s="530"/>
      <c r="P46" s="530"/>
      <c r="Q46" s="530"/>
      <c r="R46" s="2107"/>
      <c r="S46" s="530"/>
      <c r="T46" s="1178"/>
      <c r="U46" s="1180"/>
    </row>
    <row r="47" spans="1:21">
      <c r="A47" s="1180"/>
      <c r="B47" s="1180"/>
      <c r="C47" s="1180"/>
      <c r="D47" s="1180"/>
      <c r="E47" s="1180"/>
      <c r="F47" s="1180"/>
      <c r="G47" s="1180"/>
      <c r="H47" s="1180"/>
      <c r="I47" s="1180"/>
      <c r="J47" s="1180"/>
      <c r="K47" s="1180"/>
      <c r="L47" s="1629"/>
      <c r="M47" s="530"/>
      <c r="N47" s="530"/>
      <c r="O47" s="530"/>
      <c r="P47" s="530"/>
      <c r="Q47" s="530"/>
      <c r="R47" s="530"/>
      <c r="S47" s="530"/>
      <c r="T47" s="1178"/>
      <c r="U47" s="1180"/>
    </row>
    <row r="48" spans="1:21">
      <c r="A48" s="1180"/>
      <c r="B48" s="1180"/>
      <c r="C48" s="1180"/>
      <c r="D48" s="1180"/>
      <c r="E48" s="1180"/>
      <c r="F48" s="1180"/>
      <c r="G48" s="1180"/>
      <c r="H48" s="1180"/>
      <c r="I48" s="1180"/>
      <c r="J48" s="1180"/>
      <c r="K48" s="1180"/>
      <c r="L48" s="1178"/>
      <c r="M48" s="1178"/>
      <c r="N48" s="1178"/>
      <c r="O48" s="1178"/>
      <c r="P48" s="1178"/>
      <c r="Q48" s="1178"/>
      <c r="R48" s="1178"/>
      <c r="S48" s="1178"/>
      <c r="T48" s="1178"/>
      <c r="U48" s="1180"/>
    </row>
    <row r="49" spans="1:21">
      <c r="A49" s="1180"/>
      <c r="B49" s="1180"/>
      <c r="C49" s="1180"/>
      <c r="D49" s="1180"/>
      <c r="E49" s="1180"/>
      <c r="F49" s="1180"/>
      <c r="G49" s="1180"/>
      <c r="H49" s="1180"/>
      <c r="I49" s="1180"/>
      <c r="J49" s="1180"/>
      <c r="K49" s="1180"/>
      <c r="L49" s="1178"/>
      <c r="M49" s="1178"/>
      <c r="N49" s="1178"/>
      <c r="O49" s="1178"/>
      <c r="P49" s="1178"/>
      <c r="Q49" s="1178"/>
      <c r="R49" s="1178"/>
      <c r="S49" s="1178"/>
      <c r="T49" s="1178"/>
      <c r="U49" s="1180"/>
    </row>
    <row r="50" spans="1:21">
      <c r="A50" s="1180"/>
      <c r="B50" s="1180"/>
      <c r="C50" s="1180"/>
      <c r="D50" s="1180"/>
      <c r="E50" s="1180"/>
      <c r="F50" s="1180"/>
      <c r="G50" s="1180"/>
      <c r="H50" s="1180"/>
      <c r="I50" s="1180"/>
      <c r="J50" s="1180"/>
      <c r="K50" s="1180"/>
      <c r="L50" s="1423" t="s">
        <v>1240</v>
      </c>
      <c r="M50" s="1423"/>
      <c r="N50" s="1423"/>
      <c r="O50" s="1423"/>
      <c r="P50" s="1423" t="s">
        <v>1117</v>
      </c>
      <c r="Q50" s="1423"/>
      <c r="R50" s="1423" t="s">
        <v>626</v>
      </c>
      <c r="S50" s="1423"/>
      <c r="T50" s="1423"/>
      <c r="U50" s="1180"/>
    </row>
    <row r="51" spans="1:21">
      <c r="A51" s="1180"/>
      <c r="B51" s="1180"/>
      <c r="C51" s="1180"/>
      <c r="D51" s="1180"/>
      <c r="E51" s="1180"/>
      <c r="F51" s="1180"/>
      <c r="G51" s="1180"/>
      <c r="H51" s="1180"/>
      <c r="I51" s="1180"/>
      <c r="J51" s="1180"/>
      <c r="K51" s="1180"/>
      <c r="L51" s="1424" t="s">
        <v>1241</v>
      </c>
      <c r="M51" s="1424"/>
      <c r="N51" s="1424" t="s">
        <v>1119</v>
      </c>
      <c r="O51" s="1424"/>
      <c r="P51" s="1424" t="s">
        <v>1120</v>
      </c>
      <c r="Q51" s="1424"/>
      <c r="R51" s="1424" t="s">
        <v>1120</v>
      </c>
      <c r="S51" s="1424"/>
      <c r="T51" s="1424" t="s">
        <v>1242</v>
      </c>
      <c r="U51" s="1180"/>
    </row>
    <row r="52" spans="1:21">
      <c r="A52" s="1180"/>
      <c r="B52" s="1180"/>
      <c r="C52" s="1180"/>
      <c r="D52" s="1180"/>
      <c r="E52" s="1180"/>
      <c r="F52" s="1180"/>
      <c r="G52" s="1180"/>
      <c r="H52" s="1180"/>
      <c r="I52" s="1180"/>
      <c r="J52" s="1180"/>
      <c r="K52" s="1180"/>
      <c r="L52" s="1178"/>
      <c r="M52" s="1178"/>
      <c r="N52" s="1178"/>
      <c r="O52" s="1178"/>
      <c r="P52" s="1178"/>
      <c r="Q52" s="1178"/>
      <c r="R52" s="1178"/>
      <c r="S52" s="1178"/>
      <c r="T52" s="1178"/>
      <c r="U52" s="1180"/>
    </row>
    <row r="53" spans="1:21" ht="13.5" thickBot="1">
      <c r="A53" s="1180"/>
      <c r="B53" s="1180"/>
      <c r="C53" s="1180"/>
      <c r="D53" s="1180"/>
      <c r="E53" s="1180"/>
      <c r="F53" s="1180"/>
      <c r="G53" s="1180"/>
      <c r="H53" s="1180"/>
      <c r="I53" s="1180"/>
      <c r="J53" s="1180"/>
      <c r="K53" s="1180"/>
      <c r="L53" s="1423">
        <v>1</v>
      </c>
      <c r="M53" s="1178"/>
      <c r="N53" s="1179" t="s">
        <v>172</v>
      </c>
      <c r="O53" s="1178"/>
      <c r="P53" s="2275">
        <f>SCH_C2!E31</f>
        <v>14193963</v>
      </c>
      <c r="Q53" s="1178"/>
      <c r="R53" s="2275">
        <f ca="1">SCH_C2!H31</f>
        <v>14150408</v>
      </c>
      <c r="S53" s="1178"/>
      <c r="T53" s="2275">
        <f ca="1">R53-P53</f>
        <v>-43555</v>
      </c>
      <c r="U53" s="1180"/>
    </row>
    <row r="54" spans="1:21" ht="13.5" thickTop="1">
      <c r="A54" s="1180"/>
      <c r="B54" s="1180"/>
      <c r="C54" s="1180"/>
      <c r="D54" s="1180"/>
      <c r="E54" s="1180"/>
      <c r="F54" s="1180"/>
      <c r="G54" s="1180"/>
      <c r="H54" s="1180"/>
      <c r="I54" s="1180"/>
      <c r="J54" s="1180"/>
      <c r="K54" s="1180"/>
      <c r="L54" s="1423"/>
      <c r="M54" s="1178"/>
      <c r="N54" s="1178"/>
      <c r="O54" s="1178"/>
      <c r="P54" s="1178"/>
      <c r="Q54" s="1178"/>
      <c r="R54" s="1178"/>
      <c r="S54" s="1178"/>
      <c r="T54" s="1178"/>
      <c r="U54" s="1180"/>
    </row>
    <row r="55" spans="1:21">
      <c r="A55" s="1180"/>
      <c r="B55" s="1180"/>
      <c r="C55" s="1180"/>
      <c r="D55" s="1180"/>
      <c r="E55" s="1180"/>
      <c r="F55" s="1180"/>
      <c r="G55" s="1180"/>
      <c r="H55" s="1180"/>
      <c r="I55" s="1180"/>
      <c r="J55" s="1180"/>
      <c r="K55" s="1180"/>
      <c r="L55" s="1178"/>
      <c r="M55" s="1178"/>
      <c r="N55" s="1178"/>
      <c r="O55" s="1178"/>
      <c r="P55" s="1178"/>
      <c r="Q55" s="1178"/>
      <c r="R55" s="1178"/>
      <c r="S55" s="1178"/>
      <c r="T55" s="1178"/>
      <c r="U55" s="1180"/>
    </row>
    <row r="56" spans="1:21">
      <c r="A56" s="1180"/>
      <c r="B56" s="1180"/>
      <c r="C56" s="1180"/>
      <c r="D56" s="1180"/>
      <c r="E56" s="1180"/>
      <c r="F56" s="1180"/>
      <c r="G56" s="1180"/>
      <c r="H56" s="1180"/>
      <c r="I56" s="1180"/>
      <c r="J56" s="1180"/>
      <c r="K56" s="1180"/>
      <c r="L56" s="1178"/>
      <c r="M56" s="1178"/>
      <c r="N56" s="1178"/>
      <c r="O56" s="1178"/>
      <c r="P56" s="1178"/>
      <c r="Q56" s="1178"/>
      <c r="R56" s="1178"/>
      <c r="S56" s="1178"/>
      <c r="T56" s="1178"/>
      <c r="U56" s="1180"/>
    </row>
    <row r="57" spans="1:21">
      <c r="A57" s="1180"/>
      <c r="B57" s="1180"/>
      <c r="C57" s="1180"/>
      <c r="D57" s="1180"/>
      <c r="E57" s="1180"/>
      <c r="F57" s="1180"/>
      <c r="G57" s="1180"/>
      <c r="H57" s="1180"/>
      <c r="I57" s="1180"/>
      <c r="J57" s="1180"/>
      <c r="K57" s="1180"/>
      <c r="L57" s="1178"/>
      <c r="M57" s="1178"/>
      <c r="N57" s="1178"/>
      <c r="O57" s="1178"/>
      <c r="P57" s="1178"/>
      <c r="Q57" s="1178"/>
      <c r="R57" s="1178"/>
      <c r="S57" s="1178"/>
      <c r="T57" s="1423" t="s">
        <v>1244</v>
      </c>
      <c r="U57" s="1180"/>
    </row>
    <row r="58" spans="1:21">
      <c r="A58" s="1180"/>
      <c r="B58" s="1180"/>
      <c r="C58" s="1180"/>
      <c r="D58" s="1180"/>
      <c r="E58" s="1180"/>
      <c r="F58" s="1180"/>
      <c r="G58" s="1180"/>
      <c r="H58" s="1180"/>
      <c r="I58" s="1180"/>
      <c r="J58" s="1180"/>
      <c r="K58" s="1180"/>
      <c r="L58" s="1180"/>
      <c r="M58" s="1180"/>
      <c r="N58" s="1180"/>
      <c r="O58" s="1180"/>
      <c r="P58" s="1180"/>
      <c r="Q58" s="1180"/>
      <c r="R58" s="1180"/>
      <c r="S58" s="1180"/>
      <c r="T58" s="1180"/>
      <c r="U58" s="1180"/>
    </row>
    <row r="59" spans="1:21">
      <c r="A59" s="1180"/>
      <c r="B59" s="1180"/>
      <c r="C59" s="1180"/>
      <c r="D59" s="1180"/>
      <c r="E59" s="1180"/>
      <c r="F59" s="1180"/>
      <c r="G59" s="1180"/>
      <c r="H59" s="1180"/>
      <c r="I59" s="1180"/>
      <c r="J59" s="1180"/>
      <c r="K59" s="1180"/>
      <c r="L59" s="1180"/>
      <c r="M59" s="1180"/>
      <c r="N59" s="1180"/>
      <c r="O59" s="1180"/>
      <c r="P59" s="1180"/>
      <c r="Q59" s="1180"/>
      <c r="R59" s="1180"/>
      <c r="S59" s="1180"/>
      <c r="T59" s="1180"/>
      <c r="U59" s="1180"/>
    </row>
    <row r="60" spans="1:21">
      <c r="A60" s="1180"/>
      <c r="B60" s="1180"/>
      <c r="C60" s="1180"/>
      <c r="D60" s="1180"/>
      <c r="E60" s="1180"/>
      <c r="F60" s="1180"/>
      <c r="G60" s="1180"/>
      <c r="H60" s="1180"/>
      <c r="I60" s="1180"/>
      <c r="J60" s="1180"/>
      <c r="K60" s="1180"/>
      <c r="L60" s="1180"/>
      <c r="M60" s="1180"/>
      <c r="N60" s="1180"/>
      <c r="O60" s="1180"/>
      <c r="P60" s="1180"/>
      <c r="Q60" s="1180"/>
      <c r="R60" s="2370"/>
      <c r="S60" s="1180"/>
      <c r="T60" s="1180"/>
      <c r="U60" s="1180"/>
    </row>
    <row r="61" spans="1:21">
      <c r="A61" s="1180"/>
      <c r="B61" s="1180"/>
      <c r="C61" s="1180"/>
      <c r="D61" s="1180"/>
      <c r="E61" s="1180"/>
      <c r="F61" s="1180"/>
      <c r="G61" s="1180"/>
      <c r="H61" s="1180"/>
      <c r="I61" s="1180"/>
      <c r="J61" s="1180"/>
      <c r="K61" s="1180"/>
      <c r="L61" s="1180"/>
      <c r="M61" s="1180"/>
      <c r="N61" s="1180"/>
      <c r="O61" s="1180"/>
      <c r="P61" s="1180"/>
      <c r="Q61" s="1180"/>
      <c r="R61" s="1180"/>
      <c r="S61" s="1180"/>
      <c r="T61" s="1180"/>
      <c r="U61" s="1180"/>
    </row>
    <row r="62" spans="1:21">
      <c r="A62" s="1180"/>
      <c r="B62" s="1180"/>
      <c r="C62" s="1180"/>
      <c r="D62" s="1180"/>
      <c r="E62" s="1180"/>
      <c r="F62" s="1180"/>
      <c r="G62" s="1180"/>
      <c r="H62" s="1180"/>
      <c r="I62" s="1180"/>
      <c r="J62" s="1180"/>
      <c r="K62" s="1180"/>
      <c r="L62" s="1180"/>
      <c r="M62" s="1180"/>
      <c r="N62" s="1180"/>
      <c r="O62" s="1180"/>
      <c r="P62" s="1180"/>
      <c r="Q62" s="1180"/>
      <c r="R62" s="1180"/>
      <c r="S62" s="1180"/>
      <c r="T62" s="1180"/>
      <c r="U62" s="1180"/>
    </row>
    <row r="63" spans="1:21">
      <c r="A63" s="1180"/>
      <c r="B63" s="1180"/>
      <c r="C63" s="1180"/>
      <c r="D63" s="1180"/>
      <c r="E63" s="1180"/>
      <c r="F63" s="1180"/>
      <c r="G63" s="1180"/>
      <c r="H63" s="1180"/>
      <c r="I63" s="1180"/>
      <c r="J63" s="1180"/>
      <c r="K63" s="1180"/>
      <c r="L63" s="1180"/>
      <c r="M63" s="1180"/>
      <c r="N63" s="1180"/>
      <c r="O63" s="1180"/>
      <c r="P63" s="1180"/>
      <c r="Q63" s="1180"/>
      <c r="R63" s="1180"/>
      <c r="S63" s="1180"/>
      <c r="T63" s="1180"/>
      <c r="U63" s="1180"/>
    </row>
    <row r="64" spans="1:21">
      <c r="A64" s="1180"/>
      <c r="B64" s="1180"/>
      <c r="C64" s="1180"/>
      <c r="D64" s="1180"/>
      <c r="E64" s="1180"/>
      <c r="F64" s="1180"/>
      <c r="G64" s="1180"/>
      <c r="H64" s="1180"/>
      <c r="I64" s="1180"/>
      <c r="J64" s="1180"/>
      <c r="K64" s="1180"/>
      <c r="L64" s="1180"/>
      <c r="M64" s="1180"/>
      <c r="N64" s="1180"/>
      <c r="O64" s="1180"/>
      <c r="P64" s="1180"/>
      <c r="Q64" s="1180"/>
      <c r="R64" s="1180"/>
      <c r="S64" s="1180"/>
      <c r="T64" s="1180"/>
      <c r="U64" s="1180"/>
    </row>
    <row r="65" spans="1:21">
      <c r="A65" s="1180"/>
      <c r="B65" s="1180"/>
      <c r="C65" s="1180"/>
      <c r="D65" s="1180"/>
      <c r="E65" s="1180"/>
      <c r="F65" s="1180"/>
      <c r="G65" s="1180"/>
      <c r="H65" s="1180"/>
      <c r="I65" s="1180"/>
      <c r="J65" s="1180"/>
      <c r="K65" s="1180"/>
      <c r="L65" s="1180"/>
      <c r="M65" s="1180"/>
      <c r="N65" s="1180"/>
      <c r="O65" s="1180"/>
      <c r="P65" s="1180"/>
      <c r="Q65" s="1180"/>
      <c r="R65" s="1180"/>
      <c r="S65" s="1180"/>
      <c r="T65" s="1180"/>
      <c r="U65" s="1180"/>
    </row>
    <row r="66" spans="1:21">
      <c r="A66" s="1180"/>
      <c r="B66" s="1180"/>
      <c r="C66" s="1180"/>
      <c r="D66" s="1180"/>
      <c r="E66" s="1180"/>
      <c r="F66" s="1180"/>
      <c r="G66" s="1180"/>
      <c r="H66" s="1180"/>
      <c r="I66" s="1180"/>
      <c r="J66" s="1180"/>
      <c r="K66" s="1180"/>
      <c r="L66" s="1180"/>
      <c r="M66" s="1180"/>
      <c r="N66" s="1180"/>
      <c r="O66" s="1180"/>
      <c r="P66" s="1180"/>
      <c r="Q66" s="1180"/>
      <c r="R66" s="1180"/>
      <c r="S66" s="1180"/>
      <c r="T66" s="1180"/>
      <c r="U66" s="1180"/>
    </row>
    <row r="67" spans="1:21">
      <c r="A67" s="1180"/>
      <c r="B67" s="1180"/>
      <c r="C67" s="1180"/>
      <c r="D67" s="1180"/>
      <c r="E67" s="1180"/>
      <c r="F67" s="1180"/>
      <c r="G67" s="1180"/>
      <c r="H67" s="1180"/>
      <c r="I67" s="1180"/>
      <c r="J67" s="1180"/>
      <c r="K67" s="1180"/>
      <c r="L67" s="1180"/>
      <c r="M67" s="1180"/>
      <c r="N67" s="1180"/>
      <c r="O67" s="1180"/>
      <c r="P67" s="1180"/>
      <c r="Q67" s="1180"/>
      <c r="R67" s="1180"/>
      <c r="S67" s="1180"/>
      <c r="T67" s="1180"/>
      <c r="U67" s="1180"/>
    </row>
    <row r="68" spans="1:21">
      <c r="A68" s="1180"/>
      <c r="B68" s="1180"/>
      <c r="C68" s="1180"/>
      <c r="D68" s="1180"/>
      <c r="E68" s="1180"/>
      <c r="F68" s="1180"/>
      <c r="G68" s="1180"/>
      <c r="H68" s="1180"/>
      <c r="I68" s="1180"/>
      <c r="J68" s="1180"/>
      <c r="K68" s="1180"/>
      <c r="L68" s="1180"/>
      <c r="M68" s="1180"/>
      <c r="N68" s="1180"/>
      <c r="O68" s="1180"/>
      <c r="P68" s="1180"/>
      <c r="Q68" s="1180"/>
      <c r="R68" s="1180"/>
      <c r="S68" s="1180"/>
      <c r="T68" s="1180"/>
      <c r="U68" s="1180"/>
    </row>
    <row r="69" spans="1:21">
      <c r="A69" s="1180"/>
      <c r="B69" s="1180"/>
      <c r="C69" s="1180"/>
      <c r="D69" s="1180"/>
      <c r="E69" s="1180"/>
      <c r="F69" s="1180"/>
      <c r="G69" s="1180"/>
      <c r="H69" s="1180"/>
      <c r="I69" s="1180"/>
      <c r="J69" s="1180"/>
      <c r="K69" s="1180"/>
      <c r="L69" s="1180"/>
      <c r="M69" s="1180"/>
      <c r="N69" s="1180"/>
      <c r="O69" s="1180"/>
      <c r="P69" s="1180"/>
      <c r="Q69" s="1180"/>
      <c r="R69" s="1180"/>
      <c r="S69" s="1180"/>
      <c r="T69" s="1180"/>
      <c r="U69" s="1180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7" tint="-0.249977111117893"/>
  </sheetPr>
  <dimension ref="A1:V69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8" style="18" customWidth="1"/>
    <col min="2" max="2" width="20.42578125" style="18" customWidth="1"/>
    <col min="3" max="3" width="8" style="18" customWidth="1"/>
    <col min="4" max="4" width="10.42578125" style="18" customWidth="1"/>
    <col min="5" max="7" width="8" style="18" customWidth="1"/>
    <col min="8" max="8" width="12.42578125" style="18" customWidth="1"/>
    <col min="9" max="9" width="10" style="18" customWidth="1"/>
    <col min="10" max="10" width="18.42578125" style="18" customWidth="1"/>
    <col min="11" max="12" width="8" style="18" customWidth="1"/>
    <col min="13" max="13" width="2.42578125" style="18" customWidth="1"/>
    <col min="14" max="14" width="42.140625" style="18" customWidth="1"/>
    <col min="15" max="15" width="3.85546875" style="18" customWidth="1"/>
    <col min="16" max="16" width="16" style="18" customWidth="1"/>
    <col min="17" max="17" width="1.85546875" style="18" customWidth="1"/>
    <col min="18" max="18" width="18.140625" style="18" customWidth="1"/>
    <col min="19" max="19" width="2.28515625" style="18" customWidth="1"/>
    <col min="20" max="20" width="16.42578125" style="18" customWidth="1"/>
    <col min="21" max="16384" width="8" style="18"/>
  </cols>
  <sheetData>
    <row r="1" spans="1:22">
      <c r="A1" s="2087" t="str">
        <f>LOGO!B5</f>
        <v>DUKE ENERGY KENTUCKY, INC.</v>
      </c>
      <c r="B1" s="2195"/>
      <c r="C1" s="2195"/>
      <c r="D1" s="2195"/>
      <c r="E1" s="2195"/>
      <c r="F1" s="2195"/>
      <c r="G1" s="2195"/>
      <c r="H1" s="2195"/>
      <c r="I1" s="2195"/>
      <c r="J1" s="2195"/>
      <c r="K1" s="1180"/>
      <c r="L1" s="1180"/>
      <c r="M1" s="1180"/>
      <c r="N1" s="1180"/>
      <c r="O1" s="1180"/>
      <c r="P1" s="1180"/>
      <c r="Q1" s="1180"/>
      <c r="R1" s="1180"/>
      <c r="S1" s="1180"/>
      <c r="T1" s="1180"/>
      <c r="U1" s="1180"/>
      <c r="V1" s="1180"/>
    </row>
    <row r="2" spans="1:22">
      <c r="A2" s="2087" t="str">
        <f>LOGO!B6</f>
        <v>CASE NO. 2017-00321</v>
      </c>
      <c r="B2" s="2195"/>
      <c r="C2" s="2195"/>
      <c r="D2" s="2195"/>
      <c r="E2" s="2195"/>
      <c r="F2" s="2195"/>
      <c r="G2" s="2195"/>
      <c r="H2" s="2195"/>
      <c r="I2" s="2195"/>
      <c r="J2" s="2195"/>
      <c r="K2" s="1180"/>
      <c r="L2" s="1180"/>
      <c r="M2" s="1180"/>
      <c r="N2" s="1180"/>
      <c r="O2" s="1180"/>
      <c r="P2" s="1180"/>
      <c r="Q2" s="1180"/>
      <c r="R2" s="1180"/>
      <c r="S2" s="1180"/>
      <c r="T2" s="1180"/>
      <c r="U2" s="1180"/>
      <c r="V2" s="1180"/>
    </row>
    <row r="3" spans="1:22">
      <c r="A3" s="2166" t="s">
        <v>185</v>
      </c>
      <c r="B3" s="2195"/>
      <c r="C3" s="2195"/>
      <c r="D3" s="2195"/>
      <c r="E3" s="2195"/>
      <c r="F3" s="2195"/>
      <c r="G3" s="2195"/>
      <c r="H3" s="2195"/>
      <c r="I3" s="2195"/>
      <c r="J3" s="2195"/>
      <c r="K3" s="1180"/>
      <c r="L3" s="1180"/>
      <c r="M3" s="1180"/>
      <c r="N3" s="1180"/>
      <c r="O3" s="1180"/>
      <c r="P3" s="1180"/>
      <c r="Q3" s="1180"/>
      <c r="R3" s="1180"/>
      <c r="S3" s="1180"/>
      <c r="T3" s="1180"/>
      <c r="U3" s="1180"/>
      <c r="V3" s="1180"/>
    </row>
    <row r="4" spans="1:22">
      <c r="A4" s="2087" t="str">
        <f>LOGO!B8</f>
        <v>FOR THE TWELVE MONTHS ENDED MARCH 31, 2019</v>
      </c>
      <c r="B4" s="2195"/>
      <c r="C4" s="2195"/>
      <c r="D4" s="2195"/>
      <c r="E4" s="2195"/>
      <c r="F4" s="2195"/>
      <c r="G4" s="2195"/>
      <c r="H4" s="2195"/>
      <c r="I4" s="2195"/>
      <c r="J4" s="2195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</row>
    <row r="5" spans="1:22">
      <c r="A5" s="1180"/>
      <c r="B5" s="1180"/>
      <c r="C5" s="1180"/>
      <c r="D5" s="1180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80"/>
      <c r="U5" s="1180"/>
      <c r="V5" s="1180"/>
    </row>
    <row r="6" spans="1:22">
      <c r="A6" s="2206" t="str">
        <f>DataB</f>
        <v>DATA: "X" BASE PERIOD  "X" FORECASTED PERIOD</v>
      </c>
      <c r="B6" s="1180"/>
      <c r="C6" s="1180"/>
      <c r="D6" s="1180"/>
      <c r="E6" s="1180"/>
      <c r="F6" s="1180"/>
      <c r="G6" s="1180"/>
      <c r="H6" s="1180"/>
      <c r="I6" s="2196" t="s">
        <v>1637</v>
      </c>
      <c r="J6" s="1180"/>
      <c r="K6" s="1180"/>
      <c r="L6" s="1180"/>
      <c r="M6" s="1180"/>
      <c r="N6" s="1180"/>
      <c r="O6" s="1180"/>
      <c r="P6" s="1180"/>
      <c r="Q6" s="1180"/>
      <c r="R6" s="1180"/>
      <c r="S6" s="1180"/>
      <c r="T6" s="1180"/>
      <c r="U6" s="1180"/>
      <c r="V6" s="1180"/>
    </row>
    <row r="7" spans="1:22">
      <c r="A7" s="2206" t="str">
        <f>LOGO!B15</f>
        <v xml:space="preserve">TYPE OF FILING:  "X" ORIGINAL   UPDATED    REVISED  </v>
      </c>
      <c r="B7" s="1180"/>
      <c r="C7" s="1180"/>
      <c r="D7" s="1180"/>
      <c r="E7" s="1180"/>
      <c r="F7" s="1180"/>
      <c r="G7" s="1180"/>
      <c r="H7" s="1180"/>
      <c r="I7" s="1179" t="s">
        <v>620</v>
      </c>
      <c r="J7" s="1180"/>
      <c r="K7" s="1180"/>
      <c r="L7" s="1180"/>
      <c r="M7" s="1180"/>
      <c r="N7" s="1180"/>
      <c r="O7" s="1180"/>
      <c r="P7" s="1180"/>
      <c r="Q7" s="1180"/>
      <c r="R7" s="1180"/>
      <c r="S7" s="1180"/>
      <c r="T7" s="1180"/>
      <c r="U7" s="1180"/>
      <c r="V7" s="1180"/>
    </row>
    <row r="8" spans="1:22">
      <c r="A8" s="1179" t="s">
        <v>1545</v>
      </c>
      <c r="B8" s="1180"/>
      <c r="C8" s="1180"/>
      <c r="D8" s="1180"/>
      <c r="E8" s="1180"/>
      <c r="F8" s="1180"/>
      <c r="G8" s="1180"/>
      <c r="H8" s="1180"/>
      <c r="I8" s="1179" t="s">
        <v>622</v>
      </c>
      <c r="J8" s="1180"/>
      <c r="K8" s="1180"/>
      <c r="L8" s="1180"/>
      <c r="M8" s="1180"/>
      <c r="N8" s="1180"/>
      <c r="O8" s="1180"/>
      <c r="P8" s="1180"/>
      <c r="Q8" s="1180"/>
      <c r="R8" s="1180"/>
      <c r="S8" s="1180"/>
      <c r="T8" s="1180"/>
      <c r="U8" s="1180"/>
      <c r="V8" s="1180"/>
    </row>
    <row r="9" spans="1:22">
      <c r="A9" s="1180"/>
      <c r="B9" s="1180"/>
      <c r="C9" s="1180"/>
      <c r="D9" s="1180"/>
      <c r="E9" s="1180"/>
      <c r="F9" s="1180"/>
      <c r="G9" s="1180"/>
      <c r="H9" s="1180"/>
      <c r="I9" s="1179" t="str">
        <f>_WIT10</f>
        <v>R. H. PRATT</v>
      </c>
      <c r="J9" s="1180"/>
      <c r="K9" s="1180"/>
      <c r="L9" s="1180"/>
      <c r="M9" s="1180"/>
      <c r="N9" s="1180"/>
      <c r="O9" s="1180"/>
      <c r="P9" s="1180"/>
      <c r="Q9" s="1180"/>
      <c r="R9" s="1180"/>
      <c r="S9" s="1180"/>
      <c r="T9" s="1180"/>
      <c r="U9" s="1180"/>
      <c r="V9" s="1180"/>
    </row>
    <row r="10" spans="1:22">
      <c r="A10" s="2197"/>
      <c r="B10" s="2197"/>
      <c r="C10" s="2197"/>
      <c r="D10" s="2197"/>
      <c r="E10" s="2197"/>
      <c r="F10" s="2197"/>
      <c r="G10" s="2197"/>
      <c r="H10" s="2197"/>
      <c r="I10" s="2197"/>
      <c r="J10" s="2197"/>
      <c r="K10" s="1179"/>
      <c r="L10" s="1180"/>
      <c r="M10" s="1180"/>
      <c r="N10" s="1180"/>
      <c r="O10" s="1180"/>
      <c r="P10" s="1180"/>
      <c r="Q10" s="1180"/>
      <c r="R10" s="1180"/>
      <c r="S10" s="1180"/>
      <c r="T10" s="1180"/>
      <c r="U10" s="1180"/>
      <c r="V10" s="1180"/>
    </row>
    <row r="11" spans="1:22">
      <c r="A11" s="1180"/>
      <c r="B11" s="1180"/>
      <c r="C11" s="1180"/>
      <c r="D11" s="1180"/>
      <c r="E11" s="1180"/>
      <c r="F11" s="1180"/>
      <c r="G11" s="1180"/>
      <c r="H11" s="1180"/>
      <c r="I11" s="1180"/>
      <c r="J11" s="1180"/>
      <c r="K11" s="1180"/>
      <c r="L11" s="1180"/>
      <c r="M11" s="1180"/>
      <c r="N11" s="1180"/>
      <c r="O11" s="1180"/>
      <c r="P11" s="1180"/>
      <c r="Q11" s="1180"/>
      <c r="R11" s="1180"/>
      <c r="S11" s="1180"/>
      <c r="T11" s="1180"/>
      <c r="U11" s="1180"/>
      <c r="V11" s="1180"/>
    </row>
    <row r="12" spans="1:22">
      <c r="A12" s="1179" t="s">
        <v>1246</v>
      </c>
      <c r="B12" s="1180"/>
      <c r="C12" s="1180"/>
      <c r="D12" s="1180"/>
      <c r="E12" s="1180"/>
      <c r="F12" s="1180"/>
      <c r="G12" s="1180"/>
      <c r="H12" s="1180"/>
      <c r="I12" s="1180"/>
      <c r="J12" s="2198" t="s">
        <v>364</v>
      </c>
      <c r="K12" s="1180"/>
      <c r="L12" s="1180"/>
      <c r="M12" s="1180"/>
      <c r="N12" s="1180"/>
      <c r="O12" s="1180"/>
      <c r="P12" s="1180"/>
      <c r="Q12" s="1180"/>
      <c r="R12" s="1180"/>
      <c r="S12" s="1180"/>
      <c r="T12" s="1180"/>
      <c r="U12" s="1180"/>
      <c r="V12" s="1180"/>
    </row>
    <row r="13" spans="1:22">
      <c r="A13" s="2197"/>
      <c r="B13" s="2197"/>
      <c r="C13" s="2197"/>
      <c r="D13" s="2197"/>
      <c r="E13" s="2197"/>
      <c r="F13" s="2197"/>
      <c r="G13" s="2197"/>
      <c r="H13" s="2197"/>
      <c r="I13" s="2197"/>
      <c r="J13" s="2197"/>
      <c r="K13" s="1179"/>
      <c r="L13" s="1180"/>
      <c r="M13" s="1180"/>
      <c r="N13" s="1180"/>
      <c r="O13" s="1180"/>
      <c r="P13" s="1180"/>
      <c r="Q13" s="1180"/>
      <c r="R13" s="1180"/>
      <c r="S13" s="1180"/>
      <c r="T13" s="1180"/>
      <c r="U13" s="1180"/>
      <c r="V13" s="1180"/>
    </row>
    <row r="14" spans="1:22">
      <c r="A14" s="1180"/>
      <c r="B14" s="1180"/>
      <c r="C14" s="1180"/>
      <c r="D14" s="1180"/>
      <c r="E14" s="1180"/>
      <c r="F14" s="1180"/>
      <c r="G14" s="1180"/>
      <c r="H14" s="1180"/>
      <c r="I14" s="1180"/>
      <c r="J14" s="2199"/>
      <c r="K14" s="1180"/>
      <c r="L14" s="1180"/>
      <c r="M14" s="1180"/>
      <c r="N14" s="1180"/>
      <c r="O14" s="1180"/>
      <c r="P14" s="1180"/>
      <c r="Q14" s="1180"/>
      <c r="R14" s="1180"/>
      <c r="S14" s="1180"/>
      <c r="T14" s="1180"/>
      <c r="U14" s="1180"/>
      <c r="V14" s="1180"/>
    </row>
    <row r="15" spans="1:22">
      <c r="A15" s="1581" t="s">
        <v>1072</v>
      </c>
      <c r="B15" s="1180"/>
      <c r="C15" s="1180"/>
      <c r="D15" s="1180"/>
      <c r="E15" s="1180"/>
      <c r="F15" s="1180"/>
      <c r="G15" s="1180"/>
      <c r="H15" s="1180"/>
      <c r="I15" s="1180"/>
      <c r="J15" s="1180"/>
      <c r="K15" s="1180"/>
      <c r="L15" s="1180"/>
      <c r="M15" s="1180"/>
      <c r="N15" s="1180"/>
      <c r="O15" s="1180"/>
      <c r="P15" s="1180"/>
      <c r="Q15" s="1180"/>
      <c r="R15" s="1180"/>
      <c r="S15" s="1180"/>
      <c r="T15" s="1180"/>
      <c r="U15" s="1180"/>
      <c r="V15" s="1180"/>
    </row>
    <row r="16" spans="1:22">
      <c r="A16" s="1581" t="s">
        <v>182</v>
      </c>
      <c r="B16" s="1180"/>
      <c r="C16" s="1180"/>
      <c r="D16" s="1180"/>
      <c r="E16" s="1180"/>
      <c r="F16" s="1180"/>
      <c r="G16" s="1180"/>
      <c r="H16" s="1180"/>
      <c r="I16" s="1180"/>
      <c r="J16" s="1180"/>
      <c r="K16" s="1180"/>
      <c r="L16" s="1180"/>
      <c r="M16" s="1180"/>
      <c r="N16" s="1180"/>
      <c r="O16" s="1180"/>
      <c r="P16" s="1180"/>
      <c r="Q16" s="1180"/>
      <c r="R16" s="1180"/>
      <c r="S16" s="1180"/>
      <c r="T16" s="1180"/>
      <c r="U16" s="1180"/>
      <c r="V16" s="1180"/>
    </row>
    <row r="17" spans="1:22">
      <c r="A17" s="1179"/>
      <c r="B17" s="1180"/>
      <c r="C17" s="1180"/>
      <c r="D17" s="1180"/>
      <c r="E17" s="1180"/>
      <c r="F17" s="1180"/>
      <c r="G17" s="1180"/>
      <c r="H17" s="1180"/>
      <c r="I17" s="1180"/>
      <c r="J17" s="1180"/>
      <c r="K17" s="1180"/>
      <c r="L17" s="1180"/>
      <c r="M17" s="1180"/>
      <c r="N17" s="1180"/>
      <c r="O17" s="1180"/>
      <c r="P17" s="1180"/>
      <c r="Q17" s="1180"/>
      <c r="R17" s="1180"/>
      <c r="S17" s="1180"/>
      <c r="T17" s="1180"/>
      <c r="U17" s="1180"/>
      <c r="V17" s="1180"/>
    </row>
    <row r="18" spans="1:22">
      <c r="A18" s="1179"/>
      <c r="B18" s="1180"/>
      <c r="C18" s="1180"/>
      <c r="D18" s="1180"/>
      <c r="E18" s="1180"/>
      <c r="F18" s="1180"/>
      <c r="G18" s="1180"/>
      <c r="H18" s="1180"/>
      <c r="I18" s="1180"/>
      <c r="J18" s="1180"/>
      <c r="K18" s="1180"/>
      <c r="L18" s="1180"/>
      <c r="M18" s="1180"/>
      <c r="N18" s="1180"/>
      <c r="O18" s="1180"/>
      <c r="P18" s="1180"/>
      <c r="Q18" s="1180"/>
      <c r="R18" s="1180"/>
      <c r="S18" s="1180"/>
      <c r="T18" s="1180"/>
      <c r="U18" s="1180"/>
      <c r="V18" s="1180"/>
    </row>
    <row r="19" spans="1:22">
      <c r="A19" s="1179"/>
      <c r="B19" s="1180"/>
      <c r="C19" s="1180"/>
      <c r="D19" s="1180"/>
      <c r="E19" s="1180"/>
      <c r="F19" s="1180"/>
      <c r="G19" s="1180"/>
      <c r="H19" s="1180"/>
      <c r="I19" s="1180"/>
      <c r="J19" s="1180"/>
      <c r="K19" s="1180"/>
      <c r="L19" s="1180"/>
      <c r="M19" s="1180"/>
      <c r="N19" s="1180"/>
      <c r="O19" s="1180"/>
      <c r="P19" s="1180"/>
      <c r="Q19" s="1180"/>
      <c r="R19" s="1180"/>
      <c r="S19" s="1180"/>
      <c r="T19" s="1180"/>
      <c r="U19" s="1180"/>
      <c r="V19" s="1180"/>
    </row>
    <row r="20" spans="1:22">
      <c r="A20" s="1179"/>
      <c r="B20" s="1180"/>
      <c r="C20" s="1180"/>
      <c r="D20" s="1180"/>
      <c r="E20" s="1180"/>
      <c r="F20" s="1180"/>
      <c r="G20" s="1180"/>
      <c r="H20" s="2199"/>
      <c r="I20" s="1180"/>
      <c r="J20" s="1180"/>
      <c r="K20" s="1180"/>
      <c r="L20" s="1180"/>
      <c r="M20" s="1180"/>
      <c r="N20" s="1180"/>
      <c r="O20" s="1180"/>
      <c r="P20" s="1180"/>
      <c r="Q20" s="1180"/>
      <c r="R20" s="1180"/>
      <c r="S20" s="1180"/>
      <c r="T20" s="1180"/>
      <c r="U20" s="1180"/>
      <c r="V20" s="1180"/>
    </row>
    <row r="21" spans="1:22">
      <c r="A21" s="1502"/>
      <c r="B21" s="1180"/>
      <c r="C21" s="1180"/>
      <c r="D21" s="1180"/>
      <c r="E21" s="1180"/>
      <c r="F21" s="1180"/>
      <c r="G21" s="1180"/>
      <c r="H21" s="2170"/>
      <c r="I21" s="1180"/>
      <c r="J21" s="1180"/>
      <c r="K21" s="1180"/>
      <c r="L21" s="1180"/>
      <c r="M21" s="1180"/>
      <c r="N21" s="1180"/>
      <c r="O21" s="1180"/>
      <c r="P21" s="1180"/>
      <c r="Q21" s="1180"/>
      <c r="R21" s="1180"/>
      <c r="S21" s="1180"/>
      <c r="T21" s="1180"/>
      <c r="U21" s="1180"/>
      <c r="V21" s="1180"/>
    </row>
    <row r="22" spans="1:22">
      <c r="A22" s="1180"/>
      <c r="B22" s="1180"/>
      <c r="C22" s="1180"/>
      <c r="D22" s="1180"/>
      <c r="E22" s="1180"/>
      <c r="F22" s="1180"/>
      <c r="G22" s="1180"/>
      <c r="H22" s="1180"/>
      <c r="I22" s="1180"/>
      <c r="J22" s="1180"/>
      <c r="K22" s="1180"/>
      <c r="L22" s="1180"/>
      <c r="M22" s="1180"/>
      <c r="N22" s="1180"/>
      <c r="O22" s="1180"/>
      <c r="P22" s="1180"/>
      <c r="Q22" s="1180"/>
      <c r="R22" s="1180"/>
      <c r="S22" s="1180"/>
      <c r="T22" s="1180"/>
      <c r="U22" s="1180"/>
      <c r="V22" s="1180"/>
    </row>
    <row r="23" spans="1:22">
      <c r="A23" s="1179" t="s">
        <v>588</v>
      </c>
      <c r="B23" s="1180"/>
      <c r="C23" s="1180"/>
      <c r="D23" s="1180"/>
      <c r="E23" s="1180"/>
      <c r="F23" s="1180"/>
      <c r="G23" s="1180"/>
      <c r="H23" s="1180"/>
      <c r="I23" s="1426"/>
      <c r="J23" s="1375">
        <f ca="1">T53</f>
        <v>671968</v>
      </c>
      <c r="K23" s="1180"/>
      <c r="L23" s="1180"/>
      <c r="M23" s="1180"/>
      <c r="N23" s="1180"/>
      <c r="O23" s="1180"/>
      <c r="P23" s="1180"/>
      <c r="Q23" s="1180"/>
      <c r="R23" s="1180"/>
      <c r="S23" s="1180"/>
      <c r="T23" s="1180"/>
      <c r="U23" s="1180"/>
      <c r="V23" s="1180"/>
    </row>
    <row r="24" spans="1:22">
      <c r="A24" s="1180"/>
      <c r="B24" s="1180"/>
      <c r="C24" s="1180"/>
      <c r="D24" s="1180"/>
      <c r="E24" s="1180"/>
      <c r="F24" s="1180"/>
      <c r="G24" s="1180"/>
      <c r="H24" s="1180"/>
      <c r="I24" s="1180"/>
      <c r="J24" s="1426"/>
      <c r="K24" s="1180"/>
      <c r="L24" s="1180"/>
      <c r="M24" s="1180"/>
      <c r="N24" s="1180"/>
      <c r="O24" s="1180"/>
      <c r="P24" s="1180"/>
      <c r="Q24" s="1180"/>
      <c r="R24" s="1180"/>
      <c r="S24" s="1180"/>
      <c r="T24" s="1180"/>
      <c r="U24" s="1180"/>
      <c r="V24" s="1180"/>
    </row>
    <row r="25" spans="1:22">
      <c r="A25" s="1180"/>
      <c r="B25" s="1180"/>
      <c r="C25" s="1180"/>
      <c r="D25" s="1180"/>
      <c r="E25" s="1180"/>
      <c r="F25" s="1180"/>
      <c r="G25" s="1180"/>
      <c r="H25" s="1180"/>
      <c r="I25" s="1180"/>
      <c r="J25" s="1180"/>
      <c r="K25" s="1180"/>
      <c r="L25" s="1180"/>
      <c r="M25" s="1180"/>
      <c r="N25" s="1180"/>
      <c r="O25" s="1180"/>
      <c r="P25" s="1180"/>
      <c r="Q25" s="1180"/>
      <c r="R25" s="1180"/>
      <c r="S25" s="1180"/>
      <c r="T25" s="1180"/>
      <c r="U25" s="1180"/>
      <c r="V25" s="1180"/>
    </row>
    <row r="26" spans="1:22">
      <c r="A26" s="1179" t="s">
        <v>266</v>
      </c>
      <c r="B26" s="1180"/>
      <c r="C26" s="1180"/>
      <c r="D26" s="1180"/>
      <c r="E26" s="1180"/>
      <c r="F26" s="1180"/>
      <c r="G26" s="1180"/>
      <c r="H26" s="1180"/>
      <c r="I26" s="1180"/>
      <c r="J26" s="1425">
        <f>VLOOKUP(D33,ALLOCTABLE,2)/100</f>
        <v>1</v>
      </c>
      <c r="K26" s="1180"/>
      <c r="L26" s="1180"/>
      <c r="M26" s="1180"/>
      <c r="N26" s="1180"/>
      <c r="O26" s="1180"/>
      <c r="P26" s="1180"/>
      <c r="Q26" s="1180"/>
      <c r="R26" s="1180"/>
      <c r="S26" s="1180"/>
      <c r="T26" s="1180"/>
      <c r="U26" s="1180"/>
      <c r="V26" s="1180"/>
    </row>
    <row r="27" spans="1:22">
      <c r="A27" s="1180"/>
      <c r="B27" s="1180"/>
      <c r="C27" s="1180"/>
      <c r="D27" s="1180"/>
      <c r="E27" s="1180"/>
      <c r="F27" s="1180"/>
      <c r="G27" s="1180"/>
      <c r="H27" s="1180"/>
      <c r="I27" s="1180"/>
      <c r="J27" s="1426"/>
      <c r="K27" s="1180"/>
      <c r="L27" s="1180"/>
      <c r="M27" s="1180"/>
      <c r="N27" s="1180"/>
      <c r="O27" s="1180"/>
      <c r="P27" s="1180"/>
      <c r="Q27" s="1180"/>
      <c r="R27" s="1180"/>
      <c r="S27" s="1180"/>
      <c r="T27" s="1180"/>
      <c r="U27" s="1180"/>
      <c r="V27" s="1180"/>
    </row>
    <row r="28" spans="1:22">
      <c r="A28" s="1180"/>
      <c r="B28" s="1180"/>
      <c r="C28" s="1180"/>
      <c r="D28" s="1180"/>
      <c r="E28" s="1180"/>
      <c r="F28" s="1180"/>
      <c r="G28" s="1180"/>
      <c r="H28" s="1180"/>
      <c r="I28" s="1180"/>
      <c r="J28" s="1180"/>
      <c r="K28" s="1180"/>
      <c r="L28" s="1180"/>
      <c r="M28" s="1180"/>
      <c r="N28" s="1180"/>
      <c r="O28" s="1180"/>
      <c r="P28" s="1180"/>
      <c r="Q28" s="1180"/>
      <c r="R28" s="1180"/>
      <c r="S28" s="1180"/>
      <c r="T28" s="1180"/>
      <c r="U28" s="1180"/>
      <c r="V28" s="1180"/>
    </row>
    <row r="29" spans="1:22" ht="15">
      <c r="A29" s="1179" t="s">
        <v>1236</v>
      </c>
      <c r="B29" s="1180"/>
      <c r="C29" s="1180"/>
      <c r="D29" s="1180"/>
      <c r="E29" s="1180"/>
      <c r="F29" s="1179" t="s">
        <v>1213</v>
      </c>
      <c r="G29" s="1180"/>
      <c r="H29" s="1180"/>
      <c r="I29" s="1426"/>
      <c r="J29" s="1427">
        <f ca="1">ROUND(J23*J26,0)</f>
        <v>671968</v>
      </c>
      <c r="K29" s="1180"/>
      <c r="L29" s="1180"/>
      <c r="M29" s="1180"/>
      <c r="N29" s="1180"/>
      <c r="O29" s="1180"/>
      <c r="P29" s="1180"/>
      <c r="Q29" s="1180"/>
      <c r="R29" s="1180"/>
      <c r="S29" s="1180"/>
      <c r="T29" s="1180"/>
      <c r="U29" s="1180"/>
      <c r="V29" s="1180"/>
    </row>
    <row r="30" spans="1:22">
      <c r="A30" s="1180"/>
      <c r="B30" s="1180"/>
      <c r="C30" s="1180"/>
      <c r="D30" s="1180"/>
      <c r="E30" s="1180"/>
      <c r="F30" s="1180"/>
      <c r="G30" s="1180"/>
      <c r="H30" s="1180"/>
      <c r="I30" s="1180"/>
      <c r="J30" s="1426"/>
      <c r="K30" s="1180"/>
      <c r="L30" s="1180"/>
      <c r="M30" s="1180"/>
      <c r="N30" s="1180"/>
      <c r="O30" s="1180"/>
      <c r="P30" s="1180"/>
      <c r="Q30" s="1180"/>
      <c r="R30" s="1180"/>
      <c r="S30" s="1180"/>
      <c r="T30" s="1180"/>
      <c r="U30" s="1180"/>
      <c r="V30" s="1180"/>
    </row>
    <row r="31" spans="1:22">
      <c r="A31" s="1180"/>
      <c r="B31" s="1180"/>
      <c r="C31" s="1180"/>
      <c r="D31" s="1180"/>
      <c r="E31" s="1180"/>
      <c r="F31" s="1180"/>
      <c r="G31" s="1180"/>
      <c r="H31" s="1180"/>
      <c r="I31" s="1180"/>
      <c r="J31" s="1180"/>
      <c r="K31" s="1180"/>
      <c r="L31" s="1180"/>
      <c r="M31" s="1180"/>
      <c r="N31" s="1180"/>
      <c r="O31" s="1180"/>
      <c r="P31" s="1180"/>
      <c r="Q31" s="1180"/>
      <c r="R31" s="1180"/>
      <c r="S31" s="1180"/>
      <c r="T31" s="1180"/>
      <c r="U31" s="1180"/>
      <c r="V31" s="1180"/>
    </row>
    <row r="32" spans="1:22">
      <c r="A32" s="1180"/>
      <c r="B32" s="1180"/>
      <c r="C32" s="1180"/>
      <c r="D32" s="1180"/>
      <c r="E32" s="1180"/>
      <c r="F32" s="1180"/>
      <c r="G32" s="1180"/>
      <c r="H32" s="1180"/>
      <c r="I32" s="1180"/>
      <c r="J32" s="1180"/>
      <c r="K32" s="1180"/>
      <c r="L32" s="1180"/>
      <c r="M32" s="1180"/>
      <c r="N32" s="1180"/>
      <c r="O32" s="1180"/>
      <c r="P32" s="1180"/>
      <c r="Q32" s="1180"/>
      <c r="R32" s="1180"/>
      <c r="S32" s="1180"/>
      <c r="T32" s="1180"/>
      <c r="U32" s="1180"/>
      <c r="V32" s="1180"/>
    </row>
    <row r="33" spans="1:22">
      <c r="A33" s="1179" t="s">
        <v>1237</v>
      </c>
      <c r="B33" s="1180"/>
      <c r="C33" s="1180"/>
      <c r="D33" s="2149" t="s">
        <v>593</v>
      </c>
      <c r="E33" s="1180"/>
      <c r="F33" s="1180"/>
      <c r="G33" s="1180"/>
      <c r="H33" s="1180"/>
      <c r="I33" s="1180"/>
      <c r="J33" s="1180"/>
      <c r="K33" s="1180"/>
      <c r="L33" s="1180"/>
      <c r="M33" s="1180"/>
      <c r="N33" s="1180"/>
      <c r="O33" s="1180"/>
      <c r="P33" s="1180"/>
      <c r="Q33" s="1180"/>
      <c r="R33" s="1180"/>
      <c r="S33" s="1180"/>
      <c r="T33" s="1180"/>
      <c r="U33" s="1180"/>
      <c r="V33" s="1180"/>
    </row>
    <row r="34" spans="1:22">
      <c r="A34" s="1179"/>
      <c r="B34" s="1180"/>
      <c r="C34" s="1180"/>
      <c r="D34" s="1180"/>
      <c r="E34" s="1180"/>
      <c r="F34" s="1180"/>
      <c r="G34" s="1180"/>
      <c r="H34" s="1180"/>
      <c r="I34" s="1180"/>
      <c r="J34" s="1180"/>
      <c r="K34" s="1180"/>
      <c r="L34" s="1180"/>
      <c r="M34" s="1180"/>
      <c r="N34" s="1180"/>
      <c r="O34" s="1180"/>
      <c r="P34" s="1180"/>
      <c r="Q34" s="1180"/>
      <c r="R34" s="1180"/>
      <c r="S34" s="1180"/>
      <c r="T34" s="1180"/>
      <c r="U34" s="1180"/>
      <c r="V34" s="1180"/>
    </row>
    <row r="35" spans="1:22">
      <c r="A35" s="1180"/>
      <c r="B35" s="1180"/>
      <c r="C35" s="1180"/>
      <c r="D35" s="1180"/>
      <c r="E35" s="1180"/>
      <c r="F35" s="1180"/>
      <c r="G35" s="1180"/>
      <c r="H35" s="1180"/>
      <c r="I35" s="1180"/>
      <c r="J35" s="1180"/>
      <c r="K35" s="1180"/>
      <c r="L35" s="1180"/>
      <c r="M35" s="1180"/>
      <c r="N35" s="1180"/>
      <c r="O35" s="1180"/>
      <c r="P35" s="1180"/>
      <c r="Q35" s="1180"/>
      <c r="R35" s="1180"/>
      <c r="S35" s="1180"/>
      <c r="T35" s="1180"/>
      <c r="U35" s="1180"/>
      <c r="V35" s="1180"/>
    </row>
    <row r="36" spans="1:22">
      <c r="A36" s="1180"/>
      <c r="B36" s="1180"/>
      <c r="C36" s="1180"/>
      <c r="D36" s="1180"/>
      <c r="E36" s="1180"/>
      <c r="F36" s="1180"/>
      <c r="G36" s="1180"/>
      <c r="H36" s="1180"/>
      <c r="I36" s="1180"/>
      <c r="J36" s="1180"/>
      <c r="K36" s="1180"/>
      <c r="L36" s="1180"/>
      <c r="M36" s="1180"/>
      <c r="N36" s="1180"/>
      <c r="O36" s="1180"/>
      <c r="P36" s="1180"/>
      <c r="Q36" s="1180"/>
      <c r="R36" s="1180"/>
      <c r="S36" s="1180"/>
      <c r="T36" s="1180"/>
      <c r="U36" s="1180"/>
      <c r="V36" s="1180"/>
    </row>
    <row r="37" spans="1:22">
      <c r="A37" s="1180"/>
      <c r="B37" s="1180"/>
      <c r="C37" s="1180"/>
      <c r="D37" s="1180"/>
      <c r="E37" s="1180"/>
      <c r="F37" s="1180"/>
      <c r="G37" s="1180"/>
      <c r="H37" s="1180"/>
      <c r="I37" s="1180"/>
      <c r="J37" s="1180"/>
      <c r="K37" s="1180"/>
      <c r="L37" s="1180"/>
      <c r="M37" s="1180"/>
      <c r="N37" s="1180"/>
      <c r="O37" s="1180"/>
      <c r="P37" s="1180"/>
      <c r="Q37" s="1180"/>
      <c r="R37" s="1180"/>
      <c r="S37" s="1180"/>
      <c r="T37" s="1180"/>
      <c r="U37" s="1180"/>
      <c r="V37" s="1180"/>
    </row>
    <row r="38" spans="1:22">
      <c r="A38" s="1180"/>
      <c r="B38" s="1180"/>
      <c r="C38" s="1180"/>
      <c r="D38" s="1180"/>
      <c r="E38" s="1180"/>
      <c r="F38" s="1180"/>
      <c r="G38" s="1180"/>
      <c r="H38" s="1180"/>
      <c r="I38" s="1180"/>
      <c r="J38" s="1180"/>
      <c r="K38" s="1180"/>
      <c r="L38" s="1180"/>
      <c r="M38" s="1180"/>
      <c r="N38" s="1180"/>
      <c r="O38" s="1180"/>
      <c r="P38" s="1180"/>
      <c r="Q38" s="1180"/>
      <c r="R38" s="1180"/>
      <c r="S38" s="1180"/>
      <c r="T38" s="1180"/>
      <c r="U38" s="1180"/>
      <c r="V38" s="1180"/>
    </row>
    <row r="39" spans="1:22">
      <c r="A39" s="1180"/>
      <c r="B39" s="1180"/>
      <c r="C39" s="1180"/>
      <c r="D39" s="1180"/>
      <c r="E39" s="1180"/>
      <c r="F39" s="1180"/>
      <c r="G39" s="1180"/>
      <c r="H39" s="1180"/>
      <c r="I39" s="1180"/>
      <c r="J39" s="1180"/>
      <c r="K39" s="1180"/>
      <c r="L39" s="1180"/>
      <c r="M39" s="1180"/>
      <c r="N39" s="1180"/>
      <c r="O39" s="1180"/>
      <c r="P39" s="1180"/>
      <c r="Q39" s="1180"/>
      <c r="R39" s="1180"/>
      <c r="S39" s="1180"/>
      <c r="T39" s="1180"/>
      <c r="U39" s="1180"/>
      <c r="V39" s="1180"/>
    </row>
    <row r="40" spans="1:22">
      <c r="A40" s="1180"/>
      <c r="B40" s="1180"/>
      <c r="C40" s="1180"/>
      <c r="D40" s="1180"/>
      <c r="E40" s="1180"/>
      <c r="F40" s="1180"/>
      <c r="G40" s="1180"/>
      <c r="H40" s="1180"/>
      <c r="I40" s="1180"/>
      <c r="J40" s="1180"/>
      <c r="K40" s="1180"/>
      <c r="L40" s="1180"/>
      <c r="M40" s="1180"/>
      <c r="N40" s="1180"/>
      <c r="O40" s="1180"/>
      <c r="P40" s="1180"/>
      <c r="Q40" s="1180"/>
      <c r="R40" s="1180"/>
      <c r="S40" s="1180"/>
      <c r="T40" s="1180"/>
      <c r="U40" s="1180"/>
      <c r="V40" s="1180"/>
    </row>
    <row r="41" spans="1:22">
      <c r="A41" s="1180"/>
      <c r="B41" s="1180"/>
      <c r="C41" s="1180"/>
      <c r="D41" s="1180"/>
      <c r="E41" s="1180"/>
      <c r="F41" s="1180"/>
      <c r="G41" s="1180"/>
      <c r="H41" s="1180"/>
      <c r="I41" s="1180"/>
      <c r="J41" s="1180"/>
      <c r="K41" s="1180"/>
      <c r="L41" s="1180"/>
      <c r="M41" s="1180"/>
      <c r="N41" s="1180"/>
      <c r="O41" s="1180"/>
      <c r="P41" s="1180"/>
      <c r="Q41" s="1180"/>
      <c r="R41" s="1180"/>
      <c r="S41" s="1180"/>
      <c r="T41" s="1180"/>
      <c r="U41" s="1180"/>
      <c r="V41" s="1180"/>
    </row>
    <row r="42" spans="1:22">
      <c r="A42" s="1180"/>
      <c r="B42" s="1180"/>
      <c r="C42" s="1180"/>
      <c r="D42" s="1180"/>
      <c r="E42" s="1180"/>
      <c r="F42" s="1180"/>
      <c r="G42" s="1180"/>
      <c r="H42" s="1180"/>
      <c r="I42" s="1180"/>
      <c r="J42" s="1180"/>
      <c r="K42" s="1180"/>
      <c r="L42" s="1180"/>
      <c r="M42" s="1180"/>
      <c r="N42" s="1180"/>
      <c r="O42" s="1180"/>
      <c r="P42" s="1180"/>
      <c r="Q42" s="1180"/>
      <c r="R42" s="1180"/>
      <c r="S42" s="1180"/>
      <c r="T42" s="1180"/>
      <c r="U42" s="1180"/>
      <c r="V42" s="1180"/>
    </row>
    <row r="43" spans="1:22">
      <c r="A43" s="1180"/>
      <c r="B43" s="1180"/>
      <c r="C43" s="1180"/>
      <c r="D43" s="1180"/>
      <c r="E43" s="1180"/>
      <c r="F43" s="1180"/>
      <c r="G43" s="1180"/>
      <c r="H43" s="1180"/>
      <c r="I43" s="1180"/>
      <c r="J43" s="1180"/>
      <c r="K43" s="1180"/>
      <c r="L43" s="1629" t="str">
        <f>COMPANY</f>
        <v>DUKE ENERGY KENTUCKY, INC.</v>
      </c>
      <c r="M43" s="530"/>
      <c r="N43" s="530"/>
      <c r="O43" s="530"/>
      <c r="P43" s="530"/>
      <c r="Q43" s="530"/>
      <c r="R43" s="1629" t="s">
        <v>1052</v>
      </c>
      <c r="S43" s="530"/>
      <c r="T43" s="1178"/>
      <c r="U43" s="1180"/>
      <c r="V43" s="1180"/>
    </row>
    <row r="44" spans="1:22">
      <c r="A44" s="1180"/>
      <c r="B44" s="1180"/>
      <c r="C44" s="1180"/>
      <c r="D44" s="1180"/>
      <c r="E44" s="1180"/>
      <c r="F44" s="1180"/>
      <c r="G44" s="1180"/>
      <c r="H44" s="1180"/>
      <c r="I44" s="1180"/>
      <c r="J44" s="1180"/>
      <c r="K44" s="1180"/>
      <c r="L44" s="1629" t="str">
        <f>DEPT</f>
        <v>ELECTRIC DEPARTMENT</v>
      </c>
      <c r="M44" s="530"/>
      <c r="N44" s="530"/>
      <c r="O44" s="530"/>
      <c r="P44" s="530"/>
      <c r="Q44" s="530"/>
      <c r="R44" s="1629" t="s">
        <v>1239</v>
      </c>
      <c r="S44" s="530"/>
      <c r="T44" s="1178"/>
      <c r="U44" s="1180"/>
      <c r="V44" s="1180"/>
    </row>
    <row r="45" spans="1:22">
      <c r="A45" s="1180"/>
      <c r="B45" s="1180"/>
      <c r="C45" s="1180"/>
      <c r="D45" s="1180"/>
      <c r="E45" s="1180"/>
      <c r="F45" s="1180"/>
      <c r="G45" s="1180"/>
      <c r="H45" s="1180"/>
      <c r="I45" s="1180"/>
      <c r="J45" s="1180"/>
      <c r="K45" s="1180"/>
      <c r="L45" s="1629" t="str">
        <f>CASE</f>
        <v>CASE NO. 2017-00321</v>
      </c>
      <c r="M45" s="530"/>
      <c r="N45" s="530"/>
      <c r="O45" s="530"/>
      <c r="P45" s="530"/>
      <c r="Q45" s="530"/>
      <c r="R45" s="530" t="str">
        <f>_WIT10</f>
        <v>R. H. PRATT</v>
      </c>
      <c r="S45" s="530"/>
      <c r="T45" s="1178"/>
      <c r="U45" s="1180"/>
      <c r="V45" s="1180"/>
    </row>
    <row r="46" spans="1:22">
      <c r="A46" s="1180"/>
      <c r="B46" s="1180"/>
      <c r="C46" s="1180"/>
      <c r="D46" s="1180"/>
      <c r="E46" s="1180"/>
      <c r="F46" s="1180"/>
      <c r="G46" s="1180"/>
      <c r="H46" s="1180"/>
      <c r="I46" s="1180"/>
      <c r="J46" s="1180"/>
      <c r="K46" s="1180"/>
      <c r="L46" s="1629" t="s">
        <v>1074</v>
      </c>
      <c r="M46" s="530"/>
      <c r="N46" s="530"/>
      <c r="O46" s="530"/>
      <c r="P46" s="530"/>
      <c r="Q46" s="530"/>
      <c r="R46" s="2107"/>
      <c r="S46" s="530"/>
      <c r="T46" s="1178"/>
      <c r="U46" s="1180"/>
      <c r="V46" s="1180"/>
    </row>
    <row r="47" spans="1:22">
      <c r="A47" s="1180"/>
      <c r="B47" s="1180"/>
      <c r="C47" s="1180"/>
      <c r="D47" s="1180"/>
      <c r="E47" s="1180"/>
      <c r="F47" s="1180"/>
      <c r="G47" s="1180"/>
      <c r="H47" s="1180"/>
      <c r="I47" s="1180"/>
      <c r="J47" s="1180"/>
      <c r="K47" s="1180"/>
      <c r="L47" s="1629"/>
      <c r="M47" s="530"/>
      <c r="N47" s="530"/>
      <c r="O47" s="530"/>
      <c r="P47" s="530"/>
      <c r="Q47" s="530"/>
      <c r="R47" s="530"/>
      <c r="S47" s="530"/>
      <c r="T47" s="1178"/>
      <c r="U47" s="1180"/>
      <c r="V47" s="1180"/>
    </row>
    <row r="48" spans="1:22">
      <c r="A48" s="1180"/>
      <c r="B48" s="1180"/>
      <c r="C48" s="1180"/>
      <c r="D48" s="1180"/>
      <c r="E48" s="1180"/>
      <c r="F48" s="1180"/>
      <c r="G48" s="1180"/>
      <c r="H48" s="1180"/>
      <c r="I48" s="1180"/>
      <c r="J48" s="1180"/>
      <c r="K48" s="1180"/>
      <c r="L48" s="1178"/>
      <c r="M48" s="1178"/>
      <c r="N48" s="1178"/>
      <c r="O48" s="1178"/>
      <c r="P48" s="1178"/>
      <c r="Q48" s="1178"/>
      <c r="R48" s="1178"/>
      <c r="S48" s="1178"/>
      <c r="T48" s="1178"/>
      <c r="U48" s="1180"/>
      <c r="V48" s="1180"/>
    </row>
    <row r="49" spans="1:22">
      <c r="A49" s="1180"/>
      <c r="B49" s="1180"/>
      <c r="C49" s="1180"/>
      <c r="D49" s="1180"/>
      <c r="E49" s="1180"/>
      <c r="F49" s="1180"/>
      <c r="G49" s="1180"/>
      <c r="H49" s="1180"/>
      <c r="I49" s="1180"/>
      <c r="J49" s="1180"/>
      <c r="K49" s="1180"/>
      <c r="L49" s="1178"/>
      <c r="M49" s="1178"/>
      <c r="N49" s="1178"/>
      <c r="O49" s="1178"/>
      <c r="P49" s="1178"/>
      <c r="Q49" s="1178"/>
      <c r="R49" s="1178"/>
      <c r="S49" s="1178"/>
      <c r="T49" s="1178"/>
      <c r="U49" s="1180"/>
      <c r="V49" s="1180"/>
    </row>
    <row r="50" spans="1:22">
      <c r="A50" s="1180"/>
      <c r="B50" s="1180"/>
      <c r="C50" s="1180"/>
      <c r="D50" s="1180"/>
      <c r="E50" s="1180"/>
      <c r="F50" s="1180"/>
      <c r="G50" s="1180"/>
      <c r="H50" s="1180"/>
      <c r="I50" s="1180"/>
      <c r="J50" s="1180"/>
      <c r="K50" s="1180"/>
      <c r="L50" s="1423" t="s">
        <v>1240</v>
      </c>
      <c r="M50" s="1423"/>
      <c r="N50" s="1423"/>
      <c r="O50" s="1423"/>
      <c r="P50" s="1423" t="s">
        <v>1117</v>
      </c>
      <c r="Q50" s="1423"/>
      <c r="R50" s="1423" t="s">
        <v>626</v>
      </c>
      <c r="S50" s="1423"/>
      <c r="T50" s="1423"/>
      <c r="U50" s="1180"/>
      <c r="V50" s="1180"/>
    </row>
    <row r="51" spans="1:22">
      <c r="A51" s="1180"/>
      <c r="B51" s="1180"/>
      <c r="C51" s="1180"/>
      <c r="D51" s="1180"/>
      <c r="E51" s="1180"/>
      <c r="F51" s="1180"/>
      <c r="G51" s="1180"/>
      <c r="H51" s="1180"/>
      <c r="I51" s="1180"/>
      <c r="J51" s="1180"/>
      <c r="K51" s="1180"/>
      <c r="L51" s="1424" t="s">
        <v>1241</v>
      </c>
      <c r="M51" s="1424"/>
      <c r="N51" s="1424" t="s">
        <v>1119</v>
      </c>
      <c r="O51" s="1424"/>
      <c r="P51" s="1424" t="s">
        <v>1120</v>
      </c>
      <c r="Q51" s="1424"/>
      <c r="R51" s="1424" t="s">
        <v>1120</v>
      </c>
      <c r="S51" s="1424"/>
      <c r="T51" s="1424" t="s">
        <v>1242</v>
      </c>
      <c r="U51" s="1180"/>
      <c r="V51" s="1180"/>
    </row>
    <row r="52" spans="1:22">
      <c r="A52" s="1180"/>
      <c r="B52" s="1180"/>
      <c r="C52" s="1180"/>
      <c r="D52" s="1180"/>
      <c r="E52" s="1180"/>
      <c r="F52" s="1180"/>
      <c r="G52" s="1180"/>
      <c r="H52" s="1180"/>
      <c r="I52" s="1180"/>
      <c r="J52" s="1180"/>
      <c r="K52" s="1180"/>
      <c r="L52" s="1178"/>
      <c r="M52" s="1178"/>
      <c r="N52" s="1178"/>
      <c r="O52" s="1178"/>
      <c r="P52" s="1178"/>
      <c r="Q52" s="1178"/>
      <c r="R52" s="1178"/>
      <c r="S52" s="1178"/>
      <c r="T52" s="1178"/>
      <c r="U52" s="1180"/>
      <c r="V52" s="1180"/>
    </row>
    <row r="53" spans="1:22" ht="13.5" thickBot="1">
      <c r="A53" s="1180"/>
      <c r="B53" s="1180"/>
      <c r="C53" s="1180"/>
      <c r="D53" s="1180"/>
      <c r="E53" s="1180"/>
      <c r="F53" s="1180"/>
      <c r="G53" s="1180"/>
      <c r="H53" s="1180"/>
      <c r="I53" s="1180"/>
      <c r="J53" s="1180"/>
      <c r="K53" s="1180"/>
      <c r="L53" s="1423">
        <v>1</v>
      </c>
      <c r="M53" s="1178"/>
      <c r="N53" s="1179" t="s">
        <v>173</v>
      </c>
      <c r="O53" s="1178"/>
      <c r="P53" s="2275">
        <f>SCH_C2!E32</f>
        <v>6076877</v>
      </c>
      <c r="Q53" s="1178"/>
      <c r="R53" s="2275">
        <f ca="1">SCH_C2!H32</f>
        <v>6748845</v>
      </c>
      <c r="S53" s="1178"/>
      <c r="T53" s="2275">
        <f ca="1">R53-P53</f>
        <v>671968</v>
      </c>
      <c r="U53" s="1180"/>
      <c r="V53" s="1180"/>
    </row>
    <row r="54" spans="1:22" ht="13.5" thickTop="1">
      <c r="A54" s="1180"/>
      <c r="B54" s="1180"/>
      <c r="C54" s="1180"/>
      <c r="D54" s="1180"/>
      <c r="E54" s="1180"/>
      <c r="F54" s="1180"/>
      <c r="G54" s="1180"/>
      <c r="H54" s="1180"/>
      <c r="I54" s="1180"/>
      <c r="J54" s="1180"/>
      <c r="K54" s="1180"/>
      <c r="L54" s="1423"/>
      <c r="M54" s="1178"/>
      <c r="N54" s="1178"/>
      <c r="O54" s="1178"/>
      <c r="P54" s="1178"/>
      <c r="Q54" s="1178"/>
      <c r="R54" s="1178"/>
      <c r="S54" s="1178"/>
      <c r="T54" s="1178"/>
      <c r="U54" s="1180"/>
      <c r="V54" s="1180"/>
    </row>
    <row r="55" spans="1:22">
      <c r="A55" s="1180"/>
      <c r="B55" s="1180"/>
      <c r="C55" s="1180"/>
      <c r="D55" s="1180"/>
      <c r="E55" s="1180"/>
      <c r="F55" s="1180"/>
      <c r="G55" s="1180"/>
      <c r="H55" s="1180"/>
      <c r="I55" s="1180"/>
      <c r="J55" s="1180"/>
      <c r="K55" s="1180"/>
      <c r="L55" s="1178"/>
      <c r="M55" s="1178"/>
      <c r="N55" s="1178"/>
      <c r="O55" s="1178"/>
      <c r="P55" s="1178"/>
      <c r="Q55" s="1178"/>
      <c r="R55" s="1178"/>
      <c r="S55" s="1178"/>
      <c r="T55" s="1178"/>
      <c r="U55" s="1180"/>
      <c r="V55" s="1180"/>
    </row>
    <row r="56" spans="1:22">
      <c r="A56" s="1180"/>
      <c r="B56" s="1180"/>
      <c r="C56" s="1180"/>
      <c r="D56" s="1180"/>
      <c r="E56" s="1180"/>
      <c r="F56" s="1180"/>
      <c r="G56" s="1180"/>
      <c r="H56" s="1180"/>
      <c r="I56" s="1180"/>
      <c r="J56" s="1180"/>
      <c r="K56" s="1180"/>
      <c r="L56" s="1178"/>
      <c r="M56" s="1178"/>
      <c r="N56" s="1178"/>
      <c r="O56" s="1178"/>
      <c r="P56" s="1178"/>
      <c r="Q56" s="1178"/>
      <c r="R56" s="1178"/>
      <c r="S56" s="1178"/>
      <c r="T56" s="1178"/>
      <c r="U56" s="1180"/>
      <c r="V56" s="1180"/>
    </row>
    <row r="57" spans="1:22">
      <c r="A57" s="1180"/>
      <c r="B57" s="1180"/>
      <c r="C57" s="1180"/>
      <c r="D57" s="1180"/>
      <c r="E57" s="1180"/>
      <c r="F57" s="1180"/>
      <c r="G57" s="1180"/>
      <c r="H57" s="1180"/>
      <c r="I57" s="1180"/>
      <c r="J57" s="1180"/>
      <c r="K57" s="1180"/>
      <c r="L57" s="1178"/>
      <c r="M57" s="1178"/>
      <c r="N57" s="1178"/>
      <c r="O57" s="1178"/>
      <c r="P57" s="1178"/>
      <c r="Q57" s="1178"/>
      <c r="R57" s="1178"/>
      <c r="S57" s="1178"/>
      <c r="T57" s="1423" t="s">
        <v>1244</v>
      </c>
      <c r="U57" s="1180"/>
      <c r="V57" s="1180"/>
    </row>
    <row r="58" spans="1:22">
      <c r="A58" s="1180"/>
      <c r="B58" s="1180"/>
      <c r="C58" s="1180"/>
      <c r="D58" s="1180"/>
      <c r="E58" s="1180"/>
      <c r="F58" s="1180"/>
      <c r="G58" s="1180"/>
      <c r="H58" s="1180"/>
      <c r="I58" s="1180"/>
      <c r="J58" s="1180"/>
      <c r="K58" s="1180"/>
      <c r="L58" s="1180"/>
      <c r="M58" s="1180"/>
      <c r="N58" s="1180"/>
      <c r="O58" s="1180"/>
      <c r="P58" s="1180"/>
      <c r="Q58" s="1180"/>
      <c r="R58" s="1180"/>
      <c r="S58" s="1180"/>
      <c r="T58" s="1180"/>
      <c r="U58" s="1180"/>
      <c r="V58" s="1180"/>
    </row>
    <row r="59" spans="1:22">
      <c r="A59" s="1180"/>
      <c r="B59" s="1180"/>
      <c r="C59" s="1180"/>
      <c r="D59" s="1180"/>
      <c r="E59" s="1180"/>
      <c r="F59" s="1180"/>
      <c r="G59" s="1180"/>
      <c r="H59" s="1180"/>
      <c r="I59" s="1180"/>
      <c r="J59" s="1180"/>
      <c r="K59" s="1180"/>
      <c r="L59" s="1180"/>
      <c r="M59" s="1180"/>
      <c r="N59" s="1180"/>
      <c r="O59" s="1180"/>
      <c r="P59" s="1180"/>
      <c r="Q59" s="1180"/>
      <c r="R59" s="1180"/>
      <c r="S59" s="1180"/>
      <c r="T59" s="1180"/>
      <c r="U59" s="1180"/>
      <c r="V59" s="1180"/>
    </row>
    <row r="60" spans="1:22">
      <c r="A60" s="1180"/>
      <c r="B60" s="1180"/>
      <c r="C60" s="1180"/>
      <c r="D60" s="1180"/>
      <c r="E60" s="1180"/>
      <c r="F60" s="1180"/>
      <c r="G60" s="1180"/>
      <c r="H60" s="1180"/>
      <c r="I60" s="1180"/>
      <c r="J60" s="1180"/>
      <c r="K60" s="1180"/>
      <c r="L60" s="1180"/>
      <c r="M60" s="1180"/>
      <c r="N60" s="1180"/>
      <c r="O60" s="1180"/>
      <c r="P60" s="1180"/>
      <c r="Q60" s="1180"/>
      <c r="R60" s="2370"/>
      <c r="S60" s="1180"/>
      <c r="T60" s="1180"/>
      <c r="U60" s="1180"/>
      <c r="V60" s="1180"/>
    </row>
    <row r="61" spans="1:22">
      <c r="A61" s="1180"/>
      <c r="B61" s="1180"/>
      <c r="C61" s="1180"/>
      <c r="D61" s="1180"/>
      <c r="E61" s="1180"/>
      <c r="F61" s="1180"/>
      <c r="G61" s="1180"/>
      <c r="H61" s="1180"/>
      <c r="I61" s="1180"/>
      <c r="J61" s="1180"/>
      <c r="K61" s="1180"/>
      <c r="L61" s="1180"/>
      <c r="M61" s="1180"/>
      <c r="N61" s="1180"/>
      <c r="O61" s="1180"/>
      <c r="P61" s="1180"/>
      <c r="Q61" s="1180"/>
      <c r="R61" s="1180"/>
      <c r="S61" s="1180"/>
      <c r="T61" s="1180"/>
      <c r="U61" s="1180"/>
      <c r="V61" s="1180"/>
    </row>
    <row r="62" spans="1:22">
      <c r="A62" s="1180"/>
      <c r="B62" s="1180"/>
      <c r="C62" s="1180"/>
      <c r="D62" s="1180"/>
      <c r="E62" s="1180"/>
      <c r="F62" s="1180"/>
      <c r="G62" s="1180"/>
      <c r="H62" s="1180"/>
      <c r="I62" s="1180"/>
      <c r="J62" s="1180"/>
      <c r="K62" s="1180"/>
      <c r="L62" s="1180"/>
      <c r="M62" s="1180"/>
      <c r="N62" s="1180"/>
      <c r="O62" s="1180"/>
      <c r="P62" s="1180"/>
      <c r="Q62" s="1180"/>
      <c r="R62" s="1180"/>
      <c r="S62" s="1180"/>
      <c r="T62" s="1180"/>
      <c r="U62" s="1180"/>
      <c r="V62" s="1180"/>
    </row>
    <row r="63" spans="1:22">
      <c r="A63" s="1180"/>
      <c r="B63" s="1180"/>
      <c r="C63" s="1180"/>
      <c r="D63" s="1180"/>
      <c r="E63" s="1180"/>
      <c r="F63" s="1180"/>
      <c r="G63" s="1180"/>
      <c r="H63" s="1180"/>
      <c r="I63" s="1180"/>
      <c r="J63" s="1180"/>
      <c r="K63" s="1180"/>
      <c r="L63" s="1180"/>
      <c r="M63" s="1180"/>
      <c r="N63" s="1180"/>
      <c r="O63" s="1180"/>
      <c r="P63" s="1180"/>
      <c r="Q63" s="1180"/>
      <c r="R63" s="1180"/>
      <c r="S63" s="1180"/>
      <c r="T63" s="1180"/>
      <c r="U63" s="1180"/>
      <c r="V63" s="1180"/>
    </row>
    <row r="64" spans="1:22">
      <c r="A64" s="1180"/>
      <c r="B64" s="1180"/>
      <c r="C64" s="1180"/>
      <c r="D64" s="1180"/>
      <c r="E64" s="1180"/>
      <c r="F64" s="1180"/>
      <c r="G64" s="1180"/>
      <c r="H64" s="1180"/>
      <c r="I64" s="1180"/>
      <c r="J64" s="1180"/>
      <c r="K64" s="1180"/>
      <c r="L64" s="1180"/>
      <c r="M64" s="1180"/>
      <c r="N64" s="1180"/>
      <c r="O64" s="1180"/>
      <c r="P64" s="1180"/>
      <c r="Q64" s="1180"/>
      <c r="R64" s="1180"/>
      <c r="S64" s="1180"/>
      <c r="T64" s="1180"/>
      <c r="U64" s="1180"/>
      <c r="V64" s="1180"/>
    </row>
    <row r="65" spans="1:22">
      <c r="A65" s="1180"/>
      <c r="B65" s="1180"/>
      <c r="C65" s="1180"/>
      <c r="D65" s="1180"/>
      <c r="E65" s="1180"/>
      <c r="F65" s="1180"/>
      <c r="G65" s="1180"/>
      <c r="H65" s="1180"/>
      <c r="I65" s="1180"/>
      <c r="J65" s="1180"/>
      <c r="K65" s="1180"/>
      <c r="L65" s="1180"/>
      <c r="M65" s="1180"/>
      <c r="N65" s="1180"/>
      <c r="O65" s="1180"/>
      <c r="P65" s="1180"/>
      <c r="Q65" s="1180"/>
      <c r="R65" s="1180"/>
      <c r="S65" s="1180"/>
      <c r="T65" s="1180"/>
      <c r="U65" s="1180"/>
      <c r="V65" s="1180"/>
    </row>
    <row r="66" spans="1:22">
      <c r="A66" s="1180"/>
      <c r="B66" s="1180"/>
      <c r="C66" s="1180"/>
      <c r="D66" s="1180"/>
      <c r="E66" s="1180"/>
      <c r="F66" s="1180"/>
      <c r="G66" s="1180"/>
      <c r="H66" s="1180"/>
      <c r="I66" s="1180"/>
      <c r="J66" s="1180"/>
      <c r="K66" s="1180"/>
      <c r="L66" s="1180"/>
      <c r="M66" s="1180"/>
      <c r="N66" s="1180"/>
      <c r="O66" s="1180"/>
      <c r="P66" s="1180"/>
      <c r="Q66" s="1180"/>
      <c r="R66" s="1180"/>
      <c r="S66" s="1180"/>
      <c r="T66" s="1180"/>
      <c r="U66" s="1180"/>
      <c r="V66" s="1180"/>
    </row>
    <row r="67" spans="1:22">
      <c r="A67" s="1180"/>
      <c r="B67" s="1180"/>
      <c r="C67" s="1180"/>
      <c r="D67" s="1180"/>
      <c r="E67" s="1180"/>
      <c r="F67" s="1180"/>
      <c r="G67" s="1180"/>
      <c r="H67" s="1180"/>
      <c r="I67" s="1180"/>
      <c r="J67" s="1180"/>
      <c r="K67" s="1180"/>
      <c r="L67" s="1180"/>
      <c r="M67" s="1180"/>
      <c r="N67" s="1180"/>
      <c r="O67" s="1180"/>
      <c r="P67" s="1180"/>
      <c r="Q67" s="1180"/>
      <c r="R67" s="1180"/>
      <c r="S67" s="1180"/>
      <c r="T67" s="1180"/>
      <c r="U67" s="1180"/>
      <c r="V67" s="1180"/>
    </row>
    <row r="68" spans="1:22">
      <c r="A68" s="1180"/>
      <c r="B68" s="1180"/>
      <c r="C68" s="1180"/>
      <c r="D68" s="1180"/>
      <c r="E68" s="1180"/>
      <c r="F68" s="1180"/>
      <c r="G68" s="1180"/>
      <c r="H68" s="1180"/>
      <c r="I68" s="1180"/>
      <c r="J68" s="1180"/>
      <c r="K68" s="1180"/>
      <c r="L68" s="1180"/>
      <c r="M68" s="1180"/>
      <c r="N68" s="1180"/>
      <c r="O68" s="1180"/>
      <c r="P68" s="1180"/>
      <c r="Q68" s="1180"/>
      <c r="R68" s="1180"/>
      <c r="S68" s="1180"/>
      <c r="T68" s="1180"/>
      <c r="U68" s="1180"/>
      <c r="V68" s="1180"/>
    </row>
    <row r="69" spans="1:22">
      <c r="A69" s="1180"/>
      <c r="B69" s="1180"/>
      <c r="C69" s="1180"/>
      <c r="D69" s="1180"/>
      <c r="E69" s="1180"/>
      <c r="F69" s="1180"/>
      <c r="G69" s="1180"/>
      <c r="H69" s="1180"/>
      <c r="I69" s="1180"/>
      <c r="J69" s="1180"/>
      <c r="K69" s="1180"/>
      <c r="L69" s="1180"/>
      <c r="M69" s="1180"/>
      <c r="N69" s="1180"/>
      <c r="O69" s="1180"/>
      <c r="P69" s="1180"/>
      <c r="Q69" s="1180"/>
      <c r="R69" s="1180"/>
      <c r="S69" s="1180"/>
      <c r="T69" s="1180"/>
      <c r="U69" s="1180"/>
      <c r="V69" s="1180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7" tint="-0.249977111117893"/>
  </sheetPr>
  <dimension ref="A1:X69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8" style="18" customWidth="1"/>
    <col min="2" max="2" width="25.140625" style="18" customWidth="1"/>
    <col min="3" max="3" width="8" style="18" customWidth="1"/>
    <col min="4" max="4" width="10.42578125" style="18" customWidth="1"/>
    <col min="5" max="7" width="8" style="18" customWidth="1"/>
    <col min="8" max="8" width="12.42578125" style="18" customWidth="1"/>
    <col min="9" max="9" width="10" style="18" customWidth="1"/>
    <col min="10" max="10" width="18.42578125" style="18" customWidth="1"/>
    <col min="11" max="12" width="8" style="18" customWidth="1"/>
    <col min="13" max="13" width="1.85546875" style="18" customWidth="1"/>
    <col min="14" max="14" width="44.85546875" style="18" customWidth="1"/>
    <col min="15" max="15" width="3.85546875" style="18" customWidth="1"/>
    <col min="16" max="16" width="16" style="18" customWidth="1"/>
    <col min="17" max="17" width="1.85546875" style="18" customWidth="1"/>
    <col min="18" max="18" width="18.140625" style="18" customWidth="1"/>
    <col min="19" max="19" width="2.28515625" style="18" customWidth="1"/>
    <col min="20" max="20" width="16.42578125" style="18" customWidth="1"/>
    <col min="21" max="16384" width="8" style="18"/>
  </cols>
  <sheetData>
    <row r="1" spans="1:24">
      <c r="A1" s="2087" t="str">
        <f>LOGO!B5</f>
        <v>DUKE ENERGY KENTUCKY, INC.</v>
      </c>
      <c r="B1" s="2195"/>
      <c r="C1" s="2195"/>
      <c r="D1" s="2195"/>
      <c r="E1" s="2195"/>
      <c r="F1" s="2195"/>
      <c r="G1" s="2195"/>
      <c r="H1" s="2195"/>
      <c r="I1" s="2195"/>
      <c r="J1" s="2195"/>
      <c r="K1" s="1180"/>
      <c r="L1" s="1180"/>
      <c r="M1" s="1180"/>
      <c r="N1" s="1180"/>
      <c r="O1" s="1180"/>
      <c r="P1" s="1180"/>
      <c r="Q1" s="1180"/>
      <c r="R1" s="1180"/>
      <c r="S1" s="1180"/>
      <c r="T1" s="1180"/>
      <c r="U1" s="1180"/>
      <c r="V1" s="1180"/>
      <c r="W1" s="1180"/>
      <c r="X1" s="1180"/>
    </row>
    <row r="2" spans="1:24">
      <c r="A2" s="2087" t="str">
        <f>LOGO!B6</f>
        <v>CASE NO. 2017-00321</v>
      </c>
      <c r="B2" s="2195"/>
      <c r="C2" s="2195"/>
      <c r="D2" s="2195"/>
      <c r="E2" s="2195"/>
      <c r="F2" s="2195"/>
      <c r="G2" s="2195"/>
      <c r="H2" s="2195"/>
      <c r="I2" s="2195"/>
      <c r="J2" s="2195"/>
      <c r="K2" s="1180"/>
      <c r="L2" s="1180"/>
      <c r="M2" s="1180"/>
      <c r="N2" s="1180"/>
      <c r="O2" s="1180"/>
      <c r="P2" s="1180"/>
      <c r="Q2" s="1180"/>
      <c r="R2" s="1180"/>
      <c r="S2" s="1180"/>
      <c r="T2" s="1180"/>
      <c r="U2" s="1180"/>
      <c r="V2" s="1180"/>
      <c r="W2" s="1180"/>
      <c r="X2" s="1180"/>
    </row>
    <row r="3" spans="1:24">
      <c r="A3" s="2166" t="s">
        <v>186</v>
      </c>
      <c r="B3" s="2195"/>
      <c r="C3" s="2195"/>
      <c r="D3" s="2195"/>
      <c r="E3" s="2195"/>
      <c r="F3" s="2195"/>
      <c r="G3" s="2195"/>
      <c r="H3" s="2195"/>
      <c r="I3" s="2195"/>
      <c r="J3" s="2195"/>
      <c r="K3" s="1180"/>
      <c r="L3" s="1180"/>
      <c r="M3" s="1180"/>
      <c r="N3" s="1180"/>
      <c r="O3" s="1180"/>
      <c r="P3" s="1180"/>
      <c r="Q3" s="1180"/>
      <c r="R3" s="1180"/>
      <c r="S3" s="1180"/>
      <c r="T3" s="1180"/>
      <c r="U3" s="1180"/>
      <c r="V3" s="1180"/>
      <c r="W3" s="1180"/>
      <c r="X3" s="1180"/>
    </row>
    <row r="4" spans="1:24">
      <c r="A4" s="2087" t="str">
        <f>LOGO!B8</f>
        <v>FOR THE TWELVE MONTHS ENDED MARCH 31, 2019</v>
      </c>
      <c r="B4" s="2195"/>
      <c r="C4" s="2195"/>
      <c r="D4" s="2195"/>
      <c r="E4" s="2195"/>
      <c r="F4" s="2195"/>
      <c r="G4" s="2195"/>
      <c r="H4" s="2195"/>
      <c r="I4" s="2195"/>
      <c r="J4" s="2195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</row>
    <row r="5" spans="1:24">
      <c r="A5" s="1180"/>
      <c r="B5" s="1180"/>
      <c r="C5" s="1180"/>
      <c r="D5" s="1180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80"/>
      <c r="U5" s="1180"/>
      <c r="V5" s="1180"/>
      <c r="W5" s="1180"/>
      <c r="X5" s="1180"/>
    </row>
    <row r="6" spans="1:24">
      <c r="A6" s="2206" t="str">
        <f>DataB</f>
        <v>DATA: "X" BASE PERIOD  "X" FORECASTED PERIOD</v>
      </c>
      <c r="B6" s="1180"/>
      <c r="C6" s="1180"/>
      <c r="D6" s="1180"/>
      <c r="E6" s="1180"/>
      <c r="F6" s="1180"/>
      <c r="G6" s="1180"/>
      <c r="H6" s="1180"/>
      <c r="I6" s="2196" t="s">
        <v>497</v>
      </c>
      <c r="J6" s="1180"/>
      <c r="K6" s="1180"/>
      <c r="L6" s="1180"/>
      <c r="M6" s="1180"/>
      <c r="N6" s="1180"/>
      <c r="O6" s="1180"/>
      <c r="P6" s="1180"/>
      <c r="Q6" s="1180"/>
      <c r="R6" s="1180"/>
      <c r="S6" s="1180"/>
      <c r="T6" s="1180"/>
      <c r="U6" s="1180"/>
      <c r="V6" s="1180"/>
      <c r="W6" s="1180"/>
      <c r="X6" s="1180"/>
    </row>
    <row r="7" spans="1:24">
      <c r="A7" s="2206" t="str">
        <f>LOGO!B15</f>
        <v xml:space="preserve">TYPE OF FILING:  "X" ORIGINAL   UPDATED    REVISED  </v>
      </c>
      <c r="B7" s="1180"/>
      <c r="C7" s="1180"/>
      <c r="D7" s="1180"/>
      <c r="E7" s="1180"/>
      <c r="F7" s="1180"/>
      <c r="G7" s="1180"/>
      <c r="H7" s="1180"/>
      <c r="I7" s="1179" t="s">
        <v>620</v>
      </c>
      <c r="J7" s="1180"/>
      <c r="K7" s="1180"/>
      <c r="L7" s="1180"/>
      <c r="M7" s="1180"/>
      <c r="N7" s="1180"/>
      <c r="O7" s="1180"/>
      <c r="P7" s="1180"/>
      <c r="Q7" s="1180"/>
      <c r="R7" s="1180"/>
      <c r="S7" s="1180"/>
      <c r="T7" s="1180"/>
      <c r="U7" s="1180"/>
      <c r="V7" s="1180"/>
      <c r="W7" s="1180"/>
      <c r="X7" s="1180"/>
    </row>
    <row r="8" spans="1:24">
      <c r="A8" s="1179" t="s">
        <v>1544</v>
      </c>
      <c r="B8" s="1180"/>
      <c r="C8" s="1180"/>
      <c r="D8" s="1180"/>
      <c r="E8" s="1180"/>
      <c r="F8" s="1180"/>
      <c r="G8" s="1180"/>
      <c r="H8" s="1180"/>
      <c r="I8" s="1179" t="s">
        <v>622</v>
      </c>
      <c r="J8" s="1180"/>
      <c r="K8" s="1180"/>
      <c r="L8" s="1180"/>
      <c r="M8" s="1180"/>
      <c r="N8" s="1180"/>
      <c r="O8" s="1180"/>
      <c r="P8" s="1180"/>
      <c r="Q8" s="1180"/>
      <c r="R8" s="1180"/>
      <c r="S8" s="1180"/>
      <c r="T8" s="1180"/>
      <c r="U8" s="1180"/>
      <c r="V8" s="1180"/>
      <c r="W8" s="1180"/>
      <c r="X8" s="1180"/>
    </row>
    <row r="9" spans="1:24">
      <c r="A9" s="1180"/>
      <c r="B9" s="1180"/>
      <c r="C9" s="1180"/>
      <c r="D9" s="1180"/>
      <c r="E9" s="1180"/>
      <c r="F9" s="1180"/>
      <c r="G9" s="1180"/>
      <c r="H9" s="1180"/>
      <c r="I9" s="1179" t="str">
        <f>_WIT10</f>
        <v>R. H. PRATT</v>
      </c>
      <c r="J9" s="1180"/>
      <c r="K9" s="1180"/>
      <c r="L9" s="1180"/>
      <c r="M9" s="1180"/>
      <c r="N9" s="1180"/>
      <c r="O9" s="1180"/>
      <c r="P9" s="1180"/>
      <c r="Q9" s="1180"/>
      <c r="R9" s="1180"/>
      <c r="S9" s="1180"/>
      <c r="T9" s="1180"/>
      <c r="U9" s="1180"/>
      <c r="V9" s="1180"/>
      <c r="W9" s="1180"/>
      <c r="X9" s="1180"/>
    </row>
    <row r="10" spans="1:24">
      <c r="A10" s="2197"/>
      <c r="B10" s="2197"/>
      <c r="C10" s="2197"/>
      <c r="D10" s="2197"/>
      <c r="E10" s="2197"/>
      <c r="F10" s="2197"/>
      <c r="G10" s="2197"/>
      <c r="H10" s="2197"/>
      <c r="I10" s="2197"/>
      <c r="J10" s="2197"/>
      <c r="K10" s="1179"/>
      <c r="L10" s="1180"/>
      <c r="M10" s="1180"/>
      <c r="N10" s="1180"/>
      <c r="O10" s="1180"/>
      <c r="P10" s="1180"/>
      <c r="Q10" s="1180"/>
      <c r="R10" s="1180"/>
      <c r="S10" s="1180"/>
      <c r="T10" s="1180"/>
      <c r="U10" s="1180"/>
      <c r="V10" s="1180"/>
      <c r="W10" s="1180"/>
      <c r="X10" s="1180"/>
    </row>
    <row r="11" spans="1:24">
      <c r="A11" s="1180"/>
      <c r="B11" s="1180"/>
      <c r="C11" s="1180"/>
      <c r="D11" s="1180"/>
      <c r="E11" s="1180"/>
      <c r="F11" s="1180"/>
      <c r="G11" s="1180"/>
      <c r="H11" s="1180"/>
      <c r="I11" s="1180"/>
      <c r="J11" s="1180"/>
      <c r="K11" s="1180"/>
      <c r="L11" s="1180"/>
      <c r="M11" s="1180"/>
      <c r="N11" s="1180"/>
      <c r="O11" s="1180"/>
      <c r="P11" s="1180"/>
      <c r="Q11" s="1180"/>
      <c r="R11" s="1180"/>
      <c r="S11" s="1180"/>
      <c r="T11" s="1180"/>
      <c r="U11" s="1180"/>
      <c r="V11" s="1180"/>
      <c r="W11" s="1180"/>
      <c r="X11" s="1180"/>
    </row>
    <row r="12" spans="1:24">
      <c r="A12" s="1179" t="s">
        <v>1246</v>
      </c>
      <c r="B12" s="1180"/>
      <c r="C12" s="1180"/>
      <c r="D12" s="1180"/>
      <c r="E12" s="1180"/>
      <c r="F12" s="1180"/>
      <c r="G12" s="1180"/>
      <c r="H12" s="1180"/>
      <c r="I12" s="1180"/>
      <c r="J12" s="2198" t="s">
        <v>364</v>
      </c>
      <c r="K12" s="1180"/>
      <c r="L12" s="1180"/>
      <c r="M12" s="1180"/>
      <c r="N12" s="1180"/>
      <c r="O12" s="1180"/>
      <c r="P12" s="1180"/>
      <c r="Q12" s="1180"/>
      <c r="R12" s="1180"/>
      <c r="S12" s="1180"/>
      <c r="T12" s="1180"/>
      <c r="U12" s="1180"/>
      <c r="V12" s="1180"/>
      <c r="W12" s="1180"/>
      <c r="X12" s="1180"/>
    </row>
    <row r="13" spans="1:24">
      <c r="A13" s="2197"/>
      <c r="B13" s="2197"/>
      <c r="C13" s="2197"/>
      <c r="D13" s="2197"/>
      <c r="E13" s="2197"/>
      <c r="F13" s="2197"/>
      <c r="G13" s="2197"/>
      <c r="H13" s="2197"/>
      <c r="I13" s="2197"/>
      <c r="J13" s="2197"/>
      <c r="K13" s="1179"/>
      <c r="L13" s="1180"/>
      <c r="M13" s="1180"/>
      <c r="N13" s="1180"/>
      <c r="O13" s="1180"/>
      <c r="P13" s="1180"/>
      <c r="Q13" s="1180"/>
      <c r="R13" s="1180"/>
      <c r="S13" s="1180"/>
      <c r="T13" s="1180"/>
      <c r="U13" s="1180"/>
      <c r="V13" s="1180"/>
      <c r="W13" s="1180"/>
      <c r="X13" s="1180"/>
    </row>
    <row r="14" spans="1:24">
      <c r="A14" s="1180"/>
      <c r="B14" s="1180"/>
      <c r="C14" s="1180"/>
      <c r="D14" s="1180"/>
      <c r="E14" s="1180"/>
      <c r="F14" s="1180"/>
      <c r="G14" s="1180"/>
      <c r="H14" s="1180"/>
      <c r="I14" s="1180"/>
      <c r="J14" s="2199"/>
      <c r="K14" s="1180"/>
      <c r="L14" s="1180"/>
      <c r="M14" s="1180"/>
      <c r="N14" s="1180"/>
      <c r="O14" s="1180"/>
      <c r="P14" s="1180"/>
      <c r="Q14" s="1180"/>
      <c r="R14" s="1180"/>
      <c r="S14" s="1180"/>
      <c r="T14" s="1180"/>
      <c r="U14" s="1180"/>
      <c r="V14" s="1180"/>
      <c r="W14" s="1180"/>
      <c r="X14" s="1180"/>
    </row>
    <row r="15" spans="1:24">
      <c r="A15" s="1581" t="s">
        <v>1390</v>
      </c>
      <c r="B15" s="1180"/>
      <c r="C15" s="1180"/>
      <c r="D15" s="1180"/>
      <c r="E15" s="1180"/>
      <c r="F15" s="1180"/>
      <c r="G15" s="1180"/>
      <c r="H15" s="1180"/>
      <c r="I15" s="1180"/>
      <c r="J15" s="1180"/>
      <c r="K15" s="1180"/>
      <c r="L15" s="1180"/>
      <c r="M15" s="1180"/>
      <c r="N15" s="1180"/>
      <c r="O15" s="1180"/>
      <c r="P15" s="1180"/>
      <c r="Q15" s="1180"/>
      <c r="R15" s="1180"/>
      <c r="S15" s="1180"/>
      <c r="T15" s="1180"/>
      <c r="U15" s="1180"/>
      <c r="V15" s="1180"/>
      <c r="W15" s="1180"/>
      <c r="X15" s="1180"/>
    </row>
    <row r="16" spans="1:24">
      <c r="A16" s="1581" t="s">
        <v>31</v>
      </c>
      <c r="B16" s="1180"/>
      <c r="C16" s="1180"/>
      <c r="D16" s="1180"/>
      <c r="E16" s="1180"/>
      <c r="F16" s="1180"/>
      <c r="G16" s="1180"/>
      <c r="H16" s="1180"/>
      <c r="I16" s="1180"/>
      <c r="J16" s="1180"/>
      <c r="K16" s="1180"/>
      <c r="L16" s="1180"/>
      <c r="M16" s="1180"/>
      <c r="N16" s="1180"/>
      <c r="O16" s="1180"/>
      <c r="P16" s="1180"/>
      <c r="Q16" s="1180"/>
      <c r="R16" s="1180"/>
      <c r="S16" s="1180"/>
      <c r="T16" s="1180"/>
      <c r="U16" s="1180"/>
      <c r="V16" s="1180"/>
      <c r="W16" s="1180"/>
      <c r="X16" s="1180"/>
    </row>
    <row r="17" spans="1:24">
      <c r="A17" s="1179"/>
      <c r="B17" s="1180"/>
      <c r="C17" s="1180"/>
      <c r="D17" s="1180"/>
      <c r="E17" s="1180"/>
      <c r="F17" s="1180"/>
      <c r="G17" s="1180"/>
      <c r="H17" s="1180"/>
      <c r="I17" s="1180"/>
      <c r="J17" s="1180"/>
      <c r="K17" s="1180"/>
      <c r="L17" s="1180"/>
      <c r="M17" s="1180"/>
      <c r="N17" s="1180"/>
      <c r="O17" s="1180"/>
      <c r="P17" s="1180"/>
      <c r="Q17" s="1180"/>
      <c r="R17" s="1180"/>
      <c r="S17" s="1180"/>
      <c r="T17" s="1180"/>
      <c r="U17" s="1180"/>
      <c r="V17" s="1180"/>
      <c r="W17" s="1180"/>
      <c r="X17" s="1180"/>
    </row>
    <row r="18" spans="1:24">
      <c r="A18" s="1179"/>
      <c r="B18" s="1180"/>
      <c r="C18" s="1180"/>
      <c r="D18" s="1180"/>
      <c r="E18" s="1180"/>
      <c r="F18" s="1180"/>
      <c r="G18" s="1180"/>
      <c r="H18" s="1180"/>
      <c r="I18" s="1180"/>
      <c r="J18" s="1180"/>
      <c r="K18" s="1180"/>
      <c r="L18" s="1180"/>
      <c r="M18" s="1180"/>
      <c r="N18" s="1180"/>
      <c r="O18" s="1180"/>
      <c r="P18" s="1180"/>
      <c r="Q18" s="1180"/>
      <c r="R18" s="1180"/>
      <c r="S18" s="1180"/>
      <c r="T18" s="1180"/>
      <c r="U18" s="1180"/>
      <c r="V18" s="1180"/>
      <c r="W18" s="1180"/>
      <c r="X18" s="1180"/>
    </row>
    <row r="19" spans="1:24">
      <c r="A19" s="1179"/>
      <c r="B19" s="1180"/>
      <c r="C19" s="1180"/>
      <c r="D19" s="1180"/>
      <c r="E19" s="1180"/>
      <c r="F19" s="1180"/>
      <c r="G19" s="1180"/>
      <c r="H19" s="1180"/>
      <c r="I19" s="1180"/>
      <c r="J19" s="1180"/>
      <c r="K19" s="1180"/>
      <c r="L19" s="1180"/>
      <c r="M19" s="1180"/>
      <c r="N19" s="1180"/>
      <c r="O19" s="1180"/>
      <c r="P19" s="1180"/>
      <c r="Q19" s="1180"/>
      <c r="R19" s="1180"/>
      <c r="S19" s="1180"/>
      <c r="T19" s="1180"/>
      <c r="U19" s="1180"/>
      <c r="V19" s="1180"/>
      <c r="W19" s="1180"/>
      <c r="X19" s="1180"/>
    </row>
    <row r="20" spans="1:24">
      <c r="A20" s="1179"/>
      <c r="B20" s="1180"/>
      <c r="C20" s="1180"/>
      <c r="D20" s="1180"/>
      <c r="E20" s="1180"/>
      <c r="F20" s="1180"/>
      <c r="G20" s="1180"/>
      <c r="H20" s="2199"/>
      <c r="I20" s="1180"/>
      <c r="J20" s="1180"/>
      <c r="K20" s="1180"/>
      <c r="L20" s="1180"/>
      <c r="M20" s="1180"/>
      <c r="N20" s="1180"/>
      <c r="O20" s="1180"/>
      <c r="P20" s="1180"/>
      <c r="Q20" s="1180"/>
      <c r="R20" s="1180"/>
      <c r="S20" s="1180"/>
      <c r="T20" s="1180"/>
      <c r="U20" s="1180"/>
      <c r="V20" s="1180"/>
      <c r="W20" s="1180"/>
      <c r="X20" s="1180"/>
    </row>
    <row r="21" spans="1:24">
      <c r="A21" s="1502"/>
      <c r="B21" s="1180"/>
      <c r="C21" s="1180"/>
      <c r="D21" s="1180"/>
      <c r="E21" s="1180"/>
      <c r="F21" s="1180"/>
      <c r="G21" s="1180"/>
      <c r="H21" s="2170"/>
      <c r="I21" s="1180"/>
      <c r="J21" s="1180"/>
      <c r="K21" s="1180"/>
      <c r="L21" s="1180"/>
      <c r="M21" s="1180"/>
      <c r="N21" s="1180"/>
      <c r="O21" s="1180"/>
      <c r="P21" s="1180"/>
      <c r="Q21" s="1180"/>
      <c r="R21" s="1180"/>
      <c r="S21" s="1180"/>
      <c r="T21" s="1180"/>
      <c r="U21" s="1180"/>
      <c r="V21" s="1180"/>
      <c r="W21" s="1180"/>
      <c r="X21" s="1180"/>
    </row>
    <row r="22" spans="1:24">
      <c r="A22" s="1180"/>
      <c r="B22" s="1180"/>
      <c r="C22" s="1180"/>
      <c r="D22" s="1180"/>
      <c r="E22" s="1180"/>
      <c r="F22" s="1180"/>
      <c r="G22" s="1180"/>
      <c r="H22" s="1180"/>
      <c r="I22" s="1180"/>
      <c r="J22" s="1180"/>
      <c r="K22" s="1180"/>
      <c r="L22" s="1180"/>
      <c r="M22" s="1180"/>
      <c r="N22" s="1180"/>
      <c r="O22" s="1180"/>
      <c r="P22" s="1180"/>
      <c r="Q22" s="1180"/>
      <c r="R22" s="1180"/>
      <c r="S22" s="1180"/>
      <c r="T22" s="1180"/>
      <c r="U22" s="1180"/>
      <c r="V22" s="1180"/>
      <c r="W22" s="1180"/>
      <c r="X22" s="1180"/>
    </row>
    <row r="23" spans="1:24">
      <c r="A23" s="1179" t="s">
        <v>1391</v>
      </c>
      <c r="B23" s="1180"/>
      <c r="C23" s="1180"/>
      <c r="D23" s="1180"/>
      <c r="E23" s="1180"/>
      <c r="F23" s="1180"/>
      <c r="G23" s="1180"/>
      <c r="H23" s="1180"/>
      <c r="I23" s="1426"/>
      <c r="J23" s="1375">
        <f ca="1">T53</f>
        <v>183121</v>
      </c>
      <c r="K23" s="1180"/>
      <c r="L23" s="1180"/>
      <c r="M23" s="1180"/>
      <c r="N23" s="1180"/>
      <c r="O23" s="1180"/>
      <c r="P23" s="1180"/>
      <c r="Q23" s="1180"/>
      <c r="R23" s="1180"/>
      <c r="S23" s="1180"/>
      <c r="T23" s="1180"/>
      <c r="U23" s="1180"/>
      <c r="V23" s="1180"/>
      <c r="W23" s="1180"/>
      <c r="X23" s="1180"/>
    </row>
    <row r="24" spans="1:24">
      <c r="A24" s="1180"/>
      <c r="B24" s="1180"/>
      <c r="C24" s="1180"/>
      <c r="D24" s="1180"/>
      <c r="E24" s="1180"/>
      <c r="F24" s="1180"/>
      <c r="G24" s="1180"/>
      <c r="H24" s="1180"/>
      <c r="I24" s="1180"/>
      <c r="J24" s="1426"/>
      <c r="K24" s="1180"/>
      <c r="L24" s="1180"/>
      <c r="M24" s="1180"/>
      <c r="N24" s="1180"/>
      <c r="O24" s="1180"/>
      <c r="P24" s="1180"/>
      <c r="Q24" s="1180"/>
      <c r="R24" s="1180"/>
      <c r="S24" s="1180"/>
      <c r="T24" s="1180"/>
      <c r="U24" s="1180"/>
      <c r="V24" s="1180"/>
      <c r="W24" s="1180"/>
      <c r="X24" s="1180"/>
    </row>
    <row r="25" spans="1:24">
      <c r="A25" s="1180"/>
      <c r="B25" s="1180"/>
      <c r="C25" s="1180"/>
      <c r="D25" s="1180"/>
      <c r="E25" s="1180"/>
      <c r="F25" s="1180"/>
      <c r="G25" s="1180"/>
      <c r="H25" s="1180"/>
      <c r="I25" s="1180"/>
      <c r="J25" s="1180"/>
      <c r="K25" s="1180"/>
      <c r="L25" s="1180"/>
      <c r="M25" s="1180"/>
      <c r="N25" s="1180"/>
      <c r="O25" s="1180"/>
      <c r="P25" s="1180"/>
      <c r="Q25" s="1180"/>
      <c r="R25" s="1180"/>
      <c r="S25" s="1180"/>
      <c r="T25" s="1180"/>
      <c r="U25" s="1180"/>
      <c r="V25" s="1180"/>
      <c r="W25" s="1180"/>
      <c r="X25" s="1180"/>
    </row>
    <row r="26" spans="1:24">
      <c r="A26" s="1179" t="s">
        <v>266</v>
      </c>
      <c r="B26" s="1180"/>
      <c r="C26" s="1180"/>
      <c r="D26" s="1180"/>
      <c r="E26" s="1180"/>
      <c r="F26" s="1180"/>
      <c r="G26" s="1180"/>
      <c r="H26" s="1180"/>
      <c r="I26" s="1180"/>
      <c r="J26" s="1425">
        <f>VLOOKUP(D33,ALLOCTABLE,2)/100</f>
        <v>1</v>
      </c>
      <c r="K26" s="1180"/>
      <c r="L26" s="1180"/>
      <c r="M26" s="1180"/>
      <c r="N26" s="1180"/>
      <c r="O26" s="1180"/>
      <c r="P26" s="1180"/>
      <c r="Q26" s="1180"/>
      <c r="R26" s="1180"/>
      <c r="S26" s="1180"/>
      <c r="T26" s="1180"/>
      <c r="U26" s="1180"/>
      <c r="V26" s="1180"/>
      <c r="W26" s="1180"/>
      <c r="X26" s="1180"/>
    </row>
    <row r="27" spans="1:24">
      <c r="A27" s="1180"/>
      <c r="B27" s="1180"/>
      <c r="C27" s="1180"/>
      <c r="D27" s="1180"/>
      <c r="E27" s="1180"/>
      <c r="F27" s="1180"/>
      <c r="G27" s="1180"/>
      <c r="H27" s="1180"/>
      <c r="I27" s="1180"/>
      <c r="J27" s="1426"/>
      <c r="K27" s="1180"/>
      <c r="L27" s="1180"/>
      <c r="M27" s="1180"/>
      <c r="N27" s="1180"/>
      <c r="O27" s="1180"/>
      <c r="P27" s="1180"/>
      <c r="Q27" s="1180"/>
      <c r="R27" s="1180"/>
      <c r="S27" s="1180"/>
      <c r="T27" s="1180"/>
      <c r="U27" s="1180"/>
      <c r="V27" s="1180"/>
      <c r="W27" s="1180"/>
      <c r="X27" s="1180"/>
    </row>
    <row r="28" spans="1:24">
      <c r="A28" s="1180"/>
      <c r="B28" s="1180"/>
      <c r="C28" s="1180"/>
      <c r="D28" s="1180"/>
      <c r="E28" s="1180"/>
      <c r="F28" s="1180"/>
      <c r="G28" s="1180"/>
      <c r="H28" s="1180"/>
      <c r="I28" s="1180"/>
      <c r="J28" s="1180"/>
      <c r="K28" s="1180"/>
      <c r="L28" s="1180"/>
      <c r="M28" s="1180"/>
      <c r="N28" s="1180"/>
      <c r="O28" s="1180"/>
      <c r="P28" s="1180"/>
      <c r="Q28" s="1180"/>
      <c r="R28" s="1180"/>
      <c r="S28" s="1180"/>
      <c r="T28" s="1180"/>
      <c r="U28" s="1180"/>
      <c r="V28" s="1180"/>
      <c r="W28" s="1180"/>
      <c r="X28" s="1180"/>
    </row>
    <row r="29" spans="1:24" ht="15">
      <c r="A29" s="1179" t="s">
        <v>1236</v>
      </c>
      <c r="B29" s="1180"/>
      <c r="C29" s="1180"/>
      <c r="D29" s="1180"/>
      <c r="E29" s="1180"/>
      <c r="F29" s="1179" t="s">
        <v>1213</v>
      </c>
      <c r="G29" s="1180"/>
      <c r="H29" s="1180"/>
      <c r="I29" s="1426"/>
      <c r="J29" s="1427">
        <f ca="1">ROUND(J23*J26,0)</f>
        <v>183121</v>
      </c>
      <c r="K29" s="1180"/>
      <c r="L29" s="1180"/>
      <c r="M29" s="1180"/>
      <c r="N29" s="1180"/>
      <c r="O29" s="1180"/>
      <c r="P29" s="1180"/>
      <c r="Q29" s="1180"/>
      <c r="R29" s="1180"/>
      <c r="S29" s="1180"/>
      <c r="T29" s="1180"/>
      <c r="U29" s="1180"/>
      <c r="V29" s="1180"/>
      <c r="W29" s="1180"/>
      <c r="X29" s="1180"/>
    </row>
    <row r="30" spans="1:24">
      <c r="A30" s="1180"/>
      <c r="B30" s="1180"/>
      <c r="C30" s="1180"/>
      <c r="D30" s="1180"/>
      <c r="E30" s="1180"/>
      <c r="F30" s="1180"/>
      <c r="G30" s="1180"/>
      <c r="H30" s="1180"/>
      <c r="I30" s="1180"/>
      <c r="J30" s="1426"/>
      <c r="K30" s="1180"/>
      <c r="L30" s="1180"/>
      <c r="M30" s="1180"/>
      <c r="N30" s="1180"/>
      <c r="O30" s="1180"/>
      <c r="P30" s="1180"/>
      <c r="Q30" s="1180"/>
      <c r="R30" s="1180"/>
      <c r="S30" s="1180"/>
      <c r="T30" s="1180"/>
      <c r="U30" s="1180"/>
      <c r="V30" s="1180"/>
      <c r="W30" s="1180"/>
      <c r="X30" s="1180"/>
    </row>
    <row r="31" spans="1:24">
      <c r="A31" s="1180"/>
      <c r="B31" s="1180"/>
      <c r="C31" s="1180"/>
      <c r="D31" s="1180"/>
      <c r="E31" s="1180"/>
      <c r="F31" s="1180"/>
      <c r="G31" s="1180"/>
      <c r="H31" s="1180"/>
      <c r="I31" s="1180"/>
      <c r="J31" s="1180"/>
      <c r="K31" s="1180"/>
      <c r="L31" s="1180"/>
      <c r="M31" s="1180"/>
      <c r="N31" s="1180"/>
      <c r="O31" s="1180"/>
      <c r="P31" s="1180"/>
      <c r="Q31" s="1180"/>
      <c r="R31" s="1180"/>
      <c r="S31" s="1180"/>
      <c r="T31" s="1180"/>
      <c r="U31" s="1180"/>
      <c r="V31" s="1180"/>
      <c r="W31" s="1180"/>
      <c r="X31" s="1180"/>
    </row>
    <row r="32" spans="1:24">
      <c r="A32" s="1180"/>
      <c r="B32" s="1180"/>
      <c r="C32" s="1180"/>
      <c r="D32" s="1180"/>
      <c r="E32" s="1180"/>
      <c r="F32" s="1180"/>
      <c r="G32" s="1180"/>
      <c r="H32" s="1180"/>
      <c r="I32" s="1180"/>
      <c r="J32" s="1180"/>
      <c r="K32" s="1180"/>
      <c r="L32" s="1180"/>
      <c r="M32" s="1180"/>
      <c r="N32" s="1180"/>
      <c r="O32" s="1180"/>
      <c r="P32" s="1180"/>
      <c r="Q32" s="1180"/>
      <c r="R32" s="1180"/>
      <c r="S32" s="1180"/>
      <c r="T32" s="1180"/>
      <c r="U32" s="1180"/>
      <c r="V32" s="1180"/>
      <c r="W32" s="1180"/>
      <c r="X32" s="1180"/>
    </row>
    <row r="33" spans="1:24">
      <c r="A33" s="1179" t="s">
        <v>1237</v>
      </c>
      <c r="B33" s="1180"/>
      <c r="C33" s="1180"/>
      <c r="D33" s="2149" t="s">
        <v>593</v>
      </c>
      <c r="E33" s="1180"/>
      <c r="F33" s="1180"/>
      <c r="G33" s="1180"/>
      <c r="H33" s="1180"/>
      <c r="I33" s="1180"/>
      <c r="J33" s="1180"/>
      <c r="K33" s="1180"/>
      <c r="L33" s="1180"/>
      <c r="M33" s="1180"/>
      <c r="N33" s="1180"/>
      <c r="O33" s="1180"/>
      <c r="P33" s="1180"/>
      <c r="Q33" s="1180"/>
      <c r="R33" s="1180"/>
      <c r="S33" s="1180"/>
      <c r="T33" s="1180"/>
      <c r="U33" s="1180"/>
      <c r="V33" s="1180"/>
      <c r="W33" s="1180"/>
      <c r="X33" s="1180"/>
    </row>
    <row r="34" spans="1:24">
      <c r="A34" s="1179"/>
      <c r="B34" s="1180"/>
      <c r="C34" s="1180"/>
      <c r="D34" s="1180"/>
      <c r="E34" s="1180"/>
      <c r="F34" s="1180"/>
      <c r="G34" s="1180"/>
      <c r="H34" s="1180"/>
      <c r="I34" s="1180"/>
      <c r="J34" s="1180"/>
      <c r="K34" s="1180"/>
      <c r="L34" s="1180"/>
      <c r="M34" s="1180"/>
      <c r="N34" s="1180"/>
      <c r="O34" s="1180"/>
      <c r="P34" s="1180"/>
      <c r="Q34" s="1180"/>
      <c r="R34" s="1180"/>
      <c r="S34" s="1180"/>
      <c r="T34" s="1180"/>
      <c r="U34" s="1180"/>
      <c r="V34" s="1180"/>
      <c r="W34" s="1180"/>
      <c r="X34" s="1180"/>
    </row>
    <row r="35" spans="1:24">
      <c r="A35" s="1180"/>
      <c r="B35" s="1180"/>
      <c r="C35" s="1180"/>
      <c r="D35" s="1180"/>
      <c r="E35" s="1180"/>
      <c r="F35" s="1180"/>
      <c r="G35" s="1180"/>
      <c r="H35" s="1180"/>
      <c r="I35" s="1180"/>
      <c r="J35" s="1180"/>
      <c r="K35" s="1180"/>
      <c r="L35" s="1180"/>
      <c r="M35" s="1180"/>
      <c r="N35" s="1180"/>
      <c r="O35" s="1180"/>
      <c r="P35" s="1180"/>
      <c r="Q35" s="1180"/>
      <c r="R35" s="1180"/>
      <c r="S35" s="1180"/>
      <c r="T35" s="1180"/>
      <c r="U35" s="1180"/>
      <c r="V35" s="1180"/>
      <c r="W35" s="1180"/>
      <c r="X35" s="1180"/>
    </row>
    <row r="36" spans="1:24">
      <c r="A36" s="1180"/>
      <c r="B36" s="1180"/>
      <c r="C36" s="1180"/>
      <c r="D36" s="1180"/>
      <c r="E36" s="1180"/>
      <c r="F36" s="1180"/>
      <c r="G36" s="1180"/>
      <c r="H36" s="1180"/>
      <c r="I36" s="1180"/>
      <c r="J36" s="1180"/>
      <c r="K36" s="1180"/>
      <c r="L36" s="1180"/>
      <c r="M36" s="1180"/>
      <c r="N36" s="1180"/>
      <c r="O36" s="1180"/>
      <c r="P36" s="1180"/>
      <c r="Q36" s="1180"/>
      <c r="R36" s="1180"/>
      <c r="S36" s="1180"/>
      <c r="T36" s="1180"/>
      <c r="U36" s="1180"/>
      <c r="V36" s="1180"/>
      <c r="W36" s="1180"/>
      <c r="X36" s="1180"/>
    </row>
    <row r="37" spans="1:24">
      <c r="A37" s="1180"/>
      <c r="B37" s="1180"/>
      <c r="C37" s="1180"/>
      <c r="D37" s="1180"/>
      <c r="E37" s="1180"/>
      <c r="F37" s="1180"/>
      <c r="G37" s="1180"/>
      <c r="H37" s="1180"/>
      <c r="I37" s="1180"/>
      <c r="J37" s="1180"/>
      <c r="K37" s="1180"/>
      <c r="L37" s="1180"/>
      <c r="M37" s="1180"/>
      <c r="N37" s="1180"/>
      <c r="O37" s="1180"/>
      <c r="P37" s="1180"/>
      <c r="Q37" s="1180"/>
      <c r="R37" s="1180"/>
      <c r="S37" s="1180"/>
      <c r="T37" s="1180"/>
      <c r="U37" s="1180"/>
      <c r="V37" s="1180"/>
      <c r="W37" s="1180"/>
      <c r="X37" s="1180"/>
    </row>
    <row r="38" spans="1:24">
      <c r="A38" s="1180"/>
      <c r="B38" s="1180"/>
      <c r="C38" s="1180"/>
      <c r="D38" s="1180"/>
      <c r="E38" s="1180"/>
      <c r="F38" s="1180"/>
      <c r="G38" s="1180"/>
      <c r="H38" s="1180"/>
      <c r="I38" s="1180"/>
      <c r="J38" s="1180"/>
      <c r="K38" s="1180"/>
      <c r="L38" s="1180"/>
      <c r="M38" s="1180"/>
      <c r="N38" s="1180"/>
      <c r="O38" s="1180"/>
      <c r="P38" s="1180"/>
      <c r="Q38" s="1180"/>
      <c r="R38" s="1180"/>
      <c r="S38" s="1180"/>
      <c r="T38" s="1180"/>
      <c r="U38" s="1180"/>
      <c r="V38" s="1180"/>
      <c r="W38" s="1180"/>
      <c r="X38" s="1180"/>
    </row>
    <row r="39" spans="1:24">
      <c r="A39" s="1180"/>
      <c r="B39" s="1180"/>
      <c r="C39" s="1180"/>
      <c r="D39" s="1180"/>
      <c r="E39" s="1180"/>
      <c r="F39" s="1180"/>
      <c r="G39" s="1180"/>
      <c r="H39" s="1180"/>
      <c r="I39" s="1180"/>
      <c r="J39" s="1180"/>
      <c r="K39" s="1180"/>
      <c r="L39" s="1180"/>
      <c r="M39" s="1180"/>
      <c r="N39" s="1180"/>
      <c r="O39" s="1180"/>
      <c r="P39" s="1180"/>
      <c r="Q39" s="1180"/>
      <c r="R39" s="1180"/>
      <c r="S39" s="1180"/>
      <c r="T39" s="1180"/>
      <c r="U39" s="1180"/>
      <c r="V39" s="1180"/>
      <c r="W39" s="1180"/>
      <c r="X39" s="1180"/>
    </row>
    <row r="40" spans="1:24">
      <c r="A40" s="1180"/>
      <c r="B40" s="1180"/>
      <c r="C40" s="1180"/>
      <c r="D40" s="1180"/>
      <c r="E40" s="1180"/>
      <c r="F40" s="1180"/>
      <c r="G40" s="1180"/>
      <c r="H40" s="1180"/>
      <c r="I40" s="1180"/>
      <c r="J40" s="1180"/>
      <c r="K40" s="1180"/>
      <c r="L40" s="1180"/>
      <c r="M40" s="1180"/>
      <c r="N40" s="1180"/>
      <c r="O40" s="1180"/>
      <c r="P40" s="1180"/>
      <c r="Q40" s="1180"/>
      <c r="R40" s="1180"/>
      <c r="S40" s="1180"/>
      <c r="T40" s="1180"/>
      <c r="U40" s="1180"/>
      <c r="V40" s="1180"/>
      <c r="W40" s="1180"/>
      <c r="X40" s="1180"/>
    </row>
    <row r="41" spans="1:24">
      <c r="A41" s="1180"/>
      <c r="B41" s="1180"/>
      <c r="C41" s="1180"/>
      <c r="D41" s="1180"/>
      <c r="E41" s="1180"/>
      <c r="F41" s="1180"/>
      <c r="G41" s="1180"/>
      <c r="H41" s="1180"/>
      <c r="I41" s="1180"/>
      <c r="J41" s="1180"/>
      <c r="K41" s="1180"/>
      <c r="L41" s="1180"/>
      <c r="M41" s="1180"/>
      <c r="N41" s="1180"/>
      <c r="O41" s="1180"/>
      <c r="P41" s="1180"/>
      <c r="Q41" s="1180"/>
      <c r="R41" s="1180"/>
      <c r="S41" s="1180"/>
      <c r="T41" s="1180"/>
      <c r="U41" s="1180"/>
      <c r="V41" s="1180"/>
      <c r="W41" s="1180"/>
      <c r="X41" s="1180"/>
    </row>
    <row r="42" spans="1:24">
      <c r="A42" s="1180"/>
      <c r="B42" s="1180"/>
      <c r="C42" s="1180"/>
      <c r="D42" s="1180"/>
      <c r="E42" s="1180"/>
      <c r="F42" s="1180"/>
      <c r="G42" s="1180"/>
      <c r="H42" s="1180"/>
      <c r="I42" s="1180"/>
      <c r="J42" s="1180"/>
      <c r="K42" s="1180"/>
      <c r="L42" s="1180"/>
      <c r="M42" s="1180"/>
      <c r="N42" s="1180"/>
      <c r="O42" s="1180"/>
      <c r="P42" s="1180"/>
      <c r="Q42" s="1180"/>
      <c r="R42" s="1180"/>
      <c r="S42" s="1180"/>
      <c r="T42" s="1180"/>
      <c r="U42" s="1180"/>
      <c r="V42" s="1180"/>
      <c r="W42" s="1180"/>
      <c r="X42" s="1180"/>
    </row>
    <row r="43" spans="1:24">
      <c r="A43" s="1180"/>
      <c r="B43" s="1180"/>
      <c r="C43" s="1180"/>
      <c r="D43" s="1180"/>
      <c r="E43" s="1180"/>
      <c r="F43" s="1180"/>
      <c r="G43" s="1180"/>
      <c r="H43" s="1180"/>
      <c r="I43" s="1180"/>
      <c r="J43" s="1180"/>
      <c r="K43" s="1180"/>
      <c r="L43" s="1629" t="str">
        <f>COMPANY</f>
        <v>DUKE ENERGY KENTUCKY, INC.</v>
      </c>
      <c r="M43" s="530"/>
      <c r="N43" s="530"/>
      <c r="O43" s="530"/>
      <c r="P43" s="530"/>
      <c r="Q43" s="530"/>
      <c r="R43" s="1629" t="s">
        <v>500</v>
      </c>
      <c r="S43" s="530"/>
      <c r="T43" s="1178"/>
      <c r="U43" s="1180"/>
      <c r="V43" s="1180"/>
      <c r="W43" s="1180"/>
      <c r="X43" s="1180"/>
    </row>
    <row r="44" spans="1:24">
      <c r="A44" s="1180"/>
      <c r="B44" s="1180"/>
      <c r="C44" s="1180"/>
      <c r="D44" s="1180"/>
      <c r="E44" s="1180"/>
      <c r="F44" s="1180"/>
      <c r="G44" s="1180"/>
      <c r="H44" s="1180"/>
      <c r="I44" s="1180"/>
      <c r="J44" s="1180"/>
      <c r="K44" s="1180"/>
      <c r="L44" s="1629" t="str">
        <f>DEPT</f>
        <v>ELECTRIC DEPARTMENT</v>
      </c>
      <c r="M44" s="530"/>
      <c r="N44" s="530"/>
      <c r="O44" s="530"/>
      <c r="P44" s="530"/>
      <c r="Q44" s="530"/>
      <c r="R44" s="1629" t="s">
        <v>1239</v>
      </c>
      <c r="S44" s="530"/>
      <c r="T44" s="1178"/>
      <c r="U44" s="1180"/>
      <c r="V44" s="1180"/>
      <c r="W44" s="1180"/>
      <c r="X44" s="1180"/>
    </row>
    <row r="45" spans="1:24">
      <c r="A45" s="1180"/>
      <c r="B45" s="1180"/>
      <c r="C45" s="1180"/>
      <c r="D45" s="1180"/>
      <c r="E45" s="1180"/>
      <c r="F45" s="1180"/>
      <c r="G45" s="1180"/>
      <c r="H45" s="1180"/>
      <c r="I45" s="1180"/>
      <c r="J45" s="1180"/>
      <c r="K45" s="1180"/>
      <c r="L45" s="1629" t="str">
        <f>CASE</f>
        <v>CASE NO. 2017-00321</v>
      </c>
      <c r="M45" s="530"/>
      <c r="N45" s="530"/>
      <c r="O45" s="530"/>
      <c r="P45" s="530"/>
      <c r="Q45" s="530"/>
      <c r="R45" s="530" t="str">
        <f>_WIT10</f>
        <v>R. H. PRATT</v>
      </c>
      <c r="S45" s="530"/>
      <c r="T45" s="1178"/>
      <c r="U45" s="1180"/>
      <c r="V45" s="1180"/>
      <c r="W45" s="1180"/>
      <c r="X45" s="1180"/>
    </row>
    <row r="46" spans="1:24">
      <c r="A46" s="1180"/>
      <c r="B46" s="1180"/>
      <c r="C46" s="1180"/>
      <c r="D46" s="1180"/>
      <c r="E46" s="1180"/>
      <c r="F46" s="1180"/>
      <c r="G46" s="1180"/>
      <c r="H46" s="1180"/>
      <c r="I46" s="1180"/>
      <c r="J46" s="1180"/>
      <c r="K46" s="1180"/>
      <c r="L46" s="1629" t="s">
        <v>789</v>
      </c>
      <c r="M46" s="530"/>
      <c r="N46" s="530"/>
      <c r="O46" s="530"/>
      <c r="P46" s="530"/>
      <c r="Q46" s="530"/>
      <c r="R46" s="2107"/>
      <c r="S46" s="530"/>
      <c r="T46" s="1178"/>
      <c r="U46" s="1180"/>
      <c r="V46" s="1180"/>
      <c r="W46" s="1180"/>
      <c r="X46" s="1180"/>
    </row>
    <row r="47" spans="1:24">
      <c r="A47" s="1180"/>
      <c r="B47" s="1180"/>
      <c r="C47" s="1180"/>
      <c r="D47" s="1180"/>
      <c r="E47" s="1180"/>
      <c r="F47" s="1180"/>
      <c r="G47" s="1180"/>
      <c r="H47" s="1180"/>
      <c r="I47" s="1180"/>
      <c r="J47" s="1180"/>
      <c r="K47" s="1180"/>
      <c r="L47" s="1629" t="s">
        <v>788</v>
      </c>
      <c r="M47" s="530"/>
      <c r="N47" s="530"/>
      <c r="O47" s="530"/>
      <c r="P47" s="530"/>
      <c r="Q47" s="530"/>
      <c r="R47" s="530"/>
      <c r="S47" s="530"/>
      <c r="T47" s="1178"/>
      <c r="U47" s="1180"/>
      <c r="V47" s="1180"/>
      <c r="W47" s="1180"/>
      <c r="X47" s="1180"/>
    </row>
    <row r="48" spans="1:24">
      <c r="A48" s="1180"/>
      <c r="B48" s="1180"/>
      <c r="C48" s="1180"/>
      <c r="D48" s="1180"/>
      <c r="E48" s="1180"/>
      <c r="F48" s="1180"/>
      <c r="G48" s="1180"/>
      <c r="H48" s="1180"/>
      <c r="I48" s="1180"/>
      <c r="J48" s="1180"/>
      <c r="K48" s="1180"/>
      <c r="L48" s="1178"/>
      <c r="M48" s="1178"/>
      <c r="N48" s="1178"/>
      <c r="O48" s="1178"/>
      <c r="P48" s="1178"/>
      <c r="Q48" s="1178"/>
      <c r="R48" s="1178"/>
      <c r="S48" s="1178"/>
      <c r="T48" s="1178"/>
      <c r="U48" s="1180"/>
      <c r="V48" s="1180"/>
      <c r="W48" s="1180"/>
      <c r="X48" s="1180"/>
    </row>
    <row r="49" spans="1:24">
      <c r="A49" s="1180"/>
      <c r="B49" s="1180"/>
      <c r="C49" s="1180"/>
      <c r="D49" s="1180"/>
      <c r="E49" s="1180"/>
      <c r="F49" s="1180"/>
      <c r="G49" s="1180"/>
      <c r="H49" s="1180"/>
      <c r="I49" s="1180"/>
      <c r="J49" s="1180"/>
      <c r="K49" s="1180"/>
      <c r="L49" s="1178"/>
      <c r="M49" s="1178"/>
      <c r="N49" s="1178"/>
      <c r="O49" s="1178"/>
      <c r="P49" s="1178"/>
      <c r="Q49" s="1178"/>
      <c r="R49" s="1178"/>
      <c r="S49" s="1178"/>
      <c r="T49" s="1178"/>
      <c r="U49" s="1180"/>
      <c r="V49" s="1180"/>
      <c r="W49" s="1180"/>
      <c r="X49" s="1180"/>
    </row>
    <row r="50" spans="1:24">
      <c r="A50" s="1180"/>
      <c r="B50" s="1180"/>
      <c r="C50" s="1180"/>
      <c r="D50" s="1180"/>
      <c r="E50" s="1180"/>
      <c r="F50" s="1180"/>
      <c r="G50" s="1180"/>
      <c r="H50" s="1180"/>
      <c r="I50" s="1180"/>
      <c r="J50" s="1180"/>
      <c r="K50" s="1180"/>
      <c r="L50" s="1423" t="s">
        <v>1240</v>
      </c>
      <c r="M50" s="1423"/>
      <c r="N50" s="1423"/>
      <c r="O50" s="1423"/>
      <c r="P50" s="1423" t="s">
        <v>1117</v>
      </c>
      <c r="Q50" s="1423"/>
      <c r="R50" s="1423" t="s">
        <v>626</v>
      </c>
      <c r="S50" s="1423"/>
      <c r="T50" s="1423"/>
      <c r="U50" s="1180"/>
      <c r="V50" s="1180"/>
      <c r="W50" s="1180"/>
      <c r="X50" s="1180"/>
    </row>
    <row r="51" spans="1:24">
      <c r="A51" s="1180"/>
      <c r="B51" s="1180"/>
      <c r="C51" s="1180"/>
      <c r="D51" s="1180"/>
      <c r="E51" s="1180"/>
      <c r="F51" s="1180"/>
      <c r="G51" s="1180"/>
      <c r="H51" s="1180"/>
      <c r="I51" s="1180"/>
      <c r="J51" s="1180"/>
      <c r="K51" s="1180"/>
      <c r="L51" s="1424" t="s">
        <v>1241</v>
      </c>
      <c r="M51" s="1424"/>
      <c r="N51" s="1424" t="s">
        <v>1119</v>
      </c>
      <c r="O51" s="1424"/>
      <c r="P51" s="1424" t="s">
        <v>1120</v>
      </c>
      <c r="Q51" s="1424"/>
      <c r="R51" s="1424" t="s">
        <v>1120</v>
      </c>
      <c r="S51" s="1424"/>
      <c r="T51" s="1424" t="s">
        <v>1242</v>
      </c>
      <c r="U51" s="1180"/>
      <c r="V51" s="1180"/>
      <c r="W51" s="1180"/>
      <c r="X51" s="1180"/>
    </row>
    <row r="52" spans="1:24">
      <c r="A52" s="1180"/>
      <c r="B52" s="1180"/>
      <c r="C52" s="1180"/>
      <c r="D52" s="1180"/>
      <c r="E52" s="1180"/>
      <c r="F52" s="1180"/>
      <c r="G52" s="1180"/>
      <c r="H52" s="1180"/>
      <c r="I52" s="1180"/>
      <c r="J52" s="1180"/>
      <c r="K52" s="1180"/>
      <c r="L52" s="1178"/>
      <c r="M52" s="1178"/>
      <c r="N52" s="1178"/>
      <c r="O52" s="1178"/>
      <c r="P52" s="1178"/>
      <c r="Q52" s="1178"/>
      <c r="R52" s="1178"/>
      <c r="S52" s="1178"/>
      <c r="T52" s="1178"/>
      <c r="U52" s="1180"/>
      <c r="V52" s="1180"/>
      <c r="W52" s="1180"/>
      <c r="X52" s="1180"/>
    </row>
    <row r="53" spans="1:24" ht="13.5" thickBot="1">
      <c r="A53" s="1180"/>
      <c r="B53" s="1180"/>
      <c r="C53" s="1180"/>
      <c r="D53" s="1180"/>
      <c r="E53" s="1180"/>
      <c r="F53" s="1180"/>
      <c r="G53" s="1180"/>
      <c r="H53" s="1180"/>
      <c r="I53" s="1180"/>
      <c r="J53" s="1180"/>
      <c r="K53" s="1180"/>
      <c r="L53" s="1423">
        <v>1</v>
      </c>
      <c r="M53" s="1178"/>
      <c r="N53" s="1179" t="s">
        <v>174</v>
      </c>
      <c r="O53" s="1178"/>
      <c r="P53" s="2275">
        <f>SCH_C2!E33</f>
        <v>898077</v>
      </c>
      <c r="Q53" s="1178"/>
      <c r="R53" s="2275">
        <f ca="1">SCH_C2!H33</f>
        <v>1081198</v>
      </c>
      <c r="S53" s="1178"/>
      <c r="T53" s="2275">
        <f ca="1">R53-P53</f>
        <v>183121</v>
      </c>
      <c r="U53" s="1180"/>
      <c r="V53" s="1180"/>
      <c r="W53" s="1180"/>
      <c r="X53" s="1180"/>
    </row>
    <row r="54" spans="1:24" ht="13.5" thickTop="1">
      <c r="A54" s="1180"/>
      <c r="B54" s="1180"/>
      <c r="C54" s="1180"/>
      <c r="D54" s="1180"/>
      <c r="E54" s="1180"/>
      <c r="F54" s="1180"/>
      <c r="G54" s="1180"/>
      <c r="H54" s="1180"/>
      <c r="I54" s="1180"/>
      <c r="J54" s="1180"/>
      <c r="K54" s="1180"/>
      <c r="L54" s="1423"/>
      <c r="M54" s="1178"/>
      <c r="N54" s="1178"/>
      <c r="O54" s="1178"/>
      <c r="P54" s="1178"/>
      <c r="Q54" s="1178"/>
      <c r="R54" s="1178"/>
      <c r="S54" s="1178"/>
      <c r="T54" s="1178"/>
      <c r="U54" s="1180"/>
      <c r="V54" s="1180"/>
      <c r="W54" s="1180"/>
      <c r="X54" s="1180"/>
    </row>
    <row r="55" spans="1:24">
      <c r="A55" s="1180"/>
      <c r="B55" s="1180"/>
      <c r="C55" s="1180"/>
      <c r="D55" s="1180"/>
      <c r="E55" s="1180"/>
      <c r="F55" s="1180"/>
      <c r="G55" s="1180"/>
      <c r="H55" s="1180"/>
      <c r="I55" s="1180"/>
      <c r="J55" s="1180"/>
      <c r="K55" s="1180"/>
      <c r="L55" s="1178"/>
      <c r="M55" s="1178"/>
      <c r="N55" s="1178"/>
      <c r="O55" s="1178"/>
      <c r="P55" s="1178"/>
      <c r="Q55" s="1178"/>
      <c r="R55" s="1178"/>
      <c r="S55" s="1178"/>
      <c r="T55" s="1178"/>
      <c r="U55" s="1180"/>
      <c r="V55" s="1180"/>
      <c r="W55" s="1180"/>
      <c r="X55" s="1180"/>
    </row>
    <row r="56" spans="1:24">
      <c r="A56" s="1180"/>
      <c r="B56" s="1180"/>
      <c r="C56" s="1180"/>
      <c r="D56" s="1180"/>
      <c r="E56" s="1180"/>
      <c r="F56" s="1180"/>
      <c r="G56" s="1180"/>
      <c r="H56" s="1180"/>
      <c r="I56" s="1180"/>
      <c r="J56" s="1180"/>
      <c r="K56" s="1180"/>
      <c r="L56" s="1178"/>
      <c r="M56" s="1178"/>
      <c r="N56" s="1178"/>
      <c r="O56" s="1178"/>
      <c r="P56" s="1178"/>
      <c r="Q56" s="1178"/>
      <c r="R56" s="1178"/>
      <c r="S56" s="1178"/>
      <c r="T56" s="1178"/>
      <c r="U56" s="1180"/>
      <c r="V56" s="1180"/>
      <c r="W56" s="1180"/>
      <c r="X56" s="1180"/>
    </row>
    <row r="57" spans="1:24">
      <c r="A57" s="1180"/>
      <c r="B57" s="1180"/>
      <c r="C57" s="1180"/>
      <c r="D57" s="1180"/>
      <c r="E57" s="1180"/>
      <c r="F57" s="1180"/>
      <c r="G57" s="1180"/>
      <c r="H57" s="1180"/>
      <c r="I57" s="1180"/>
      <c r="J57" s="1180"/>
      <c r="K57" s="1180"/>
      <c r="L57" s="1178"/>
      <c r="M57" s="1178"/>
      <c r="N57" s="1178"/>
      <c r="O57" s="1178"/>
      <c r="P57" s="1178"/>
      <c r="Q57" s="1178"/>
      <c r="R57" s="1178"/>
      <c r="S57" s="1178"/>
      <c r="T57" s="1423" t="s">
        <v>1244</v>
      </c>
      <c r="U57" s="1180"/>
      <c r="V57" s="1180"/>
      <c r="W57" s="1180"/>
      <c r="X57" s="1180"/>
    </row>
    <row r="58" spans="1:24">
      <c r="A58" s="1180"/>
      <c r="B58" s="1180"/>
      <c r="C58" s="1180"/>
      <c r="D58" s="1180"/>
      <c r="E58" s="1180"/>
      <c r="F58" s="1180"/>
      <c r="G58" s="1180"/>
      <c r="H58" s="1180"/>
      <c r="I58" s="1180"/>
      <c r="J58" s="1180"/>
      <c r="K58" s="1180"/>
      <c r="L58" s="1180"/>
      <c r="M58" s="1180"/>
      <c r="N58" s="1180"/>
      <c r="O58" s="1180"/>
      <c r="P58" s="1180"/>
      <c r="Q58" s="1180"/>
      <c r="R58" s="1180"/>
      <c r="S58" s="1180"/>
      <c r="T58" s="1180"/>
      <c r="U58" s="1180"/>
      <c r="V58" s="1180"/>
      <c r="W58" s="1180"/>
      <c r="X58" s="1180"/>
    </row>
    <row r="59" spans="1:24">
      <c r="A59" s="1180"/>
      <c r="B59" s="1180"/>
      <c r="C59" s="1180"/>
      <c r="D59" s="1180"/>
      <c r="E59" s="1180"/>
      <c r="F59" s="1180"/>
      <c r="G59" s="1180"/>
      <c r="H59" s="1180"/>
      <c r="I59" s="1180"/>
      <c r="J59" s="1180"/>
      <c r="K59" s="1180"/>
      <c r="L59" s="1180"/>
      <c r="M59" s="1180"/>
      <c r="N59" s="1180"/>
      <c r="O59" s="1180"/>
      <c r="P59" s="1180"/>
      <c r="Q59" s="1180"/>
      <c r="R59" s="1180"/>
      <c r="S59" s="1180"/>
      <c r="T59" s="1180"/>
      <c r="U59" s="1180"/>
      <c r="V59" s="1180"/>
      <c r="W59" s="1180"/>
      <c r="X59" s="1180"/>
    </row>
    <row r="60" spans="1:24">
      <c r="A60" s="1180"/>
      <c r="B60" s="1180"/>
      <c r="C60" s="1180"/>
      <c r="D60" s="1180"/>
      <c r="E60" s="1180"/>
      <c r="F60" s="1180"/>
      <c r="G60" s="1180"/>
      <c r="H60" s="1180"/>
      <c r="I60" s="1180"/>
      <c r="J60" s="1180"/>
      <c r="K60" s="1180"/>
      <c r="L60" s="1180"/>
      <c r="M60" s="1180"/>
      <c r="N60" s="1180"/>
      <c r="O60" s="1180"/>
      <c r="P60" s="1180"/>
      <c r="Q60" s="1180"/>
      <c r="R60" s="2370"/>
      <c r="S60" s="1180"/>
      <c r="T60" s="1180"/>
      <c r="U60" s="1180"/>
      <c r="V60" s="1180"/>
      <c r="W60" s="1180"/>
      <c r="X60" s="1180"/>
    </row>
    <row r="61" spans="1:24">
      <c r="A61" s="1180"/>
      <c r="B61" s="1180"/>
      <c r="C61" s="1180"/>
      <c r="D61" s="1180"/>
      <c r="E61" s="1180"/>
      <c r="F61" s="1180"/>
      <c r="G61" s="1180"/>
      <c r="H61" s="1180"/>
      <c r="I61" s="1180"/>
      <c r="J61" s="1180"/>
      <c r="K61" s="1180"/>
      <c r="L61" s="1180"/>
      <c r="M61" s="1180"/>
      <c r="N61" s="1180"/>
      <c r="O61" s="1180"/>
      <c r="P61" s="1180"/>
      <c r="Q61" s="1180"/>
      <c r="R61" s="1180"/>
      <c r="S61" s="1180"/>
      <c r="T61" s="1180"/>
      <c r="U61" s="1180"/>
      <c r="V61" s="1180"/>
      <c r="W61" s="1180"/>
      <c r="X61" s="1180"/>
    </row>
    <row r="62" spans="1:24">
      <c r="A62" s="1180"/>
      <c r="B62" s="1180"/>
      <c r="C62" s="1180"/>
      <c r="D62" s="1180"/>
      <c r="E62" s="1180"/>
      <c r="F62" s="1180"/>
      <c r="G62" s="1180"/>
      <c r="H62" s="1180"/>
      <c r="I62" s="1180"/>
      <c r="J62" s="1180"/>
      <c r="K62" s="1180"/>
      <c r="L62" s="1180"/>
      <c r="M62" s="1180"/>
      <c r="N62" s="1180"/>
      <c r="O62" s="1180"/>
      <c r="P62" s="1180"/>
      <c r="Q62" s="1180"/>
      <c r="R62" s="1180"/>
      <c r="S62" s="1180"/>
      <c r="T62" s="1180"/>
      <c r="U62" s="1180"/>
      <c r="V62" s="1180"/>
      <c r="W62" s="1180"/>
      <c r="X62" s="1180"/>
    </row>
    <row r="63" spans="1:24">
      <c r="A63" s="1180"/>
      <c r="B63" s="1180"/>
      <c r="C63" s="1180"/>
      <c r="D63" s="1180"/>
      <c r="E63" s="1180"/>
      <c r="F63" s="1180"/>
      <c r="G63" s="1180"/>
      <c r="H63" s="1180"/>
      <c r="I63" s="1180"/>
      <c r="J63" s="1180"/>
      <c r="K63" s="1180"/>
      <c r="L63" s="1180"/>
      <c r="M63" s="1180"/>
      <c r="N63" s="1180"/>
      <c r="O63" s="1180"/>
      <c r="P63" s="1180"/>
      <c r="Q63" s="1180"/>
      <c r="R63" s="1180"/>
      <c r="S63" s="1180"/>
      <c r="T63" s="1180"/>
      <c r="U63" s="1180"/>
      <c r="V63" s="1180"/>
      <c r="W63" s="1180"/>
      <c r="X63" s="1180"/>
    </row>
    <row r="64" spans="1:24">
      <c r="A64" s="1180"/>
      <c r="B64" s="1180"/>
      <c r="C64" s="1180"/>
      <c r="D64" s="1180"/>
      <c r="E64" s="1180"/>
      <c r="F64" s="1180"/>
      <c r="G64" s="1180"/>
      <c r="H64" s="1180"/>
      <c r="I64" s="1180"/>
      <c r="J64" s="1180"/>
      <c r="K64" s="1180"/>
      <c r="L64" s="1180"/>
      <c r="M64" s="1180"/>
      <c r="N64" s="1180"/>
      <c r="O64" s="1180"/>
      <c r="P64" s="1180"/>
      <c r="Q64" s="1180"/>
      <c r="R64" s="1180"/>
      <c r="S64" s="1180"/>
      <c r="T64" s="1180"/>
      <c r="U64" s="1180"/>
      <c r="V64" s="1180"/>
      <c r="W64" s="1180"/>
      <c r="X64" s="1180"/>
    </row>
    <row r="65" spans="1:24">
      <c r="A65" s="1180"/>
      <c r="B65" s="1180"/>
      <c r="C65" s="1180"/>
      <c r="D65" s="1180"/>
      <c r="E65" s="1180"/>
      <c r="F65" s="1180"/>
      <c r="G65" s="1180"/>
      <c r="H65" s="1180"/>
      <c r="I65" s="1180"/>
      <c r="J65" s="1180"/>
      <c r="K65" s="1180"/>
      <c r="L65" s="1180"/>
      <c r="M65" s="1180"/>
      <c r="N65" s="1180"/>
      <c r="O65" s="1180"/>
      <c r="P65" s="1180"/>
      <c r="Q65" s="1180"/>
      <c r="R65" s="1180"/>
      <c r="S65" s="1180"/>
      <c r="T65" s="1180"/>
      <c r="U65" s="1180"/>
      <c r="V65" s="1180"/>
      <c r="W65" s="1180"/>
      <c r="X65" s="1180"/>
    </row>
    <row r="66" spans="1:24">
      <c r="A66" s="1180"/>
      <c r="B66" s="1180"/>
      <c r="C66" s="1180"/>
      <c r="D66" s="1180"/>
      <c r="E66" s="1180"/>
      <c r="F66" s="1180"/>
      <c r="G66" s="1180"/>
      <c r="H66" s="1180"/>
      <c r="I66" s="1180"/>
      <c r="J66" s="1180"/>
      <c r="K66" s="1180"/>
      <c r="L66" s="1180"/>
      <c r="M66" s="1180"/>
      <c r="N66" s="1180"/>
      <c r="O66" s="1180"/>
      <c r="P66" s="1180"/>
      <c r="Q66" s="1180"/>
      <c r="R66" s="1180"/>
      <c r="S66" s="1180"/>
      <c r="T66" s="1180"/>
      <c r="U66" s="1180"/>
      <c r="V66" s="1180"/>
      <c r="W66" s="1180"/>
      <c r="X66" s="1180"/>
    </row>
    <row r="67" spans="1:24">
      <c r="A67" s="1180"/>
      <c r="B67" s="1180"/>
      <c r="C67" s="1180"/>
      <c r="D67" s="1180"/>
      <c r="E67" s="1180"/>
      <c r="F67" s="1180"/>
      <c r="G67" s="1180"/>
      <c r="H67" s="1180"/>
      <c r="I67" s="1180"/>
      <c r="J67" s="1180"/>
      <c r="K67" s="1180"/>
      <c r="L67" s="1180"/>
      <c r="M67" s="1180"/>
      <c r="N67" s="1180"/>
      <c r="O67" s="1180"/>
      <c r="P67" s="1180"/>
      <c r="Q67" s="1180"/>
      <c r="R67" s="1180"/>
      <c r="S67" s="1180"/>
      <c r="T67" s="1180"/>
      <c r="U67" s="1180"/>
      <c r="V67" s="1180"/>
      <c r="W67" s="1180"/>
      <c r="X67" s="1180"/>
    </row>
    <row r="68" spans="1:24">
      <c r="A68" s="1180"/>
      <c r="B68" s="1180"/>
      <c r="C68" s="1180"/>
      <c r="D68" s="1180"/>
      <c r="E68" s="1180"/>
      <c r="F68" s="1180"/>
      <c r="G68" s="1180"/>
      <c r="H68" s="1180"/>
      <c r="I68" s="1180"/>
      <c r="J68" s="1180"/>
      <c r="K68" s="1180"/>
      <c r="L68" s="1180"/>
      <c r="M68" s="1180"/>
      <c r="N68" s="1180"/>
      <c r="O68" s="1180"/>
      <c r="P68" s="1180"/>
      <c r="Q68" s="1180"/>
      <c r="R68" s="1180"/>
      <c r="S68" s="1180"/>
      <c r="T68" s="1180"/>
      <c r="U68" s="1180"/>
      <c r="V68" s="1180"/>
      <c r="W68" s="1180"/>
      <c r="X68" s="1180"/>
    </row>
    <row r="69" spans="1:24">
      <c r="A69" s="1180"/>
      <c r="B69" s="1180"/>
      <c r="C69" s="1180"/>
      <c r="D69" s="1180"/>
      <c r="E69" s="1180"/>
      <c r="F69" s="1180"/>
      <c r="G69" s="1180"/>
      <c r="H69" s="1180"/>
      <c r="I69" s="1180"/>
      <c r="J69" s="1180"/>
      <c r="K69" s="1180"/>
      <c r="L69" s="1180"/>
      <c r="M69" s="1180"/>
      <c r="N69" s="1180"/>
      <c r="O69" s="1180"/>
      <c r="P69" s="1180"/>
      <c r="Q69" s="1180"/>
      <c r="R69" s="1180"/>
      <c r="S69" s="1180"/>
      <c r="T69" s="1180"/>
      <c r="U69" s="1180"/>
      <c r="V69" s="1180"/>
      <c r="W69" s="1180"/>
      <c r="X69" s="1180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7" tint="-0.249977111117893"/>
  </sheetPr>
  <dimension ref="A1:X69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8" style="18" customWidth="1"/>
    <col min="2" max="2" width="25.140625" style="18" customWidth="1"/>
    <col min="3" max="3" width="8" style="18" customWidth="1"/>
    <col min="4" max="4" width="10.42578125" style="18" customWidth="1"/>
    <col min="5" max="7" width="8" style="18" customWidth="1"/>
    <col min="8" max="8" width="12.42578125" style="18" customWidth="1"/>
    <col min="9" max="9" width="10" style="18" customWidth="1"/>
    <col min="10" max="10" width="18.42578125" style="18" customWidth="1"/>
    <col min="11" max="12" width="8" style="18" customWidth="1"/>
    <col min="13" max="13" width="2.42578125" style="18" customWidth="1"/>
    <col min="14" max="14" width="42.140625" style="18" customWidth="1"/>
    <col min="15" max="15" width="3.85546875" style="18" customWidth="1"/>
    <col min="16" max="16" width="16" style="18" customWidth="1"/>
    <col min="17" max="17" width="1.85546875" style="18" customWidth="1"/>
    <col min="18" max="18" width="18.140625" style="18" customWidth="1"/>
    <col min="19" max="19" width="2.28515625" style="18" customWidth="1"/>
    <col min="20" max="20" width="16.42578125" style="18" customWidth="1"/>
    <col min="21" max="16384" width="8" style="18"/>
  </cols>
  <sheetData>
    <row r="1" spans="1:24">
      <c r="A1" s="2087" t="str">
        <f>LOGO!B5</f>
        <v>DUKE ENERGY KENTUCKY, INC.</v>
      </c>
      <c r="B1" s="2195"/>
      <c r="C1" s="2195"/>
      <c r="D1" s="2195"/>
      <c r="E1" s="2195"/>
      <c r="F1" s="2195"/>
      <c r="G1" s="2195"/>
      <c r="H1" s="2195"/>
      <c r="I1" s="2195"/>
      <c r="J1" s="2195"/>
      <c r="K1" s="1180"/>
      <c r="L1" s="1180"/>
      <c r="M1" s="1180"/>
      <c r="N1" s="1180"/>
      <c r="O1" s="1180"/>
      <c r="P1" s="1180"/>
      <c r="Q1" s="1180"/>
      <c r="R1" s="1180"/>
      <c r="S1" s="1180"/>
      <c r="T1" s="1180"/>
      <c r="U1" s="1180"/>
      <c r="V1" s="1180"/>
      <c r="W1" s="1180"/>
      <c r="X1" s="1180"/>
    </row>
    <row r="2" spans="1:24">
      <c r="A2" s="2087" t="str">
        <f>LOGO!B6</f>
        <v>CASE NO. 2017-00321</v>
      </c>
      <c r="B2" s="2195"/>
      <c r="C2" s="2195"/>
      <c r="D2" s="2195"/>
      <c r="E2" s="2195"/>
      <c r="F2" s="2195"/>
      <c r="G2" s="2195"/>
      <c r="H2" s="2195"/>
      <c r="I2" s="2195"/>
      <c r="J2" s="2195"/>
      <c r="K2" s="1180"/>
      <c r="L2" s="1180"/>
      <c r="M2" s="1180"/>
      <c r="N2" s="1180"/>
      <c r="O2" s="1180"/>
      <c r="P2" s="1180"/>
      <c r="Q2" s="1180"/>
      <c r="R2" s="1180"/>
      <c r="S2" s="1180"/>
      <c r="T2" s="1180"/>
      <c r="U2" s="1180"/>
      <c r="V2" s="1180"/>
      <c r="W2" s="1180"/>
      <c r="X2" s="1180"/>
    </row>
    <row r="3" spans="1:24">
      <c r="A3" s="2166" t="s">
        <v>32</v>
      </c>
      <c r="B3" s="2195"/>
      <c r="C3" s="2195"/>
      <c r="D3" s="2195"/>
      <c r="E3" s="2195"/>
      <c r="F3" s="2195"/>
      <c r="G3" s="2195"/>
      <c r="H3" s="2195"/>
      <c r="I3" s="2195"/>
      <c r="J3" s="2195"/>
      <c r="K3" s="1180"/>
      <c r="L3" s="1180"/>
      <c r="M3" s="1180"/>
      <c r="N3" s="1180"/>
      <c r="O3" s="1180"/>
      <c r="P3" s="1180"/>
      <c r="Q3" s="1180"/>
      <c r="R3" s="1180"/>
      <c r="S3" s="1180"/>
      <c r="T3" s="1180"/>
      <c r="U3" s="1180"/>
      <c r="V3" s="1180"/>
      <c r="W3" s="1180"/>
      <c r="X3" s="1180"/>
    </row>
    <row r="4" spans="1:24">
      <c r="A4" s="2087" t="str">
        <f>LOGO!B8</f>
        <v>FOR THE TWELVE MONTHS ENDED MARCH 31, 2019</v>
      </c>
      <c r="B4" s="2195"/>
      <c r="C4" s="2195"/>
      <c r="D4" s="2195"/>
      <c r="E4" s="2195"/>
      <c r="F4" s="2195"/>
      <c r="G4" s="2195"/>
      <c r="H4" s="2195"/>
      <c r="I4" s="2195"/>
      <c r="J4" s="2195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</row>
    <row r="5" spans="1:24">
      <c r="A5" s="1180"/>
      <c r="B5" s="1180"/>
      <c r="C5" s="1180"/>
      <c r="D5" s="1180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80"/>
      <c r="U5" s="1180"/>
      <c r="V5" s="1180"/>
      <c r="W5" s="1180"/>
      <c r="X5" s="1180"/>
    </row>
    <row r="6" spans="1:24">
      <c r="A6" s="2206" t="str">
        <f>DataB</f>
        <v>DATA: "X" BASE PERIOD  "X" FORECASTED PERIOD</v>
      </c>
      <c r="B6" s="1180"/>
      <c r="C6" s="1180"/>
      <c r="D6" s="1180"/>
      <c r="E6" s="1180"/>
      <c r="F6" s="1180"/>
      <c r="G6" s="1180"/>
      <c r="H6" s="1180"/>
      <c r="I6" s="2196" t="s">
        <v>20</v>
      </c>
      <c r="J6" s="1180"/>
      <c r="K6" s="1180"/>
      <c r="L6" s="1180"/>
      <c r="M6" s="1180"/>
      <c r="N6" s="1180"/>
      <c r="O6" s="1180"/>
      <c r="P6" s="1180"/>
      <c r="Q6" s="1180"/>
      <c r="R6" s="1180"/>
      <c r="S6" s="1180"/>
      <c r="T6" s="1180"/>
      <c r="U6" s="1180"/>
      <c r="V6" s="1180"/>
      <c r="W6" s="1180"/>
      <c r="X6" s="1180"/>
    </row>
    <row r="7" spans="1:24">
      <c r="A7" s="2206" t="str">
        <f>LOGO!B15</f>
        <v xml:space="preserve">TYPE OF FILING:  "X" ORIGINAL   UPDATED    REVISED  </v>
      </c>
      <c r="B7" s="1180"/>
      <c r="C7" s="1180"/>
      <c r="D7" s="1180"/>
      <c r="E7" s="1180"/>
      <c r="F7" s="1180"/>
      <c r="G7" s="1180"/>
      <c r="H7" s="1180"/>
      <c r="I7" s="1179" t="s">
        <v>620</v>
      </c>
      <c r="J7" s="1180"/>
      <c r="K7" s="1180"/>
      <c r="L7" s="1180"/>
      <c r="M7" s="1180"/>
      <c r="N7" s="1180"/>
      <c r="O7" s="1180"/>
      <c r="P7" s="1180"/>
      <c r="Q7" s="1180"/>
      <c r="R7" s="1180"/>
      <c r="S7" s="1180"/>
      <c r="T7" s="1180"/>
      <c r="U7" s="1180"/>
      <c r="V7" s="1180"/>
      <c r="W7" s="1180"/>
      <c r="X7" s="1180"/>
    </row>
    <row r="8" spans="1:24">
      <c r="A8" s="1179" t="s">
        <v>702</v>
      </c>
      <c r="B8" s="1180"/>
      <c r="C8" s="1180"/>
      <c r="D8" s="1180"/>
      <c r="E8" s="1180"/>
      <c r="F8" s="1180"/>
      <c r="G8" s="1180"/>
      <c r="H8" s="1180"/>
      <c r="I8" s="1179" t="s">
        <v>622</v>
      </c>
      <c r="J8" s="1180"/>
      <c r="K8" s="1180"/>
      <c r="L8" s="1180"/>
      <c r="M8" s="1180"/>
      <c r="N8" s="1180"/>
      <c r="O8" s="1180"/>
      <c r="P8" s="1180"/>
      <c r="Q8" s="1180"/>
      <c r="R8" s="1180"/>
      <c r="S8" s="1180"/>
      <c r="T8" s="1180"/>
      <c r="U8" s="1180"/>
      <c r="V8" s="1180"/>
      <c r="W8" s="1180"/>
      <c r="X8" s="1180"/>
    </row>
    <row r="9" spans="1:24">
      <c r="A9" s="1180"/>
      <c r="B9" s="1180"/>
      <c r="C9" s="1180"/>
      <c r="D9" s="1180"/>
      <c r="E9" s="1180"/>
      <c r="F9" s="1180"/>
      <c r="G9" s="1180"/>
      <c r="H9" s="1180"/>
      <c r="I9" s="1179" t="str">
        <f>_WIT10</f>
        <v>R. H. PRATT</v>
      </c>
      <c r="J9" s="1180"/>
      <c r="K9" s="1180"/>
      <c r="L9" s="1180"/>
      <c r="M9" s="1180"/>
      <c r="N9" s="1180"/>
      <c r="O9" s="1180"/>
      <c r="P9" s="1180"/>
      <c r="Q9" s="1180"/>
      <c r="R9" s="1180"/>
      <c r="S9" s="1180"/>
      <c r="T9" s="1180"/>
      <c r="U9" s="1180"/>
      <c r="V9" s="1180"/>
      <c r="W9" s="1180"/>
      <c r="X9" s="1180"/>
    </row>
    <row r="10" spans="1:24">
      <c r="A10" s="2197"/>
      <c r="B10" s="2197"/>
      <c r="C10" s="2197"/>
      <c r="D10" s="2197"/>
      <c r="E10" s="2197"/>
      <c r="F10" s="2197"/>
      <c r="G10" s="2197"/>
      <c r="H10" s="2197"/>
      <c r="I10" s="2197"/>
      <c r="J10" s="2197"/>
      <c r="K10" s="1179"/>
      <c r="L10" s="1180"/>
      <c r="M10" s="1180"/>
      <c r="N10" s="1180"/>
      <c r="O10" s="1180"/>
      <c r="P10" s="1180"/>
      <c r="Q10" s="1180"/>
      <c r="R10" s="1180"/>
      <c r="S10" s="1180"/>
      <c r="T10" s="1180"/>
      <c r="U10" s="1180"/>
      <c r="V10" s="1180"/>
      <c r="W10" s="1180"/>
      <c r="X10" s="1180"/>
    </row>
    <row r="11" spans="1:24">
      <c r="A11" s="1180"/>
      <c r="B11" s="1180"/>
      <c r="C11" s="1180"/>
      <c r="D11" s="1180"/>
      <c r="E11" s="1180"/>
      <c r="F11" s="1180"/>
      <c r="G11" s="1180"/>
      <c r="H11" s="1180"/>
      <c r="I11" s="1180"/>
      <c r="J11" s="1180"/>
      <c r="K11" s="1180"/>
      <c r="L11" s="1180"/>
      <c r="M11" s="1180"/>
      <c r="N11" s="1180"/>
      <c r="O11" s="1180"/>
      <c r="P11" s="1180"/>
      <c r="Q11" s="1180"/>
      <c r="R11" s="1180"/>
      <c r="S11" s="1180"/>
      <c r="T11" s="1180"/>
      <c r="U11" s="1180"/>
      <c r="V11" s="1180"/>
      <c r="W11" s="1180"/>
      <c r="X11" s="1180"/>
    </row>
    <row r="12" spans="1:24">
      <c r="A12" s="1179" t="s">
        <v>1246</v>
      </c>
      <c r="B12" s="1180"/>
      <c r="C12" s="1180"/>
      <c r="D12" s="1180"/>
      <c r="E12" s="1180"/>
      <c r="F12" s="1180"/>
      <c r="G12" s="1180"/>
      <c r="H12" s="1180"/>
      <c r="I12" s="1180"/>
      <c r="J12" s="2198" t="s">
        <v>364</v>
      </c>
      <c r="K12" s="1180"/>
      <c r="L12" s="1180"/>
      <c r="M12" s="1180"/>
      <c r="N12" s="1180"/>
      <c r="O12" s="1180"/>
      <c r="P12" s="1180"/>
      <c r="Q12" s="1180"/>
      <c r="R12" s="1180"/>
      <c r="S12" s="1180"/>
      <c r="T12" s="1180"/>
      <c r="U12" s="1180"/>
      <c r="V12" s="1180"/>
      <c r="W12" s="1180"/>
      <c r="X12" s="1180"/>
    </row>
    <row r="13" spans="1:24">
      <c r="A13" s="2197"/>
      <c r="B13" s="2197"/>
      <c r="C13" s="2197"/>
      <c r="D13" s="2197"/>
      <c r="E13" s="2197"/>
      <c r="F13" s="2197"/>
      <c r="G13" s="2197"/>
      <c r="H13" s="2197"/>
      <c r="I13" s="2197"/>
      <c r="J13" s="2197"/>
      <c r="K13" s="1179"/>
      <c r="L13" s="1180"/>
      <c r="M13" s="1180"/>
      <c r="N13" s="1180"/>
      <c r="O13" s="1180"/>
      <c r="P13" s="1180"/>
      <c r="Q13" s="1180"/>
      <c r="R13" s="1180"/>
      <c r="S13" s="1180"/>
      <c r="T13" s="1180"/>
      <c r="U13" s="1180"/>
      <c r="V13" s="1180"/>
      <c r="W13" s="1180"/>
      <c r="X13" s="1180"/>
    </row>
    <row r="14" spans="1:24">
      <c r="A14" s="1180"/>
      <c r="B14" s="1180"/>
      <c r="C14" s="1180"/>
      <c r="D14" s="1180"/>
      <c r="E14" s="1180"/>
      <c r="F14" s="1180"/>
      <c r="G14" s="1180"/>
      <c r="H14" s="1180"/>
      <c r="I14" s="1180"/>
      <c r="J14" s="2199"/>
      <c r="K14" s="1180"/>
      <c r="L14" s="1180"/>
      <c r="M14" s="1180"/>
      <c r="N14" s="1180"/>
      <c r="O14" s="1180"/>
      <c r="P14" s="1180"/>
      <c r="Q14" s="1180"/>
      <c r="R14" s="1180"/>
      <c r="S14" s="1180"/>
      <c r="T14" s="1180"/>
      <c r="U14" s="1180"/>
      <c r="V14" s="1180"/>
      <c r="W14" s="1180"/>
      <c r="X14" s="1180"/>
    </row>
    <row r="15" spans="1:24">
      <c r="A15" s="1581" t="s">
        <v>1638</v>
      </c>
      <c r="B15" s="1180"/>
      <c r="C15" s="1180"/>
      <c r="D15" s="1180"/>
      <c r="E15" s="1180"/>
      <c r="F15" s="1180"/>
      <c r="G15" s="1180"/>
      <c r="H15" s="1180"/>
      <c r="I15" s="1180"/>
      <c r="J15" s="1180"/>
      <c r="K15" s="1180"/>
      <c r="L15" s="1180"/>
      <c r="M15" s="1180"/>
      <c r="N15" s="1180"/>
      <c r="O15" s="1180"/>
      <c r="P15" s="1180"/>
      <c r="Q15" s="1180"/>
      <c r="R15" s="1180"/>
      <c r="S15" s="1180"/>
      <c r="T15" s="1180"/>
      <c r="U15" s="1180"/>
      <c r="V15" s="1180"/>
      <c r="W15" s="1180"/>
      <c r="X15" s="1180"/>
    </row>
    <row r="16" spans="1:24">
      <c r="A16" s="1581" t="s">
        <v>1759</v>
      </c>
      <c r="B16" s="1180"/>
      <c r="C16" s="1180"/>
      <c r="D16" s="1180"/>
      <c r="E16" s="1180"/>
      <c r="F16" s="1180"/>
      <c r="G16" s="1180"/>
      <c r="H16" s="1180"/>
      <c r="I16" s="1180"/>
      <c r="J16" s="1180"/>
      <c r="K16" s="1180"/>
      <c r="L16" s="1180"/>
      <c r="M16" s="1180"/>
      <c r="N16" s="1180"/>
      <c r="O16" s="1180"/>
      <c r="P16" s="1180"/>
      <c r="Q16" s="1180"/>
      <c r="R16" s="1180"/>
      <c r="S16" s="1180"/>
      <c r="T16" s="1180"/>
      <c r="U16" s="1180"/>
      <c r="V16" s="1180"/>
      <c r="W16" s="1180"/>
      <c r="X16" s="1180"/>
    </row>
    <row r="17" spans="1:24">
      <c r="A17" s="1179"/>
      <c r="B17" s="1180"/>
      <c r="C17" s="1180"/>
      <c r="D17" s="1180"/>
      <c r="E17" s="1180"/>
      <c r="F17" s="1180"/>
      <c r="G17" s="1180"/>
      <c r="H17" s="1180"/>
      <c r="I17" s="1180"/>
      <c r="J17" s="1180"/>
      <c r="K17" s="1180"/>
      <c r="L17" s="1180"/>
      <c r="M17" s="1180"/>
      <c r="N17" s="1180"/>
      <c r="O17" s="1180"/>
      <c r="P17" s="1180"/>
      <c r="Q17" s="1180"/>
      <c r="R17" s="1180"/>
      <c r="S17" s="1180"/>
      <c r="T17" s="1180"/>
      <c r="U17" s="1180"/>
      <c r="V17" s="1180"/>
      <c r="W17" s="1180"/>
      <c r="X17" s="1180"/>
    </row>
    <row r="18" spans="1:24">
      <c r="A18" s="1179"/>
      <c r="B18" s="1180"/>
      <c r="C18" s="1180"/>
      <c r="D18" s="1180"/>
      <c r="E18" s="1180"/>
      <c r="F18" s="1180"/>
      <c r="G18" s="1180"/>
      <c r="H18" s="1180"/>
      <c r="I18" s="1180"/>
      <c r="J18" s="1180"/>
      <c r="K18" s="1180"/>
      <c r="L18" s="1180"/>
      <c r="M18" s="1180"/>
      <c r="N18" s="1180"/>
      <c r="O18" s="1180"/>
      <c r="P18" s="1180"/>
      <c r="Q18" s="1180"/>
      <c r="R18" s="1180"/>
      <c r="S18" s="1180"/>
      <c r="T18" s="1180"/>
      <c r="U18" s="1180"/>
      <c r="V18" s="1180"/>
      <c r="W18" s="1180"/>
      <c r="X18" s="1180"/>
    </row>
    <row r="19" spans="1:24">
      <c r="A19" s="1179"/>
      <c r="B19" s="1180"/>
      <c r="C19" s="1180"/>
      <c r="D19" s="1180"/>
      <c r="E19" s="1180"/>
      <c r="F19" s="1180"/>
      <c r="G19" s="1180"/>
      <c r="H19" s="1180"/>
      <c r="I19" s="1180"/>
      <c r="J19" s="1180"/>
      <c r="K19" s="1180"/>
      <c r="L19" s="1180"/>
      <c r="M19" s="1180"/>
      <c r="N19" s="1180"/>
      <c r="O19" s="1180"/>
      <c r="P19" s="1180"/>
      <c r="Q19" s="1180"/>
      <c r="R19" s="1180"/>
      <c r="S19" s="1180"/>
      <c r="T19" s="1180"/>
      <c r="U19" s="1180"/>
      <c r="V19" s="1180"/>
      <c r="W19" s="1180"/>
      <c r="X19" s="1180"/>
    </row>
    <row r="20" spans="1:24">
      <c r="A20" s="1179"/>
      <c r="B20" s="1180"/>
      <c r="C20" s="1180"/>
      <c r="D20" s="1180"/>
      <c r="E20" s="1180"/>
      <c r="F20" s="1180"/>
      <c r="G20" s="1180"/>
      <c r="H20" s="2199"/>
      <c r="I20" s="1180"/>
      <c r="J20" s="1180"/>
      <c r="K20" s="1180"/>
      <c r="L20" s="1180"/>
      <c r="M20" s="1180"/>
      <c r="N20" s="1180"/>
      <c r="O20" s="1180"/>
      <c r="P20" s="1180"/>
      <c r="Q20" s="1180"/>
      <c r="R20" s="1180"/>
      <c r="S20" s="1180"/>
      <c r="T20" s="1180"/>
      <c r="U20" s="1180"/>
      <c r="V20" s="1180"/>
      <c r="W20" s="1180"/>
      <c r="X20" s="1180"/>
    </row>
    <row r="21" spans="1:24">
      <c r="A21" s="1502"/>
      <c r="B21" s="1180"/>
      <c r="C21" s="1180"/>
      <c r="D21" s="1180"/>
      <c r="E21" s="1180"/>
      <c r="F21" s="1180"/>
      <c r="G21" s="1180"/>
      <c r="H21" s="2170"/>
      <c r="I21" s="1180"/>
      <c r="J21" s="1180"/>
      <c r="K21" s="1180"/>
      <c r="L21" s="1180"/>
      <c r="M21" s="1180"/>
      <c r="N21" s="1180"/>
      <c r="O21" s="1180"/>
      <c r="P21" s="1180"/>
      <c r="Q21" s="1180"/>
      <c r="R21" s="1180"/>
      <c r="S21" s="1180"/>
      <c r="T21" s="1180"/>
      <c r="U21" s="1180"/>
      <c r="V21" s="1180"/>
      <c r="W21" s="1180"/>
      <c r="X21" s="1180"/>
    </row>
    <row r="22" spans="1:24">
      <c r="A22" s="1180"/>
      <c r="B22" s="1180"/>
      <c r="C22" s="1180"/>
      <c r="D22" s="1180"/>
      <c r="E22" s="1180"/>
      <c r="F22" s="1180"/>
      <c r="G22" s="1180"/>
      <c r="H22" s="1180"/>
      <c r="I22" s="1180"/>
      <c r="J22" s="1180"/>
      <c r="K22" s="1180"/>
      <c r="L22" s="1180"/>
      <c r="M22" s="1180"/>
      <c r="N22" s="1180"/>
      <c r="O22" s="1180"/>
      <c r="P22" s="1180"/>
      <c r="Q22" s="1180"/>
      <c r="R22" s="1180"/>
      <c r="S22" s="1180"/>
      <c r="T22" s="1180"/>
      <c r="U22" s="1180"/>
      <c r="V22" s="1180"/>
      <c r="W22" s="1180"/>
      <c r="X22" s="1180"/>
    </row>
    <row r="23" spans="1:24">
      <c r="A23" s="1179" t="s">
        <v>1639</v>
      </c>
      <c r="B23" s="1180"/>
      <c r="C23" s="1180"/>
      <c r="D23" s="1180"/>
      <c r="E23" s="1180"/>
      <c r="F23" s="1180"/>
      <c r="G23" s="1180"/>
      <c r="H23" s="1180"/>
      <c r="I23" s="1426"/>
      <c r="J23" s="1375">
        <f ca="1">T53</f>
        <v>-151501</v>
      </c>
      <c r="K23" s="1180"/>
      <c r="L23" s="1180"/>
      <c r="M23" s="1180"/>
      <c r="N23" s="1180"/>
      <c r="O23" s="1180"/>
      <c r="P23" s="1180"/>
      <c r="Q23" s="1180"/>
      <c r="R23" s="1180"/>
      <c r="S23" s="1180"/>
      <c r="T23" s="1180"/>
      <c r="U23" s="1180"/>
      <c r="V23" s="1180"/>
      <c r="W23" s="1180"/>
      <c r="X23" s="1180"/>
    </row>
    <row r="24" spans="1:24">
      <c r="A24" s="1180"/>
      <c r="B24" s="1180"/>
      <c r="C24" s="1180"/>
      <c r="D24" s="1180"/>
      <c r="E24" s="1180"/>
      <c r="F24" s="1180"/>
      <c r="G24" s="1180"/>
      <c r="H24" s="1180"/>
      <c r="I24" s="1180"/>
      <c r="J24" s="1426"/>
      <c r="K24" s="1180"/>
      <c r="L24" s="1180"/>
      <c r="M24" s="1180"/>
      <c r="N24" s="1180"/>
      <c r="O24" s="1180"/>
      <c r="P24" s="1180"/>
      <c r="Q24" s="1180"/>
      <c r="R24" s="1180"/>
      <c r="S24" s="1180"/>
      <c r="T24" s="1180"/>
      <c r="U24" s="1180"/>
      <c r="V24" s="1180"/>
      <c r="W24" s="1180"/>
      <c r="X24" s="1180"/>
    </row>
    <row r="25" spans="1:24">
      <c r="A25" s="1180"/>
      <c r="B25" s="1180"/>
      <c r="C25" s="1180"/>
      <c r="D25" s="1180"/>
      <c r="E25" s="1180"/>
      <c r="F25" s="1180"/>
      <c r="G25" s="1180"/>
      <c r="H25" s="1180"/>
      <c r="I25" s="1180"/>
      <c r="J25" s="1180"/>
      <c r="K25" s="1180"/>
      <c r="L25" s="1180"/>
      <c r="M25" s="1180"/>
      <c r="N25" s="1180"/>
      <c r="O25" s="1180"/>
      <c r="P25" s="1180"/>
      <c r="Q25" s="1180"/>
      <c r="R25" s="1180"/>
      <c r="S25" s="1180"/>
      <c r="T25" s="1180"/>
      <c r="U25" s="1180"/>
      <c r="V25" s="1180"/>
      <c r="W25" s="1180"/>
      <c r="X25" s="1180"/>
    </row>
    <row r="26" spans="1:24">
      <c r="A26" s="1179" t="s">
        <v>266</v>
      </c>
      <c r="B26" s="1180"/>
      <c r="C26" s="1180"/>
      <c r="D26" s="1180"/>
      <c r="E26" s="1180"/>
      <c r="F26" s="1180"/>
      <c r="G26" s="1180"/>
      <c r="H26" s="1180"/>
      <c r="I26" s="1180"/>
      <c r="J26" s="1425">
        <f>VLOOKUP(D33,ALLOCTABLE,2)/100</f>
        <v>1</v>
      </c>
      <c r="K26" s="1180"/>
      <c r="L26" s="1180"/>
      <c r="M26" s="1180"/>
      <c r="N26" s="1180"/>
      <c r="O26" s="1180"/>
      <c r="P26" s="1180"/>
      <c r="Q26" s="1180"/>
      <c r="R26" s="1180"/>
      <c r="S26" s="1180"/>
      <c r="T26" s="1180"/>
      <c r="U26" s="1180"/>
      <c r="V26" s="1180"/>
      <c r="W26" s="1180"/>
      <c r="X26" s="1180"/>
    </row>
    <row r="27" spans="1:24">
      <c r="A27" s="1180"/>
      <c r="B27" s="1180"/>
      <c r="C27" s="1180"/>
      <c r="D27" s="1180"/>
      <c r="E27" s="1180"/>
      <c r="F27" s="1180"/>
      <c r="G27" s="1180"/>
      <c r="H27" s="1180"/>
      <c r="I27" s="1180"/>
      <c r="J27" s="1426"/>
      <c r="K27" s="1180"/>
      <c r="L27" s="1180"/>
      <c r="M27" s="1180"/>
      <c r="N27" s="1180"/>
      <c r="O27" s="1180"/>
      <c r="P27" s="1180"/>
      <c r="Q27" s="1180"/>
      <c r="R27" s="1180"/>
      <c r="S27" s="1180"/>
      <c r="T27" s="1180"/>
      <c r="U27" s="1180"/>
      <c r="V27" s="1180"/>
      <c r="W27" s="1180"/>
      <c r="X27" s="1180"/>
    </row>
    <row r="28" spans="1:24">
      <c r="A28" s="1180"/>
      <c r="B28" s="1180"/>
      <c r="C28" s="1180"/>
      <c r="D28" s="1180"/>
      <c r="E28" s="1180"/>
      <c r="F28" s="1180"/>
      <c r="G28" s="1180"/>
      <c r="H28" s="1180"/>
      <c r="I28" s="1180"/>
      <c r="J28" s="1180"/>
      <c r="K28" s="1180"/>
      <c r="L28" s="1180"/>
      <c r="M28" s="1180"/>
      <c r="N28" s="1180"/>
      <c r="O28" s="1180"/>
      <c r="P28" s="1180"/>
      <c r="Q28" s="1180"/>
      <c r="R28" s="1180"/>
      <c r="S28" s="1180"/>
      <c r="T28" s="1180"/>
      <c r="U28" s="1180"/>
      <c r="V28" s="1180"/>
      <c r="W28" s="1180"/>
      <c r="X28" s="1180"/>
    </row>
    <row r="29" spans="1:24" ht="15">
      <c r="A29" s="1179" t="s">
        <v>1236</v>
      </c>
      <c r="B29" s="1180"/>
      <c r="C29" s="1180"/>
      <c r="D29" s="1180"/>
      <c r="E29" s="1180"/>
      <c r="F29" s="1179" t="s">
        <v>1213</v>
      </c>
      <c r="G29" s="1180"/>
      <c r="H29" s="1180"/>
      <c r="I29" s="1426"/>
      <c r="J29" s="1427">
        <f ca="1">ROUND(J23*J26,0)</f>
        <v>-151501</v>
      </c>
      <c r="K29" s="1180"/>
      <c r="L29" s="1180"/>
      <c r="M29" s="1180"/>
      <c r="N29" s="1180"/>
      <c r="O29" s="1180"/>
      <c r="P29" s="1180"/>
      <c r="Q29" s="1180"/>
      <c r="R29" s="1180"/>
      <c r="S29" s="1180"/>
      <c r="T29" s="1180"/>
      <c r="U29" s="1180"/>
      <c r="V29" s="1180"/>
      <c r="W29" s="1180"/>
      <c r="X29" s="1180"/>
    </row>
    <row r="30" spans="1:24">
      <c r="A30" s="1180"/>
      <c r="B30" s="1180"/>
      <c r="C30" s="1180"/>
      <c r="D30" s="1180"/>
      <c r="E30" s="1180"/>
      <c r="F30" s="1180"/>
      <c r="G30" s="1180"/>
      <c r="H30" s="1180"/>
      <c r="I30" s="1180"/>
      <c r="J30" s="1426"/>
      <c r="K30" s="1180"/>
      <c r="L30" s="1180"/>
      <c r="M30" s="1180"/>
      <c r="N30" s="1180"/>
      <c r="O30" s="1180"/>
      <c r="P30" s="1180"/>
      <c r="Q30" s="1180"/>
      <c r="R30" s="1180"/>
      <c r="S30" s="1180"/>
      <c r="T30" s="1180"/>
      <c r="U30" s="1180"/>
      <c r="V30" s="1180"/>
      <c r="W30" s="1180"/>
      <c r="X30" s="1180"/>
    </row>
    <row r="31" spans="1:24">
      <c r="A31" s="1180"/>
      <c r="B31" s="1180"/>
      <c r="C31" s="1180"/>
      <c r="D31" s="1180"/>
      <c r="E31" s="1180"/>
      <c r="F31" s="1180"/>
      <c r="G31" s="1180"/>
      <c r="H31" s="1180"/>
      <c r="I31" s="1180"/>
      <c r="J31" s="1180"/>
      <c r="K31" s="1180"/>
      <c r="L31" s="1180"/>
      <c r="M31" s="1180"/>
      <c r="N31" s="1180"/>
      <c r="O31" s="1180"/>
      <c r="P31" s="1180"/>
      <c r="Q31" s="1180"/>
      <c r="R31" s="1180"/>
      <c r="S31" s="1180"/>
      <c r="T31" s="1180"/>
      <c r="U31" s="1180"/>
      <c r="V31" s="1180"/>
      <c r="W31" s="1180"/>
      <c r="X31" s="1180"/>
    </row>
    <row r="32" spans="1:24">
      <c r="A32" s="1180"/>
      <c r="B32" s="1180"/>
      <c r="C32" s="1180"/>
      <c r="D32" s="1180"/>
      <c r="E32" s="1180"/>
      <c r="F32" s="1180"/>
      <c r="G32" s="1180"/>
      <c r="H32" s="1180"/>
      <c r="I32" s="1180"/>
      <c r="J32" s="1180"/>
      <c r="K32" s="1180"/>
      <c r="L32" s="1180"/>
      <c r="M32" s="1180"/>
      <c r="N32" s="1180"/>
      <c r="O32" s="1180"/>
      <c r="P32" s="1180"/>
      <c r="Q32" s="1180"/>
      <c r="R32" s="1180"/>
      <c r="S32" s="1180"/>
      <c r="T32" s="1180"/>
      <c r="U32" s="1180"/>
      <c r="V32" s="1180"/>
      <c r="W32" s="1180"/>
      <c r="X32" s="1180"/>
    </row>
    <row r="33" spans="1:24">
      <c r="A33" s="1179" t="s">
        <v>1237</v>
      </c>
      <c r="B33" s="1180"/>
      <c r="C33" s="1180"/>
      <c r="D33" s="2149" t="s">
        <v>593</v>
      </c>
      <c r="E33" s="1180"/>
      <c r="F33" s="1180"/>
      <c r="G33" s="1180"/>
      <c r="H33" s="1180"/>
      <c r="I33" s="1180"/>
      <c r="J33" s="1180"/>
      <c r="K33" s="1180"/>
      <c r="L33" s="1180"/>
      <c r="M33" s="1180"/>
      <c r="N33" s="1180"/>
      <c r="O33" s="1180"/>
      <c r="P33" s="1180"/>
      <c r="Q33" s="1180"/>
      <c r="R33" s="1180"/>
      <c r="S33" s="1180"/>
      <c r="T33" s="1180"/>
      <c r="U33" s="1180"/>
      <c r="V33" s="1180"/>
      <c r="W33" s="1180"/>
      <c r="X33" s="1180"/>
    </row>
    <row r="34" spans="1:24">
      <c r="A34" s="1179"/>
      <c r="B34" s="1180"/>
      <c r="C34" s="1180"/>
      <c r="D34" s="1180"/>
      <c r="E34" s="1180"/>
      <c r="F34" s="1180"/>
      <c r="G34" s="1180"/>
      <c r="H34" s="1180"/>
      <c r="I34" s="1180"/>
      <c r="J34" s="1180"/>
      <c r="K34" s="1180"/>
      <c r="L34" s="1180"/>
      <c r="M34" s="1180"/>
      <c r="N34" s="1180"/>
      <c r="O34" s="1180"/>
      <c r="P34" s="1180"/>
      <c r="Q34" s="1180"/>
      <c r="R34" s="1180"/>
      <c r="S34" s="1180"/>
      <c r="T34" s="1180"/>
      <c r="U34" s="1180"/>
      <c r="V34" s="1180"/>
      <c r="W34" s="1180"/>
      <c r="X34" s="1180"/>
    </row>
    <row r="35" spans="1:24">
      <c r="A35" s="1180"/>
      <c r="B35" s="1180"/>
      <c r="C35" s="1180"/>
      <c r="D35" s="1180"/>
      <c r="E35" s="1180"/>
      <c r="F35" s="1180"/>
      <c r="G35" s="1180"/>
      <c r="H35" s="1180"/>
      <c r="I35" s="1180"/>
      <c r="J35" s="1180"/>
      <c r="K35" s="1180"/>
      <c r="L35" s="1180"/>
      <c r="M35" s="1180"/>
      <c r="N35" s="1180"/>
      <c r="O35" s="1180"/>
      <c r="P35" s="1180"/>
      <c r="Q35" s="1180"/>
      <c r="R35" s="1180"/>
      <c r="S35" s="1180"/>
      <c r="T35" s="1180"/>
      <c r="U35" s="1180"/>
      <c r="V35" s="1180"/>
      <c r="W35" s="1180"/>
      <c r="X35" s="1180"/>
    </row>
    <row r="36" spans="1:24">
      <c r="A36" s="1180"/>
      <c r="B36" s="1180"/>
      <c r="C36" s="1180"/>
      <c r="D36" s="1180"/>
      <c r="E36" s="1180"/>
      <c r="F36" s="1180"/>
      <c r="G36" s="1180"/>
      <c r="H36" s="1180"/>
      <c r="I36" s="1180"/>
      <c r="J36" s="1180"/>
      <c r="K36" s="1180"/>
      <c r="L36" s="1180"/>
      <c r="M36" s="1180"/>
      <c r="N36" s="1180"/>
      <c r="O36" s="1180"/>
      <c r="P36" s="1180"/>
      <c r="Q36" s="1180"/>
      <c r="R36" s="1180"/>
      <c r="S36" s="1180"/>
      <c r="T36" s="1180"/>
      <c r="U36" s="1180"/>
      <c r="V36" s="1180"/>
      <c r="W36" s="1180"/>
      <c r="X36" s="1180"/>
    </row>
    <row r="37" spans="1:24">
      <c r="A37" s="1180"/>
      <c r="B37" s="1180"/>
      <c r="C37" s="1180"/>
      <c r="D37" s="1180"/>
      <c r="E37" s="1180"/>
      <c r="F37" s="1180"/>
      <c r="G37" s="1180"/>
      <c r="H37" s="1180"/>
      <c r="I37" s="1180"/>
      <c r="J37" s="1180"/>
      <c r="K37" s="1180"/>
      <c r="L37" s="1180"/>
      <c r="M37" s="1180"/>
      <c r="N37" s="1180"/>
      <c r="O37" s="1180"/>
      <c r="P37" s="1180"/>
      <c r="Q37" s="1180"/>
      <c r="R37" s="1180"/>
      <c r="S37" s="1180"/>
      <c r="T37" s="1180"/>
      <c r="U37" s="1180"/>
      <c r="V37" s="1180"/>
      <c r="W37" s="1180"/>
      <c r="X37" s="1180"/>
    </row>
    <row r="38" spans="1:24">
      <c r="A38" s="1180"/>
      <c r="B38" s="1180"/>
      <c r="C38" s="1180"/>
      <c r="D38" s="1180"/>
      <c r="E38" s="1180"/>
      <c r="F38" s="1180"/>
      <c r="G38" s="1180"/>
      <c r="H38" s="1180"/>
      <c r="I38" s="1180"/>
      <c r="J38" s="1180"/>
      <c r="K38" s="1180"/>
      <c r="L38" s="1180"/>
      <c r="M38" s="1180"/>
      <c r="N38" s="1180"/>
      <c r="O38" s="1180"/>
      <c r="P38" s="1180"/>
      <c r="Q38" s="1180"/>
      <c r="R38" s="1180"/>
      <c r="S38" s="1180"/>
      <c r="T38" s="1180"/>
      <c r="U38" s="1180"/>
      <c r="V38" s="1180"/>
      <c r="W38" s="1180"/>
      <c r="X38" s="1180"/>
    </row>
    <row r="39" spans="1:24">
      <c r="A39" s="1180"/>
      <c r="B39" s="1180"/>
      <c r="C39" s="1180"/>
      <c r="D39" s="1180"/>
      <c r="E39" s="1180"/>
      <c r="F39" s="1180"/>
      <c r="G39" s="1180"/>
      <c r="H39" s="1180"/>
      <c r="I39" s="1180"/>
      <c r="J39" s="1180"/>
      <c r="K39" s="1180"/>
      <c r="L39" s="1180"/>
      <c r="M39" s="1180"/>
      <c r="N39" s="1180"/>
      <c r="O39" s="1180"/>
      <c r="P39" s="1180"/>
      <c r="Q39" s="1180"/>
      <c r="R39" s="1180"/>
      <c r="S39" s="1180"/>
      <c r="T39" s="1180"/>
      <c r="U39" s="1180"/>
      <c r="V39" s="1180"/>
      <c r="W39" s="1180"/>
      <c r="X39" s="1180"/>
    </row>
    <row r="40" spans="1:24">
      <c r="A40" s="1180"/>
      <c r="B40" s="1180"/>
      <c r="C40" s="1180"/>
      <c r="D40" s="1180"/>
      <c r="E40" s="1180"/>
      <c r="F40" s="1180"/>
      <c r="G40" s="1180"/>
      <c r="H40" s="1180"/>
      <c r="I40" s="1180"/>
      <c r="J40" s="1180"/>
      <c r="K40" s="1180"/>
      <c r="L40" s="1180"/>
      <c r="M40" s="1180"/>
      <c r="N40" s="1180"/>
      <c r="O40" s="1180"/>
      <c r="P40" s="1180"/>
      <c r="Q40" s="1180"/>
      <c r="R40" s="1180"/>
      <c r="S40" s="1180"/>
      <c r="T40" s="1180"/>
      <c r="U40" s="1180"/>
      <c r="V40" s="1180"/>
      <c r="W40" s="1180"/>
      <c r="X40" s="1180"/>
    </row>
    <row r="41" spans="1:24">
      <c r="A41" s="1180"/>
      <c r="B41" s="1180"/>
      <c r="C41" s="1180"/>
      <c r="D41" s="1180"/>
      <c r="E41" s="1180"/>
      <c r="F41" s="1180"/>
      <c r="G41" s="1180"/>
      <c r="H41" s="1180"/>
      <c r="I41" s="1180"/>
      <c r="J41" s="1180"/>
      <c r="K41" s="1180"/>
      <c r="L41" s="1180"/>
      <c r="M41" s="1180"/>
      <c r="N41" s="1180"/>
      <c r="O41" s="1180"/>
      <c r="P41" s="1180"/>
      <c r="Q41" s="1180"/>
      <c r="R41" s="1180"/>
      <c r="S41" s="1180"/>
      <c r="T41" s="1180"/>
      <c r="U41" s="1180"/>
      <c r="V41" s="1180"/>
      <c r="W41" s="1180"/>
      <c r="X41" s="1180"/>
    </row>
    <row r="42" spans="1:24">
      <c r="A42" s="1180"/>
      <c r="B42" s="1180"/>
      <c r="C42" s="1180"/>
      <c r="D42" s="1180"/>
      <c r="E42" s="1180"/>
      <c r="F42" s="1180"/>
      <c r="G42" s="1180"/>
      <c r="H42" s="1180"/>
      <c r="I42" s="1180"/>
      <c r="J42" s="1180"/>
      <c r="K42" s="1180"/>
      <c r="L42" s="1180"/>
      <c r="M42" s="1180"/>
      <c r="N42" s="1180"/>
      <c r="O42" s="1180"/>
      <c r="P42" s="1180"/>
      <c r="Q42" s="1180"/>
      <c r="R42" s="1180"/>
      <c r="S42" s="1180"/>
      <c r="T42" s="1180"/>
      <c r="U42" s="1180"/>
      <c r="V42" s="1180"/>
      <c r="W42" s="1180"/>
      <c r="X42" s="1180"/>
    </row>
    <row r="43" spans="1:24">
      <c r="A43" s="1180"/>
      <c r="B43" s="1180"/>
      <c r="C43" s="1180"/>
      <c r="D43" s="1180"/>
      <c r="E43" s="1180"/>
      <c r="F43" s="1180"/>
      <c r="G43" s="1180"/>
      <c r="H43" s="1180"/>
      <c r="I43" s="1180"/>
      <c r="J43" s="1180"/>
      <c r="K43" s="1180"/>
      <c r="L43" s="1629" t="str">
        <f>COMPANY</f>
        <v>DUKE ENERGY KENTUCKY, INC.</v>
      </c>
      <c r="M43" s="530"/>
      <c r="N43" s="530"/>
      <c r="O43" s="530"/>
      <c r="P43" s="530"/>
      <c r="Q43" s="530"/>
      <c r="R43" s="1629" t="s">
        <v>504</v>
      </c>
      <c r="S43" s="530"/>
      <c r="T43" s="1178"/>
      <c r="U43" s="1180"/>
      <c r="V43" s="1180"/>
      <c r="W43" s="1180"/>
      <c r="X43" s="1180"/>
    </row>
    <row r="44" spans="1:24">
      <c r="A44" s="1180"/>
      <c r="B44" s="1180"/>
      <c r="C44" s="1180"/>
      <c r="D44" s="1180"/>
      <c r="E44" s="1180"/>
      <c r="F44" s="1180"/>
      <c r="G44" s="1180"/>
      <c r="H44" s="1180"/>
      <c r="I44" s="1180"/>
      <c r="J44" s="1180"/>
      <c r="K44" s="1180"/>
      <c r="L44" s="1629" t="str">
        <f>DEPT</f>
        <v>ELECTRIC DEPARTMENT</v>
      </c>
      <c r="M44" s="530"/>
      <c r="N44" s="530"/>
      <c r="O44" s="530"/>
      <c r="P44" s="530"/>
      <c r="Q44" s="530"/>
      <c r="R44" s="1629" t="s">
        <v>1239</v>
      </c>
      <c r="S44" s="530"/>
      <c r="T44" s="1178"/>
      <c r="U44" s="1180"/>
      <c r="V44" s="1180"/>
      <c r="W44" s="1180"/>
      <c r="X44" s="1180"/>
    </row>
    <row r="45" spans="1:24">
      <c r="A45" s="1180"/>
      <c r="B45" s="1180"/>
      <c r="C45" s="1180"/>
      <c r="D45" s="1180"/>
      <c r="E45" s="1180"/>
      <c r="F45" s="1180"/>
      <c r="G45" s="1180"/>
      <c r="H45" s="1180"/>
      <c r="I45" s="1180"/>
      <c r="J45" s="1180"/>
      <c r="K45" s="1180"/>
      <c r="L45" s="1629" t="str">
        <f>CASE</f>
        <v>CASE NO. 2017-00321</v>
      </c>
      <c r="M45" s="530"/>
      <c r="N45" s="530"/>
      <c r="O45" s="530"/>
      <c r="P45" s="530"/>
      <c r="Q45" s="530"/>
      <c r="R45" s="530" t="str">
        <f>_WIT10</f>
        <v>R. H. PRATT</v>
      </c>
      <c r="S45" s="530"/>
      <c r="T45" s="1178"/>
      <c r="U45" s="1180"/>
      <c r="V45" s="1180"/>
      <c r="W45" s="1180"/>
      <c r="X45" s="1180"/>
    </row>
    <row r="46" spans="1:24">
      <c r="A46" s="1180"/>
      <c r="B46" s="1180"/>
      <c r="C46" s="1180"/>
      <c r="D46" s="1180"/>
      <c r="E46" s="1180"/>
      <c r="F46" s="1180"/>
      <c r="G46" s="1180"/>
      <c r="H46" s="1180"/>
      <c r="I46" s="1180"/>
      <c r="J46" s="1180"/>
      <c r="K46" s="1180"/>
      <c r="L46" s="1629" t="s">
        <v>477</v>
      </c>
      <c r="M46" s="530"/>
      <c r="N46" s="530"/>
      <c r="O46" s="530"/>
      <c r="P46" s="530"/>
      <c r="Q46" s="530"/>
      <c r="R46" s="2107"/>
      <c r="S46" s="530"/>
      <c r="T46" s="1178"/>
      <c r="U46" s="1180"/>
      <c r="V46" s="1180"/>
      <c r="W46" s="1180"/>
      <c r="X46" s="1180"/>
    </row>
    <row r="47" spans="1:24">
      <c r="A47" s="1180"/>
      <c r="B47" s="1180"/>
      <c r="C47" s="1180"/>
      <c r="D47" s="1180"/>
      <c r="E47" s="1180"/>
      <c r="F47" s="1180"/>
      <c r="G47" s="1180"/>
      <c r="H47" s="1180"/>
      <c r="I47" s="1180"/>
      <c r="J47" s="1180"/>
      <c r="K47" s="1180"/>
      <c r="L47" s="1629"/>
      <c r="M47" s="530"/>
      <c r="N47" s="530"/>
      <c r="O47" s="530"/>
      <c r="P47" s="530"/>
      <c r="Q47" s="530"/>
      <c r="R47" s="530"/>
      <c r="S47" s="530"/>
      <c r="T47" s="1178"/>
      <c r="U47" s="1180"/>
      <c r="V47" s="1180"/>
      <c r="W47" s="1180"/>
      <c r="X47" s="1180"/>
    </row>
    <row r="48" spans="1:24">
      <c r="A48" s="1180"/>
      <c r="B48" s="1180"/>
      <c r="C48" s="1180"/>
      <c r="D48" s="1180"/>
      <c r="E48" s="1180"/>
      <c r="F48" s="1180"/>
      <c r="G48" s="1180"/>
      <c r="H48" s="1180"/>
      <c r="I48" s="1180"/>
      <c r="J48" s="1180"/>
      <c r="K48" s="1180"/>
      <c r="L48" s="1178"/>
      <c r="M48" s="1178"/>
      <c r="N48" s="1178"/>
      <c r="O48" s="1178"/>
      <c r="P48" s="1178"/>
      <c r="Q48" s="1178"/>
      <c r="R48" s="1178"/>
      <c r="S48" s="1178"/>
      <c r="T48" s="1178"/>
      <c r="U48" s="1180"/>
      <c r="V48" s="1180"/>
      <c r="W48" s="1180"/>
      <c r="X48" s="1180"/>
    </row>
    <row r="49" spans="1:24">
      <c r="A49" s="1180"/>
      <c r="B49" s="1180"/>
      <c r="C49" s="1180"/>
      <c r="D49" s="1180"/>
      <c r="E49" s="1180"/>
      <c r="F49" s="1180"/>
      <c r="G49" s="1180"/>
      <c r="H49" s="1180"/>
      <c r="I49" s="1180"/>
      <c r="J49" s="1180"/>
      <c r="K49" s="1180"/>
      <c r="L49" s="1178"/>
      <c r="M49" s="1178"/>
      <c r="N49" s="1178"/>
      <c r="O49" s="1178"/>
      <c r="P49" s="1178"/>
      <c r="Q49" s="1178"/>
      <c r="R49" s="1178"/>
      <c r="S49" s="1178"/>
      <c r="T49" s="1178"/>
      <c r="U49" s="1180"/>
      <c r="V49" s="1180"/>
      <c r="W49" s="1180"/>
      <c r="X49" s="1180"/>
    </row>
    <row r="50" spans="1:24">
      <c r="A50" s="1180"/>
      <c r="B50" s="1180"/>
      <c r="C50" s="1180"/>
      <c r="D50" s="1180"/>
      <c r="E50" s="1180"/>
      <c r="F50" s="1180"/>
      <c r="G50" s="1180"/>
      <c r="H50" s="1180"/>
      <c r="I50" s="1180"/>
      <c r="J50" s="1180"/>
      <c r="K50" s="1180"/>
      <c r="L50" s="1423" t="s">
        <v>1240</v>
      </c>
      <c r="M50" s="1423"/>
      <c r="N50" s="1423"/>
      <c r="O50" s="1423"/>
      <c r="P50" s="1423" t="s">
        <v>1117</v>
      </c>
      <c r="Q50" s="1423"/>
      <c r="R50" s="1423" t="s">
        <v>626</v>
      </c>
      <c r="S50" s="1423"/>
      <c r="T50" s="1423"/>
      <c r="U50" s="1180"/>
      <c r="V50" s="1180"/>
      <c r="W50" s="1180"/>
      <c r="X50" s="1180"/>
    </row>
    <row r="51" spans="1:24">
      <c r="A51" s="1180"/>
      <c r="B51" s="1180"/>
      <c r="C51" s="1180"/>
      <c r="D51" s="1180"/>
      <c r="E51" s="1180"/>
      <c r="F51" s="1180"/>
      <c r="G51" s="1180"/>
      <c r="H51" s="1180"/>
      <c r="I51" s="1180"/>
      <c r="J51" s="1180"/>
      <c r="K51" s="1180"/>
      <c r="L51" s="1424" t="s">
        <v>1241</v>
      </c>
      <c r="M51" s="1424"/>
      <c r="N51" s="1424" t="s">
        <v>1119</v>
      </c>
      <c r="O51" s="1424"/>
      <c r="P51" s="1424" t="s">
        <v>1120</v>
      </c>
      <c r="Q51" s="1424"/>
      <c r="R51" s="1424" t="s">
        <v>1120</v>
      </c>
      <c r="S51" s="1424"/>
      <c r="T51" s="1424" t="s">
        <v>1242</v>
      </c>
      <c r="U51" s="1180"/>
      <c r="V51" s="1180"/>
      <c r="W51" s="1180"/>
      <c r="X51" s="1180"/>
    </row>
    <row r="52" spans="1:24">
      <c r="A52" s="1180"/>
      <c r="B52" s="1180"/>
      <c r="C52" s="1180"/>
      <c r="D52" s="1180"/>
      <c r="E52" s="1180"/>
      <c r="F52" s="1180"/>
      <c r="G52" s="1180"/>
      <c r="H52" s="1180"/>
      <c r="I52" s="1180"/>
      <c r="J52" s="1180"/>
      <c r="K52" s="1180"/>
      <c r="L52" s="1178"/>
      <c r="M52" s="1178"/>
      <c r="N52" s="1178"/>
      <c r="O52" s="1178"/>
      <c r="P52" s="1178"/>
      <c r="Q52" s="1178"/>
      <c r="R52" s="1178"/>
      <c r="S52" s="1178"/>
      <c r="T52" s="1178"/>
      <c r="U52" s="1180"/>
      <c r="V52" s="1180"/>
      <c r="W52" s="1180"/>
      <c r="X52" s="1180"/>
    </row>
    <row r="53" spans="1:24" ht="13.5" thickBot="1">
      <c r="A53" s="1180"/>
      <c r="B53" s="1180"/>
      <c r="C53" s="1180"/>
      <c r="D53" s="1180"/>
      <c r="E53" s="1180"/>
      <c r="F53" s="1180"/>
      <c r="G53" s="1180"/>
      <c r="H53" s="1180"/>
      <c r="I53" s="1180"/>
      <c r="J53" s="1180"/>
      <c r="K53" s="1180"/>
      <c r="L53" s="1423">
        <v>1</v>
      </c>
      <c r="M53" s="1178"/>
      <c r="N53" s="1179" t="s">
        <v>176</v>
      </c>
      <c r="O53" s="1178"/>
      <c r="P53" s="2275">
        <f>SCH_C2!E34</f>
        <v>946639</v>
      </c>
      <c r="Q53" s="1178"/>
      <c r="R53" s="2275">
        <f ca="1">SCH_C2!H34</f>
        <v>795138</v>
      </c>
      <c r="S53" s="1178"/>
      <c r="T53" s="2275">
        <f ca="1">R53-P53</f>
        <v>-151501</v>
      </c>
      <c r="U53" s="1180"/>
      <c r="V53" s="1180"/>
      <c r="W53" s="1180"/>
      <c r="X53" s="1180"/>
    </row>
    <row r="54" spans="1:24" ht="13.5" thickTop="1">
      <c r="A54" s="1180"/>
      <c r="B54" s="1180"/>
      <c r="C54" s="1180"/>
      <c r="D54" s="1180"/>
      <c r="E54" s="1180"/>
      <c r="F54" s="1180"/>
      <c r="G54" s="1180"/>
      <c r="H54" s="1180"/>
      <c r="I54" s="1180"/>
      <c r="J54" s="1180"/>
      <c r="K54" s="1180"/>
      <c r="L54" s="1423"/>
      <c r="M54" s="1178"/>
      <c r="N54" s="1178"/>
      <c r="O54" s="1178"/>
      <c r="P54" s="1178"/>
      <c r="Q54" s="1178"/>
      <c r="R54" s="1178"/>
      <c r="S54" s="1178"/>
      <c r="T54" s="1178"/>
      <c r="U54" s="1180"/>
      <c r="V54" s="1180"/>
      <c r="W54" s="1180"/>
      <c r="X54" s="1180"/>
    </row>
    <row r="55" spans="1:24">
      <c r="A55" s="1180"/>
      <c r="B55" s="1180"/>
      <c r="C55" s="1180"/>
      <c r="D55" s="1180"/>
      <c r="E55" s="1180"/>
      <c r="F55" s="1180"/>
      <c r="G55" s="1180"/>
      <c r="H55" s="1180"/>
      <c r="I55" s="1180"/>
      <c r="J55" s="1180"/>
      <c r="K55" s="1180"/>
      <c r="L55" s="1178"/>
      <c r="M55" s="1178"/>
      <c r="N55" s="1178"/>
      <c r="O55" s="1178"/>
      <c r="P55" s="1178"/>
      <c r="Q55" s="1178"/>
      <c r="R55" s="1178"/>
      <c r="S55" s="1178"/>
      <c r="T55" s="1178"/>
      <c r="U55" s="1180"/>
      <c r="V55" s="1180"/>
      <c r="W55" s="1180"/>
      <c r="X55" s="1180"/>
    </row>
    <row r="56" spans="1:24">
      <c r="A56" s="1180"/>
      <c r="B56" s="1180"/>
      <c r="C56" s="1180"/>
      <c r="D56" s="1180"/>
      <c r="E56" s="1180"/>
      <c r="F56" s="1180"/>
      <c r="G56" s="1180"/>
      <c r="H56" s="1180"/>
      <c r="I56" s="1180"/>
      <c r="J56" s="1180"/>
      <c r="K56" s="1180"/>
      <c r="L56" s="1178"/>
      <c r="M56" s="1178"/>
      <c r="N56" s="1178"/>
      <c r="O56" s="1178"/>
      <c r="P56" s="1178"/>
      <c r="Q56" s="1178"/>
      <c r="R56" s="1178"/>
      <c r="S56" s="1178"/>
      <c r="T56" s="1178"/>
      <c r="U56" s="1180"/>
      <c r="V56" s="1180"/>
      <c r="W56" s="1180"/>
      <c r="X56" s="1180"/>
    </row>
    <row r="57" spans="1:24">
      <c r="A57" s="1180"/>
      <c r="B57" s="1180"/>
      <c r="C57" s="1180"/>
      <c r="D57" s="1180"/>
      <c r="E57" s="1180"/>
      <c r="F57" s="1180"/>
      <c r="G57" s="1180"/>
      <c r="H57" s="1180"/>
      <c r="I57" s="1180"/>
      <c r="J57" s="1180"/>
      <c r="K57" s="1180"/>
      <c r="L57" s="1178"/>
      <c r="M57" s="1178"/>
      <c r="N57" s="1178"/>
      <c r="O57" s="1178"/>
      <c r="P57" s="1178"/>
      <c r="Q57" s="1178"/>
      <c r="R57" s="1178"/>
      <c r="S57" s="1178"/>
      <c r="T57" s="1423" t="s">
        <v>1244</v>
      </c>
      <c r="U57" s="1180"/>
      <c r="V57" s="1180"/>
      <c r="W57" s="1180"/>
      <c r="X57" s="1180"/>
    </row>
    <row r="58" spans="1:24">
      <c r="A58" s="1180"/>
      <c r="B58" s="1180"/>
      <c r="C58" s="1180"/>
      <c r="D58" s="1180"/>
      <c r="E58" s="1180"/>
      <c r="F58" s="1180"/>
      <c r="G58" s="1180"/>
      <c r="H58" s="1180"/>
      <c r="I58" s="1180"/>
      <c r="J58" s="1180"/>
      <c r="K58" s="1180"/>
      <c r="L58" s="1180"/>
      <c r="M58" s="1180"/>
      <c r="N58" s="1180"/>
      <c r="O58" s="1180"/>
      <c r="P58" s="1180"/>
      <c r="Q58" s="1180"/>
      <c r="R58" s="1180"/>
      <c r="S58" s="1180"/>
      <c r="T58" s="1180"/>
      <c r="U58" s="1180"/>
      <c r="V58" s="1180"/>
      <c r="W58" s="1180"/>
      <c r="X58" s="1180"/>
    </row>
    <row r="59" spans="1:24">
      <c r="A59" s="1180"/>
      <c r="B59" s="1180"/>
      <c r="C59" s="1180"/>
      <c r="D59" s="1180"/>
      <c r="E59" s="1180"/>
      <c r="F59" s="1180"/>
      <c r="G59" s="1180"/>
      <c r="H59" s="1180"/>
      <c r="I59" s="1180"/>
      <c r="J59" s="1180"/>
      <c r="K59" s="1180"/>
      <c r="L59" s="1180"/>
      <c r="M59" s="1180"/>
      <c r="N59" s="1180"/>
      <c r="O59" s="1180"/>
      <c r="P59" s="1180"/>
      <c r="Q59" s="1180"/>
      <c r="R59" s="1180"/>
      <c r="S59" s="1180"/>
      <c r="T59" s="1180"/>
      <c r="U59" s="1180"/>
      <c r="V59" s="1180"/>
      <c r="W59" s="1180"/>
      <c r="X59" s="1180"/>
    </row>
    <row r="60" spans="1:24">
      <c r="A60" s="1180"/>
      <c r="B60" s="1180"/>
      <c r="C60" s="1180"/>
      <c r="D60" s="1180"/>
      <c r="E60" s="1180"/>
      <c r="F60" s="1180"/>
      <c r="G60" s="1180"/>
      <c r="H60" s="1180"/>
      <c r="I60" s="1180"/>
      <c r="J60" s="1180"/>
      <c r="K60" s="1180"/>
      <c r="L60" s="1180"/>
      <c r="M60" s="1180"/>
      <c r="N60" s="1180"/>
      <c r="O60" s="1180"/>
      <c r="P60" s="1180"/>
      <c r="Q60" s="1180"/>
      <c r="R60" s="2370"/>
      <c r="S60" s="1180"/>
      <c r="T60" s="1180"/>
      <c r="U60" s="1180"/>
      <c r="V60" s="1180"/>
      <c r="W60" s="1180"/>
      <c r="X60" s="1180"/>
    </row>
    <row r="61" spans="1:24">
      <c r="A61" s="1180"/>
      <c r="B61" s="1180"/>
      <c r="C61" s="1180"/>
      <c r="D61" s="1180"/>
      <c r="E61" s="1180"/>
      <c r="F61" s="1180"/>
      <c r="G61" s="1180"/>
      <c r="H61" s="1180"/>
      <c r="I61" s="1180"/>
      <c r="J61" s="1180"/>
      <c r="K61" s="1180"/>
      <c r="L61" s="1180"/>
      <c r="M61" s="1180"/>
      <c r="N61" s="1180"/>
      <c r="O61" s="1180"/>
      <c r="P61" s="1180"/>
      <c r="Q61" s="1180"/>
      <c r="R61" s="1180"/>
      <c r="S61" s="1180"/>
      <c r="T61" s="1180"/>
      <c r="U61" s="1180"/>
      <c r="V61" s="1180"/>
      <c r="W61" s="1180"/>
      <c r="X61" s="1180"/>
    </row>
    <row r="62" spans="1:24">
      <c r="A62" s="1180"/>
      <c r="B62" s="1180"/>
      <c r="C62" s="1180"/>
      <c r="D62" s="1180"/>
      <c r="E62" s="1180"/>
      <c r="F62" s="1180"/>
      <c r="G62" s="1180"/>
      <c r="H62" s="1180"/>
      <c r="I62" s="1180"/>
      <c r="J62" s="1180"/>
      <c r="K62" s="1180"/>
      <c r="L62" s="1180"/>
      <c r="M62" s="1180"/>
      <c r="N62" s="1180"/>
      <c r="O62" s="1180"/>
      <c r="P62" s="1180"/>
      <c r="Q62" s="1180"/>
      <c r="R62" s="1180"/>
      <c r="S62" s="1180"/>
      <c r="T62" s="1180"/>
      <c r="U62" s="1180"/>
      <c r="V62" s="1180"/>
      <c r="W62" s="1180"/>
      <c r="X62" s="1180"/>
    </row>
    <row r="63" spans="1:24">
      <c r="A63" s="1180"/>
      <c r="B63" s="1180"/>
      <c r="C63" s="1180"/>
      <c r="D63" s="1180"/>
      <c r="E63" s="1180"/>
      <c r="F63" s="1180"/>
      <c r="G63" s="1180"/>
      <c r="H63" s="1180"/>
      <c r="I63" s="1180"/>
      <c r="J63" s="1180"/>
      <c r="K63" s="1180"/>
      <c r="L63" s="1180"/>
      <c r="M63" s="1180"/>
      <c r="N63" s="1180"/>
      <c r="O63" s="1180"/>
      <c r="P63" s="1180"/>
      <c r="Q63" s="1180"/>
      <c r="R63" s="1180"/>
      <c r="S63" s="1180"/>
      <c r="T63" s="1180"/>
      <c r="U63" s="1180"/>
      <c r="V63" s="1180"/>
      <c r="W63" s="1180"/>
      <c r="X63" s="1180"/>
    </row>
    <row r="64" spans="1:24">
      <c r="A64" s="1180"/>
      <c r="B64" s="1180"/>
      <c r="C64" s="1180"/>
      <c r="D64" s="1180"/>
      <c r="E64" s="1180"/>
      <c r="F64" s="1180"/>
      <c r="G64" s="1180"/>
      <c r="H64" s="1180"/>
      <c r="I64" s="1180"/>
      <c r="J64" s="1180"/>
      <c r="K64" s="1180"/>
      <c r="L64" s="1180"/>
      <c r="M64" s="1180"/>
      <c r="N64" s="1180"/>
      <c r="O64" s="1180"/>
      <c r="P64" s="1180"/>
      <c r="Q64" s="1180"/>
      <c r="R64" s="1180"/>
      <c r="S64" s="1180"/>
      <c r="T64" s="1180"/>
      <c r="U64" s="1180"/>
      <c r="V64" s="1180"/>
      <c r="W64" s="1180"/>
      <c r="X64" s="1180"/>
    </row>
    <row r="65" spans="1:24">
      <c r="A65" s="1180"/>
      <c r="B65" s="1180"/>
      <c r="C65" s="1180"/>
      <c r="D65" s="1180"/>
      <c r="E65" s="1180"/>
      <c r="F65" s="1180"/>
      <c r="G65" s="1180"/>
      <c r="H65" s="1180"/>
      <c r="I65" s="1180"/>
      <c r="J65" s="1180"/>
      <c r="K65" s="1180"/>
      <c r="L65" s="1180"/>
      <c r="M65" s="1180"/>
      <c r="N65" s="1180"/>
      <c r="O65" s="1180"/>
      <c r="P65" s="1180"/>
      <c r="Q65" s="1180"/>
      <c r="R65" s="1180"/>
      <c r="S65" s="1180"/>
      <c r="T65" s="1180"/>
      <c r="U65" s="1180"/>
      <c r="V65" s="1180"/>
      <c r="W65" s="1180"/>
      <c r="X65" s="1180"/>
    </row>
    <row r="66" spans="1:24">
      <c r="A66" s="1180"/>
      <c r="B66" s="1180"/>
      <c r="C66" s="1180"/>
      <c r="D66" s="1180"/>
      <c r="E66" s="1180"/>
      <c r="F66" s="1180"/>
      <c r="G66" s="1180"/>
      <c r="H66" s="1180"/>
      <c r="I66" s="1180"/>
      <c r="J66" s="1180"/>
      <c r="K66" s="1180"/>
      <c r="L66" s="1180"/>
      <c r="M66" s="1180"/>
      <c r="N66" s="1180"/>
      <c r="O66" s="1180"/>
      <c r="P66" s="1180"/>
      <c r="Q66" s="1180"/>
      <c r="R66" s="1180"/>
      <c r="S66" s="1180"/>
      <c r="T66" s="1180"/>
      <c r="U66" s="1180"/>
      <c r="V66" s="1180"/>
      <c r="W66" s="1180"/>
      <c r="X66" s="1180"/>
    </row>
    <row r="67" spans="1:24">
      <c r="A67" s="1180"/>
      <c r="B67" s="1180"/>
      <c r="C67" s="1180"/>
      <c r="D67" s="1180"/>
      <c r="E67" s="1180"/>
      <c r="F67" s="1180"/>
      <c r="G67" s="1180"/>
      <c r="H67" s="1180"/>
      <c r="I67" s="1180"/>
      <c r="J67" s="1180"/>
      <c r="K67" s="1180"/>
      <c r="L67" s="1180"/>
      <c r="M67" s="1180"/>
      <c r="N67" s="1180"/>
      <c r="O67" s="1180"/>
      <c r="P67" s="1180"/>
      <c r="Q67" s="1180"/>
      <c r="R67" s="1180"/>
      <c r="S67" s="1180"/>
      <c r="T67" s="1180"/>
      <c r="U67" s="1180"/>
      <c r="V67" s="1180"/>
      <c r="W67" s="1180"/>
      <c r="X67" s="1180"/>
    </row>
    <row r="68" spans="1:24">
      <c r="A68" s="1180"/>
      <c r="B68" s="1180"/>
      <c r="C68" s="1180"/>
      <c r="D68" s="1180"/>
      <c r="E68" s="1180"/>
      <c r="F68" s="1180"/>
      <c r="G68" s="1180"/>
      <c r="H68" s="1180"/>
      <c r="I68" s="1180"/>
      <c r="J68" s="1180"/>
      <c r="K68" s="1180"/>
      <c r="L68" s="1180"/>
      <c r="M68" s="1180"/>
      <c r="N68" s="1180"/>
      <c r="O68" s="1180"/>
      <c r="P68" s="1180"/>
      <c r="Q68" s="1180"/>
      <c r="R68" s="1180"/>
      <c r="S68" s="1180"/>
      <c r="T68" s="1180"/>
      <c r="U68" s="1180"/>
      <c r="V68" s="1180"/>
      <c r="W68" s="1180"/>
      <c r="X68" s="1180"/>
    </row>
    <row r="69" spans="1:24">
      <c r="A69" s="1180"/>
      <c r="B69" s="1180"/>
      <c r="C69" s="1180"/>
      <c r="D69" s="1180"/>
      <c r="E69" s="1180"/>
      <c r="F69" s="1180"/>
      <c r="G69" s="1180"/>
      <c r="H69" s="1180"/>
      <c r="I69" s="1180"/>
      <c r="J69" s="1180"/>
      <c r="K69" s="1180"/>
      <c r="L69" s="1180"/>
      <c r="M69" s="1180"/>
      <c r="N69" s="1180"/>
      <c r="O69" s="1180"/>
      <c r="P69" s="1180"/>
      <c r="Q69" s="1180"/>
      <c r="R69" s="1180"/>
      <c r="S69" s="1180"/>
      <c r="T69" s="1180"/>
      <c r="U69" s="1180"/>
      <c r="V69" s="1180"/>
      <c r="W69" s="1180"/>
      <c r="X69" s="1180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7" tint="-0.249977111117893"/>
  </sheetPr>
  <dimension ref="A1:X69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8" style="18" customWidth="1"/>
    <col min="2" max="2" width="25.140625" style="18" customWidth="1"/>
    <col min="3" max="3" width="8" style="18" customWidth="1"/>
    <col min="4" max="4" width="10.42578125" style="18" customWidth="1"/>
    <col min="5" max="7" width="8" style="18" customWidth="1"/>
    <col min="8" max="8" width="12.42578125" style="18" customWidth="1"/>
    <col min="9" max="9" width="10" style="18" customWidth="1"/>
    <col min="10" max="10" width="18.42578125" style="18" customWidth="1"/>
    <col min="11" max="12" width="8" style="18" customWidth="1"/>
    <col min="13" max="13" width="2.42578125" style="18" customWidth="1"/>
    <col min="14" max="14" width="42.140625" style="18" customWidth="1"/>
    <col min="15" max="15" width="3.85546875" style="18" customWidth="1"/>
    <col min="16" max="16" width="16" style="18" customWidth="1"/>
    <col min="17" max="17" width="1.85546875" style="18" customWidth="1"/>
    <col min="18" max="18" width="18.140625" style="18" customWidth="1"/>
    <col min="19" max="19" width="2.28515625" style="18" customWidth="1"/>
    <col min="20" max="20" width="16.42578125" style="18" customWidth="1"/>
    <col min="21" max="16384" width="8" style="18"/>
  </cols>
  <sheetData>
    <row r="1" spans="1:24">
      <c r="A1" s="2087" t="str">
        <f>LOGO!B5</f>
        <v>DUKE ENERGY KENTUCKY, INC.</v>
      </c>
      <c r="B1" s="2195"/>
      <c r="C1" s="2195"/>
      <c r="D1" s="2195"/>
      <c r="E1" s="2195"/>
      <c r="F1" s="2195"/>
      <c r="G1" s="2195"/>
      <c r="H1" s="2195"/>
      <c r="I1" s="2195"/>
      <c r="J1" s="2195"/>
      <c r="K1" s="1180"/>
      <c r="L1" s="1180"/>
      <c r="M1" s="1180"/>
      <c r="N1" s="1180"/>
      <c r="O1" s="1180"/>
      <c r="P1" s="1180"/>
      <c r="Q1" s="1180"/>
      <c r="R1" s="1180"/>
      <c r="S1" s="1180"/>
      <c r="T1" s="1180"/>
      <c r="U1" s="1180"/>
      <c r="V1" s="1180"/>
      <c r="W1" s="1180"/>
      <c r="X1" s="1180"/>
    </row>
    <row r="2" spans="1:24">
      <c r="A2" s="2087" t="str">
        <f>LOGO!B6</f>
        <v>CASE NO. 2017-00321</v>
      </c>
      <c r="B2" s="2195"/>
      <c r="C2" s="2195"/>
      <c r="D2" s="2195"/>
      <c r="E2" s="2195"/>
      <c r="F2" s="2195"/>
      <c r="G2" s="2195"/>
      <c r="H2" s="2195"/>
      <c r="I2" s="2195"/>
      <c r="J2" s="2195"/>
      <c r="K2" s="1180"/>
      <c r="L2" s="1180"/>
      <c r="M2" s="1180"/>
      <c r="N2" s="1180"/>
      <c r="O2" s="1180"/>
      <c r="P2" s="1180"/>
      <c r="Q2" s="1180"/>
      <c r="R2" s="1180"/>
      <c r="S2" s="1180"/>
      <c r="T2" s="1180"/>
      <c r="U2" s="1180"/>
      <c r="V2" s="1180"/>
      <c r="W2" s="1180"/>
      <c r="X2" s="1180"/>
    </row>
    <row r="3" spans="1:24">
      <c r="A3" s="2166" t="s">
        <v>1760</v>
      </c>
      <c r="B3" s="2195"/>
      <c r="C3" s="2195"/>
      <c r="D3" s="2195"/>
      <c r="E3" s="2195"/>
      <c r="F3" s="2195"/>
      <c r="G3" s="2195"/>
      <c r="H3" s="2195"/>
      <c r="I3" s="2195"/>
      <c r="J3" s="2195"/>
      <c r="K3" s="1180"/>
      <c r="L3" s="1180"/>
      <c r="M3" s="1180"/>
      <c r="N3" s="1180"/>
      <c r="O3" s="1180"/>
      <c r="P3" s="1180"/>
      <c r="Q3" s="1180"/>
      <c r="R3" s="1180"/>
      <c r="S3" s="1180"/>
      <c r="T3" s="1180"/>
      <c r="U3" s="1180"/>
      <c r="V3" s="1180"/>
      <c r="W3" s="1180"/>
      <c r="X3" s="1180"/>
    </row>
    <row r="4" spans="1:24">
      <c r="A4" s="2087" t="str">
        <f>LOGO!B8</f>
        <v>FOR THE TWELVE MONTHS ENDED MARCH 31, 2019</v>
      </c>
      <c r="B4" s="2195"/>
      <c r="C4" s="2195"/>
      <c r="D4" s="2195"/>
      <c r="E4" s="2195"/>
      <c r="F4" s="2195"/>
      <c r="G4" s="2195"/>
      <c r="H4" s="2195"/>
      <c r="I4" s="2195"/>
      <c r="J4" s="2195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</row>
    <row r="5" spans="1:24">
      <c r="A5" s="1180"/>
      <c r="B5" s="1180"/>
      <c r="C5" s="1180"/>
      <c r="D5" s="1180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80"/>
      <c r="U5" s="1180"/>
      <c r="V5" s="1180"/>
      <c r="W5" s="1180"/>
      <c r="X5" s="1180"/>
    </row>
    <row r="6" spans="1:24">
      <c r="A6" s="2206" t="str">
        <f>DataB</f>
        <v>DATA: "X" BASE PERIOD  "X" FORECASTED PERIOD</v>
      </c>
      <c r="B6" s="1180"/>
      <c r="C6" s="1180"/>
      <c r="D6" s="1180"/>
      <c r="E6" s="1180"/>
      <c r="F6" s="1180"/>
      <c r="G6" s="1180"/>
      <c r="H6" s="1180"/>
      <c r="I6" s="2196" t="s">
        <v>506</v>
      </c>
      <c r="J6" s="1180"/>
      <c r="K6" s="1180"/>
      <c r="L6" s="1180"/>
      <c r="M6" s="1180"/>
      <c r="N6" s="1180"/>
      <c r="O6" s="1180"/>
      <c r="P6" s="1180"/>
      <c r="Q6" s="1180"/>
      <c r="R6" s="1180"/>
      <c r="S6" s="1180"/>
      <c r="T6" s="1180"/>
      <c r="U6" s="1180"/>
      <c r="V6" s="1180"/>
      <c r="W6" s="1180"/>
      <c r="X6" s="1180"/>
    </row>
    <row r="7" spans="1:24">
      <c r="A7" s="2206" t="str">
        <f>LOGO!B15</f>
        <v xml:space="preserve">TYPE OF FILING:  "X" ORIGINAL   UPDATED    REVISED  </v>
      </c>
      <c r="B7" s="1180"/>
      <c r="C7" s="1180"/>
      <c r="D7" s="1180"/>
      <c r="E7" s="1180"/>
      <c r="F7" s="1180"/>
      <c r="G7" s="1180"/>
      <c r="H7" s="1180"/>
      <c r="I7" s="1179" t="s">
        <v>620</v>
      </c>
      <c r="J7" s="1180"/>
      <c r="K7" s="1180"/>
      <c r="L7" s="1180"/>
      <c r="M7" s="1180"/>
      <c r="N7" s="1180"/>
      <c r="O7" s="1180"/>
      <c r="P7" s="1180"/>
      <c r="Q7" s="1180"/>
      <c r="R7" s="1180"/>
      <c r="S7" s="1180"/>
      <c r="T7" s="1180"/>
      <c r="U7" s="1180"/>
      <c r="V7" s="1180"/>
      <c r="W7" s="1180"/>
      <c r="X7" s="1180"/>
    </row>
    <row r="8" spans="1:24">
      <c r="A8" s="1179" t="s">
        <v>701</v>
      </c>
      <c r="B8" s="1180"/>
      <c r="C8" s="1180"/>
      <c r="D8" s="1180"/>
      <c r="E8" s="1180"/>
      <c r="F8" s="1180"/>
      <c r="G8" s="1180"/>
      <c r="H8" s="1180"/>
      <c r="I8" s="1179" t="s">
        <v>622</v>
      </c>
      <c r="J8" s="1180"/>
      <c r="K8" s="1180"/>
      <c r="L8" s="1180"/>
      <c r="M8" s="1180"/>
      <c r="N8" s="1180"/>
      <c r="O8" s="1180"/>
      <c r="P8" s="1180"/>
      <c r="Q8" s="1180"/>
      <c r="R8" s="1180"/>
      <c r="S8" s="1180"/>
      <c r="T8" s="1180"/>
      <c r="U8" s="1180"/>
      <c r="V8" s="1180"/>
      <c r="W8" s="1180"/>
      <c r="X8" s="1180"/>
    </row>
    <row r="9" spans="1:24">
      <c r="A9" s="1180"/>
      <c r="B9" s="1180"/>
      <c r="C9" s="1180"/>
      <c r="D9" s="1180"/>
      <c r="E9" s="1180"/>
      <c r="F9" s="1180"/>
      <c r="G9" s="1180"/>
      <c r="H9" s="1180"/>
      <c r="I9" s="1179" t="str">
        <f>_WIT10</f>
        <v>R. H. PRATT</v>
      </c>
      <c r="J9" s="1180"/>
      <c r="K9" s="1180"/>
      <c r="L9" s="1180"/>
      <c r="M9" s="1180"/>
      <c r="N9" s="1180"/>
      <c r="O9" s="1180"/>
      <c r="P9" s="1180"/>
      <c r="Q9" s="1180"/>
      <c r="R9" s="1180"/>
      <c r="S9" s="1180"/>
      <c r="T9" s="1180"/>
      <c r="U9" s="1180"/>
      <c r="V9" s="1180"/>
      <c r="W9" s="1180"/>
      <c r="X9" s="1180"/>
    </row>
    <row r="10" spans="1:24">
      <c r="A10" s="2197"/>
      <c r="B10" s="2197"/>
      <c r="C10" s="2197"/>
      <c r="D10" s="2197"/>
      <c r="E10" s="2197"/>
      <c r="F10" s="2197"/>
      <c r="G10" s="2197"/>
      <c r="H10" s="2197"/>
      <c r="I10" s="2197"/>
      <c r="J10" s="2197"/>
      <c r="K10" s="1179"/>
      <c r="L10" s="1180"/>
      <c r="M10" s="1180"/>
      <c r="N10" s="1180"/>
      <c r="O10" s="1180"/>
      <c r="P10" s="1180"/>
      <c r="Q10" s="1180"/>
      <c r="R10" s="1180"/>
      <c r="S10" s="1180"/>
      <c r="T10" s="1180"/>
      <c r="U10" s="1180"/>
      <c r="V10" s="1180"/>
      <c r="W10" s="1180"/>
      <c r="X10" s="1180"/>
    </row>
    <row r="11" spans="1:24">
      <c r="A11" s="1180"/>
      <c r="B11" s="1180"/>
      <c r="C11" s="1180"/>
      <c r="D11" s="1180"/>
      <c r="E11" s="1180"/>
      <c r="F11" s="1180"/>
      <c r="G11" s="1180"/>
      <c r="H11" s="1180"/>
      <c r="I11" s="1180"/>
      <c r="J11" s="1180"/>
      <c r="K11" s="1180"/>
      <c r="L11" s="1180"/>
      <c r="M11" s="1180"/>
      <c r="N11" s="1180"/>
      <c r="O11" s="1180"/>
      <c r="P11" s="1180"/>
      <c r="Q11" s="1180"/>
      <c r="R11" s="1180"/>
      <c r="S11" s="1180"/>
      <c r="T11" s="1180"/>
      <c r="U11" s="1180"/>
      <c r="V11" s="1180"/>
      <c r="W11" s="1180"/>
      <c r="X11" s="1180"/>
    </row>
    <row r="12" spans="1:24">
      <c r="A12" s="1179" t="s">
        <v>1246</v>
      </c>
      <c r="B12" s="1180"/>
      <c r="C12" s="1180"/>
      <c r="D12" s="1180"/>
      <c r="E12" s="1180"/>
      <c r="F12" s="1180"/>
      <c r="G12" s="1180"/>
      <c r="H12" s="1180"/>
      <c r="I12" s="1180"/>
      <c r="J12" s="2198" t="s">
        <v>364</v>
      </c>
      <c r="K12" s="1180"/>
      <c r="L12" s="1180"/>
      <c r="M12" s="1180"/>
      <c r="N12" s="1180"/>
      <c r="O12" s="1180"/>
      <c r="P12" s="1180"/>
      <c r="Q12" s="1180"/>
      <c r="R12" s="1180"/>
      <c r="S12" s="1180"/>
      <c r="T12" s="1180"/>
      <c r="U12" s="1180"/>
      <c r="V12" s="1180"/>
      <c r="W12" s="1180"/>
      <c r="X12" s="1180"/>
    </row>
    <row r="13" spans="1:24">
      <c r="A13" s="2197"/>
      <c r="B13" s="2197"/>
      <c r="C13" s="2197"/>
      <c r="D13" s="2197"/>
      <c r="E13" s="2197"/>
      <c r="F13" s="2197"/>
      <c r="G13" s="2197"/>
      <c r="H13" s="2197"/>
      <c r="I13" s="2197"/>
      <c r="J13" s="2197"/>
      <c r="K13" s="1179"/>
      <c r="L13" s="1180"/>
      <c r="M13" s="1180"/>
      <c r="N13" s="1180"/>
      <c r="O13" s="1180"/>
      <c r="P13" s="1180"/>
      <c r="Q13" s="1180"/>
      <c r="R13" s="1180"/>
      <c r="S13" s="1180"/>
      <c r="T13" s="1180"/>
      <c r="U13" s="1180"/>
      <c r="V13" s="1180"/>
      <c r="W13" s="1180"/>
      <c r="X13" s="1180"/>
    </row>
    <row r="14" spans="1:24">
      <c r="A14" s="1180"/>
      <c r="B14" s="1180"/>
      <c r="C14" s="1180"/>
      <c r="D14" s="1180"/>
      <c r="E14" s="1180"/>
      <c r="F14" s="1180"/>
      <c r="G14" s="1180"/>
      <c r="H14" s="1180"/>
      <c r="I14" s="1180"/>
      <c r="J14" s="2199"/>
      <c r="K14" s="1180"/>
      <c r="L14" s="1180"/>
      <c r="M14" s="1180"/>
      <c r="N14" s="1180"/>
      <c r="O14" s="1180"/>
      <c r="P14" s="1180"/>
      <c r="Q14" s="1180"/>
      <c r="R14" s="1180"/>
      <c r="S14" s="1180"/>
      <c r="T14" s="1180"/>
      <c r="U14" s="1180"/>
      <c r="V14" s="1180"/>
      <c r="W14" s="1180"/>
      <c r="X14" s="1180"/>
    </row>
    <row r="15" spans="1:24">
      <c r="A15" s="1581" t="s">
        <v>498</v>
      </c>
      <c r="B15" s="1180"/>
      <c r="C15" s="1180"/>
      <c r="D15" s="1180"/>
      <c r="E15" s="1180"/>
      <c r="F15" s="1180"/>
      <c r="G15" s="1180"/>
      <c r="H15" s="1180"/>
      <c r="I15" s="1180"/>
      <c r="J15" s="1180"/>
      <c r="K15" s="1180"/>
      <c r="L15" s="1180"/>
      <c r="M15" s="1180"/>
      <c r="N15" s="1180"/>
      <c r="O15" s="1180"/>
      <c r="P15" s="1180"/>
      <c r="Q15" s="1180"/>
      <c r="R15" s="1180"/>
      <c r="S15" s="1180"/>
      <c r="T15" s="1180"/>
      <c r="U15" s="1180"/>
      <c r="V15" s="1180"/>
      <c r="W15" s="1180"/>
      <c r="X15" s="1180"/>
    </row>
    <row r="16" spans="1:24">
      <c r="A16" s="1581" t="s">
        <v>1759</v>
      </c>
      <c r="B16" s="1180"/>
      <c r="C16" s="1180"/>
      <c r="D16" s="1180"/>
      <c r="E16" s="1180"/>
      <c r="F16" s="1180"/>
      <c r="G16" s="1180"/>
      <c r="H16" s="1180"/>
      <c r="I16" s="1180"/>
      <c r="J16" s="1180"/>
      <c r="K16" s="1180"/>
      <c r="L16" s="1180"/>
      <c r="M16" s="1180"/>
      <c r="N16" s="1180"/>
      <c r="O16" s="1180"/>
      <c r="P16" s="1180"/>
      <c r="Q16" s="1180"/>
      <c r="R16" s="1180"/>
      <c r="S16" s="1180"/>
      <c r="T16" s="1180"/>
      <c r="U16" s="1180"/>
      <c r="V16" s="1180"/>
      <c r="W16" s="1180"/>
      <c r="X16" s="1180"/>
    </row>
    <row r="17" spans="1:24">
      <c r="A17" s="1179"/>
      <c r="B17" s="1180"/>
      <c r="C17" s="1180"/>
      <c r="D17" s="1180"/>
      <c r="E17" s="1180"/>
      <c r="F17" s="1180"/>
      <c r="G17" s="1180"/>
      <c r="H17" s="1180"/>
      <c r="I17" s="1180"/>
      <c r="J17" s="1180"/>
      <c r="K17" s="1180"/>
      <c r="L17" s="1180"/>
      <c r="M17" s="1180"/>
      <c r="N17" s="1180"/>
      <c r="O17" s="1180"/>
      <c r="P17" s="1180"/>
      <c r="Q17" s="1180"/>
      <c r="R17" s="1180"/>
      <c r="S17" s="1180"/>
      <c r="T17" s="1180"/>
      <c r="U17" s="1180"/>
      <c r="V17" s="1180"/>
      <c r="W17" s="1180"/>
      <c r="X17" s="1180"/>
    </row>
    <row r="18" spans="1:24">
      <c r="A18" s="1179"/>
      <c r="B18" s="1180"/>
      <c r="C18" s="1180"/>
      <c r="D18" s="1180"/>
      <c r="E18" s="1180"/>
      <c r="F18" s="1180"/>
      <c r="G18" s="1180"/>
      <c r="H18" s="1180"/>
      <c r="I18" s="1180"/>
      <c r="J18" s="1180"/>
      <c r="K18" s="1180"/>
      <c r="L18" s="1180"/>
      <c r="M18" s="1180"/>
      <c r="N18" s="1180"/>
      <c r="O18" s="1180"/>
      <c r="P18" s="1180"/>
      <c r="Q18" s="1180"/>
      <c r="R18" s="1180"/>
      <c r="S18" s="1180"/>
      <c r="T18" s="1180"/>
      <c r="U18" s="1180"/>
      <c r="V18" s="1180"/>
      <c r="W18" s="1180"/>
      <c r="X18" s="1180"/>
    </row>
    <row r="19" spans="1:24">
      <c r="A19" s="1179"/>
      <c r="B19" s="1180"/>
      <c r="C19" s="1180"/>
      <c r="D19" s="1180"/>
      <c r="E19" s="1180"/>
      <c r="F19" s="1180"/>
      <c r="G19" s="1180"/>
      <c r="H19" s="1180"/>
      <c r="I19" s="1180"/>
      <c r="J19" s="1180"/>
      <c r="K19" s="1180"/>
      <c r="L19" s="1180"/>
      <c r="M19" s="1180"/>
      <c r="N19" s="1180"/>
      <c r="O19" s="1180"/>
      <c r="P19" s="1180"/>
      <c r="Q19" s="1180"/>
      <c r="R19" s="1180"/>
      <c r="S19" s="1180"/>
      <c r="T19" s="1180"/>
      <c r="U19" s="1180"/>
      <c r="V19" s="1180"/>
      <c r="W19" s="1180"/>
      <c r="X19" s="1180"/>
    </row>
    <row r="20" spans="1:24">
      <c r="A20" s="1179"/>
      <c r="B20" s="1180"/>
      <c r="C20" s="1180"/>
      <c r="D20" s="1180"/>
      <c r="E20" s="1180"/>
      <c r="F20" s="1180"/>
      <c r="G20" s="1180"/>
      <c r="H20" s="2199"/>
      <c r="I20" s="1180"/>
      <c r="J20" s="1180"/>
      <c r="K20" s="1180"/>
      <c r="L20" s="1180"/>
      <c r="M20" s="1180"/>
      <c r="N20" s="1180"/>
      <c r="O20" s="1180"/>
      <c r="P20" s="1180"/>
      <c r="Q20" s="1180"/>
      <c r="R20" s="1180"/>
      <c r="S20" s="1180"/>
      <c r="T20" s="1180"/>
      <c r="U20" s="1180"/>
      <c r="V20" s="1180"/>
      <c r="W20" s="1180"/>
      <c r="X20" s="1180"/>
    </row>
    <row r="21" spans="1:24">
      <c r="A21" s="1502"/>
      <c r="B21" s="1180"/>
      <c r="C21" s="1180"/>
      <c r="D21" s="1180"/>
      <c r="E21" s="1180"/>
      <c r="F21" s="1180"/>
      <c r="G21" s="1180"/>
      <c r="H21" s="2170"/>
      <c r="I21" s="1180"/>
      <c r="J21" s="1180"/>
      <c r="K21" s="1180"/>
      <c r="L21" s="1180"/>
      <c r="M21" s="1180"/>
      <c r="N21" s="1180"/>
      <c r="O21" s="1180"/>
      <c r="P21" s="1180"/>
      <c r="Q21" s="1180"/>
      <c r="R21" s="1180"/>
      <c r="S21" s="1180"/>
      <c r="T21" s="1180"/>
      <c r="U21" s="1180"/>
      <c r="V21" s="1180"/>
      <c r="W21" s="1180"/>
      <c r="X21" s="1180"/>
    </row>
    <row r="22" spans="1:24">
      <c r="A22" s="1180"/>
      <c r="B22" s="1180"/>
      <c r="C22" s="1180"/>
      <c r="D22" s="1180"/>
      <c r="E22" s="1180"/>
      <c r="F22" s="1180"/>
      <c r="G22" s="1180"/>
      <c r="H22" s="1180"/>
      <c r="I22" s="1180"/>
      <c r="J22" s="1180"/>
      <c r="K22" s="1180"/>
      <c r="L22" s="1180"/>
      <c r="M22" s="1180"/>
      <c r="N22" s="1180"/>
      <c r="O22" s="1180"/>
      <c r="P22" s="1180"/>
      <c r="Q22" s="1180"/>
      <c r="R22" s="1180"/>
      <c r="S22" s="1180"/>
      <c r="T22" s="1180"/>
      <c r="U22" s="1180"/>
      <c r="V22" s="1180"/>
      <c r="W22" s="1180"/>
      <c r="X22" s="1180"/>
    </row>
    <row r="23" spans="1:24">
      <c r="A23" s="1179" t="s">
        <v>499</v>
      </c>
      <c r="B23" s="1180"/>
      <c r="C23" s="1180"/>
      <c r="D23" s="1180"/>
      <c r="E23" s="1180"/>
      <c r="F23" s="1180"/>
      <c r="G23" s="1180"/>
      <c r="H23" s="1180"/>
      <c r="I23" s="1426"/>
      <c r="J23" s="1375">
        <f ca="1">T53</f>
        <v>-1497124</v>
      </c>
      <c r="K23" s="1180"/>
      <c r="L23" s="1180"/>
      <c r="M23" s="1180"/>
      <c r="N23" s="1180"/>
      <c r="O23" s="1180"/>
      <c r="P23" s="1180"/>
      <c r="Q23" s="1180"/>
      <c r="R23" s="1180"/>
      <c r="S23" s="1180"/>
      <c r="T23" s="1180"/>
      <c r="U23" s="1180"/>
      <c r="V23" s="1180"/>
      <c r="W23" s="1180"/>
      <c r="X23" s="1180"/>
    </row>
    <row r="24" spans="1:24">
      <c r="A24" s="1180"/>
      <c r="B24" s="1180"/>
      <c r="C24" s="1180"/>
      <c r="D24" s="1180"/>
      <c r="E24" s="1180"/>
      <c r="F24" s="1180"/>
      <c r="G24" s="1180"/>
      <c r="H24" s="1180"/>
      <c r="I24" s="1180"/>
      <c r="J24" s="1426"/>
      <c r="K24" s="1180"/>
      <c r="L24" s="1180"/>
      <c r="M24" s="1180"/>
      <c r="N24" s="1180"/>
      <c r="O24" s="1180"/>
      <c r="P24" s="1180"/>
      <c r="Q24" s="1180"/>
      <c r="R24" s="1180"/>
      <c r="S24" s="1180"/>
      <c r="T24" s="1180"/>
      <c r="U24" s="1180"/>
      <c r="V24" s="1180"/>
      <c r="W24" s="1180"/>
      <c r="X24" s="1180"/>
    </row>
    <row r="25" spans="1:24">
      <c r="A25" s="1180"/>
      <c r="B25" s="1180"/>
      <c r="C25" s="1180"/>
      <c r="D25" s="1180"/>
      <c r="E25" s="1180"/>
      <c r="F25" s="1180"/>
      <c r="G25" s="1180"/>
      <c r="H25" s="1180"/>
      <c r="I25" s="1180"/>
      <c r="J25" s="1180"/>
      <c r="K25" s="1180"/>
      <c r="L25" s="1180"/>
      <c r="M25" s="1180"/>
      <c r="N25" s="1180"/>
      <c r="O25" s="1180"/>
      <c r="P25" s="1180"/>
      <c r="Q25" s="1180"/>
      <c r="R25" s="1180"/>
      <c r="S25" s="1180"/>
      <c r="T25" s="1180"/>
      <c r="U25" s="1180"/>
      <c r="V25" s="1180"/>
      <c r="W25" s="1180"/>
      <c r="X25" s="1180"/>
    </row>
    <row r="26" spans="1:24">
      <c r="A26" s="1179" t="s">
        <v>266</v>
      </c>
      <c r="B26" s="1180"/>
      <c r="C26" s="1180"/>
      <c r="D26" s="1180"/>
      <c r="E26" s="1180"/>
      <c r="F26" s="1180"/>
      <c r="G26" s="1180"/>
      <c r="H26" s="1180"/>
      <c r="I26" s="1180"/>
      <c r="J26" s="1425">
        <f>VLOOKUP(D33,ALLOCTABLE,2)/100</f>
        <v>1</v>
      </c>
      <c r="K26" s="1180"/>
      <c r="L26" s="1180"/>
      <c r="M26" s="1180"/>
      <c r="N26" s="1180"/>
      <c r="O26" s="1180"/>
      <c r="P26" s="1180"/>
      <c r="Q26" s="1180"/>
      <c r="R26" s="1180"/>
      <c r="S26" s="1180"/>
      <c r="T26" s="1180"/>
      <c r="U26" s="1180"/>
      <c r="V26" s="1180"/>
      <c r="W26" s="1180"/>
      <c r="X26" s="1180"/>
    </row>
    <row r="27" spans="1:24">
      <c r="A27" s="1180"/>
      <c r="B27" s="1180"/>
      <c r="C27" s="1180"/>
      <c r="D27" s="1180"/>
      <c r="E27" s="1180"/>
      <c r="F27" s="1180"/>
      <c r="G27" s="1180"/>
      <c r="H27" s="1180"/>
      <c r="I27" s="1180"/>
      <c r="J27" s="1426"/>
      <c r="K27" s="1180"/>
      <c r="L27" s="1180"/>
      <c r="M27" s="1180"/>
      <c r="N27" s="1180"/>
      <c r="O27" s="1180"/>
      <c r="P27" s="1180"/>
      <c r="Q27" s="1180"/>
      <c r="R27" s="1180"/>
      <c r="S27" s="1180"/>
      <c r="T27" s="1180"/>
      <c r="U27" s="1180"/>
      <c r="V27" s="1180"/>
      <c r="W27" s="1180"/>
      <c r="X27" s="1180"/>
    </row>
    <row r="28" spans="1:24">
      <c r="A28" s="1180"/>
      <c r="B28" s="1180"/>
      <c r="C28" s="1180"/>
      <c r="D28" s="1180"/>
      <c r="E28" s="1180"/>
      <c r="F28" s="1180"/>
      <c r="G28" s="1180"/>
      <c r="H28" s="1180"/>
      <c r="I28" s="1180"/>
      <c r="J28" s="1180"/>
      <c r="K28" s="1180"/>
      <c r="L28" s="1180"/>
      <c r="M28" s="1180"/>
      <c r="N28" s="1180"/>
      <c r="O28" s="1180"/>
      <c r="P28" s="1180"/>
      <c r="Q28" s="1180"/>
      <c r="R28" s="1180"/>
      <c r="S28" s="1180"/>
      <c r="T28" s="1180"/>
      <c r="U28" s="1180"/>
      <c r="V28" s="1180"/>
      <c r="W28" s="1180"/>
      <c r="X28" s="1180"/>
    </row>
    <row r="29" spans="1:24" ht="15">
      <c r="A29" s="1179" t="s">
        <v>1236</v>
      </c>
      <c r="B29" s="1180"/>
      <c r="C29" s="1180"/>
      <c r="D29" s="1180"/>
      <c r="E29" s="1180"/>
      <c r="F29" s="1179" t="s">
        <v>1213</v>
      </c>
      <c r="G29" s="1180"/>
      <c r="H29" s="1180"/>
      <c r="I29" s="1426"/>
      <c r="J29" s="1427">
        <f ca="1">ROUND(J23*J26,0)</f>
        <v>-1497124</v>
      </c>
      <c r="K29" s="1180"/>
      <c r="L29" s="1180"/>
      <c r="M29" s="1180"/>
      <c r="N29" s="1180"/>
      <c r="O29" s="1180"/>
      <c r="P29" s="1180"/>
      <c r="Q29" s="1180"/>
      <c r="R29" s="1180"/>
      <c r="S29" s="1180"/>
      <c r="T29" s="1180"/>
      <c r="U29" s="1180"/>
      <c r="V29" s="1180"/>
      <c r="W29" s="1180"/>
      <c r="X29" s="1180"/>
    </row>
    <row r="30" spans="1:24">
      <c r="A30" s="1180"/>
      <c r="B30" s="1180"/>
      <c r="C30" s="1180"/>
      <c r="D30" s="1180"/>
      <c r="E30" s="1180"/>
      <c r="F30" s="1180"/>
      <c r="G30" s="1180"/>
      <c r="H30" s="1180"/>
      <c r="I30" s="1180"/>
      <c r="J30" s="1426"/>
      <c r="K30" s="1180"/>
      <c r="L30" s="1180"/>
      <c r="M30" s="1180"/>
      <c r="N30" s="1180"/>
      <c r="O30" s="1180"/>
      <c r="P30" s="1180"/>
      <c r="Q30" s="1180"/>
      <c r="R30" s="1180"/>
      <c r="S30" s="1180"/>
      <c r="T30" s="1180"/>
      <c r="U30" s="1180"/>
      <c r="V30" s="1180"/>
      <c r="W30" s="1180"/>
      <c r="X30" s="1180"/>
    </row>
    <row r="31" spans="1:24">
      <c r="A31" s="1180"/>
      <c r="B31" s="1180"/>
      <c r="C31" s="1180"/>
      <c r="D31" s="1180"/>
      <c r="E31" s="1180"/>
      <c r="F31" s="1180"/>
      <c r="G31" s="1180"/>
      <c r="H31" s="1180"/>
      <c r="I31" s="1180"/>
      <c r="J31" s="1180"/>
      <c r="K31" s="1180"/>
      <c r="L31" s="1180"/>
      <c r="M31" s="1180"/>
      <c r="N31" s="1180"/>
      <c r="O31" s="1180"/>
      <c r="P31" s="1180"/>
      <c r="Q31" s="1180"/>
      <c r="R31" s="1180"/>
      <c r="S31" s="1180"/>
      <c r="T31" s="1180"/>
      <c r="U31" s="1180"/>
      <c r="V31" s="1180"/>
      <c r="W31" s="1180"/>
      <c r="X31" s="1180"/>
    </row>
    <row r="32" spans="1:24">
      <c r="A32" s="1180"/>
      <c r="B32" s="1180"/>
      <c r="C32" s="1180"/>
      <c r="D32" s="1180"/>
      <c r="E32" s="1180"/>
      <c r="F32" s="1180"/>
      <c r="G32" s="1180"/>
      <c r="H32" s="1180"/>
      <c r="I32" s="1180"/>
      <c r="J32" s="1180"/>
      <c r="K32" s="1180"/>
      <c r="L32" s="1180"/>
      <c r="M32" s="1180"/>
      <c r="N32" s="1180"/>
      <c r="O32" s="1180"/>
      <c r="P32" s="1180"/>
      <c r="Q32" s="1180"/>
      <c r="R32" s="1180"/>
      <c r="S32" s="1180"/>
      <c r="T32" s="1180"/>
      <c r="U32" s="1180"/>
      <c r="V32" s="1180"/>
      <c r="W32" s="1180"/>
      <c r="X32" s="1180"/>
    </row>
    <row r="33" spans="1:24">
      <c r="A33" s="1179" t="s">
        <v>1237</v>
      </c>
      <c r="B33" s="1180"/>
      <c r="C33" s="1180"/>
      <c r="D33" s="2149" t="s">
        <v>593</v>
      </c>
      <c r="E33" s="1180"/>
      <c r="F33" s="1180"/>
      <c r="G33" s="1180"/>
      <c r="H33" s="1180"/>
      <c r="I33" s="1180"/>
      <c r="J33" s="1180"/>
      <c r="K33" s="1180"/>
      <c r="L33" s="1180"/>
      <c r="M33" s="1180"/>
      <c r="N33" s="1180"/>
      <c r="O33" s="1180"/>
      <c r="P33" s="1180"/>
      <c r="Q33" s="1180"/>
      <c r="R33" s="1180"/>
      <c r="S33" s="1180"/>
      <c r="T33" s="1180"/>
      <c r="U33" s="1180"/>
      <c r="V33" s="1180"/>
      <c r="W33" s="1180"/>
      <c r="X33" s="1180"/>
    </row>
    <row r="34" spans="1:24">
      <c r="A34" s="1179"/>
      <c r="B34" s="1180"/>
      <c r="C34" s="1180"/>
      <c r="D34" s="1180"/>
      <c r="E34" s="1180"/>
      <c r="F34" s="1180"/>
      <c r="G34" s="1180"/>
      <c r="H34" s="1180"/>
      <c r="I34" s="1180"/>
      <c r="J34" s="1180"/>
      <c r="K34" s="1180"/>
      <c r="L34" s="1180"/>
      <c r="M34" s="1180"/>
      <c r="N34" s="1180"/>
      <c r="O34" s="1180"/>
      <c r="P34" s="1180"/>
      <c r="Q34" s="1180"/>
      <c r="R34" s="1180"/>
      <c r="S34" s="1180"/>
      <c r="T34" s="1180"/>
      <c r="U34" s="1180"/>
      <c r="V34" s="1180"/>
      <c r="W34" s="1180"/>
      <c r="X34" s="1180"/>
    </row>
    <row r="35" spans="1:24">
      <c r="A35" s="1180"/>
      <c r="B35" s="1180"/>
      <c r="C35" s="1180"/>
      <c r="D35" s="1180"/>
      <c r="E35" s="1180"/>
      <c r="F35" s="1180"/>
      <c r="G35" s="1180"/>
      <c r="H35" s="1180"/>
      <c r="I35" s="1180"/>
      <c r="J35" s="1180"/>
      <c r="K35" s="1180"/>
      <c r="L35" s="1180"/>
      <c r="M35" s="1180"/>
      <c r="N35" s="1180"/>
      <c r="O35" s="1180"/>
      <c r="P35" s="1180"/>
      <c r="Q35" s="1180"/>
      <c r="R35" s="1180"/>
      <c r="S35" s="1180"/>
      <c r="T35" s="1180"/>
      <c r="U35" s="1180"/>
      <c r="V35" s="1180"/>
      <c r="W35" s="1180"/>
      <c r="X35" s="1180"/>
    </row>
    <row r="36" spans="1:24">
      <c r="A36" s="1180"/>
      <c r="B36" s="1180"/>
      <c r="C36" s="1180"/>
      <c r="D36" s="1180"/>
      <c r="E36" s="1180"/>
      <c r="F36" s="1180"/>
      <c r="G36" s="1180"/>
      <c r="H36" s="1180"/>
      <c r="I36" s="1180"/>
      <c r="J36" s="1180"/>
      <c r="K36" s="1180"/>
      <c r="L36" s="1180"/>
      <c r="M36" s="1180"/>
      <c r="N36" s="1180"/>
      <c r="O36" s="1180"/>
      <c r="P36" s="1180"/>
      <c r="Q36" s="1180"/>
      <c r="R36" s="1180"/>
      <c r="S36" s="1180"/>
      <c r="T36" s="1180"/>
      <c r="U36" s="1180"/>
      <c r="V36" s="1180"/>
      <c r="W36" s="1180"/>
      <c r="X36" s="1180"/>
    </row>
    <row r="37" spans="1:24">
      <c r="A37" s="1180"/>
      <c r="B37" s="1180"/>
      <c r="C37" s="1180"/>
      <c r="D37" s="1180"/>
      <c r="E37" s="1180"/>
      <c r="F37" s="1180"/>
      <c r="G37" s="1180"/>
      <c r="H37" s="1180"/>
      <c r="I37" s="1180"/>
      <c r="J37" s="1180"/>
      <c r="K37" s="1180"/>
      <c r="L37" s="1180"/>
      <c r="M37" s="1180"/>
      <c r="N37" s="1180"/>
      <c r="O37" s="1180"/>
      <c r="P37" s="1180"/>
      <c r="Q37" s="1180"/>
      <c r="R37" s="1180"/>
      <c r="S37" s="1180"/>
      <c r="T37" s="1180"/>
      <c r="U37" s="1180"/>
      <c r="V37" s="1180"/>
      <c r="W37" s="1180"/>
      <c r="X37" s="1180"/>
    </row>
    <row r="38" spans="1:24">
      <c r="A38" s="1180"/>
      <c r="B38" s="1180"/>
      <c r="C38" s="1180"/>
      <c r="D38" s="1180"/>
      <c r="E38" s="1180"/>
      <c r="F38" s="1180"/>
      <c r="G38" s="1180"/>
      <c r="H38" s="1180"/>
      <c r="I38" s="1180"/>
      <c r="J38" s="1180"/>
      <c r="K38" s="1180"/>
      <c r="L38" s="1180"/>
      <c r="M38" s="1180"/>
      <c r="N38" s="1180"/>
      <c r="O38" s="1180"/>
      <c r="P38" s="1180"/>
      <c r="Q38" s="1180"/>
      <c r="R38" s="1180"/>
      <c r="S38" s="1180"/>
      <c r="T38" s="1180"/>
      <c r="U38" s="1180"/>
      <c r="V38" s="1180"/>
      <c r="W38" s="1180"/>
      <c r="X38" s="1180"/>
    </row>
    <row r="39" spans="1:24">
      <c r="A39" s="1180"/>
      <c r="B39" s="1180"/>
      <c r="C39" s="1180"/>
      <c r="D39" s="1180"/>
      <c r="E39" s="1180"/>
      <c r="F39" s="1180"/>
      <c r="G39" s="1180"/>
      <c r="H39" s="1180"/>
      <c r="I39" s="1180"/>
      <c r="J39" s="1180"/>
      <c r="K39" s="1180"/>
      <c r="L39" s="1180"/>
      <c r="M39" s="1180"/>
      <c r="N39" s="1180"/>
      <c r="O39" s="1180"/>
      <c r="P39" s="1180"/>
      <c r="Q39" s="1180"/>
      <c r="R39" s="1180"/>
      <c r="S39" s="1180"/>
      <c r="T39" s="1180"/>
      <c r="U39" s="1180"/>
      <c r="V39" s="1180"/>
      <c r="W39" s="1180"/>
      <c r="X39" s="1180"/>
    </row>
    <row r="40" spans="1:24">
      <c r="A40" s="1180"/>
      <c r="B40" s="1180"/>
      <c r="C40" s="1180"/>
      <c r="D40" s="1180"/>
      <c r="E40" s="1180"/>
      <c r="F40" s="1180"/>
      <c r="G40" s="1180"/>
      <c r="H40" s="1180"/>
      <c r="I40" s="1180"/>
      <c r="J40" s="1180"/>
      <c r="K40" s="1180"/>
      <c r="L40" s="1180"/>
      <c r="M40" s="1180"/>
      <c r="N40" s="1180"/>
      <c r="O40" s="1180"/>
      <c r="P40" s="1180"/>
      <c r="Q40" s="1180"/>
      <c r="R40" s="1180"/>
      <c r="S40" s="1180"/>
      <c r="T40" s="1180"/>
      <c r="U40" s="1180"/>
      <c r="V40" s="1180"/>
      <c r="W40" s="1180"/>
      <c r="X40" s="1180"/>
    </row>
    <row r="41" spans="1:24">
      <c r="A41" s="1180"/>
      <c r="B41" s="1180"/>
      <c r="C41" s="1180"/>
      <c r="D41" s="1180"/>
      <c r="E41" s="1180"/>
      <c r="F41" s="1180"/>
      <c r="G41" s="1180"/>
      <c r="H41" s="1180"/>
      <c r="I41" s="1180"/>
      <c r="J41" s="1180"/>
      <c r="K41" s="1180"/>
      <c r="L41" s="1180"/>
      <c r="M41" s="1180"/>
      <c r="N41" s="1180"/>
      <c r="O41" s="1180"/>
      <c r="P41" s="1180"/>
      <c r="Q41" s="1180"/>
      <c r="R41" s="1180"/>
      <c r="S41" s="1180"/>
      <c r="T41" s="1180"/>
      <c r="U41" s="1180"/>
      <c r="V41" s="1180"/>
      <c r="W41" s="1180"/>
      <c r="X41" s="1180"/>
    </row>
    <row r="42" spans="1:24">
      <c r="A42" s="1180"/>
      <c r="B42" s="1180"/>
      <c r="C42" s="1180"/>
      <c r="D42" s="1180"/>
      <c r="E42" s="1180"/>
      <c r="F42" s="1180"/>
      <c r="G42" s="1180"/>
      <c r="H42" s="1180"/>
      <c r="I42" s="1180"/>
      <c r="J42" s="1180"/>
      <c r="K42" s="1180"/>
      <c r="L42" s="1180"/>
      <c r="M42" s="1180"/>
      <c r="N42" s="1180"/>
      <c r="O42" s="1180"/>
      <c r="P42" s="1180"/>
      <c r="Q42" s="1180"/>
      <c r="R42" s="1180"/>
      <c r="S42" s="1180"/>
      <c r="T42" s="1180"/>
      <c r="U42" s="1180"/>
      <c r="V42" s="1180"/>
      <c r="W42" s="1180"/>
      <c r="X42" s="1180"/>
    </row>
    <row r="43" spans="1:24">
      <c r="A43" s="1180"/>
      <c r="B43" s="1180"/>
      <c r="C43" s="1180"/>
      <c r="D43" s="1180"/>
      <c r="E43" s="1180"/>
      <c r="F43" s="1180"/>
      <c r="G43" s="1180"/>
      <c r="H43" s="1180"/>
      <c r="I43" s="1180"/>
      <c r="J43" s="1180"/>
      <c r="K43" s="1180"/>
      <c r="L43" s="1629" t="str">
        <f>COMPANY</f>
        <v>DUKE ENERGY KENTUCKY, INC.</v>
      </c>
      <c r="M43" s="530"/>
      <c r="N43" s="530"/>
      <c r="O43" s="530"/>
      <c r="P43" s="530"/>
      <c r="Q43" s="530"/>
      <c r="R43" s="1629" t="s">
        <v>269</v>
      </c>
      <c r="S43" s="530"/>
      <c r="T43" s="1178"/>
      <c r="U43" s="1180"/>
      <c r="V43" s="1180"/>
      <c r="W43" s="1180"/>
      <c r="X43" s="1180"/>
    </row>
    <row r="44" spans="1:24">
      <c r="A44" s="1180"/>
      <c r="B44" s="1180"/>
      <c r="C44" s="1180"/>
      <c r="D44" s="1180"/>
      <c r="E44" s="1180"/>
      <c r="F44" s="1180"/>
      <c r="G44" s="1180"/>
      <c r="H44" s="1180"/>
      <c r="I44" s="1180"/>
      <c r="J44" s="1180"/>
      <c r="K44" s="1180"/>
      <c r="L44" s="1629" t="str">
        <f>DEPT</f>
        <v>ELECTRIC DEPARTMENT</v>
      </c>
      <c r="M44" s="530"/>
      <c r="N44" s="530"/>
      <c r="O44" s="530"/>
      <c r="P44" s="530"/>
      <c r="Q44" s="530"/>
      <c r="R44" s="1629" t="s">
        <v>1239</v>
      </c>
      <c r="S44" s="530"/>
      <c r="T44" s="1178"/>
      <c r="U44" s="1180"/>
      <c r="V44" s="1180"/>
      <c r="W44" s="1180"/>
      <c r="X44" s="1180"/>
    </row>
    <row r="45" spans="1:24">
      <c r="A45" s="1180"/>
      <c r="B45" s="1180"/>
      <c r="C45" s="1180"/>
      <c r="D45" s="1180"/>
      <c r="E45" s="1180"/>
      <c r="F45" s="1180"/>
      <c r="G45" s="1180"/>
      <c r="H45" s="1180"/>
      <c r="I45" s="1180"/>
      <c r="J45" s="1180"/>
      <c r="K45" s="1180"/>
      <c r="L45" s="1629" t="str">
        <f>CASE</f>
        <v>CASE NO. 2017-00321</v>
      </c>
      <c r="M45" s="530"/>
      <c r="N45" s="530"/>
      <c r="O45" s="530"/>
      <c r="P45" s="530"/>
      <c r="Q45" s="530"/>
      <c r="R45" s="530" t="str">
        <f>_WIT10</f>
        <v>R. H. PRATT</v>
      </c>
      <c r="S45" s="530"/>
      <c r="T45" s="1178"/>
      <c r="U45" s="1180"/>
      <c r="V45" s="1180"/>
      <c r="W45" s="1180"/>
      <c r="X45" s="1180"/>
    </row>
    <row r="46" spans="1:24">
      <c r="A46" s="1180"/>
      <c r="B46" s="1180"/>
      <c r="C46" s="1180"/>
      <c r="D46" s="1180"/>
      <c r="E46" s="1180"/>
      <c r="F46" s="1180"/>
      <c r="G46" s="1180"/>
      <c r="H46" s="1180"/>
      <c r="I46" s="1180"/>
      <c r="J46" s="1180"/>
      <c r="K46" s="1180"/>
      <c r="L46" s="1629" t="s">
        <v>501</v>
      </c>
      <c r="M46" s="530"/>
      <c r="N46" s="530"/>
      <c r="O46" s="530"/>
      <c r="P46" s="530"/>
      <c r="Q46" s="530"/>
      <c r="R46" s="2107"/>
      <c r="S46" s="530"/>
      <c r="T46" s="1178"/>
      <c r="U46" s="1180"/>
      <c r="V46" s="1180"/>
      <c r="W46" s="1180"/>
      <c r="X46" s="1180"/>
    </row>
    <row r="47" spans="1:24">
      <c r="A47" s="1180"/>
      <c r="B47" s="1180"/>
      <c r="C47" s="1180"/>
      <c r="D47" s="1180"/>
      <c r="E47" s="1180"/>
      <c r="F47" s="1180"/>
      <c r="G47" s="1180"/>
      <c r="H47" s="1180"/>
      <c r="I47" s="1180"/>
      <c r="J47" s="1180"/>
      <c r="K47" s="1180"/>
      <c r="L47" s="1629"/>
      <c r="M47" s="530"/>
      <c r="N47" s="530"/>
      <c r="O47" s="530"/>
      <c r="P47" s="530"/>
      <c r="Q47" s="530"/>
      <c r="R47" s="530"/>
      <c r="S47" s="530"/>
      <c r="T47" s="1178"/>
      <c r="U47" s="1180"/>
      <c r="V47" s="1180"/>
      <c r="W47" s="1180"/>
      <c r="X47" s="1180"/>
    </row>
    <row r="48" spans="1:24">
      <c r="A48" s="1180"/>
      <c r="B48" s="1180"/>
      <c r="C48" s="1180"/>
      <c r="D48" s="1180"/>
      <c r="E48" s="1180"/>
      <c r="F48" s="1180"/>
      <c r="G48" s="1180"/>
      <c r="H48" s="1180"/>
      <c r="I48" s="1180"/>
      <c r="J48" s="1180"/>
      <c r="K48" s="1180"/>
      <c r="L48" s="1178"/>
      <c r="M48" s="1178"/>
      <c r="N48" s="1178"/>
      <c r="O48" s="1178"/>
      <c r="P48" s="1178"/>
      <c r="Q48" s="1178"/>
      <c r="R48" s="1178"/>
      <c r="S48" s="1178"/>
      <c r="T48" s="1178"/>
      <c r="U48" s="1180"/>
      <c r="V48" s="1180"/>
      <c r="W48" s="1180"/>
      <c r="X48" s="1180"/>
    </row>
    <row r="49" spans="1:24">
      <c r="A49" s="1180"/>
      <c r="B49" s="1180"/>
      <c r="C49" s="1180"/>
      <c r="D49" s="1180"/>
      <c r="E49" s="1180"/>
      <c r="F49" s="1180"/>
      <c r="G49" s="1180"/>
      <c r="H49" s="1180"/>
      <c r="I49" s="1180"/>
      <c r="J49" s="1180"/>
      <c r="K49" s="1180"/>
      <c r="L49" s="1178"/>
      <c r="M49" s="1178"/>
      <c r="N49" s="1178"/>
      <c r="O49" s="1178"/>
      <c r="P49" s="1178"/>
      <c r="Q49" s="1178"/>
      <c r="R49" s="1178"/>
      <c r="S49" s="1178"/>
      <c r="T49" s="1178"/>
      <c r="U49" s="1180"/>
      <c r="V49" s="1180"/>
      <c r="W49" s="1180"/>
      <c r="X49" s="1180"/>
    </row>
    <row r="50" spans="1:24">
      <c r="A50" s="1180"/>
      <c r="B50" s="1180"/>
      <c r="C50" s="1180"/>
      <c r="D50" s="1180"/>
      <c r="E50" s="1180"/>
      <c r="F50" s="1180"/>
      <c r="G50" s="1180"/>
      <c r="H50" s="1180"/>
      <c r="I50" s="1180"/>
      <c r="J50" s="1180"/>
      <c r="K50" s="1180"/>
      <c r="L50" s="1423" t="s">
        <v>1240</v>
      </c>
      <c r="M50" s="1423"/>
      <c r="N50" s="1423"/>
      <c r="O50" s="1423"/>
      <c r="P50" s="1423" t="s">
        <v>1117</v>
      </c>
      <c r="Q50" s="1423"/>
      <c r="R50" s="1423" t="s">
        <v>626</v>
      </c>
      <c r="S50" s="1423"/>
      <c r="T50" s="1423"/>
      <c r="U50" s="1180"/>
      <c r="V50" s="1180"/>
      <c r="W50" s="1180"/>
      <c r="X50" s="1180"/>
    </row>
    <row r="51" spans="1:24">
      <c r="A51" s="1180"/>
      <c r="B51" s="1180"/>
      <c r="C51" s="1180"/>
      <c r="D51" s="1180"/>
      <c r="E51" s="1180"/>
      <c r="F51" s="1180"/>
      <c r="G51" s="1180"/>
      <c r="H51" s="1180"/>
      <c r="I51" s="1180"/>
      <c r="J51" s="1180"/>
      <c r="K51" s="1180"/>
      <c r="L51" s="1424" t="s">
        <v>1241</v>
      </c>
      <c r="M51" s="1424"/>
      <c r="N51" s="1424" t="s">
        <v>1119</v>
      </c>
      <c r="O51" s="1424"/>
      <c r="P51" s="1424" t="s">
        <v>1120</v>
      </c>
      <c r="Q51" s="1424"/>
      <c r="R51" s="1424" t="s">
        <v>1120</v>
      </c>
      <c r="S51" s="1424"/>
      <c r="T51" s="1424" t="s">
        <v>1242</v>
      </c>
      <c r="U51" s="1180"/>
      <c r="V51" s="1180"/>
      <c r="W51" s="1180"/>
      <c r="X51" s="1180"/>
    </row>
    <row r="52" spans="1:24">
      <c r="A52" s="1180"/>
      <c r="B52" s="1180"/>
      <c r="C52" s="1180"/>
      <c r="D52" s="1180"/>
      <c r="E52" s="1180"/>
      <c r="F52" s="1180"/>
      <c r="G52" s="1180"/>
      <c r="H52" s="1180"/>
      <c r="I52" s="1180"/>
      <c r="J52" s="1180"/>
      <c r="K52" s="1180"/>
      <c r="L52" s="1178"/>
      <c r="M52" s="1178"/>
      <c r="N52" s="1178"/>
      <c r="O52" s="1178"/>
      <c r="P52" s="1178"/>
      <c r="Q52" s="1178"/>
      <c r="R52" s="1178"/>
      <c r="S52" s="1178"/>
      <c r="T52" s="1178"/>
      <c r="U52" s="1180"/>
      <c r="V52" s="1180"/>
      <c r="W52" s="1180"/>
      <c r="X52" s="1180"/>
    </row>
    <row r="53" spans="1:24" ht="13.5" thickBot="1">
      <c r="A53" s="1180"/>
      <c r="B53" s="1180"/>
      <c r="C53" s="1180"/>
      <c r="D53" s="1180"/>
      <c r="E53" s="1180"/>
      <c r="F53" s="1180"/>
      <c r="G53" s="1180"/>
      <c r="H53" s="1180"/>
      <c r="I53" s="1180"/>
      <c r="J53" s="1180"/>
      <c r="K53" s="1180"/>
      <c r="L53" s="1423">
        <v>1</v>
      </c>
      <c r="M53" s="1178"/>
      <c r="N53" s="1179" t="s">
        <v>502</v>
      </c>
      <c r="O53" s="1178"/>
      <c r="P53" s="2275">
        <f>SCH_C2!E35</f>
        <v>20406967</v>
      </c>
      <c r="Q53" s="1178"/>
      <c r="R53" s="2275">
        <f ca="1">SCH_C2!H35</f>
        <v>18909843</v>
      </c>
      <c r="S53" s="1178"/>
      <c r="T53" s="2275">
        <f ca="1">R53-P53</f>
        <v>-1497124</v>
      </c>
      <c r="U53" s="1180"/>
      <c r="V53" s="1180"/>
      <c r="W53" s="1180"/>
      <c r="X53" s="1180"/>
    </row>
    <row r="54" spans="1:24" ht="13.5" thickTop="1">
      <c r="A54" s="1180"/>
      <c r="B54" s="1180"/>
      <c r="C54" s="1180"/>
      <c r="D54" s="1180"/>
      <c r="E54" s="1180"/>
      <c r="F54" s="1180"/>
      <c r="G54" s="1180"/>
      <c r="H54" s="1180"/>
      <c r="I54" s="1180"/>
      <c r="J54" s="1180"/>
      <c r="K54" s="1180"/>
      <c r="L54" s="1423"/>
      <c r="M54" s="1178"/>
      <c r="N54" s="1178"/>
      <c r="O54" s="1178"/>
      <c r="P54" s="1178"/>
      <c r="Q54" s="1178"/>
      <c r="R54" s="1178"/>
      <c r="S54" s="1178"/>
      <c r="T54" s="1178"/>
      <c r="U54" s="1180"/>
      <c r="V54" s="1180"/>
      <c r="W54" s="1180"/>
      <c r="X54" s="1180"/>
    </row>
    <row r="55" spans="1:24">
      <c r="A55" s="1180"/>
      <c r="B55" s="1180"/>
      <c r="C55" s="1180"/>
      <c r="D55" s="1180"/>
      <c r="E55" s="1180"/>
      <c r="F55" s="1180"/>
      <c r="G55" s="1180"/>
      <c r="H55" s="1180"/>
      <c r="I55" s="1180"/>
      <c r="J55" s="1180"/>
      <c r="K55" s="1180"/>
      <c r="L55" s="1178"/>
      <c r="M55" s="1178"/>
      <c r="N55" s="1178"/>
      <c r="O55" s="1178"/>
      <c r="P55" s="1178"/>
      <c r="Q55" s="1178"/>
      <c r="R55" s="1178"/>
      <c r="S55" s="1178"/>
      <c r="T55" s="1178"/>
      <c r="U55" s="1180"/>
      <c r="V55" s="1180"/>
      <c r="W55" s="1180"/>
      <c r="X55" s="1180"/>
    </row>
    <row r="56" spans="1:24">
      <c r="A56" s="1180"/>
      <c r="B56" s="1180"/>
      <c r="C56" s="1180"/>
      <c r="D56" s="1180"/>
      <c r="E56" s="1180"/>
      <c r="F56" s="1180"/>
      <c r="G56" s="1180"/>
      <c r="H56" s="1180"/>
      <c r="I56" s="1180"/>
      <c r="J56" s="1180"/>
      <c r="K56" s="1180"/>
      <c r="L56" s="1178"/>
      <c r="M56" s="1178"/>
      <c r="N56" s="1178"/>
      <c r="O56" s="1178"/>
      <c r="P56" s="1178"/>
      <c r="Q56" s="1178"/>
      <c r="R56" s="1178"/>
      <c r="S56" s="1178"/>
      <c r="T56" s="1178"/>
      <c r="U56" s="1180"/>
      <c r="V56" s="1180"/>
      <c r="W56" s="1180"/>
      <c r="X56" s="1180"/>
    </row>
    <row r="57" spans="1:24">
      <c r="A57" s="1180"/>
      <c r="B57" s="1180"/>
      <c r="C57" s="1180"/>
      <c r="D57" s="1180"/>
      <c r="E57" s="1180"/>
      <c r="F57" s="1180"/>
      <c r="G57" s="1180"/>
      <c r="H57" s="1180"/>
      <c r="I57" s="1180"/>
      <c r="J57" s="1180"/>
      <c r="K57" s="1180"/>
      <c r="L57" s="1178"/>
      <c r="M57" s="1178"/>
      <c r="N57" s="1178"/>
      <c r="O57" s="1178"/>
      <c r="P57" s="1178"/>
      <c r="Q57" s="1178"/>
      <c r="R57" s="1178"/>
      <c r="S57" s="1178"/>
      <c r="T57" s="1423" t="s">
        <v>1244</v>
      </c>
      <c r="U57" s="1180"/>
      <c r="V57" s="1180"/>
      <c r="W57" s="1180"/>
      <c r="X57" s="1180"/>
    </row>
    <row r="58" spans="1:24">
      <c r="A58" s="1180"/>
      <c r="B58" s="1180"/>
      <c r="C58" s="1180"/>
      <c r="D58" s="1180"/>
      <c r="E58" s="1180"/>
      <c r="F58" s="1180"/>
      <c r="G58" s="1180"/>
      <c r="H58" s="1180"/>
      <c r="I58" s="1180"/>
      <c r="J58" s="1180"/>
      <c r="K58" s="1180"/>
      <c r="L58" s="1180"/>
      <c r="M58" s="1180"/>
      <c r="N58" s="1180"/>
      <c r="O58" s="1180"/>
      <c r="P58" s="1180"/>
      <c r="Q58" s="1180"/>
      <c r="R58" s="1180"/>
      <c r="S58" s="1180"/>
      <c r="T58" s="1180"/>
      <c r="U58" s="1180"/>
      <c r="V58" s="1180"/>
      <c r="W58" s="1180"/>
      <c r="X58" s="1180"/>
    </row>
    <row r="59" spans="1:24">
      <c r="A59" s="1180"/>
      <c r="B59" s="1180"/>
      <c r="C59" s="1180"/>
      <c r="D59" s="1180"/>
      <c r="E59" s="1180"/>
      <c r="F59" s="1180"/>
      <c r="G59" s="1180"/>
      <c r="H59" s="1180"/>
      <c r="I59" s="1180"/>
      <c r="J59" s="1180"/>
      <c r="K59" s="1180"/>
      <c r="L59" s="1180"/>
      <c r="M59" s="1180"/>
      <c r="N59" s="1180"/>
      <c r="O59" s="1180"/>
      <c r="P59" s="1180"/>
      <c r="Q59" s="1180"/>
      <c r="R59" s="1180"/>
      <c r="S59" s="1180"/>
      <c r="T59" s="1180"/>
      <c r="U59" s="1180"/>
      <c r="V59" s="1180"/>
      <c r="W59" s="1180"/>
      <c r="X59" s="1180"/>
    </row>
    <row r="60" spans="1:24">
      <c r="A60" s="1180"/>
      <c r="B60" s="1180"/>
      <c r="C60" s="1180"/>
      <c r="D60" s="1180"/>
      <c r="E60" s="1180"/>
      <c r="F60" s="1180"/>
      <c r="G60" s="1180"/>
      <c r="H60" s="1180"/>
      <c r="I60" s="1180"/>
      <c r="J60" s="1180"/>
      <c r="K60" s="1180"/>
      <c r="L60" s="1180"/>
      <c r="M60" s="1180"/>
      <c r="N60" s="1180"/>
      <c r="O60" s="1180"/>
      <c r="P60" s="1180"/>
      <c r="Q60" s="1180"/>
      <c r="R60" s="2370"/>
      <c r="S60" s="1180"/>
      <c r="T60" s="1180"/>
      <c r="U60" s="1180"/>
      <c r="V60" s="1180"/>
      <c r="W60" s="1180"/>
      <c r="X60" s="1180"/>
    </row>
    <row r="61" spans="1:24">
      <c r="A61" s="1180"/>
      <c r="B61" s="1180"/>
      <c r="C61" s="1180"/>
      <c r="D61" s="1180"/>
      <c r="E61" s="1180"/>
      <c r="F61" s="1180"/>
      <c r="G61" s="1180"/>
      <c r="H61" s="1180"/>
      <c r="I61" s="1180"/>
      <c r="J61" s="1180"/>
      <c r="K61" s="1180"/>
      <c r="L61" s="1180"/>
      <c r="M61" s="1180"/>
      <c r="N61" s="1180"/>
      <c r="O61" s="1180"/>
      <c r="P61" s="1180"/>
      <c r="Q61" s="1180"/>
      <c r="R61" s="1180"/>
      <c r="S61" s="1180"/>
      <c r="T61" s="1180"/>
      <c r="U61" s="1180"/>
      <c r="V61" s="1180"/>
      <c r="W61" s="1180"/>
      <c r="X61" s="1180"/>
    </row>
    <row r="62" spans="1:24">
      <c r="A62" s="1180"/>
      <c r="B62" s="1180"/>
      <c r="C62" s="1180"/>
      <c r="D62" s="1180"/>
      <c r="E62" s="1180"/>
      <c r="F62" s="1180"/>
      <c r="G62" s="1180"/>
      <c r="H62" s="1180"/>
      <c r="I62" s="1180"/>
      <c r="J62" s="1180"/>
      <c r="K62" s="1180"/>
      <c r="L62" s="1180"/>
      <c r="M62" s="1180"/>
      <c r="N62" s="1180"/>
      <c r="O62" s="1180"/>
      <c r="P62" s="1180"/>
      <c r="Q62" s="1180"/>
      <c r="R62" s="1180"/>
      <c r="S62" s="1180"/>
      <c r="T62" s="1180"/>
      <c r="U62" s="1180"/>
      <c r="V62" s="1180"/>
      <c r="W62" s="1180"/>
      <c r="X62" s="1180"/>
    </row>
    <row r="63" spans="1:24">
      <c r="A63" s="1180"/>
      <c r="B63" s="1180"/>
      <c r="C63" s="1180"/>
      <c r="D63" s="1180"/>
      <c r="E63" s="1180"/>
      <c r="F63" s="1180"/>
      <c r="G63" s="1180"/>
      <c r="H63" s="1180"/>
      <c r="I63" s="1180"/>
      <c r="J63" s="1180"/>
      <c r="K63" s="1180"/>
      <c r="L63" s="1180"/>
      <c r="M63" s="1180"/>
      <c r="N63" s="1180"/>
      <c r="O63" s="1180"/>
      <c r="P63" s="1180"/>
      <c r="Q63" s="1180"/>
      <c r="R63" s="1180"/>
      <c r="S63" s="1180"/>
      <c r="T63" s="1180"/>
      <c r="U63" s="1180"/>
      <c r="V63" s="1180"/>
      <c r="W63" s="1180"/>
      <c r="X63" s="1180"/>
    </row>
    <row r="64" spans="1:24">
      <c r="A64" s="1180"/>
      <c r="B64" s="1180"/>
      <c r="C64" s="1180"/>
      <c r="D64" s="1180"/>
      <c r="E64" s="1180"/>
      <c r="F64" s="1180"/>
      <c r="G64" s="1180"/>
      <c r="H64" s="1180"/>
      <c r="I64" s="1180"/>
      <c r="J64" s="1180"/>
      <c r="K64" s="1180"/>
      <c r="L64" s="1180"/>
      <c r="M64" s="1180"/>
      <c r="N64" s="1180"/>
      <c r="O64" s="1180"/>
      <c r="P64" s="1180"/>
      <c r="Q64" s="1180"/>
      <c r="R64" s="1180"/>
      <c r="S64" s="1180"/>
      <c r="T64" s="1180"/>
      <c r="U64" s="1180"/>
      <c r="V64" s="1180"/>
      <c r="W64" s="1180"/>
      <c r="X64" s="1180"/>
    </row>
    <row r="65" spans="1:24">
      <c r="A65" s="1180"/>
      <c r="B65" s="1180"/>
      <c r="C65" s="1180"/>
      <c r="D65" s="1180"/>
      <c r="E65" s="1180"/>
      <c r="F65" s="1180"/>
      <c r="G65" s="1180"/>
      <c r="H65" s="1180"/>
      <c r="I65" s="1180"/>
      <c r="J65" s="1180"/>
      <c r="K65" s="1180"/>
      <c r="L65" s="1180"/>
      <c r="M65" s="1180"/>
      <c r="N65" s="1180"/>
      <c r="O65" s="1180"/>
      <c r="P65" s="1180"/>
      <c r="Q65" s="1180"/>
      <c r="R65" s="1180"/>
      <c r="S65" s="1180"/>
      <c r="T65" s="1180"/>
      <c r="U65" s="1180"/>
      <c r="V65" s="1180"/>
      <c r="W65" s="1180"/>
      <c r="X65" s="1180"/>
    </row>
    <row r="66" spans="1:24">
      <c r="A66" s="1180"/>
      <c r="B66" s="1180"/>
      <c r="C66" s="1180"/>
      <c r="D66" s="1180"/>
      <c r="E66" s="1180"/>
      <c r="F66" s="1180"/>
      <c r="G66" s="1180"/>
      <c r="H66" s="1180"/>
      <c r="I66" s="1180"/>
      <c r="J66" s="1180"/>
      <c r="K66" s="1180"/>
      <c r="L66" s="1180"/>
      <c r="M66" s="1180"/>
      <c r="N66" s="1180"/>
      <c r="O66" s="1180"/>
      <c r="P66" s="1180"/>
      <c r="Q66" s="1180"/>
      <c r="R66" s="1180"/>
      <c r="S66" s="1180"/>
      <c r="T66" s="1180"/>
      <c r="U66" s="1180"/>
      <c r="V66" s="1180"/>
      <c r="W66" s="1180"/>
      <c r="X66" s="1180"/>
    </row>
    <row r="67" spans="1:24">
      <c r="A67" s="1180"/>
      <c r="B67" s="1180"/>
      <c r="C67" s="1180"/>
      <c r="D67" s="1180"/>
      <c r="E67" s="1180"/>
      <c r="F67" s="1180"/>
      <c r="G67" s="1180"/>
      <c r="H67" s="1180"/>
      <c r="I67" s="1180"/>
      <c r="J67" s="1180"/>
      <c r="K67" s="1180"/>
      <c r="L67" s="1180"/>
      <c r="M67" s="1180"/>
      <c r="N67" s="1180"/>
      <c r="O67" s="1180"/>
      <c r="P67" s="1180"/>
      <c r="Q67" s="1180"/>
      <c r="R67" s="1180"/>
      <c r="S67" s="1180"/>
      <c r="T67" s="1180"/>
      <c r="U67" s="1180"/>
      <c r="V67" s="1180"/>
      <c r="W67" s="1180"/>
      <c r="X67" s="1180"/>
    </row>
    <row r="68" spans="1:24">
      <c r="A68" s="1180"/>
      <c r="B68" s="1180"/>
      <c r="C68" s="1180"/>
      <c r="D68" s="1180"/>
      <c r="E68" s="1180"/>
      <c r="F68" s="1180"/>
      <c r="G68" s="1180"/>
      <c r="H68" s="1180"/>
      <c r="I68" s="1180"/>
      <c r="J68" s="1180"/>
      <c r="K68" s="1180"/>
      <c r="L68" s="1180"/>
      <c r="M68" s="1180"/>
      <c r="N68" s="1180"/>
      <c r="O68" s="1180"/>
      <c r="P68" s="1180"/>
      <c r="Q68" s="1180"/>
      <c r="R68" s="1180"/>
      <c r="S68" s="1180"/>
      <c r="T68" s="1180"/>
      <c r="U68" s="1180"/>
      <c r="V68" s="1180"/>
      <c r="W68" s="1180"/>
      <c r="X68" s="1180"/>
    </row>
    <row r="69" spans="1:24">
      <c r="A69" s="1180"/>
      <c r="B69" s="1180"/>
      <c r="C69" s="1180"/>
      <c r="D69" s="1180"/>
      <c r="E69" s="1180"/>
      <c r="F69" s="1180"/>
      <c r="G69" s="1180"/>
      <c r="H69" s="1180"/>
      <c r="I69" s="1180"/>
      <c r="J69" s="1180"/>
      <c r="K69" s="1180"/>
      <c r="L69" s="1180"/>
      <c r="M69" s="1180"/>
      <c r="N69" s="1180"/>
      <c r="O69" s="1180"/>
      <c r="P69" s="1180"/>
      <c r="Q69" s="1180"/>
      <c r="R69" s="1180"/>
      <c r="S69" s="1180"/>
      <c r="T69" s="1180"/>
      <c r="U69" s="1180"/>
      <c r="V69" s="1180"/>
      <c r="W69" s="1180"/>
      <c r="X69" s="1180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2">
    <tabColor rgb="FF00FF00"/>
  </sheetPr>
  <dimension ref="A1:Y217"/>
  <sheetViews>
    <sheetView tabSelected="1" view="pageLayout" topLeftCell="A163" zoomScaleNormal="80" workbookViewId="0">
      <selection activeCell="G1" sqref="G1"/>
    </sheetView>
  </sheetViews>
  <sheetFormatPr defaultColWidth="8.85546875" defaultRowHeight="12.75"/>
  <cols>
    <col min="1" max="1" width="16.5703125" style="18" customWidth="1"/>
    <col min="2" max="2" width="37.7109375" style="18" customWidth="1"/>
    <col min="3" max="8" width="15.7109375" style="18" customWidth="1"/>
    <col min="9" max="14" width="17" style="1376" customWidth="1"/>
    <col min="15" max="15" width="8.85546875" style="18"/>
    <col min="16" max="16" width="9.7109375" style="18" bestFit="1" customWidth="1"/>
    <col min="17" max="19" width="8.85546875" style="18"/>
    <col min="20" max="20" width="10" style="18" customWidth="1"/>
    <col min="21" max="16384" width="8.85546875" style="18"/>
  </cols>
  <sheetData>
    <row r="1" spans="1:21" ht="13.5" thickBot="1">
      <c r="A1" s="2786" t="s">
        <v>2440</v>
      </c>
      <c r="B1" s="2786" t="s">
        <v>2441</v>
      </c>
      <c r="C1" s="1547">
        <f>LOGO!I7</f>
        <v>42735</v>
      </c>
      <c r="D1" s="1547">
        <f>LOGO!I8</f>
        <v>42766</v>
      </c>
      <c r="E1" s="1547">
        <f>LOGO!I9</f>
        <v>42794</v>
      </c>
      <c r="F1" s="1547">
        <f>LOGO!I10</f>
        <v>42825</v>
      </c>
      <c r="G1" s="1547">
        <f>LOGO!I11</f>
        <v>42855</v>
      </c>
      <c r="H1" s="1547">
        <f>LOGO!I12</f>
        <v>42886</v>
      </c>
      <c r="I1" s="1547">
        <f>LOGO!I13</f>
        <v>42916</v>
      </c>
      <c r="J1" s="1547">
        <f>LOGO!I14</f>
        <v>42947</v>
      </c>
      <c r="K1" s="1547">
        <f>LOGO!I15</f>
        <v>42978</v>
      </c>
      <c r="L1" s="1547">
        <f>LOGO!I16</f>
        <v>43008</v>
      </c>
      <c r="M1" s="1547">
        <f>LOGO!I17</f>
        <v>43039</v>
      </c>
      <c r="N1" s="1547">
        <f>LOGO!I18</f>
        <v>43069</v>
      </c>
    </row>
    <row r="2" spans="1:21">
      <c r="A2" s="2787">
        <v>403002</v>
      </c>
      <c r="B2" s="2784" t="s">
        <v>1989</v>
      </c>
      <c r="C2" s="2742">
        <v>2537047</v>
      </c>
      <c r="D2" s="2743">
        <v>2524945</v>
      </c>
      <c r="E2" s="2751">
        <v>2519867</v>
      </c>
      <c r="F2" s="2742">
        <v>2508876</v>
      </c>
      <c r="G2" s="2743">
        <v>2512947</v>
      </c>
      <c r="H2" s="2744">
        <v>2514502</v>
      </c>
      <c r="I2" s="2744">
        <v>3124053</v>
      </c>
      <c r="J2" s="2744">
        <v>3173848</v>
      </c>
      <c r="K2" s="2744">
        <v>3137956</v>
      </c>
      <c r="L2" s="2744">
        <v>3122944</v>
      </c>
      <c r="M2" s="2744">
        <v>3182896</v>
      </c>
      <c r="N2" s="2744">
        <v>3197981</v>
      </c>
      <c r="P2" s="1347"/>
      <c r="Q2" s="1347"/>
      <c r="R2" s="1347"/>
      <c r="S2" s="1347"/>
      <c r="T2" s="1347"/>
      <c r="U2" s="1347"/>
    </row>
    <row r="3" spans="1:21">
      <c r="A3" s="2787">
        <v>403151</v>
      </c>
      <c r="B3" s="2784" t="s">
        <v>1990</v>
      </c>
      <c r="C3" s="2745">
        <v>0</v>
      </c>
      <c r="D3" s="2746"/>
      <c r="E3" s="2751"/>
      <c r="F3" s="2745">
        <v>0</v>
      </c>
      <c r="G3" s="2746"/>
      <c r="H3" s="2744"/>
      <c r="I3" s="2744">
        <v>0</v>
      </c>
      <c r="J3" s="2744">
        <v>0</v>
      </c>
      <c r="K3" s="2744">
        <v>0</v>
      </c>
      <c r="L3" s="2744">
        <v>0</v>
      </c>
      <c r="M3" s="2744">
        <v>0</v>
      </c>
      <c r="N3" s="2744">
        <v>0</v>
      </c>
      <c r="P3" s="1347"/>
      <c r="Q3" s="1347"/>
      <c r="R3" s="1347"/>
      <c r="S3" s="1347"/>
      <c r="T3" s="1347"/>
      <c r="U3" s="1347"/>
    </row>
    <row r="4" spans="1:21">
      <c r="A4" s="2788">
        <v>404000</v>
      </c>
      <c r="B4" s="2789" t="s">
        <v>1187</v>
      </c>
      <c r="C4" s="2747">
        <v>0</v>
      </c>
      <c r="D4" s="2746">
        <v>0</v>
      </c>
      <c r="E4" s="2751">
        <v>0</v>
      </c>
      <c r="F4" s="2747">
        <v>0</v>
      </c>
      <c r="G4" s="2746">
        <v>0</v>
      </c>
      <c r="H4" s="2748">
        <v>0</v>
      </c>
      <c r="I4" s="2748">
        <v>0</v>
      </c>
      <c r="J4" s="2748">
        <v>0</v>
      </c>
      <c r="K4" s="2748">
        <v>0</v>
      </c>
      <c r="L4" s="2748">
        <v>0</v>
      </c>
      <c r="M4" s="2748">
        <v>0</v>
      </c>
      <c r="N4" s="2748">
        <v>0</v>
      </c>
      <c r="P4" s="1347"/>
      <c r="Q4" s="1347"/>
      <c r="R4" s="1347"/>
      <c r="S4" s="1347"/>
      <c r="T4" s="1347"/>
      <c r="U4" s="1347"/>
    </row>
    <row r="5" spans="1:21">
      <c r="A5" s="2787">
        <v>404200</v>
      </c>
      <c r="B5" s="2784" t="s">
        <v>1991</v>
      </c>
      <c r="C5" s="2745">
        <v>-122995</v>
      </c>
      <c r="D5" s="2746">
        <v>185846</v>
      </c>
      <c r="E5" s="2751">
        <v>184652</v>
      </c>
      <c r="F5" s="2745">
        <v>186401</v>
      </c>
      <c r="G5" s="2746">
        <v>187333</v>
      </c>
      <c r="H5" s="2744">
        <v>187661</v>
      </c>
      <c r="I5" s="2744">
        <v>82841</v>
      </c>
      <c r="J5" s="2744">
        <v>84651</v>
      </c>
      <c r="K5" s="2744">
        <v>84651</v>
      </c>
      <c r="L5" s="2744">
        <v>84651</v>
      </c>
      <c r="M5" s="2744">
        <v>86188</v>
      </c>
      <c r="N5" s="2744">
        <v>86188</v>
      </c>
      <c r="P5" s="1347"/>
      <c r="Q5" s="1347"/>
      <c r="R5" s="1347"/>
      <c r="S5" s="1347"/>
      <c r="T5" s="1347"/>
      <c r="U5" s="1347"/>
    </row>
    <row r="6" spans="1:21">
      <c r="A6" s="2787">
        <v>407354</v>
      </c>
      <c r="B6" s="2784" t="s">
        <v>1992</v>
      </c>
      <c r="C6" s="2745">
        <v>-73896</v>
      </c>
      <c r="D6" s="2746">
        <v>281236</v>
      </c>
      <c r="E6" s="2751">
        <v>-75145</v>
      </c>
      <c r="F6" s="2745">
        <v>-442920</v>
      </c>
      <c r="G6" s="2746">
        <v>-1079095</v>
      </c>
      <c r="H6" s="2744">
        <v>-676669</v>
      </c>
      <c r="I6" s="2744">
        <v>5100</v>
      </c>
      <c r="J6" s="2744">
        <v>5100</v>
      </c>
      <c r="K6" s="2744">
        <v>5100</v>
      </c>
      <c r="L6" s="2744">
        <v>5100</v>
      </c>
      <c r="M6" s="2744">
        <v>5100</v>
      </c>
      <c r="N6" s="2744">
        <v>5100</v>
      </c>
      <c r="P6" s="1347"/>
      <c r="Q6" s="1347"/>
      <c r="R6" s="1347"/>
      <c r="S6" s="1347"/>
      <c r="T6" s="1347"/>
      <c r="U6" s="1347"/>
    </row>
    <row r="7" spans="1:21">
      <c r="A7" s="2787">
        <v>407407</v>
      </c>
      <c r="B7" s="2784" t="s">
        <v>1993</v>
      </c>
      <c r="C7" s="2745">
        <v>-111055</v>
      </c>
      <c r="D7" s="2746">
        <v>-115015</v>
      </c>
      <c r="E7" s="2751">
        <v>-118681</v>
      </c>
      <c r="F7" s="2745">
        <v>-123359</v>
      </c>
      <c r="G7" s="2746">
        <v>-126528</v>
      </c>
      <c r="H7" s="2744">
        <v>-132578</v>
      </c>
      <c r="I7" s="2744">
        <v>0</v>
      </c>
      <c r="J7" s="2744">
        <v>0</v>
      </c>
      <c r="K7" s="2744">
        <v>0</v>
      </c>
      <c r="L7" s="2744">
        <v>0</v>
      </c>
      <c r="M7" s="2744">
        <v>0</v>
      </c>
      <c r="N7" s="2744">
        <v>0</v>
      </c>
      <c r="P7" s="1347"/>
      <c r="Q7" s="1347"/>
      <c r="R7" s="1347"/>
      <c r="S7" s="1347"/>
      <c r="T7" s="1347"/>
      <c r="U7" s="1347"/>
    </row>
    <row r="8" spans="1:21">
      <c r="A8" s="2790">
        <v>408040</v>
      </c>
      <c r="B8" s="2784" t="s">
        <v>2606</v>
      </c>
      <c r="C8" s="2749"/>
      <c r="D8" s="2746"/>
      <c r="E8" s="2751"/>
      <c r="F8" s="2749"/>
      <c r="G8" s="2746"/>
      <c r="H8" s="2750"/>
      <c r="I8" s="2744">
        <v>0</v>
      </c>
      <c r="J8" s="2744">
        <v>0</v>
      </c>
      <c r="K8" s="2744">
        <v>0</v>
      </c>
      <c r="L8" s="2744">
        <v>0</v>
      </c>
      <c r="M8" s="2744">
        <v>0</v>
      </c>
      <c r="N8" s="2744">
        <v>0</v>
      </c>
      <c r="P8" s="1347"/>
      <c r="Q8" s="1347"/>
      <c r="R8" s="1347"/>
      <c r="S8" s="1347"/>
      <c r="T8" s="1347"/>
      <c r="U8" s="1347"/>
    </row>
    <row r="9" spans="1:21">
      <c r="A9" s="2787">
        <v>408050</v>
      </c>
      <c r="B9" s="2784" t="s">
        <v>1994</v>
      </c>
      <c r="C9" s="2745"/>
      <c r="D9" s="2746">
        <v>1890</v>
      </c>
      <c r="E9" s="2751">
        <v>1890</v>
      </c>
      <c r="F9" s="2751">
        <v>1890</v>
      </c>
      <c r="G9" s="2751">
        <v>1890</v>
      </c>
      <c r="H9" s="2744">
        <v>1890</v>
      </c>
      <c r="I9" s="2744">
        <v>0</v>
      </c>
      <c r="J9" s="2744">
        <v>0</v>
      </c>
      <c r="K9" s="2744">
        <v>0</v>
      </c>
      <c r="L9" s="2744">
        <v>0</v>
      </c>
      <c r="M9" s="2744">
        <v>0</v>
      </c>
      <c r="N9" s="2744">
        <v>0</v>
      </c>
      <c r="P9" s="1347"/>
      <c r="Q9" s="1347"/>
      <c r="R9" s="1347"/>
      <c r="S9" s="1347"/>
      <c r="T9" s="1347"/>
      <c r="U9" s="1347"/>
    </row>
    <row r="10" spans="1:21">
      <c r="A10" s="2787">
        <v>408120</v>
      </c>
      <c r="B10" s="2784" t="s">
        <v>1995</v>
      </c>
      <c r="C10" s="2745"/>
      <c r="D10" s="2746"/>
      <c r="E10" s="2751"/>
      <c r="F10" s="2745"/>
      <c r="G10" s="2746"/>
      <c r="H10" s="2744"/>
      <c r="I10" s="2744">
        <v>0</v>
      </c>
      <c r="J10" s="2744">
        <v>0</v>
      </c>
      <c r="K10" s="2744">
        <v>0</v>
      </c>
      <c r="L10" s="2744">
        <v>0</v>
      </c>
      <c r="M10" s="2744">
        <v>0</v>
      </c>
      <c r="N10" s="2744">
        <v>0</v>
      </c>
      <c r="P10" s="1347"/>
      <c r="Q10" s="1347"/>
      <c r="R10" s="1347"/>
      <c r="S10" s="1347"/>
      <c r="T10" s="1347"/>
      <c r="U10" s="1347"/>
    </row>
    <row r="11" spans="1:21">
      <c r="A11" s="2787">
        <v>408121</v>
      </c>
      <c r="B11" s="2784" t="s">
        <v>1996</v>
      </c>
      <c r="C11" s="2745">
        <v>614919</v>
      </c>
      <c r="D11" s="2746">
        <v>725968</v>
      </c>
      <c r="E11" s="2751">
        <v>732101</v>
      </c>
      <c r="F11" s="2751">
        <v>732101</v>
      </c>
      <c r="G11" s="2751">
        <v>732101</v>
      </c>
      <c r="H11" s="2744">
        <v>732101</v>
      </c>
      <c r="I11" s="2744">
        <v>726161</v>
      </c>
      <c r="J11" s="2744">
        <v>726161</v>
      </c>
      <c r="K11" s="2744">
        <v>726161</v>
      </c>
      <c r="L11" s="2744">
        <v>726161</v>
      </c>
      <c r="M11" s="2744">
        <v>726161</v>
      </c>
      <c r="N11" s="2744">
        <v>726161</v>
      </c>
      <c r="P11" s="1347"/>
      <c r="Q11" s="1347"/>
      <c r="R11" s="1347"/>
      <c r="S11" s="1347"/>
      <c r="T11" s="1347"/>
      <c r="U11" s="1347"/>
    </row>
    <row r="12" spans="1:21">
      <c r="A12" s="2787">
        <v>408150</v>
      </c>
      <c r="B12" s="2784" t="s">
        <v>1997</v>
      </c>
      <c r="C12" s="2745">
        <v>338</v>
      </c>
      <c r="D12" s="2746">
        <v>11666</v>
      </c>
      <c r="E12" s="2751">
        <v>2265</v>
      </c>
      <c r="F12" s="2745">
        <v>-5033</v>
      </c>
      <c r="G12" s="2746">
        <v>118</v>
      </c>
      <c r="H12" s="2744">
        <v>76</v>
      </c>
      <c r="I12" s="2744">
        <v>0</v>
      </c>
      <c r="J12" s="2744">
        <v>0</v>
      </c>
      <c r="K12" s="2744">
        <v>0</v>
      </c>
      <c r="L12" s="2744">
        <v>0</v>
      </c>
      <c r="M12" s="2744">
        <v>0</v>
      </c>
      <c r="N12" s="2744">
        <v>0</v>
      </c>
      <c r="P12" s="1347"/>
      <c r="Q12" s="1347"/>
      <c r="R12" s="1347"/>
      <c r="S12" s="1347"/>
      <c r="T12" s="1347"/>
      <c r="U12" s="1347"/>
    </row>
    <row r="13" spans="1:21">
      <c r="A13" s="2787">
        <v>408151</v>
      </c>
      <c r="B13" s="2784" t="s">
        <v>1998</v>
      </c>
      <c r="C13" s="2745">
        <v>154</v>
      </c>
      <c r="D13" s="2746">
        <v>4078</v>
      </c>
      <c r="E13" s="2751">
        <v>-530</v>
      </c>
      <c r="F13" s="2745">
        <v>-757</v>
      </c>
      <c r="G13" s="2746">
        <v>948</v>
      </c>
      <c r="H13" s="2744">
        <v>956</v>
      </c>
      <c r="I13" s="2744">
        <v>0</v>
      </c>
      <c r="J13" s="2744">
        <v>0</v>
      </c>
      <c r="K13" s="2744">
        <v>0</v>
      </c>
      <c r="L13" s="2744">
        <v>0</v>
      </c>
      <c r="M13" s="2744">
        <v>0</v>
      </c>
      <c r="N13" s="2744">
        <v>0</v>
      </c>
      <c r="P13" s="1347"/>
      <c r="Q13" s="1347"/>
      <c r="R13" s="1347"/>
      <c r="S13" s="1347"/>
      <c r="T13" s="1347"/>
      <c r="U13" s="1347"/>
    </row>
    <row r="14" spans="1:21">
      <c r="A14" s="2787">
        <v>408152</v>
      </c>
      <c r="B14" s="2784" t="s">
        <v>1999</v>
      </c>
      <c r="C14" s="2745">
        <v>75800</v>
      </c>
      <c r="D14" s="2746">
        <v>82942</v>
      </c>
      <c r="E14" s="2751">
        <v>70849</v>
      </c>
      <c r="F14" s="2745">
        <v>96625</v>
      </c>
      <c r="G14" s="2746">
        <v>72094</v>
      </c>
      <c r="H14" s="2744">
        <v>85401</v>
      </c>
      <c r="I14" s="2744">
        <v>0</v>
      </c>
      <c r="J14" s="2744">
        <v>0</v>
      </c>
      <c r="K14" s="2744">
        <v>0</v>
      </c>
      <c r="L14" s="2744">
        <v>0</v>
      </c>
      <c r="M14" s="2744">
        <v>0</v>
      </c>
      <c r="N14" s="2744">
        <v>0</v>
      </c>
      <c r="P14" s="1347"/>
      <c r="Q14" s="1347"/>
      <c r="R14" s="1347"/>
      <c r="S14" s="1347"/>
      <c r="T14" s="1347"/>
      <c r="U14" s="1347"/>
    </row>
    <row r="15" spans="1:21">
      <c r="A15" s="2787">
        <v>408153</v>
      </c>
      <c r="B15" s="2784" t="s">
        <v>2665</v>
      </c>
      <c r="C15" s="2745"/>
      <c r="D15" s="2746"/>
      <c r="E15" s="2751">
        <v>3</v>
      </c>
      <c r="F15" s="2745"/>
      <c r="G15" s="2746"/>
      <c r="H15" s="2748">
        <v>0</v>
      </c>
      <c r="I15" s="2748"/>
      <c r="J15" s="2748"/>
      <c r="K15" s="2748"/>
      <c r="L15" s="2748"/>
      <c r="M15" s="2748"/>
      <c r="N15" s="2748"/>
      <c r="P15" s="1347"/>
      <c r="Q15" s="1347"/>
      <c r="R15" s="1347"/>
      <c r="S15" s="1347"/>
      <c r="T15" s="1347"/>
      <c r="U15" s="1347"/>
    </row>
    <row r="16" spans="1:21">
      <c r="A16" s="2787">
        <v>408205</v>
      </c>
      <c r="B16" s="2784" t="s">
        <v>2000</v>
      </c>
      <c r="C16" s="2745">
        <v>0</v>
      </c>
      <c r="D16" s="2746">
        <v>26</v>
      </c>
      <c r="E16" s="2751"/>
      <c r="F16" s="2745">
        <v>0</v>
      </c>
      <c r="G16" s="2746">
        <v>29</v>
      </c>
      <c r="H16" s="2744"/>
      <c r="I16" s="2744">
        <v>0</v>
      </c>
      <c r="J16" s="2744">
        <v>0</v>
      </c>
      <c r="K16" s="2744">
        <v>0</v>
      </c>
      <c r="L16" s="2744">
        <v>0</v>
      </c>
      <c r="M16" s="2744">
        <v>0</v>
      </c>
      <c r="N16" s="2744">
        <v>0</v>
      </c>
      <c r="P16" s="1347"/>
      <c r="Q16" s="1347"/>
      <c r="R16" s="1347"/>
      <c r="S16" s="1347"/>
      <c r="T16" s="1347"/>
      <c r="U16" s="1347"/>
    </row>
    <row r="17" spans="1:21">
      <c r="A17" s="2787">
        <v>408470</v>
      </c>
      <c r="B17" s="2784" t="s">
        <v>2489</v>
      </c>
      <c r="C17" s="2745">
        <v>24171</v>
      </c>
      <c r="D17" s="2746"/>
      <c r="E17" s="2751"/>
      <c r="F17" s="2745">
        <v>3407</v>
      </c>
      <c r="G17" s="2746"/>
      <c r="H17" s="2744">
        <v>2272</v>
      </c>
      <c r="I17" s="2744">
        <v>0</v>
      </c>
      <c r="J17" s="2744">
        <v>0</v>
      </c>
      <c r="K17" s="2744">
        <v>0</v>
      </c>
      <c r="L17" s="2744">
        <v>0</v>
      </c>
      <c r="M17" s="2744">
        <v>0</v>
      </c>
      <c r="N17" s="2744">
        <v>0</v>
      </c>
      <c r="P17" s="1347"/>
      <c r="Q17" s="1347"/>
      <c r="R17" s="1347"/>
      <c r="S17" s="1347"/>
      <c r="T17" s="1347"/>
      <c r="U17" s="1347"/>
    </row>
    <row r="18" spans="1:21">
      <c r="A18" s="2787">
        <v>408700</v>
      </c>
      <c r="B18" s="2784" t="s">
        <v>2001</v>
      </c>
      <c r="C18" s="2745">
        <v>5000</v>
      </c>
      <c r="D18" s="2746"/>
      <c r="E18" s="2751"/>
      <c r="F18" s="2745">
        <v>-15000</v>
      </c>
      <c r="G18" s="2746"/>
      <c r="H18" s="2744"/>
      <c r="I18" s="2744">
        <v>0</v>
      </c>
      <c r="J18" s="2744">
        <v>0</v>
      </c>
      <c r="K18" s="2744">
        <v>0</v>
      </c>
      <c r="L18" s="2744">
        <v>0</v>
      </c>
      <c r="M18" s="2744">
        <v>0</v>
      </c>
      <c r="N18" s="2744">
        <v>0</v>
      </c>
      <c r="P18" s="1347"/>
      <c r="Q18" s="1347"/>
      <c r="R18" s="1347"/>
      <c r="S18" s="1347"/>
      <c r="T18" s="1347"/>
      <c r="U18" s="1347"/>
    </row>
    <row r="19" spans="1:21">
      <c r="A19" s="2787">
        <v>408800</v>
      </c>
      <c r="B19" s="2784" t="s">
        <v>2002</v>
      </c>
      <c r="C19" s="2745"/>
      <c r="D19" s="2746">
        <v>3</v>
      </c>
      <c r="E19" s="2751"/>
      <c r="F19" s="2745">
        <v>1</v>
      </c>
      <c r="G19" s="2746">
        <v>0</v>
      </c>
      <c r="H19" s="2744"/>
      <c r="I19" s="2744">
        <v>0</v>
      </c>
      <c r="J19" s="2744">
        <v>0</v>
      </c>
      <c r="K19" s="2744">
        <v>0</v>
      </c>
      <c r="L19" s="2744">
        <v>0</v>
      </c>
      <c r="M19" s="2744">
        <v>0</v>
      </c>
      <c r="N19" s="2744">
        <v>0</v>
      </c>
      <c r="P19" s="1347"/>
      <c r="Q19" s="1347"/>
      <c r="R19" s="1347"/>
      <c r="S19" s="1347"/>
      <c r="T19" s="1347"/>
      <c r="U19" s="1347"/>
    </row>
    <row r="20" spans="1:21">
      <c r="A20" s="2787">
        <v>408851</v>
      </c>
      <c r="B20" s="2784" t="s">
        <v>2003</v>
      </c>
      <c r="C20" s="2745">
        <v>4</v>
      </c>
      <c r="D20" s="2746"/>
      <c r="E20" s="2751">
        <v>-1</v>
      </c>
      <c r="F20" s="2745">
        <v>0</v>
      </c>
      <c r="G20" s="2746">
        <v>-195</v>
      </c>
      <c r="H20" s="2744">
        <v>0</v>
      </c>
      <c r="I20" s="2744">
        <v>0</v>
      </c>
      <c r="J20" s="2744">
        <v>0</v>
      </c>
      <c r="K20" s="2744">
        <v>0</v>
      </c>
      <c r="L20" s="2744">
        <v>0</v>
      </c>
      <c r="M20" s="2744">
        <v>0</v>
      </c>
      <c r="N20" s="2744">
        <v>0</v>
      </c>
      <c r="P20" s="1347"/>
      <c r="Q20" s="1347"/>
      <c r="R20" s="1347"/>
      <c r="S20" s="1347"/>
      <c r="T20" s="1347"/>
      <c r="U20" s="1347"/>
    </row>
    <row r="21" spans="1:21">
      <c r="A21" s="2787">
        <v>408960</v>
      </c>
      <c r="B21" s="2784" t="s">
        <v>2004</v>
      </c>
      <c r="C21" s="2745">
        <v>148212</v>
      </c>
      <c r="D21" s="2746">
        <v>159781</v>
      </c>
      <c r="E21" s="2772">
        <v>83928</v>
      </c>
      <c r="F21" s="2752">
        <v>-68933</v>
      </c>
      <c r="G21" s="2753">
        <v>82143</v>
      </c>
      <c r="H21" s="2754">
        <v>80643</v>
      </c>
      <c r="I21" s="2754">
        <v>168235</v>
      </c>
      <c r="J21" s="2754">
        <v>167983</v>
      </c>
      <c r="K21" s="2754">
        <v>166305</v>
      </c>
      <c r="L21" s="2754">
        <f>192522+7</f>
        <v>192529</v>
      </c>
      <c r="M21" s="2754">
        <f>173504+7</f>
        <v>173511</v>
      </c>
      <c r="N21" s="2754">
        <f>167696+7</f>
        <v>167703</v>
      </c>
      <c r="P21" s="1347"/>
      <c r="Q21" s="1347"/>
      <c r="R21" s="1347"/>
      <c r="S21" s="1347"/>
      <c r="T21" s="1347"/>
      <c r="U21" s="1347"/>
    </row>
    <row r="22" spans="1:21">
      <c r="A22" s="2787">
        <v>409102</v>
      </c>
      <c r="B22" s="2784" t="s">
        <v>2005</v>
      </c>
      <c r="C22" s="2755">
        <f>ROUND(SCH_E1!$AH$287/12,0)</f>
        <v>-52908</v>
      </c>
      <c r="D22" s="2755">
        <f>ROUND(SCH_E1!$AH$287/12,0)</f>
        <v>-52908</v>
      </c>
      <c r="E22" s="2755">
        <f>ROUND(SCH_E1!$AH$287/12,0)</f>
        <v>-52908</v>
      </c>
      <c r="F22" s="2755">
        <f>ROUND(SCH_E1!$AH$287/12,0)</f>
        <v>-52908</v>
      </c>
      <c r="G22" s="2755">
        <f>ROUND(SCH_E1!$AH$287/12,0)</f>
        <v>-52908</v>
      </c>
      <c r="H22" s="2755">
        <f>ROUND(SCH_E1!$AH$287/12,0)</f>
        <v>-52908</v>
      </c>
      <c r="I22" s="2755">
        <f>ROUND(SCH_E1!$AH$287/12,0)</f>
        <v>-52908</v>
      </c>
      <c r="J22" s="2755">
        <f>ROUND(SCH_E1!$AH$287/12,0)</f>
        <v>-52908</v>
      </c>
      <c r="K22" s="2755">
        <f>ROUND(SCH_E1!$AH$287/12,0)</f>
        <v>-52908</v>
      </c>
      <c r="L22" s="2755">
        <f>ROUND(SCH_E1!$AH$287/12,0)</f>
        <v>-52908</v>
      </c>
      <c r="M22" s="2755">
        <f>ROUND(SCH_E1!$AH$287/12,0)</f>
        <v>-52908</v>
      </c>
      <c r="N22" s="2755">
        <f>ROUND(SCH_E1!$AH$287-SUM(C22:M22),0)</f>
        <v>-52904</v>
      </c>
      <c r="P22" s="1347"/>
      <c r="Q22" s="1347"/>
      <c r="R22" s="1347"/>
      <c r="S22" s="1347"/>
      <c r="T22" s="1347"/>
      <c r="U22" s="1347"/>
    </row>
    <row r="23" spans="1:21">
      <c r="A23" s="2787">
        <v>409104</v>
      </c>
      <c r="B23" s="2784" t="s">
        <v>2006</v>
      </c>
      <c r="C23" s="2745">
        <v>-546785</v>
      </c>
      <c r="D23" s="2746"/>
      <c r="E23" s="2773"/>
      <c r="F23" s="2742"/>
      <c r="G23" s="2756"/>
      <c r="H23" s="2757"/>
      <c r="I23" s="2757">
        <v>0</v>
      </c>
      <c r="J23" s="2757">
        <v>0</v>
      </c>
      <c r="K23" s="2757">
        <v>0</v>
      </c>
      <c r="L23" s="2757">
        <v>0</v>
      </c>
      <c r="M23" s="2757">
        <v>0</v>
      </c>
      <c r="N23" s="2757">
        <v>0</v>
      </c>
      <c r="P23" s="1347"/>
      <c r="Q23" s="1347"/>
      <c r="R23" s="1347"/>
      <c r="S23" s="1347"/>
      <c r="T23" s="1347"/>
      <c r="U23" s="1347"/>
    </row>
    <row r="24" spans="1:21">
      <c r="A24" s="2787">
        <v>409190</v>
      </c>
      <c r="B24" s="2784" t="s">
        <v>2007</v>
      </c>
      <c r="C24" s="2755">
        <f>ROUND(SCH_E1!$AH$297/12,0)</f>
        <v>-1644844</v>
      </c>
      <c r="D24" s="2755">
        <f>ROUND(SCH_E1!$AH$297/12,0)</f>
        <v>-1644844</v>
      </c>
      <c r="E24" s="2755">
        <f>ROUND(SCH_E1!$AH$297/12,0)</f>
        <v>-1644844</v>
      </c>
      <c r="F24" s="2755">
        <f>ROUND(SCH_E1!$AH$297/12,0)</f>
        <v>-1644844</v>
      </c>
      <c r="G24" s="2755">
        <f>ROUND(SCH_E1!$AH$297/12,0)</f>
        <v>-1644844</v>
      </c>
      <c r="H24" s="2755">
        <f>ROUND(SCH_E1!$AH$297/12,0)</f>
        <v>-1644844</v>
      </c>
      <c r="I24" s="2755">
        <f>ROUND(SCH_E1!$AH$297/12,0)</f>
        <v>-1644844</v>
      </c>
      <c r="J24" s="2755">
        <f>ROUND(SCH_E1!$AH$297/12,0)</f>
        <v>-1644844</v>
      </c>
      <c r="K24" s="2755">
        <f>ROUND(SCH_E1!$AH$297/12,0)</f>
        <v>-1644844</v>
      </c>
      <c r="L24" s="2755">
        <f>ROUND(SCH_E1!$AH$297/12,0)</f>
        <v>-1644844</v>
      </c>
      <c r="M24" s="2755">
        <f>ROUND(SCH_E1!$AH$297/12,0)</f>
        <v>-1644844</v>
      </c>
      <c r="N24" s="2755">
        <f>ROUND(SCH_E1!$AH$297-SUM(C24:M24),0)</f>
        <v>-1644845</v>
      </c>
      <c r="P24" s="1347"/>
      <c r="Q24" s="1347"/>
      <c r="R24" s="1347"/>
      <c r="S24" s="1347"/>
      <c r="T24" s="1347"/>
      <c r="U24" s="1347"/>
    </row>
    <row r="25" spans="1:21">
      <c r="A25" s="2787">
        <v>409191</v>
      </c>
      <c r="B25" s="2784" t="s">
        <v>2008</v>
      </c>
      <c r="C25" s="2745">
        <v>0</v>
      </c>
      <c r="D25" s="2746"/>
      <c r="E25" s="2751"/>
      <c r="F25" s="2745"/>
      <c r="G25" s="2746"/>
      <c r="H25" s="2744"/>
      <c r="I25" s="2744">
        <v>0</v>
      </c>
      <c r="J25" s="2744">
        <v>0</v>
      </c>
      <c r="K25" s="2744">
        <v>0</v>
      </c>
      <c r="L25" s="2744">
        <v>0</v>
      </c>
      <c r="M25" s="2744">
        <v>0</v>
      </c>
      <c r="N25" s="2744">
        <v>0</v>
      </c>
      <c r="P25" s="1347"/>
      <c r="Q25" s="1347"/>
      <c r="R25" s="1347"/>
      <c r="S25" s="1347"/>
      <c r="T25" s="1347"/>
      <c r="U25" s="1347"/>
    </row>
    <row r="26" spans="1:21">
      <c r="A26" s="2787">
        <v>409194</v>
      </c>
      <c r="B26" s="2784" t="s">
        <v>2009</v>
      </c>
      <c r="C26" s="2745">
        <v>-197047</v>
      </c>
      <c r="D26" s="2746"/>
      <c r="E26" s="2751"/>
      <c r="F26" s="2745"/>
      <c r="G26" s="2746"/>
      <c r="H26" s="2744"/>
      <c r="I26" s="2744">
        <v>0</v>
      </c>
      <c r="J26" s="2744">
        <v>0</v>
      </c>
      <c r="K26" s="2744">
        <v>0</v>
      </c>
      <c r="L26" s="2744">
        <v>0</v>
      </c>
      <c r="M26" s="2744">
        <v>0</v>
      </c>
      <c r="N26" s="2744">
        <v>0</v>
      </c>
      <c r="P26" s="1347"/>
      <c r="Q26" s="1347"/>
      <c r="R26" s="1347"/>
      <c r="S26" s="1347"/>
      <c r="T26" s="1347"/>
      <c r="U26" s="1347"/>
    </row>
    <row r="27" spans="1:21">
      <c r="A27" s="2787">
        <v>409195</v>
      </c>
      <c r="B27" s="2784" t="s">
        <v>2010</v>
      </c>
      <c r="C27" s="2745">
        <v>0</v>
      </c>
      <c r="D27" s="2746"/>
      <c r="E27" s="2751"/>
      <c r="F27" s="2745"/>
      <c r="G27" s="2746"/>
      <c r="H27" s="2744"/>
      <c r="I27" s="2744">
        <v>0</v>
      </c>
      <c r="J27" s="2744">
        <v>0</v>
      </c>
      <c r="K27" s="2744">
        <v>0</v>
      </c>
      <c r="L27" s="2744">
        <v>0</v>
      </c>
      <c r="M27" s="2744">
        <v>0</v>
      </c>
      <c r="N27" s="2744">
        <v>0</v>
      </c>
      <c r="P27" s="1347"/>
      <c r="Q27" s="1347"/>
      <c r="R27" s="1347"/>
      <c r="S27" s="1347"/>
      <c r="T27" s="1347"/>
      <c r="U27" s="1347"/>
    </row>
    <row r="28" spans="1:21">
      <c r="A28" s="2787">
        <v>409197</v>
      </c>
      <c r="B28" s="2784" t="s">
        <v>2543</v>
      </c>
      <c r="C28" s="2765">
        <v>562990</v>
      </c>
      <c r="D28" s="2766"/>
      <c r="E28" s="2772"/>
      <c r="F28" s="2752"/>
      <c r="G28" s="2758"/>
      <c r="H28" s="2759"/>
      <c r="I28" s="2759">
        <v>0</v>
      </c>
      <c r="J28" s="2759">
        <v>0</v>
      </c>
      <c r="K28" s="2759">
        <v>0</v>
      </c>
      <c r="L28" s="2759">
        <v>0</v>
      </c>
      <c r="M28" s="2759">
        <v>0</v>
      </c>
      <c r="N28" s="2759">
        <v>0</v>
      </c>
      <c r="P28" s="1347"/>
      <c r="Q28" s="1347"/>
      <c r="R28" s="1347"/>
      <c r="S28" s="1347"/>
      <c r="T28" s="1347"/>
      <c r="U28" s="1347"/>
    </row>
    <row r="29" spans="1:21">
      <c r="A29" s="2787">
        <v>410100</v>
      </c>
      <c r="B29" s="2784" t="s">
        <v>2011</v>
      </c>
      <c r="C29" s="2755">
        <f>ROUND((SCH_E1!$G$123+SCH_E1!$G$124)/12,0)</f>
        <v>2907670</v>
      </c>
      <c r="D29" s="2755">
        <f>ROUND((SCH_E1!$G$123+SCH_E1!$G$124)/12,0)</f>
        <v>2907670</v>
      </c>
      <c r="E29" s="2755">
        <f>ROUND((SCH_E1!$G$123+SCH_E1!$G$124)/12,0)</f>
        <v>2907670</v>
      </c>
      <c r="F29" s="2755">
        <f>ROUND((SCH_E1!$G$123+SCH_E1!$G$124)/12,0)</f>
        <v>2907670</v>
      </c>
      <c r="G29" s="2755">
        <f>ROUND((SCH_E1!$G$123+SCH_E1!$G$124)/12,0)</f>
        <v>2907670</v>
      </c>
      <c r="H29" s="2755">
        <f>ROUND((SCH_E1!$G$123+SCH_E1!$G$124)/12,0)</f>
        <v>2907670</v>
      </c>
      <c r="I29" s="2755">
        <f>ROUND((SCH_E1!$G$123+SCH_E1!$G$124)/12,0)</f>
        <v>2907670</v>
      </c>
      <c r="J29" s="2755">
        <f>ROUND((SCH_E1!$G$123+SCH_E1!$G$124)/12,0)</f>
        <v>2907670</v>
      </c>
      <c r="K29" s="2755">
        <f>ROUND((SCH_E1!$G$123+SCH_E1!$G$124)/12,0)</f>
        <v>2907670</v>
      </c>
      <c r="L29" s="2755">
        <f>ROUND((SCH_E1!$G$123+SCH_E1!$G$124)/12,0)</f>
        <v>2907670</v>
      </c>
      <c r="M29" s="2755">
        <f>ROUND((SCH_E1!$G$123+SCH_E1!$G$124)/12,0)</f>
        <v>2907670</v>
      </c>
      <c r="N29" s="2755">
        <f>ROUND((SCH_E1!$G$123+SCH_E1!$G$124)-SUM(C29:M29),0)</f>
        <v>2907673</v>
      </c>
      <c r="P29" s="1347"/>
      <c r="Q29" s="1347"/>
      <c r="R29" s="1347"/>
      <c r="S29" s="1347"/>
      <c r="T29" s="1347"/>
      <c r="U29" s="1347"/>
    </row>
    <row r="30" spans="1:21">
      <c r="A30" s="2787">
        <v>410102</v>
      </c>
      <c r="B30" s="2784" t="s">
        <v>2012</v>
      </c>
      <c r="C30" s="2755">
        <f>ROUND((SCH_E1!$G$104+SCH_E1!$G$105)/12,0)</f>
        <v>265871</v>
      </c>
      <c r="D30" s="2755">
        <f>ROUND((SCH_E1!$G$104+SCH_E1!$G$105)/12,0)</f>
        <v>265871</v>
      </c>
      <c r="E30" s="2755">
        <f>ROUND((SCH_E1!$G$104+SCH_E1!$G$105)/12,0)</f>
        <v>265871</v>
      </c>
      <c r="F30" s="2755">
        <f>ROUND((SCH_E1!$G$104+SCH_E1!$G$105)/12,0)</f>
        <v>265871</v>
      </c>
      <c r="G30" s="2755">
        <f>ROUND((SCH_E1!$G$104+SCH_E1!$G$105)/12,0)</f>
        <v>265871</v>
      </c>
      <c r="H30" s="2755">
        <f>ROUND((SCH_E1!$G$104+SCH_E1!$G$105)/12,0)</f>
        <v>265871</v>
      </c>
      <c r="I30" s="2755">
        <f>ROUND((SCH_E1!$G$104+SCH_E1!$G$105)/12,0)</f>
        <v>265871</v>
      </c>
      <c r="J30" s="2755">
        <f>ROUND((SCH_E1!$G$104+SCH_E1!$G$105)/12,0)</f>
        <v>265871</v>
      </c>
      <c r="K30" s="2755">
        <f>ROUND((SCH_E1!$G$104+SCH_E1!$G$105)/12,0)</f>
        <v>265871</v>
      </c>
      <c r="L30" s="2755">
        <f>ROUND((SCH_E1!$G$104+SCH_E1!$G$105)/12,0)</f>
        <v>265871</v>
      </c>
      <c r="M30" s="2755">
        <f>ROUND((SCH_E1!$G$104+SCH_E1!$G$105)/12,0)</f>
        <v>265871</v>
      </c>
      <c r="N30" s="2755">
        <f>ROUND((SCH_E1!$G$104+SCH_E1!$G$105)-SUM(C30:M30),0)</f>
        <v>265872</v>
      </c>
      <c r="P30" s="1347"/>
      <c r="Q30" s="1347"/>
      <c r="R30" s="1347"/>
      <c r="S30" s="1347"/>
      <c r="T30" s="1347"/>
      <c r="U30" s="1347"/>
    </row>
    <row r="31" spans="1:21">
      <c r="A31" s="2787">
        <v>410105</v>
      </c>
      <c r="B31" s="2784" t="s">
        <v>2013</v>
      </c>
      <c r="C31" s="2742">
        <v>0</v>
      </c>
      <c r="D31" s="2756"/>
      <c r="E31" s="2773"/>
      <c r="F31" s="2742">
        <v>0</v>
      </c>
      <c r="G31" s="2756"/>
      <c r="H31" s="2757"/>
      <c r="I31" s="2757">
        <v>0</v>
      </c>
      <c r="J31" s="2757">
        <v>0</v>
      </c>
      <c r="K31" s="2757">
        <v>0</v>
      </c>
      <c r="L31" s="2757">
        <v>0</v>
      </c>
      <c r="M31" s="2757">
        <v>0</v>
      </c>
      <c r="N31" s="2757">
        <v>0</v>
      </c>
      <c r="P31" s="1347"/>
      <c r="Q31" s="1347"/>
      <c r="R31" s="1347"/>
      <c r="S31" s="1347"/>
      <c r="T31" s="1347"/>
      <c r="U31" s="1347"/>
    </row>
    <row r="32" spans="1:21">
      <c r="A32" s="2787">
        <v>410106</v>
      </c>
      <c r="B32" s="2784" t="s">
        <v>2014</v>
      </c>
      <c r="C32" s="2745">
        <v>0</v>
      </c>
      <c r="D32" s="2746"/>
      <c r="E32" s="2751"/>
      <c r="F32" s="2745">
        <v>0</v>
      </c>
      <c r="G32" s="2746"/>
      <c r="H32" s="2744"/>
      <c r="I32" s="2744">
        <v>0</v>
      </c>
      <c r="J32" s="2744">
        <v>0</v>
      </c>
      <c r="K32" s="2744">
        <v>0</v>
      </c>
      <c r="L32" s="2744">
        <v>0</v>
      </c>
      <c r="M32" s="2744">
        <v>0</v>
      </c>
      <c r="N32" s="2744">
        <v>0</v>
      </c>
      <c r="P32" s="1347"/>
      <c r="Q32" s="1347"/>
      <c r="R32" s="1347"/>
      <c r="S32" s="1347"/>
      <c r="T32" s="1347"/>
      <c r="U32" s="1347"/>
    </row>
    <row r="33" spans="1:21">
      <c r="A33" s="2787">
        <v>411050</v>
      </c>
      <c r="B33" s="2784" t="s">
        <v>2442</v>
      </c>
      <c r="C33" s="2745">
        <v>0</v>
      </c>
      <c r="D33" s="2746"/>
      <c r="E33" s="2751"/>
      <c r="F33" s="2745">
        <v>0</v>
      </c>
      <c r="G33" s="2746"/>
      <c r="H33" s="2744"/>
      <c r="I33" s="2744">
        <v>0</v>
      </c>
      <c r="J33" s="2744">
        <v>0</v>
      </c>
      <c r="K33" s="2744">
        <v>0</v>
      </c>
      <c r="L33" s="2744">
        <v>0</v>
      </c>
      <c r="M33" s="2744">
        <v>0</v>
      </c>
      <c r="N33" s="2744">
        <v>0</v>
      </c>
      <c r="P33" s="1347"/>
      <c r="Q33" s="1347"/>
      <c r="R33" s="1347"/>
      <c r="S33" s="1347"/>
      <c r="T33" s="1347"/>
      <c r="U33" s="1347"/>
    </row>
    <row r="34" spans="1:21">
      <c r="A34" s="2787">
        <v>411051</v>
      </c>
      <c r="B34" s="2784" t="s">
        <v>2015</v>
      </c>
      <c r="C34" s="2745">
        <v>0</v>
      </c>
      <c r="D34" s="2746"/>
      <c r="E34" s="2751"/>
      <c r="F34" s="2745">
        <v>0</v>
      </c>
      <c r="G34" s="2746"/>
      <c r="H34" s="2744"/>
      <c r="I34" s="2744">
        <v>0</v>
      </c>
      <c r="J34" s="2744">
        <v>0</v>
      </c>
      <c r="K34" s="2744">
        <v>0</v>
      </c>
      <c r="L34" s="2744">
        <v>0</v>
      </c>
      <c r="M34" s="2744">
        <v>0</v>
      </c>
      <c r="N34" s="2744">
        <v>0</v>
      </c>
      <c r="P34" s="1347"/>
      <c r="Q34" s="1347"/>
      <c r="R34" s="1347"/>
      <c r="S34" s="1347"/>
      <c r="T34" s="1347"/>
      <c r="U34" s="1347"/>
    </row>
    <row r="35" spans="1:21">
      <c r="A35" s="2787">
        <v>411100</v>
      </c>
      <c r="B35" s="2784" t="s">
        <v>2016</v>
      </c>
      <c r="C35" s="2755">
        <v>0</v>
      </c>
      <c r="D35" s="2755">
        <v>0</v>
      </c>
      <c r="E35" s="2755">
        <v>0</v>
      </c>
      <c r="F35" s="2755">
        <v>0</v>
      </c>
      <c r="G35" s="2755">
        <v>0</v>
      </c>
      <c r="H35" s="2755">
        <v>0</v>
      </c>
      <c r="I35" s="2755">
        <v>0</v>
      </c>
      <c r="J35" s="2755">
        <v>0</v>
      </c>
      <c r="K35" s="2755">
        <v>0</v>
      </c>
      <c r="L35" s="2755">
        <v>0</v>
      </c>
      <c r="M35" s="2755">
        <v>0</v>
      </c>
      <c r="N35" s="2755">
        <v>0</v>
      </c>
      <c r="P35" s="1347"/>
      <c r="Q35" s="1347"/>
      <c r="R35" s="1347"/>
      <c r="S35" s="1347"/>
      <c r="T35" s="1347"/>
      <c r="U35" s="1347"/>
    </row>
    <row r="36" spans="1:21">
      <c r="A36" s="2787">
        <v>411101</v>
      </c>
      <c r="B36" s="2784" t="s">
        <v>2017</v>
      </c>
      <c r="C36" s="2755">
        <v>0</v>
      </c>
      <c r="D36" s="2755">
        <v>0</v>
      </c>
      <c r="E36" s="2755">
        <v>0</v>
      </c>
      <c r="F36" s="2755">
        <v>0</v>
      </c>
      <c r="G36" s="2755">
        <v>0</v>
      </c>
      <c r="H36" s="2755">
        <v>0</v>
      </c>
      <c r="I36" s="2755">
        <v>0</v>
      </c>
      <c r="J36" s="2755">
        <v>0</v>
      </c>
      <c r="K36" s="2755">
        <v>0</v>
      </c>
      <c r="L36" s="2755">
        <v>0</v>
      </c>
      <c r="M36" s="2755">
        <v>0</v>
      </c>
      <c r="N36" s="2755">
        <v>0</v>
      </c>
      <c r="P36" s="1347"/>
      <c r="Q36" s="1347"/>
      <c r="R36" s="1347"/>
      <c r="S36" s="1347"/>
      <c r="T36" s="1347"/>
      <c r="U36" s="1347"/>
    </row>
    <row r="37" spans="1:21">
      <c r="A37" s="2787">
        <v>411102</v>
      </c>
      <c r="B37" s="2784" t="s">
        <v>2018</v>
      </c>
      <c r="C37" s="2745">
        <v>0</v>
      </c>
      <c r="D37" s="2746"/>
      <c r="E37" s="2751"/>
      <c r="F37" s="2745">
        <v>0</v>
      </c>
      <c r="G37" s="2746"/>
      <c r="H37" s="2744"/>
      <c r="I37" s="2744">
        <v>0</v>
      </c>
      <c r="J37" s="2744">
        <v>0</v>
      </c>
      <c r="K37" s="2744">
        <v>0</v>
      </c>
      <c r="L37" s="2744">
        <v>0</v>
      </c>
      <c r="M37" s="2744">
        <v>0</v>
      </c>
      <c r="N37" s="2744">
        <v>0</v>
      </c>
      <c r="P37" s="1347"/>
      <c r="Q37" s="1347"/>
      <c r="R37" s="1347"/>
      <c r="S37" s="1347"/>
      <c r="T37" s="1347"/>
      <c r="U37" s="1347"/>
    </row>
    <row r="38" spans="1:21">
      <c r="A38" s="2787">
        <v>411103</v>
      </c>
      <c r="B38" s="2784" t="s">
        <v>2019</v>
      </c>
      <c r="C38" s="2752">
        <v>0</v>
      </c>
      <c r="D38" s="2758"/>
      <c r="E38" s="2774"/>
      <c r="F38" s="2760">
        <v>0</v>
      </c>
      <c r="G38" s="2761"/>
      <c r="H38" s="2762"/>
      <c r="I38" s="2762">
        <v>0</v>
      </c>
      <c r="J38" s="2762">
        <v>0</v>
      </c>
      <c r="K38" s="2762">
        <v>0</v>
      </c>
      <c r="L38" s="2762">
        <v>0</v>
      </c>
      <c r="M38" s="2762">
        <v>0</v>
      </c>
      <c r="N38" s="2762">
        <v>0</v>
      </c>
      <c r="P38" s="1347"/>
      <c r="Q38" s="1347"/>
      <c r="R38" s="1347"/>
      <c r="S38" s="1347"/>
      <c r="T38" s="1347"/>
      <c r="U38" s="1347"/>
    </row>
    <row r="39" spans="1:21">
      <c r="A39" s="2787">
        <v>411410</v>
      </c>
      <c r="B39" s="2784" t="s">
        <v>2020</v>
      </c>
      <c r="C39" s="2775">
        <v>-1786</v>
      </c>
      <c r="D39" s="2763">
        <v>-924</v>
      </c>
      <c r="E39" s="2763">
        <v>-924</v>
      </c>
      <c r="F39" s="2763">
        <v>-924</v>
      </c>
      <c r="G39" s="2763">
        <v>-924</v>
      </c>
      <c r="H39" s="2763">
        <v>-924</v>
      </c>
      <c r="I39" s="2763">
        <v>-924</v>
      </c>
      <c r="J39" s="2763">
        <v>-924</v>
      </c>
      <c r="K39" s="2763">
        <v>-924</v>
      </c>
      <c r="L39" s="2763">
        <v>-924</v>
      </c>
      <c r="M39" s="2763">
        <v>-924</v>
      </c>
      <c r="N39" s="2763">
        <v>-924</v>
      </c>
      <c r="P39" s="1347"/>
      <c r="Q39" s="1347"/>
      <c r="R39" s="1347"/>
      <c r="S39" s="1347"/>
      <c r="T39" s="1347"/>
      <c r="U39" s="1347"/>
    </row>
    <row r="40" spans="1:21">
      <c r="A40" s="2788">
        <v>426510</v>
      </c>
      <c r="B40" s="2789" t="s">
        <v>1028</v>
      </c>
      <c r="C40" s="2763">
        <v>-1047271</v>
      </c>
      <c r="D40" s="2763">
        <v>0</v>
      </c>
      <c r="E40" s="2763">
        <v>0</v>
      </c>
      <c r="F40" s="2763">
        <v>71623</v>
      </c>
      <c r="G40" s="2763">
        <v>-22433</v>
      </c>
      <c r="H40" s="2763">
        <v>0</v>
      </c>
      <c r="I40" s="2757">
        <v>58301</v>
      </c>
      <c r="J40" s="2757">
        <v>-15084</v>
      </c>
      <c r="K40" s="2757">
        <v>6751</v>
      </c>
      <c r="L40" s="2757">
        <v>16356</v>
      </c>
      <c r="M40" s="2763">
        <v>-82565</v>
      </c>
      <c r="N40" s="2763">
        <v>-95575</v>
      </c>
      <c r="P40" s="1347"/>
      <c r="Q40" s="1347"/>
      <c r="R40" s="1347"/>
      <c r="S40" s="1347"/>
      <c r="T40" s="1347"/>
      <c r="U40" s="1347"/>
    </row>
    <row r="41" spans="1:21">
      <c r="A41" s="2788">
        <v>426891</v>
      </c>
      <c r="B41" s="2789" t="s">
        <v>2613</v>
      </c>
      <c r="C41" s="2763">
        <v>32204</v>
      </c>
      <c r="D41" s="2763">
        <v>39962</v>
      </c>
      <c r="E41" s="2763">
        <v>42164</v>
      </c>
      <c r="F41" s="2763">
        <v>38315</v>
      </c>
      <c r="G41" s="2763">
        <v>40189</v>
      </c>
      <c r="H41" s="2763">
        <v>36773</v>
      </c>
      <c r="I41" s="2757">
        <v>25607</v>
      </c>
      <c r="J41" s="2757">
        <v>27842</v>
      </c>
      <c r="K41" s="2757">
        <v>27250</v>
      </c>
      <c r="L41" s="2757">
        <v>0</v>
      </c>
      <c r="M41" s="2763">
        <v>0</v>
      </c>
      <c r="N41" s="2763">
        <v>0</v>
      </c>
      <c r="P41" s="1347"/>
      <c r="Q41" s="1347"/>
      <c r="R41" s="1347"/>
      <c r="S41" s="1347"/>
      <c r="T41" s="1347"/>
      <c r="U41" s="1347"/>
    </row>
    <row r="42" spans="1:21">
      <c r="A42" s="2787">
        <v>440000</v>
      </c>
      <c r="B42" s="2784" t="s">
        <v>947</v>
      </c>
      <c r="C42" s="2742">
        <v>10764634</v>
      </c>
      <c r="D42" s="2756">
        <v>12874646</v>
      </c>
      <c r="E42" s="2773">
        <v>10127950</v>
      </c>
      <c r="F42" s="2742">
        <v>9085273</v>
      </c>
      <c r="G42" s="2756">
        <v>7915095</v>
      </c>
      <c r="H42" s="2757">
        <f>7508315-1</f>
        <v>7508314</v>
      </c>
      <c r="I42" s="2757">
        <v>9469175</v>
      </c>
      <c r="J42" s="2757">
        <v>12395394</v>
      </c>
      <c r="K42" s="2757">
        <v>12702058</v>
      </c>
      <c r="L42" s="2757">
        <v>11569355</v>
      </c>
      <c r="M42" s="2757">
        <v>8185453</v>
      </c>
      <c r="N42" s="2757">
        <v>8109915</v>
      </c>
      <c r="P42" s="1347"/>
      <c r="Q42" s="1347"/>
      <c r="R42" s="1347"/>
      <c r="S42" s="1347"/>
      <c r="T42" s="1347"/>
      <c r="U42" s="1347"/>
    </row>
    <row r="43" spans="1:21">
      <c r="A43" s="2787">
        <v>440990</v>
      </c>
      <c r="B43" s="2784" t="s">
        <v>2021</v>
      </c>
      <c r="C43" s="2745">
        <v>1212394</v>
      </c>
      <c r="D43" s="2746">
        <v>-1263731</v>
      </c>
      <c r="E43" s="2751">
        <v>-836672</v>
      </c>
      <c r="F43" s="2745">
        <v>-528078</v>
      </c>
      <c r="G43" s="2746">
        <v>-339258</v>
      </c>
      <c r="H43" s="2744">
        <v>784453</v>
      </c>
      <c r="I43" s="2744">
        <v>1101729</v>
      </c>
      <c r="J43" s="2744">
        <v>234596</v>
      </c>
      <c r="K43" s="2744">
        <v>-851777</v>
      </c>
      <c r="L43" s="2744">
        <v>-2926539</v>
      </c>
      <c r="M43" s="2744">
        <v>-67129</v>
      </c>
      <c r="N43" s="2744">
        <v>1082282</v>
      </c>
      <c r="P43" s="1347"/>
      <c r="Q43" s="1347"/>
      <c r="R43" s="1347"/>
      <c r="S43" s="1347"/>
      <c r="T43" s="1347"/>
      <c r="U43" s="1347"/>
    </row>
    <row r="44" spans="1:21">
      <c r="A44" s="2787">
        <v>442100</v>
      </c>
      <c r="B44" s="2784" t="s">
        <v>2022</v>
      </c>
      <c r="C44" s="2745">
        <v>9044777</v>
      </c>
      <c r="D44" s="2746">
        <v>9229396</v>
      </c>
      <c r="E44" s="2751">
        <v>8637290</v>
      </c>
      <c r="F44" s="2745">
        <v>8398799</v>
      </c>
      <c r="G44" s="2746">
        <v>8187325</v>
      </c>
      <c r="H44" s="2744">
        <f>8137894-1</f>
        <v>8137893</v>
      </c>
      <c r="I44" s="2744">
        <v>9474717</v>
      </c>
      <c r="J44" s="2744">
        <v>10323797</v>
      </c>
      <c r="K44" s="2744">
        <v>10314310</v>
      </c>
      <c r="L44" s="2744">
        <v>10200665</v>
      </c>
      <c r="M44" s="2744">
        <v>8945849</v>
      </c>
      <c r="N44" s="2744">
        <v>8634526</v>
      </c>
      <c r="P44" s="1347"/>
      <c r="Q44" s="1347"/>
      <c r="R44" s="1347"/>
      <c r="S44" s="1347"/>
      <c r="T44" s="1347"/>
      <c r="U44" s="1347"/>
    </row>
    <row r="45" spans="1:21">
      <c r="A45" s="2787">
        <v>442190</v>
      </c>
      <c r="B45" s="2784" t="s">
        <v>2023</v>
      </c>
      <c r="C45" s="2745">
        <v>-134486</v>
      </c>
      <c r="D45" s="2746">
        <v>-235686</v>
      </c>
      <c r="E45" s="2751">
        <v>-289852</v>
      </c>
      <c r="F45" s="2745">
        <v>106074</v>
      </c>
      <c r="G45" s="2746">
        <v>-21272</v>
      </c>
      <c r="H45" s="2744">
        <v>223617</v>
      </c>
      <c r="I45" s="2744">
        <v>588408</v>
      </c>
      <c r="J45" s="2744">
        <v>375156</v>
      </c>
      <c r="K45" s="2744">
        <v>-108433</v>
      </c>
      <c r="L45" s="2744">
        <v>-370491</v>
      </c>
      <c r="M45" s="2744">
        <v>201645</v>
      </c>
      <c r="N45" s="2744">
        <v>-211025</v>
      </c>
      <c r="P45" s="1347"/>
      <c r="Q45" s="1347"/>
      <c r="R45" s="1347"/>
      <c r="S45" s="1347"/>
      <c r="T45" s="1347"/>
      <c r="U45" s="1347"/>
    </row>
    <row r="46" spans="1:21">
      <c r="A46" s="2787">
        <v>442200</v>
      </c>
      <c r="B46" s="2784" t="s">
        <v>2024</v>
      </c>
      <c r="C46" s="2745">
        <v>4183045</v>
      </c>
      <c r="D46" s="2746">
        <v>3985183</v>
      </c>
      <c r="E46" s="2751">
        <v>4020096</v>
      </c>
      <c r="F46" s="2745">
        <v>3928177</v>
      </c>
      <c r="G46" s="2746">
        <v>3887686</v>
      </c>
      <c r="H46" s="2744">
        <v>3929156</v>
      </c>
      <c r="I46" s="2744">
        <v>4612828</v>
      </c>
      <c r="J46" s="2744">
        <v>4698988</v>
      </c>
      <c r="K46" s="2744">
        <v>4686098</v>
      </c>
      <c r="L46" s="2744">
        <v>4682103</v>
      </c>
      <c r="M46" s="2744">
        <v>4527381</v>
      </c>
      <c r="N46" s="2744">
        <v>4443138</v>
      </c>
      <c r="P46" s="1347"/>
      <c r="Q46" s="1347"/>
      <c r="R46" s="1347"/>
      <c r="S46" s="1347"/>
      <c r="T46" s="1347"/>
      <c r="U46" s="1347"/>
    </row>
    <row r="47" spans="1:21">
      <c r="A47" s="2787">
        <v>442290</v>
      </c>
      <c r="B47" s="2784" t="s">
        <v>2025</v>
      </c>
      <c r="C47" s="2745">
        <v>-153749</v>
      </c>
      <c r="D47" s="2746">
        <v>15961</v>
      </c>
      <c r="E47" s="2751">
        <v>-218848</v>
      </c>
      <c r="F47" s="2745">
        <v>136596</v>
      </c>
      <c r="G47" s="2746">
        <v>-102759</v>
      </c>
      <c r="H47" s="2744">
        <v>162141</v>
      </c>
      <c r="I47" s="2744">
        <v>94679</v>
      </c>
      <c r="J47" s="2744">
        <v>9994</v>
      </c>
      <c r="K47" s="2744">
        <v>15835</v>
      </c>
      <c r="L47" s="2744">
        <v>70916</v>
      </c>
      <c r="M47" s="2744">
        <v>-20930</v>
      </c>
      <c r="N47" s="2744">
        <v>-17901</v>
      </c>
      <c r="P47" s="1347"/>
      <c r="Q47" s="1347"/>
      <c r="R47" s="1347"/>
      <c r="S47" s="1347"/>
      <c r="T47" s="1347"/>
      <c r="U47" s="1347"/>
    </row>
    <row r="48" spans="1:21">
      <c r="A48" s="2787">
        <v>444000</v>
      </c>
      <c r="B48" s="2784" t="s">
        <v>2026</v>
      </c>
      <c r="C48" s="2745">
        <v>136237</v>
      </c>
      <c r="D48" s="2746">
        <v>116540</v>
      </c>
      <c r="E48" s="2751">
        <v>135023</v>
      </c>
      <c r="F48" s="2745">
        <v>131291</v>
      </c>
      <c r="G48" s="2746">
        <v>130149</v>
      </c>
      <c r="H48" s="2744">
        <v>127100</v>
      </c>
      <c r="I48" s="2744">
        <v>133952</v>
      </c>
      <c r="J48" s="2744">
        <v>137708</v>
      </c>
      <c r="K48" s="2744">
        <v>137324</v>
      </c>
      <c r="L48" s="2744">
        <v>138581</v>
      </c>
      <c r="M48" s="2744">
        <v>136305</v>
      </c>
      <c r="N48" s="2744">
        <v>137774</v>
      </c>
      <c r="P48" s="1347"/>
      <c r="Q48" s="1347"/>
      <c r="R48" s="1347"/>
      <c r="S48" s="1347"/>
      <c r="T48" s="1347"/>
      <c r="U48" s="1347"/>
    </row>
    <row r="49" spans="1:25">
      <c r="A49" s="2787">
        <v>445000</v>
      </c>
      <c r="B49" s="2784" t="s">
        <v>2027</v>
      </c>
      <c r="C49" s="2745">
        <v>1709352</v>
      </c>
      <c r="D49" s="2746">
        <v>1715247</v>
      </c>
      <c r="E49" s="2751">
        <v>1574174</v>
      </c>
      <c r="F49" s="2745">
        <v>1646049</v>
      </c>
      <c r="G49" s="2746">
        <v>1517430</v>
      </c>
      <c r="H49" s="2744">
        <f>1560496-1</f>
        <v>1560495</v>
      </c>
      <c r="I49" s="2744">
        <v>1770066</v>
      </c>
      <c r="J49" s="2744">
        <v>1834370</v>
      </c>
      <c r="K49" s="2744">
        <v>1901140</v>
      </c>
      <c r="L49" s="2744">
        <v>2009173</v>
      </c>
      <c r="M49" s="2744">
        <v>1793742</v>
      </c>
      <c r="N49" s="2744">
        <v>1682453</v>
      </c>
      <c r="P49" s="1347"/>
      <c r="Q49" s="1347"/>
      <c r="R49" s="1347"/>
      <c r="S49" s="1347"/>
      <c r="T49" s="1347"/>
      <c r="U49" s="1347"/>
    </row>
    <row r="50" spans="1:25">
      <c r="A50" s="2787">
        <v>445090</v>
      </c>
      <c r="B50" s="2784" t="s">
        <v>2028</v>
      </c>
      <c r="C50" s="2745">
        <v>-61084</v>
      </c>
      <c r="D50" s="2746">
        <v>-10057</v>
      </c>
      <c r="E50" s="2751">
        <v>-114799</v>
      </c>
      <c r="F50" s="2745">
        <v>44432</v>
      </c>
      <c r="G50" s="2746">
        <v>-50026</v>
      </c>
      <c r="H50" s="2744">
        <v>63810</v>
      </c>
      <c r="I50" s="2744">
        <v>108023</v>
      </c>
      <c r="J50" s="2744">
        <v>65849</v>
      </c>
      <c r="K50" s="2744">
        <v>49795</v>
      </c>
      <c r="L50" s="2744">
        <v>-89899</v>
      </c>
      <c r="M50" s="2744">
        <v>24909</v>
      </c>
      <c r="N50" s="2744">
        <v>-63736</v>
      </c>
      <c r="P50" s="1347"/>
      <c r="Q50" s="1347"/>
      <c r="R50" s="1347"/>
      <c r="S50" s="1347"/>
      <c r="T50" s="1347"/>
      <c r="U50" s="1347"/>
    </row>
    <row r="51" spans="1:25">
      <c r="A51" s="2787">
        <v>447150</v>
      </c>
      <c r="B51" s="2784" t="s">
        <v>2029</v>
      </c>
      <c r="C51" s="2745">
        <v>2931217</v>
      </c>
      <c r="D51" s="2746">
        <v>1775211</v>
      </c>
      <c r="E51" s="2751">
        <v>1608680</v>
      </c>
      <c r="F51" s="2745">
        <v>3515082</v>
      </c>
      <c r="G51" s="2746">
        <v>2495303</v>
      </c>
      <c r="H51" s="2744">
        <v>1297999</v>
      </c>
      <c r="I51" s="2744">
        <v>672000</v>
      </c>
      <c r="J51" s="2744">
        <v>835000</v>
      </c>
      <c r="K51" s="2744">
        <v>716000</v>
      </c>
      <c r="L51" s="2744">
        <v>619000</v>
      </c>
      <c r="M51" s="2744">
        <v>898000</v>
      </c>
      <c r="N51" s="2744">
        <v>569000</v>
      </c>
      <c r="P51" s="1347"/>
      <c r="Q51" s="1347"/>
      <c r="R51" s="1347"/>
      <c r="S51" s="1347"/>
      <c r="T51" s="1347"/>
      <c r="U51" s="1347"/>
    </row>
    <row r="52" spans="1:25">
      <c r="A52" s="2787">
        <v>448000</v>
      </c>
      <c r="B52" s="2784" t="s">
        <v>2031</v>
      </c>
      <c r="C52" s="2745">
        <v>2467</v>
      </c>
      <c r="D52" s="2746">
        <v>9022</v>
      </c>
      <c r="E52" s="2751">
        <v>11880</v>
      </c>
      <c r="F52" s="2745">
        <v>33871</v>
      </c>
      <c r="G52" s="2746">
        <v>-26351</v>
      </c>
      <c r="H52" s="2744">
        <v>2070</v>
      </c>
      <c r="I52" s="2744">
        <v>2989</v>
      </c>
      <c r="J52" s="2744">
        <v>4290</v>
      </c>
      <c r="K52" s="2744">
        <v>3891</v>
      </c>
      <c r="L52" s="2744">
        <v>1790</v>
      </c>
      <c r="M52" s="2744">
        <v>1935</v>
      </c>
      <c r="N52" s="2744">
        <v>4220</v>
      </c>
      <c r="P52" s="1347"/>
      <c r="Q52" s="1347"/>
      <c r="R52" s="1347"/>
      <c r="S52" s="1347"/>
      <c r="T52" s="1347"/>
      <c r="U52" s="1347"/>
    </row>
    <row r="53" spans="1:25">
      <c r="A53" s="2787">
        <v>449100</v>
      </c>
      <c r="B53" s="2784" t="s">
        <v>2032</v>
      </c>
      <c r="C53" s="2745">
        <v>-379172</v>
      </c>
      <c r="D53" s="2746">
        <v>93347</v>
      </c>
      <c r="E53" s="2751">
        <v>225359</v>
      </c>
      <c r="F53" s="2745">
        <v>-308596</v>
      </c>
      <c r="G53" s="2746">
        <v>257601</v>
      </c>
      <c r="H53" s="2744">
        <v>684721</v>
      </c>
      <c r="I53" s="2744">
        <v>0</v>
      </c>
      <c r="J53" s="2744">
        <v>0</v>
      </c>
      <c r="K53" s="2744">
        <v>0</v>
      </c>
      <c r="L53" s="2744">
        <v>0</v>
      </c>
      <c r="M53" s="2744">
        <v>0</v>
      </c>
      <c r="N53" s="2744">
        <v>0</v>
      </c>
      <c r="P53" s="1347"/>
      <c r="Q53" s="1347"/>
      <c r="R53" s="1347"/>
      <c r="S53" s="1347"/>
      <c r="T53" s="1347"/>
      <c r="U53" s="1347"/>
    </row>
    <row r="54" spans="1:25">
      <c r="A54" s="2787">
        <v>450100</v>
      </c>
      <c r="B54" s="2784" t="s">
        <v>2443</v>
      </c>
      <c r="C54" s="2745">
        <v>0</v>
      </c>
      <c r="D54" s="2746"/>
      <c r="E54" s="2751"/>
      <c r="F54" s="2745">
        <v>0</v>
      </c>
      <c r="G54" s="2746"/>
      <c r="H54" s="2744"/>
      <c r="I54" s="2744">
        <v>0</v>
      </c>
      <c r="J54" s="2744">
        <v>0</v>
      </c>
      <c r="K54" s="2744">
        <v>0</v>
      </c>
      <c r="L54" s="2744">
        <v>0</v>
      </c>
      <c r="M54" s="2744">
        <v>0</v>
      </c>
      <c r="N54" s="2744">
        <v>0</v>
      </c>
      <c r="P54" s="1347"/>
      <c r="Q54" s="1347"/>
      <c r="R54" s="1347"/>
      <c r="S54" s="1347"/>
      <c r="T54" s="1347"/>
      <c r="U54" s="1347"/>
    </row>
    <row r="55" spans="1:25">
      <c r="A55" s="2787">
        <v>451100</v>
      </c>
      <c r="B55" s="2784" t="s">
        <v>2033</v>
      </c>
      <c r="C55" s="2745">
        <v>26203</v>
      </c>
      <c r="D55" s="2746">
        <v>19479</v>
      </c>
      <c r="E55" s="2751">
        <v>18855</v>
      </c>
      <c r="F55" s="2745">
        <v>18420</v>
      </c>
      <c r="G55" s="2746">
        <v>23169</v>
      </c>
      <c r="H55" s="2744">
        <v>29563</v>
      </c>
      <c r="I55" s="2744">
        <v>24792</v>
      </c>
      <c r="J55" s="2744">
        <v>24792</v>
      </c>
      <c r="K55" s="2744">
        <v>24792</v>
      </c>
      <c r="L55" s="2744">
        <v>24792</v>
      </c>
      <c r="M55" s="2744">
        <v>24792</v>
      </c>
      <c r="N55" s="2744">
        <v>24792</v>
      </c>
      <c r="P55" s="1347"/>
      <c r="Q55" s="1347"/>
      <c r="R55" s="1347"/>
      <c r="S55" s="1347"/>
      <c r="T55" s="1347"/>
      <c r="U55" s="1347"/>
    </row>
    <row r="56" spans="1:25">
      <c r="A56" s="2787">
        <v>453625</v>
      </c>
      <c r="B56" s="2784" t="s">
        <v>2544</v>
      </c>
      <c r="C56" s="2745">
        <v>85000</v>
      </c>
      <c r="D56" s="2746">
        <v>9819</v>
      </c>
      <c r="E56" s="2751">
        <v>9819</v>
      </c>
      <c r="F56" s="2745">
        <v>9819</v>
      </c>
      <c r="G56" s="2746">
        <v>0</v>
      </c>
      <c r="H56" s="2744">
        <v>0</v>
      </c>
      <c r="I56" s="2744">
        <v>0</v>
      </c>
      <c r="J56" s="2744">
        <v>0</v>
      </c>
      <c r="K56" s="2744">
        <v>0</v>
      </c>
      <c r="L56" s="2744">
        <v>0</v>
      </c>
      <c r="M56" s="2744">
        <v>0</v>
      </c>
      <c r="N56" s="2744">
        <v>0</v>
      </c>
      <c r="P56" s="1347"/>
      <c r="Q56" s="1347"/>
      <c r="R56" s="1347"/>
      <c r="S56" s="1347"/>
      <c r="T56" s="1347"/>
      <c r="U56" s="1347"/>
    </row>
    <row r="57" spans="1:25">
      <c r="A57" s="2787">
        <v>454200</v>
      </c>
      <c r="B57" s="2784" t="s">
        <v>2034</v>
      </c>
      <c r="C57" s="2745"/>
      <c r="D57" s="2746">
        <v>32539</v>
      </c>
      <c r="E57" s="2751">
        <v>0</v>
      </c>
      <c r="F57" s="2745">
        <v>36</v>
      </c>
      <c r="G57" s="2746">
        <v>85</v>
      </c>
      <c r="H57" s="2744">
        <v>113</v>
      </c>
      <c r="I57" s="2744">
        <v>14167</v>
      </c>
      <c r="J57" s="2744">
        <v>14167</v>
      </c>
      <c r="K57" s="2744">
        <v>14167</v>
      </c>
      <c r="L57" s="2744">
        <v>14167</v>
      </c>
      <c r="M57" s="2744">
        <v>14167</v>
      </c>
      <c r="N57" s="2744">
        <v>14167</v>
      </c>
      <c r="P57" s="1347"/>
      <c r="Q57" s="1347"/>
      <c r="R57" s="1347"/>
      <c r="S57" s="1347"/>
      <c r="T57" s="1347"/>
      <c r="U57" s="1347"/>
    </row>
    <row r="58" spans="1:25">
      <c r="A58" s="2787">
        <v>454300</v>
      </c>
      <c r="B58" s="2784" t="s">
        <v>2035</v>
      </c>
      <c r="C58" s="2745">
        <v>231</v>
      </c>
      <c r="D58" s="2746">
        <v>231</v>
      </c>
      <c r="E58" s="2751">
        <v>231</v>
      </c>
      <c r="F58" s="2745">
        <v>0</v>
      </c>
      <c r="G58" s="2746">
        <v>231</v>
      </c>
      <c r="H58" s="2744">
        <v>231</v>
      </c>
      <c r="I58" s="2744">
        <v>0</v>
      </c>
      <c r="J58" s="2744">
        <v>0</v>
      </c>
      <c r="K58" s="2744">
        <v>0</v>
      </c>
      <c r="L58" s="2750">
        <v>0</v>
      </c>
      <c r="M58" s="2750">
        <v>0</v>
      </c>
      <c r="N58" s="2750">
        <v>0</v>
      </c>
      <c r="P58" s="1347"/>
      <c r="Q58" s="1347"/>
      <c r="R58" s="1347"/>
      <c r="S58" s="1347"/>
      <c r="T58" s="1347"/>
      <c r="U58" s="1347"/>
    </row>
    <row r="59" spans="1:25">
      <c r="A59" s="2787">
        <v>454400</v>
      </c>
      <c r="B59" s="2784" t="s">
        <v>2036</v>
      </c>
      <c r="C59" s="2745">
        <v>32503</v>
      </c>
      <c r="D59" s="2746">
        <v>80504</v>
      </c>
      <c r="E59" s="2751">
        <v>66175</v>
      </c>
      <c r="F59" s="2745">
        <v>73505</v>
      </c>
      <c r="G59" s="2746">
        <v>73073</v>
      </c>
      <c r="H59" s="2744">
        <v>75582</v>
      </c>
      <c r="I59" s="2744">
        <v>88167</v>
      </c>
      <c r="J59" s="2744">
        <v>88167</v>
      </c>
      <c r="K59" s="2744">
        <v>88167</v>
      </c>
      <c r="L59" s="2744">
        <v>88167</v>
      </c>
      <c r="M59" s="2744">
        <v>88167</v>
      </c>
      <c r="N59" s="2744">
        <v>88167</v>
      </c>
      <c r="P59" s="1347"/>
      <c r="Q59" s="1347"/>
      <c r="R59" s="1347"/>
      <c r="S59" s="1347"/>
      <c r="T59" s="1347"/>
      <c r="U59" s="1347"/>
    </row>
    <row r="60" spans="1:25">
      <c r="A60" s="2790">
        <v>454601</v>
      </c>
      <c r="B60" s="2791" t="s">
        <v>2605</v>
      </c>
      <c r="C60" s="2749"/>
      <c r="D60" s="2746"/>
      <c r="E60" s="2751"/>
      <c r="F60" s="2749"/>
      <c r="G60" s="2746"/>
      <c r="H60" s="2750"/>
      <c r="I60" s="2750">
        <v>0</v>
      </c>
      <c r="J60" s="2750">
        <v>0</v>
      </c>
      <c r="K60" s="2750">
        <v>0</v>
      </c>
      <c r="L60" s="2750">
        <v>0</v>
      </c>
      <c r="M60" s="2750">
        <v>0</v>
      </c>
      <c r="N60" s="2750">
        <v>0</v>
      </c>
      <c r="P60" s="1347"/>
      <c r="Q60" s="1347"/>
      <c r="R60" s="1347"/>
      <c r="S60" s="1347"/>
      <c r="T60" s="1347"/>
      <c r="U60" s="1347"/>
    </row>
    <row r="61" spans="1:25">
      <c r="A61" s="2787">
        <v>456025</v>
      </c>
      <c r="B61" s="2784" t="s">
        <v>2037</v>
      </c>
      <c r="C61" s="2745">
        <v>66722</v>
      </c>
      <c r="D61" s="2746">
        <v>172028</v>
      </c>
      <c r="E61" s="2751">
        <v>20831</v>
      </c>
      <c r="F61" s="2745">
        <v>222875</v>
      </c>
      <c r="G61" s="2746">
        <v>20</v>
      </c>
      <c r="H61" s="2744">
        <v>52195</v>
      </c>
      <c r="I61" s="2744">
        <v>0</v>
      </c>
      <c r="J61" s="2744">
        <v>0</v>
      </c>
      <c r="K61" s="2744">
        <v>0</v>
      </c>
      <c r="L61" s="2744">
        <v>0</v>
      </c>
      <c r="M61" s="2744">
        <v>0</v>
      </c>
      <c r="N61" s="2744">
        <v>0</v>
      </c>
      <c r="P61" s="1347"/>
      <c r="Q61" s="1347"/>
      <c r="R61" s="1347"/>
      <c r="S61" s="1347"/>
      <c r="T61" s="1347"/>
      <c r="U61" s="1347"/>
    </row>
    <row r="62" spans="1:25">
      <c r="A62" s="2787">
        <v>456040</v>
      </c>
      <c r="B62" s="2784" t="s">
        <v>2038</v>
      </c>
      <c r="C62" s="2745">
        <v>50</v>
      </c>
      <c r="D62" s="2746">
        <v>50</v>
      </c>
      <c r="E62" s="2751">
        <v>50</v>
      </c>
      <c r="F62" s="2745">
        <v>50</v>
      </c>
      <c r="G62" s="2746">
        <v>50</v>
      </c>
      <c r="H62" s="2744">
        <v>50</v>
      </c>
      <c r="I62" s="2744">
        <v>0</v>
      </c>
      <c r="J62" s="2744">
        <v>0</v>
      </c>
      <c r="K62" s="2744">
        <v>0</v>
      </c>
      <c r="L62" s="2744">
        <v>0</v>
      </c>
      <c r="M62" s="2744">
        <v>0</v>
      </c>
      <c r="N62" s="2744">
        <v>0</v>
      </c>
      <c r="P62" s="1347"/>
      <c r="Q62" s="1347"/>
      <c r="R62" s="1347"/>
      <c r="S62" s="1347"/>
      <c r="T62" s="1347"/>
      <c r="U62" s="1347"/>
    </row>
    <row r="63" spans="1:25">
      <c r="A63" s="2787">
        <v>456110</v>
      </c>
      <c r="B63" s="2784" t="s">
        <v>2039</v>
      </c>
      <c r="C63" s="2745">
        <v>5041</v>
      </c>
      <c r="D63" s="2746">
        <v>5369</v>
      </c>
      <c r="E63" s="2751">
        <v>6684</v>
      </c>
      <c r="F63" s="2745">
        <v>4763</v>
      </c>
      <c r="G63" s="2746">
        <v>3621</v>
      </c>
      <c r="H63" s="2744">
        <v>4619</v>
      </c>
      <c r="I63" s="2744">
        <v>12083</v>
      </c>
      <c r="J63" s="2744">
        <v>12083</v>
      </c>
      <c r="K63" s="2744">
        <v>12083</v>
      </c>
      <c r="L63" s="2744">
        <v>12083</v>
      </c>
      <c r="M63" s="2744">
        <v>12083</v>
      </c>
      <c r="N63" s="2744">
        <v>12083</v>
      </c>
      <c r="P63" s="1347"/>
      <c r="Q63" s="1347"/>
      <c r="R63" s="1347"/>
      <c r="S63" s="1347"/>
      <c r="T63" s="1347"/>
      <c r="U63" s="1347"/>
    </row>
    <row r="64" spans="1:25">
      <c r="A64" s="2787">
        <v>456111</v>
      </c>
      <c r="B64" s="2784" t="s">
        <v>2040</v>
      </c>
      <c r="C64" s="2745">
        <v>304346</v>
      </c>
      <c r="D64" s="2746">
        <v>60201</v>
      </c>
      <c r="E64" s="2751">
        <v>-3379</v>
      </c>
      <c r="F64" s="2745">
        <v>-552</v>
      </c>
      <c r="G64" s="2746">
        <v>-43274</v>
      </c>
      <c r="H64" s="2744">
        <v>121038</v>
      </c>
      <c r="I64" s="2744">
        <v>227410</v>
      </c>
      <c r="J64" s="2744">
        <v>227410</v>
      </c>
      <c r="K64" s="2744">
        <v>227410</v>
      </c>
      <c r="L64" s="2744">
        <v>227410</v>
      </c>
      <c r="M64" s="2744">
        <v>227410</v>
      </c>
      <c r="N64" s="2744">
        <v>227410</v>
      </c>
      <c r="P64" s="1347"/>
      <c r="Q64" s="1347"/>
      <c r="R64" s="1347"/>
      <c r="S64" s="1347"/>
      <c r="T64" s="1347"/>
      <c r="U64" s="1347"/>
      <c r="V64" s="2792"/>
      <c r="W64" s="2792"/>
      <c r="X64" s="2792"/>
      <c r="Y64" s="2792"/>
    </row>
    <row r="65" spans="1:25">
      <c r="A65" s="2787">
        <v>456610</v>
      </c>
      <c r="B65" s="2784" t="s">
        <v>733</v>
      </c>
      <c r="C65" s="2745"/>
      <c r="D65" s="2746">
        <v>15633</v>
      </c>
      <c r="E65" s="2751">
        <v>0</v>
      </c>
      <c r="F65" s="2745"/>
      <c r="G65" s="2746">
        <v>0</v>
      </c>
      <c r="H65" s="2744">
        <v>0</v>
      </c>
      <c r="I65" s="2744">
        <v>0</v>
      </c>
      <c r="J65" s="2744">
        <v>0</v>
      </c>
      <c r="K65" s="2744">
        <v>0</v>
      </c>
      <c r="L65" s="2744">
        <v>0</v>
      </c>
      <c r="M65" s="2744">
        <v>0</v>
      </c>
      <c r="N65" s="2744">
        <v>0</v>
      </c>
      <c r="P65" s="1347"/>
      <c r="Q65" s="1347"/>
      <c r="R65" s="1347"/>
      <c r="S65" s="1347"/>
      <c r="T65" s="1347"/>
      <c r="U65" s="1347"/>
      <c r="V65" s="2792"/>
      <c r="W65" s="2792"/>
      <c r="X65" s="2792"/>
      <c r="Y65" s="2792"/>
    </row>
    <row r="66" spans="1:25">
      <c r="A66" s="2787">
        <v>456970</v>
      </c>
      <c r="B66" s="2784" t="s">
        <v>2041</v>
      </c>
      <c r="C66" s="2745">
        <v>4447</v>
      </c>
      <c r="D66" s="2746">
        <v>5764</v>
      </c>
      <c r="E66" s="2751">
        <v>5591</v>
      </c>
      <c r="F66" s="2745">
        <v>4961</v>
      </c>
      <c r="G66" s="2746">
        <v>5195</v>
      </c>
      <c r="H66" s="2744">
        <v>4031</v>
      </c>
      <c r="I66" s="2744">
        <v>2042</v>
      </c>
      <c r="J66" s="2744">
        <v>2042</v>
      </c>
      <c r="K66" s="2744">
        <v>2042</v>
      </c>
      <c r="L66" s="2744">
        <v>2042</v>
      </c>
      <c r="M66" s="2744">
        <v>2042</v>
      </c>
      <c r="N66" s="2744">
        <v>2042</v>
      </c>
      <c r="P66" s="1347"/>
      <c r="Q66" s="1347"/>
      <c r="R66" s="1347"/>
      <c r="S66" s="1347"/>
      <c r="T66" s="1347"/>
      <c r="U66" s="1347"/>
      <c r="V66" s="2792"/>
      <c r="W66" s="2792"/>
      <c r="X66" s="2792"/>
      <c r="Y66" s="2792"/>
    </row>
    <row r="67" spans="1:25">
      <c r="A67" s="2787">
        <v>457100</v>
      </c>
      <c r="B67" s="2784" t="s">
        <v>2490</v>
      </c>
      <c r="C67" s="2745">
        <v>0</v>
      </c>
      <c r="D67" s="2746"/>
      <c r="E67" s="2751"/>
      <c r="F67" s="2745">
        <v>0</v>
      </c>
      <c r="G67" s="2746"/>
      <c r="H67" s="2744"/>
      <c r="I67" s="2744">
        <v>0</v>
      </c>
      <c r="J67" s="2744">
        <v>0</v>
      </c>
      <c r="K67" s="2744">
        <v>0</v>
      </c>
      <c r="L67" s="2744">
        <v>0</v>
      </c>
      <c r="M67" s="2744">
        <v>0</v>
      </c>
      <c r="N67" s="2744">
        <v>0</v>
      </c>
      <c r="P67" s="1347"/>
      <c r="Q67" s="1347"/>
      <c r="R67" s="1347"/>
      <c r="S67" s="1347"/>
      <c r="T67" s="1347"/>
      <c r="U67" s="1347"/>
      <c r="V67" s="2792"/>
      <c r="W67" s="2792"/>
      <c r="X67" s="2792"/>
      <c r="Y67" s="2792"/>
    </row>
    <row r="68" spans="1:25">
      <c r="A68" s="2787">
        <v>457105</v>
      </c>
      <c r="B68" s="2784" t="s">
        <v>2667</v>
      </c>
      <c r="C68" s="2745"/>
      <c r="D68" s="2746"/>
      <c r="E68" s="2751">
        <v>65634</v>
      </c>
      <c r="F68" s="2745">
        <v>13302</v>
      </c>
      <c r="G68" s="2746">
        <v>-1</v>
      </c>
      <c r="H68" s="2748">
        <f>15075+3</f>
        <v>15078</v>
      </c>
      <c r="I68" s="2748"/>
      <c r="J68" s="2748"/>
      <c r="K68" s="2748"/>
      <c r="L68" s="2748"/>
      <c r="M68" s="2748"/>
      <c r="N68" s="2748"/>
      <c r="P68" s="1347"/>
      <c r="Q68" s="1347"/>
      <c r="R68" s="1347"/>
      <c r="S68" s="1347"/>
      <c r="T68" s="1347"/>
      <c r="U68" s="1347"/>
      <c r="V68" s="2792"/>
      <c r="W68" s="2792"/>
      <c r="X68" s="2792"/>
      <c r="Y68" s="2792"/>
    </row>
    <row r="69" spans="1:25">
      <c r="A69" s="2787">
        <v>457204</v>
      </c>
      <c r="B69" s="2784" t="s">
        <v>2545</v>
      </c>
      <c r="C69" s="2745">
        <v>1100470</v>
      </c>
      <c r="D69" s="2746">
        <v>24057</v>
      </c>
      <c r="E69" s="2751">
        <v>-45057</v>
      </c>
      <c r="F69" s="2745">
        <v>622802</v>
      </c>
      <c r="G69" s="2746">
        <v>177769</v>
      </c>
      <c r="H69" s="2746">
        <v>156769</v>
      </c>
      <c r="I69" s="2744">
        <v>0</v>
      </c>
      <c r="J69" s="2744">
        <v>0</v>
      </c>
      <c r="K69" s="2744">
        <v>0</v>
      </c>
      <c r="L69" s="2744">
        <v>0</v>
      </c>
      <c r="M69" s="2744">
        <v>0</v>
      </c>
      <c r="N69" s="2744">
        <v>0</v>
      </c>
      <c r="P69" s="1347"/>
      <c r="Q69" s="1347"/>
      <c r="R69" s="1347"/>
      <c r="S69" s="1347"/>
      <c r="T69" s="1347"/>
      <c r="U69" s="1347"/>
      <c r="V69" s="2792"/>
      <c r="W69" s="2792"/>
      <c r="X69" s="2792"/>
      <c r="Y69" s="2792"/>
    </row>
    <row r="70" spans="1:25">
      <c r="A70" s="2787">
        <v>500000</v>
      </c>
      <c r="B70" s="2784" t="s">
        <v>2042</v>
      </c>
      <c r="C70" s="2745">
        <v>358766</v>
      </c>
      <c r="D70" s="2746">
        <v>216246</v>
      </c>
      <c r="E70" s="2751">
        <v>312104</v>
      </c>
      <c r="F70" s="2745">
        <v>154115</v>
      </c>
      <c r="G70" s="2746">
        <v>309876</v>
      </c>
      <c r="H70" s="2746">
        <v>256734</v>
      </c>
      <c r="I70" s="2744">
        <v>98265</v>
      </c>
      <c r="J70" s="2744">
        <v>97670</v>
      </c>
      <c r="K70" s="2744">
        <v>100798</v>
      </c>
      <c r="L70" s="2744">
        <v>105976</v>
      </c>
      <c r="M70" s="2744">
        <v>98780</v>
      </c>
      <c r="N70" s="2744">
        <v>99289</v>
      </c>
      <c r="P70" s="1347"/>
      <c r="Q70" s="1347"/>
      <c r="R70" s="1347"/>
      <c r="S70" s="1347"/>
      <c r="T70" s="1347"/>
      <c r="U70" s="1347"/>
      <c r="V70" s="2792"/>
      <c r="W70" s="2792"/>
      <c r="X70" s="2792"/>
      <c r="Y70" s="2792"/>
    </row>
    <row r="71" spans="1:25">
      <c r="A71" s="2787">
        <v>501110</v>
      </c>
      <c r="B71" s="2784" t="s">
        <v>2043</v>
      </c>
      <c r="C71" s="2745">
        <v>6189750</v>
      </c>
      <c r="D71" s="2746">
        <v>9352399</v>
      </c>
      <c r="E71" s="2751">
        <v>7368099</v>
      </c>
      <c r="F71" s="2745">
        <v>9054528</v>
      </c>
      <c r="G71" s="2746">
        <v>7688931</v>
      </c>
      <c r="H71" s="2746">
        <v>6127845</v>
      </c>
      <c r="I71" s="2744">
        <v>6782000</v>
      </c>
      <c r="J71" s="2744">
        <v>7394000</v>
      </c>
      <c r="K71" s="2744">
        <v>7443000</v>
      </c>
      <c r="L71" s="2744">
        <v>6486000</v>
      </c>
      <c r="M71" s="2744">
        <v>6642000</v>
      </c>
      <c r="N71" s="2744">
        <v>6452000</v>
      </c>
      <c r="P71" s="1347"/>
      <c r="Q71" s="1347"/>
      <c r="R71" s="1347"/>
      <c r="S71" s="1347"/>
      <c r="T71" s="1347"/>
      <c r="U71" s="1347"/>
      <c r="V71" s="2792"/>
      <c r="W71" s="2792"/>
      <c r="X71" s="2792"/>
      <c r="Y71" s="2792"/>
    </row>
    <row r="72" spans="1:25">
      <c r="A72" s="2787">
        <v>501150</v>
      </c>
      <c r="B72" s="2784" t="s">
        <v>2044</v>
      </c>
      <c r="C72" s="2745">
        <v>478191</v>
      </c>
      <c r="D72" s="2746">
        <v>64236</v>
      </c>
      <c r="E72" s="2751">
        <v>115658</v>
      </c>
      <c r="F72" s="2745">
        <v>108966</v>
      </c>
      <c r="G72" s="2746">
        <v>131337</v>
      </c>
      <c r="H72" s="2746">
        <v>113379</v>
      </c>
      <c r="I72" s="2744">
        <v>138863</v>
      </c>
      <c r="J72" s="2744">
        <v>138291</v>
      </c>
      <c r="K72" s="2744">
        <v>138442</v>
      </c>
      <c r="L72" s="2744">
        <v>156236</v>
      </c>
      <c r="M72" s="2744">
        <v>138199</v>
      </c>
      <c r="N72" s="2744">
        <v>138351</v>
      </c>
      <c r="P72" s="1347"/>
      <c r="Q72" s="1347"/>
      <c r="R72" s="1347"/>
      <c r="S72" s="1347"/>
      <c r="T72" s="1347"/>
      <c r="U72" s="1347"/>
      <c r="V72" s="2792"/>
      <c r="W72" s="2792"/>
      <c r="X72" s="2792"/>
      <c r="Y72" s="2792"/>
    </row>
    <row r="73" spans="1:25">
      <c r="A73" s="2787">
        <v>501160</v>
      </c>
      <c r="B73" s="2784" t="s">
        <v>2045</v>
      </c>
      <c r="C73" s="2745"/>
      <c r="D73" s="2746"/>
      <c r="E73" s="2751"/>
      <c r="F73" s="2745"/>
      <c r="G73" s="2746"/>
      <c r="H73" s="2746"/>
      <c r="I73" s="2744">
        <v>0</v>
      </c>
      <c r="J73" s="2744">
        <v>0</v>
      </c>
      <c r="K73" s="2744">
        <v>0</v>
      </c>
      <c r="L73" s="2744">
        <v>0</v>
      </c>
      <c r="M73" s="2744">
        <v>0</v>
      </c>
      <c r="N73" s="2744">
        <v>0</v>
      </c>
      <c r="P73" s="1347"/>
      <c r="Q73" s="1347"/>
      <c r="R73" s="1347"/>
      <c r="S73" s="1347"/>
      <c r="T73" s="1347"/>
      <c r="U73" s="1347"/>
      <c r="V73" s="2792"/>
      <c r="W73" s="2792"/>
      <c r="X73" s="2792"/>
      <c r="Y73" s="2792"/>
    </row>
    <row r="74" spans="1:25">
      <c r="A74" s="2787">
        <v>501190</v>
      </c>
      <c r="B74" s="2784" t="s">
        <v>2046</v>
      </c>
      <c r="C74" s="2745">
        <v>188048</v>
      </c>
      <c r="D74" s="2746">
        <v>14255</v>
      </c>
      <c r="E74" s="2751">
        <v>22671</v>
      </c>
      <c r="F74" s="2745">
        <v>31111</v>
      </c>
      <c r="G74" s="2746">
        <v>19429</v>
      </c>
      <c r="H74" s="2746">
        <v>32435</v>
      </c>
      <c r="I74" s="2744">
        <v>195475</v>
      </c>
      <c r="J74" s="2744">
        <v>195475</v>
      </c>
      <c r="K74" s="2744">
        <v>195475</v>
      </c>
      <c r="L74" s="2744">
        <v>195475</v>
      </c>
      <c r="M74" s="2744">
        <v>195475</v>
      </c>
      <c r="N74" s="2744">
        <v>195475</v>
      </c>
      <c r="P74" s="1347"/>
      <c r="Q74" s="1347"/>
      <c r="R74" s="1347"/>
      <c r="S74" s="1347"/>
      <c r="T74" s="1347"/>
      <c r="U74" s="1347"/>
      <c r="V74" s="2792"/>
      <c r="W74" s="2792"/>
      <c r="X74" s="2792"/>
      <c r="Y74" s="2792"/>
    </row>
    <row r="75" spans="1:25">
      <c r="A75" s="2787">
        <v>501310</v>
      </c>
      <c r="B75" s="2784" t="s">
        <v>2047</v>
      </c>
      <c r="C75" s="2745">
        <v>223682</v>
      </c>
      <c r="D75" s="2746">
        <v>275115</v>
      </c>
      <c r="E75" s="2751">
        <v>116257</v>
      </c>
      <c r="F75" s="2745">
        <v>48065</v>
      </c>
      <c r="G75" s="2746">
        <v>-120684</v>
      </c>
      <c r="H75" s="2746">
        <v>154017</v>
      </c>
      <c r="I75" s="2744">
        <v>0</v>
      </c>
      <c r="J75" s="2744">
        <v>0</v>
      </c>
      <c r="K75" s="2744">
        <v>0</v>
      </c>
      <c r="L75" s="2744">
        <v>0</v>
      </c>
      <c r="M75" s="2744">
        <v>0</v>
      </c>
      <c r="N75" s="2744">
        <v>0</v>
      </c>
      <c r="P75" s="1347"/>
      <c r="Q75" s="1347"/>
      <c r="R75" s="1347"/>
      <c r="S75" s="1347"/>
      <c r="T75" s="1347"/>
      <c r="U75" s="1347"/>
      <c r="V75" s="2792"/>
      <c r="W75" s="2792"/>
      <c r="X75" s="2792"/>
      <c r="Y75" s="2792"/>
    </row>
    <row r="76" spans="1:25">
      <c r="A76" s="2787">
        <v>501350</v>
      </c>
      <c r="B76" s="2784" t="s">
        <v>2048</v>
      </c>
      <c r="C76" s="2745"/>
      <c r="D76" s="2746"/>
      <c r="E76" s="2751"/>
      <c r="F76" s="2745"/>
      <c r="G76" s="2746"/>
      <c r="H76" s="2746"/>
      <c r="I76" s="2744">
        <v>0</v>
      </c>
      <c r="J76" s="2744">
        <v>0</v>
      </c>
      <c r="K76" s="2744">
        <v>0</v>
      </c>
      <c r="L76" s="2744">
        <v>0</v>
      </c>
      <c r="M76" s="2744">
        <v>0</v>
      </c>
      <c r="N76" s="2744">
        <v>0</v>
      </c>
      <c r="P76" s="1347"/>
      <c r="Q76" s="1347"/>
      <c r="R76" s="1347"/>
      <c r="S76" s="1347"/>
      <c r="T76" s="1347"/>
      <c r="U76" s="1347"/>
      <c r="V76" s="2792"/>
      <c r="W76" s="2792"/>
      <c r="X76" s="2792"/>
      <c r="Y76" s="2792"/>
    </row>
    <row r="77" spans="1:25">
      <c r="A77" s="2787">
        <v>501996</v>
      </c>
      <c r="B77" s="2784" t="s">
        <v>1624</v>
      </c>
      <c r="C77" s="2745">
        <v>0</v>
      </c>
      <c r="D77" s="2746"/>
      <c r="E77" s="2751">
        <v>0</v>
      </c>
      <c r="F77" s="2745">
        <v>0</v>
      </c>
      <c r="G77" s="2746"/>
      <c r="H77" s="2746">
        <v>0</v>
      </c>
      <c r="I77" s="2744">
        <v>567000</v>
      </c>
      <c r="J77" s="2744">
        <v>659000</v>
      </c>
      <c r="K77" s="2744">
        <v>729000</v>
      </c>
      <c r="L77" s="2744">
        <v>676000</v>
      </c>
      <c r="M77" s="2744">
        <v>909000</v>
      </c>
      <c r="N77" s="2744">
        <v>495000</v>
      </c>
      <c r="P77" s="1347"/>
      <c r="Q77" s="1347"/>
      <c r="R77" s="1347"/>
      <c r="S77" s="1347"/>
      <c r="T77" s="1347"/>
      <c r="U77" s="1347"/>
      <c r="V77" s="2792"/>
      <c r="W77" s="2792"/>
      <c r="X77" s="2792"/>
      <c r="Y77" s="2792"/>
    </row>
    <row r="78" spans="1:25">
      <c r="A78" s="2787">
        <v>502040</v>
      </c>
      <c r="B78" s="2784" t="s">
        <v>2049</v>
      </c>
      <c r="C78" s="2745">
        <v>565241</v>
      </c>
      <c r="D78" s="2746">
        <v>899842</v>
      </c>
      <c r="E78" s="2751">
        <v>657316</v>
      </c>
      <c r="F78" s="2745">
        <v>956771</v>
      </c>
      <c r="G78" s="2746">
        <v>558101</v>
      </c>
      <c r="H78" s="2746">
        <v>526570</v>
      </c>
      <c r="I78" s="2744">
        <v>-37902</v>
      </c>
      <c r="J78" s="2744">
        <v>272981</v>
      </c>
      <c r="K78" s="2744">
        <v>315881</v>
      </c>
      <c r="L78" s="2744">
        <v>-257220</v>
      </c>
      <c r="M78" s="2744">
        <v>-355321</v>
      </c>
      <c r="N78" s="2744">
        <v>261344</v>
      </c>
      <c r="P78" s="1347"/>
      <c r="Q78" s="1347"/>
      <c r="R78" s="1347"/>
      <c r="S78" s="1347"/>
      <c r="T78" s="1347"/>
      <c r="U78" s="1347"/>
      <c r="V78" s="2792"/>
      <c r="W78" s="2792"/>
      <c r="X78" s="2792"/>
      <c r="Y78" s="2792"/>
    </row>
    <row r="79" spans="1:25">
      <c r="A79" s="2793">
        <v>502070</v>
      </c>
      <c r="B79" s="2794" t="s">
        <v>2610</v>
      </c>
      <c r="C79" s="2752"/>
      <c r="D79" s="2746"/>
      <c r="E79" s="2751"/>
      <c r="F79" s="2752"/>
      <c r="G79" s="2746"/>
      <c r="H79" s="2746"/>
      <c r="I79" s="2764">
        <v>5000</v>
      </c>
      <c r="J79" s="2764">
        <v>5000</v>
      </c>
      <c r="K79" s="2764">
        <v>5000</v>
      </c>
      <c r="L79" s="2764">
        <v>5000</v>
      </c>
      <c r="M79" s="2764">
        <v>5000</v>
      </c>
      <c r="N79" s="2764">
        <v>0</v>
      </c>
      <c r="P79" s="1347"/>
      <c r="Q79" s="1347"/>
      <c r="R79" s="1347"/>
      <c r="S79" s="1347"/>
      <c r="T79" s="1347"/>
      <c r="U79" s="1347"/>
      <c r="V79" s="2792"/>
      <c r="W79" s="2792"/>
      <c r="X79" s="2792"/>
      <c r="Y79" s="2792"/>
    </row>
    <row r="80" spans="1:25">
      <c r="A80" s="2787">
        <v>502100</v>
      </c>
      <c r="B80" s="2784" t="s">
        <v>2050</v>
      </c>
      <c r="C80" s="2745">
        <v>276235</v>
      </c>
      <c r="D80" s="2746">
        <v>335629</v>
      </c>
      <c r="E80" s="2751">
        <v>260804</v>
      </c>
      <c r="F80" s="2745">
        <v>340468</v>
      </c>
      <c r="G80" s="2746">
        <v>300401</v>
      </c>
      <c r="H80" s="2746">
        <v>346998</v>
      </c>
      <c r="I80" s="2744">
        <v>798151</v>
      </c>
      <c r="J80" s="2744">
        <v>905744</v>
      </c>
      <c r="K80" s="2744">
        <v>921656</v>
      </c>
      <c r="L80" s="2744">
        <v>829768</v>
      </c>
      <c r="M80" s="2744">
        <v>693175</v>
      </c>
      <c r="N80" s="2744">
        <v>899872</v>
      </c>
      <c r="P80" s="1347"/>
      <c r="Q80" s="1347"/>
      <c r="R80" s="1347"/>
      <c r="S80" s="1347"/>
      <c r="T80" s="1347"/>
      <c r="U80" s="1347"/>
      <c r="V80" s="2792"/>
      <c r="W80" s="2792"/>
      <c r="X80" s="2792"/>
      <c r="Y80" s="2792"/>
    </row>
    <row r="81" spans="1:25">
      <c r="A81" s="2787">
        <v>505000</v>
      </c>
      <c r="B81" s="2784" t="s">
        <v>2051</v>
      </c>
      <c r="C81" s="2745">
        <v>59590</v>
      </c>
      <c r="D81" s="2746">
        <v>76168</v>
      </c>
      <c r="E81" s="2751">
        <v>57068</v>
      </c>
      <c r="F81" s="2745">
        <v>81114</v>
      </c>
      <c r="G81" s="2746">
        <v>59996</v>
      </c>
      <c r="H81" s="2746">
        <v>66195</v>
      </c>
      <c r="I81" s="2744">
        <v>44824</v>
      </c>
      <c r="J81" s="2744">
        <v>44823</v>
      </c>
      <c r="K81" s="2744">
        <v>44961</v>
      </c>
      <c r="L81" s="2744">
        <v>64325</v>
      </c>
      <c r="M81" s="2744">
        <v>44739</v>
      </c>
      <c r="N81" s="2744">
        <v>44878</v>
      </c>
      <c r="P81" s="1347"/>
      <c r="Q81" s="1347"/>
      <c r="R81" s="1347"/>
      <c r="S81" s="1347"/>
      <c r="T81" s="1347"/>
      <c r="U81" s="1347"/>
      <c r="V81" s="2792"/>
      <c r="W81" s="2792"/>
      <c r="X81" s="2792"/>
      <c r="Y81" s="2792"/>
    </row>
    <row r="82" spans="1:25">
      <c r="A82" s="2787">
        <v>506000</v>
      </c>
      <c r="B82" s="2784" t="s">
        <v>2052</v>
      </c>
      <c r="C82" s="2745">
        <v>441290</v>
      </c>
      <c r="D82" s="2746">
        <v>75530</v>
      </c>
      <c r="E82" s="2751">
        <v>143951</v>
      </c>
      <c r="F82" s="2745">
        <v>137200</v>
      </c>
      <c r="G82" s="2746">
        <v>142327</v>
      </c>
      <c r="H82" s="2746">
        <v>107698</v>
      </c>
      <c r="I82" s="2744">
        <v>114575</v>
      </c>
      <c r="J82" s="2744">
        <v>166005</v>
      </c>
      <c r="K82" s="2744">
        <v>108638</v>
      </c>
      <c r="L82" s="2744">
        <v>124526</v>
      </c>
      <c r="M82" s="2744">
        <v>164940</v>
      </c>
      <c r="N82" s="2744">
        <v>111101</v>
      </c>
      <c r="P82" s="1347"/>
      <c r="Q82" s="1347"/>
      <c r="R82" s="1347"/>
      <c r="S82" s="1347"/>
      <c r="T82" s="1347"/>
      <c r="U82" s="1347"/>
      <c r="V82" s="2792"/>
      <c r="W82" s="2792"/>
      <c r="X82" s="2792"/>
      <c r="Y82" s="2792"/>
    </row>
    <row r="83" spans="1:25">
      <c r="A83" s="2787">
        <v>509030</v>
      </c>
      <c r="B83" s="2784" t="s">
        <v>2053</v>
      </c>
      <c r="C83" s="2745">
        <v>68</v>
      </c>
      <c r="D83" s="2746">
        <v>53</v>
      </c>
      <c r="E83" s="2751">
        <v>49</v>
      </c>
      <c r="F83" s="2745">
        <v>38</v>
      </c>
      <c r="G83" s="2746">
        <v>49</v>
      </c>
      <c r="H83" s="2746">
        <v>45</v>
      </c>
      <c r="I83" s="2744">
        <v>84</v>
      </c>
      <c r="J83" s="2744">
        <v>89</v>
      </c>
      <c r="K83" s="2744">
        <v>94</v>
      </c>
      <c r="L83" s="2744">
        <v>82</v>
      </c>
      <c r="M83" s="2744">
        <v>84</v>
      </c>
      <c r="N83" s="2744">
        <v>82</v>
      </c>
      <c r="P83" s="1347"/>
      <c r="Q83" s="1347"/>
      <c r="R83" s="1347"/>
      <c r="S83" s="1347"/>
      <c r="T83" s="1347"/>
      <c r="U83" s="1347"/>
      <c r="V83" s="2792"/>
      <c r="W83" s="2792"/>
      <c r="X83" s="2792"/>
      <c r="Y83" s="2792"/>
    </row>
    <row r="84" spans="1:25">
      <c r="A84" s="2787">
        <v>509210</v>
      </c>
      <c r="B84" s="2784" t="s">
        <v>2054</v>
      </c>
      <c r="C84" s="2745">
        <v>-54</v>
      </c>
      <c r="D84" s="2746"/>
      <c r="E84" s="2751">
        <v>-11</v>
      </c>
      <c r="F84" s="2745">
        <v>11</v>
      </c>
      <c r="G84" s="2746"/>
      <c r="H84" s="2746"/>
      <c r="I84" s="2744">
        <v>2374</v>
      </c>
      <c r="J84" s="2744">
        <v>2561</v>
      </c>
      <c r="K84" s="2744">
        <v>2670</v>
      </c>
      <c r="L84" s="2744">
        <v>2305</v>
      </c>
      <c r="M84" s="2744">
        <v>0</v>
      </c>
      <c r="N84" s="2744">
        <v>0</v>
      </c>
      <c r="P84" s="1347"/>
      <c r="Q84" s="1347"/>
      <c r="R84" s="1347"/>
      <c r="S84" s="1347"/>
      <c r="T84" s="1347"/>
      <c r="U84" s="1347"/>
      <c r="V84" s="2792"/>
      <c r="W84" s="2792"/>
      <c r="X84" s="2792"/>
      <c r="Y84" s="2792"/>
    </row>
    <row r="85" spans="1:25">
      <c r="A85" s="2787">
        <v>509212</v>
      </c>
      <c r="B85" s="2784" t="s">
        <v>2055</v>
      </c>
      <c r="C85" s="2745">
        <v>2678</v>
      </c>
      <c r="D85" s="2746">
        <v>2315</v>
      </c>
      <c r="E85" s="2751">
        <v>1028</v>
      </c>
      <c r="F85" s="2745">
        <v>703</v>
      </c>
      <c r="G85" s="2746">
        <v>629</v>
      </c>
      <c r="H85" s="2746">
        <v>537</v>
      </c>
      <c r="I85" s="2744">
        <v>0</v>
      </c>
      <c r="J85" s="2744">
        <v>0</v>
      </c>
      <c r="K85" s="2744">
        <v>0</v>
      </c>
      <c r="L85" s="2744">
        <v>0</v>
      </c>
      <c r="M85" s="2744">
        <v>0</v>
      </c>
      <c r="N85" s="2744">
        <v>0</v>
      </c>
      <c r="P85" s="1347"/>
      <c r="Q85" s="1347"/>
      <c r="R85" s="1347"/>
      <c r="S85" s="1347"/>
      <c r="T85" s="1347"/>
      <c r="U85" s="1347"/>
      <c r="V85" s="2792"/>
      <c r="W85" s="2792"/>
      <c r="X85" s="2792"/>
      <c r="Y85" s="2792"/>
    </row>
    <row r="86" spans="1:25">
      <c r="A86" s="2787">
        <v>510000</v>
      </c>
      <c r="B86" s="2784" t="s">
        <v>2056</v>
      </c>
      <c r="C86" s="2745">
        <v>171031</v>
      </c>
      <c r="D86" s="2746">
        <v>157470</v>
      </c>
      <c r="E86" s="2751">
        <v>153293</v>
      </c>
      <c r="F86" s="2745">
        <v>134684</v>
      </c>
      <c r="G86" s="2746">
        <v>139015</v>
      </c>
      <c r="H86" s="2746">
        <v>158412</v>
      </c>
      <c r="I86" s="2744">
        <v>183461</v>
      </c>
      <c r="J86" s="2744">
        <v>183458</v>
      </c>
      <c r="K86" s="2744">
        <v>183972</v>
      </c>
      <c r="L86" s="2744">
        <v>181829</v>
      </c>
      <c r="M86" s="2744">
        <v>189123</v>
      </c>
      <c r="N86" s="2744">
        <v>183661</v>
      </c>
      <c r="P86" s="1347"/>
      <c r="Q86" s="1347"/>
      <c r="R86" s="1347"/>
      <c r="S86" s="1347"/>
      <c r="T86" s="1347"/>
      <c r="U86" s="1347"/>
      <c r="V86" s="2792"/>
      <c r="W86" s="2792"/>
      <c r="X86" s="2792"/>
      <c r="Y86" s="2792"/>
    </row>
    <row r="87" spans="1:25">
      <c r="A87" s="2787">
        <v>510100</v>
      </c>
      <c r="B87" s="2784" t="s">
        <v>2057</v>
      </c>
      <c r="C87" s="2745">
        <v>4239</v>
      </c>
      <c r="D87" s="2746">
        <v>1368</v>
      </c>
      <c r="E87" s="2751">
        <v>2830</v>
      </c>
      <c r="F87" s="2745">
        <v>3110</v>
      </c>
      <c r="G87" s="2746">
        <v>2208</v>
      </c>
      <c r="H87" s="2746">
        <v>3046</v>
      </c>
      <c r="I87" s="2744">
        <v>3891</v>
      </c>
      <c r="J87" s="2744">
        <v>3892</v>
      </c>
      <c r="K87" s="2744">
        <v>3893</v>
      </c>
      <c r="L87" s="2744">
        <v>3892</v>
      </c>
      <c r="M87" s="2744">
        <v>3893</v>
      </c>
      <c r="N87" s="2744">
        <v>3892</v>
      </c>
      <c r="P87" s="1347"/>
      <c r="Q87" s="1347"/>
      <c r="R87" s="1347"/>
      <c r="S87" s="1347"/>
      <c r="T87" s="1347"/>
      <c r="U87" s="1347"/>
      <c r="V87" s="2792"/>
      <c r="W87" s="2792"/>
      <c r="X87" s="2792"/>
      <c r="Y87" s="2792"/>
    </row>
    <row r="88" spans="1:25">
      <c r="A88" s="2787">
        <v>511000</v>
      </c>
      <c r="B88" s="2784" t="s">
        <v>2058</v>
      </c>
      <c r="C88" s="2745">
        <v>284649</v>
      </c>
      <c r="D88" s="2746">
        <v>281469</v>
      </c>
      <c r="E88" s="2751">
        <v>275899</v>
      </c>
      <c r="F88" s="2745">
        <v>530210</v>
      </c>
      <c r="G88" s="2746">
        <v>319727</v>
      </c>
      <c r="H88" s="2746">
        <v>348412</v>
      </c>
      <c r="I88" s="2744">
        <v>237200</v>
      </c>
      <c r="J88" s="2744">
        <v>237232</v>
      </c>
      <c r="K88" s="2744">
        <v>237396</v>
      </c>
      <c r="L88" s="2744">
        <v>263003</v>
      </c>
      <c r="M88" s="2744">
        <v>237086</v>
      </c>
      <c r="N88" s="2744">
        <v>238040</v>
      </c>
      <c r="P88" s="1347"/>
      <c r="Q88" s="1347"/>
      <c r="R88" s="1347"/>
      <c r="S88" s="1347"/>
      <c r="T88" s="1347"/>
      <c r="U88" s="1347"/>
      <c r="V88" s="2792"/>
      <c r="W88" s="2792"/>
      <c r="X88" s="2792"/>
      <c r="Y88" s="2792"/>
    </row>
    <row r="89" spans="1:25">
      <c r="A89" s="2787">
        <v>512100</v>
      </c>
      <c r="B89" s="2784" t="s">
        <v>2059</v>
      </c>
      <c r="C89" s="2745">
        <v>483448</v>
      </c>
      <c r="D89" s="2746">
        <v>509567</v>
      </c>
      <c r="E89" s="2751">
        <v>469542</v>
      </c>
      <c r="F89" s="2745">
        <v>626293</v>
      </c>
      <c r="G89" s="2746">
        <v>389447</v>
      </c>
      <c r="H89" s="2746">
        <v>615609</v>
      </c>
      <c r="I89" s="2744">
        <v>447765</v>
      </c>
      <c r="J89" s="2744">
        <v>377771</v>
      </c>
      <c r="K89" s="2744">
        <v>378005</v>
      </c>
      <c r="L89" s="2744">
        <v>414776</v>
      </c>
      <c r="M89" s="2744">
        <v>397582</v>
      </c>
      <c r="N89" s="2744">
        <v>407857</v>
      </c>
      <c r="P89" s="1347"/>
      <c r="Q89" s="1347"/>
      <c r="R89" s="1347"/>
      <c r="S89" s="1347"/>
      <c r="T89" s="1347"/>
      <c r="U89" s="1347"/>
      <c r="V89" s="2792"/>
      <c r="W89" s="2792"/>
      <c r="X89" s="2792"/>
      <c r="Y89" s="2792"/>
    </row>
    <row r="90" spans="1:25">
      <c r="A90" s="2787">
        <v>513100</v>
      </c>
      <c r="B90" s="2784" t="s">
        <v>2060</v>
      </c>
      <c r="C90" s="2745">
        <v>69752</v>
      </c>
      <c r="D90" s="2746">
        <v>161743</v>
      </c>
      <c r="E90" s="2751">
        <v>77787</v>
      </c>
      <c r="F90" s="2745">
        <v>8025</v>
      </c>
      <c r="G90" s="2746">
        <v>14451</v>
      </c>
      <c r="H90" s="2746">
        <v>372294</v>
      </c>
      <c r="I90" s="2744">
        <v>16477</v>
      </c>
      <c r="J90" s="2744">
        <v>16489</v>
      </c>
      <c r="K90" s="2744">
        <v>16451</v>
      </c>
      <c r="L90" s="2744">
        <v>16428</v>
      </c>
      <c r="M90" s="2744">
        <v>17824</v>
      </c>
      <c r="N90" s="2744">
        <v>32899</v>
      </c>
      <c r="P90" s="1347"/>
      <c r="Q90" s="1347"/>
      <c r="R90" s="1347"/>
      <c r="S90" s="1347"/>
      <c r="T90" s="1347"/>
      <c r="U90" s="1347"/>
      <c r="V90" s="2792"/>
      <c r="W90" s="2792"/>
      <c r="X90" s="2792"/>
      <c r="Y90" s="2792"/>
    </row>
    <row r="91" spans="1:25">
      <c r="A91" s="2787">
        <v>514000</v>
      </c>
      <c r="B91" s="2784" t="s">
        <v>2061</v>
      </c>
      <c r="C91" s="2745">
        <v>235239</v>
      </c>
      <c r="D91" s="2746">
        <v>85988</v>
      </c>
      <c r="E91" s="2751">
        <v>228980</v>
      </c>
      <c r="F91" s="2745">
        <v>132808</v>
      </c>
      <c r="G91" s="2746">
        <v>174130</v>
      </c>
      <c r="H91" s="2746">
        <v>927328</v>
      </c>
      <c r="I91" s="2744">
        <v>25609</v>
      </c>
      <c r="J91" s="2744">
        <v>25611</v>
      </c>
      <c r="K91" s="2744">
        <v>25671</v>
      </c>
      <c r="L91" s="2744">
        <v>35338</v>
      </c>
      <c r="M91" s="2744">
        <v>25560</v>
      </c>
      <c r="N91" s="2744">
        <v>25633</v>
      </c>
      <c r="P91" s="1347"/>
      <c r="Q91" s="1347"/>
      <c r="R91" s="1347"/>
      <c r="S91" s="1347"/>
      <c r="T91" s="1347"/>
      <c r="U91" s="1347"/>
      <c r="V91" s="2792"/>
      <c r="W91" s="2792"/>
      <c r="X91" s="2792"/>
      <c r="Y91" s="2792"/>
    </row>
    <row r="92" spans="1:25">
      <c r="A92" s="2787">
        <v>514300</v>
      </c>
      <c r="B92" s="2784" t="s">
        <v>2061</v>
      </c>
      <c r="C92" s="2745">
        <v>19</v>
      </c>
      <c r="D92" s="2746">
        <v>46</v>
      </c>
      <c r="E92" s="2751">
        <v>45</v>
      </c>
      <c r="F92" s="2745">
        <v>57</v>
      </c>
      <c r="G92" s="2746">
        <v>58</v>
      </c>
      <c r="H92" s="2746">
        <v>47</v>
      </c>
      <c r="I92" s="2744">
        <v>0</v>
      </c>
      <c r="J92" s="2744">
        <v>0</v>
      </c>
      <c r="K92" s="2744">
        <v>0</v>
      </c>
      <c r="L92" s="2744">
        <v>0</v>
      </c>
      <c r="M92" s="2744">
        <v>0</v>
      </c>
      <c r="N92" s="2744">
        <v>0</v>
      </c>
      <c r="P92" s="1347"/>
      <c r="Q92" s="1347"/>
      <c r="R92" s="1347"/>
      <c r="S92" s="1347"/>
      <c r="T92" s="1347"/>
      <c r="U92" s="1347"/>
      <c r="V92" s="2792"/>
      <c r="W92" s="2792"/>
      <c r="X92" s="2792"/>
      <c r="Y92" s="2792"/>
    </row>
    <row r="93" spans="1:25">
      <c r="A93" s="2787">
        <v>546000</v>
      </c>
      <c r="B93" s="2784" t="s">
        <v>2062</v>
      </c>
      <c r="C93" s="2745">
        <v>24593</v>
      </c>
      <c r="D93" s="2746">
        <v>31995</v>
      </c>
      <c r="E93" s="2751">
        <v>33079</v>
      </c>
      <c r="F93" s="2745">
        <v>36570</v>
      </c>
      <c r="G93" s="2746">
        <v>35102</v>
      </c>
      <c r="H93" s="2746">
        <v>30953</v>
      </c>
      <c r="I93" s="2744">
        <v>25705</v>
      </c>
      <c r="J93" s="2744">
        <v>25710</v>
      </c>
      <c r="K93" s="2744">
        <v>25761</v>
      </c>
      <c r="L93" s="2744">
        <v>27256</v>
      </c>
      <c r="M93" s="2744">
        <v>25681</v>
      </c>
      <c r="N93" s="2744">
        <v>25727</v>
      </c>
      <c r="P93" s="1347"/>
      <c r="Q93" s="1347"/>
      <c r="R93" s="1347"/>
      <c r="S93" s="1347"/>
      <c r="T93" s="1347"/>
      <c r="U93" s="1347"/>
      <c r="V93" s="2792"/>
      <c r="W93" s="2792"/>
      <c r="X93" s="2792"/>
      <c r="Y93" s="2792"/>
    </row>
    <row r="94" spans="1:25">
      <c r="A94" s="2787">
        <v>547100</v>
      </c>
      <c r="B94" s="2784" t="s">
        <v>2063</v>
      </c>
      <c r="C94" s="2745">
        <v>-10659</v>
      </c>
      <c r="D94" s="2746">
        <v>100590</v>
      </c>
      <c r="E94" s="2751">
        <v>108101</v>
      </c>
      <c r="F94" s="2745">
        <v>145050</v>
      </c>
      <c r="G94" s="2746">
        <v>0</v>
      </c>
      <c r="H94" s="2746">
        <v>355180</v>
      </c>
      <c r="I94" s="2744">
        <v>0</v>
      </c>
      <c r="J94" s="2744">
        <v>0</v>
      </c>
      <c r="K94" s="2744">
        <v>0</v>
      </c>
      <c r="L94" s="2744">
        <v>0</v>
      </c>
      <c r="M94" s="2744">
        <v>0</v>
      </c>
      <c r="N94" s="2744">
        <v>0</v>
      </c>
      <c r="P94" s="1347"/>
      <c r="Q94" s="1347"/>
      <c r="R94" s="1347"/>
      <c r="S94" s="1347"/>
      <c r="T94" s="1347"/>
      <c r="U94" s="1347"/>
      <c r="V94" s="2792"/>
      <c r="W94" s="2792"/>
      <c r="X94" s="2792"/>
      <c r="Y94" s="2792"/>
    </row>
    <row r="95" spans="1:25">
      <c r="A95" s="2787">
        <v>547150</v>
      </c>
      <c r="B95" s="2784" t="s">
        <v>2064</v>
      </c>
      <c r="C95" s="2745">
        <v>745</v>
      </c>
      <c r="D95" s="2746">
        <v>897</v>
      </c>
      <c r="E95" s="2751">
        <v>793</v>
      </c>
      <c r="F95" s="2745">
        <v>876</v>
      </c>
      <c r="G95" s="2746">
        <v>823</v>
      </c>
      <c r="H95" s="2746">
        <v>1740</v>
      </c>
      <c r="I95" s="2744">
        <v>968</v>
      </c>
      <c r="J95" s="2744">
        <v>968</v>
      </c>
      <c r="K95" s="2744">
        <v>968</v>
      </c>
      <c r="L95" s="2744">
        <v>968</v>
      </c>
      <c r="M95" s="2744">
        <v>968</v>
      </c>
      <c r="N95" s="2744">
        <v>968</v>
      </c>
      <c r="P95" s="1347"/>
      <c r="Q95" s="1347"/>
      <c r="R95" s="1347"/>
      <c r="S95" s="1347"/>
      <c r="T95" s="1347"/>
      <c r="U95" s="1347"/>
      <c r="V95" s="2792"/>
      <c r="W95" s="2792"/>
      <c r="X95" s="2792"/>
      <c r="Y95" s="2792"/>
    </row>
    <row r="96" spans="1:25">
      <c r="A96" s="2787">
        <v>547701</v>
      </c>
      <c r="B96" s="2784" t="s">
        <v>2065</v>
      </c>
      <c r="C96" s="2745">
        <v>290</v>
      </c>
      <c r="D96" s="2746">
        <v>457</v>
      </c>
      <c r="E96" s="2751">
        <v>209</v>
      </c>
      <c r="F96" s="2745">
        <v>254</v>
      </c>
      <c r="G96" s="2746">
        <v>277</v>
      </c>
      <c r="H96" s="2746">
        <v>326</v>
      </c>
      <c r="I96" s="2744">
        <v>0</v>
      </c>
      <c r="J96" s="2744">
        <v>0</v>
      </c>
      <c r="K96" s="2744">
        <v>0</v>
      </c>
      <c r="L96" s="2744">
        <v>0</v>
      </c>
      <c r="M96" s="2744">
        <v>0</v>
      </c>
      <c r="N96" s="2744">
        <v>0</v>
      </c>
      <c r="P96" s="1347"/>
      <c r="Q96" s="1347"/>
      <c r="R96" s="1347"/>
      <c r="S96" s="1347"/>
      <c r="T96" s="1347"/>
      <c r="U96" s="1347"/>
      <c r="V96" s="2792"/>
      <c r="W96" s="2792"/>
      <c r="X96" s="2792"/>
      <c r="Y96" s="2792"/>
    </row>
    <row r="97" spans="1:25">
      <c r="A97" s="2787">
        <v>548100</v>
      </c>
      <c r="B97" s="2784" t="s">
        <v>2066</v>
      </c>
      <c r="C97" s="2745">
        <v>517</v>
      </c>
      <c r="D97" s="2746">
        <v>485</v>
      </c>
      <c r="E97" s="2751">
        <v>237</v>
      </c>
      <c r="F97" s="2745">
        <v>467</v>
      </c>
      <c r="G97" s="2746">
        <v>507</v>
      </c>
      <c r="H97" s="2746">
        <v>1481</v>
      </c>
      <c r="I97" s="2744">
        <v>1972</v>
      </c>
      <c r="J97" s="2744">
        <v>1903</v>
      </c>
      <c r="K97" s="2744">
        <v>1861</v>
      </c>
      <c r="L97" s="2744">
        <v>1971</v>
      </c>
      <c r="M97" s="2744">
        <v>1840</v>
      </c>
      <c r="N97" s="2744">
        <v>1861</v>
      </c>
      <c r="P97" s="1347"/>
      <c r="Q97" s="1347"/>
      <c r="R97" s="1347"/>
      <c r="S97" s="1347"/>
      <c r="T97" s="1347"/>
      <c r="U97" s="1347"/>
      <c r="V97" s="2792"/>
      <c r="W97" s="2792"/>
      <c r="X97" s="2792"/>
      <c r="Y97" s="2792"/>
    </row>
    <row r="98" spans="1:25">
      <c r="A98" s="2787">
        <v>548200</v>
      </c>
      <c r="B98" s="2784" t="s">
        <v>2067</v>
      </c>
      <c r="C98" s="2745">
        <v>23156</v>
      </c>
      <c r="D98" s="2746">
        <v>30205</v>
      </c>
      <c r="E98" s="2751">
        <v>22235</v>
      </c>
      <c r="F98" s="2745">
        <v>29867</v>
      </c>
      <c r="G98" s="2746">
        <v>22347</v>
      </c>
      <c r="H98" s="2746">
        <v>24017</v>
      </c>
      <c r="I98" s="2744">
        <v>26278</v>
      </c>
      <c r="J98" s="2744">
        <v>26277</v>
      </c>
      <c r="K98" s="2744">
        <v>26367</v>
      </c>
      <c r="L98" s="2744">
        <v>38952</v>
      </c>
      <c r="M98" s="2744">
        <v>26223</v>
      </c>
      <c r="N98" s="2744">
        <v>26313</v>
      </c>
      <c r="P98" s="1347"/>
      <c r="Q98" s="1347"/>
      <c r="R98" s="1347"/>
      <c r="S98" s="1347"/>
      <c r="T98" s="1347"/>
      <c r="U98" s="1347"/>
      <c r="V98" s="2792"/>
      <c r="W98" s="2792"/>
      <c r="X98" s="2792"/>
      <c r="Y98" s="2792"/>
    </row>
    <row r="99" spans="1:25">
      <c r="A99" s="2787">
        <v>549000</v>
      </c>
      <c r="B99" s="2784" t="s">
        <v>2068</v>
      </c>
      <c r="C99" s="2745">
        <v>77739</v>
      </c>
      <c r="D99" s="2746">
        <v>92270</v>
      </c>
      <c r="E99" s="2751">
        <v>64503</v>
      </c>
      <c r="F99" s="2745">
        <v>83156</v>
      </c>
      <c r="G99" s="2746">
        <v>78211</v>
      </c>
      <c r="H99" s="2746">
        <v>77214</v>
      </c>
      <c r="I99" s="2744">
        <v>66335</v>
      </c>
      <c r="J99" s="2744">
        <v>61413</v>
      </c>
      <c r="K99" s="2744">
        <v>61249</v>
      </c>
      <c r="L99" s="2744">
        <v>80557</v>
      </c>
      <c r="M99" s="2744">
        <v>60960</v>
      </c>
      <c r="N99" s="2744">
        <v>63688</v>
      </c>
      <c r="P99" s="1347"/>
      <c r="Q99" s="1347"/>
      <c r="R99" s="1347"/>
      <c r="S99" s="1347"/>
      <c r="T99" s="1347"/>
      <c r="U99" s="1347"/>
      <c r="V99" s="2792"/>
      <c r="W99" s="2792"/>
      <c r="X99" s="2792"/>
      <c r="Y99" s="2792"/>
    </row>
    <row r="100" spans="1:25">
      <c r="A100" s="2787">
        <v>551000</v>
      </c>
      <c r="B100" s="2784" t="s">
        <v>2069</v>
      </c>
      <c r="C100" s="2745">
        <v>4305</v>
      </c>
      <c r="D100" s="2746">
        <v>4695</v>
      </c>
      <c r="E100" s="2751">
        <v>5054</v>
      </c>
      <c r="F100" s="2745">
        <v>6371</v>
      </c>
      <c r="G100" s="2746">
        <v>6426</v>
      </c>
      <c r="H100" s="2746">
        <v>6861</v>
      </c>
      <c r="I100" s="2744">
        <v>28705</v>
      </c>
      <c r="J100" s="2744">
        <v>31409</v>
      </c>
      <c r="K100" s="2744">
        <v>28777</v>
      </c>
      <c r="L100" s="2744">
        <v>28552</v>
      </c>
      <c r="M100" s="2744">
        <v>31365</v>
      </c>
      <c r="N100" s="2744">
        <v>28733</v>
      </c>
      <c r="P100" s="1347"/>
      <c r="Q100" s="1347"/>
      <c r="R100" s="1347"/>
      <c r="S100" s="1347"/>
      <c r="T100" s="1347"/>
      <c r="U100" s="1347"/>
      <c r="V100" s="2792"/>
      <c r="W100" s="2792"/>
      <c r="X100" s="2792"/>
      <c r="Y100" s="2792"/>
    </row>
    <row r="101" spans="1:25">
      <c r="A101" s="2787">
        <v>552000</v>
      </c>
      <c r="B101" s="2784" t="s">
        <v>2070</v>
      </c>
      <c r="C101" s="2745">
        <v>52452</v>
      </c>
      <c r="D101" s="2746">
        <v>36454</v>
      </c>
      <c r="E101" s="2751">
        <v>10251</v>
      </c>
      <c r="F101" s="2745">
        <v>31361</v>
      </c>
      <c r="G101" s="2746">
        <v>19298</v>
      </c>
      <c r="H101" s="2746">
        <v>6571</v>
      </c>
      <c r="I101" s="2744">
        <v>31984</v>
      </c>
      <c r="J101" s="2744">
        <v>31984</v>
      </c>
      <c r="K101" s="2744">
        <v>31983</v>
      </c>
      <c r="L101" s="2744">
        <v>51982</v>
      </c>
      <c r="M101" s="2744">
        <v>31983</v>
      </c>
      <c r="N101" s="2744">
        <v>31983</v>
      </c>
      <c r="P101" s="1347"/>
      <c r="Q101" s="1347"/>
      <c r="R101" s="1347"/>
      <c r="S101" s="1347"/>
      <c r="T101" s="1347"/>
      <c r="U101" s="1347"/>
      <c r="V101" s="2792"/>
      <c r="W101" s="2792"/>
      <c r="X101" s="2792"/>
      <c r="Y101" s="2792"/>
    </row>
    <row r="102" spans="1:25">
      <c r="A102" s="2787">
        <v>553000</v>
      </c>
      <c r="B102" s="2784" t="s">
        <v>2071</v>
      </c>
      <c r="C102" s="2745">
        <v>1180961</v>
      </c>
      <c r="D102" s="2746">
        <v>94694</v>
      </c>
      <c r="E102" s="2751">
        <v>12375</v>
      </c>
      <c r="F102" s="2745">
        <v>233974</v>
      </c>
      <c r="G102" s="2746">
        <v>145592</v>
      </c>
      <c r="H102" s="2746">
        <v>730193</v>
      </c>
      <c r="I102" s="2744">
        <v>15572</v>
      </c>
      <c r="J102" s="2744">
        <v>6521</v>
      </c>
      <c r="K102" s="2744">
        <v>6424</v>
      </c>
      <c r="L102" s="2744">
        <v>102482</v>
      </c>
      <c r="M102" s="2744">
        <v>563067</v>
      </c>
      <c r="N102" s="2744">
        <v>563121</v>
      </c>
      <c r="P102" s="1347"/>
      <c r="Q102" s="1347"/>
      <c r="R102" s="1347"/>
      <c r="S102" s="1347"/>
      <c r="T102" s="1347"/>
      <c r="U102" s="1347"/>
      <c r="V102" s="2792"/>
      <c r="W102" s="2792"/>
      <c r="X102" s="2792"/>
      <c r="Y102" s="2792"/>
    </row>
    <row r="103" spans="1:25">
      <c r="A103" s="2787">
        <v>554000</v>
      </c>
      <c r="B103" s="2784" t="s">
        <v>2072</v>
      </c>
      <c r="C103" s="2745">
        <v>19946</v>
      </c>
      <c r="D103" s="2746">
        <v>18289</v>
      </c>
      <c r="E103" s="2751">
        <v>24117</v>
      </c>
      <c r="F103" s="2745">
        <v>32303</v>
      </c>
      <c r="G103" s="2746">
        <v>23456</v>
      </c>
      <c r="H103" s="2746">
        <v>16619</v>
      </c>
      <c r="I103" s="2744">
        <v>11653</v>
      </c>
      <c r="J103" s="2744">
        <v>11653</v>
      </c>
      <c r="K103" s="2744">
        <v>11671</v>
      </c>
      <c r="L103" s="2744">
        <v>14242</v>
      </c>
      <c r="M103" s="2744">
        <v>11641</v>
      </c>
      <c r="N103" s="2744">
        <v>11660</v>
      </c>
      <c r="P103" s="1347"/>
      <c r="Q103" s="1347"/>
      <c r="R103" s="1347"/>
      <c r="S103" s="1347"/>
      <c r="T103" s="1347"/>
      <c r="U103" s="1347"/>
      <c r="V103" s="2792"/>
      <c r="W103" s="2792"/>
      <c r="X103" s="2792"/>
      <c r="Y103" s="2792"/>
    </row>
    <row r="104" spans="1:25">
      <c r="A104" s="2787">
        <v>555028</v>
      </c>
      <c r="B104" s="2784" t="s">
        <v>2073</v>
      </c>
      <c r="C104" s="2745">
        <v>69722</v>
      </c>
      <c r="D104" s="2746"/>
      <c r="E104" s="2751"/>
      <c r="F104" s="2745">
        <v>67162</v>
      </c>
      <c r="G104" s="2746"/>
      <c r="H104" s="2746"/>
      <c r="I104" s="2744">
        <v>0</v>
      </c>
      <c r="J104" s="2744">
        <v>0</v>
      </c>
      <c r="K104" s="2744">
        <v>0</v>
      </c>
      <c r="L104" s="2744">
        <v>0</v>
      </c>
      <c r="M104" s="2744">
        <v>0</v>
      </c>
      <c r="N104" s="2744">
        <v>0</v>
      </c>
      <c r="P104" s="1347"/>
      <c r="Q104" s="1347"/>
      <c r="R104" s="1347"/>
      <c r="S104" s="1347"/>
      <c r="T104" s="1347"/>
      <c r="U104" s="1347"/>
      <c r="V104" s="2792"/>
      <c r="W104" s="2792"/>
      <c r="X104" s="2792"/>
      <c r="Y104" s="2792"/>
    </row>
    <row r="105" spans="1:25">
      <c r="A105" s="2788">
        <v>555190</v>
      </c>
      <c r="B105" s="2789" t="s">
        <v>2074</v>
      </c>
      <c r="C105" s="2747"/>
      <c r="D105" s="2746"/>
      <c r="E105" s="2751"/>
      <c r="F105" s="2747"/>
      <c r="G105" s="2746"/>
      <c r="H105" s="2746"/>
      <c r="I105" s="2748"/>
      <c r="J105" s="2748"/>
      <c r="K105" s="2748"/>
      <c r="L105" s="2748"/>
      <c r="M105" s="2748"/>
      <c r="N105" s="2748"/>
      <c r="P105" s="1347"/>
      <c r="Q105" s="1347"/>
      <c r="R105" s="1347"/>
      <c r="S105" s="1347"/>
      <c r="T105" s="1347"/>
      <c r="U105" s="1347"/>
      <c r="V105" s="2792"/>
      <c r="W105" s="2792"/>
      <c r="X105" s="2792"/>
      <c r="Y105" s="2792"/>
    </row>
    <row r="106" spans="1:25">
      <c r="A106" s="2787">
        <v>555202</v>
      </c>
      <c r="B106" s="2784" t="s">
        <v>2075</v>
      </c>
      <c r="C106" s="2745">
        <v>7242320</v>
      </c>
      <c r="D106" s="2746">
        <v>426721</v>
      </c>
      <c r="E106" s="2751">
        <v>848576</v>
      </c>
      <c r="F106" s="2745">
        <v>1411560</v>
      </c>
      <c r="G106" s="2746">
        <v>638754</v>
      </c>
      <c r="H106" s="2746">
        <v>3913284</v>
      </c>
      <c r="I106" s="2744">
        <v>2620511</v>
      </c>
      <c r="J106" s="2744">
        <v>3262156</v>
      </c>
      <c r="K106" s="2744">
        <v>2318156</v>
      </c>
      <c r="L106" s="2744">
        <v>1865511</v>
      </c>
      <c r="M106" s="2744">
        <v>1074156</v>
      </c>
      <c r="N106" s="2744">
        <v>1497511</v>
      </c>
      <c r="P106" s="1347"/>
      <c r="Q106" s="1347"/>
      <c r="R106" s="1347"/>
      <c r="S106" s="1347"/>
      <c r="T106" s="1347"/>
      <c r="U106" s="1347"/>
      <c r="V106" s="2792"/>
      <c r="W106" s="2792"/>
      <c r="X106" s="2792"/>
      <c r="Y106" s="2792"/>
    </row>
    <row r="107" spans="1:25">
      <c r="A107" s="2787">
        <v>556000</v>
      </c>
      <c r="B107" s="2784" t="s">
        <v>2076</v>
      </c>
      <c r="C107" s="2745">
        <v>38</v>
      </c>
      <c r="D107" s="2746">
        <v>169</v>
      </c>
      <c r="E107" s="2751">
        <v>29</v>
      </c>
      <c r="F107" s="2745">
        <v>119</v>
      </c>
      <c r="G107" s="2746">
        <v>168</v>
      </c>
      <c r="H107" s="2746">
        <v>147</v>
      </c>
      <c r="I107" s="2744">
        <v>24</v>
      </c>
      <c r="J107" s="2744">
        <v>24</v>
      </c>
      <c r="K107" s="2744">
        <v>24</v>
      </c>
      <c r="L107" s="2744">
        <v>24</v>
      </c>
      <c r="M107" s="2744">
        <v>24</v>
      </c>
      <c r="N107" s="2744">
        <v>24</v>
      </c>
      <c r="P107" s="1347"/>
      <c r="Q107" s="1347"/>
      <c r="R107" s="1347"/>
      <c r="S107" s="1347"/>
      <c r="T107" s="1347"/>
      <c r="U107" s="1347"/>
      <c r="V107" s="2792"/>
      <c r="W107" s="2792"/>
      <c r="X107" s="2792"/>
      <c r="Y107" s="2792"/>
    </row>
    <row r="108" spans="1:25">
      <c r="A108" s="2787">
        <v>557000</v>
      </c>
      <c r="B108" s="2784" t="s">
        <v>2077</v>
      </c>
      <c r="C108" s="2745">
        <v>969469</v>
      </c>
      <c r="D108" s="2746">
        <v>896361</v>
      </c>
      <c r="E108" s="2751">
        <v>934137</v>
      </c>
      <c r="F108" s="2745">
        <v>1141812</v>
      </c>
      <c r="G108" s="2746">
        <v>1567993</v>
      </c>
      <c r="H108" s="2746">
        <v>1478598</v>
      </c>
      <c r="I108" s="2744">
        <v>788120</v>
      </c>
      <c r="J108" s="2744">
        <v>932400</v>
      </c>
      <c r="K108" s="2744">
        <v>825810</v>
      </c>
      <c r="L108" s="2744">
        <v>772745</v>
      </c>
      <c r="M108" s="2744">
        <v>875246</v>
      </c>
      <c r="N108" s="2744">
        <v>612715</v>
      </c>
      <c r="P108" s="1347"/>
      <c r="Q108" s="1347"/>
      <c r="R108" s="1347"/>
      <c r="S108" s="1347"/>
      <c r="T108" s="1347"/>
      <c r="U108" s="1347"/>
      <c r="V108" s="2792"/>
      <c r="W108" s="2792"/>
      <c r="X108" s="2792"/>
      <c r="Y108" s="2792"/>
    </row>
    <row r="109" spans="1:25">
      <c r="A109" s="2787">
        <v>557450</v>
      </c>
      <c r="B109" s="2784" t="s">
        <v>2078</v>
      </c>
      <c r="C109" s="2745">
        <v>3413</v>
      </c>
      <c r="D109" s="2746">
        <v>3059</v>
      </c>
      <c r="E109" s="2751">
        <v>2775</v>
      </c>
      <c r="F109" s="2745">
        <v>2775</v>
      </c>
      <c r="G109" s="2746">
        <v>3110</v>
      </c>
      <c r="H109" s="2746">
        <v>2897</v>
      </c>
      <c r="I109" s="2744">
        <v>0</v>
      </c>
      <c r="J109" s="2744">
        <v>0</v>
      </c>
      <c r="K109" s="2744">
        <v>0</v>
      </c>
      <c r="L109" s="2744">
        <v>0</v>
      </c>
      <c r="M109" s="2744">
        <v>0</v>
      </c>
      <c r="N109" s="2744">
        <v>0</v>
      </c>
      <c r="P109" s="1347"/>
      <c r="Q109" s="1347"/>
      <c r="R109" s="1347"/>
      <c r="S109" s="1347"/>
      <c r="T109" s="1347"/>
      <c r="U109" s="1347"/>
      <c r="V109" s="2792"/>
      <c r="W109" s="2792"/>
      <c r="X109" s="2792"/>
      <c r="Y109" s="2792"/>
    </row>
    <row r="110" spans="1:25">
      <c r="A110" s="2787">
        <v>557980</v>
      </c>
      <c r="B110" s="2784" t="s">
        <v>2079</v>
      </c>
      <c r="C110" s="2745">
        <v>-740995</v>
      </c>
      <c r="D110" s="2746">
        <v>-150770</v>
      </c>
      <c r="E110" s="2751">
        <v>-293962</v>
      </c>
      <c r="F110" s="2745">
        <v>-57271</v>
      </c>
      <c r="G110" s="2746">
        <v>-515826</v>
      </c>
      <c r="H110" s="2746">
        <v>-2760567</v>
      </c>
      <c r="I110" s="2744">
        <v>-196528</v>
      </c>
      <c r="J110" s="2744">
        <v>-226416</v>
      </c>
      <c r="K110" s="2744">
        <v>61472</v>
      </c>
      <c r="L110" s="2744">
        <v>863594</v>
      </c>
      <c r="M110" s="2744">
        <v>244805</v>
      </c>
      <c r="N110" s="2744">
        <v>59730</v>
      </c>
      <c r="P110" s="1347"/>
      <c r="Q110" s="1347"/>
      <c r="R110" s="1347"/>
      <c r="S110" s="1347"/>
      <c r="T110" s="1347"/>
      <c r="U110" s="1347"/>
      <c r="V110" s="2792"/>
      <c r="W110" s="2792"/>
      <c r="X110" s="2792"/>
      <c r="Y110" s="2792"/>
    </row>
    <row r="111" spans="1:25">
      <c r="A111" s="2787">
        <v>560000</v>
      </c>
      <c r="B111" s="2784" t="s">
        <v>2080</v>
      </c>
      <c r="C111" s="2745">
        <v>168</v>
      </c>
      <c r="D111" s="2746">
        <v>156</v>
      </c>
      <c r="E111" s="2751">
        <v>238</v>
      </c>
      <c r="F111" s="2745">
        <v>419</v>
      </c>
      <c r="G111" s="2746">
        <v>197</v>
      </c>
      <c r="H111" s="2746">
        <v>255</v>
      </c>
      <c r="I111" s="2744">
        <v>8571</v>
      </c>
      <c r="J111" s="2744">
        <v>11748</v>
      </c>
      <c r="K111" s="2744">
        <v>6489</v>
      </c>
      <c r="L111" s="2744">
        <v>12183</v>
      </c>
      <c r="M111" s="2744">
        <v>3950</v>
      </c>
      <c r="N111" s="2744">
        <v>2612</v>
      </c>
      <c r="P111" s="1347"/>
      <c r="Q111" s="1347"/>
      <c r="R111" s="1347"/>
      <c r="S111" s="1347"/>
      <c r="T111" s="1347"/>
      <c r="U111" s="1347"/>
      <c r="V111" s="2792"/>
      <c r="W111" s="2792"/>
      <c r="X111" s="2792"/>
      <c r="Y111" s="2792"/>
    </row>
    <row r="112" spans="1:25">
      <c r="A112" s="2787">
        <v>561100</v>
      </c>
      <c r="B112" s="2784" t="s">
        <v>2081</v>
      </c>
      <c r="C112" s="2745">
        <v>9039</v>
      </c>
      <c r="D112" s="2746">
        <v>8995</v>
      </c>
      <c r="E112" s="2751">
        <v>8554</v>
      </c>
      <c r="F112" s="2745">
        <v>9759</v>
      </c>
      <c r="G112" s="2746">
        <v>9193</v>
      </c>
      <c r="H112" s="2746">
        <v>8993</v>
      </c>
      <c r="I112" s="2744">
        <v>9970</v>
      </c>
      <c r="J112" s="2744">
        <v>9970</v>
      </c>
      <c r="K112" s="2744">
        <v>9952</v>
      </c>
      <c r="L112" s="2744">
        <v>9958</v>
      </c>
      <c r="M112" s="2744">
        <v>9958</v>
      </c>
      <c r="N112" s="2744">
        <v>9998</v>
      </c>
      <c r="P112" s="1347"/>
      <c r="Q112" s="1347"/>
      <c r="R112" s="1347"/>
      <c r="S112" s="1347"/>
      <c r="T112" s="1347"/>
      <c r="U112" s="1347"/>
      <c r="V112" s="2792"/>
      <c r="W112" s="2792"/>
      <c r="X112" s="2792"/>
      <c r="Y112" s="2792"/>
    </row>
    <row r="113" spans="1:25">
      <c r="A113" s="2787">
        <v>561200</v>
      </c>
      <c r="B113" s="2784" t="s">
        <v>2082</v>
      </c>
      <c r="C113" s="2745">
        <v>42513</v>
      </c>
      <c r="D113" s="2746">
        <v>39986</v>
      </c>
      <c r="E113" s="2751">
        <v>38840</v>
      </c>
      <c r="F113" s="2745">
        <v>46901</v>
      </c>
      <c r="G113" s="2746">
        <v>41676</v>
      </c>
      <c r="H113" s="2746">
        <v>39949</v>
      </c>
      <c r="I113" s="2744">
        <v>44997</v>
      </c>
      <c r="J113" s="2744">
        <v>44998</v>
      </c>
      <c r="K113" s="2744">
        <v>44894</v>
      </c>
      <c r="L113" s="2744">
        <v>44873</v>
      </c>
      <c r="M113" s="2744">
        <v>44874</v>
      </c>
      <c r="N113" s="2744">
        <v>45012</v>
      </c>
      <c r="P113" s="1347"/>
      <c r="Q113" s="1347"/>
      <c r="R113" s="1347"/>
      <c r="S113" s="1347"/>
      <c r="T113" s="1347"/>
      <c r="U113" s="1347"/>
      <c r="V113" s="2792"/>
      <c r="W113" s="2792"/>
      <c r="X113" s="2792"/>
      <c r="Y113" s="2792"/>
    </row>
    <row r="114" spans="1:25">
      <c r="A114" s="2787">
        <v>561300</v>
      </c>
      <c r="B114" s="2784" t="s">
        <v>2083</v>
      </c>
      <c r="C114" s="2745">
        <v>5735</v>
      </c>
      <c r="D114" s="2746">
        <v>5474</v>
      </c>
      <c r="E114" s="2751">
        <v>5235</v>
      </c>
      <c r="F114" s="2745">
        <v>6266</v>
      </c>
      <c r="G114" s="2746">
        <v>5693</v>
      </c>
      <c r="H114" s="2746">
        <v>5483</v>
      </c>
      <c r="I114" s="2744">
        <v>6074</v>
      </c>
      <c r="J114" s="2744">
        <v>6075</v>
      </c>
      <c r="K114" s="2744">
        <v>6066</v>
      </c>
      <c r="L114" s="2744">
        <v>6068</v>
      </c>
      <c r="M114" s="2744">
        <v>6069</v>
      </c>
      <c r="N114" s="2744">
        <v>6088</v>
      </c>
      <c r="P114" s="1347"/>
      <c r="Q114" s="1347"/>
      <c r="R114" s="1347"/>
      <c r="S114" s="1347"/>
      <c r="T114" s="1347"/>
      <c r="U114" s="1347"/>
      <c r="V114" s="2792"/>
      <c r="W114" s="2792"/>
      <c r="X114" s="2792"/>
      <c r="Y114" s="2792"/>
    </row>
    <row r="115" spans="1:25">
      <c r="A115" s="2787">
        <v>561400</v>
      </c>
      <c r="B115" s="2784" t="s">
        <v>2546</v>
      </c>
      <c r="C115" s="2745">
        <v>1460340</v>
      </c>
      <c r="D115" s="2746"/>
      <c r="E115" s="2751">
        <v>70841</v>
      </c>
      <c r="F115" s="2745">
        <v>487951</v>
      </c>
      <c r="G115" s="2746">
        <v>145656</v>
      </c>
      <c r="H115" s="2746">
        <v>141977</v>
      </c>
      <c r="I115" s="2744">
        <v>0</v>
      </c>
      <c r="J115" s="2744">
        <v>0</v>
      </c>
      <c r="K115" s="2744">
        <v>0</v>
      </c>
      <c r="L115" s="2744">
        <v>0</v>
      </c>
      <c r="M115" s="2744">
        <v>0</v>
      </c>
      <c r="N115" s="2744">
        <v>0</v>
      </c>
      <c r="P115" s="1347"/>
      <c r="Q115" s="1347"/>
      <c r="R115" s="1347"/>
      <c r="S115" s="1347"/>
      <c r="T115" s="1347"/>
      <c r="U115" s="1347"/>
      <c r="V115" s="2792"/>
      <c r="W115" s="2792"/>
      <c r="X115" s="2792"/>
      <c r="Y115" s="2792"/>
    </row>
    <row r="116" spans="1:25">
      <c r="A116" s="2787">
        <v>561500</v>
      </c>
      <c r="B116" s="2784" t="s">
        <v>2084</v>
      </c>
      <c r="C116" s="2745">
        <v>0</v>
      </c>
      <c r="D116" s="2746"/>
      <c r="E116" s="2751">
        <v>456</v>
      </c>
      <c r="F116" s="2745">
        <v>968</v>
      </c>
      <c r="G116" s="2746"/>
      <c r="H116" s="2746">
        <v>0</v>
      </c>
      <c r="I116" s="2744">
        <v>215</v>
      </c>
      <c r="J116" s="2744">
        <v>215</v>
      </c>
      <c r="K116" s="2744">
        <v>215</v>
      </c>
      <c r="L116" s="2744">
        <v>215</v>
      </c>
      <c r="M116" s="2744">
        <v>215</v>
      </c>
      <c r="N116" s="2744">
        <v>215</v>
      </c>
      <c r="P116" s="1347"/>
      <c r="Q116" s="1347"/>
      <c r="R116" s="1347"/>
      <c r="S116" s="1347"/>
      <c r="T116" s="1347"/>
      <c r="U116" s="1347"/>
      <c r="V116" s="2792"/>
      <c r="W116" s="2792"/>
      <c r="X116" s="2792"/>
      <c r="Y116" s="2792"/>
    </row>
    <row r="117" spans="1:25">
      <c r="A117" s="2795">
        <v>561800</v>
      </c>
      <c r="B117" s="2784" t="s">
        <v>2084</v>
      </c>
      <c r="C117" s="2765"/>
      <c r="D117" s="2766"/>
      <c r="E117" s="2776"/>
      <c r="F117" s="2765">
        <v>860353</v>
      </c>
      <c r="G117" s="2766"/>
      <c r="H117" s="2766"/>
      <c r="I117" s="2767"/>
      <c r="J117" s="2767"/>
      <c r="K117" s="2767"/>
      <c r="L117" s="2767"/>
      <c r="M117" s="2767"/>
      <c r="N117" s="2767"/>
      <c r="P117" s="1347"/>
      <c r="Q117" s="1347"/>
      <c r="R117" s="1347"/>
      <c r="S117" s="1347"/>
      <c r="T117" s="1347"/>
      <c r="U117" s="1347"/>
      <c r="V117" s="2792"/>
      <c r="W117" s="2792"/>
      <c r="X117" s="2792"/>
      <c r="Y117" s="2792"/>
    </row>
    <row r="118" spans="1:25">
      <c r="A118" s="2787">
        <v>562000</v>
      </c>
      <c r="B118" s="2784" t="s">
        <v>1362</v>
      </c>
      <c r="C118" s="2745">
        <v>4787</v>
      </c>
      <c r="D118" s="2746">
        <v>18254</v>
      </c>
      <c r="E118" s="2751">
        <v>5039</v>
      </c>
      <c r="F118" s="2745">
        <v>13173</v>
      </c>
      <c r="G118" s="2746">
        <v>17139</v>
      </c>
      <c r="H118" s="2746">
        <v>9059</v>
      </c>
      <c r="I118" s="2744">
        <v>8779</v>
      </c>
      <c r="J118" s="2744">
        <v>8901</v>
      </c>
      <c r="K118" s="2744">
        <v>8491</v>
      </c>
      <c r="L118" s="2744">
        <v>9441</v>
      </c>
      <c r="M118" s="2744">
        <v>8471</v>
      </c>
      <c r="N118" s="2744">
        <v>8636</v>
      </c>
      <c r="P118" s="1347"/>
      <c r="Q118" s="1347"/>
      <c r="R118" s="1347"/>
      <c r="S118" s="1347"/>
      <c r="T118" s="1347"/>
      <c r="U118" s="1347"/>
      <c r="V118" s="2792"/>
      <c r="W118" s="2792"/>
      <c r="X118" s="2792"/>
      <c r="Y118" s="2792"/>
    </row>
    <row r="119" spans="1:25">
      <c r="A119" s="2787">
        <v>563000</v>
      </c>
      <c r="B119" s="2784" t="s">
        <v>2085</v>
      </c>
      <c r="C119" s="2745">
        <v>364</v>
      </c>
      <c r="D119" s="2746">
        <v>27842</v>
      </c>
      <c r="E119" s="2751">
        <v>406</v>
      </c>
      <c r="F119" s="2745">
        <v>732</v>
      </c>
      <c r="G119" s="2746">
        <v>9289</v>
      </c>
      <c r="H119" s="2746">
        <v>50</v>
      </c>
      <c r="I119" s="2744">
        <v>1715</v>
      </c>
      <c r="J119" s="2744">
        <v>1739</v>
      </c>
      <c r="K119" s="2744">
        <v>1656</v>
      </c>
      <c r="L119" s="2744">
        <v>2409</v>
      </c>
      <c r="M119" s="2744">
        <v>1652</v>
      </c>
      <c r="N119" s="2744">
        <v>1686</v>
      </c>
      <c r="P119" s="1347"/>
      <c r="Q119" s="1347"/>
      <c r="R119" s="1347"/>
      <c r="S119" s="1347"/>
      <c r="T119" s="1347"/>
      <c r="U119" s="1347"/>
      <c r="V119" s="2792"/>
      <c r="W119" s="2792"/>
      <c r="X119" s="2792"/>
      <c r="Y119" s="2792"/>
    </row>
    <row r="120" spans="1:25">
      <c r="A120" s="2787">
        <v>565000</v>
      </c>
      <c r="B120" s="2784" t="s">
        <v>2086</v>
      </c>
      <c r="C120" s="2745">
        <v>1378624</v>
      </c>
      <c r="D120" s="2746">
        <v>1410810</v>
      </c>
      <c r="E120" s="2751">
        <v>1203370</v>
      </c>
      <c r="F120" s="2745">
        <v>555301</v>
      </c>
      <c r="G120" s="2746">
        <v>1231399</v>
      </c>
      <c r="H120" s="2746">
        <v>1222093</v>
      </c>
      <c r="I120" s="2744">
        <v>989738</v>
      </c>
      <c r="J120" s="2744">
        <v>989738</v>
      </c>
      <c r="K120" s="2744">
        <v>989738</v>
      </c>
      <c r="L120" s="2744">
        <v>989738</v>
      </c>
      <c r="M120" s="2744">
        <v>989738</v>
      </c>
      <c r="N120" s="2744">
        <v>989738</v>
      </c>
      <c r="P120" s="1347"/>
      <c r="Q120" s="1347"/>
      <c r="R120" s="1347"/>
      <c r="S120" s="1347"/>
      <c r="T120" s="1347"/>
      <c r="U120" s="1347"/>
      <c r="V120" s="2792"/>
      <c r="W120" s="2792"/>
      <c r="X120" s="2792"/>
      <c r="Y120" s="2792"/>
    </row>
    <row r="121" spans="1:25">
      <c r="A121" s="2787">
        <v>566000</v>
      </c>
      <c r="B121" s="2784" t="s">
        <v>2087</v>
      </c>
      <c r="C121" s="2745">
        <v>17970</v>
      </c>
      <c r="D121" s="2746">
        <v>14313</v>
      </c>
      <c r="E121" s="2751">
        <v>73359</v>
      </c>
      <c r="F121" s="2745">
        <v>16865</v>
      </c>
      <c r="G121" s="2746">
        <v>81773</v>
      </c>
      <c r="H121" s="2746">
        <v>13736</v>
      </c>
      <c r="I121" s="2744">
        <v>9957</v>
      </c>
      <c r="J121" s="2744">
        <v>66864</v>
      </c>
      <c r="K121" s="2744">
        <v>6127</v>
      </c>
      <c r="L121" s="2744">
        <v>6067</v>
      </c>
      <c r="M121" s="2744">
        <v>66505</v>
      </c>
      <c r="N121" s="2744">
        <v>5257</v>
      </c>
      <c r="P121" s="1347"/>
      <c r="Q121" s="1347"/>
      <c r="R121" s="1347"/>
      <c r="S121" s="1347"/>
      <c r="T121" s="1347"/>
      <c r="U121" s="1347"/>
      <c r="V121" s="2792"/>
      <c r="W121" s="2792"/>
      <c r="X121" s="2792"/>
      <c r="Y121" s="2792"/>
    </row>
    <row r="122" spans="1:25">
      <c r="A122" s="2787">
        <v>566100</v>
      </c>
      <c r="B122" s="2784" t="s">
        <v>2088</v>
      </c>
      <c r="C122" s="2745">
        <v>260</v>
      </c>
      <c r="D122" s="2746">
        <v>83</v>
      </c>
      <c r="E122" s="2751">
        <v>60</v>
      </c>
      <c r="F122" s="2745">
        <v>113</v>
      </c>
      <c r="G122" s="2746">
        <v>37</v>
      </c>
      <c r="H122" s="2746">
        <v>36</v>
      </c>
      <c r="I122" s="2744">
        <v>0</v>
      </c>
      <c r="J122" s="2744">
        <v>0</v>
      </c>
      <c r="K122" s="2744">
        <v>0</v>
      </c>
      <c r="L122" s="2744">
        <v>0</v>
      </c>
      <c r="M122" s="2744">
        <v>0</v>
      </c>
      <c r="N122" s="2744">
        <v>0</v>
      </c>
      <c r="P122" s="1347"/>
      <c r="Q122" s="1347"/>
      <c r="R122" s="1347"/>
      <c r="S122" s="1347"/>
      <c r="T122" s="1347"/>
      <c r="U122" s="1347"/>
      <c r="V122" s="2792"/>
      <c r="W122" s="2792"/>
      <c r="X122" s="2792"/>
      <c r="Y122" s="2792"/>
    </row>
    <row r="123" spans="1:25">
      <c r="A123" s="2787">
        <v>567000</v>
      </c>
      <c r="B123" s="2784" t="s">
        <v>2089</v>
      </c>
      <c r="C123" s="2745"/>
      <c r="D123" s="2746"/>
      <c r="E123" s="2751"/>
      <c r="F123" s="2745"/>
      <c r="G123" s="2746"/>
      <c r="H123" s="2746"/>
      <c r="I123" s="2744">
        <v>0</v>
      </c>
      <c r="J123" s="2744">
        <v>0</v>
      </c>
      <c r="K123" s="2744">
        <v>0</v>
      </c>
      <c r="L123" s="2744">
        <v>0</v>
      </c>
      <c r="M123" s="2744">
        <v>0</v>
      </c>
      <c r="N123" s="2744">
        <v>0</v>
      </c>
      <c r="P123" s="1347"/>
      <c r="Q123" s="1347"/>
      <c r="R123" s="1347"/>
      <c r="S123" s="1347"/>
      <c r="T123" s="1347"/>
      <c r="U123" s="1347"/>
      <c r="V123" s="2792"/>
      <c r="W123" s="2792"/>
      <c r="X123" s="2792"/>
      <c r="Y123" s="2792"/>
    </row>
    <row r="124" spans="1:25">
      <c r="A124" s="2787">
        <v>569000</v>
      </c>
      <c r="B124" s="2784" t="s">
        <v>2090</v>
      </c>
      <c r="C124" s="2745">
        <v>404</v>
      </c>
      <c r="D124" s="2746">
        <v>65</v>
      </c>
      <c r="E124" s="2751">
        <v>552</v>
      </c>
      <c r="F124" s="2745">
        <v>641</v>
      </c>
      <c r="G124" s="2746">
        <v>1160</v>
      </c>
      <c r="H124" s="2746">
        <v>-790</v>
      </c>
      <c r="I124" s="2744">
        <v>0</v>
      </c>
      <c r="J124" s="2744">
        <v>0</v>
      </c>
      <c r="K124" s="2744">
        <v>0</v>
      </c>
      <c r="L124" s="2744">
        <v>0</v>
      </c>
      <c r="M124" s="2744">
        <v>0</v>
      </c>
      <c r="N124" s="2744">
        <v>0</v>
      </c>
      <c r="P124" s="1347"/>
      <c r="Q124" s="1347"/>
      <c r="R124" s="1347"/>
      <c r="S124" s="1347"/>
      <c r="T124" s="1347"/>
      <c r="U124" s="1347"/>
      <c r="V124" s="2792"/>
      <c r="W124" s="2792"/>
      <c r="X124" s="2792"/>
      <c r="Y124" s="2792"/>
    </row>
    <row r="125" spans="1:25">
      <c r="A125" s="2787">
        <v>569100</v>
      </c>
      <c r="B125" s="2784" t="s">
        <v>2091</v>
      </c>
      <c r="C125" s="2745">
        <v>71</v>
      </c>
      <c r="D125" s="2746"/>
      <c r="E125" s="2751">
        <v>89</v>
      </c>
      <c r="F125" s="2745">
        <v>23</v>
      </c>
      <c r="G125" s="2746"/>
      <c r="H125" s="2746">
        <v>0</v>
      </c>
      <c r="I125" s="2744">
        <v>0</v>
      </c>
      <c r="J125" s="2744">
        <v>0</v>
      </c>
      <c r="K125" s="2744">
        <v>0</v>
      </c>
      <c r="L125" s="2744">
        <v>0</v>
      </c>
      <c r="M125" s="2744">
        <v>0</v>
      </c>
      <c r="N125" s="2744">
        <v>0</v>
      </c>
      <c r="P125" s="1347"/>
      <c r="Q125" s="1347"/>
      <c r="R125" s="1347"/>
      <c r="S125" s="1347"/>
      <c r="T125" s="1347"/>
      <c r="U125" s="1347"/>
      <c r="V125" s="2792"/>
      <c r="W125" s="2792"/>
      <c r="X125" s="2792"/>
      <c r="Y125" s="2792"/>
    </row>
    <row r="126" spans="1:25">
      <c r="A126" s="2787">
        <v>569200</v>
      </c>
      <c r="B126" s="2784" t="s">
        <v>2092</v>
      </c>
      <c r="C126" s="2745">
        <v>8523</v>
      </c>
      <c r="D126" s="2746">
        <v>9869</v>
      </c>
      <c r="E126" s="2751">
        <v>6901</v>
      </c>
      <c r="F126" s="2745">
        <v>12961</v>
      </c>
      <c r="G126" s="2746">
        <v>7920</v>
      </c>
      <c r="H126" s="2746">
        <v>5434</v>
      </c>
      <c r="I126" s="2744">
        <v>13843</v>
      </c>
      <c r="J126" s="2744">
        <v>14972</v>
      </c>
      <c r="K126" s="2744">
        <v>14225</v>
      </c>
      <c r="L126" s="2744">
        <v>12490</v>
      </c>
      <c r="M126" s="2744">
        <v>16402</v>
      </c>
      <c r="N126" s="2744">
        <v>12186</v>
      </c>
      <c r="P126" s="1347"/>
      <c r="Q126" s="1347"/>
      <c r="R126" s="1347"/>
      <c r="S126" s="1347"/>
      <c r="T126" s="1347"/>
      <c r="U126" s="1347"/>
      <c r="V126" s="2792"/>
      <c r="W126" s="2792"/>
      <c r="X126" s="2792"/>
      <c r="Y126" s="2792"/>
    </row>
    <row r="127" spans="1:25">
      <c r="A127" s="2787">
        <v>570100</v>
      </c>
      <c r="B127" s="2784" t="s">
        <v>2093</v>
      </c>
      <c r="C127" s="2745">
        <v>-4600</v>
      </c>
      <c r="D127" s="2746">
        <v>5786</v>
      </c>
      <c r="E127" s="2751">
        <v>9852</v>
      </c>
      <c r="F127" s="2745">
        <v>40202</v>
      </c>
      <c r="G127" s="2746">
        <v>20920</v>
      </c>
      <c r="H127" s="2746">
        <v>14311</v>
      </c>
      <c r="I127" s="2744">
        <v>6140</v>
      </c>
      <c r="J127" s="2744">
        <v>6220</v>
      </c>
      <c r="K127" s="2744">
        <v>5951</v>
      </c>
      <c r="L127" s="2744">
        <v>6713</v>
      </c>
      <c r="M127" s="2744">
        <v>5938</v>
      </c>
      <c r="N127" s="2744">
        <v>6046</v>
      </c>
      <c r="P127" s="1347"/>
      <c r="Q127" s="1347"/>
      <c r="R127" s="1347"/>
      <c r="S127" s="1347"/>
      <c r="T127" s="1347"/>
      <c r="U127" s="1347"/>
      <c r="V127" s="2792"/>
      <c r="W127" s="2792"/>
      <c r="X127" s="2792"/>
      <c r="Y127" s="2792"/>
    </row>
    <row r="128" spans="1:25">
      <c r="A128" s="2793">
        <v>570200</v>
      </c>
      <c r="B128" s="2794" t="s">
        <v>2094</v>
      </c>
      <c r="C128" s="2752"/>
      <c r="D128" s="2746"/>
      <c r="E128" s="2751">
        <v>6667</v>
      </c>
      <c r="F128" s="2752">
        <v>2333</v>
      </c>
      <c r="G128" s="2746">
        <v>7457</v>
      </c>
      <c r="H128" s="2746">
        <v>8709</v>
      </c>
      <c r="I128" s="2764">
        <v>16896</v>
      </c>
      <c r="J128" s="2744">
        <v>17132</v>
      </c>
      <c r="K128" s="2744">
        <v>16342</v>
      </c>
      <c r="L128" s="2744">
        <v>15861</v>
      </c>
      <c r="M128" s="2744">
        <v>16305</v>
      </c>
      <c r="N128" s="2744">
        <v>16621</v>
      </c>
      <c r="P128" s="1347"/>
      <c r="Q128" s="1347"/>
      <c r="R128" s="1347"/>
      <c r="S128" s="1347"/>
      <c r="T128" s="1347"/>
      <c r="U128" s="1347"/>
      <c r="V128" s="2792"/>
      <c r="W128" s="2792"/>
      <c r="X128" s="2792"/>
      <c r="Y128" s="2792"/>
    </row>
    <row r="129" spans="1:25">
      <c r="A129" s="2787">
        <v>571000</v>
      </c>
      <c r="B129" s="2784" t="s">
        <v>2095</v>
      </c>
      <c r="C129" s="2745">
        <v>26170</v>
      </c>
      <c r="D129" s="2746">
        <v>-9309</v>
      </c>
      <c r="E129" s="2751">
        <v>13888</v>
      </c>
      <c r="F129" s="2745">
        <v>30274</v>
      </c>
      <c r="G129" s="2746">
        <v>5874</v>
      </c>
      <c r="H129" s="2746">
        <v>54577</v>
      </c>
      <c r="I129" s="2744">
        <v>28423</v>
      </c>
      <c r="J129" s="2744">
        <v>28924</v>
      </c>
      <c r="K129" s="2744">
        <v>29836</v>
      </c>
      <c r="L129" s="2744">
        <v>35188</v>
      </c>
      <c r="M129" s="2744">
        <v>28747</v>
      </c>
      <c r="N129" s="2744">
        <v>26945</v>
      </c>
      <c r="P129" s="1347"/>
      <c r="Q129" s="1347"/>
      <c r="R129" s="1347"/>
      <c r="S129" s="1347"/>
      <c r="T129" s="1347"/>
      <c r="U129" s="1347"/>
      <c r="V129" s="2792"/>
      <c r="W129" s="2792"/>
      <c r="X129" s="2792"/>
      <c r="Y129" s="2792"/>
    </row>
    <row r="130" spans="1:25">
      <c r="A130" s="2787">
        <v>575700</v>
      </c>
      <c r="B130" s="2784" t="s">
        <v>2096</v>
      </c>
      <c r="C130" s="2745">
        <v>162974</v>
      </c>
      <c r="D130" s="2746">
        <v>166543</v>
      </c>
      <c r="E130" s="2751">
        <v>139692</v>
      </c>
      <c r="F130" s="2745">
        <v>161428</v>
      </c>
      <c r="G130" s="2746">
        <v>142700</v>
      </c>
      <c r="H130" s="2746">
        <v>32267</v>
      </c>
      <c r="I130" s="2744">
        <v>138601</v>
      </c>
      <c r="J130" s="2744">
        <v>138601</v>
      </c>
      <c r="K130" s="2744">
        <v>138601</v>
      </c>
      <c r="L130" s="2744">
        <v>138601</v>
      </c>
      <c r="M130" s="2744">
        <v>138601</v>
      </c>
      <c r="N130" s="2744">
        <v>138601</v>
      </c>
      <c r="P130" s="1347"/>
      <c r="Q130" s="1347"/>
      <c r="R130" s="1347"/>
      <c r="S130" s="1347"/>
      <c r="T130" s="1347"/>
      <c r="U130" s="1347"/>
      <c r="V130" s="2792"/>
      <c r="W130" s="2792"/>
      <c r="X130" s="2792"/>
      <c r="Y130" s="2792"/>
    </row>
    <row r="131" spans="1:25">
      <c r="A131" s="2787">
        <v>580000</v>
      </c>
      <c r="B131" s="2784" t="s">
        <v>2097</v>
      </c>
      <c r="C131" s="2745">
        <v>5448</v>
      </c>
      <c r="D131" s="2746">
        <v>3077</v>
      </c>
      <c r="E131" s="2751">
        <v>3483</v>
      </c>
      <c r="F131" s="2745">
        <v>7342</v>
      </c>
      <c r="G131" s="2746">
        <v>4132</v>
      </c>
      <c r="H131" s="2746">
        <v>3616</v>
      </c>
      <c r="I131" s="2744">
        <v>30512</v>
      </c>
      <c r="J131" s="2744">
        <v>40046</v>
      </c>
      <c r="K131" s="2744">
        <v>24269</v>
      </c>
      <c r="L131" s="2744">
        <v>41541</v>
      </c>
      <c r="M131" s="2744">
        <v>16490</v>
      </c>
      <c r="N131" s="2744">
        <v>12474</v>
      </c>
      <c r="P131" s="1347"/>
      <c r="Q131" s="1347"/>
      <c r="R131" s="1347"/>
      <c r="S131" s="1347"/>
      <c r="T131" s="1347"/>
      <c r="U131" s="1347"/>
      <c r="V131" s="2792"/>
      <c r="W131" s="2792"/>
      <c r="X131" s="2792"/>
      <c r="Y131" s="2792"/>
    </row>
    <row r="132" spans="1:25">
      <c r="A132" s="2787">
        <v>581004</v>
      </c>
      <c r="B132" s="2784" t="s">
        <v>2098</v>
      </c>
      <c r="C132" s="2745">
        <v>28916</v>
      </c>
      <c r="D132" s="2746">
        <v>34357</v>
      </c>
      <c r="E132" s="2751">
        <v>32154</v>
      </c>
      <c r="F132" s="2745">
        <v>40547</v>
      </c>
      <c r="G132" s="2746">
        <v>32013</v>
      </c>
      <c r="H132" s="2746">
        <v>32253</v>
      </c>
      <c r="I132" s="2744">
        <v>37523</v>
      </c>
      <c r="J132" s="2744">
        <v>37819</v>
      </c>
      <c r="K132" s="2744">
        <v>37516</v>
      </c>
      <c r="L132" s="2744">
        <v>37621</v>
      </c>
      <c r="M132" s="2744">
        <v>38653</v>
      </c>
      <c r="N132" s="2744">
        <v>38099</v>
      </c>
      <c r="P132" s="1347"/>
      <c r="Q132" s="1347"/>
      <c r="R132" s="1347"/>
      <c r="S132" s="1347"/>
      <c r="T132" s="1347"/>
      <c r="U132" s="1347"/>
      <c r="V132" s="2792"/>
      <c r="W132" s="2792"/>
      <c r="X132" s="2792"/>
      <c r="Y132" s="2792"/>
    </row>
    <row r="133" spans="1:25">
      <c r="A133" s="2787">
        <v>582100</v>
      </c>
      <c r="B133" s="2784" t="s">
        <v>2099</v>
      </c>
      <c r="C133" s="2745">
        <v>7535</v>
      </c>
      <c r="D133" s="2746">
        <v>20491</v>
      </c>
      <c r="E133" s="2751">
        <v>16776</v>
      </c>
      <c r="F133" s="2745">
        <v>20273</v>
      </c>
      <c r="G133" s="2746">
        <v>17862</v>
      </c>
      <c r="H133" s="2746">
        <v>20178</v>
      </c>
      <c r="I133" s="2744">
        <v>9151</v>
      </c>
      <c r="J133" s="2744">
        <v>9275</v>
      </c>
      <c r="K133" s="2744">
        <v>8859</v>
      </c>
      <c r="L133" s="2744">
        <v>8605</v>
      </c>
      <c r="M133" s="2744">
        <v>8839</v>
      </c>
      <c r="N133" s="2744">
        <v>9006</v>
      </c>
      <c r="P133" s="1347"/>
      <c r="Q133" s="1347"/>
      <c r="R133" s="1347"/>
      <c r="S133" s="1347"/>
      <c r="T133" s="1347"/>
      <c r="U133" s="1347"/>
      <c r="V133" s="2792"/>
      <c r="W133" s="2792"/>
      <c r="X133" s="2792"/>
      <c r="Y133" s="2792"/>
    </row>
    <row r="134" spans="1:25">
      <c r="A134" s="2787">
        <v>583100</v>
      </c>
      <c r="B134" s="2784" t="s">
        <v>2100</v>
      </c>
      <c r="C134" s="2745">
        <v>-22821</v>
      </c>
      <c r="D134" s="2746">
        <v>8300</v>
      </c>
      <c r="E134" s="2751">
        <v>2721</v>
      </c>
      <c r="F134" s="2745">
        <v>-6214</v>
      </c>
      <c r="G134" s="2746">
        <v>3375</v>
      </c>
      <c r="H134" s="2746">
        <v>2143</v>
      </c>
      <c r="I134" s="2744">
        <v>55529</v>
      </c>
      <c r="J134" s="2744">
        <v>21357</v>
      </c>
      <c r="K134" s="2744">
        <v>20426</v>
      </c>
      <c r="L134" s="2744">
        <v>57595</v>
      </c>
      <c r="M134" s="2744">
        <v>20471</v>
      </c>
      <c r="N134" s="2744">
        <v>22630</v>
      </c>
      <c r="P134" s="1347"/>
      <c r="Q134" s="1347"/>
      <c r="R134" s="1347"/>
      <c r="S134" s="1347"/>
      <c r="T134" s="1347"/>
      <c r="U134" s="1347"/>
      <c r="V134" s="2792"/>
      <c r="W134" s="2792"/>
      <c r="X134" s="2792"/>
      <c r="Y134" s="2792"/>
    </row>
    <row r="135" spans="1:25">
      <c r="A135" s="2787">
        <v>583200</v>
      </c>
      <c r="B135" s="2784" t="s">
        <v>2101</v>
      </c>
      <c r="C135" s="2745">
        <v>10865</v>
      </c>
      <c r="D135" s="2746">
        <v>8212</v>
      </c>
      <c r="E135" s="2751">
        <v>8864</v>
      </c>
      <c r="F135" s="2745">
        <v>11067</v>
      </c>
      <c r="G135" s="2746">
        <v>6693</v>
      </c>
      <c r="H135" s="2746">
        <v>7528</v>
      </c>
      <c r="I135" s="2744">
        <v>6201</v>
      </c>
      <c r="J135" s="2744">
        <v>6201</v>
      </c>
      <c r="K135" s="2744">
        <v>6201</v>
      </c>
      <c r="L135" s="2744">
        <v>9302</v>
      </c>
      <c r="M135" s="2744">
        <v>6388</v>
      </c>
      <c r="N135" s="2744">
        <v>6388</v>
      </c>
      <c r="P135" s="1347"/>
      <c r="Q135" s="1347"/>
      <c r="R135" s="1347"/>
      <c r="S135" s="1347"/>
      <c r="T135" s="1347"/>
      <c r="U135" s="1347"/>
      <c r="V135" s="2792"/>
      <c r="W135" s="2792"/>
      <c r="X135" s="2792"/>
      <c r="Y135" s="2792"/>
    </row>
    <row r="136" spans="1:25">
      <c r="A136" s="2787">
        <v>584000</v>
      </c>
      <c r="B136" s="2784" t="s">
        <v>2102</v>
      </c>
      <c r="C136" s="2745">
        <v>22406</v>
      </c>
      <c r="D136" s="2746">
        <v>37990</v>
      </c>
      <c r="E136" s="2751">
        <v>31451</v>
      </c>
      <c r="F136" s="2745">
        <v>36860</v>
      </c>
      <c r="G136" s="2746">
        <v>55286</v>
      </c>
      <c r="H136" s="2746">
        <v>4848</v>
      </c>
      <c r="I136" s="2744">
        <v>39861</v>
      </c>
      <c r="J136" s="2744">
        <v>56350</v>
      </c>
      <c r="K136" s="2744">
        <v>29571</v>
      </c>
      <c r="L136" s="2744">
        <v>35495</v>
      </c>
      <c r="M136" s="2744">
        <v>28770</v>
      </c>
      <c r="N136" s="2744">
        <v>27736</v>
      </c>
      <c r="P136" s="1347"/>
      <c r="Q136" s="1347"/>
      <c r="R136" s="1347"/>
      <c r="S136" s="1347"/>
      <c r="T136" s="1347"/>
      <c r="U136" s="1347"/>
      <c r="V136" s="2792"/>
      <c r="W136" s="2792"/>
      <c r="X136" s="2792"/>
      <c r="Y136" s="2792"/>
    </row>
    <row r="137" spans="1:25">
      <c r="A137" s="2787">
        <v>586000</v>
      </c>
      <c r="B137" s="2784" t="s">
        <v>2103</v>
      </c>
      <c r="C137" s="2745">
        <v>73202</v>
      </c>
      <c r="D137" s="2746">
        <v>68930</v>
      </c>
      <c r="E137" s="2751">
        <v>61309</v>
      </c>
      <c r="F137" s="2745">
        <v>81633</v>
      </c>
      <c r="G137" s="2746">
        <v>57809</v>
      </c>
      <c r="H137" s="2746">
        <v>58189</v>
      </c>
      <c r="I137" s="2744">
        <v>2633</v>
      </c>
      <c r="J137" s="2744">
        <v>1860</v>
      </c>
      <c r="K137" s="2744">
        <v>5305</v>
      </c>
      <c r="L137" s="2744">
        <v>9143</v>
      </c>
      <c r="M137" s="2744">
        <v>5573</v>
      </c>
      <c r="N137" s="2744">
        <v>1953</v>
      </c>
      <c r="P137" s="1347"/>
      <c r="Q137" s="1347"/>
      <c r="R137" s="1347"/>
      <c r="S137" s="1347"/>
      <c r="T137" s="1347"/>
      <c r="U137" s="1347"/>
      <c r="V137" s="2792"/>
      <c r="W137" s="2792"/>
      <c r="X137" s="2792"/>
      <c r="Y137" s="2792"/>
    </row>
    <row r="138" spans="1:25">
      <c r="A138" s="2787">
        <v>587000</v>
      </c>
      <c r="B138" s="2784" t="s">
        <v>2104</v>
      </c>
      <c r="C138" s="2745">
        <v>85750</v>
      </c>
      <c r="D138" s="2746">
        <v>60557</v>
      </c>
      <c r="E138" s="2751">
        <v>46019</v>
      </c>
      <c r="F138" s="2745">
        <v>8338</v>
      </c>
      <c r="G138" s="2746">
        <v>32222</v>
      </c>
      <c r="H138" s="2746">
        <v>32224</v>
      </c>
      <c r="I138" s="2744">
        <v>95159</v>
      </c>
      <c r="J138" s="2744">
        <v>74419</v>
      </c>
      <c r="K138" s="2744">
        <v>83562</v>
      </c>
      <c r="L138" s="2744">
        <v>113510</v>
      </c>
      <c r="M138" s="2744">
        <v>157416</v>
      </c>
      <c r="N138" s="2744">
        <v>134176</v>
      </c>
      <c r="P138" s="1347"/>
      <c r="Q138" s="1347"/>
      <c r="R138" s="1347"/>
      <c r="S138" s="1347"/>
      <c r="T138" s="1347"/>
      <c r="U138" s="1347"/>
      <c r="V138" s="2792"/>
      <c r="W138" s="2792"/>
      <c r="X138" s="2792"/>
      <c r="Y138" s="2792"/>
    </row>
    <row r="139" spans="1:25">
      <c r="A139" s="2787">
        <v>588100</v>
      </c>
      <c r="B139" s="2784" t="s">
        <v>2105</v>
      </c>
      <c r="C139" s="2745">
        <v>229803</v>
      </c>
      <c r="D139" s="2746">
        <v>136198</v>
      </c>
      <c r="E139" s="2751">
        <v>221862</v>
      </c>
      <c r="F139" s="2745">
        <v>222700</v>
      </c>
      <c r="G139" s="2746">
        <v>425622</v>
      </c>
      <c r="H139" s="2746">
        <v>149967</v>
      </c>
      <c r="I139" s="2744">
        <v>285046</v>
      </c>
      <c r="J139" s="2744">
        <v>232777</v>
      </c>
      <c r="K139" s="2744">
        <v>172491</v>
      </c>
      <c r="L139" s="2744">
        <v>256674</v>
      </c>
      <c r="M139" s="2744">
        <v>351507</v>
      </c>
      <c r="N139" s="2744">
        <v>203092</v>
      </c>
      <c r="P139" s="1347"/>
      <c r="Q139" s="1347"/>
      <c r="R139" s="1347"/>
      <c r="S139" s="1347"/>
      <c r="T139" s="1347"/>
      <c r="U139" s="1347"/>
      <c r="V139" s="2792"/>
      <c r="W139" s="2792"/>
      <c r="X139" s="2792"/>
      <c r="Y139" s="2792"/>
    </row>
    <row r="140" spans="1:25">
      <c r="A140" s="2787">
        <v>589000</v>
      </c>
      <c r="B140" s="2784" t="s">
        <v>2106</v>
      </c>
      <c r="C140" s="2745">
        <v>8450</v>
      </c>
      <c r="D140" s="2746">
        <v>3370</v>
      </c>
      <c r="E140" s="2751">
        <v>13192</v>
      </c>
      <c r="F140" s="2745">
        <v>-23685</v>
      </c>
      <c r="G140" s="2746">
        <v>4991</v>
      </c>
      <c r="H140" s="2746">
        <v>6573</v>
      </c>
      <c r="I140" s="2744">
        <v>0</v>
      </c>
      <c r="J140" s="2744">
        <v>0</v>
      </c>
      <c r="K140" s="2744">
        <v>480</v>
      </c>
      <c r="L140" s="2744">
        <v>13920</v>
      </c>
      <c r="M140" s="2744">
        <v>666</v>
      </c>
      <c r="N140" s="2744">
        <v>3523</v>
      </c>
      <c r="P140" s="1347"/>
      <c r="Q140" s="1347"/>
      <c r="R140" s="1347"/>
      <c r="S140" s="1347"/>
      <c r="T140" s="1347"/>
      <c r="U140" s="1347"/>
      <c r="V140" s="2792"/>
      <c r="W140" s="2792"/>
      <c r="X140" s="2792"/>
      <c r="Y140" s="2792"/>
    </row>
    <row r="141" spans="1:25">
      <c r="A141" s="2787">
        <v>591000</v>
      </c>
      <c r="B141" s="2784" t="s">
        <v>2107</v>
      </c>
      <c r="C141" s="2745">
        <v>466</v>
      </c>
      <c r="D141" s="2746"/>
      <c r="E141" s="2751"/>
      <c r="F141" s="2745">
        <v>142</v>
      </c>
      <c r="G141" s="2746"/>
      <c r="H141" s="2746"/>
      <c r="I141" s="2744">
        <v>0</v>
      </c>
      <c r="J141" s="2744">
        <v>0</v>
      </c>
      <c r="K141" s="2744">
        <v>0</v>
      </c>
      <c r="L141" s="2744">
        <v>0</v>
      </c>
      <c r="M141" s="2744">
        <v>0</v>
      </c>
      <c r="N141" s="2744">
        <v>0</v>
      </c>
      <c r="P141" s="1347"/>
      <c r="Q141" s="1347"/>
      <c r="R141" s="1347"/>
      <c r="S141" s="1347"/>
      <c r="T141" s="1347"/>
      <c r="U141" s="1347"/>
      <c r="V141" s="2792"/>
      <c r="W141" s="2792"/>
      <c r="X141" s="2792"/>
      <c r="Y141" s="2792"/>
    </row>
    <row r="142" spans="1:25">
      <c r="A142" s="2787">
        <v>592100</v>
      </c>
      <c r="B142" s="2784" t="s">
        <v>2108</v>
      </c>
      <c r="C142" s="2745">
        <v>14114</v>
      </c>
      <c r="D142" s="2746">
        <v>28402</v>
      </c>
      <c r="E142" s="2751">
        <v>15685</v>
      </c>
      <c r="F142" s="2745">
        <v>23778</v>
      </c>
      <c r="G142" s="2746">
        <v>20187</v>
      </c>
      <c r="H142" s="2746">
        <v>30645</v>
      </c>
      <c r="I142" s="2744">
        <v>8035</v>
      </c>
      <c r="J142" s="2744">
        <v>8151</v>
      </c>
      <c r="K142" s="2744">
        <v>7760</v>
      </c>
      <c r="L142" s="2744">
        <v>11260</v>
      </c>
      <c r="M142" s="2744">
        <v>7740</v>
      </c>
      <c r="N142" s="2744">
        <v>7898</v>
      </c>
      <c r="P142" s="1347"/>
      <c r="Q142" s="1347"/>
      <c r="R142" s="1347"/>
      <c r="S142" s="1347"/>
      <c r="T142" s="1347"/>
      <c r="U142" s="1347"/>
      <c r="V142" s="2792"/>
      <c r="W142" s="2792"/>
      <c r="X142" s="2792"/>
      <c r="Y142" s="2792"/>
    </row>
    <row r="143" spans="1:25">
      <c r="A143" s="2793">
        <v>592200</v>
      </c>
      <c r="B143" s="2794" t="s">
        <v>2423</v>
      </c>
      <c r="C143" s="2752"/>
      <c r="D143" s="2746"/>
      <c r="E143" s="2751">
        <v>0</v>
      </c>
      <c r="F143" s="2752">
        <v>8196</v>
      </c>
      <c r="G143" s="2746">
        <v>4333</v>
      </c>
      <c r="H143" s="2746">
        <v>4333</v>
      </c>
      <c r="I143" s="2764">
        <v>30623</v>
      </c>
      <c r="J143" s="2744">
        <v>31019</v>
      </c>
      <c r="K143" s="2744">
        <v>29693</v>
      </c>
      <c r="L143" s="2744">
        <v>28884</v>
      </c>
      <c r="M143" s="2744">
        <v>29630</v>
      </c>
      <c r="N143" s="2744">
        <v>30160</v>
      </c>
      <c r="P143" s="1347"/>
      <c r="Q143" s="1347"/>
      <c r="R143" s="1347"/>
      <c r="S143" s="1347"/>
      <c r="T143" s="1347"/>
      <c r="U143" s="1347"/>
      <c r="V143" s="2792"/>
      <c r="W143" s="2792"/>
      <c r="X143" s="2792"/>
      <c r="Y143" s="2792"/>
    </row>
    <row r="144" spans="1:25">
      <c r="A144" s="2787">
        <v>593000</v>
      </c>
      <c r="B144" s="2784" t="s">
        <v>2109</v>
      </c>
      <c r="C144" s="2745">
        <v>455910</v>
      </c>
      <c r="D144" s="2746">
        <v>307484</v>
      </c>
      <c r="E144" s="2751">
        <v>247181</v>
      </c>
      <c r="F144" s="2745">
        <v>1747639</v>
      </c>
      <c r="G144" s="2746">
        <v>491939</v>
      </c>
      <c r="H144" s="2746">
        <v>790646</v>
      </c>
      <c r="I144" s="2744">
        <v>432589</v>
      </c>
      <c r="J144" s="2744">
        <v>535150</v>
      </c>
      <c r="K144" s="2744">
        <v>533226</v>
      </c>
      <c r="L144" s="2744">
        <v>487696</v>
      </c>
      <c r="M144" s="2744">
        <v>330075</v>
      </c>
      <c r="N144" s="2744">
        <v>349374</v>
      </c>
      <c r="P144" s="1347"/>
      <c r="Q144" s="1347"/>
      <c r="R144" s="1347"/>
      <c r="S144" s="1347"/>
      <c r="T144" s="1347"/>
      <c r="U144" s="1347"/>
      <c r="V144" s="2792"/>
      <c r="W144" s="2792"/>
      <c r="X144" s="2792"/>
      <c r="Y144" s="2792"/>
    </row>
    <row r="145" spans="1:25">
      <c r="A145" s="2787">
        <v>593100</v>
      </c>
      <c r="B145" s="2784" t="s">
        <v>2110</v>
      </c>
      <c r="C145" s="2745">
        <v>0</v>
      </c>
      <c r="D145" s="2746"/>
      <c r="E145" s="2751">
        <v>0</v>
      </c>
      <c r="F145" s="2745">
        <v>0</v>
      </c>
      <c r="G145" s="2746"/>
      <c r="H145" s="2746">
        <v>0</v>
      </c>
      <c r="I145" s="2744">
        <v>5080</v>
      </c>
      <c r="J145" s="2744">
        <v>2413</v>
      </c>
      <c r="K145" s="2744">
        <v>2413</v>
      </c>
      <c r="L145" s="2744">
        <v>1143</v>
      </c>
      <c r="M145" s="2744">
        <v>1143</v>
      </c>
      <c r="N145" s="2744">
        <v>1143</v>
      </c>
      <c r="P145" s="1347"/>
      <c r="Q145" s="1347"/>
      <c r="R145" s="1347"/>
      <c r="S145" s="1347"/>
      <c r="T145" s="1347"/>
      <c r="U145" s="1347"/>
      <c r="V145" s="2792"/>
      <c r="W145" s="2792"/>
      <c r="X145" s="2792"/>
      <c r="Y145" s="2792"/>
    </row>
    <row r="146" spans="1:25">
      <c r="A146" s="2787">
        <v>594000</v>
      </c>
      <c r="B146" s="2784" t="s">
        <v>2111</v>
      </c>
      <c r="C146" s="2745">
        <v>14430</v>
      </c>
      <c r="D146" s="2746">
        <v>17660</v>
      </c>
      <c r="E146" s="2751">
        <v>20898</v>
      </c>
      <c r="F146" s="2745">
        <v>15559</v>
      </c>
      <c r="G146" s="2746">
        <v>16278</v>
      </c>
      <c r="H146" s="2746">
        <v>42785</v>
      </c>
      <c r="I146" s="2744">
        <v>30756</v>
      </c>
      <c r="J146" s="2744">
        <v>45607</v>
      </c>
      <c r="K146" s="2744">
        <v>46271</v>
      </c>
      <c r="L146" s="2744">
        <v>41726</v>
      </c>
      <c r="M146" s="2744">
        <v>39075</v>
      </c>
      <c r="N146" s="2744">
        <v>37499</v>
      </c>
      <c r="P146" s="1347"/>
      <c r="Q146" s="1347"/>
      <c r="R146" s="1347"/>
      <c r="S146" s="1347"/>
      <c r="T146" s="1347"/>
      <c r="U146" s="1347"/>
      <c r="V146" s="2792"/>
      <c r="W146" s="2792"/>
      <c r="X146" s="2792"/>
      <c r="Y146" s="2792"/>
    </row>
    <row r="147" spans="1:25">
      <c r="A147" s="2787">
        <v>595100</v>
      </c>
      <c r="B147" s="2784" t="s">
        <v>2112</v>
      </c>
      <c r="C147" s="2745">
        <v>106</v>
      </c>
      <c r="D147" s="2746">
        <v>778</v>
      </c>
      <c r="E147" s="2751">
        <v>1169</v>
      </c>
      <c r="F147" s="2745">
        <v>626</v>
      </c>
      <c r="G147" s="2746">
        <v>470</v>
      </c>
      <c r="H147" s="2746">
        <v>191336</v>
      </c>
      <c r="I147" s="2744">
        <v>6272</v>
      </c>
      <c r="J147" s="2744">
        <v>4499</v>
      </c>
      <c r="K147" s="2744">
        <v>5701</v>
      </c>
      <c r="L147" s="2744">
        <v>16286</v>
      </c>
      <c r="M147" s="2744">
        <v>6116</v>
      </c>
      <c r="N147" s="2744">
        <v>6365</v>
      </c>
      <c r="P147" s="1347"/>
      <c r="Q147" s="1347"/>
      <c r="R147" s="1347"/>
      <c r="S147" s="1347"/>
      <c r="T147" s="1347"/>
      <c r="U147" s="1347"/>
      <c r="V147" s="2792"/>
      <c r="W147" s="2792"/>
      <c r="X147" s="2792"/>
      <c r="Y147" s="2792"/>
    </row>
    <row r="148" spans="1:25">
      <c r="A148" s="2787">
        <v>596000</v>
      </c>
      <c r="B148" s="2784" t="s">
        <v>2113</v>
      </c>
      <c r="C148" s="2745">
        <v>69734</v>
      </c>
      <c r="D148" s="2746">
        <v>40106</v>
      </c>
      <c r="E148" s="2751">
        <v>31987</v>
      </c>
      <c r="F148" s="2745">
        <v>27763</v>
      </c>
      <c r="G148" s="2746">
        <v>29229</v>
      </c>
      <c r="H148" s="2746">
        <v>43473</v>
      </c>
      <c r="I148" s="2744">
        <v>19742</v>
      </c>
      <c r="J148" s="2744">
        <v>28736</v>
      </c>
      <c r="K148" s="2744">
        <v>21928</v>
      </c>
      <c r="L148" s="2744">
        <v>14504</v>
      </c>
      <c r="M148" s="2744">
        <v>32322</v>
      </c>
      <c r="N148" s="2744">
        <v>73681</v>
      </c>
      <c r="P148" s="1347"/>
      <c r="Q148" s="1347"/>
      <c r="R148" s="1347"/>
      <c r="S148" s="1347"/>
      <c r="T148" s="1347"/>
      <c r="U148" s="1347"/>
      <c r="V148" s="2792"/>
      <c r="W148" s="2792"/>
      <c r="X148" s="2792"/>
      <c r="Y148" s="2792"/>
    </row>
    <row r="149" spans="1:25">
      <c r="A149" s="2787">
        <v>597000</v>
      </c>
      <c r="B149" s="2784" t="s">
        <v>2114</v>
      </c>
      <c r="C149" s="2745">
        <v>25519</v>
      </c>
      <c r="D149" s="2746">
        <v>28348</v>
      </c>
      <c r="E149" s="2751">
        <v>21261</v>
      </c>
      <c r="F149" s="2745">
        <v>33155</v>
      </c>
      <c r="G149" s="2746">
        <v>25637</v>
      </c>
      <c r="H149" s="2746">
        <v>28314</v>
      </c>
      <c r="I149" s="2744">
        <v>24399</v>
      </c>
      <c r="J149" s="2744">
        <v>24399</v>
      </c>
      <c r="K149" s="2744">
        <v>24399</v>
      </c>
      <c r="L149" s="2744">
        <v>31976</v>
      </c>
      <c r="M149" s="2744">
        <v>24399</v>
      </c>
      <c r="N149" s="2744">
        <v>24399</v>
      </c>
      <c r="P149" s="1347"/>
      <c r="Q149" s="1347"/>
      <c r="R149" s="1347"/>
      <c r="S149" s="1347"/>
      <c r="T149" s="1347"/>
      <c r="U149" s="1347"/>
      <c r="V149" s="2792"/>
      <c r="W149" s="2792"/>
      <c r="X149" s="2792"/>
      <c r="Y149" s="2792"/>
    </row>
    <row r="150" spans="1:25">
      <c r="A150" s="2787">
        <v>901000</v>
      </c>
      <c r="B150" s="2784" t="s">
        <v>2115</v>
      </c>
      <c r="C150" s="2745">
        <v>18261</v>
      </c>
      <c r="D150" s="2746">
        <v>22044</v>
      </c>
      <c r="E150" s="2751">
        <v>18728</v>
      </c>
      <c r="F150" s="2745">
        <v>26180</v>
      </c>
      <c r="G150" s="2746">
        <v>23299</v>
      </c>
      <c r="H150" s="2746">
        <v>22578</v>
      </c>
      <c r="I150" s="2744">
        <v>57585</v>
      </c>
      <c r="J150" s="2744">
        <v>57588</v>
      </c>
      <c r="K150" s="2744">
        <v>57588</v>
      </c>
      <c r="L150" s="2744">
        <v>62413</v>
      </c>
      <c r="M150" s="2744">
        <v>57589</v>
      </c>
      <c r="N150" s="2744">
        <v>57586</v>
      </c>
      <c r="P150" s="1347"/>
      <c r="Q150" s="1347"/>
      <c r="R150" s="1347"/>
      <c r="S150" s="1347"/>
      <c r="T150" s="1347"/>
      <c r="U150" s="1347"/>
      <c r="V150" s="2792"/>
      <c r="W150" s="2792"/>
      <c r="X150" s="2792"/>
      <c r="Y150" s="2792"/>
    </row>
    <row r="151" spans="1:25">
      <c r="A151" s="2787">
        <v>902000</v>
      </c>
      <c r="B151" s="2784" t="s">
        <v>2116</v>
      </c>
      <c r="C151" s="2745">
        <v>65006</v>
      </c>
      <c r="D151" s="2746">
        <v>88441</v>
      </c>
      <c r="E151" s="2751">
        <v>61626</v>
      </c>
      <c r="F151" s="2745">
        <v>95860</v>
      </c>
      <c r="G151" s="2746">
        <v>70904</v>
      </c>
      <c r="H151" s="2746">
        <v>44737</v>
      </c>
      <c r="I151" s="2744">
        <v>65649</v>
      </c>
      <c r="J151" s="2744">
        <v>72688</v>
      </c>
      <c r="K151" s="2744">
        <v>72133</v>
      </c>
      <c r="L151" s="2744">
        <v>73871</v>
      </c>
      <c r="M151" s="2744">
        <v>62230</v>
      </c>
      <c r="N151" s="2744">
        <v>65194</v>
      </c>
      <c r="P151" s="1347"/>
      <c r="Q151" s="1347"/>
      <c r="R151" s="1347"/>
      <c r="S151" s="1347"/>
      <c r="T151" s="1347"/>
      <c r="U151" s="1347"/>
      <c r="V151" s="2792"/>
      <c r="W151" s="2792"/>
      <c r="X151" s="2792"/>
      <c r="Y151" s="2792"/>
    </row>
    <row r="152" spans="1:25">
      <c r="A152" s="2787">
        <v>903000</v>
      </c>
      <c r="B152" s="2784" t="s">
        <v>2117</v>
      </c>
      <c r="C152" s="2745">
        <v>159586</v>
      </c>
      <c r="D152" s="2746">
        <v>290243</v>
      </c>
      <c r="E152" s="2751">
        <v>248045</v>
      </c>
      <c r="F152" s="2745">
        <v>338746</v>
      </c>
      <c r="G152" s="2746">
        <v>225033</v>
      </c>
      <c r="H152" s="2746">
        <v>273838</v>
      </c>
      <c r="I152" s="2744">
        <v>162945</v>
      </c>
      <c r="J152" s="2744">
        <v>126194</v>
      </c>
      <c r="K152" s="2744">
        <v>175978</v>
      </c>
      <c r="L152" s="2744">
        <v>151220</v>
      </c>
      <c r="M152" s="2744">
        <v>159721</v>
      </c>
      <c r="N152" s="2744">
        <v>192565</v>
      </c>
      <c r="P152" s="1347"/>
      <c r="Q152" s="1347"/>
      <c r="R152" s="1347"/>
      <c r="S152" s="1347"/>
      <c r="T152" s="1347"/>
      <c r="U152" s="1347"/>
      <c r="V152" s="2792"/>
      <c r="W152" s="2792"/>
      <c r="X152" s="2792"/>
      <c r="Y152" s="2792"/>
    </row>
    <row r="153" spans="1:25">
      <c r="A153" s="2787">
        <v>903100</v>
      </c>
      <c r="B153" s="2784" t="s">
        <v>2118</v>
      </c>
      <c r="C153" s="2745">
        <v>26921</v>
      </c>
      <c r="D153" s="2746">
        <v>22422</v>
      </c>
      <c r="E153" s="2751">
        <v>8014</v>
      </c>
      <c r="F153" s="2745">
        <v>19539</v>
      </c>
      <c r="G153" s="2746">
        <v>13570</v>
      </c>
      <c r="H153" s="2746">
        <v>16216</v>
      </c>
      <c r="I153" s="2744">
        <v>47801</v>
      </c>
      <c r="J153" s="2744">
        <v>48390</v>
      </c>
      <c r="K153" s="2744">
        <v>49675</v>
      </c>
      <c r="L153" s="2744">
        <v>50311</v>
      </c>
      <c r="M153" s="2744">
        <v>48465</v>
      </c>
      <c r="N153" s="2744">
        <v>46466</v>
      </c>
      <c r="P153" s="1347"/>
      <c r="Q153" s="1347"/>
      <c r="R153" s="1347"/>
      <c r="S153" s="1347"/>
      <c r="T153" s="1347"/>
      <c r="U153" s="1347"/>
      <c r="V153" s="2792"/>
      <c r="W153" s="2792"/>
      <c r="X153" s="2792"/>
      <c r="Y153" s="2792"/>
    </row>
    <row r="154" spans="1:25">
      <c r="A154" s="2787">
        <v>903200</v>
      </c>
      <c r="B154" s="2784" t="s">
        <v>2119</v>
      </c>
      <c r="C154" s="2745">
        <v>73103</v>
      </c>
      <c r="D154" s="2746">
        <v>75475</v>
      </c>
      <c r="E154" s="2751">
        <v>193688</v>
      </c>
      <c r="F154" s="2745">
        <v>86893</v>
      </c>
      <c r="G154" s="2746">
        <v>72872</v>
      </c>
      <c r="H154" s="2746">
        <v>71275</v>
      </c>
      <c r="I154" s="2744">
        <v>70986</v>
      </c>
      <c r="J154" s="2744">
        <v>71544</v>
      </c>
      <c r="K154" s="2744">
        <v>72759</v>
      </c>
      <c r="L154" s="2744">
        <v>81291</v>
      </c>
      <c r="M154" s="2744">
        <v>71549</v>
      </c>
      <c r="N154" s="2744">
        <v>69658</v>
      </c>
      <c r="P154" s="1347"/>
      <c r="Q154" s="1347"/>
      <c r="R154" s="1347"/>
      <c r="S154" s="1347"/>
      <c r="T154" s="1347"/>
      <c r="U154" s="1347"/>
      <c r="V154" s="2792"/>
      <c r="W154" s="2792"/>
      <c r="X154" s="2792"/>
      <c r="Y154" s="2792"/>
    </row>
    <row r="155" spans="1:25">
      <c r="A155" s="2787">
        <v>903250</v>
      </c>
      <c r="B155" s="2784" t="s">
        <v>2444</v>
      </c>
      <c r="C155" s="2745">
        <v>149909</v>
      </c>
      <c r="D155" s="2746"/>
      <c r="E155" s="2751">
        <v>0</v>
      </c>
      <c r="F155" s="2745">
        <v>0</v>
      </c>
      <c r="G155" s="2746"/>
      <c r="H155" s="2746">
        <v>0</v>
      </c>
      <c r="I155" s="2744">
        <v>-105802</v>
      </c>
      <c r="J155" s="2744">
        <v>-110008</v>
      </c>
      <c r="K155" s="2744">
        <v>-99267</v>
      </c>
      <c r="L155" s="2744">
        <v>-67897</v>
      </c>
      <c r="M155" s="2744">
        <v>-51028</v>
      </c>
      <c r="N155" s="2744">
        <v>-73700</v>
      </c>
      <c r="P155" s="1347"/>
      <c r="Q155" s="1347"/>
      <c r="R155" s="1347"/>
      <c r="S155" s="1347"/>
      <c r="T155" s="1347"/>
      <c r="U155" s="1347"/>
      <c r="V155" s="2792"/>
      <c r="W155" s="2792"/>
      <c r="X155" s="2792"/>
      <c r="Y155" s="2792"/>
    </row>
    <row r="156" spans="1:25">
      <c r="A156" s="2787">
        <v>903300</v>
      </c>
      <c r="B156" s="2784" t="s">
        <v>2120</v>
      </c>
      <c r="C156" s="2745">
        <v>22220</v>
      </c>
      <c r="D156" s="2746">
        <v>22388</v>
      </c>
      <c r="E156" s="2751">
        <v>18811</v>
      </c>
      <c r="F156" s="2745">
        <v>22067</v>
      </c>
      <c r="G156" s="2746">
        <v>15674</v>
      </c>
      <c r="H156" s="2746">
        <v>21084</v>
      </c>
      <c r="I156" s="2744">
        <v>42647</v>
      </c>
      <c r="J156" s="2744">
        <v>43018</v>
      </c>
      <c r="K156" s="2744">
        <v>48332</v>
      </c>
      <c r="L156" s="2744">
        <v>45080</v>
      </c>
      <c r="M156" s="2744">
        <v>43022</v>
      </c>
      <c r="N156" s="2744">
        <v>42010</v>
      </c>
      <c r="P156" s="1347"/>
      <c r="Q156" s="1347"/>
      <c r="R156" s="1347"/>
      <c r="S156" s="1347"/>
      <c r="T156" s="1347"/>
      <c r="U156" s="1347"/>
      <c r="V156" s="2792"/>
      <c r="W156" s="2792"/>
      <c r="X156" s="2792"/>
      <c r="Y156" s="2792"/>
    </row>
    <row r="157" spans="1:25">
      <c r="A157" s="2787">
        <v>903400</v>
      </c>
      <c r="B157" s="2784" t="s">
        <v>2121</v>
      </c>
      <c r="C157" s="2745">
        <v>5728</v>
      </c>
      <c r="D157" s="2746">
        <v>3132</v>
      </c>
      <c r="E157" s="2751">
        <v>2803</v>
      </c>
      <c r="F157" s="2745">
        <v>3012</v>
      </c>
      <c r="G157" s="2746">
        <v>3117</v>
      </c>
      <c r="H157" s="2746">
        <v>3347</v>
      </c>
      <c r="I157" s="2744">
        <v>7312</v>
      </c>
      <c r="J157" s="2744">
        <v>7388</v>
      </c>
      <c r="K157" s="2744">
        <v>7465</v>
      </c>
      <c r="L157" s="2744">
        <v>7668</v>
      </c>
      <c r="M157" s="2744">
        <v>7641</v>
      </c>
      <c r="N157" s="2744">
        <v>7718</v>
      </c>
      <c r="P157" s="1347"/>
      <c r="Q157" s="1347"/>
      <c r="R157" s="1347"/>
      <c r="S157" s="1347"/>
      <c r="T157" s="1347"/>
      <c r="U157" s="1347"/>
      <c r="V157" s="2792"/>
      <c r="W157" s="2792"/>
      <c r="X157" s="2792"/>
      <c r="Y157" s="2792"/>
    </row>
    <row r="158" spans="1:25">
      <c r="A158" s="2787">
        <v>903750</v>
      </c>
      <c r="B158" s="2784" t="s">
        <v>2389</v>
      </c>
      <c r="C158" s="2745"/>
      <c r="D158" s="2746"/>
      <c r="E158" s="2751"/>
      <c r="F158" s="2745"/>
      <c r="G158" s="2746"/>
      <c r="H158" s="2746"/>
      <c r="I158" s="2744">
        <v>0</v>
      </c>
      <c r="J158" s="2744">
        <v>0</v>
      </c>
      <c r="K158" s="2744">
        <v>0</v>
      </c>
      <c r="L158" s="2744">
        <v>0</v>
      </c>
      <c r="M158" s="2744">
        <v>0</v>
      </c>
      <c r="N158" s="2744">
        <v>0</v>
      </c>
      <c r="P158" s="1347"/>
      <c r="Q158" s="1347"/>
      <c r="R158" s="1347"/>
      <c r="S158" s="1347"/>
      <c r="T158" s="1347"/>
      <c r="U158" s="1347"/>
      <c r="V158" s="2792"/>
      <c r="W158" s="2792"/>
      <c r="X158" s="2792"/>
      <c r="Y158" s="2792"/>
    </row>
    <row r="159" spans="1:25">
      <c r="A159" s="2787">
        <v>903891</v>
      </c>
      <c r="B159" s="2784" t="s">
        <v>2547</v>
      </c>
      <c r="C159" s="2745">
        <v>-166863</v>
      </c>
      <c r="D159" s="2746">
        <v>-17585</v>
      </c>
      <c r="E159" s="2751">
        <v>-14980</v>
      </c>
      <c r="F159" s="2745">
        <v>-14184</v>
      </c>
      <c r="G159" s="2746">
        <v>-11546</v>
      </c>
      <c r="H159" s="2746">
        <v>-11457</v>
      </c>
      <c r="I159" s="2744">
        <v>0</v>
      </c>
      <c r="J159" s="2744">
        <v>0</v>
      </c>
      <c r="K159" s="2744">
        <v>0</v>
      </c>
      <c r="L159" s="2744">
        <v>0</v>
      </c>
      <c r="M159" s="2744">
        <v>0</v>
      </c>
      <c r="N159" s="2744">
        <v>0</v>
      </c>
      <c r="P159" s="1347"/>
      <c r="Q159" s="1347"/>
      <c r="R159" s="1347"/>
      <c r="S159" s="1347"/>
      <c r="T159" s="1347"/>
      <c r="U159" s="1347"/>
      <c r="V159" s="2792"/>
      <c r="W159" s="2792"/>
      <c r="X159" s="2792"/>
      <c r="Y159" s="2792"/>
    </row>
    <row r="160" spans="1:25">
      <c r="A160" s="2787">
        <v>904001</v>
      </c>
      <c r="B160" s="2784" t="s">
        <v>2122</v>
      </c>
      <c r="C160" s="2745">
        <v>-114140</v>
      </c>
      <c r="D160" s="2746">
        <v>9320</v>
      </c>
      <c r="E160" s="2751">
        <v>-12108</v>
      </c>
      <c r="F160" s="2745">
        <v>-2728</v>
      </c>
      <c r="G160" s="2746">
        <v>-289</v>
      </c>
      <c r="H160" s="2746">
        <v>32654</v>
      </c>
      <c r="I160" s="2744">
        <v>4600</v>
      </c>
      <c r="J160" s="2744">
        <v>4600</v>
      </c>
      <c r="K160" s="2744">
        <v>4600</v>
      </c>
      <c r="L160" s="2744">
        <v>4600</v>
      </c>
      <c r="M160" s="2744">
        <v>4600</v>
      </c>
      <c r="N160" s="2744">
        <v>4600</v>
      </c>
      <c r="P160" s="1347"/>
      <c r="Q160" s="1347"/>
      <c r="R160" s="1347"/>
      <c r="S160" s="1347"/>
      <c r="T160" s="1347"/>
      <c r="U160" s="1347"/>
      <c r="V160" s="2792"/>
      <c r="W160" s="2792"/>
      <c r="X160" s="2792"/>
      <c r="Y160" s="2792"/>
    </row>
    <row r="161" spans="1:25">
      <c r="A161" s="2787">
        <v>904003</v>
      </c>
      <c r="B161" s="2784" t="s">
        <v>1363</v>
      </c>
      <c r="C161" s="2745"/>
      <c r="D161" s="2746"/>
      <c r="E161" s="2751">
        <v>0</v>
      </c>
      <c r="F161" s="2745"/>
      <c r="G161" s="2746"/>
      <c r="H161" s="2746">
        <v>0</v>
      </c>
      <c r="I161" s="2744">
        <v>142941</v>
      </c>
      <c r="J161" s="2744">
        <v>228881</v>
      </c>
      <c r="K161" s="2744">
        <v>194090</v>
      </c>
      <c r="L161" s="2744">
        <v>134949</v>
      </c>
      <c r="M161" s="2744">
        <v>211117</v>
      </c>
      <c r="N161" s="2744">
        <v>251619</v>
      </c>
      <c r="P161" s="1347"/>
      <c r="Q161" s="1347"/>
      <c r="R161" s="1347"/>
      <c r="S161" s="1347"/>
      <c r="T161" s="1347"/>
      <c r="U161" s="1347"/>
      <c r="V161" s="2792"/>
      <c r="W161" s="2792"/>
      <c r="X161" s="2792"/>
      <c r="Y161" s="2792"/>
    </row>
    <row r="162" spans="1:25">
      <c r="A162" s="2787">
        <v>904891</v>
      </c>
      <c r="B162" s="2784" t="s">
        <v>2123</v>
      </c>
      <c r="C162" s="2745">
        <v>681208</v>
      </c>
      <c r="D162" s="2746"/>
      <c r="E162" s="2751"/>
      <c r="F162" s="2745">
        <v>0</v>
      </c>
      <c r="G162" s="2746"/>
      <c r="H162" s="2746"/>
      <c r="I162" s="2744">
        <v>0</v>
      </c>
      <c r="J162" s="2744">
        <v>0</v>
      </c>
      <c r="K162" s="2744">
        <v>0</v>
      </c>
      <c r="L162" s="2744">
        <v>0</v>
      </c>
      <c r="M162" s="2744">
        <v>0</v>
      </c>
      <c r="N162" s="2744">
        <v>0</v>
      </c>
      <c r="P162" s="1347"/>
      <c r="Q162" s="1347"/>
      <c r="R162" s="1347"/>
      <c r="S162" s="1347"/>
      <c r="T162" s="1347"/>
      <c r="U162" s="1347"/>
      <c r="V162" s="2792"/>
      <c r="W162" s="2792"/>
      <c r="X162" s="2792"/>
      <c r="Y162" s="2792"/>
    </row>
    <row r="163" spans="1:25">
      <c r="A163" s="2787">
        <v>905000</v>
      </c>
      <c r="B163" s="2784" t="s">
        <v>2124</v>
      </c>
      <c r="C163" s="2745">
        <v>63</v>
      </c>
      <c r="D163" s="2746">
        <v>32</v>
      </c>
      <c r="E163" s="2751">
        <v>20</v>
      </c>
      <c r="F163" s="2745">
        <v>15</v>
      </c>
      <c r="G163" s="2746">
        <v>125</v>
      </c>
      <c r="H163" s="2746">
        <v>48</v>
      </c>
      <c r="I163" s="2744">
        <v>0</v>
      </c>
      <c r="J163" s="2744">
        <v>0</v>
      </c>
      <c r="K163" s="2744">
        <v>0</v>
      </c>
      <c r="L163" s="2744">
        <v>0</v>
      </c>
      <c r="M163" s="2744">
        <v>0</v>
      </c>
      <c r="N163" s="2744">
        <v>0</v>
      </c>
      <c r="P163" s="1347"/>
      <c r="Q163" s="1347"/>
      <c r="R163" s="1347"/>
      <c r="S163" s="1347"/>
      <c r="T163" s="1347"/>
      <c r="U163" s="1347"/>
      <c r="V163" s="2792"/>
      <c r="W163" s="2792"/>
      <c r="X163" s="2792"/>
      <c r="Y163" s="2792"/>
    </row>
    <row r="164" spans="1:25">
      <c r="A164" s="2787">
        <v>908000</v>
      </c>
      <c r="B164" s="2784" t="s">
        <v>2125</v>
      </c>
      <c r="C164" s="2745">
        <v>3</v>
      </c>
      <c r="D164" s="2746"/>
      <c r="E164" s="2751">
        <v>1</v>
      </c>
      <c r="F164" s="2745">
        <v>0</v>
      </c>
      <c r="G164" s="2746"/>
      <c r="H164" s="2746">
        <v>3</v>
      </c>
      <c r="I164" s="2744">
        <v>9387</v>
      </c>
      <c r="J164" s="2744">
        <v>9387</v>
      </c>
      <c r="K164" s="2744">
        <v>9387</v>
      </c>
      <c r="L164" s="2744">
        <v>9387</v>
      </c>
      <c r="M164" s="2744">
        <v>9387</v>
      </c>
      <c r="N164" s="2744">
        <v>9387</v>
      </c>
      <c r="P164" s="1347"/>
      <c r="Q164" s="1347"/>
      <c r="R164" s="1347"/>
      <c r="S164" s="1347"/>
      <c r="T164" s="1347"/>
      <c r="U164" s="1347"/>
      <c r="V164" s="2792"/>
      <c r="W164" s="2792"/>
      <c r="X164" s="2792"/>
      <c r="Y164" s="2792"/>
    </row>
    <row r="165" spans="1:25">
      <c r="A165" s="2787">
        <v>909650</v>
      </c>
      <c r="B165" s="2784" t="s">
        <v>2126</v>
      </c>
      <c r="C165" s="2745">
        <v>643</v>
      </c>
      <c r="D165" s="2746">
        <v>1192</v>
      </c>
      <c r="E165" s="2751"/>
      <c r="F165" s="2745">
        <v>492</v>
      </c>
      <c r="G165" s="2746">
        <v>0</v>
      </c>
      <c r="H165" s="2746"/>
      <c r="I165" s="2744">
        <v>0</v>
      </c>
      <c r="J165" s="2744">
        <v>0</v>
      </c>
      <c r="K165" s="2744">
        <v>0</v>
      </c>
      <c r="L165" s="2744">
        <v>0</v>
      </c>
      <c r="M165" s="2744">
        <v>0</v>
      </c>
      <c r="N165" s="2744">
        <v>0</v>
      </c>
      <c r="P165" s="1347"/>
      <c r="Q165" s="1347"/>
      <c r="R165" s="1347"/>
      <c r="S165" s="1347"/>
      <c r="T165" s="1347"/>
      <c r="U165" s="1347"/>
      <c r="V165" s="2792"/>
      <c r="W165" s="2792"/>
      <c r="X165" s="2792"/>
      <c r="Y165" s="2792"/>
    </row>
    <row r="166" spans="1:25">
      <c r="A166" s="2787">
        <v>910000</v>
      </c>
      <c r="B166" s="2784" t="s">
        <v>2127</v>
      </c>
      <c r="C166" s="2745">
        <v>33579</v>
      </c>
      <c r="D166" s="2746">
        <v>36653</v>
      </c>
      <c r="E166" s="2751">
        <v>49442</v>
      </c>
      <c r="F166" s="2745">
        <v>25591</v>
      </c>
      <c r="G166" s="2746">
        <v>20316</v>
      </c>
      <c r="H166" s="2746">
        <v>42632</v>
      </c>
      <c r="I166" s="2744">
        <v>35735</v>
      </c>
      <c r="J166" s="2744">
        <v>32446</v>
      </c>
      <c r="K166" s="2744">
        <v>31679</v>
      </c>
      <c r="L166" s="2744">
        <v>35106</v>
      </c>
      <c r="M166" s="2744">
        <v>33012</v>
      </c>
      <c r="N166" s="2744">
        <v>30514</v>
      </c>
      <c r="P166" s="1347"/>
      <c r="Q166" s="1347"/>
      <c r="R166" s="1347"/>
      <c r="S166" s="1347"/>
      <c r="T166" s="1347"/>
      <c r="U166" s="1347"/>
      <c r="V166" s="2792"/>
      <c r="W166" s="2792"/>
      <c r="X166" s="2792"/>
      <c r="Y166" s="2792"/>
    </row>
    <row r="167" spans="1:25">
      <c r="A167" s="2787">
        <v>910100</v>
      </c>
      <c r="B167" s="2784" t="s">
        <v>2128</v>
      </c>
      <c r="C167" s="2745">
        <v>41563</v>
      </c>
      <c r="D167" s="2746">
        <v>18031</v>
      </c>
      <c r="E167" s="2751">
        <v>15190</v>
      </c>
      <c r="F167" s="2745">
        <v>19453</v>
      </c>
      <c r="G167" s="2746">
        <v>23974</v>
      </c>
      <c r="H167" s="2746">
        <v>32223</v>
      </c>
      <c r="I167" s="2744">
        <v>43991</v>
      </c>
      <c r="J167" s="2744">
        <v>46999</v>
      </c>
      <c r="K167" s="2744">
        <v>41818</v>
      </c>
      <c r="L167" s="2744">
        <v>68159</v>
      </c>
      <c r="M167" s="2744">
        <v>39542</v>
      </c>
      <c r="N167" s="2744">
        <v>41773</v>
      </c>
      <c r="P167" s="1347"/>
      <c r="Q167" s="1347"/>
      <c r="R167" s="1347"/>
      <c r="S167" s="1347"/>
      <c r="T167" s="1347"/>
      <c r="U167" s="1347"/>
      <c r="V167" s="2792"/>
      <c r="W167" s="2792"/>
      <c r="X167" s="2792"/>
      <c r="Y167" s="2792"/>
    </row>
    <row r="168" spans="1:25">
      <c r="A168" s="2787">
        <v>912000</v>
      </c>
      <c r="B168" s="2784" t="s">
        <v>2129</v>
      </c>
      <c r="C168" s="2745">
        <v>90487</v>
      </c>
      <c r="D168" s="2746">
        <v>64056</v>
      </c>
      <c r="E168" s="2751">
        <v>64375</v>
      </c>
      <c r="F168" s="2745">
        <v>65375</v>
      </c>
      <c r="G168" s="2746">
        <v>63184</v>
      </c>
      <c r="H168" s="2746">
        <v>42846</v>
      </c>
      <c r="I168" s="2744">
        <v>85515</v>
      </c>
      <c r="J168" s="2744">
        <v>85538</v>
      </c>
      <c r="K168" s="2744">
        <v>85858</v>
      </c>
      <c r="L168" s="2744">
        <v>89541</v>
      </c>
      <c r="M168" s="2744">
        <v>85841</v>
      </c>
      <c r="N168" s="2744">
        <v>86223</v>
      </c>
      <c r="P168" s="1347"/>
      <c r="Q168" s="1347"/>
      <c r="R168" s="1347"/>
      <c r="S168" s="1347"/>
      <c r="T168" s="1347"/>
      <c r="U168" s="1347"/>
      <c r="V168" s="2792"/>
      <c r="W168" s="2792"/>
      <c r="X168" s="2792"/>
      <c r="Y168" s="2792"/>
    </row>
    <row r="169" spans="1:25">
      <c r="A169" s="2787">
        <v>913001</v>
      </c>
      <c r="B169" s="2784" t="s">
        <v>2130</v>
      </c>
      <c r="C169" s="2745">
        <v>19556</v>
      </c>
      <c r="D169" s="2746">
        <v>1436</v>
      </c>
      <c r="E169" s="2751">
        <v>1729</v>
      </c>
      <c r="F169" s="2745">
        <v>1779</v>
      </c>
      <c r="G169" s="2746">
        <v>3810</v>
      </c>
      <c r="H169" s="2746">
        <v>8560</v>
      </c>
      <c r="I169" s="2744">
        <v>155</v>
      </c>
      <c r="J169" s="2744">
        <v>155</v>
      </c>
      <c r="K169" s="2744">
        <v>155</v>
      </c>
      <c r="L169" s="2744">
        <v>155</v>
      </c>
      <c r="M169" s="2744">
        <v>155</v>
      </c>
      <c r="N169" s="2744">
        <v>155</v>
      </c>
      <c r="P169" s="1347"/>
      <c r="Q169" s="1347"/>
      <c r="R169" s="1347"/>
      <c r="S169" s="1347"/>
      <c r="T169" s="1347"/>
      <c r="U169" s="1347"/>
      <c r="V169" s="2792"/>
      <c r="W169" s="2792"/>
      <c r="X169" s="2792"/>
      <c r="Y169" s="2792"/>
    </row>
    <row r="170" spans="1:25">
      <c r="A170" s="2787">
        <v>920000</v>
      </c>
      <c r="B170" s="2784" t="s">
        <v>2131</v>
      </c>
      <c r="C170" s="2745">
        <v>1191335</v>
      </c>
      <c r="D170" s="2746">
        <v>437118</v>
      </c>
      <c r="E170" s="2751">
        <v>439971</v>
      </c>
      <c r="F170" s="2745">
        <v>298770</v>
      </c>
      <c r="G170" s="2746">
        <v>462305</v>
      </c>
      <c r="H170" s="2746">
        <v>486236</v>
      </c>
      <c r="I170" s="2744">
        <v>556109</v>
      </c>
      <c r="J170" s="2744">
        <v>481434</v>
      </c>
      <c r="K170" s="2744">
        <v>481150</v>
      </c>
      <c r="L170" s="2744">
        <v>154052</v>
      </c>
      <c r="M170" s="2744">
        <v>481015</v>
      </c>
      <c r="N170" s="2744">
        <v>480917</v>
      </c>
      <c r="P170" s="1347"/>
      <c r="Q170" s="1347"/>
      <c r="R170" s="1347"/>
      <c r="S170" s="1347"/>
      <c r="T170" s="1347"/>
      <c r="U170" s="1347"/>
      <c r="V170" s="2792"/>
      <c r="W170" s="2792"/>
      <c r="X170" s="2792"/>
      <c r="Y170" s="2792"/>
    </row>
    <row r="171" spans="1:25">
      <c r="A171" s="2787">
        <v>921100</v>
      </c>
      <c r="B171" s="2784" t="s">
        <v>2132</v>
      </c>
      <c r="C171" s="2745">
        <v>-15331</v>
      </c>
      <c r="D171" s="2746">
        <v>44316</v>
      </c>
      <c r="E171" s="2751">
        <v>27264</v>
      </c>
      <c r="F171" s="2745">
        <v>36372</v>
      </c>
      <c r="G171" s="2746">
        <v>27886</v>
      </c>
      <c r="H171" s="2746">
        <v>18289</v>
      </c>
      <c r="I171" s="2744">
        <v>25404</v>
      </c>
      <c r="J171" s="2744">
        <v>23254</v>
      </c>
      <c r="K171" s="2744">
        <v>23445</v>
      </c>
      <c r="L171" s="2744">
        <v>26152</v>
      </c>
      <c r="M171" s="2744">
        <v>23480</v>
      </c>
      <c r="N171" s="2744">
        <v>23910</v>
      </c>
      <c r="P171" s="1347"/>
      <c r="Q171" s="1347"/>
      <c r="R171" s="1347"/>
      <c r="S171" s="1347"/>
      <c r="T171" s="1347"/>
      <c r="U171" s="1347"/>
      <c r="V171" s="2792"/>
      <c r="W171" s="2792"/>
      <c r="X171" s="2792"/>
      <c r="Y171" s="2792"/>
    </row>
    <row r="172" spans="1:25">
      <c r="A172" s="2787">
        <v>921101</v>
      </c>
      <c r="B172" s="2784" t="s">
        <v>2133</v>
      </c>
      <c r="C172" s="2745">
        <v>3</v>
      </c>
      <c r="D172" s="2746"/>
      <c r="E172" s="2751"/>
      <c r="F172" s="2745"/>
      <c r="G172" s="2746"/>
      <c r="H172" s="2746"/>
      <c r="I172" s="2744">
        <v>0</v>
      </c>
      <c r="J172" s="2744">
        <v>0</v>
      </c>
      <c r="K172" s="2744">
        <v>0</v>
      </c>
      <c r="L172" s="2744">
        <v>0</v>
      </c>
      <c r="M172" s="2744">
        <v>0</v>
      </c>
      <c r="N172" s="2744">
        <v>0</v>
      </c>
      <c r="P172" s="1347"/>
      <c r="Q172" s="1347"/>
      <c r="R172" s="1347"/>
      <c r="S172" s="1347"/>
      <c r="T172" s="1347"/>
      <c r="U172" s="1347"/>
      <c r="V172" s="2792"/>
      <c r="W172" s="2792"/>
      <c r="X172" s="2792"/>
      <c r="Y172" s="2792"/>
    </row>
    <row r="173" spans="1:25">
      <c r="A173" s="2787">
        <v>921110</v>
      </c>
      <c r="B173" s="2784" t="s">
        <v>2134</v>
      </c>
      <c r="C173" s="2745">
        <v>3</v>
      </c>
      <c r="D173" s="2746"/>
      <c r="E173" s="2751">
        <v>5</v>
      </c>
      <c r="F173" s="2745"/>
      <c r="G173" s="2746"/>
      <c r="H173" s="2746">
        <v>5</v>
      </c>
      <c r="I173" s="2744">
        <v>0</v>
      </c>
      <c r="J173" s="2744">
        <v>0</v>
      </c>
      <c r="K173" s="2744">
        <v>0</v>
      </c>
      <c r="L173" s="2744">
        <v>0</v>
      </c>
      <c r="M173" s="2744">
        <v>0</v>
      </c>
      <c r="N173" s="2744">
        <v>0</v>
      </c>
      <c r="P173" s="1347"/>
      <c r="Q173" s="1347"/>
      <c r="R173" s="1347"/>
      <c r="S173" s="1347"/>
      <c r="T173" s="1347"/>
      <c r="U173" s="1347"/>
      <c r="V173" s="2792"/>
      <c r="W173" s="2792"/>
      <c r="X173" s="2792"/>
      <c r="Y173" s="2792"/>
    </row>
    <row r="174" spans="1:25">
      <c r="A174" s="2787">
        <v>921200</v>
      </c>
      <c r="B174" s="2784" t="s">
        <v>2135</v>
      </c>
      <c r="C174" s="2745">
        <v>66587</v>
      </c>
      <c r="D174" s="2746">
        <v>39743</v>
      </c>
      <c r="E174" s="2751">
        <v>36019</v>
      </c>
      <c r="F174" s="2745">
        <v>51125</v>
      </c>
      <c r="G174" s="2746">
        <v>50441</v>
      </c>
      <c r="H174" s="2746">
        <v>44215</v>
      </c>
      <c r="I174" s="2744">
        <v>92056</v>
      </c>
      <c r="J174" s="2744">
        <v>66674</v>
      </c>
      <c r="K174" s="2744">
        <v>65572</v>
      </c>
      <c r="L174" s="2744">
        <v>96541</v>
      </c>
      <c r="M174" s="2744">
        <v>65712</v>
      </c>
      <c r="N174" s="2744">
        <v>65046</v>
      </c>
      <c r="P174" s="1347"/>
      <c r="Q174" s="1347"/>
      <c r="R174" s="1347"/>
      <c r="S174" s="1347"/>
      <c r="T174" s="1347"/>
      <c r="U174" s="1347"/>
    </row>
    <row r="175" spans="1:25">
      <c r="A175" s="2787">
        <v>921300</v>
      </c>
      <c r="B175" s="2784" t="s">
        <v>2136</v>
      </c>
      <c r="C175" s="2745">
        <v>2</v>
      </c>
      <c r="D175" s="2746"/>
      <c r="E175" s="2751"/>
      <c r="F175" s="2745">
        <v>1</v>
      </c>
      <c r="G175" s="2746"/>
      <c r="H175" s="2746"/>
      <c r="I175" s="2744">
        <v>0</v>
      </c>
      <c r="J175" s="2744">
        <v>0</v>
      </c>
      <c r="K175" s="2744">
        <v>0</v>
      </c>
      <c r="L175" s="2744">
        <v>0</v>
      </c>
      <c r="M175" s="2744">
        <v>0</v>
      </c>
      <c r="N175" s="2744">
        <v>0</v>
      </c>
      <c r="P175" s="1347"/>
      <c r="Q175" s="1347"/>
      <c r="R175" s="1347"/>
      <c r="S175" s="1347"/>
      <c r="T175" s="1347"/>
      <c r="U175" s="1347"/>
    </row>
    <row r="176" spans="1:25">
      <c r="A176" s="2787">
        <v>921400</v>
      </c>
      <c r="B176" s="2784" t="s">
        <v>2137</v>
      </c>
      <c r="C176" s="2745">
        <v>119226</v>
      </c>
      <c r="D176" s="2746">
        <v>34640</v>
      </c>
      <c r="E176" s="2751">
        <v>18101</v>
      </c>
      <c r="F176" s="2745">
        <v>18592</v>
      </c>
      <c r="G176" s="2746">
        <v>11479</v>
      </c>
      <c r="H176" s="2746">
        <v>3212</v>
      </c>
      <c r="I176" s="2744">
        <v>34304</v>
      </c>
      <c r="J176" s="2744">
        <v>18887</v>
      </c>
      <c r="K176" s="2744">
        <v>8501</v>
      </c>
      <c r="L176" s="2744">
        <v>9531</v>
      </c>
      <c r="M176" s="2744">
        <v>12795</v>
      </c>
      <c r="N176" s="2744">
        <v>9007</v>
      </c>
      <c r="P176" s="1347"/>
      <c r="Q176" s="1347"/>
      <c r="R176" s="1347"/>
      <c r="S176" s="1347"/>
      <c r="T176" s="1347"/>
      <c r="U176" s="1347"/>
    </row>
    <row r="177" spans="1:21">
      <c r="A177" s="2787">
        <v>921540</v>
      </c>
      <c r="B177" s="2784" t="s">
        <v>2138</v>
      </c>
      <c r="C177" s="2745">
        <v>2113</v>
      </c>
      <c r="D177" s="2746">
        <v>3630</v>
      </c>
      <c r="E177" s="2751">
        <v>4056</v>
      </c>
      <c r="F177" s="2745">
        <v>3774</v>
      </c>
      <c r="G177" s="2746">
        <v>2931</v>
      </c>
      <c r="H177" s="2746">
        <v>4804</v>
      </c>
      <c r="I177" s="2744">
        <v>44</v>
      </c>
      <c r="J177" s="2744">
        <v>836</v>
      </c>
      <c r="K177" s="2744">
        <v>44</v>
      </c>
      <c r="L177" s="2744">
        <v>44</v>
      </c>
      <c r="M177" s="2744">
        <v>44</v>
      </c>
      <c r="N177" s="2744">
        <v>44</v>
      </c>
      <c r="P177" s="1347"/>
      <c r="Q177" s="1347"/>
      <c r="R177" s="1347"/>
      <c r="S177" s="1347"/>
      <c r="T177" s="1347"/>
      <c r="U177" s="1347"/>
    </row>
    <row r="178" spans="1:21">
      <c r="A178" s="2787">
        <v>921600</v>
      </c>
      <c r="B178" s="2784" t="s">
        <v>1028</v>
      </c>
      <c r="C178" s="2745">
        <v>70</v>
      </c>
      <c r="D178" s="2746">
        <v>2</v>
      </c>
      <c r="E178" s="2751">
        <v>24</v>
      </c>
      <c r="F178" s="2745">
        <v>19</v>
      </c>
      <c r="G178" s="2746">
        <v>73</v>
      </c>
      <c r="H178" s="2746">
        <v>106</v>
      </c>
      <c r="I178" s="2744">
        <v>0</v>
      </c>
      <c r="J178" s="2744">
        <v>0</v>
      </c>
      <c r="K178" s="2744">
        <v>0</v>
      </c>
      <c r="L178" s="2744">
        <v>0</v>
      </c>
      <c r="M178" s="2744">
        <v>0</v>
      </c>
      <c r="N178" s="2744">
        <v>0</v>
      </c>
      <c r="P178" s="1347"/>
      <c r="Q178" s="1347"/>
      <c r="R178" s="1347"/>
      <c r="S178" s="1347"/>
      <c r="T178" s="1347"/>
      <c r="U178" s="1347"/>
    </row>
    <row r="179" spans="1:21">
      <c r="A179" s="2787">
        <v>921980</v>
      </c>
      <c r="B179" s="2784" t="s">
        <v>2139</v>
      </c>
      <c r="C179" s="2745">
        <v>109204</v>
      </c>
      <c r="D179" s="2746">
        <v>81479</v>
      </c>
      <c r="E179" s="2751">
        <v>82939</v>
      </c>
      <c r="F179" s="2745">
        <v>90572</v>
      </c>
      <c r="G179" s="2746">
        <v>83206</v>
      </c>
      <c r="H179" s="2746">
        <v>82607</v>
      </c>
      <c r="I179" s="2744">
        <v>106874</v>
      </c>
      <c r="J179" s="2744">
        <v>106756</v>
      </c>
      <c r="K179" s="2744">
        <v>106723</v>
      </c>
      <c r="L179" s="2744">
        <v>106208</v>
      </c>
      <c r="M179" s="2744">
        <v>106832</v>
      </c>
      <c r="N179" s="2744">
        <v>106866</v>
      </c>
      <c r="P179" s="1347"/>
      <c r="Q179" s="1347"/>
      <c r="R179" s="1347"/>
      <c r="S179" s="1347"/>
      <c r="T179" s="1347"/>
      <c r="U179" s="1347"/>
    </row>
    <row r="180" spans="1:21">
      <c r="A180" s="2787">
        <v>922000</v>
      </c>
      <c r="B180" s="2784" t="s">
        <v>2445</v>
      </c>
      <c r="C180" s="2745"/>
      <c r="D180" s="2746">
        <v>23</v>
      </c>
      <c r="E180" s="2751"/>
      <c r="F180" s="2745"/>
      <c r="G180" s="2746"/>
      <c r="H180" s="2746"/>
      <c r="I180" s="2744">
        <v>0</v>
      </c>
      <c r="J180" s="2744">
        <v>0</v>
      </c>
      <c r="K180" s="2744">
        <v>0</v>
      </c>
      <c r="L180" s="2744">
        <v>0</v>
      </c>
      <c r="M180" s="2744">
        <v>0</v>
      </c>
      <c r="N180" s="2744">
        <v>0</v>
      </c>
      <c r="P180" s="1347"/>
      <c r="Q180" s="1347"/>
      <c r="R180" s="1347"/>
      <c r="S180" s="1347"/>
      <c r="T180" s="1347"/>
      <c r="U180" s="1347"/>
    </row>
    <row r="181" spans="1:21">
      <c r="A181" s="2787">
        <v>923000</v>
      </c>
      <c r="B181" s="2784" t="s">
        <v>1899</v>
      </c>
      <c r="C181" s="2745">
        <v>229444</v>
      </c>
      <c r="D181" s="2746">
        <v>66138</v>
      </c>
      <c r="E181" s="2751">
        <v>150687</v>
      </c>
      <c r="F181" s="2745">
        <v>146760</v>
      </c>
      <c r="G181" s="2746">
        <v>115234</v>
      </c>
      <c r="H181" s="2746">
        <v>126012</v>
      </c>
      <c r="I181" s="2744">
        <v>265705</v>
      </c>
      <c r="J181" s="2744">
        <v>187380</v>
      </c>
      <c r="K181" s="2744">
        <v>199175</v>
      </c>
      <c r="L181" s="2744">
        <v>260078</v>
      </c>
      <c r="M181" s="2744">
        <v>203712</v>
      </c>
      <c r="N181" s="2744">
        <v>192413</v>
      </c>
      <c r="P181" s="1347"/>
      <c r="Q181" s="1347"/>
      <c r="R181" s="1347"/>
      <c r="S181" s="1347"/>
      <c r="T181" s="1347"/>
      <c r="U181" s="1347"/>
    </row>
    <row r="182" spans="1:21">
      <c r="A182" s="2787">
        <v>923980</v>
      </c>
      <c r="B182" s="2784" t="s">
        <v>2140</v>
      </c>
      <c r="C182" s="2745">
        <v>-217</v>
      </c>
      <c r="D182" s="2746">
        <v>-1366</v>
      </c>
      <c r="E182" s="2751">
        <v>-1098</v>
      </c>
      <c r="F182" s="2745">
        <v>-3846</v>
      </c>
      <c r="G182" s="2746">
        <v>-1997</v>
      </c>
      <c r="H182" s="2746">
        <v>-4030</v>
      </c>
      <c r="I182" s="2744">
        <v>0</v>
      </c>
      <c r="J182" s="2744">
        <v>0</v>
      </c>
      <c r="K182" s="2744">
        <v>0</v>
      </c>
      <c r="L182" s="2744">
        <v>0</v>
      </c>
      <c r="M182" s="2744">
        <v>0</v>
      </c>
      <c r="N182" s="2744">
        <v>0</v>
      </c>
      <c r="P182" s="1347"/>
      <c r="Q182" s="1347"/>
      <c r="R182" s="1347"/>
      <c r="S182" s="1347"/>
      <c r="T182" s="1347"/>
      <c r="U182" s="1347"/>
    </row>
    <row r="183" spans="1:21">
      <c r="A183" s="2787">
        <v>924000</v>
      </c>
      <c r="B183" s="2784" t="s">
        <v>1900</v>
      </c>
      <c r="C183" s="2745">
        <v>-466</v>
      </c>
      <c r="D183" s="2746">
        <v>403</v>
      </c>
      <c r="E183" s="2751">
        <v>361</v>
      </c>
      <c r="F183" s="2745">
        <v>-60</v>
      </c>
      <c r="G183" s="2746">
        <v>403</v>
      </c>
      <c r="H183" s="2746">
        <v>-232</v>
      </c>
      <c r="I183" s="2744">
        <v>0</v>
      </c>
      <c r="J183" s="2744">
        <v>2363</v>
      </c>
      <c r="K183" s="2744">
        <v>0</v>
      </c>
      <c r="L183" s="2744">
        <v>0</v>
      </c>
      <c r="M183" s="2744">
        <v>0</v>
      </c>
      <c r="N183" s="2744">
        <v>0</v>
      </c>
      <c r="P183" s="1347"/>
      <c r="Q183" s="1347"/>
      <c r="R183" s="1347"/>
      <c r="S183" s="1347"/>
      <c r="T183" s="1347"/>
      <c r="U183" s="1347"/>
    </row>
    <row r="184" spans="1:21">
      <c r="A184" s="2787">
        <v>924050</v>
      </c>
      <c r="B184" s="2784" t="s">
        <v>2141</v>
      </c>
      <c r="C184" s="2745">
        <v>15328</v>
      </c>
      <c r="D184" s="2746">
        <v>15781</v>
      </c>
      <c r="E184" s="2751">
        <v>15781</v>
      </c>
      <c r="F184" s="2745">
        <v>15781</v>
      </c>
      <c r="G184" s="2746">
        <v>15781</v>
      </c>
      <c r="H184" s="2746">
        <v>15781</v>
      </c>
      <c r="I184" s="2744">
        <v>14408</v>
      </c>
      <c r="J184" s="2744">
        <v>14408</v>
      </c>
      <c r="K184" s="2744">
        <v>14408</v>
      </c>
      <c r="L184" s="2744">
        <v>14408</v>
      </c>
      <c r="M184" s="2744">
        <v>14408</v>
      </c>
      <c r="N184" s="2744">
        <v>14408</v>
      </c>
      <c r="P184" s="1347"/>
      <c r="Q184" s="1347"/>
      <c r="R184" s="1347"/>
      <c r="S184" s="1347"/>
      <c r="T184" s="1347"/>
      <c r="U184" s="1347"/>
    </row>
    <row r="185" spans="1:21">
      <c r="A185" s="2787">
        <v>924980</v>
      </c>
      <c r="B185" s="2784" t="s">
        <v>2142</v>
      </c>
      <c r="C185" s="2745">
        <v>14213</v>
      </c>
      <c r="D185" s="2746">
        <v>13553</v>
      </c>
      <c r="E185" s="2751">
        <v>13553</v>
      </c>
      <c r="F185" s="2745">
        <v>13553</v>
      </c>
      <c r="G185" s="2746">
        <v>13553</v>
      </c>
      <c r="H185" s="2746">
        <v>13553</v>
      </c>
      <c r="I185" s="2744">
        <v>14947</v>
      </c>
      <c r="J185" s="2744">
        <v>14947</v>
      </c>
      <c r="K185" s="2744">
        <v>14947</v>
      </c>
      <c r="L185" s="2744">
        <v>14947</v>
      </c>
      <c r="M185" s="2744">
        <v>14947</v>
      </c>
      <c r="N185" s="2744">
        <v>14947</v>
      </c>
      <c r="P185" s="1347"/>
      <c r="Q185" s="1347"/>
      <c r="R185" s="1347"/>
      <c r="S185" s="1347"/>
      <c r="T185" s="1347"/>
      <c r="U185" s="1347"/>
    </row>
    <row r="186" spans="1:21">
      <c r="A186" s="2787">
        <v>925000</v>
      </c>
      <c r="B186" s="2784" t="s">
        <v>1891</v>
      </c>
      <c r="C186" s="2745">
        <v>13943</v>
      </c>
      <c r="D186" s="2746">
        <v>15626</v>
      </c>
      <c r="E186" s="2751">
        <v>17260</v>
      </c>
      <c r="F186" s="2745">
        <v>16654</v>
      </c>
      <c r="G186" s="2746">
        <v>15188</v>
      </c>
      <c r="H186" s="2746">
        <v>28342</v>
      </c>
      <c r="I186" s="2744">
        <v>11317</v>
      </c>
      <c r="J186" s="2744">
        <v>11317</v>
      </c>
      <c r="K186" s="2744">
        <v>11317</v>
      </c>
      <c r="L186" s="2744">
        <v>11317</v>
      </c>
      <c r="M186" s="2744">
        <v>11317</v>
      </c>
      <c r="N186" s="2744">
        <v>11317</v>
      </c>
      <c r="P186" s="1347"/>
      <c r="Q186" s="1347"/>
      <c r="R186" s="1347"/>
      <c r="S186" s="1347"/>
      <c r="T186" s="1347"/>
      <c r="U186" s="1347"/>
    </row>
    <row r="187" spans="1:21">
      <c r="A187" s="2793">
        <v>925050</v>
      </c>
      <c r="B187" s="2794" t="s">
        <v>2609</v>
      </c>
      <c r="C187" s="2752"/>
      <c r="D187" s="2746"/>
      <c r="E187" s="2751"/>
      <c r="F187" s="2752"/>
      <c r="G187" s="2746"/>
      <c r="H187" s="2746"/>
      <c r="I187" s="2764">
        <v>0</v>
      </c>
      <c r="J187" s="2744">
        <v>0</v>
      </c>
      <c r="K187" s="2744">
        <v>0</v>
      </c>
      <c r="L187" s="2744">
        <v>0</v>
      </c>
      <c r="M187" s="2744">
        <v>0</v>
      </c>
      <c r="N187" s="2744">
        <v>0</v>
      </c>
      <c r="P187" s="1347"/>
      <c r="Q187" s="1347"/>
      <c r="R187" s="1347"/>
      <c r="S187" s="1347"/>
      <c r="T187" s="1347"/>
      <c r="U187" s="1347"/>
    </row>
    <row r="188" spans="1:21">
      <c r="A188" s="2787">
        <v>925051</v>
      </c>
      <c r="B188" s="2784" t="s">
        <v>2143</v>
      </c>
      <c r="C188" s="2745">
        <v>54925</v>
      </c>
      <c r="D188" s="2746">
        <v>60266</v>
      </c>
      <c r="E188" s="2751">
        <v>60266</v>
      </c>
      <c r="F188" s="2751">
        <v>60266</v>
      </c>
      <c r="G188" s="2751">
        <v>60266</v>
      </c>
      <c r="H188" s="2751">
        <v>60266</v>
      </c>
      <c r="I188" s="2744">
        <v>67550</v>
      </c>
      <c r="J188" s="2744">
        <v>67550</v>
      </c>
      <c r="K188" s="2744">
        <v>67550</v>
      </c>
      <c r="L188" s="2744">
        <v>67550</v>
      </c>
      <c r="M188" s="2744">
        <v>67550</v>
      </c>
      <c r="N188" s="2744">
        <v>67550</v>
      </c>
      <c r="P188" s="1347"/>
      <c r="Q188" s="1347"/>
      <c r="R188" s="1347"/>
      <c r="S188" s="1347"/>
      <c r="T188" s="1347"/>
      <c r="U188" s="1347"/>
    </row>
    <row r="189" spans="1:21">
      <c r="A189" s="2787">
        <v>925200</v>
      </c>
      <c r="B189" s="2784" t="s">
        <v>2144</v>
      </c>
      <c r="C189" s="2745">
        <v>900</v>
      </c>
      <c r="D189" s="2746">
        <v>669</v>
      </c>
      <c r="E189" s="2751">
        <v>519</v>
      </c>
      <c r="F189" s="2745">
        <v>666</v>
      </c>
      <c r="G189" s="2746">
        <v>630</v>
      </c>
      <c r="H189" s="2746">
        <v>651</v>
      </c>
      <c r="I189" s="2744">
        <v>0</v>
      </c>
      <c r="J189" s="2744">
        <v>0</v>
      </c>
      <c r="K189" s="2744">
        <v>0</v>
      </c>
      <c r="L189" s="2744">
        <v>0</v>
      </c>
      <c r="M189" s="2744">
        <v>0</v>
      </c>
      <c r="N189" s="2744">
        <v>0</v>
      </c>
      <c r="P189" s="1347"/>
      <c r="Q189" s="1347"/>
      <c r="R189" s="1347"/>
      <c r="S189" s="1347"/>
      <c r="T189" s="1347"/>
      <c r="U189" s="1347"/>
    </row>
    <row r="190" spans="1:21">
      <c r="A190" s="2787">
        <v>925980</v>
      </c>
      <c r="B190" s="2784" t="s">
        <v>2145</v>
      </c>
      <c r="C190" s="2745">
        <v>1076</v>
      </c>
      <c r="D190" s="2746">
        <v>1054</v>
      </c>
      <c r="E190" s="2751">
        <v>1054</v>
      </c>
      <c r="F190" s="2751">
        <v>1054</v>
      </c>
      <c r="G190" s="2751">
        <v>1054</v>
      </c>
      <c r="H190" s="2751">
        <v>1054</v>
      </c>
      <c r="I190" s="2744">
        <v>5001</v>
      </c>
      <c r="J190" s="2744">
        <v>7645</v>
      </c>
      <c r="K190" s="2744">
        <v>5841</v>
      </c>
      <c r="L190" s="2744">
        <v>5098</v>
      </c>
      <c r="M190" s="2744">
        <v>13803</v>
      </c>
      <c r="N190" s="2744">
        <v>4378</v>
      </c>
      <c r="P190" s="1347"/>
      <c r="Q190" s="1347"/>
      <c r="R190" s="1347"/>
      <c r="S190" s="1347"/>
      <c r="T190" s="1347"/>
      <c r="U190" s="1347"/>
    </row>
    <row r="191" spans="1:21">
      <c r="A191" s="2787">
        <v>926000</v>
      </c>
      <c r="B191" s="2784" t="s">
        <v>2146</v>
      </c>
      <c r="C191" s="2745">
        <v>396955</v>
      </c>
      <c r="D191" s="2746">
        <v>284723</v>
      </c>
      <c r="E191" s="2751">
        <v>336818</v>
      </c>
      <c r="F191" s="2745">
        <v>326413</v>
      </c>
      <c r="G191" s="2746">
        <v>551265</v>
      </c>
      <c r="H191" s="2746">
        <v>307970</v>
      </c>
      <c r="I191" s="2744">
        <v>353840</v>
      </c>
      <c r="J191" s="2744">
        <v>323531</v>
      </c>
      <c r="K191" s="2744">
        <v>322813</v>
      </c>
      <c r="L191" s="2744">
        <v>189989</v>
      </c>
      <c r="M191" s="2744">
        <v>322347</v>
      </c>
      <c r="N191" s="2744">
        <v>322143</v>
      </c>
      <c r="P191" s="1347"/>
      <c r="Q191" s="1347"/>
      <c r="R191" s="1347"/>
      <c r="S191" s="1347"/>
      <c r="T191" s="1347"/>
      <c r="U191" s="1347"/>
    </row>
    <row r="192" spans="1:21">
      <c r="A192" s="2787">
        <v>926430</v>
      </c>
      <c r="B192" s="2784" t="s">
        <v>2492</v>
      </c>
      <c r="C192" s="2745">
        <v>21</v>
      </c>
      <c r="D192" s="2746"/>
      <c r="E192" s="2751">
        <v>0</v>
      </c>
      <c r="F192" s="2745"/>
      <c r="G192" s="2746"/>
      <c r="H192" s="2746">
        <v>0</v>
      </c>
      <c r="I192" s="2744">
        <v>141</v>
      </c>
      <c r="J192" s="2744">
        <v>141</v>
      </c>
      <c r="K192" s="2744">
        <v>141</v>
      </c>
      <c r="L192" s="2744">
        <v>141</v>
      </c>
      <c r="M192" s="2744">
        <v>141</v>
      </c>
      <c r="N192" s="2744">
        <v>141</v>
      </c>
      <c r="P192" s="1347"/>
      <c r="Q192" s="1347"/>
      <c r="R192" s="1347"/>
      <c r="S192" s="1347"/>
      <c r="T192" s="1347"/>
      <c r="U192" s="1347"/>
    </row>
    <row r="193" spans="1:21">
      <c r="A193" s="2787">
        <v>926490</v>
      </c>
      <c r="B193" s="2784" t="s">
        <v>2446</v>
      </c>
      <c r="C193" s="2745"/>
      <c r="D193" s="2746"/>
      <c r="E193" s="2751"/>
      <c r="F193" s="2745"/>
      <c r="G193" s="2746"/>
      <c r="H193" s="2746"/>
      <c r="I193" s="2744">
        <v>0</v>
      </c>
      <c r="J193" s="2744">
        <v>0</v>
      </c>
      <c r="K193" s="2744">
        <v>0</v>
      </c>
      <c r="L193" s="2744">
        <v>0</v>
      </c>
      <c r="M193" s="2744">
        <v>0</v>
      </c>
      <c r="N193" s="2744">
        <v>0</v>
      </c>
      <c r="P193" s="1347"/>
      <c r="Q193" s="1347"/>
      <c r="R193" s="1347"/>
      <c r="S193" s="1347"/>
      <c r="T193" s="1347"/>
      <c r="U193" s="1347"/>
    </row>
    <row r="194" spans="1:21">
      <c r="A194" s="2787">
        <v>926600</v>
      </c>
      <c r="B194" s="2784" t="s">
        <v>2148</v>
      </c>
      <c r="C194" s="2745">
        <v>38101</v>
      </c>
      <c r="D194" s="2746">
        <v>235088</v>
      </c>
      <c r="E194" s="2751">
        <v>190713</v>
      </c>
      <c r="F194" s="2745">
        <v>154761</v>
      </c>
      <c r="G194" s="2746">
        <v>197247</v>
      </c>
      <c r="H194" s="2746">
        <v>164479</v>
      </c>
      <c r="I194" s="2744">
        <v>211482</v>
      </c>
      <c r="J194" s="2744">
        <v>228440</v>
      </c>
      <c r="K194" s="2744">
        <v>172799</v>
      </c>
      <c r="L194" s="2744">
        <v>256533</v>
      </c>
      <c r="M194" s="2744">
        <v>197987</v>
      </c>
      <c r="N194" s="2744">
        <v>199730</v>
      </c>
      <c r="P194" s="1347"/>
      <c r="Q194" s="1347"/>
      <c r="R194" s="1347"/>
      <c r="S194" s="1347"/>
      <c r="T194" s="1347"/>
      <c r="U194" s="1347"/>
    </row>
    <row r="195" spans="1:21">
      <c r="A195" s="2787">
        <v>928000</v>
      </c>
      <c r="B195" s="2784" t="s">
        <v>2447</v>
      </c>
      <c r="C195" s="2745"/>
      <c r="D195" s="2746"/>
      <c r="E195" s="2751"/>
      <c r="F195" s="2745"/>
      <c r="G195" s="2746"/>
      <c r="H195" s="2746"/>
      <c r="I195" s="2744">
        <v>0</v>
      </c>
      <c r="J195" s="2744">
        <v>0</v>
      </c>
      <c r="K195" s="2744">
        <v>0</v>
      </c>
      <c r="L195" s="2744">
        <v>0</v>
      </c>
      <c r="M195" s="2744">
        <v>0</v>
      </c>
      <c r="N195" s="2744">
        <v>0</v>
      </c>
      <c r="P195" s="1347"/>
      <c r="Q195" s="1347"/>
      <c r="R195" s="1347"/>
      <c r="S195" s="1347"/>
      <c r="T195" s="1347"/>
      <c r="U195" s="1347"/>
    </row>
    <row r="196" spans="1:21">
      <c r="A196" s="2787">
        <v>928006</v>
      </c>
      <c r="B196" s="2784" t="s">
        <v>345</v>
      </c>
      <c r="C196" s="2745">
        <v>58602</v>
      </c>
      <c r="D196" s="2746">
        <v>58602</v>
      </c>
      <c r="E196" s="2751">
        <v>58602</v>
      </c>
      <c r="F196" s="2751">
        <v>58602</v>
      </c>
      <c r="G196" s="2751">
        <v>58602</v>
      </c>
      <c r="H196" s="2751">
        <v>58602</v>
      </c>
      <c r="I196" s="2744">
        <v>59220</v>
      </c>
      <c r="J196" s="2744">
        <v>59220</v>
      </c>
      <c r="K196" s="2744">
        <v>59220</v>
      </c>
      <c r="L196" s="2744">
        <v>59220</v>
      </c>
      <c r="M196" s="2744">
        <v>59220</v>
      </c>
      <c r="N196" s="2744">
        <v>59220</v>
      </c>
      <c r="P196" s="1347"/>
      <c r="Q196" s="1347"/>
      <c r="R196" s="1347"/>
      <c r="S196" s="1347"/>
      <c r="T196" s="1347"/>
      <c r="U196" s="1347"/>
    </row>
    <row r="197" spans="1:21">
      <c r="A197" s="2787">
        <v>928030</v>
      </c>
      <c r="B197" s="2784" t="s">
        <v>2491</v>
      </c>
      <c r="C197" s="2745"/>
      <c r="D197" s="2746"/>
      <c r="E197" s="2751"/>
      <c r="F197" s="2745"/>
      <c r="G197" s="2746"/>
      <c r="H197" s="2746"/>
      <c r="I197" s="2744">
        <v>0</v>
      </c>
      <c r="J197" s="2744">
        <v>0</v>
      </c>
      <c r="K197" s="2744">
        <v>0</v>
      </c>
      <c r="L197" s="2744">
        <v>0</v>
      </c>
      <c r="M197" s="2744">
        <v>0</v>
      </c>
      <c r="N197" s="2744">
        <v>0</v>
      </c>
      <c r="P197" s="1347"/>
      <c r="Q197" s="1347"/>
      <c r="R197" s="1347"/>
      <c r="S197" s="1347"/>
      <c r="T197" s="1347"/>
      <c r="U197" s="1347"/>
    </row>
    <row r="198" spans="1:21">
      <c r="A198" s="2787">
        <v>929000</v>
      </c>
      <c r="B198" s="2784" t="s">
        <v>2149</v>
      </c>
      <c r="C198" s="2745">
        <v>-3281</v>
      </c>
      <c r="D198" s="2746">
        <v>-4416</v>
      </c>
      <c r="E198" s="2751">
        <v>-4247</v>
      </c>
      <c r="F198" s="2745">
        <v>-3825</v>
      </c>
      <c r="G198" s="2746">
        <v>-3815</v>
      </c>
      <c r="H198" s="2746">
        <v>-3647</v>
      </c>
      <c r="I198" s="2744">
        <v>0</v>
      </c>
      <c r="J198" s="2744">
        <v>0</v>
      </c>
      <c r="K198" s="2744">
        <v>0</v>
      </c>
      <c r="L198" s="2744">
        <v>0</v>
      </c>
      <c r="M198" s="2744">
        <v>0</v>
      </c>
      <c r="N198" s="2744">
        <v>0</v>
      </c>
      <c r="P198" s="1347"/>
      <c r="Q198" s="1347"/>
      <c r="R198" s="1347"/>
      <c r="S198" s="1347"/>
      <c r="T198" s="1347"/>
      <c r="U198" s="1347"/>
    </row>
    <row r="199" spans="1:21">
      <c r="A199" s="2787">
        <v>929500</v>
      </c>
      <c r="B199" s="2784" t="s">
        <v>2150</v>
      </c>
      <c r="C199" s="2745">
        <v>-31499</v>
      </c>
      <c r="D199" s="2746">
        <v>-26046</v>
      </c>
      <c r="E199" s="2751">
        <v>-29757</v>
      </c>
      <c r="F199" s="2745">
        <v>-59220</v>
      </c>
      <c r="G199" s="2746">
        <v>-33576</v>
      </c>
      <c r="H199" s="2746">
        <v>-37886</v>
      </c>
      <c r="I199" s="2744">
        <v>-27273</v>
      </c>
      <c r="J199" s="2744">
        <v>-27273</v>
      </c>
      <c r="K199" s="2744">
        <v>-27273</v>
      </c>
      <c r="L199" s="2744">
        <v>-40235</v>
      </c>
      <c r="M199" s="2744">
        <v>-27273</v>
      </c>
      <c r="N199" s="2744">
        <v>-27273</v>
      </c>
      <c r="P199" s="1347"/>
      <c r="Q199" s="1347"/>
      <c r="R199" s="1347"/>
      <c r="S199" s="1347"/>
      <c r="T199" s="1347"/>
      <c r="U199" s="1347"/>
    </row>
    <row r="200" spans="1:21">
      <c r="A200" s="2787">
        <v>930150</v>
      </c>
      <c r="B200" s="2784" t="s">
        <v>2151</v>
      </c>
      <c r="C200" s="2745">
        <v>1260</v>
      </c>
      <c r="D200" s="2746">
        <v>1713</v>
      </c>
      <c r="E200" s="2751">
        <v>1850</v>
      </c>
      <c r="F200" s="2745">
        <v>1153</v>
      </c>
      <c r="G200" s="2746">
        <v>2168</v>
      </c>
      <c r="H200" s="2746">
        <v>3202</v>
      </c>
      <c r="I200" s="2744">
        <v>0</v>
      </c>
      <c r="J200" s="2744">
        <v>0</v>
      </c>
      <c r="K200" s="2744">
        <v>0</v>
      </c>
      <c r="L200" s="2744">
        <v>0</v>
      </c>
      <c r="M200" s="2744">
        <v>0</v>
      </c>
      <c r="N200" s="2744">
        <v>0</v>
      </c>
      <c r="P200" s="1347"/>
      <c r="Q200" s="1347"/>
      <c r="R200" s="1347"/>
      <c r="S200" s="1347"/>
      <c r="T200" s="1347"/>
      <c r="U200" s="1347"/>
    </row>
    <row r="201" spans="1:21">
      <c r="A201" s="2787">
        <v>930200</v>
      </c>
      <c r="B201" s="2784" t="s">
        <v>2152</v>
      </c>
      <c r="C201" s="2745">
        <v>26195</v>
      </c>
      <c r="D201" s="2746">
        <v>24148</v>
      </c>
      <c r="E201" s="2751">
        <v>32100</v>
      </c>
      <c r="F201" s="2745">
        <v>43449</v>
      </c>
      <c r="G201" s="2746">
        <v>34388</v>
      </c>
      <c r="H201" s="2746">
        <v>38274</v>
      </c>
      <c r="I201" s="2744">
        <v>48994</v>
      </c>
      <c r="J201" s="2744">
        <v>49625</v>
      </c>
      <c r="K201" s="2744">
        <v>49800</v>
      </c>
      <c r="L201" s="2744">
        <v>52556</v>
      </c>
      <c r="M201" s="2744">
        <v>49221</v>
      </c>
      <c r="N201" s="2744">
        <v>49035</v>
      </c>
      <c r="P201" s="1347"/>
      <c r="Q201" s="1347"/>
      <c r="R201" s="1347"/>
      <c r="S201" s="1347"/>
      <c r="T201" s="1347"/>
      <c r="U201" s="1347"/>
    </row>
    <row r="202" spans="1:21">
      <c r="A202" s="2787">
        <v>930210</v>
      </c>
      <c r="B202" s="2784" t="s">
        <v>2153</v>
      </c>
      <c r="C202" s="2745"/>
      <c r="D202" s="2746">
        <v>47702</v>
      </c>
      <c r="E202" s="2751">
        <v>0</v>
      </c>
      <c r="F202" s="2745">
        <v>-7240</v>
      </c>
      <c r="G202" s="2746">
        <v>0</v>
      </c>
      <c r="H202" s="2746">
        <v>0</v>
      </c>
      <c r="I202" s="2744">
        <v>0</v>
      </c>
      <c r="J202" s="2744">
        <v>0</v>
      </c>
      <c r="K202" s="2744">
        <v>0</v>
      </c>
      <c r="L202" s="2744">
        <v>0</v>
      </c>
      <c r="M202" s="2744">
        <v>0</v>
      </c>
      <c r="N202" s="2744">
        <v>0</v>
      </c>
      <c r="P202" s="1347"/>
      <c r="Q202" s="1347"/>
      <c r="R202" s="1347"/>
      <c r="S202" s="1347"/>
      <c r="T202" s="1347"/>
      <c r="U202" s="1347"/>
    </row>
    <row r="203" spans="1:21">
      <c r="A203" s="2787">
        <v>930220</v>
      </c>
      <c r="B203" s="2784" t="s">
        <v>2154</v>
      </c>
      <c r="C203" s="2745">
        <v>-41</v>
      </c>
      <c r="D203" s="2746">
        <v>0</v>
      </c>
      <c r="E203" s="2751"/>
      <c r="F203" s="2745">
        <v>12040</v>
      </c>
      <c r="G203" s="2746">
        <v>5000</v>
      </c>
      <c r="H203" s="2746">
        <v>6505</v>
      </c>
      <c r="I203" s="2744">
        <v>0</v>
      </c>
      <c r="J203" s="2744">
        <v>0</v>
      </c>
      <c r="K203" s="2744">
        <v>0</v>
      </c>
      <c r="L203" s="2744">
        <v>0</v>
      </c>
      <c r="M203" s="2744">
        <v>0</v>
      </c>
      <c r="N203" s="2744">
        <v>0</v>
      </c>
      <c r="P203" s="1347"/>
      <c r="Q203" s="1347"/>
      <c r="R203" s="1347"/>
      <c r="S203" s="1347"/>
      <c r="T203" s="1347"/>
      <c r="U203" s="1347"/>
    </row>
    <row r="204" spans="1:21">
      <c r="A204" s="2787">
        <v>930230</v>
      </c>
      <c r="B204" s="2784" t="s">
        <v>2155</v>
      </c>
      <c r="C204" s="2745">
        <v>10399</v>
      </c>
      <c r="D204" s="2746">
        <v>947</v>
      </c>
      <c r="E204" s="2751">
        <v>62</v>
      </c>
      <c r="F204" s="2745">
        <v>958</v>
      </c>
      <c r="G204" s="2746">
        <v>1671</v>
      </c>
      <c r="H204" s="2746">
        <v>35</v>
      </c>
      <c r="I204" s="2744">
        <v>1467</v>
      </c>
      <c r="J204" s="2744">
        <v>1550</v>
      </c>
      <c r="K204" s="2744">
        <v>3004</v>
      </c>
      <c r="L204" s="2744">
        <v>1194</v>
      </c>
      <c r="M204" s="2744">
        <v>4219</v>
      </c>
      <c r="N204" s="2744">
        <v>6166</v>
      </c>
      <c r="P204" s="1347"/>
      <c r="Q204" s="1347"/>
      <c r="R204" s="1347"/>
      <c r="S204" s="1347"/>
      <c r="T204" s="1347"/>
      <c r="U204" s="1347"/>
    </row>
    <row r="205" spans="1:21">
      <c r="A205" s="2787">
        <v>930240</v>
      </c>
      <c r="B205" s="2784" t="s">
        <v>2156</v>
      </c>
      <c r="C205" s="2745">
        <v>6826</v>
      </c>
      <c r="D205" s="2746">
        <v>7167</v>
      </c>
      <c r="E205" s="2751">
        <v>13</v>
      </c>
      <c r="F205" s="2745">
        <v>488</v>
      </c>
      <c r="G205" s="2746">
        <v>5174</v>
      </c>
      <c r="H205" s="2746">
        <v>22645</v>
      </c>
      <c r="I205" s="2744">
        <v>0</v>
      </c>
      <c r="J205" s="2744">
        <v>0</v>
      </c>
      <c r="K205" s="2744">
        <v>0</v>
      </c>
      <c r="L205" s="2744">
        <v>0</v>
      </c>
      <c r="M205" s="2744">
        <v>0</v>
      </c>
      <c r="N205" s="2744">
        <v>0</v>
      </c>
      <c r="P205" s="1347"/>
      <c r="Q205" s="1347"/>
      <c r="R205" s="1347"/>
      <c r="S205" s="1347"/>
      <c r="T205" s="1347"/>
      <c r="U205" s="1347"/>
    </row>
    <row r="206" spans="1:21">
      <c r="A206" s="2787">
        <v>930250</v>
      </c>
      <c r="B206" s="2784" t="s">
        <v>2157</v>
      </c>
      <c r="C206" s="2745">
        <v>3347</v>
      </c>
      <c r="D206" s="2746">
        <v>2978</v>
      </c>
      <c r="E206" s="2751">
        <v>-236</v>
      </c>
      <c r="F206" s="2745">
        <v>1125</v>
      </c>
      <c r="G206" s="2746">
        <v>1154</v>
      </c>
      <c r="H206" s="2746">
        <v>1765</v>
      </c>
      <c r="I206" s="2744">
        <v>2784</v>
      </c>
      <c r="J206" s="2744">
        <v>301</v>
      </c>
      <c r="K206" s="2744">
        <v>301</v>
      </c>
      <c r="L206" s="2744">
        <v>2784</v>
      </c>
      <c r="M206" s="2744">
        <v>301</v>
      </c>
      <c r="N206" s="2744">
        <v>301</v>
      </c>
      <c r="P206" s="1347"/>
      <c r="Q206" s="1347"/>
      <c r="R206" s="1347"/>
      <c r="S206" s="1347"/>
      <c r="T206" s="1347"/>
      <c r="U206" s="1347"/>
    </row>
    <row r="207" spans="1:21">
      <c r="A207" s="2787">
        <v>930600</v>
      </c>
      <c r="B207" s="2784" t="s">
        <v>2666</v>
      </c>
      <c r="C207" s="2745"/>
      <c r="D207" s="2746"/>
      <c r="E207" s="2751">
        <v>12</v>
      </c>
      <c r="F207" s="2745">
        <v>15</v>
      </c>
      <c r="G207" s="2746"/>
      <c r="H207" s="2746">
        <v>0</v>
      </c>
      <c r="I207" s="2748"/>
      <c r="J207" s="2748"/>
      <c r="K207" s="2748"/>
      <c r="L207" s="2748"/>
      <c r="M207" s="2748"/>
      <c r="N207" s="2748"/>
      <c r="P207" s="1347"/>
      <c r="Q207" s="1347"/>
      <c r="R207" s="1347"/>
      <c r="S207" s="1347"/>
      <c r="T207" s="1347"/>
      <c r="U207" s="1347"/>
    </row>
    <row r="208" spans="1:21">
      <c r="A208" s="2787">
        <v>930700</v>
      </c>
      <c r="B208" s="2784" t="s">
        <v>2158</v>
      </c>
      <c r="C208" s="2745">
        <v>501</v>
      </c>
      <c r="D208" s="2746">
        <v>45</v>
      </c>
      <c r="E208" s="2751">
        <v>465</v>
      </c>
      <c r="F208" s="2745">
        <v>71</v>
      </c>
      <c r="G208" s="2746">
        <v>496</v>
      </c>
      <c r="H208" s="2746">
        <v>258</v>
      </c>
      <c r="I208" s="2744">
        <v>0</v>
      </c>
      <c r="J208" s="2744">
        <v>0</v>
      </c>
      <c r="K208" s="2744">
        <v>0</v>
      </c>
      <c r="L208" s="2744">
        <v>0</v>
      </c>
      <c r="M208" s="2744">
        <v>0</v>
      </c>
      <c r="N208" s="2744">
        <v>0</v>
      </c>
      <c r="P208" s="1347"/>
      <c r="Q208" s="1347"/>
      <c r="R208" s="1347"/>
      <c r="S208" s="1347"/>
      <c r="T208" s="1347"/>
      <c r="U208" s="1347"/>
    </row>
    <row r="209" spans="1:21">
      <c r="A209" s="2787">
        <v>930940</v>
      </c>
      <c r="B209" s="2784" t="s">
        <v>2159</v>
      </c>
      <c r="C209" s="2745">
        <v>260</v>
      </c>
      <c r="D209" s="2746">
        <v>86</v>
      </c>
      <c r="E209" s="2751">
        <v>457</v>
      </c>
      <c r="F209" s="2745">
        <v>53</v>
      </c>
      <c r="G209" s="2746">
        <v>43</v>
      </c>
      <c r="H209" s="2746">
        <v>101</v>
      </c>
      <c r="I209" s="2744">
        <v>0</v>
      </c>
      <c r="J209" s="2744">
        <v>0</v>
      </c>
      <c r="K209" s="2744">
        <v>0</v>
      </c>
      <c r="L209" s="2744">
        <v>0</v>
      </c>
      <c r="M209" s="2744">
        <v>0</v>
      </c>
      <c r="N209" s="2744">
        <v>0</v>
      </c>
      <c r="P209" s="1347"/>
      <c r="Q209" s="1347"/>
      <c r="R209" s="1347"/>
      <c r="S209" s="1347"/>
      <c r="T209" s="1347"/>
      <c r="U209" s="1347"/>
    </row>
    <row r="210" spans="1:21">
      <c r="A210" s="2787">
        <v>931001</v>
      </c>
      <c r="B210" s="2784" t="s">
        <v>2160</v>
      </c>
      <c r="C210" s="2745">
        <v>18992</v>
      </c>
      <c r="D210" s="2746">
        <v>18418</v>
      </c>
      <c r="E210" s="2751">
        <v>17180</v>
      </c>
      <c r="F210" s="2745">
        <v>18198</v>
      </c>
      <c r="G210" s="2746">
        <v>18562</v>
      </c>
      <c r="H210" s="2746">
        <v>17020</v>
      </c>
      <c r="I210" s="2744">
        <v>18964</v>
      </c>
      <c r="J210" s="2744">
        <v>18849</v>
      </c>
      <c r="K210" s="2744">
        <v>18958</v>
      </c>
      <c r="L210" s="2744">
        <v>18975</v>
      </c>
      <c r="M210" s="2744">
        <v>18975</v>
      </c>
      <c r="N210" s="2744">
        <v>18975</v>
      </c>
      <c r="P210" s="1347"/>
      <c r="Q210" s="1347"/>
      <c r="R210" s="1347"/>
      <c r="S210" s="1347"/>
      <c r="T210" s="1347"/>
      <c r="U210" s="1347"/>
    </row>
    <row r="211" spans="1:21">
      <c r="A211" s="2787">
        <v>931008</v>
      </c>
      <c r="B211" s="2784" t="s">
        <v>2161</v>
      </c>
      <c r="C211" s="2745">
        <v>83131</v>
      </c>
      <c r="D211" s="2746">
        <v>81259</v>
      </c>
      <c r="E211" s="2751">
        <v>80709</v>
      </c>
      <c r="F211" s="2745">
        <v>88016</v>
      </c>
      <c r="G211" s="2746">
        <v>87304</v>
      </c>
      <c r="H211" s="2746">
        <v>56073</v>
      </c>
      <c r="I211" s="2744">
        <v>81301</v>
      </c>
      <c r="J211" s="2744">
        <v>81301</v>
      </c>
      <c r="K211" s="2744">
        <v>81301</v>
      </c>
      <c r="L211" s="2744">
        <v>81301</v>
      </c>
      <c r="M211" s="2744">
        <v>81301</v>
      </c>
      <c r="N211" s="2744">
        <v>81301</v>
      </c>
      <c r="P211" s="1347"/>
      <c r="Q211" s="1347"/>
      <c r="R211" s="1347"/>
      <c r="S211" s="1347"/>
      <c r="T211" s="1347"/>
      <c r="U211" s="1347"/>
    </row>
    <row r="212" spans="1:21">
      <c r="A212" s="2787">
        <v>935100</v>
      </c>
      <c r="B212" s="2784" t="s">
        <v>2162</v>
      </c>
      <c r="C212" s="2745">
        <v>49</v>
      </c>
      <c r="D212" s="2746">
        <v>1465</v>
      </c>
      <c r="E212" s="2751">
        <v>-541</v>
      </c>
      <c r="F212" s="2745">
        <v>549</v>
      </c>
      <c r="G212" s="2746">
        <v>2011</v>
      </c>
      <c r="H212" s="2746">
        <v>145</v>
      </c>
      <c r="I212" s="2744">
        <v>4280</v>
      </c>
      <c r="J212" s="2744">
        <v>16187</v>
      </c>
      <c r="K212" s="2744">
        <v>3340</v>
      </c>
      <c r="L212" s="2744">
        <v>3684</v>
      </c>
      <c r="M212" s="2744">
        <v>3340</v>
      </c>
      <c r="N212" s="2744">
        <v>3340</v>
      </c>
      <c r="P212" s="1347"/>
      <c r="Q212" s="1347"/>
      <c r="R212" s="1347"/>
      <c r="S212" s="1347"/>
      <c r="T212" s="1347"/>
      <c r="U212" s="1347"/>
    </row>
    <row r="213" spans="1:21">
      <c r="A213" s="2787">
        <v>935200</v>
      </c>
      <c r="B213" s="2784" t="s">
        <v>2163</v>
      </c>
      <c r="C213" s="2745">
        <v>14</v>
      </c>
      <c r="D213" s="2746">
        <v>3</v>
      </c>
      <c r="E213" s="2774">
        <v>0</v>
      </c>
      <c r="F213" s="2745">
        <v>-4</v>
      </c>
      <c r="G213" s="2746">
        <v>0</v>
      </c>
      <c r="H213" s="2746">
        <v>1</v>
      </c>
      <c r="I213" s="2768">
        <v>0</v>
      </c>
      <c r="J213" s="2744">
        <v>0</v>
      </c>
      <c r="K213" s="2744">
        <v>0</v>
      </c>
      <c r="L213" s="2744">
        <v>0</v>
      </c>
      <c r="M213" s="2744">
        <v>0</v>
      </c>
      <c r="N213" s="2744">
        <v>0</v>
      </c>
      <c r="P213" s="1347"/>
      <c r="Q213" s="1347"/>
      <c r="R213" s="1347"/>
      <c r="S213" s="1347"/>
      <c r="T213" s="1347"/>
      <c r="U213" s="1347"/>
    </row>
    <row r="215" spans="1:21">
      <c r="C215" s="1347">
        <f t="shared" ref="C215:N215" si="0">SUM(C2:C213)</f>
        <v>60868510</v>
      </c>
      <c r="D215" s="1347">
        <f t="shared" si="0"/>
        <v>52892320</v>
      </c>
      <c r="E215" s="1347">
        <f t="shared" si="0"/>
        <v>46546218</v>
      </c>
      <c r="F215" s="1347">
        <f t="shared" si="0"/>
        <v>53707863</v>
      </c>
      <c r="G215" s="1347">
        <f t="shared" si="0"/>
        <v>45389264</v>
      </c>
      <c r="H215" s="1347">
        <f t="shared" si="0"/>
        <v>48414233</v>
      </c>
      <c r="I215" s="1347">
        <f t="shared" si="0"/>
        <v>52130197</v>
      </c>
      <c r="J215" s="1347">
        <f t="shared" si="0"/>
        <v>56807569</v>
      </c>
      <c r="K215" s="1347">
        <f t="shared" si="0"/>
        <v>54589448</v>
      </c>
      <c r="L215" s="1347">
        <f t="shared" si="0"/>
        <v>49693104</v>
      </c>
      <c r="M215" s="1347">
        <f t="shared" si="0"/>
        <v>47868010</v>
      </c>
      <c r="N215" s="1347">
        <f t="shared" si="0"/>
        <v>47610032</v>
      </c>
    </row>
    <row r="216" spans="1:21">
      <c r="C216" s="1347">
        <f>'BASE PERIOD'!F223</f>
        <v>60868510</v>
      </c>
      <c r="D216" s="1347">
        <f>'BASE PERIOD'!G223</f>
        <v>52892320</v>
      </c>
      <c r="E216" s="1347">
        <f>'BASE PERIOD'!H223</f>
        <v>46546218</v>
      </c>
      <c r="F216" s="1347">
        <f>'BASE PERIOD'!I223</f>
        <v>53707863</v>
      </c>
      <c r="G216" s="1347">
        <f>'BASE PERIOD'!J223</f>
        <v>45389264</v>
      </c>
      <c r="H216" s="1347">
        <f>'BASE PERIOD'!K223</f>
        <v>48414233</v>
      </c>
      <c r="I216" s="1347">
        <f>'BASE PERIOD'!L223</f>
        <v>52130197</v>
      </c>
      <c r="J216" s="1347">
        <f>'BASE PERIOD'!M223</f>
        <v>56807569</v>
      </c>
      <c r="K216" s="1347">
        <f>'BASE PERIOD'!N223</f>
        <v>54589448</v>
      </c>
      <c r="L216" s="1347">
        <f>'BASE PERIOD'!O223</f>
        <v>49693104</v>
      </c>
      <c r="M216" s="1347">
        <f>'BASE PERIOD'!P223</f>
        <v>47868010</v>
      </c>
      <c r="N216" s="1347">
        <f>'BASE PERIOD'!Q223</f>
        <v>47610032</v>
      </c>
    </row>
    <row r="217" spans="1:21">
      <c r="C217" s="1347">
        <f t="shared" ref="C217:H217" si="1">C216-C215</f>
        <v>0</v>
      </c>
      <c r="D217" s="1347">
        <f t="shared" si="1"/>
        <v>0</v>
      </c>
      <c r="E217" s="1347">
        <f t="shared" si="1"/>
        <v>0</v>
      </c>
      <c r="F217" s="1347">
        <f t="shared" si="1"/>
        <v>0</v>
      </c>
      <c r="G217" s="1347">
        <f t="shared" si="1"/>
        <v>0</v>
      </c>
      <c r="H217" s="1347">
        <f t="shared" si="1"/>
        <v>0</v>
      </c>
      <c r="I217" s="1347">
        <f t="shared" ref="I217:N217" si="2">I216-I215</f>
        <v>0</v>
      </c>
      <c r="J217" s="1347">
        <f t="shared" si="2"/>
        <v>0</v>
      </c>
      <c r="K217" s="1347">
        <f t="shared" si="2"/>
        <v>0</v>
      </c>
      <c r="L217" s="1347">
        <f t="shared" si="2"/>
        <v>0</v>
      </c>
      <c r="M217" s="1347">
        <f t="shared" si="2"/>
        <v>0</v>
      </c>
      <c r="N217" s="1347">
        <f t="shared" si="2"/>
        <v>0</v>
      </c>
    </row>
  </sheetData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theme="7" tint="-0.249977111117893"/>
  </sheetPr>
  <dimension ref="A1:X69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8" style="18" customWidth="1"/>
    <col min="2" max="2" width="25.140625" style="18" customWidth="1"/>
    <col min="3" max="3" width="8" style="18" customWidth="1"/>
    <col min="4" max="4" width="10.42578125" style="18" customWidth="1"/>
    <col min="5" max="7" width="8" style="18" customWidth="1"/>
    <col min="8" max="8" width="12.42578125" style="18" customWidth="1"/>
    <col min="9" max="9" width="10" style="18" customWidth="1"/>
    <col min="10" max="10" width="18.42578125" style="18" customWidth="1"/>
    <col min="11" max="12" width="8" style="18" customWidth="1"/>
    <col min="13" max="13" width="2.42578125" style="18" customWidth="1"/>
    <col min="14" max="14" width="42.140625" style="18" customWidth="1"/>
    <col min="15" max="15" width="3.85546875" style="18" customWidth="1"/>
    <col min="16" max="16" width="16" style="18" customWidth="1"/>
    <col min="17" max="17" width="1.85546875" style="18" customWidth="1"/>
    <col min="18" max="18" width="18.140625" style="18" customWidth="1"/>
    <col min="19" max="19" width="2.28515625" style="18" customWidth="1"/>
    <col min="20" max="20" width="16.42578125" style="18" customWidth="1"/>
    <col min="21" max="16384" width="8" style="18"/>
  </cols>
  <sheetData>
    <row r="1" spans="1:24">
      <c r="A1" s="2087" t="str">
        <f>LOGO!B5</f>
        <v>DUKE ENERGY KENTUCKY, INC.</v>
      </c>
      <c r="B1" s="2195"/>
      <c r="C1" s="2195"/>
      <c r="D1" s="2195"/>
      <c r="E1" s="2195"/>
      <c r="F1" s="2195"/>
      <c r="G1" s="2195"/>
      <c r="H1" s="2195"/>
      <c r="I1" s="2195"/>
      <c r="J1" s="2195"/>
      <c r="K1" s="1180"/>
      <c r="L1" s="1180"/>
      <c r="M1" s="1180"/>
      <c r="N1" s="1180"/>
      <c r="O1" s="1180"/>
      <c r="P1" s="1180"/>
      <c r="Q1" s="1180"/>
      <c r="R1" s="1180"/>
      <c r="S1" s="1180"/>
      <c r="T1" s="1180"/>
      <c r="U1" s="1180"/>
      <c r="V1" s="1180"/>
      <c r="W1" s="1180"/>
      <c r="X1" s="1180"/>
    </row>
    <row r="2" spans="1:24">
      <c r="A2" s="2087" t="str">
        <f>LOGO!B6</f>
        <v>CASE NO. 2017-00321</v>
      </c>
      <c r="B2" s="2195"/>
      <c r="C2" s="2195"/>
      <c r="D2" s="2195"/>
      <c r="E2" s="2195"/>
      <c r="F2" s="2195"/>
      <c r="G2" s="2195"/>
      <c r="H2" s="2195"/>
      <c r="I2" s="2195"/>
      <c r="J2" s="2195"/>
      <c r="K2" s="1180"/>
      <c r="L2" s="1180"/>
      <c r="M2" s="1180"/>
      <c r="N2" s="1180"/>
      <c r="O2" s="1180"/>
      <c r="P2" s="1180"/>
      <c r="Q2" s="1180"/>
      <c r="R2" s="1180"/>
      <c r="S2" s="1180"/>
      <c r="T2" s="1180"/>
      <c r="U2" s="1180"/>
      <c r="V2" s="1180"/>
      <c r="W2" s="1180"/>
      <c r="X2" s="1180"/>
    </row>
    <row r="3" spans="1:24">
      <c r="A3" s="2166" t="s">
        <v>1762</v>
      </c>
      <c r="B3" s="2195"/>
      <c r="C3" s="2195"/>
      <c r="D3" s="2195"/>
      <c r="E3" s="2195"/>
      <c r="F3" s="2195"/>
      <c r="G3" s="2195"/>
      <c r="H3" s="2195"/>
      <c r="I3" s="2195"/>
      <c r="J3" s="2195"/>
      <c r="K3" s="1180"/>
      <c r="L3" s="1180"/>
      <c r="M3" s="1180"/>
      <c r="N3" s="1180"/>
      <c r="O3" s="1180"/>
      <c r="P3" s="1180"/>
      <c r="Q3" s="1180"/>
      <c r="R3" s="1180"/>
      <c r="S3" s="1180"/>
      <c r="T3" s="1180"/>
      <c r="U3" s="1180"/>
      <c r="V3" s="1180"/>
      <c r="W3" s="1180"/>
      <c r="X3" s="1180"/>
    </row>
    <row r="4" spans="1:24">
      <c r="A4" s="2087" t="str">
        <f>LOGO!B8</f>
        <v>FOR THE TWELVE MONTHS ENDED MARCH 31, 2019</v>
      </c>
      <c r="B4" s="2195"/>
      <c r="C4" s="2195"/>
      <c r="D4" s="2195"/>
      <c r="E4" s="2195"/>
      <c r="F4" s="2195"/>
      <c r="G4" s="2195"/>
      <c r="H4" s="2195"/>
      <c r="I4" s="2195"/>
      <c r="J4" s="2195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</row>
    <row r="5" spans="1:24">
      <c r="A5" s="1180"/>
      <c r="B5" s="1180"/>
      <c r="C5" s="1180"/>
      <c r="D5" s="1180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80"/>
      <c r="U5" s="1180"/>
      <c r="V5" s="1180"/>
      <c r="W5" s="1180"/>
      <c r="X5" s="1180"/>
    </row>
    <row r="6" spans="1:24">
      <c r="A6" s="2206" t="str">
        <f>DataB</f>
        <v>DATA: "X" BASE PERIOD  "X" FORECASTED PERIOD</v>
      </c>
      <c r="B6" s="1180"/>
      <c r="C6" s="1180"/>
      <c r="D6" s="1180"/>
      <c r="E6" s="1180"/>
      <c r="F6" s="1180"/>
      <c r="G6" s="1180"/>
      <c r="H6" s="1180"/>
      <c r="I6" s="2196" t="s">
        <v>1523</v>
      </c>
      <c r="J6" s="1180"/>
      <c r="K6" s="1180"/>
      <c r="L6" s="1180"/>
      <c r="M6" s="1180"/>
      <c r="N6" s="1180"/>
      <c r="O6" s="1180"/>
      <c r="P6" s="1180"/>
      <c r="Q6" s="1180"/>
      <c r="R6" s="1180"/>
      <c r="S6" s="1180"/>
      <c r="T6" s="1180"/>
      <c r="U6" s="1180"/>
      <c r="V6" s="1180"/>
      <c r="W6" s="1180"/>
      <c r="X6" s="1180"/>
    </row>
    <row r="7" spans="1:24">
      <c r="A7" s="2206" t="str">
        <f>LOGO!B15</f>
        <v xml:space="preserve">TYPE OF FILING:  "X" ORIGINAL   UPDATED    REVISED  </v>
      </c>
      <c r="B7" s="1180"/>
      <c r="C7" s="1180"/>
      <c r="D7" s="1180"/>
      <c r="E7" s="1180"/>
      <c r="F7" s="1180"/>
      <c r="G7" s="1180"/>
      <c r="H7" s="1180"/>
      <c r="I7" s="1179" t="s">
        <v>620</v>
      </c>
      <c r="J7" s="1180"/>
      <c r="K7" s="1180"/>
      <c r="L7" s="1180"/>
      <c r="M7" s="1180"/>
      <c r="N7" s="1180"/>
      <c r="O7" s="1180"/>
      <c r="P7" s="1180"/>
      <c r="Q7" s="1180"/>
      <c r="R7" s="1180"/>
      <c r="S7" s="1180"/>
      <c r="T7" s="1180"/>
      <c r="U7" s="1180"/>
      <c r="V7" s="1180"/>
      <c r="W7" s="1180"/>
      <c r="X7" s="1180"/>
    </row>
    <row r="8" spans="1:24">
      <c r="A8" s="1179" t="s">
        <v>1522</v>
      </c>
      <c r="B8" s="1180"/>
      <c r="C8" s="1180"/>
      <c r="D8" s="1180"/>
      <c r="E8" s="1180"/>
      <c r="F8" s="1180"/>
      <c r="G8" s="1180"/>
      <c r="H8" s="1180"/>
      <c r="I8" s="1179" t="s">
        <v>622</v>
      </c>
      <c r="J8" s="1180"/>
      <c r="K8" s="1180"/>
      <c r="L8" s="1180"/>
      <c r="M8" s="1180"/>
      <c r="N8" s="1180"/>
      <c r="O8" s="1180"/>
      <c r="P8" s="1180"/>
      <c r="Q8" s="1180"/>
      <c r="R8" s="1180"/>
      <c r="S8" s="1180"/>
      <c r="T8" s="1180"/>
      <c r="U8" s="1180"/>
      <c r="V8" s="1180"/>
      <c r="W8" s="1180"/>
      <c r="X8" s="1180"/>
    </row>
    <row r="9" spans="1:24">
      <c r="A9" s="1180"/>
      <c r="B9" s="1180"/>
      <c r="C9" s="1180"/>
      <c r="D9" s="1180"/>
      <c r="E9" s="1180"/>
      <c r="F9" s="1180"/>
      <c r="G9" s="1180"/>
      <c r="H9" s="1180"/>
      <c r="I9" s="1179" t="str">
        <f>_WIT10</f>
        <v>R. H. PRATT</v>
      </c>
      <c r="J9" s="1180"/>
      <c r="K9" s="1180"/>
      <c r="L9" s="1180"/>
      <c r="M9" s="1180"/>
      <c r="N9" s="1180"/>
      <c r="O9" s="1180"/>
      <c r="P9" s="1180"/>
      <c r="Q9" s="1180"/>
      <c r="R9" s="1180"/>
      <c r="S9" s="1180"/>
      <c r="T9" s="1180"/>
      <c r="U9" s="1180"/>
      <c r="V9" s="1180"/>
      <c r="W9" s="1180"/>
      <c r="X9" s="1180"/>
    </row>
    <row r="10" spans="1:24">
      <c r="A10" s="2197"/>
      <c r="B10" s="2197"/>
      <c r="C10" s="2197"/>
      <c r="D10" s="2197"/>
      <c r="E10" s="2197"/>
      <c r="F10" s="2197"/>
      <c r="G10" s="2197"/>
      <c r="H10" s="2197"/>
      <c r="I10" s="2197"/>
      <c r="J10" s="2197"/>
      <c r="K10" s="1179"/>
      <c r="L10" s="1180"/>
      <c r="M10" s="1180"/>
      <c r="N10" s="1180"/>
      <c r="O10" s="1180"/>
      <c r="P10" s="1180"/>
      <c r="Q10" s="1180"/>
      <c r="R10" s="1180"/>
      <c r="S10" s="1180"/>
      <c r="T10" s="1180"/>
      <c r="U10" s="1180"/>
      <c r="V10" s="1180"/>
      <c r="W10" s="1180"/>
      <c r="X10" s="1180"/>
    </row>
    <row r="11" spans="1:24">
      <c r="A11" s="1180"/>
      <c r="B11" s="1180"/>
      <c r="C11" s="1180"/>
      <c r="D11" s="1180"/>
      <c r="E11" s="1180"/>
      <c r="F11" s="1180"/>
      <c r="G11" s="1180"/>
      <c r="H11" s="1180"/>
      <c r="I11" s="1180"/>
      <c r="J11" s="1180"/>
      <c r="K11" s="1180"/>
      <c r="L11" s="1180"/>
      <c r="M11" s="1180"/>
      <c r="N11" s="1180"/>
      <c r="O11" s="1180"/>
      <c r="P11" s="1180"/>
      <c r="Q11" s="1180"/>
      <c r="R11" s="1180"/>
      <c r="S11" s="1180"/>
      <c r="T11" s="1180"/>
      <c r="U11" s="1180"/>
      <c r="V11" s="1180"/>
      <c r="W11" s="1180"/>
      <c r="X11" s="1180"/>
    </row>
    <row r="12" spans="1:24">
      <c r="A12" s="1179" t="s">
        <v>1246</v>
      </c>
      <c r="B12" s="1180"/>
      <c r="C12" s="1180"/>
      <c r="D12" s="1180"/>
      <c r="E12" s="1180"/>
      <c r="F12" s="1180"/>
      <c r="G12" s="1180"/>
      <c r="H12" s="1180"/>
      <c r="I12" s="1180"/>
      <c r="J12" s="2198" t="s">
        <v>364</v>
      </c>
      <c r="K12" s="1180"/>
      <c r="L12" s="1180"/>
      <c r="M12" s="1180"/>
      <c r="N12" s="1180"/>
      <c r="O12" s="1180"/>
      <c r="P12" s="1180"/>
      <c r="Q12" s="1180"/>
      <c r="R12" s="1180"/>
      <c r="S12" s="1180"/>
      <c r="T12" s="1180"/>
      <c r="U12" s="1180"/>
      <c r="V12" s="1180"/>
      <c r="W12" s="1180"/>
      <c r="X12" s="1180"/>
    </row>
    <row r="13" spans="1:24">
      <c r="A13" s="2197"/>
      <c r="B13" s="2197"/>
      <c r="C13" s="2197"/>
      <c r="D13" s="2197"/>
      <c r="E13" s="2197"/>
      <c r="F13" s="2197"/>
      <c r="G13" s="2197"/>
      <c r="H13" s="2197"/>
      <c r="I13" s="2197"/>
      <c r="J13" s="2197"/>
      <c r="K13" s="1179"/>
      <c r="L13" s="1180"/>
      <c r="M13" s="1180"/>
      <c r="N13" s="1180"/>
      <c r="O13" s="1180"/>
      <c r="P13" s="1180"/>
      <c r="Q13" s="1180"/>
      <c r="R13" s="1180"/>
      <c r="S13" s="1180"/>
      <c r="T13" s="1180"/>
      <c r="U13" s="1180"/>
      <c r="V13" s="1180"/>
      <c r="W13" s="1180"/>
      <c r="X13" s="1180"/>
    </row>
    <row r="14" spans="1:24">
      <c r="A14" s="1180"/>
      <c r="B14" s="1180"/>
      <c r="C14" s="1180"/>
      <c r="D14" s="1180"/>
      <c r="E14" s="1180"/>
      <c r="F14" s="1180"/>
      <c r="G14" s="1180"/>
      <c r="H14" s="1180"/>
      <c r="I14" s="1180"/>
      <c r="J14" s="2199"/>
      <c r="K14" s="1180"/>
      <c r="L14" s="1180"/>
      <c r="M14" s="1180"/>
      <c r="N14" s="1180"/>
      <c r="O14" s="1180"/>
      <c r="P14" s="1180"/>
      <c r="Q14" s="1180"/>
      <c r="R14" s="1180"/>
      <c r="S14" s="1180"/>
      <c r="T14" s="1180"/>
      <c r="U14" s="1180"/>
      <c r="V14" s="1180"/>
      <c r="W14" s="1180"/>
      <c r="X14" s="1180"/>
    </row>
    <row r="15" spans="1:24">
      <c r="A15" s="1581" t="s">
        <v>40</v>
      </c>
      <c r="B15" s="1180"/>
      <c r="C15" s="1180"/>
      <c r="D15" s="1180"/>
      <c r="E15" s="1180"/>
      <c r="F15" s="1180"/>
      <c r="G15" s="1180"/>
      <c r="H15" s="1180"/>
      <c r="I15" s="1180"/>
      <c r="J15" s="1180"/>
      <c r="K15" s="1180"/>
      <c r="L15" s="1180"/>
      <c r="M15" s="1180"/>
      <c r="N15" s="1180"/>
      <c r="O15" s="1180"/>
      <c r="P15" s="1180"/>
      <c r="Q15" s="1180"/>
      <c r="R15" s="1180"/>
      <c r="S15" s="1180"/>
      <c r="T15" s="1180"/>
      <c r="U15" s="1180"/>
      <c r="V15" s="1180"/>
      <c r="W15" s="1180"/>
      <c r="X15" s="1180"/>
    </row>
    <row r="16" spans="1:24">
      <c r="A16" s="1581" t="s">
        <v>1761</v>
      </c>
      <c r="B16" s="1180"/>
      <c r="C16" s="1180"/>
      <c r="D16" s="1180"/>
      <c r="E16" s="1180"/>
      <c r="F16" s="1180"/>
      <c r="G16" s="1180"/>
      <c r="H16" s="1180"/>
      <c r="I16" s="1180"/>
      <c r="J16" s="1180"/>
      <c r="K16" s="1180"/>
      <c r="L16" s="1180"/>
      <c r="M16" s="1180"/>
      <c r="N16" s="1180"/>
      <c r="O16" s="1180"/>
      <c r="P16" s="1180"/>
      <c r="Q16" s="1180"/>
      <c r="R16" s="1180"/>
      <c r="S16" s="1180"/>
      <c r="T16" s="1180"/>
      <c r="U16" s="1180"/>
      <c r="V16" s="1180"/>
      <c r="W16" s="1180"/>
      <c r="X16" s="1180"/>
    </row>
    <row r="17" spans="1:24">
      <c r="A17" s="1179"/>
      <c r="B17" s="1180"/>
      <c r="C17" s="1180"/>
      <c r="D17" s="1180"/>
      <c r="E17" s="1180"/>
      <c r="F17" s="1180"/>
      <c r="G17" s="1180"/>
      <c r="H17" s="1180"/>
      <c r="I17" s="1180"/>
      <c r="J17" s="1180"/>
      <c r="K17" s="1180"/>
      <c r="L17" s="1180"/>
      <c r="M17" s="1180"/>
      <c r="N17" s="1180"/>
      <c r="O17" s="1180"/>
      <c r="P17" s="1180"/>
      <c r="Q17" s="1180"/>
      <c r="R17" s="1180"/>
      <c r="S17" s="1180"/>
      <c r="T17" s="1180"/>
      <c r="U17" s="1180"/>
      <c r="V17" s="1180"/>
      <c r="W17" s="1180"/>
      <c r="X17" s="1180"/>
    </row>
    <row r="18" spans="1:24">
      <c r="A18" s="1179"/>
      <c r="B18" s="1180"/>
      <c r="C18" s="1180"/>
      <c r="D18" s="1180"/>
      <c r="E18" s="1180"/>
      <c r="F18" s="1180"/>
      <c r="G18" s="1180"/>
      <c r="H18" s="1180"/>
      <c r="I18" s="1180"/>
      <c r="J18" s="1180"/>
      <c r="K18" s="1180"/>
      <c r="L18" s="1180"/>
      <c r="M18" s="1180"/>
      <c r="N18" s="1180"/>
      <c r="O18" s="1180"/>
      <c r="P18" s="1180"/>
      <c r="Q18" s="1180"/>
      <c r="R18" s="1180"/>
      <c r="S18" s="1180"/>
      <c r="T18" s="1180"/>
      <c r="U18" s="1180"/>
      <c r="V18" s="1180"/>
      <c r="W18" s="1180"/>
      <c r="X18" s="1180"/>
    </row>
    <row r="19" spans="1:24">
      <c r="A19" s="1179"/>
      <c r="B19" s="1180"/>
      <c r="C19" s="1180"/>
      <c r="D19" s="1180"/>
      <c r="E19" s="1180"/>
      <c r="F19" s="1180"/>
      <c r="G19" s="1180"/>
      <c r="H19" s="1180"/>
      <c r="I19" s="1180"/>
      <c r="J19" s="1180"/>
      <c r="K19" s="1180"/>
      <c r="L19" s="1180"/>
      <c r="M19" s="1180"/>
      <c r="N19" s="1180"/>
      <c r="O19" s="1180"/>
      <c r="P19" s="1180"/>
      <c r="Q19" s="1180"/>
      <c r="R19" s="1180"/>
      <c r="S19" s="1180"/>
      <c r="T19" s="1180"/>
      <c r="U19" s="1180"/>
      <c r="V19" s="1180"/>
      <c r="W19" s="1180"/>
      <c r="X19" s="1180"/>
    </row>
    <row r="20" spans="1:24">
      <c r="A20" s="1179"/>
      <c r="B20" s="1180"/>
      <c r="C20" s="1180"/>
      <c r="D20" s="1180"/>
      <c r="E20" s="1180"/>
      <c r="F20" s="1180"/>
      <c r="G20" s="1180"/>
      <c r="H20" s="2199"/>
      <c r="I20" s="1180"/>
      <c r="J20" s="1180"/>
      <c r="K20" s="1180"/>
      <c r="L20" s="1180"/>
      <c r="M20" s="1180"/>
      <c r="N20" s="1180"/>
      <c r="O20" s="1180"/>
      <c r="P20" s="1180"/>
      <c r="Q20" s="1180"/>
      <c r="R20" s="1180"/>
      <c r="S20" s="1180"/>
      <c r="T20" s="1180"/>
      <c r="U20" s="1180"/>
      <c r="V20" s="1180"/>
      <c r="W20" s="1180"/>
      <c r="X20" s="1180"/>
    </row>
    <row r="21" spans="1:24">
      <c r="A21" s="1502"/>
      <c r="B21" s="1180"/>
      <c r="C21" s="1180"/>
      <c r="D21" s="1180"/>
      <c r="E21" s="1180"/>
      <c r="F21" s="1180"/>
      <c r="G21" s="1180"/>
      <c r="H21" s="2170"/>
      <c r="I21" s="1180"/>
      <c r="J21" s="1180"/>
      <c r="K21" s="1180"/>
      <c r="L21" s="1180"/>
      <c r="M21" s="1180"/>
      <c r="N21" s="1180"/>
      <c r="O21" s="1180"/>
      <c r="P21" s="1180"/>
      <c r="Q21" s="1180"/>
      <c r="R21" s="1180"/>
      <c r="S21" s="1180"/>
      <c r="T21" s="1180"/>
      <c r="U21" s="1180"/>
      <c r="V21" s="1180"/>
      <c r="W21" s="1180"/>
      <c r="X21" s="1180"/>
    </row>
    <row r="22" spans="1:24">
      <c r="A22" s="1180"/>
      <c r="B22" s="1180"/>
      <c r="C22" s="1180"/>
      <c r="D22" s="1180"/>
      <c r="E22" s="1180"/>
      <c r="F22" s="1180"/>
      <c r="G22" s="1180"/>
      <c r="H22" s="1180"/>
      <c r="I22" s="1180"/>
      <c r="J22" s="1180"/>
      <c r="K22" s="1180"/>
      <c r="L22" s="1180"/>
      <c r="M22" s="1180"/>
      <c r="N22" s="1180"/>
      <c r="O22" s="1180"/>
      <c r="P22" s="1180"/>
      <c r="Q22" s="1180"/>
      <c r="R22" s="1180"/>
      <c r="S22" s="1180"/>
      <c r="T22" s="1180"/>
      <c r="U22" s="1180"/>
      <c r="V22" s="1180"/>
      <c r="W22" s="1180"/>
      <c r="X22" s="1180"/>
    </row>
    <row r="23" spans="1:24">
      <c r="A23" s="1179" t="s">
        <v>3239</v>
      </c>
      <c r="B23" s="1180"/>
      <c r="C23" s="1180"/>
      <c r="D23" s="1180"/>
      <c r="E23" s="1180"/>
      <c r="F23" s="1180"/>
      <c r="G23" s="1180"/>
      <c r="H23" s="1180"/>
      <c r="I23" s="1426"/>
      <c r="J23" s="1375">
        <f>T53</f>
        <v>2680605</v>
      </c>
      <c r="K23" s="1180"/>
      <c r="L23" s="1180"/>
      <c r="M23" s="1180"/>
      <c r="N23" s="1180"/>
      <c r="O23" s="1180"/>
      <c r="P23" s="1180"/>
      <c r="Q23" s="1180"/>
      <c r="R23" s="1180"/>
      <c r="S23" s="1180"/>
      <c r="T23" s="1180"/>
      <c r="U23" s="1180"/>
      <c r="V23" s="1180"/>
      <c r="W23" s="1180"/>
      <c r="X23" s="1180"/>
    </row>
    <row r="24" spans="1:24">
      <c r="A24" s="1180"/>
      <c r="B24" s="1180"/>
      <c r="C24" s="1180"/>
      <c r="D24" s="1180"/>
      <c r="E24" s="1180"/>
      <c r="F24" s="1180"/>
      <c r="G24" s="1180"/>
      <c r="H24" s="1180"/>
      <c r="I24" s="1180"/>
      <c r="J24" s="1426"/>
      <c r="K24" s="1180"/>
      <c r="L24" s="1180"/>
      <c r="M24" s="1180"/>
      <c r="N24" s="1180"/>
      <c r="O24" s="1180"/>
      <c r="P24" s="1180"/>
      <c r="Q24" s="1180"/>
      <c r="R24" s="1180"/>
      <c r="S24" s="1180"/>
      <c r="T24" s="1180"/>
      <c r="U24" s="1180"/>
      <c r="V24" s="1180"/>
      <c r="W24" s="1180"/>
      <c r="X24" s="1180"/>
    </row>
    <row r="25" spans="1:24">
      <c r="A25" s="1180"/>
      <c r="B25" s="1180"/>
      <c r="C25" s="1180"/>
      <c r="D25" s="1180"/>
      <c r="E25" s="1180"/>
      <c r="F25" s="1180"/>
      <c r="G25" s="1180"/>
      <c r="H25" s="1180"/>
      <c r="I25" s="1180"/>
      <c r="J25" s="1180"/>
      <c r="K25" s="1180"/>
      <c r="L25" s="1180"/>
      <c r="M25" s="1180"/>
      <c r="N25" s="1180"/>
      <c r="O25" s="1180"/>
      <c r="P25" s="1180"/>
      <c r="Q25" s="1180"/>
      <c r="R25" s="1180"/>
      <c r="S25" s="1180"/>
      <c r="T25" s="1180"/>
      <c r="U25" s="1180"/>
      <c r="V25" s="1180"/>
      <c r="W25" s="1180"/>
      <c r="X25" s="1180"/>
    </row>
    <row r="26" spans="1:24">
      <c r="A26" s="1179" t="s">
        <v>266</v>
      </c>
      <c r="B26" s="1180"/>
      <c r="C26" s="1180"/>
      <c r="D26" s="1180"/>
      <c r="E26" s="1180"/>
      <c r="F26" s="1180"/>
      <c r="G26" s="1180"/>
      <c r="H26" s="1180"/>
      <c r="I26" s="1180"/>
      <c r="J26" s="1425">
        <f>VLOOKUP(D33,ALLOCTABLE,2)/100</f>
        <v>1</v>
      </c>
      <c r="K26" s="1180"/>
      <c r="L26" s="1180"/>
      <c r="M26" s="1180"/>
      <c r="N26" s="1180"/>
      <c r="O26" s="1180"/>
      <c r="P26" s="1180"/>
      <c r="Q26" s="1180"/>
      <c r="R26" s="1180"/>
      <c r="S26" s="1180"/>
      <c r="T26" s="1180"/>
      <c r="U26" s="1180"/>
      <c r="V26" s="1180"/>
      <c r="W26" s="1180"/>
      <c r="X26" s="1180"/>
    </row>
    <row r="27" spans="1:24">
      <c r="A27" s="1180"/>
      <c r="B27" s="1180"/>
      <c r="C27" s="1180"/>
      <c r="D27" s="1180"/>
      <c r="E27" s="1180"/>
      <c r="F27" s="1180"/>
      <c r="G27" s="1180"/>
      <c r="H27" s="1180"/>
      <c r="I27" s="1180"/>
      <c r="J27" s="1426"/>
      <c r="K27" s="1180"/>
      <c r="L27" s="1180"/>
      <c r="M27" s="1180"/>
      <c r="N27" s="1180"/>
      <c r="O27" s="1180"/>
      <c r="P27" s="1180"/>
      <c r="Q27" s="1180"/>
      <c r="R27" s="1180"/>
      <c r="S27" s="1180"/>
      <c r="T27" s="1180"/>
      <c r="U27" s="1180"/>
      <c r="V27" s="1180"/>
      <c r="W27" s="1180"/>
      <c r="X27" s="1180"/>
    </row>
    <row r="28" spans="1:24">
      <c r="A28" s="1180"/>
      <c r="B28" s="1180"/>
      <c r="C28" s="1180"/>
      <c r="D28" s="1180"/>
      <c r="E28" s="1180"/>
      <c r="F28" s="1180"/>
      <c r="G28" s="1180"/>
      <c r="H28" s="1180"/>
      <c r="I28" s="1180"/>
      <c r="J28" s="1180"/>
      <c r="K28" s="1180"/>
      <c r="L28" s="1180"/>
      <c r="M28" s="1180"/>
      <c r="N28" s="1180"/>
      <c r="O28" s="1180"/>
      <c r="P28" s="1180"/>
      <c r="Q28" s="1180"/>
      <c r="R28" s="1180"/>
      <c r="S28" s="1180"/>
      <c r="T28" s="1180"/>
      <c r="U28" s="1180"/>
      <c r="V28" s="1180"/>
      <c r="W28" s="1180"/>
      <c r="X28" s="1180"/>
    </row>
    <row r="29" spans="1:24" ht="15">
      <c r="A29" s="1179" t="s">
        <v>1236</v>
      </c>
      <c r="B29" s="1180"/>
      <c r="C29" s="1180"/>
      <c r="D29" s="1180"/>
      <c r="E29" s="1180"/>
      <c r="F29" s="1179" t="s">
        <v>1213</v>
      </c>
      <c r="G29" s="1180"/>
      <c r="H29" s="1180"/>
      <c r="I29" s="1426"/>
      <c r="J29" s="1427">
        <f>ROUND(J23*J26,0)</f>
        <v>2680605</v>
      </c>
      <c r="K29" s="1180"/>
      <c r="L29" s="1180"/>
      <c r="M29" s="1180"/>
      <c r="N29" s="1180"/>
      <c r="O29" s="1180"/>
      <c r="P29" s="1180"/>
      <c r="Q29" s="1180"/>
      <c r="R29" s="1180"/>
      <c r="S29" s="1180"/>
      <c r="T29" s="1180"/>
      <c r="U29" s="1180"/>
      <c r="V29" s="1180"/>
      <c r="W29" s="1180"/>
      <c r="X29" s="1180"/>
    </row>
    <row r="30" spans="1:24">
      <c r="A30" s="1180"/>
      <c r="B30" s="1180"/>
      <c r="C30" s="1180"/>
      <c r="D30" s="1180"/>
      <c r="E30" s="1180"/>
      <c r="F30" s="1180"/>
      <c r="G30" s="1180"/>
      <c r="H30" s="1180"/>
      <c r="I30" s="1180"/>
      <c r="J30" s="1426"/>
      <c r="K30" s="1180"/>
      <c r="L30" s="1180"/>
      <c r="M30" s="1180"/>
      <c r="N30" s="1180"/>
      <c r="O30" s="1180"/>
      <c r="P30" s="1180"/>
      <c r="Q30" s="1180"/>
      <c r="R30" s="1180"/>
      <c r="S30" s="1180"/>
      <c r="T30" s="1180"/>
      <c r="U30" s="1180"/>
      <c r="V30" s="1180"/>
      <c r="W30" s="1180"/>
      <c r="X30" s="1180"/>
    </row>
    <row r="31" spans="1:24">
      <c r="A31" s="1180"/>
      <c r="B31" s="1180"/>
      <c r="C31" s="1180"/>
      <c r="D31" s="1180"/>
      <c r="E31" s="1180"/>
      <c r="F31" s="1180"/>
      <c r="G31" s="1180"/>
      <c r="H31" s="1180"/>
      <c r="I31" s="1180"/>
      <c r="J31" s="1180"/>
      <c r="K31" s="1180"/>
      <c r="L31" s="1180"/>
      <c r="M31" s="1180"/>
      <c r="N31" s="1180"/>
      <c r="O31" s="1180"/>
      <c r="P31" s="1180"/>
      <c r="Q31" s="1180"/>
      <c r="R31" s="1180"/>
      <c r="S31" s="1180"/>
      <c r="T31" s="1180"/>
      <c r="U31" s="1180"/>
      <c r="V31" s="1180"/>
      <c r="W31" s="1180"/>
      <c r="X31" s="1180"/>
    </row>
    <row r="32" spans="1:24">
      <c r="A32" s="1180"/>
      <c r="B32" s="1180"/>
      <c r="C32" s="1180"/>
      <c r="D32" s="1180"/>
      <c r="E32" s="1180"/>
      <c r="F32" s="1180"/>
      <c r="G32" s="1180"/>
      <c r="H32" s="1180"/>
      <c r="I32" s="1180"/>
      <c r="J32" s="1180"/>
      <c r="K32" s="1180"/>
      <c r="L32" s="1180"/>
      <c r="M32" s="1180"/>
      <c r="N32" s="1180"/>
      <c r="O32" s="1180"/>
      <c r="P32" s="1180"/>
      <c r="Q32" s="1180"/>
      <c r="R32" s="1180"/>
      <c r="S32" s="1180"/>
      <c r="T32" s="1180"/>
      <c r="U32" s="1180"/>
      <c r="V32" s="1180"/>
      <c r="W32" s="1180"/>
      <c r="X32" s="1180"/>
    </row>
    <row r="33" spans="1:24">
      <c r="A33" s="1179" t="s">
        <v>1237</v>
      </c>
      <c r="B33" s="1180"/>
      <c r="C33" s="1180"/>
      <c r="D33" s="2149" t="s">
        <v>593</v>
      </c>
      <c r="E33" s="1180"/>
      <c r="F33" s="1180"/>
      <c r="G33" s="1180"/>
      <c r="H33" s="1180"/>
      <c r="I33" s="1180"/>
      <c r="J33" s="1180"/>
      <c r="K33" s="1180"/>
      <c r="L33" s="1180"/>
      <c r="M33" s="1180"/>
      <c r="N33" s="1180"/>
      <c r="O33" s="1180"/>
      <c r="P33" s="1180"/>
      <c r="Q33" s="1180"/>
      <c r="R33" s="1180"/>
      <c r="S33" s="1180"/>
      <c r="T33" s="1180"/>
      <c r="U33" s="1180"/>
      <c r="V33" s="1180"/>
      <c r="W33" s="1180"/>
      <c r="X33" s="1180"/>
    </row>
    <row r="34" spans="1:24">
      <c r="A34" s="1179"/>
      <c r="B34" s="1180"/>
      <c r="C34" s="1180"/>
      <c r="D34" s="1180"/>
      <c r="E34" s="1180"/>
      <c r="F34" s="1180"/>
      <c r="G34" s="1180"/>
      <c r="H34" s="1180"/>
      <c r="I34" s="1180"/>
      <c r="J34" s="1180"/>
      <c r="K34" s="1180"/>
      <c r="L34" s="1180"/>
      <c r="M34" s="1180"/>
      <c r="N34" s="1180"/>
      <c r="O34" s="1180"/>
      <c r="P34" s="1180"/>
      <c r="Q34" s="1180"/>
      <c r="R34" s="1180"/>
      <c r="S34" s="1180"/>
      <c r="T34" s="1180"/>
      <c r="U34" s="1180"/>
      <c r="V34" s="1180"/>
      <c r="W34" s="1180"/>
      <c r="X34" s="1180"/>
    </row>
    <row r="35" spans="1:24">
      <c r="A35" s="1180"/>
      <c r="B35" s="1180"/>
      <c r="C35" s="1180"/>
      <c r="D35" s="1180"/>
      <c r="E35" s="1180"/>
      <c r="F35" s="1180"/>
      <c r="G35" s="1180"/>
      <c r="H35" s="1180"/>
      <c r="I35" s="1180"/>
      <c r="J35" s="1180"/>
      <c r="K35" s="1180"/>
      <c r="L35" s="1180"/>
      <c r="M35" s="1180"/>
      <c r="N35" s="1180"/>
      <c r="O35" s="1180"/>
      <c r="P35" s="1180"/>
      <c r="Q35" s="1180"/>
      <c r="R35" s="1180"/>
      <c r="S35" s="1180"/>
      <c r="T35" s="1180"/>
      <c r="U35" s="1180"/>
      <c r="V35" s="1180"/>
      <c r="W35" s="1180"/>
      <c r="X35" s="1180"/>
    </row>
    <row r="36" spans="1:24">
      <c r="A36" s="1180"/>
      <c r="B36" s="1180"/>
      <c r="C36" s="1180"/>
      <c r="D36" s="1180"/>
      <c r="E36" s="1180"/>
      <c r="F36" s="1180"/>
      <c r="G36" s="1180"/>
      <c r="H36" s="1180"/>
      <c r="I36" s="1180"/>
      <c r="J36" s="1180"/>
      <c r="K36" s="1180"/>
      <c r="L36" s="1180"/>
      <c r="M36" s="1180"/>
      <c r="N36" s="1180"/>
      <c r="O36" s="1180"/>
      <c r="P36" s="1180"/>
      <c r="Q36" s="1180"/>
      <c r="R36" s="1180"/>
      <c r="S36" s="1180"/>
      <c r="T36" s="1180"/>
      <c r="U36" s="1180"/>
      <c r="V36" s="1180"/>
      <c r="W36" s="1180"/>
      <c r="X36" s="1180"/>
    </row>
    <row r="37" spans="1:24">
      <c r="A37" s="1180"/>
      <c r="B37" s="1180"/>
      <c r="C37" s="1180"/>
      <c r="D37" s="1180"/>
      <c r="E37" s="1180"/>
      <c r="F37" s="1180"/>
      <c r="G37" s="1180"/>
      <c r="H37" s="1180"/>
      <c r="I37" s="1180"/>
      <c r="J37" s="1180"/>
      <c r="K37" s="1180"/>
      <c r="L37" s="1180"/>
      <c r="M37" s="1180"/>
      <c r="N37" s="1180"/>
      <c r="O37" s="1180"/>
      <c r="P37" s="1180"/>
      <c r="Q37" s="1180"/>
      <c r="R37" s="1180"/>
      <c r="S37" s="1180"/>
      <c r="T37" s="1180"/>
      <c r="U37" s="1180"/>
      <c r="V37" s="1180"/>
      <c r="W37" s="1180"/>
      <c r="X37" s="1180"/>
    </row>
    <row r="38" spans="1:24">
      <c r="A38" s="1180"/>
      <c r="B38" s="1180"/>
      <c r="C38" s="1180"/>
      <c r="D38" s="1180"/>
      <c r="E38" s="1180"/>
      <c r="F38" s="1180"/>
      <c r="G38" s="1180"/>
      <c r="H38" s="1180"/>
      <c r="I38" s="1180"/>
      <c r="J38" s="1180"/>
      <c r="K38" s="1180"/>
      <c r="L38" s="1180"/>
      <c r="M38" s="1180"/>
      <c r="N38" s="1180"/>
      <c r="O38" s="1180"/>
      <c r="P38" s="1180"/>
      <c r="Q38" s="1180"/>
      <c r="R38" s="1180"/>
      <c r="S38" s="1180"/>
      <c r="T38" s="1180"/>
      <c r="U38" s="1180"/>
      <c r="V38" s="1180"/>
      <c r="W38" s="1180"/>
      <c r="X38" s="1180"/>
    </row>
    <row r="39" spans="1:24">
      <c r="A39" s="1180"/>
      <c r="B39" s="1180"/>
      <c r="C39" s="1180"/>
      <c r="D39" s="1180"/>
      <c r="E39" s="1180"/>
      <c r="F39" s="1180"/>
      <c r="G39" s="1180"/>
      <c r="H39" s="1180"/>
      <c r="I39" s="1180"/>
      <c r="J39" s="1180"/>
      <c r="K39" s="1180"/>
      <c r="L39" s="1180"/>
      <c r="M39" s="1180"/>
      <c r="N39" s="1180"/>
      <c r="O39" s="1180"/>
      <c r="P39" s="1180"/>
      <c r="Q39" s="1180"/>
      <c r="R39" s="1180"/>
      <c r="S39" s="1180"/>
      <c r="T39" s="1180"/>
      <c r="U39" s="1180"/>
      <c r="V39" s="1180"/>
      <c r="W39" s="1180"/>
      <c r="X39" s="1180"/>
    </row>
    <row r="40" spans="1:24">
      <c r="A40" s="1180"/>
      <c r="B40" s="1180"/>
      <c r="C40" s="1180"/>
      <c r="D40" s="1180"/>
      <c r="E40" s="1180"/>
      <c r="F40" s="1180"/>
      <c r="G40" s="1180"/>
      <c r="H40" s="1180"/>
      <c r="I40" s="1180"/>
      <c r="J40" s="1180"/>
      <c r="K40" s="1180"/>
      <c r="L40" s="1180"/>
      <c r="M40" s="1180"/>
      <c r="N40" s="1180"/>
      <c r="O40" s="1180"/>
      <c r="P40" s="1180"/>
      <c r="Q40" s="1180"/>
      <c r="R40" s="1180"/>
      <c r="S40" s="1180"/>
      <c r="T40" s="1180"/>
      <c r="U40" s="1180"/>
      <c r="V40" s="1180"/>
      <c r="W40" s="1180"/>
      <c r="X40" s="1180"/>
    </row>
    <row r="41" spans="1:24">
      <c r="A41" s="1180"/>
      <c r="B41" s="1180"/>
      <c r="C41" s="1180"/>
      <c r="D41" s="1180"/>
      <c r="E41" s="1180"/>
      <c r="F41" s="1180"/>
      <c r="G41" s="1180"/>
      <c r="H41" s="1180"/>
      <c r="I41" s="1180"/>
      <c r="J41" s="1180"/>
      <c r="K41" s="1180"/>
      <c r="L41" s="1180"/>
      <c r="M41" s="1180"/>
      <c r="N41" s="1180"/>
      <c r="O41" s="1180"/>
      <c r="P41" s="1180"/>
      <c r="Q41" s="1180"/>
      <c r="R41" s="1180"/>
      <c r="S41" s="1180"/>
      <c r="T41" s="1180"/>
      <c r="U41" s="1180"/>
      <c r="V41" s="1180"/>
      <c r="W41" s="1180"/>
      <c r="X41" s="1180"/>
    </row>
    <row r="42" spans="1:24">
      <c r="A42" s="1180"/>
      <c r="B42" s="1180"/>
      <c r="C42" s="1180"/>
      <c r="D42" s="1180"/>
      <c r="E42" s="1180"/>
      <c r="F42" s="1180"/>
      <c r="G42" s="1180"/>
      <c r="H42" s="1180"/>
      <c r="I42" s="1180"/>
      <c r="J42" s="1180"/>
      <c r="K42" s="1180"/>
      <c r="L42" s="1180"/>
      <c r="M42" s="1180"/>
      <c r="N42" s="1180"/>
      <c r="O42" s="1180"/>
      <c r="P42" s="1180"/>
      <c r="Q42" s="1180"/>
      <c r="R42" s="1180"/>
      <c r="S42" s="1180"/>
      <c r="T42" s="1180"/>
      <c r="U42" s="1180"/>
      <c r="V42" s="1180"/>
      <c r="W42" s="1180"/>
      <c r="X42" s="1180"/>
    </row>
    <row r="43" spans="1:24">
      <c r="A43" s="1180"/>
      <c r="B43" s="1180"/>
      <c r="C43" s="1180"/>
      <c r="D43" s="1180"/>
      <c r="E43" s="1180"/>
      <c r="F43" s="1180"/>
      <c r="G43" s="1180"/>
      <c r="H43" s="1180"/>
      <c r="I43" s="1180"/>
      <c r="J43" s="1180"/>
      <c r="K43" s="1180"/>
      <c r="L43" s="1629" t="str">
        <f>COMPANY</f>
        <v>DUKE ENERGY KENTUCKY, INC.</v>
      </c>
      <c r="M43" s="530"/>
      <c r="N43" s="530"/>
      <c r="O43" s="530"/>
      <c r="P43" s="530"/>
      <c r="Q43" s="530"/>
      <c r="R43" s="1629" t="s">
        <v>217</v>
      </c>
      <c r="S43" s="530"/>
      <c r="T43" s="1178"/>
      <c r="U43" s="1180"/>
      <c r="V43" s="1180"/>
      <c r="W43" s="1180"/>
      <c r="X43" s="1180"/>
    </row>
    <row r="44" spans="1:24">
      <c r="A44" s="1180"/>
      <c r="B44" s="1180"/>
      <c r="C44" s="1180"/>
      <c r="D44" s="1180"/>
      <c r="E44" s="1180"/>
      <c r="F44" s="1180"/>
      <c r="G44" s="1180"/>
      <c r="H44" s="1180"/>
      <c r="I44" s="1180"/>
      <c r="J44" s="1180"/>
      <c r="K44" s="1180"/>
      <c r="L44" s="1629" t="str">
        <f>DEPT</f>
        <v>ELECTRIC DEPARTMENT</v>
      </c>
      <c r="M44" s="530"/>
      <c r="N44" s="530"/>
      <c r="O44" s="530"/>
      <c r="P44" s="530"/>
      <c r="Q44" s="530"/>
      <c r="R44" s="1629" t="s">
        <v>1239</v>
      </c>
      <c r="S44" s="530"/>
      <c r="T44" s="1178"/>
      <c r="U44" s="1180"/>
      <c r="V44" s="1180"/>
      <c r="W44" s="1180"/>
      <c r="X44" s="1180"/>
    </row>
    <row r="45" spans="1:24">
      <c r="A45" s="1180"/>
      <c r="B45" s="1180"/>
      <c r="C45" s="1180"/>
      <c r="D45" s="1180"/>
      <c r="E45" s="1180"/>
      <c r="F45" s="1180"/>
      <c r="G45" s="1180"/>
      <c r="H45" s="1180"/>
      <c r="I45" s="1180"/>
      <c r="J45" s="1180"/>
      <c r="K45" s="1180"/>
      <c r="L45" s="1629" t="str">
        <f>CASE</f>
        <v>CASE NO. 2017-00321</v>
      </c>
      <c r="M45" s="530"/>
      <c r="N45" s="530"/>
      <c r="O45" s="530"/>
      <c r="P45" s="530"/>
      <c r="Q45" s="530"/>
      <c r="R45" s="530" t="str">
        <f>_WIT10</f>
        <v>R. H. PRATT</v>
      </c>
      <c r="S45" s="530"/>
      <c r="T45" s="1178"/>
      <c r="U45" s="1180"/>
      <c r="V45" s="1180"/>
      <c r="W45" s="1180"/>
      <c r="X45" s="1180"/>
    </row>
    <row r="46" spans="1:24">
      <c r="A46" s="1180"/>
      <c r="B46" s="1180"/>
      <c r="C46" s="1180"/>
      <c r="D46" s="1180"/>
      <c r="E46" s="1180"/>
      <c r="F46" s="1180"/>
      <c r="G46" s="1180"/>
      <c r="H46" s="1180"/>
      <c r="I46" s="1180"/>
      <c r="J46" s="1180"/>
      <c r="K46" s="1180"/>
      <c r="L46" s="1629" t="str">
        <f>A3</f>
        <v>ADJUST OTHER OPERATING EXPENSE TO FORECASTED PERIOD</v>
      </c>
      <c r="M46" s="530"/>
      <c r="N46" s="530"/>
      <c r="O46" s="530"/>
      <c r="P46" s="530"/>
      <c r="Q46" s="530"/>
      <c r="R46" s="2107"/>
      <c r="S46" s="530"/>
      <c r="T46" s="1178"/>
      <c r="U46" s="1180"/>
      <c r="V46" s="1180"/>
      <c r="W46" s="1180"/>
      <c r="X46" s="1180"/>
    </row>
    <row r="47" spans="1:24">
      <c r="A47" s="1180"/>
      <c r="B47" s="1180"/>
      <c r="C47" s="1180"/>
      <c r="D47" s="1180"/>
      <c r="E47" s="1180"/>
      <c r="F47" s="1180"/>
      <c r="G47" s="1180"/>
      <c r="H47" s="1180"/>
      <c r="I47" s="1180"/>
      <c r="J47" s="1180"/>
      <c r="K47" s="1180"/>
      <c r="L47" s="1629"/>
      <c r="M47" s="530"/>
      <c r="N47" s="530"/>
      <c r="O47" s="530"/>
      <c r="P47" s="530"/>
      <c r="Q47" s="530"/>
      <c r="R47" s="530"/>
      <c r="S47" s="530"/>
      <c r="T47" s="1178"/>
      <c r="U47" s="1180"/>
      <c r="V47" s="1180"/>
      <c r="W47" s="1180"/>
      <c r="X47" s="1180"/>
    </row>
    <row r="48" spans="1:24">
      <c r="A48" s="1180"/>
      <c r="B48" s="1180"/>
      <c r="C48" s="1180"/>
      <c r="D48" s="1180"/>
      <c r="E48" s="1180"/>
      <c r="F48" s="1180"/>
      <c r="G48" s="1180"/>
      <c r="H48" s="1180"/>
      <c r="I48" s="1180"/>
      <c r="J48" s="1180"/>
      <c r="K48" s="1180"/>
      <c r="L48" s="1178"/>
      <c r="M48" s="1178"/>
      <c r="N48" s="1178"/>
      <c r="O48" s="1178"/>
      <c r="P48" s="1178"/>
      <c r="Q48" s="1178"/>
      <c r="R48" s="1178"/>
      <c r="S48" s="1178"/>
      <c r="T48" s="1178"/>
      <c r="U48" s="1180"/>
      <c r="V48" s="1180"/>
      <c r="W48" s="1180"/>
      <c r="X48" s="1180"/>
    </row>
    <row r="49" spans="1:24">
      <c r="A49" s="1180"/>
      <c r="B49" s="1180"/>
      <c r="C49" s="1180"/>
      <c r="D49" s="1180"/>
      <c r="E49" s="1180"/>
      <c r="F49" s="1180"/>
      <c r="G49" s="1180"/>
      <c r="H49" s="1180"/>
      <c r="I49" s="1180"/>
      <c r="J49" s="1180"/>
      <c r="K49" s="1180"/>
      <c r="L49" s="1178"/>
      <c r="M49" s="1178"/>
      <c r="N49" s="1178"/>
      <c r="O49" s="1178"/>
      <c r="P49" s="1178"/>
      <c r="Q49" s="1178"/>
      <c r="R49" s="1178"/>
      <c r="S49" s="1178"/>
      <c r="T49" s="1178"/>
      <c r="U49" s="1180"/>
      <c r="V49" s="1180"/>
      <c r="W49" s="1180"/>
      <c r="X49" s="1180"/>
    </row>
    <row r="50" spans="1:24">
      <c r="A50" s="1180"/>
      <c r="B50" s="1180"/>
      <c r="C50" s="1180"/>
      <c r="D50" s="1180"/>
      <c r="E50" s="1180"/>
      <c r="F50" s="1180"/>
      <c r="G50" s="1180"/>
      <c r="H50" s="1180"/>
      <c r="I50" s="1180"/>
      <c r="J50" s="1180"/>
      <c r="K50" s="1180"/>
      <c r="L50" s="1423" t="s">
        <v>1240</v>
      </c>
      <c r="M50" s="1423"/>
      <c r="N50" s="1423"/>
      <c r="O50" s="1423"/>
      <c r="P50" s="1423" t="s">
        <v>1117</v>
      </c>
      <c r="Q50" s="1423"/>
      <c r="R50" s="1423" t="s">
        <v>626</v>
      </c>
      <c r="S50" s="1423"/>
      <c r="T50" s="1423"/>
      <c r="U50" s="1180"/>
      <c r="V50" s="1180"/>
      <c r="W50" s="1180"/>
      <c r="X50" s="1180"/>
    </row>
    <row r="51" spans="1:24">
      <c r="A51" s="1180"/>
      <c r="B51" s="1180"/>
      <c r="C51" s="1180"/>
      <c r="D51" s="1180"/>
      <c r="E51" s="1180"/>
      <c r="F51" s="1180"/>
      <c r="G51" s="1180"/>
      <c r="H51" s="1180"/>
      <c r="I51" s="1180"/>
      <c r="J51" s="1180"/>
      <c r="K51" s="1180"/>
      <c r="L51" s="1424" t="s">
        <v>1241</v>
      </c>
      <c r="M51" s="1424"/>
      <c r="N51" s="1424" t="s">
        <v>1119</v>
      </c>
      <c r="O51" s="1424"/>
      <c r="P51" s="1424" t="s">
        <v>1120</v>
      </c>
      <c r="Q51" s="1424"/>
      <c r="R51" s="1424" t="s">
        <v>1120</v>
      </c>
      <c r="S51" s="1424"/>
      <c r="T51" s="1424" t="s">
        <v>1242</v>
      </c>
      <c r="U51" s="1180"/>
      <c r="V51" s="1180"/>
      <c r="W51" s="1180"/>
      <c r="X51" s="1180"/>
    </row>
    <row r="52" spans="1:24">
      <c r="A52" s="1180"/>
      <c r="B52" s="1180"/>
      <c r="C52" s="1180"/>
      <c r="D52" s="1180"/>
      <c r="E52" s="1180"/>
      <c r="F52" s="1180"/>
      <c r="G52" s="1180"/>
      <c r="H52" s="1180"/>
      <c r="I52" s="1180"/>
      <c r="J52" s="1180"/>
      <c r="K52" s="1180"/>
      <c r="L52" s="1178"/>
      <c r="M52" s="1178"/>
      <c r="N52" s="1178"/>
      <c r="O52" s="1178"/>
      <c r="P52" s="1178"/>
      <c r="Q52" s="1178"/>
      <c r="R52" s="1178"/>
      <c r="S52" s="1178"/>
      <c r="T52" s="1178"/>
      <c r="U52" s="1180"/>
      <c r="V52" s="1180"/>
      <c r="W52" s="1180"/>
      <c r="X52" s="1180"/>
    </row>
    <row r="53" spans="1:24" ht="13.5" thickBot="1">
      <c r="A53" s="1180"/>
      <c r="B53" s="1180"/>
      <c r="C53" s="1180"/>
      <c r="D53" s="1180"/>
      <c r="E53" s="1180"/>
      <c r="F53" s="1180"/>
      <c r="G53" s="1180"/>
      <c r="H53" s="1180"/>
      <c r="I53" s="1180"/>
      <c r="J53" s="1180"/>
      <c r="K53" s="1180"/>
      <c r="L53" s="1423">
        <v>1</v>
      </c>
      <c r="M53" s="1178"/>
      <c r="N53" s="1179" t="s">
        <v>3239</v>
      </c>
      <c r="O53" s="1178"/>
      <c r="P53" s="2275">
        <f>SCH_C2!E36</f>
        <v>-2763105</v>
      </c>
      <c r="Q53" s="1178"/>
      <c r="R53" s="2275">
        <f>SCH_C2!H36</f>
        <v>-82500</v>
      </c>
      <c r="S53" s="1178"/>
      <c r="T53" s="2275">
        <f>R53-P53</f>
        <v>2680605</v>
      </c>
      <c r="U53" s="1180"/>
      <c r="V53" s="1180"/>
      <c r="W53" s="1180"/>
      <c r="X53" s="1180"/>
    </row>
    <row r="54" spans="1:24" ht="13.5" thickTop="1">
      <c r="A54" s="1180"/>
      <c r="B54" s="1180"/>
      <c r="C54" s="1180"/>
      <c r="D54" s="1180"/>
      <c r="E54" s="1180"/>
      <c r="F54" s="1180"/>
      <c r="G54" s="1180"/>
      <c r="H54" s="1180"/>
      <c r="I54" s="1180"/>
      <c r="J54" s="1180"/>
      <c r="K54" s="1180"/>
      <c r="L54" s="1423"/>
      <c r="M54" s="1178"/>
      <c r="N54" s="1178"/>
      <c r="O54" s="1178"/>
      <c r="P54" s="1178"/>
      <c r="Q54" s="1178"/>
      <c r="R54" s="1178"/>
      <c r="S54" s="1178"/>
      <c r="T54" s="1178"/>
      <c r="U54" s="1180"/>
      <c r="V54" s="1180"/>
      <c r="W54" s="1180"/>
      <c r="X54" s="1180"/>
    </row>
    <row r="55" spans="1:24">
      <c r="A55" s="1180"/>
      <c r="B55" s="1180"/>
      <c r="C55" s="1180"/>
      <c r="D55" s="1180"/>
      <c r="E55" s="1180"/>
      <c r="F55" s="1180"/>
      <c r="G55" s="1180"/>
      <c r="H55" s="1180"/>
      <c r="I55" s="1180"/>
      <c r="J55" s="1180"/>
      <c r="K55" s="1180"/>
      <c r="L55" s="1178"/>
      <c r="M55" s="1178"/>
      <c r="N55" s="1178"/>
      <c r="O55" s="1178"/>
      <c r="P55" s="1178"/>
      <c r="Q55" s="1178"/>
      <c r="R55" s="1178"/>
      <c r="S55" s="1178"/>
      <c r="T55" s="1178"/>
      <c r="U55" s="1180"/>
      <c r="V55" s="1180"/>
      <c r="W55" s="1180"/>
      <c r="X55" s="1180"/>
    </row>
    <row r="56" spans="1:24">
      <c r="A56" s="1180"/>
      <c r="B56" s="1180"/>
      <c r="C56" s="1180"/>
      <c r="D56" s="1180"/>
      <c r="E56" s="1180"/>
      <c r="F56" s="1180"/>
      <c r="G56" s="1180"/>
      <c r="H56" s="1180"/>
      <c r="I56" s="1180"/>
      <c r="J56" s="1180"/>
      <c r="K56" s="1180"/>
      <c r="L56" s="1178"/>
      <c r="M56" s="1178"/>
      <c r="N56" s="1178"/>
      <c r="O56" s="1178"/>
      <c r="P56" s="1178"/>
      <c r="Q56" s="1178"/>
      <c r="R56" s="1178"/>
      <c r="S56" s="1178"/>
      <c r="T56" s="1178"/>
      <c r="U56" s="1180"/>
      <c r="V56" s="1180"/>
      <c r="W56" s="1180"/>
      <c r="X56" s="1180"/>
    </row>
    <row r="57" spans="1:24">
      <c r="A57" s="1180"/>
      <c r="B57" s="1180"/>
      <c r="C57" s="1180"/>
      <c r="D57" s="1180"/>
      <c r="E57" s="1180"/>
      <c r="F57" s="1180"/>
      <c r="G57" s="1180"/>
      <c r="H57" s="1180"/>
      <c r="I57" s="1180"/>
      <c r="J57" s="1180"/>
      <c r="K57" s="1180"/>
      <c r="L57" s="1178"/>
      <c r="M57" s="1178"/>
      <c r="N57" s="1178"/>
      <c r="O57" s="1178"/>
      <c r="P57" s="1178"/>
      <c r="Q57" s="1178"/>
      <c r="R57" s="1178"/>
      <c r="S57" s="1178"/>
      <c r="T57" s="1423" t="s">
        <v>1244</v>
      </c>
      <c r="U57" s="1180"/>
      <c r="V57" s="1180"/>
      <c r="W57" s="1180"/>
      <c r="X57" s="1180"/>
    </row>
    <row r="58" spans="1:24">
      <c r="A58" s="1180"/>
      <c r="B58" s="1180"/>
      <c r="C58" s="1180"/>
      <c r="D58" s="1180"/>
      <c r="E58" s="1180"/>
      <c r="F58" s="1180"/>
      <c r="G58" s="1180"/>
      <c r="H58" s="1180"/>
      <c r="I58" s="1180"/>
      <c r="J58" s="1180"/>
      <c r="K58" s="1180"/>
      <c r="L58" s="1180"/>
      <c r="M58" s="1180"/>
      <c r="N58" s="1180"/>
      <c r="O58" s="1180"/>
      <c r="P58" s="1180"/>
      <c r="Q58" s="1180"/>
      <c r="R58" s="1180"/>
      <c r="S58" s="1180"/>
      <c r="T58" s="1180"/>
      <c r="U58" s="1180"/>
      <c r="V58" s="1180"/>
      <c r="W58" s="1180"/>
      <c r="X58" s="1180"/>
    </row>
    <row r="59" spans="1:24">
      <c r="A59" s="1180"/>
      <c r="B59" s="1180"/>
      <c r="C59" s="1180"/>
      <c r="D59" s="1180"/>
      <c r="E59" s="1180"/>
      <c r="F59" s="1180"/>
      <c r="G59" s="1180"/>
      <c r="H59" s="1180"/>
      <c r="I59" s="1180"/>
      <c r="J59" s="1180"/>
      <c r="K59" s="1180"/>
      <c r="L59" s="1180"/>
      <c r="M59" s="1180"/>
      <c r="N59" s="1180"/>
      <c r="O59" s="1180"/>
      <c r="P59" s="1180"/>
      <c r="Q59" s="1180"/>
      <c r="R59" s="1180"/>
      <c r="S59" s="1180"/>
      <c r="T59" s="1180"/>
      <c r="U59" s="1180"/>
      <c r="V59" s="1180"/>
      <c r="W59" s="1180"/>
      <c r="X59" s="1180"/>
    </row>
    <row r="60" spans="1:24">
      <c r="A60" s="1180"/>
      <c r="B60" s="1180"/>
      <c r="C60" s="1180"/>
      <c r="D60" s="1180"/>
      <c r="E60" s="1180"/>
      <c r="F60" s="1180"/>
      <c r="G60" s="1180"/>
      <c r="H60" s="1180"/>
      <c r="I60" s="1180"/>
      <c r="J60" s="1180"/>
      <c r="K60" s="1180"/>
      <c r="L60" s="1180"/>
      <c r="M60" s="1180"/>
      <c r="N60" s="1180"/>
      <c r="O60" s="1180"/>
      <c r="P60" s="1180"/>
      <c r="Q60" s="1180"/>
      <c r="R60" s="2370"/>
      <c r="S60" s="1180"/>
      <c r="T60" s="1180"/>
      <c r="U60" s="1180"/>
      <c r="V60" s="1180"/>
      <c r="W60" s="1180"/>
      <c r="X60" s="1180"/>
    </row>
    <row r="61" spans="1:24">
      <c r="A61" s="1180"/>
      <c r="B61" s="1180"/>
      <c r="C61" s="1180"/>
      <c r="D61" s="1180"/>
      <c r="E61" s="1180"/>
      <c r="F61" s="1180"/>
      <c r="G61" s="1180"/>
      <c r="H61" s="1180"/>
      <c r="I61" s="1180"/>
      <c r="J61" s="1180"/>
      <c r="K61" s="1180"/>
      <c r="L61" s="1180"/>
      <c r="M61" s="1180"/>
      <c r="N61" s="1180"/>
      <c r="O61" s="1180"/>
      <c r="P61" s="1180"/>
      <c r="Q61" s="1180"/>
      <c r="R61" s="1180"/>
      <c r="S61" s="1180"/>
      <c r="T61" s="1180"/>
      <c r="U61" s="1180"/>
      <c r="V61" s="1180"/>
      <c r="W61" s="1180"/>
      <c r="X61" s="1180"/>
    </row>
    <row r="62" spans="1:24">
      <c r="A62" s="1180"/>
      <c r="B62" s="1180"/>
      <c r="C62" s="1180"/>
      <c r="D62" s="1180"/>
      <c r="E62" s="1180"/>
      <c r="F62" s="1180"/>
      <c r="G62" s="1180"/>
      <c r="H62" s="1180"/>
      <c r="I62" s="1180"/>
      <c r="J62" s="1180"/>
      <c r="K62" s="1180"/>
      <c r="L62" s="1180"/>
      <c r="M62" s="1180"/>
      <c r="N62" s="1180"/>
      <c r="O62" s="1180"/>
      <c r="P62" s="1180"/>
      <c r="Q62" s="1180"/>
      <c r="R62" s="1180"/>
      <c r="S62" s="1180"/>
      <c r="T62" s="1180"/>
      <c r="U62" s="1180"/>
      <c r="V62" s="1180"/>
      <c r="W62" s="1180"/>
      <c r="X62" s="1180"/>
    </row>
    <row r="63" spans="1:24">
      <c r="A63" s="1180"/>
      <c r="B63" s="1180"/>
      <c r="C63" s="1180"/>
      <c r="D63" s="1180"/>
      <c r="E63" s="1180"/>
      <c r="F63" s="1180"/>
      <c r="G63" s="1180"/>
      <c r="H63" s="1180"/>
      <c r="I63" s="1180"/>
      <c r="J63" s="1180"/>
      <c r="K63" s="1180"/>
      <c r="L63" s="1180"/>
      <c r="M63" s="1180"/>
      <c r="N63" s="1180"/>
      <c r="O63" s="1180"/>
      <c r="P63" s="1180"/>
      <c r="Q63" s="1180"/>
      <c r="R63" s="1180"/>
      <c r="S63" s="1180"/>
      <c r="T63" s="1180"/>
      <c r="U63" s="1180"/>
      <c r="V63" s="1180"/>
      <c r="W63" s="1180"/>
      <c r="X63" s="1180"/>
    </row>
    <row r="64" spans="1:24">
      <c r="A64" s="1180"/>
      <c r="B64" s="1180"/>
      <c r="C64" s="1180"/>
      <c r="D64" s="1180"/>
      <c r="E64" s="1180"/>
      <c r="F64" s="1180"/>
      <c r="G64" s="1180"/>
      <c r="H64" s="1180"/>
      <c r="I64" s="1180"/>
      <c r="J64" s="1180"/>
      <c r="K64" s="1180"/>
      <c r="L64" s="1180"/>
      <c r="M64" s="1180"/>
      <c r="N64" s="1180"/>
      <c r="O64" s="1180"/>
      <c r="P64" s="1180"/>
      <c r="Q64" s="1180"/>
      <c r="R64" s="1180"/>
      <c r="S64" s="1180"/>
      <c r="T64" s="1180"/>
      <c r="U64" s="1180"/>
      <c r="V64" s="1180"/>
      <c r="W64" s="1180"/>
      <c r="X64" s="1180"/>
    </row>
    <row r="65" spans="1:24">
      <c r="A65" s="1180"/>
      <c r="B65" s="1180"/>
      <c r="C65" s="1180"/>
      <c r="D65" s="1180"/>
      <c r="E65" s="1180"/>
      <c r="F65" s="1180"/>
      <c r="G65" s="1180"/>
      <c r="H65" s="1180"/>
      <c r="I65" s="1180"/>
      <c r="J65" s="1180"/>
      <c r="K65" s="1180"/>
      <c r="L65" s="1180"/>
      <c r="M65" s="1180"/>
      <c r="N65" s="1180"/>
      <c r="O65" s="1180"/>
      <c r="P65" s="1180"/>
      <c r="Q65" s="1180"/>
      <c r="R65" s="1180"/>
      <c r="S65" s="1180"/>
      <c r="T65" s="1180"/>
      <c r="U65" s="1180"/>
      <c r="V65" s="1180"/>
      <c r="W65" s="1180"/>
      <c r="X65" s="1180"/>
    </row>
    <row r="66" spans="1:24">
      <c r="A66" s="1180"/>
      <c r="B66" s="1180"/>
      <c r="C66" s="1180"/>
      <c r="D66" s="1180"/>
      <c r="E66" s="1180"/>
      <c r="F66" s="1180"/>
      <c r="G66" s="1180"/>
      <c r="H66" s="1180"/>
      <c r="I66" s="1180"/>
      <c r="J66" s="1180"/>
      <c r="K66" s="1180"/>
      <c r="L66" s="1180"/>
      <c r="M66" s="1180"/>
      <c r="N66" s="1180"/>
      <c r="O66" s="1180"/>
      <c r="P66" s="1180"/>
      <c r="Q66" s="1180"/>
      <c r="R66" s="1180"/>
      <c r="S66" s="1180"/>
      <c r="T66" s="1180"/>
      <c r="U66" s="1180"/>
      <c r="V66" s="1180"/>
      <c r="W66" s="1180"/>
      <c r="X66" s="1180"/>
    </row>
    <row r="67" spans="1:24">
      <c r="A67" s="1180"/>
      <c r="B67" s="1180"/>
      <c r="C67" s="1180"/>
      <c r="D67" s="1180"/>
      <c r="E67" s="1180"/>
      <c r="F67" s="1180"/>
      <c r="G67" s="1180"/>
      <c r="H67" s="1180"/>
      <c r="I67" s="1180"/>
      <c r="J67" s="1180"/>
      <c r="K67" s="1180"/>
      <c r="L67" s="1180"/>
      <c r="M67" s="1180"/>
      <c r="N67" s="1180"/>
      <c r="O67" s="1180"/>
      <c r="P67" s="1180"/>
      <c r="Q67" s="1180"/>
      <c r="R67" s="1180"/>
      <c r="S67" s="1180"/>
      <c r="T67" s="1180"/>
      <c r="U67" s="1180"/>
      <c r="V67" s="1180"/>
      <c r="W67" s="1180"/>
      <c r="X67" s="1180"/>
    </row>
    <row r="68" spans="1:24">
      <c r="A68" s="1180"/>
      <c r="B68" s="1180"/>
      <c r="C68" s="1180"/>
      <c r="D68" s="1180"/>
      <c r="E68" s="1180"/>
      <c r="F68" s="1180"/>
      <c r="G68" s="1180"/>
      <c r="H68" s="1180"/>
      <c r="I68" s="1180"/>
      <c r="J68" s="1180"/>
      <c r="K68" s="1180"/>
      <c r="L68" s="1180"/>
      <c r="M68" s="1180"/>
      <c r="N68" s="1180"/>
      <c r="O68" s="1180"/>
      <c r="P68" s="1180"/>
      <c r="Q68" s="1180"/>
      <c r="R68" s="1180"/>
      <c r="S68" s="1180"/>
      <c r="T68" s="1180"/>
      <c r="U68" s="1180"/>
      <c r="V68" s="1180"/>
      <c r="W68" s="1180"/>
      <c r="X68" s="1180"/>
    </row>
    <row r="69" spans="1:24">
      <c r="A69" s="1180"/>
      <c r="B69" s="1180"/>
      <c r="C69" s="1180"/>
      <c r="D69" s="1180"/>
      <c r="E69" s="1180"/>
      <c r="F69" s="1180"/>
      <c r="G69" s="1180"/>
      <c r="H69" s="1180"/>
      <c r="I69" s="1180"/>
      <c r="J69" s="1180"/>
      <c r="K69" s="1180"/>
      <c r="L69" s="1180"/>
      <c r="M69" s="1180"/>
      <c r="N69" s="1180"/>
      <c r="O69" s="1180"/>
      <c r="P69" s="1180"/>
      <c r="Q69" s="1180"/>
      <c r="R69" s="1180"/>
      <c r="S69" s="1180"/>
      <c r="T69" s="1180"/>
      <c r="U69" s="1180"/>
      <c r="V69" s="1180"/>
      <c r="W69" s="1180"/>
      <c r="X69" s="1180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7" tint="-0.249977111117893"/>
  </sheetPr>
  <dimension ref="A1:X69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8" style="18" customWidth="1"/>
    <col min="2" max="2" width="25.140625" style="18" customWidth="1"/>
    <col min="3" max="3" width="8" style="18" customWidth="1"/>
    <col min="4" max="4" width="10.42578125" style="18" customWidth="1"/>
    <col min="5" max="7" width="8" style="18" customWidth="1"/>
    <col min="8" max="8" width="12.42578125" style="18" customWidth="1"/>
    <col min="9" max="9" width="10" style="18" customWidth="1"/>
    <col min="10" max="10" width="18.42578125" style="18" customWidth="1"/>
    <col min="11" max="12" width="8" style="18" customWidth="1"/>
    <col min="13" max="13" width="2.42578125" style="18" customWidth="1"/>
    <col min="14" max="14" width="42.140625" style="18" customWidth="1"/>
    <col min="15" max="15" width="3.85546875" style="18" customWidth="1"/>
    <col min="16" max="16" width="16" style="18" customWidth="1"/>
    <col min="17" max="17" width="1.85546875" style="18" customWidth="1"/>
    <col min="18" max="18" width="18.140625" style="18" customWidth="1"/>
    <col min="19" max="19" width="2.28515625" style="18" customWidth="1"/>
    <col min="20" max="20" width="16.42578125" style="18" customWidth="1"/>
    <col min="21" max="16384" width="8" style="18"/>
  </cols>
  <sheetData>
    <row r="1" spans="1:24">
      <c r="A1" s="2087" t="str">
        <f>LOGO!B5</f>
        <v>DUKE ENERGY KENTUCKY, INC.</v>
      </c>
      <c r="B1" s="2195"/>
      <c r="C1" s="2195"/>
      <c r="D1" s="2195"/>
      <c r="E1" s="2195"/>
      <c r="F1" s="2195"/>
      <c r="G1" s="2195"/>
      <c r="H1" s="2195"/>
      <c r="I1" s="2195"/>
      <c r="J1" s="2195"/>
      <c r="K1" s="1180"/>
      <c r="L1" s="1180"/>
      <c r="M1" s="1180"/>
      <c r="N1" s="1180"/>
      <c r="O1" s="1180"/>
      <c r="P1" s="1180"/>
      <c r="Q1" s="1180"/>
      <c r="R1" s="1180"/>
      <c r="S1" s="1180"/>
      <c r="T1" s="1180"/>
      <c r="U1" s="1180"/>
      <c r="V1" s="1180"/>
      <c r="W1" s="1180"/>
      <c r="X1" s="1180"/>
    </row>
    <row r="2" spans="1:24">
      <c r="A2" s="2087" t="str">
        <f>LOGO!B6</f>
        <v>CASE NO. 2017-00321</v>
      </c>
      <c r="B2" s="2195"/>
      <c r="C2" s="2195"/>
      <c r="D2" s="2195"/>
      <c r="E2" s="2195"/>
      <c r="F2" s="2195"/>
      <c r="G2" s="2195"/>
      <c r="H2" s="2195"/>
      <c r="I2" s="2195"/>
      <c r="J2" s="2195"/>
      <c r="K2" s="1180"/>
      <c r="L2" s="1180"/>
      <c r="M2" s="1180"/>
      <c r="N2" s="1180"/>
      <c r="O2" s="1180"/>
      <c r="P2" s="1180"/>
      <c r="Q2" s="1180"/>
      <c r="R2" s="1180"/>
      <c r="S2" s="1180"/>
      <c r="T2" s="1180"/>
      <c r="U2" s="1180"/>
      <c r="V2" s="1180"/>
      <c r="W2" s="1180"/>
      <c r="X2" s="1180"/>
    </row>
    <row r="3" spans="1:24">
      <c r="A3" s="2166" t="s">
        <v>1763</v>
      </c>
      <c r="B3" s="2195"/>
      <c r="C3" s="2195"/>
      <c r="D3" s="2195"/>
      <c r="E3" s="2195"/>
      <c r="F3" s="2195"/>
      <c r="G3" s="2195"/>
      <c r="H3" s="2195"/>
      <c r="I3" s="2195"/>
      <c r="J3" s="2195"/>
      <c r="K3" s="1180"/>
      <c r="L3" s="1180"/>
      <c r="M3" s="1180"/>
      <c r="N3" s="1180"/>
      <c r="O3" s="1180"/>
      <c r="P3" s="1180"/>
      <c r="Q3" s="1180"/>
      <c r="R3" s="1180"/>
      <c r="S3" s="1180"/>
      <c r="T3" s="1180"/>
      <c r="U3" s="1180"/>
      <c r="V3" s="1180"/>
      <c r="W3" s="1180"/>
      <c r="X3" s="1180"/>
    </row>
    <row r="4" spans="1:24">
      <c r="A4" s="2087" t="str">
        <f>LOGO!B8</f>
        <v>FOR THE TWELVE MONTHS ENDED MARCH 31, 2019</v>
      </c>
      <c r="B4" s="2195"/>
      <c r="C4" s="2195"/>
      <c r="D4" s="2195"/>
      <c r="E4" s="2195"/>
      <c r="F4" s="2195"/>
      <c r="G4" s="2195"/>
      <c r="H4" s="2195"/>
      <c r="I4" s="2195"/>
      <c r="J4" s="2195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</row>
    <row r="5" spans="1:24">
      <c r="A5" s="1180"/>
      <c r="B5" s="1180"/>
      <c r="C5" s="1180"/>
      <c r="D5" s="1180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80"/>
      <c r="U5" s="1180"/>
      <c r="V5" s="1180"/>
      <c r="W5" s="1180"/>
      <c r="X5" s="1180"/>
    </row>
    <row r="6" spans="1:24">
      <c r="A6" s="2206" t="str">
        <f>DataB</f>
        <v>DATA: "X" BASE PERIOD  "X" FORECASTED PERIOD</v>
      </c>
      <c r="B6" s="1180"/>
      <c r="C6" s="1180"/>
      <c r="D6" s="1180"/>
      <c r="E6" s="1180"/>
      <c r="F6" s="1180"/>
      <c r="G6" s="1180"/>
      <c r="H6" s="1180"/>
      <c r="I6" s="2196" t="s">
        <v>1083</v>
      </c>
      <c r="J6" s="1180"/>
      <c r="K6" s="1180"/>
      <c r="L6" s="1180"/>
      <c r="M6" s="1180"/>
      <c r="N6" s="1180"/>
      <c r="O6" s="1180"/>
      <c r="P6" s="1180"/>
      <c r="Q6" s="1180"/>
      <c r="R6" s="1180"/>
      <c r="S6" s="1180"/>
      <c r="T6" s="1180"/>
      <c r="U6" s="1180"/>
      <c r="V6" s="1180"/>
      <c r="W6" s="1180"/>
      <c r="X6" s="1180"/>
    </row>
    <row r="7" spans="1:24">
      <c r="A7" s="2206" t="str">
        <f>LOGO!B15</f>
        <v xml:space="preserve">TYPE OF FILING:  "X" ORIGINAL   UPDATED    REVISED  </v>
      </c>
      <c r="B7" s="1180"/>
      <c r="C7" s="1180"/>
      <c r="D7" s="1180"/>
      <c r="E7" s="1180"/>
      <c r="F7" s="1180"/>
      <c r="G7" s="1180"/>
      <c r="H7" s="1180"/>
      <c r="I7" s="1179" t="s">
        <v>620</v>
      </c>
      <c r="J7" s="1180"/>
      <c r="K7" s="1180"/>
      <c r="L7" s="1180"/>
      <c r="M7" s="1180"/>
      <c r="N7" s="1180"/>
      <c r="O7" s="1180"/>
      <c r="P7" s="1180"/>
      <c r="Q7" s="1180"/>
      <c r="R7" s="1180"/>
      <c r="S7" s="1180"/>
      <c r="T7" s="1180"/>
      <c r="U7" s="1180"/>
      <c r="V7" s="1180"/>
      <c r="W7" s="1180"/>
      <c r="X7" s="1180"/>
    </row>
    <row r="8" spans="1:24">
      <c r="A8" s="1179" t="s">
        <v>1084</v>
      </c>
      <c r="B8" s="1180"/>
      <c r="C8" s="1180"/>
      <c r="D8" s="1180"/>
      <c r="E8" s="1180"/>
      <c r="F8" s="1180"/>
      <c r="G8" s="1180"/>
      <c r="H8" s="1180"/>
      <c r="I8" s="1179" t="s">
        <v>622</v>
      </c>
      <c r="J8" s="1180"/>
      <c r="K8" s="1180"/>
      <c r="L8" s="1180"/>
      <c r="M8" s="1180"/>
      <c r="N8" s="1180"/>
      <c r="O8" s="1180"/>
      <c r="P8" s="1180"/>
      <c r="Q8" s="1180"/>
      <c r="R8" s="1180"/>
      <c r="S8" s="1180"/>
      <c r="T8" s="1180"/>
      <c r="U8" s="1180"/>
      <c r="V8" s="1180"/>
      <c r="W8" s="1180"/>
      <c r="X8" s="1180"/>
    </row>
    <row r="9" spans="1:24">
      <c r="A9" s="1180"/>
      <c r="B9" s="1180"/>
      <c r="C9" s="1180"/>
      <c r="D9" s="1180"/>
      <c r="E9" s="1180"/>
      <c r="F9" s="1180"/>
      <c r="G9" s="1180"/>
      <c r="H9" s="1180"/>
      <c r="I9" s="1179" t="str">
        <f>_WIT10</f>
        <v>R. H. PRATT</v>
      </c>
      <c r="J9" s="1180"/>
      <c r="K9" s="1180"/>
      <c r="L9" s="1180"/>
      <c r="M9" s="1180"/>
      <c r="N9" s="1180"/>
      <c r="O9" s="1180"/>
      <c r="P9" s="1180"/>
      <c r="Q9" s="1180"/>
      <c r="R9" s="1180"/>
      <c r="S9" s="1180"/>
      <c r="T9" s="1180"/>
      <c r="U9" s="1180"/>
      <c r="V9" s="1180"/>
      <c r="W9" s="1180"/>
      <c r="X9" s="1180"/>
    </row>
    <row r="10" spans="1:24">
      <c r="A10" s="2197"/>
      <c r="B10" s="2197"/>
      <c r="C10" s="2197"/>
      <c r="D10" s="2197"/>
      <c r="E10" s="2197"/>
      <c r="F10" s="2197"/>
      <c r="G10" s="2197"/>
      <c r="H10" s="2197"/>
      <c r="I10" s="2197"/>
      <c r="J10" s="2197"/>
      <c r="K10" s="1179"/>
      <c r="L10" s="1180"/>
      <c r="M10" s="1180"/>
      <c r="N10" s="1180"/>
      <c r="O10" s="1180"/>
      <c r="P10" s="1180"/>
      <c r="Q10" s="1180"/>
      <c r="R10" s="1180"/>
      <c r="S10" s="1180"/>
      <c r="T10" s="1180"/>
      <c r="U10" s="1180"/>
      <c r="V10" s="1180"/>
      <c r="W10" s="1180"/>
      <c r="X10" s="1180"/>
    </row>
    <row r="11" spans="1:24">
      <c r="A11" s="1180"/>
      <c r="B11" s="1180"/>
      <c r="C11" s="1180"/>
      <c r="D11" s="1180"/>
      <c r="E11" s="1180"/>
      <c r="F11" s="1180"/>
      <c r="G11" s="1180"/>
      <c r="H11" s="1180"/>
      <c r="I11" s="1180"/>
      <c r="J11" s="1180"/>
      <c r="K11" s="1180"/>
      <c r="L11" s="1180"/>
      <c r="M11" s="1180"/>
      <c r="N11" s="1180"/>
      <c r="O11" s="1180"/>
      <c r="P11" s="1180"/>
      <c r="Q11" s="1180"/>
      <c r="R11" s="1180"/>
      <c r="S11" s="1180"/>
      <c r="T11" s="1180"/>
      <c r="U11" s="1180"/>
      <c r="V11" s="1180"/>
      <c r="W11" s="1180"/>
      <c r="X11" s="1180"/>
    </row>
    <row r="12" spans="1:24">
      <c r="A12" s="1179" t="s">
        <v>1246</v>
      </c>
      <c r="B12" s="1180"/>
      <c r="C12" s="1180"/>
      <c r="D12" s="1180"/>
      <c r="E12" s="1180"/>
      <c r="F12" s="1180"/>
      <c r="G12" s="1180"/>
      <c r="H12" s="1180"/>
      <c r="I12" s="1180"/>
      <c r="J12" s="2198" t="s">
        <v>364</v>
      </c>
      <c r="K12" s="1180"/>
      <c r="L12" s="1180"/>
      <c r="M12" s="1180"/>
      <c r="N12" s="1180"/>
      <c r="O12" s="1180"/>
      <c r="P12" s="1180"/>
      <c r="Q12" s="1180"/>
      <c r="R12" s="1180"/>
      <c r="S12" s="1180"/>
      <c r="T12" s="1180"/>
      <c r="U12" s="1180"/>
      <c r="V12" s="1180"/>
      <c r="W12" s="1180"/>
      <c r="X12" s="1180"/>
    </row>
    <row r="13" spans="1:24">
      <c r="A13" s="2197"/>
      <c r="B13" s="2197"/>
      <c r="C13" s="2197"/>
      <c r="D13" s="2197"/>
      <c r="E13" s="2197"/>
      <c r="F13" s="2197"/>
      <c r="G13" s="2197"/>
      <c r="H13" s="2197"/>
      <c r="I13" s="2197"/>
      <c r="J13" s="2197"/>
      <c r="K13" s="1179"/>
      <c r="L13" s="1180"/>
      <c r="M13" s="1180"/>
      <c r="N13" s="1180"/>
      <c r="O13" s="1180"/>
      <c r="P13" s="1180"/>
      <c r="Q13" s="1180"/>
      <c r="R13" s="1180"/>
      <c r="S13" s="1180"/>
      <c r="T13" s="1180"/>
      <c r="U13" s="1180"/>
      <c r="V13" s="1180"/>
      <c r="W13" s="1180"/>
      <c r="X13" s="1180"/>
    </row>
    <row r="14" spans="1:24">
      <c r="A14" s="1180"/>
      <c r="B14" s="1180"/>
      <c r="C14" s="1180"/>
      <c r="D14" s="1180"/>
      <c r="E14" s="1180"/>
      <c r="F14" s="1180"/>
      <c r="G14" s="1180"/>
      <c r="H14" s="1180"/>
      <c r="I14" s="1180"/>
      <c r="J14" s="2199"/>
      <c r="K14" s="1180"/>
      <c r="L14" s="1180"/>
      <c r="M14" s="1180"/>
      <c r="N14" s="1180"/>
      <c r="O14" s="1180"/>
      <c r="P14" s="1180"/>
      <c r="Q14" s="1180"/>
      <c r="R14" s="1180"/>
      <c r="S14" s="1180"/>
      <c r="T14" s="1180"/>
      <c r="U14" s="1180"/>
      <c r="V14" s="1180"/>
      <c r="W14" s="1180"/>
      <c r="X14" s="1180"/>
    </row>
    <row r="15" spans="1:24">
      <c r="A15" s="1581" t="s">
        <v>503</v>
      </c>
      <c r="B15" s="1180"/>
      <c r="C15" s="1180"/>
      <c r="D15" s="1180"/>
      <c r="E15" s="1180"/>
      <c r="F15" s="1180"/>
      <c r="G15" s="1180"/>
      <c r="H15" s="1180"/>
      <c r="I15" s="1180"/>
      <c r="J15" s="1180"/>
      <c r="K15" s="1180"/>
      <c r="L15" s="1180"/>
      <c r="M15" s="1180"/>
      <c r="N15" s="1180"/>
      <c r="O15" s="1180"/>
      <c r="P15" s="1180"/>
      <c r="Q15" s="1180"/>
      <c r="R15" s="1180"/>
      <c r="S15" s="1180"/>
      <c r="T15" s="1180"/>
      <c r="U15" s="1180"/>
      <c r="V15" s="1180"/>
      <c r="W15" s="1180"/>
      <c r="X15" s="1180"/>
    </row>
    <row r="16" spans="1:24">
      <c r="A16" s="1581" t="s">
        <v>1759</v>
      </c>
      <c r="B16" s="1180"/>
      <c r="C16" s="1180"/>
      <c r="D16" s="1180"/>
      <c r="E16" s="1180"/>
      <c r="F16" s="1180"/>
      <c r="G16" s="1180"/>
      <c r="H16" s="1180"/>
      <c r="I16" s="1180"/>
      <c r="J16" s="1180"/>
      <c r="K16" s="1180"/>
      <c r="L16" s="1180"/>
      <c r="M16" s="1180"/>
      <c r="N16" s="1180"/>
      <c r="O16" s="1180"/>
      <c r="P16" s="1180"/>
      <c r="Q16" s="1180"/>
      <c r="R16" s="1180"/>
      <c r="S16" s="1180"/>
      <c r="T16" s="1180"/>
      <c r="U16" s="1180"/>
      <c r="V16" s="1180"/>
      <c r="W16" s="1180"/>
      <c r="X16" s="1180"/>
    </row>
    <row r="17" spans="1:24">
      <c r="A17" s="1179"/>
      <c r="B17" s="1180"/>
      <c r="C17" s="1180"/>
      <c r="D17" s="1180"/>
      <c r="E17" s="1180"/>
      <c r="F17" s="1180"/>
      <c r="G17" s="1180"/>
      <c r="H17" s="1180"/>
      <c r="I17" s="1180"/>
      <c r="J17" s="1180"/>
      <c r="K17" s="1180"/>
      <c r="L17" s="1180"/>
      <c r="M17" s="1180"/>
      <c r="N17" s="1180"/>
      <c r="O17" s="1180"/>
      <c r="P17" s="1180"/>
      <c r="Q17" s="1180"/>
      <c r="R17" s="1180"/>
      <c r="S17" s="1180"/>
      <c r="T17" s="1180"/>
      <c r="U17" s="1180"/>
      <c r="V17" s="1180"/>
      <c r="W17" s="1180"/>
      <c r="X17" s="1180"/>
    </row>
    <row r="18" spans="1:24">
      <c r="A18" s="1179"/>
      <c r="B18" s="1180"/>
      <c r="C18" s="1180"/>
      <c r="D18" s="1180"/>
      <c r="E18" s="1180"/>
      <c r="F18" s="1180"/>
      <c r="G18" s="1180"/>
      <c r="H18" s="1180"/>
      <c r="I18" s="1180"/>
      <c r="J18" s="1180"/>
      <c r="K18" s="1180"/>
      <c r="L18" s="1180"/>
      <c r="M18" s="1180"/>
      <c r="N18" s="1180"/>
      <c r="O18" s="1180"/>
      <c r="P18" s="1180"/>
      <c r="Q18" s="1180"/>
      <c r="R18" s="1180"/>
      <c r="S18" s="1180"/>
      <c r="T18" s="1180"/>
      <c r="U18" s="1180"/>
      <c r="V18" s="1180"/>
      <c r="W18" s="1180"/>
      <c r="X18" s="1180"/>
    </row>
    <row r="19" spans="1:24">
      <c r="A19" s="1179"/>
      <c r="B19" s="1180"/>
      <c r="C19" s="1180"/>
      <c r="D19" s="1180"/>
      <c r="E19" s="1180"/>
      <c r="F19" s="1180"/>
      <c r="G19" s="1180"/>
      <c r="H19" s="1180"/>
      <c r="I19" s="1180"/>
      <c r="J19" s="1180"/>
      <c r="K19" s="1180"/>
      <c r="L19" s="1180"/>
      <c r="M19" s="1180"/>
      <c r="N19" s="1180"/>
      <c r="O19" s="1180"/>
      <c r="P19" s="1180"/>
      <c r="Q19" s="1180"/>
      <c r="R19" s="1180"/>
      <c r="S19" s="1180"/>
      <c r="T19" s="1180"/>
      <c r="U19" s="1180"/>
      <c r="V19" s="1180"/>
      <c r="W19" s="1180"/>
      <c r="X19" s="1180"/>
    </row>
    <row r="20" spans="1:24">
      <c r="A20" s="1179"/>
      <c r="B20" s="1180"/>
      <c r="C20" s="1180"/>
      <c r="D20" s="1180"/>
      <c r="E20" s="1180"/>
      <c r="F20" s="1180"/>
      <c r="G20" s="1180"/>
      <c r="H20" s="2199"/>
      <c r="I20" s="1180"/>
      <c r="J20" s="1180"/>
      <c r="K20" s="1180"/>
      <c r="L20" s="1180"/>
      <c r="M20" s="1180"/>
      <c r="N20" s="1180"/>
      <c r="O20" s="1180"/>
      <c r="P20" s="1180"/>
      <c r="Q20" s="1180"/>
      <c r="R20" s="1180"/>
      <c r="S20" s="1180"/>
      <c r="T20" s="1180"/>
      <c r="U20" s="1180"/>
      <c r="V20" s="1180"/>
      <c r="W20" s="1180"/>
      <c r="X20" s="1180"/>
    </row>
    <row r="21" spans="1:24">
      <c r="A21" s="1502"/>
      <c r="B21" s="1180"/>
      <c r="C21" s="1180"/>
      <c r="D21" s="1180"/>
      <c r="E21" s="1180"/>
      <c r="F21" s="1180"/>
      <c r="G21" s="1180"/>
      <c r="H21" s="2170"/>
      <c r="I21" s="1180"/>
      <c r="J21" s="1180"/>
      <c r="K21" s="1180"/>
      <c r="L21" s="1180"/>
      <c r="M21" s="1180"/>
      <c r="N21" s="1180"/>
      <c r="O21" s="1180"/>
      <c r="P21" s="1180"/>
      <c r="Q21" s="1180"/>
      <c r="R21" s="1180"/>
      <c r="S21" s="1180"/>
      <c r="T21" s="1180"/>
      <c r="U21" s="1180"/>
      <c r="V21" s="1180"/>
      <c r="W21" s="1180"/>
      <c r="X21" s="1180"/>
    </row>
    <row r="22" spans="1:24">
      <c r="A22" s="1180"/>
      <c r="B22" s="1180"/>
      <c r="C22" s="1180"/>
      <c r="D22" s="1180"/>
      <c r="E22" s="1180"/>
      <c r="F22" s="1180"/>
      <c r="G22" s="1180"/>
      <c r="H22" s="1180"/>
      <c r="I22" s="1180"/>
      <c r="J22" s="1180"/>
      <c r="K22" s="1180"/>
      <c r="L22" s="1180"/>
      <c r="M22" s="1180"/>
      <c r="N22" s="1180"/>
      <c r="O22" s="1180"/>
      <c r="P22" s="1180"/>
      <c r="Q22" s="1180"/>
      <c r="R22" s="1180"/>
      <c r="S22" s="1180"/>
      <c r="T22" s="1180"/>
      <c r="U22" s="1180"/>
      <c r="V22" s="1180"/>
      <c r="W22" s="1180"/>
      <c r="X22" s="1180"/>
    </row>
    <row r="23" spans="1:24">
      <c r="A23" s="1179" t="s">
        <v>179</v>
      </c>
      <c r="B23" s="1180"/>
      <c r="C23" s="1180"/>
      <c r="D23" s="1180"/>
      <c r="E23" s="1180"/>
      <c r="F23" s="1180"/>
      <c r="G23" s="1180"/>
      <c r="H23" s="1180"/>
      <c r="I23" s="1426"/>
      <c r="J23" s="1375">
        <f ca="1">T53</f>
        <v>9166332</v>
      </c>
      <c r="K23" s="1180"/>
      <c r="L23" s="1180"/>
      <c r="M23" s="1180"/>
      <c r="N23" s="1180"/>
      <c r="O23" s="1180"/>
      <c r="P23" s="1180"/>
      <c r="Q23" s="1180"/>
      <c r="R23" s="1180"/>
      <c r="S23" s="1180"/>
      <c r="T23" s="1180"/>
      <c r="U23" s="1180"/>
      <c r="V23" s="1180"/>
      <c r="W23" s="1180"/>
      <c r="X23" s="1180"/>
    </row>
    <row r="24" spans="1:24">
      <c r="A24" s="1180"/>
      <c r="B24" s="1180"/>
      <c r="C24" s="1180"/>
      <c r="D24" s="1180"/>
      <c r="E24" s="1180"/>
      <c r="F24" s="1180"/>
      <c r="G24" s="1180"/>
      <c r="H24" s="1180"/>
      <c r="I24" s="1180"/>
      <c r="J24" s="1426"/>
      <c r="K24" s="1180"/>
      <c r="L24" s="1180"/>
      <c r="M24" s="1180"/>
      <c r="N24" s="1180"/>
      <c r="O24" s="1180"/>
      <c r="P24" s="1180"/>
      <c r="Q24" s="1180"/>
      <c r="R24" s="1180"/>
      <c r="S24" s="1180"/>
      <c r="T24" s="1180"/>
      <c r="U24" s="1180"/>
      <c r="V24" s="1180"/>
      <c r="W24" s="1180"/>
      <c r="X24" s="1180"/>
    </row>
    <row r="25" spans="1:24">
      <c r="A25" s="1180"/>
      <c r="B25" s="1180"/>
      <c r="C25" s="1180"/>
      <c r="D25" s="1180"/>
      <c r="E25" s="1180"/>
      <c r="F25" s="1180"/>
      <c r="G25" s="1180"/>
      <c r="H25" s="1180"/>
      <c r="I25" s="1180"/>
      <c r="J25" s="1180"/>
      <c r="K25" s="1180"/>
      <c r="L25" s="1180"/>
      <c r="M25" s="1180"/>
      <c r="N25" s="1180"/>
      <c r="O25" s="1180"/>
      <c r="P25" s="1180"/>
      <c r="Q25" s="1180"/>
      <c r="R25" s="1180"/>
      <c r="S25" s="1180"/>
      <c r="T25" s="1180"/>
      <c r="U25" s="1180"/>
      <c r="V25" s="1180"/>
      <c r="W25" s="1180"/>
      <c r="X25" s="1180"/>
    </row>
    <row r="26" spans="1:24">
      <c r="A26" s="1179" t="s">
        <v>266</v>
      </c>
      <c r="B26" s="1180"/>
      <c r="C26" s="1180"/>
      <c r="D26" s="1180"/>
      <c r="E26" s="1180"/>
      <c r="F26" s="1180"/>
      <c r="G26" s="1180"/>
      <c r="H26" s="1180"/>
      <c r="I26" s="1180"/>
      <c r="J26" s="1425">
        <f>VLOOKUP(D33,ALLOCTABLE,2)/100</f>
        <v>1</v>
      </c>
      <c r="K26" s="1180"/>
      <c r="L26" s="1180"/>
      <c r="M26" s="1180"/>
      <c r="N26" s="1180"/>
      <c r="O26" s="1180"/>
      <c r="P26" s="1180"/>
      <c r="Q26" s="1180"/>
      <c r="R26" s="1180"/>
      <c r="S26" s="1180"/>
      <c r="T26" s="1180"/>
      <c r="U26" s="1180"/>
      <c r="V26" s="1180"/>
      <c r="W26" s="1180"/>
      <c r="X26" s="1180"/>
    </row>
    <row r="27" spans="1:24">
      <c r="A27" s="1180"/>
      <c r="B27" s="1180"/>
      <c r="C27" s="1180"/>
      <c r="D27" s="1180"/>
      <c r="E27" s="1180"/>
      <c r="F27" s="1180"/>
      <c r="G27" s="1180"/>
      <c r="H27" s="1180"/>
      <c r="I27" s="1180"/>
      <c r="J27" s="1426"/>
      <c r="K27" s="1180"/>
      <c r="L27" s="1180"/>
      <c r="M27" s="1180"/>
      <c r="N27" s="1180"/>
      <c r="O27" s="1180"/>
      <c r="P27" s="1180"/>
      <c r="Q27" s="1180"/>
      <c r="R27" s="1180"/>
      <c r="S27" s="1180"/>
      <c r="T27" s="1180"/>
      <c r="U27" s="1180"/>
      <c r="V27" s="1180"/>
      <c r="W27" s="1180"/>
      <c r="X27" s="1180"/>
    </row>
    <row r="28" spans="1:24">
      <c r="A28" s="1180"/>
      <c r="B28" s="1180"/>
      <c r="C28" s="1180"/>
      <c r="D28" s="1180"/>
      <c r="E28" s="1180"/>
      <c r="F28" s="1180"/>
      <c r="G28" s="1180"/>
      <c r="H28" s="1180"/>
      <c r="I28" s="1180"/>
      <c r="J28" s="1180"/>
      <c r="K28" s="1180"/>
      <c r="L28" s="1180"/>
      <c r="M28" s="1180"/>
      <c r="N28" s="1180"/>
      <c r="O28" s="1180"/>
      <c r="P28" s="1180"/>
      <c r="Q28" s="1180"/>
      <c r="R28" s="1180"/>
      <c r="S28" s="1180"/>
      <c r="T28" s="1180"/>
      <c r="U28" s="1180"/>
      <c r="V28" s="1180"/>
      <c r="W28" s="1180"/>
      <c r="X28" s="1180"/>
    </row>
    <row r="29" spans="1:24" ht="15">
      <c r="A29" s="1179" t="s">
        <v>1236</v>
      </c>
      <c r="B29" s="1180"/>
      <c r="C29" s="1180"/>
      <c r="D29" s="1180"/>
      <c r="E29" s="1180"/>
      <c r="F29" s="1179" t="s">
        <v>1213</v>
      </c>
      <c r="G29" s="1180"/>
      <c r="H29" s="1180"/>
      <c r="I29" s="1426"/>
      <c r="J29" s="1427">
        <f ca="1">ROUND(J23*J26,0)</f>
        <v>9166332</v>
      </c>
      <c r="K29" s="1180"/>
      <c r="L29" s="1180"/>
      <c r="M29" s="1180"/>
      <c r="N29" s="1180"/>
      <c r="O29" s="1180"/>
      <c r="P29" s="1180"/>
      <c r="Q29" s="1180"/>
      <c r="R29" s="1180"/>
      <c r="S29" s="1180"/>
      <c r="T29" s="1180"/>
      <c r="U29" s="1180"/>
      <c r="V29" s="1180"/>
      <c r="W29" s="1180"/>
      <c r="X29" s="1180"/>
    </row>
    <row r="30" spans="1:24">
      <c r="A30" s="1180"/>
      <c r="B30" s="1180"/>
      <c r="C30" s="1180"/>
      <c r="D30" s="1180"/>
      <c r="E30" s="1180"/>
      <c r="F30" s="1180"/>
      <c r="G30" s="1180"/>
      <c r="H30" s="1180"/>
      <c r="I30" s="1180"/>
      <c r="J30" s="1426"/>
      <c r="K30" s="1180"/>
      <c r="L30" s="1180"/>
      <c r="M30" s="1180"/>
      <c r="N30" s="1180"/>
      <c r="O30" s="1180"/>
      <c r="P30" s="1180"/>
      <c r="Q30" s="1180"/>
      <c r="R30" s="1180"/>
      <c r="S30" s="1180"/>
      <c r="T30" s="1180"/>
      <c r="U30" s="1180"/>
      <c r="V30" s="1180"/>
      <c r="W30" s="1180"/>
      <c r="X30" s="1180"/>
    </row>
    <row r="31" spans="1:24">
      <c r="A31" s="1180"/>
      <c r="B31" s="1180"/>
      <c r="C31" s="1180"/>
      <c r="D31" s="1180"/>
      <c r="E31" s="1180"/>
      <c r="F31" s="1180"/>
      <c r="G31" s="1180"/>
      <c r="H31" s="1180"/>
      <c r="I31" s="1180"/>
      <c r="J31" s="1180"/>
      <c r="K31" s="1180"/>
      <c r="L31" s="1180"/>
      <c r="M31" s="1180"/>
      <c r="N31" s="1180"/>
      <c r="O31" s="1180"/>
      <c r="P31" s="1180"/>
      <c r="Q31" s="1180"/>
      <c r="R31" s="1180"/>
      <c r="S31" s="1180"/>
      <c r="T31" s="1180"/>
      <c r="U31" s="1180"/>
      <c r="V31" s="1180"/>
      <c r="W31" s="1180"/>
      <c r="X31" s="1180"/>
    </row>
    <row r="32" spans="1:24">
      <c r="A32" s="1180"/>
      <c r="B32" s="1180"/>
      <c r="C32" s="1180"/>
      <c r="D32" s="1180"/>
      <c r="E32" s="1180"/>
      <c r="F32" s="1180"/>
      <c r="G32" s="1180"/>
      <c r="H32" s="1180"/>
      <c r="I32" s="1180"/>
      <c r="J32" s="1180"/>
      <c r="K32" s="1180"/>
      <c r="L32" s="1180"/>
      <c r="M32" s="1180"/>
      <c r="N32" s="1180"/>
      <c r="O32" s="1180"/>
      <c r="P32" s="1180"/>
      <c r="Q32" s="1180"/>
      <c r="R32" s="1180"/>
      <c r="S32" s="1180"/>
      <c r="T32" s="1180"/>
      <c r="U32" s="1180"/>
      <c r="V32" s="1180"/>
      <c r="W32" s="1180"/>
      <c r="X32" s="1180"/>
    </row>
    <row r="33" spans="1:24">
      <c r="A33" s="1179" t="s">
        <v>1237</v>
      </c>
      <c r="B33" s="1180"/>
      <c r="C33" s="1180"/>
      <c r="D33" s="2149" t="s">
        <v>593</v>
      </c>
      <c r="E33" s="1180"/>
      <c r="F33" s="1180"/>
      <c r="G33" s="1180"/>
      <c r="H33" s="1180"/>
      <c r="I33" s="1180"/>
      <c r="J33" s="1180"/>
      <c r="K33" s="1180"/>
      <c r="L33" s="1180"/>
      <c r="M33" s="1180"/>
      <c r="N33" s="1180"/>
      <c r="O33" s="1180"/>
      <c r="P33" s="1180"/>
      <c r="Q33" s="1180"/>
      <c r="R33" s="1180"/>
      <c r="S33" s="1180"/>
      <c r="T33" s="1180"/>
      <c r="U33" s="1180"/>
      <c r="V33" s="1180"/>
      <c r="W33" s="1180"/>
      <c r="X33" s="1180"/>
    </row>
    <row r="34" spans="1:24">
      <c r="A34" s="1179"/>
      <c r="B34" s="1180"/>
      <c r="C34" s="1180"/>
      <c r="D34" s="1180"/>
      <c r="E34" s="1180"/>
      <c r="F34" s="1180"/>
      <c r="G34" s="1180"/>
      <c r="H34" s="1180"/>
      <c r="I34" s="1180"/>
      <c r="J34" s="1180"/>
      <c r="K34" s="1180"/>
      <c r="L34" s="1180"/>
      <c r="M34" s="1180"/>
      <c r="N34" s="1180"/>
      <c r="O34" s="1180"/>
      <c r="P34" s="1180"/>
      <c r="Q34" s="1180"/>
      <c r="R34" s="1180"/>
      <c r="S34" s="1180"/>
      <c r="T34" s="1180"/>
      <c r="U34" s="1180"/>
      <c r="V34" s="1180"/>
      <c r="W34" s="1180"/>
      <c r="X34" s="1180"/>
    </row>
    <row r="35" spans="1:24">
      <c r="A35" s="1180"/>
      <c r="B35" s="1180"/>
      <c r="C35" s="1180"/>
      <c r="D35" s="1180"/>
      <c r="E35" s="1180"/>
      <c r="F35" s="1180"/>
      <c r="G35" s="1180"/>
      <c r="H35" s="1180"/>
      <c r="I35" s="1180"/>
      <c r="J35" s="1180"/>
      <c r="K35" s="1180"/>
      <c r="L35" s="1180"/>
      <c r="M35" s="1180"/>
      <c r="N35" s="1180"/>
      <c r="O35" s="1180"/>
      <c r="P35" s="1180"/>
      <c r="Q35" s="1180"/>
      <c r="R35" s="1180"/>
      <c r="S35" s="1180"/>
      <c r="T35" s="1180"/>
      <c r="U35" s="1180"/>
      <c r="V35" s="1180"/>
      <c r="W35" s="1180"/>
      <c r="X35" s="1180"/>
    </row>
    <row r="36" spans="1:24">
      <c r="A36" s="1180"/>
      <c r="B36" s="1180"/>
      <c r="C36" s="1180"/>
      <c r="D36" s="1180"/>
      <c r="E36" s="1180"/>
      <c r="F36" s="1180"/>
      <c r="G36" s="1180"/>
      <c r="H36" s="1180"/>
      <c r="I36" s="1180"/>
      <c r="J36" s="1180"/>
      <c r="K36" s="1180"/>
      <c r="L36" s="1180"/>
      <c r="M36" s="1180"/>
      <c r="N36" s="1180"/>
      <c r="O36" s="1180"/>
      <c r="P36" s="1180"/>
      <c r="Q36" s="1180"/>
      <c r="R36" s="1180"/>
      <c r="S36" s="1180"/>
      <c r="T36" s="1180"/>
      <c r="U36" s="1180"/>
      <c r="V36" s="1180"/>
      <c r="W36" s="1180"/>
      <c r="X36" s="1180"/>
    </row>
    <row r="37" spans="1:24">
      <c r="A37" s="1180"/>
      <c r="B37" s="1180"/>
      <c r="C37" s="1180"/>
      <c r="D37" s="1180"/>
      <c r="E37" s="1180"/>
      <c r="F37" s="1180"/>
      <c r="G37" s="1180"/>
      <c r="H37" s="1180"/>
      <c r="I37" s="1180"/>
      <c r="J37" s="1180"/>
      <c r="K37" s="1180"/>
      <c r="L37" s="1180"/>
      <c r="M37" s="1180"/>
      <c r="N37" s="1180"/>
      <c r="O37" s="1180"/>
      <c r="P37" s="1180"/>
      <c r="Q37" s="1180"/>
      <c r="R37" s="1180"/>
      <c r="S37" s="1180"/>
      <c r="T37" s="1180"/>
      <c r="U37" s="1180"/>
      <c r="V37" s="1180"/>
      <c r="W37" s="1180"/>
      <c r="X37" s="1180"/>
    </row>
    <row r="38" spans="1:24">
      <c r="A38" s="1180"/>
      <c r="B38" s="1180"/>
      <c r="C38" s="1180"/>
      <c r="D38" s="1180"/>
      <c r="E38" s="1180"/>
      <c r="F38" s="1180"/>
      <c r="G38" s="1180"/>
      <c r="H38" s="1180"/>
      <c r="I38" s="1180"/>
      <c r="J38" s="1180"/>
      <c r="K38" s="1180"/>
      <c r="L38" s="1180"/>
      <c r="M38" s="1180"/>
      <c r="N38" s="1180"/>
      <c r="O38" s="1180"/>
      <c r="P38" s="1180"/>
      <c r="Q38" s="1180"/>
      <c r="R38" s="1180"/>
      <c r="S38" s="1180"/>
      <c r="T38" s="1180"/>
      <c r="U38" s="1180"/>
      <c r="V38" s="1180"/>
      <c r="W38" s="1180"/>
      <c r="X38" s="1180"/>
    </row>
    <row r="39" spans="1:24">
      <c r="A39" s="1180"/>
      <c r="B39" s="1180"/>
      <c r="C39" s="1180"/>
      <c r="D39" s="1180"/>
      <c r="E39" s="1180"/>
      <c r="F39" s="1180"/>
      <c r="G39" s="1180"/>
      <c r="H39" s="1180"/>
      <c r="I39" s="1180"/>
      <c r="J39" s="1180"/>
      <c r="K39" s="1180"/>
      <c r="L39" s="1180"/>
      <c r="M39" s="1180"/>
      <c r="N39" s="1180"/>
      <c r="O39" s="1180"/>
      <c r="P39" s="1180"/>
      <c r="Q39" s="1180"/>
      <c r="R39" s="1180"/>
      <c r="S39" s="1180"/>
      <c r="T39" s="1180"/>
      <c r="U39" s="1180"/>
      <c r="V39" s="1180"/>
      <c r="W39" s="1180"/>
      <c r="X39" s="1180"/>
    </row>
    <row r="40" spans="1:24">
      <c r="A40" s="1180"/>
      <c r="B40" s="1180"/>
      <c r="C40" s="1180"/>
      <c r="D40" s="1180"/>
      <c r="E40" s="1180"/>
      <c r="F40" s="1180"/>
      <c r="G40" s="1180"/>
      <c r="H40" s="1180"/>
      <c r="I40" s="1180"/>
      <c r="J40" s="1180"/>
      <c r="K40" s="1180"/>
      <c r="L40" s="1180"/>
      <c r="M40" s="1180"/>
      <c r="N40" s="1180"/>
      <c r="O40" s="1180"/>
      <c r="P40" s="1180"/>
      <c r="Q40" s="1180"/>
      <c r="R40" s="1180"/>
      <c r="S40" s="1180"/>
      <c r="T40" s="1180"/>
      <c r="U40" s="1180"/>
      <c r="V40" s="1180"/>
      <c r="W40" s="1180"/>
      <c r="X40" s="1180"/>
    </row>
    <row r="41" spans="1:24">
      <c r="A41" s="1180"/>
      <c r="B41" s="1180"/>
      <c r="C41" s="1180"/>
      <c r="D41" s="1180"/>
      <c r="E41" s="1180"/>
      <c r="F41" s="1180"/>
      <c r="G41" s="1180"/>
      <c r="H41" s="1180"/>
      <c r="I41" s="1180"/>
      <c r="J41" s="1180"/>
      <c r="K41" s="1180"/>
      <c r="L41" s="1180"/>
      <c r="M41" s="1180"/>
      <c r="N41" s="1180"/>
      <c r="O41" s="1180"/>
      <c r="P41" s="1180"/>
      <c r="Q41" s="1180"/>
      <c r="R41" s="1180"/>
      <c r="S41" s="1180"/>
      <c r="T41" s="1180"/>
      <c r="U41" s="1180"/>
      <c r="V41" s="1180"/>
      <c r="W41" s="1180"/>
      <c r="X41" s="1180"/>
    </row>
    <row r="42" spans="1:24">
      <c r="A42" s="1180"/>
      <c r="B42" s="1180"/>
      <c r="C42" s="1180"/>
      <c r="D42" s="1180"/>
      <c r="E42" s="1180"/>
      <c r="F42" s="1180"/>
      <c r="G42" s="1180"/>
      <c r="H42" s="1180"/>
      <c r="I42" s="1180"/>
      <c r="J42" s="1180"/>
      <c r="K42" s="1180"/>
      <c r="L42" s="1180"/>
      <c r="M42" s="1180"/>
      <c r="N42" s="1180"/>
      <c r="O42" s="1180"/>
      <c r="P42" s="1180"/>
      <c r="Q42" s="1180"/>
      <c r="R42" s="1180"/>
      <c r="S42" s="1180"/>
      <c r="T42" s="1180"/>
      <c r="U42" s="1180"/>
      <c r="V42" s="1180"/>
      <c r="W42" s="1180"/>
      <c r="X42" s="1180"/>
    </row>
    <row r="43" spans="1:24">
      <c r="A43" s="1180"/>
      <c r="B43" s="1180"/>
      <c r="C43" s="1180"/>
      <c r="D43" s="1180"/>
      <c r="E43" s="1180"/>
      <c r="F43" s="1180"/>
      <c r="G43" s="1180"/>
      <c r="H43" s="1180"/>
      <c r="I43" s="1180"/>
      <c r="J43" s="1180"/>
      <c r="K43" s="1180"/>
      <c r="L43" s="1629" t="str">
        <f>COMPANY</f>
        <v>DUKE ENERGY KENTUCKY, INC.</v>
      </c>
      <c r="M43" s="530"/>
      <c r="N43" s="530"/>
      <c r="O43" s="530"/>
      <c r="P43" s="530"/>
      <c r="Q43" s="530"/>
      <c r="R43" s="1629" t="s">
        <v>1082</v>
      </c>
      <c r="S43" s="530"/>
      <c r="T43" s="1178"/>
      <c r="U43" s="1180"/>
      <c r="V43" s="1180"/>
      <c r="W43" s="1180"/>
      <c r="X43" s="1180"/>
    </row>
    <row r="44" spans="1:24">
      <c r="A44" s="1180"/>
      <c r="B44" s="1180"/>
      <c r="C44" s="1180"/>
      <c r="D44" s="1180"/>
      <c r="E44" s="1180"/>
      <c r="F44" s="1180"/>
      <c r="G44" s="1180"/>
      <c r="H44" s="1180"/>
      <c r="I44" s="1180"/>
      <c r="J44" s="1180"/>
      <c r="K44" s="1180"/>
      <c r="L44" s="1629" t="str">
        <f>DEPT</f>
        <v>ELECTRIC DEPARTMENT</v>
      </c>
      <c r="M44" s="530"/>
      <c r="N44" s="530"/>
      <c r="O44" s="530"/>
      <c r="P44" s="530"/>
      <c r="Q44" s="530"/>
      <c r="R44" s="1629" t="s">
        <v>1239</v>
      </c>
      <c r="S44" s="530"/>
      <c r="T44" s="1178"/>
      <c r="U44" s="1180"/>
      <c r="V44" s="1180"/>
      <c r="W44" s="1180"/>
      <c r="X44" s="1180"/>
    </row>
    <row r="45" spans="1:24">
      <c r="A45" s="1180"/>
      <c r="B45" s="1180"/>
      <c r="C45" s="1180"/>
      <c r="D45" s="1180"/>
      <c r="E45" s="1180"/>
      <c r="F45" s="1180"/>
      <c r="G45" s="1180"/>
      <c r="H45" s="1180"/>
      <c r="I45" s="1180"/>
      <c r="J45" s="1180"/>
      <c r="K45" s="1180"/>
      <c r="L45" s="1629" t="str">
        <f>CASE</f>
        <v>CASE NO. 2017-00321</v>
      </c>
      <c r="M45" s="530"/>
      <c r="N45" s="530"/>
      <c r="O45" s="530"/>
      <c r="P45" s="530"/>
      <c r="Q45" s="530"/>
      <c r="R45" s="530" t="str">
        <f>_WIT10</f>
        <v>R. H. PRATT</v>
      </c>
      <c r="S45" s="530"/>
      <c r="T45" s="1178"/>
      <c r="U45" s="1180"/>
      <c r="V45" s="1180"/>
      <c r="W45" s="1180"/>
      <c r="X45" s="1180"/>
    </row>
    <row r="46" spans="1:24">
      <c r="A46" s="1180"/>
      <c r="B46" s="1180"/>
      <c r="C46" s="1180"/>
      <c r="D46" s="1180"/>
      <c r="E46" s="1180"/>
      <c r="F46" s="1180"/>
      <c r="G46" s="1180"/>
      <c r="H46" s="1180"/>
      <c r="I46" s="1180"/>
      <c r="J46" s="1180"/>
      <c r="K46" s="1180"/>
      <c r="L46" s="1629" t="s">
        <v>505</v>
      </c>
      <c r="M46" s="530"/>
      <c r="N46" s="530"/>
      <c r="O46" s="530"/>
      <c r="P46" s="530"/>
      <c r="Q46" s="530"/>
      <c r="R46" s="2107"/>
      <c r="S46" s="530"/>
      <c r="T46" s="1178"/>
      <c r="U46" s="1180"/>
      <c r="V46" s="1180"/>
      <c r="W46" s="1180"/>
      <c r="X46" s="1180"/>
    </row>
    <row r="47" spans="1:24">
      <c r="A47" s="1180"/>
      <c r="B47" s="1180"/>
      <c r="C47" s="1180"/>
      <c r="D47" s="1180"/>
      <c r="E47" s="1180"/>
      <c r="F47" s="1180"/>
      <c r="G47" s="1180"/>
      <c r="H47" s="1180"/>
      <c r="I47" s="1180"/>
      <c r="J47" s="1180"/>
      <c r="K47" s="1180"/>
      <c r="L47" s="1629"/>
      <c r="M47" s="530"/>
      <c r="N47" s="530"/>
      <c r="O47" s="530"/>
      <c r="P47" s="530"/>
      <c r="Q47" s="530"/>
      <c r="R47" s="530"/>
      <c r="S47" s="530"/>
      <c r="T47" s="1178"/>
      <c r="U47" s="1180"/>
      <c r="V47" s="1180"/>
      <c r="W47" s="1180"/>
      <c r="X47" s="1180"/>
    </row>
    <row r="48" spans="1:24">
      <c r="A48" s="1180"/>
      <c r="B48" s="1180"/>
      <c r="C48" s="1180"/>
      <c r="D48" s="1180"/>
      <c r="E48" s="1180"/>
      <c r="F48" s="1180"/>
      <c r="G48" s="1180"/>
      <c r="H48" s="1180"/>
      <c r="I48" s="1180"/>
      <c r="J48" s="1180"/>
      <c r="K48" s="1180"/>
      <c r="L48" s="1178"/>
      <c r="M48" s="1178"/>
      <c r="N48" s="1178"/>
      <c r="O48" s="1178"/>
      <c r="P48" s="1178"/>
      <c r="Q48" s="1178"/>
      <c r="R48" s="1178"/>
      <c r="S48" s="1178"/>
      <c r="T48" s="1178"/>
      <c r="U48" s="1180"/>
      <c r="V48" s="1180"/>
      <c r="W48" s="1180"/>
      <c r="X48" s="1180"/>
    </row>
    <row r="49" spans="1:24">
      <c r="A49" s="1180"/>
      <c r="B49" s="1180"/>
      <c r="C49" s="1180"/>
      <c r="D49" s="1180"/>
      <c r="E49" s="1180"/>
      <c r="F49" s="1180"/>
      <c r="G49" s="1180"/>
      <c r="H49" s="1180"/>
      <c r="I49" s="1180"/>
      <c r="J49" s="1180"/>
      <c r="K49" s="1180"/>
      <c r="L49" s="1178"/>
      <c r="M49" s="1178"/>
      <c r="N49" s="1178"/>
      <c r="O49" s="1178"/>
      <c r="P49" s="1178"/>
      <c r="Q49" s="1178"/>
      <c r="R49" s="1178"/>
      <c r="S49" s="1178"/>
      <c r="T49" s="1178"/>
      <c r="U49" s="1180"/>
      <c r="V49" s="1180"/>
      <c r="W49" s="1180"/>
      <c r="X49" s="1180"/>
    </row>
    <row r="50" spans="1:24">
      <c r="A50" s="1180"/>
      <c r="B50" s="1180"/>
      <c r="C50" s="1180"/>
      <c r="D50" s="1180"/>
      <c r="E50" s="1180"/>
      <c r="F50" s="1180"/>
      <c r="G50" s="1180"/>
      <c r="H50" s="1180"/>
      <c r="I50" s="1180"/>
      <c r="J50" s="1180"/>
      <c r="K50" s="1180"/>
      <c r="L50" s="1423" t="s">
        <v>1240</v>
      </c>
      <c r="M50" s="1423"/>
      <c r="N50" s="1423"/>
      <c r="O50" s="1423"/>
      <c r="P50" s="1423" t="s">
        <v>1117</v>
      </c>
      <c r="Q50" s="1423"/>
      <c r="R50" s="1423" t="s">
        <v>626</v>
      </c>
      <c r="S50" s="1423"/>
      <c r="T50" s="1423"/>
      <c r="U50" s="1180"/>
      <c r="V50" s="1180"/>
      <c r="W50" s="1180"/>
      <c r="X50" s="1180"/>
    </row>
    <row r="51" spans="1:24">
      <c r="A51" s="1180"/>
      <c r="B51" s="1180"/>
      <c r="C51" s="1180"/>
      <c r="D51" s="1180"/>
      <c r="E51" s="1180"/>
      <c r="F51" s="1180"/>
      <c r="G51" s="1180"/>
      <c r="H51" s="1180"/>
      <c r="I51" s="1180"/>
      <c r="J51" s="1180"/>
      <c r="K51" s="1180"/>
      <c r="L51" s="1424" t="s">
        <v>1241</v>
      </c>
      <c r="M51" s="1424"/>
      <c r="N51" s="1424" t="s">
        <v>1119</v>
      </c>
      <c r="O51" s="1424"/>
      <c r="P51" s="1424" t="s">
        <v>1120</v>
      </c>
      <c r="Q51" s="1424"/>
      <c r="R51" s="1424" t="s">
        <v>1120</v>
      </c>
      <c r="S51" s="1424"/>
      <c r="T51" s="1424" t="s">
        <v>1242</v>
      </c>
      <c r="U51" s="1180"/>
      <c r="V51" s="1180"/>
      <c r="W51" s="1180"/>
      <c r="X51" s="1180"/>
    </row>
    <row r="52" spans="1:24">
      <c r="A52" s="1180"/>
      <c r="B52" s="1180"/>
      <c r="C52" s="1180"/>
      <c r="D52" s="1180"/>
      <c r="E52" s="1180"/>
      <c r="F52" s="1180"/>
      <c r="G52" s="1180"/>
      <c r="H52" s="1180"/>
      <c r="I52" s="1180"/>
      <c r="J52" s="1180"/>
      <c r="K52" s="1180"/>
      <c r="L52" s="1178"/>
      <c r="M52" s="1178"/>
      <c r="N52" s="1178"/>
      <c r="O52" s="1178"/>
      <c r="P52" s="1178"/>
      <c r="Q52" s="1178"/>
      <c r="R52" s="1178"/>
      <c r="S52" s="1178"/>
      <c r="T52" s="1178"/>
      <c r="U52" s="1180"/>
      <c r="V52" s="1180"/>
      <c r="W52" s="1180"/>
      <c r="X52" s="1180"/>
    </row>
    <row r="53" spans="1:24" ht="13.5" thickBot="1">
      <c r="A53" s="1180"/>
      <c r="B53" s="1180"/>
      <c r="C53" s="1180"/>
      <c r="D53" s="1180"/>
      <c r="E53" s="1180"/>
      <c r="F53" s="1180"/>
      <c r="G53" s="1180"/>
      <c r="H53" s="1180"/>
      <c r="I53" s="1180"/>
      <c r="J53" s="1180"/>
      <c r="K53" s="1180"/>
      <c r="L53" s="1423">
        <v>1</v>
      </c>
      <c r="M53" s="1178"/>
      <c r="N53" s="1179" t="s">
        <v>179</v>
      </c>
      <c r="O53" s="1178"/>
      <c r="P53" s="2275">
        <f>SCH_C2!E39</f>
        <v>35375930</v>
      </c>
      <c r="Q53" s="1178"/>
      <c r="R53" s="2275">
        <f ca="1">SCH_C2!H39</f>
        <v>44542262</v>
      </c>
      <c r="S53" s="1178"/>
      <c r="T53" s="2275">
        <f ca="1">R53-P53</f>
        <v>9166332</v>
      </c>
      <c r="U53" s="1180"/>
      <c r="V53" s="1180"/>
      <c r="W53" s="1180"/>
      <c r="X53" s="1180"/>
    </row>
    <row r="54" spans="1:24" ht="13.5" thickTop="1">
      <c r="A54" s="1180"/>
      <c r="B54" s="1180"/>
      <c r="C54" s="1180"/>
      <c r="D54" s="1180"/>
      <c r="E54" s="1180"/>
      <c r="F54" s="1180"/>
      <c r="G54" s="1180"/>
      <c r="H54" s="1180"/>
      <c r="I54" s="1180"/>
      <c r="J54" s="1180"/>
      <c r="K54" s="1180"/>
      <c r="L54" s="1423"/>
      <c r="M54" s="1178"/>
      <c r="N54" s="1178"/>
      <c r="O54" s="1178"/>
      <c r="P54" s="1178"/>
      <c r="Q54" s="1178"/>
      <c r="R54" s="1178"/>
      <c r="S54" s="1178"/>
      <c r="T54" s="1178"/>
      <c r="U54" s="1180"/>
      <c r="V54" s="1180"/>
      <c r="W54" s="1180"/>
      <c r="X54" s="1180"/>
    </row>
    <row r="55" spans="1:24">
      <c r="A55" s="1180"/>
      <c r="B55" s="1180"/>
      <c r="C55" s="1180"/>
      <c r="D55" s="1180"/>
      <c r="E55" s="1180"/>
      <c r="F55" s="1180"/>
      <c r="G55" s="1180"/>
      <c r="H55" s="1180"/>
      <c r="I55" s="1180"/>
      <c r="J55" s="1180"/>
      <c r="K55" s="1180"/>
      <c r="L55" s="1178"/>
      <c r="M55" s="1178"/>
      <c r="N55" s="1178"/>
      <c r="O55" s="1178"/>
      <c r="P55" s="1178"/>
      <c r="Q55" s="1178"/>
      <c r="R55" s="1178"/>
      <c r="S55" s="1178"/>
      <c r="T55" s="1178"/>
      <c r="U55" s="1180"/>
      <c r="V55" s="1180"/>
      <c r="W55" s="1180"/>
      <c r="X55" s="1180"/>
    </row>
    <row r="56" spans="1:24">
      <c r="A56" s="1180"/>
      <c r="B56" s="1180"/>
      <c r="C56" s="1180"/>
      <c r="D56" s="1180"/>
      <c r="E56" s="1180"/>
      <c r="F56" s="1180"/>
      <c r="G56" s="1180"/>
      <c r="H56" s="1180"/>
      <c r="I56" s="1180"/>
      <c r="J56" s="1180"/>
      <c r="K56" s="1180"/>
      <c r="L56" s="1178"/>
      <c r="M56" s="1178"/>
      <c r="N56" s="1178"/>
      <c r="O56" s="1178"/>
      <c r="P56" s="1178"/>
      <c r="Q56" s="1178"/>
      <c r="R56" s="1178"/>
      <c r="S56" s="1178"/>
      <c r="T56" s="1178"/>
      <c r="U56" s="1180"/>
      <c r="V56" s="1180"/>
      <c r="W56" s="1180"/>
      <c r="X56" s="1180"/>
    </row>
    <row r="57" spans="1:24">
      <c r="A57" s="1180"/>
      <c r="B57" s="1180"/>
      <c r="C57" s="1180"/>
      <c r="D57" s="1180"/>
      <c r="E57" s="1180"/>
      <c r="F57" s="1180"/>
      <c r="G57" s="1180"/>
      <c r="H57" s="1180"/>
      <c r="I57" s="1180"/>
      <c r="J57" s="1180"/>
      <c r="K57" s="1180"/>
      <c r="L57" s="1178"/>
      <c r="M57" s="1178"/>
      <c r="N57" s="1178"/>
      <c r="O57" s="1178"/>
      <c r="P57" s="1178"/>
      <c r="Q57" s="1178"/>
      <c r="R57" s="1178"/>
      <c r="S57" s="1178"/>
      <c r="T57" s="1423" t="s">
        <v>1244</v>
      </c>
      <c r="U57" s="1180"/>
      <c r="V57" s="1180"/>
      <c r="W57" s="1180"/>
      <c r="X57" s="1180"/>
    </row>
    <row r="58" spans="1:24">
      <c r="A58" s="1180"/>
      <c r="B58" s="1180"/>
      <c r="C58" s="1180"/>
      <c r="D58" s="1180"/>
      <c r="E58" s="1180"/>
      <c r="F58" s="1180"/>
      <c r="G58" s="1180"/>
      <c r="H58" s="1180"/>
      <c r="I58" s="1180"/>
      <c r="J58" s="1180"/>
      <c r="K58" s="1180"/>
      <c r="L58" s="1180"/>
      <c r="M58" s="1180"/>
      <c r="N58" s="1180"/>
      <c r="O58" s="1180"/>
      <c r="P58" s="1180"/>
      <c r="Q58" s="1180"/>
      <c r="R58" s="1180"/>
      <c r="S58" s="1180"/>
      <c r="T58" s="1180"/>
      <c r="U58" s="1180"/>
      <c r="V58" s="1180"/>
      <c r="W58" s="1180"/>
      <c r="X58" s="1180"/>
    </row>
    <row r="59" spans="1:24">
      <c r="A59" s="1180"/>
      <c r="B59" s="1180"/>
      <c r="C59" s="1180"/>
      <c r="D59" s="1180"/>
      <c r="E59" s="1180"/>
      <c r="F59" s="1180"/>
      <c r="G59" s="1180"/>
      <c r="H59" s="1180"/>
      <c r="I59" s="1180"/>
      <c r="J59" s="1180"/>
      <c r="K59" s="1180"/>
      <c r="L59" s="1180"/>
      <c r="M59" s="1180"/>
      <c r="N59" s="1180"/>
      <c r="O59" s="1180"/>
      <c r="P59" s="1180"/>
      <c r="Q59" s="1180"/>
      <c r="R59" s="1180"/>
      <c r="S59" s="1180"/>
      <c r="T59" s="1180"/>
      <c r="U59" s="1180"/>
      <c r="V59" s="1180"/>
      <c r="W59" s="1180"/>
      <c r="X59" s="1180"/>
    </row>
    <row r="60" spans="1:24">
      <c r="A60" s="1180"/>
      <c r="B60" s="1180"/>
      <c r="C60" s="1180"/>
      <c r="D60" s="1180"/>
      <c r="E60" s="1180"/>
      <c r="F60" s="1180"/>
      <c r="G60" s="1180"/>
      <c r="H60" s="1180"/>
      <c r="I60" s="1180"/>
      <c r="J60" s="1180"/>
      <c r="K60" s="1180"/>
      <c r="L60" s="1180"/>
      <c r="M60" s="1180"/>
      <c r="N60" s="1180"/>
      <c r="O60" s="1180"/>
      <c r="P60" s="1180"/>
      <c r="Q60" s="1180"/>
      <c r="R60" s="2370"/>
      <c r="S60" s="1180"/>
      <c r="T60" s="1180"/>
      <c r="U60" s="1180"/>
      <c r="V60" s="1180"/>
      <c r="W60" s="1180"/>
      <c r="X60" s="1180"/>
    </row>
    <row r="61" spans="1:24">
      <c r="A61" s="1180"/>
      <c r="B61" s="1180"/>
      <c r="C61" s="1180"/>
      <c r="D61" s="1180"/>
      <c r="E61" s="1180"/>
      <c r="F61" s="1180"/>
      <c r="G61" s="1180"/>
      <c r="H61" s="1180"/>
      <c r="I61" s="1180"/>
      <c r="J61" s="1180"/>
      <c r="K61" s="1180"/>
      <c r="L61" s="1180"/>
      <c r="M61" s="1180"/>
      <c r="N61" s="1180"/>
      <c r="O61" s="1180"/>
      <c r="P61" s="1180"/>
      <c r="Q61" s="1180"/>
      <c r="R61" s="1180"/>
      <c r="S61" s="1180"/>
      <c r="T61" s="1180"/>
      <c r="U61" s="1180"/>
      <c r="V61" s="1180"/>
      <c r="W61" s="1180"/>
      <c r="X61" s="1180"/>
    </row>
    <row r="62" spans="1:24">
      <c r="A62" s="1180"/>
      <c r="B62" s="1180"/>
      <c r="C62" s="1180"/>
      <c r="D62" s="1180"/>
      <c r="E62" s="1180"/>
      <c r="F62" s="1180"/>
      <c r="G62" s="1180"/>
      <c r="H62" s="1180"/>
      <c r="I62" s="1180"/>
      <c r="J62" s="1180"/>
      <c r="K62" s="1180"/>
      <c r="L62" s="1180"/>
      <c r="M62" s="1180"/>
      <c r="N62" s="1180"/>
      <c r="O62" s="1180"/>
      <c r="P62" s="1180"/>
      <c r="Q62" s="1180"/>
      <c r="R62" s="1180"/>
      <c r="S62" s="1180"/>
      <c r="T62" s="1180"/>
      <c r="U62" s="1180"/>
      <c r="V62" s="1180"/>
      <c r="W62" s="1180"/>
      <c r="X62" s="1180"/>
    </row>
    <row r="63" spans="1:24">
      <c r="A63" s="1180"/>
      <c r="B63" s="1180"/>
      <c r="C63" s="1180"/>
      <c r="D63" s="1180"/>
      <c r="E63" s="1180"/>
      <c r="F63" s="1180"/>
      <c r="G63" s="1180"/>
      <c r="H63" s="1180"/>
      <c r="I63" s="1180"/>
      <c r="J63" s="1180"/>
      <c r="K63" s="1180"/>
      <c r="L63" s="1180"/>
      <c r="M63" s="1180"/>
      <c r="N63" s="1180"/>
      <c r="O63" s="1180"/>
      <c r="P63" s="1180"/>
      <c r="Q63" s="1180"/>
      <c r="R63" s="1180"/>
      <c r="S63" s="1180"/>
      <c r="T63" s="1180"/>
      <c r="U63" s="1180"/>
      <c r="V63" s="1180"/>
      <c r="W63" s="1180"/>
      <c r="X63" s="1180"/>
    </row>
    <row r="64" spans="1:24">
      <c r="A64" s="1180"/>
      <c r="B64" s="1180"/>
      <c r="C64" s="1180"/>
      <c r="D64" s="1180"/>
      <c r="E64" s="1180"/>
      <c r="F64" s="1180"/>
      <c r="G64" s="1180"/>
      <c r="H64" s="1180"/>
      <c r="I64" s="1180"/>
      <c r="J64" s="1180"/>
      <c r="K64" s="1180"/>
      <c r="L64" s="1180"/>
      <c r="M64" s="1180"/>
      <c r="N64" s="1180"/>
      <c r="O64" s="1180"/>
      <c r="P64" s="1180"/>
      <c r="Q64" s="1180"/>
      <c r="R64" s="1180"/>
      <c r="S64" s="1180"/>
      <c r="T64" s="1180"/>
      <c r="U64" s="1180"/>
      <c r="V64" s="1180"/>
      <c r="W64" s="1180"/>
      <c r="X64" s="1180"/>
    </row>
    <row r="65" spans="1:24">
      <c r="A65" s="1180"/>
      <c r="B65" s="1180"/>
      <c r="C65" s="1180"/>
      <c r="D65" s="1180"/>
      <c r="E65" s="1180"/>
      <c r="F65" s="1180"/>
      <c r="G65" s="1180"/>
      <c r="H65" s="1180"/>
      <c r="I65" s="1180"/>
      <c r="J65" s="1180"/>
      <c r="K65" s="1180"/>
      <c r="L65" s="1180"/>
      <c r="M65" s="1180"/>
      <c r="N65" s="1180"/>
      <c r="O65" s="1180"/>
      <c r="P65" s="1180"/>
      <c r="Q65" s="1180"/>
      <c r="R65" s="1180"/>
      <c r="S65" s="1180"/>
      <c r="T65" s="1180"/>
      <c r="U65" s="1180"/>
      <c r="V65" s="1180"/>
      <c r="W65" s="1180"/>
      <c r="X65" s="1180"/>
    </row>
    <row r="66" spans="1:24">
      <c r="A66" s="1180"/>
      <c r="B66" s="1180"/>
      <c r="C66" s="1180"/>
      <c r="D66" s="1180"/>
      <c r="E66" s="1180"/>
      <c r="F66" s="1180"/>
      <c r="G66" s="1180"/>
      <c r="H66" s="1180"/>
      <c r="I66" s="1180"/>
      <c r="J66" s="1180"/>
      <c r="K66" s="1180"/>
      <c r="L66" s="1180"/>
      <c r="M66" s="1180"/>
      <c r="N66" s="1180"/>
      <c r="O66" s="1180"/>
      <c r="P66" s="1180"/>
      <c r="Q66" s="1180"/>
      <c r="R66" s="1180"/>
      <c r="S66" s="1180"/>
      <c r="T66" s="1180"/>
      <c r="U66" s="1180"/>
      <c r="V66" s="1180"/>
      <c r="W66" s="1180"/>
      <c r="X66" s="1180"/>
    </row>
    <row r="67" spans="1:24">
      <c r="A67" s="1180"/>
      <c r="B67" s="1180"/>
      <c r="C67" s="1180"/>
      <c r="D67" s="1180"/>
      <c r="E67" s="1180"/>
      <c r="F67" s="1180"/>
      <c r="G67" s="1180"/>
      <c r="H67" s="1180"/>
      <c r="I67" s="1180"/>
      <c r="J67" s="1180"/>
      <c r="K67" s="1180"/>
      <c r="L67" s="1180"/>
      <c r="M67" s="1180"/>
      <c r="N67" s="1180"/>
      <c r="O67" s="1180"/>
      <c r="P67" s="1180"/>
      <c r="Q67" s="1180"/>
      <c r="R67" s="1180"/>
      <c r="S67" s="1180"/>
      <c r="T67" s="1180"/>
      <c r="U67" s="1180"/>
      <c r="V67" s="1180"/>
      <c r="W67" s="1180"/>
      <c r="X67" s="1180"/>
    </row>
    <row r="68" spans="1:24">
      <c r="A68" s="1180"/>
      <c r="B68" s="1180"/>
      <c r="C68" s="1180"/>
      <c r="D68" s="1180"/>
      <c r="E68" s="1180"/>
      <c r="F68" s="1180"/>
      <c r="G68" s="1180"/>
      <c r="H68" s="1180"/>
      <c r="I68" s="1180"/>
      <c r="J68" s="1180"/>
      <c r="K68" s="1180"/>
      <c r="L68" s="1180"/>
      <c r="M68" s="1180"/>
      <c r="N68" s="1180"/>
      <c r="O68" s="1180"/>
      <c r="P68" s="1180"/>
      <c r="Q68" s="1180"/>
      <c r="R68" s="1180"/>
      <c r="S68" s="1180"/>
      <c r="T68" s="1180"/>
      <c r="U68" s="1180"/>
      <c r="V68" s="1180"/>
      <c r="W68" s="1180"/>
      <c r="X68" s="1180"/>
    </row>
    <row r="69" spans="1:24">
      <c r="A69" s="1180"/>
      <c r="B69" s="1180"/>
      <c r="C69" s="1180"/>
      <c r="D69" s="1180"/>
      <c r="E69" s="1180"/>
      <c r="F69" s="1180"/>
      <c r="G69" s="1180"/>
      <c r="H69" s="1180"/>
      <c r="I69" s="1180"/>
      <c r="J69" s="1180"/>
      <c r="K69" s="1180"/>
      <c r="L69" s="1180"/>
      <c r="M69" s="1180"/>
      <c r="N69" s="1180"/>
      <c r="O69" s="1180"/>
      <c r="P69" s="1180"/>
      <c r="Q69" s="1180"/>
      <c r="R69" s="1180"/>
      <c r="S69" s="1180"/>
      <c r="T69" s="1180"/>
      <c r="U69" s="1180"/>
      <c r="V69" s="1180"/>
      <c r="W69" s="1180"/>
      <c r="X69" s="1180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7" tint="-0.249977111117893"/>
  </sheetPr>
  <dimension ref="A1:X69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8" style="18" customWidth="1"/>
    <col min="2" max="2" width="20.42578125" style="18" customWidth="1"/>
    <col min="3" max="3" width="8" style="18" customWidth="1"/>
    <col min="4" max="4" width="10.42578125" style="18" customWidth="1"/>
    <col min="5" max="7" width="8" style="18" customWidth="1"/>
    <col min="8" max="8" width="12.42578125" style="18" customWidth="1"/>
    <col min="9" max="9" width="10" style="18" customWidth="1"/>
    <col min="10" max="10" width="18.42578125" style="18" customWidth="1"/>
    <col min="11" max="12" width="8" style="18" customWidth="1"/>
    <col min="13" max="13" width="2.42578125" style="18" customWidth="1"/>
    <col min="14" max="14" width="42.140625" style="18" customWidth="1"/>
    <col min="15" max="15" width="3.85546875" style="18" customWidth="1"/>
    <col min="16" max="16" width="16" style="18" customWidth="1"/>
    <col min="17" max="17" width="1.85546875" style="18" customWidth="1"/>
    <col min="18" max="18" width="18.140625" style="18" customWidth="1"/>
    <col min="19" max="19" width="2.28515625" style="18" customWidth="1"/>
    <col min="20" max="20" width="16.42578125" style="18" customWidth="1"/>
    <col min="21" max="16384" width="8" style="18"/>
  </cols>
  <sheetData>
    <row r="1" spans="1:24">
      <c r="A1" s="2087" t="str">
        <f>LOGO!B5</f>
        <v>DUKE ENERGY KENTUCKY, INC.</v>
      </c>
      <c r="B1" s="2195"/>
      <c r="C1" s="2195"/>
      <c r="D1" s="2195"/>
      <c r="E1" s="2195"/>
      <c r="F1" s="2195"/>
      <c r="G1" s="2195"/>
      <c r="H1" s="2195"/>
      <c r="I1" s="2195"/>
      <c r="J1" s="2195"/>
      <c r="K1" s="1180"/>
      <c r="L1" s="1180"/>
      <c r="M1" s="1180"/>
      <c r="N1" s="1180"/>
      <c r="O1" s="1180"/>
      <c r="P1" s="1180"/>
      <c r="Q1" s="1180"/>
      <c r="R1" s="1180"/>
      <c r="S1" s="1180"/>
      <c r="T1" s="1180"/>
      <c r="U1" s="1180"/>
      <c r="V1" s="1180"/>
      <c r="W1" s="1180"/>
      <c r="X1" s="1180"/>
    </row>
    <row r="2" spans="1:24">
      <c r="A2" s="2087" t="str">
        <f>LOGO!B6</f>
        <v>CASE NO. 2017-00321</v>
      </c>
      <c r="B2" s="2195"/>
      <c r="C2" s="2195"/>
      <c r="D2" s="2195"/>
      <c r="E2" s="2195"/>
      <c r="F2" s="2195"/>
      <c r="G2" s="2195"/>
      <c r="H2" s="2195"/>
      <c r="I2" s="2195"/>
      <c r="J2" s="2195"/>
      <c r="K2" s="1180"/>
      <c r="L2" s="1180"/>
      <c r="M2" s="1180"/>
      <c r="N2" s="1180"/>
      <c r="O2" s="1180"/>
      <c r="P2" s="1180"/>
      <c r="Q2" s="1180"/>
      <c r="R2" s="1180"/>
      <c r="S2" s="1180"/>
      <c r="T2" s="1180"/>
      <c r="U2" s="1180"/>
      <c r="V2" s="1180"/>
      <c r="W2" s="1180"/>
      <c r="X2" s="1180"/>
    </row>
    <row r="3" spans="1:24">
      <c r="A3" s="2166" t="s">
        <v>1764</v>
      </c>
      <c r="B3" s="2195"/>
      <c r="C3" s="2195"/>
      <c r="D3" s="2195"/>
      <c r="E3" s="2195"/>
      <c r="F3" s="2195"/>
      <c r="G3" s="2195"/>
      <c r="H3" s="2195"/>
      <c r="I3" s="2195"/>
      <c r="J3" s="2195"/>
      <c r="K3" s="1180"/>
      <c r="L3" s="1180"/>
      <c r="M3" s="1180"/>
      <c r="N3" s="1180"/>
      <c r="O3" s="1180"/>
      <c r="P3" s="1180"/>
      <c r="Q3" s="1180"/>
      <c r="R3" s="1180"/>
      <c r="S3" s="1180"/>
      <c r="T3" s="1180"/>
      <c r="U3" s="1180"/>
      <c r="V3" s="1180"/>
      <c r="W3" s="1180"/>
      <c r="X3" s="1180"/>
    </row>
    <row r="4" spans="1:24">
      <c r="A4" s="2087" t="str">
        <f>LOGO!B8</f>
        <v>FOR THE TWELVE MONTHS ENDED MARCH 31, 2019</v>
      </c>
      <c r="B4" s="2195"/>
      <c r="C4" s="2195"/>
      <c r="D4" s="2195"/>
      <c r="E4" s="2195"/>
      <c r="F4" s="2195"/>
      <c r="G4" s="2195"/>
      <c r="H4" s="2195"/>
      <c r="I4" s="2195"/>
      <c r="J4" s="2195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</row>
    <row r="5" spans="1:24">
      <c r="A5" s="1180"/>
      <c r="B5" s="1180"/>
      <c r="C5" s="1180"/>
      <c r="D5" s="1180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80"/>
      <c r="U5" s="1180"/>
      <c r="V5" s="1180"/>
      <c r="W5" s="1180"/>
      <c r="X5" s="1180"/>
    </row>
    <row r="6" spans="1:24">
      <c r="A6" s="2206" t="str">
        <f>DataB</f>
        <v>DATA: "X" BASE PERIOD  "X" FORECASTED PERIOD</v>
      </c>
      <c r="B6" s="1180"/>
      <c r="C6" s="1180"/>
      <c r="D6" s="1180"/>
      <c r="E6" s="1180"/>
      <c r="F6" s="1180"/>
      <c r="G6" s="1180"/>
      <c r="H6" s="1180"/>
      <c r="I6" s="2196" t="s">
        <v>38</v>
      </c>
      <c r="J6" s="1180"/>
      <c r="K6" s="1180"/>
      <c r="L6" s="1180"/>
      <c r="M6" s="1180"/>
      <c r="N6" s="1180"/>
      <c r="O6" s="1180"/>
      <c r="P6" s="1180"/>
      <c r="Q6" s="1180"/>
      <c r="R6" s="1180"/>
      <c r="S6" s="1180"/>
      <c r="T6" s="1180"/>
      <c r="U6" s="1180"/>
      <c r="V6" s="1180"/>
      <c r="W6" s="1180"/>
      <c r="X6" s="1180"/>
    </row>
    <row r="7" spans="1:24">
      <c r="A7" s="2206" t="str">
        <f>LOGO!B15</f>
        <v xml:space="preserve">TYPE OF FILING:  "X" ORIGINAL   UPDATED    REVISED  </v>
      </c>
      <c r="B7" s="1180"/>
      <c r="C7" s="1180"/>
      <c r="D7" s="1180"/>
      <c r="E7" s="1180"/>
      <c r="F7" s="1180"/>
      <c r="G7" s="1180"/>
      <c r="H7" s="1180"/>
      <c r="I7" s="1179" t="s">
        <v>620</v>
      </c>
      <c r="J7" s="1180"/>
      <c r="K7" s="1180"/>
      <c r="L7" s="1180"/>
      <c r="M7" s="1180"/>
      <c r="N7" s="1180"/>
      <c r="O7" s="1180"/>
      <c r="P7" s="1180"/>
      <c r="Q7" s="1180"/>
      <c r="R7" s="1180"/>
      <c r="S7" s="1180"/>
      <c r="T7" s="1180"/>
      <c r="U7" s="1180"/>
      <c r="V7" s="1180"/>
      <c r="W7" s="1180"/>
      <c r="X7" s="1180"/>
    </row>
    <row r="8" spans="1:24">
      <c r="A8" s="1179" t="s">
        <v>39</v>
      </c>
      <c r="B8" s="1180"/>
      <c r="C8" s="1180"/>
      <c r="D8" s="1180"/>
      <c r="E8" s="1180"/>
      <c r="F8" s="1180"/>
      <c r="G8" s="1180"/>
      <c r="H8" s="1180"/>
      <c r="I8" s="1179" t="s">
        <v>622</v>
      </c>
      <c r="J8" s="1180"/>
      <c r="K8" s="1180"/>
      <c r="L8" s="1180"/>
      <c r="M8" s="1180"/>
      <c r="N8" s="1180"/>
      <c r="O8" s="1180"/>
      <c r="P8" s="1180"/>
      <c r="Q8" s="1180"/>
      <c r="R8" s="1180"/>
      <c r="S8" s="1180"/>
      <c r="T8" s="1180"/>
      <c r="U8" s="1180"/>
      <c r="V8" s="1180"/>
      <c r="W8" s="1180"/>
      <c r="X8" s="1180"/>
    </row>
    <row r="9" spans="1:24">
      <c r="A9" s="1180"/>
      <c r="B9" s="1180"/>
      <c r="C9" s="1180"/>
      <c r="D9" s="1180"/>
      <c r="E9" s="1180"/>
      <c r="F9" s="1180"/>
      <c r="G9" s="1180"/>
      <c r="H9" s="1180"/>
      <c r="I9" s="1179" t="str">
        <f>_WIT10</f>
        <v>R. H. PRATT</v>
      </c>
      <c r="J9" s="1180"/>
      <c r="K9" s="1180"/>
      <c r="L9" s="1180"/>
      <c r="M9" s="1180"/>
      <c r="N9" s="1180"/>
      <c r="O9" s="1180"/>
      <c r="P9" s="1180"/>
      <c r="Q9" s="1180"/>
      <c r="R9" s="1180"/>
      <c r="S9" s="1180"/>
      <c r="T9" s="1180"/>
      <c r="U9" s="1180"/>
      <c r="V9" s="1180"/>
      <c r="W9" s="1180"/>
      <c r="X9" s="1180"/>
    </row>
    <row r="10" spans="1:24">
      <c r="A10" s="2197"/>
      <c r="B10" s="2197"/>
      <c r="C10" s="2197"/>
      <c r="D10" s="2197"/>
      <c r="E10" s="2197"/>
      <c r="F10" s="2197"/>
      <c r="G10" s="2197"/>
      <c r="H10" s="2197"/>
      <c r="I10" s="2197"/>
      <c r="J10" s="2197"/>
      <c r="K10" s="1179"/>
      <c r="L10" s="1180"/>
      <c r="M10" s="1180"/>
      <c r="N10" s="1180"/>
      <c r="O10" s="1180"/>
      <c r="P10" s="1180"/>
      <c r="Q10" s="1180"/>
      <c r="R10" s="1180"/>
      <c r="S10" s="1180"/>
      <c r="T10" s="1180"/>
      <c r="U10" s="1180"/>
      <c r="V10" s="1180"/>
      <c r="W10" s="1180"/>
      <c r="X10" s="1180"/>
    </row>
    <row r="11" spans="1:24">
      <c r="A11" s="1180"/>
      <c r="B11" s="1180"/>
      <c r="C11" s="1180"/>
      <c r="D11" s="1180"/>
      <c r="E11" s="1180"/>
      <c r="F11" s="1180"/>
      <c r="G11" s="1180"/>
      <c r="H11" s="1180"/>
      <c r="I11" s="1180"/>
      <c r="J11" s="1180"/>
      <c r="K11" s="1180"/>
      <c r="L11" s="1180"/>
      <c r="M11" s="1180"/>
      <c r="N11" s="1180"/>
      <c r="O11" s="1180"/>
      <c r="P11" s="1180"/>
      <c r="Q11" s="1180"/>
      <c r="R11" s="1180"/>
      <c r="S11" s="1180"/>
      <c r="T11" s="1180"/>
      <c r="U11" s="1180"/>
      <c r="V11" s="1180"/>
      <c r="W11" s="1180"/>
      <c r="X11" s="1180"/>
    </row>
    <row r="12" spans="1:24">
      <c r="A12" s="1179" t="s">
        <v>1246</v>
      </c>
      <c r="B12" s="1180"/>
      <c r="C12" s="1180"/>
      <c r="D12" s="1180"/>
      <c r="E12" s="1180"/>
      <c r="F12" s="1180"/>
      <c r="G12" s="1180"/>
      <c r="H12" s="1180"/>
      <c r="I12" s="1180"/>
      <c r="J12" s="2198" t="s">
        <v>364</v>
      </c>
      <c r="K12" s="1180"/>
      <c r="L12" s="1180"/>
      <c r="M12" s="1180"/>
      <c r="N12" s="1180"/>
      <c r="O12" s="1180"/>
      <c r="P12" s="1180"/>
      <c r="Q12" s="1180"/>
      <c r="R12" s="1180"/>
      <c r="S12" s="1180"/>
      <c r="T12" s="1180"/>
      <c r="U12" s="1180"/>
      <c r="V12" s="1180"/>
      <c r="W12" s="1180"/>
      <c r="X12" s="1180"/>
    </row>
    <row r="13" spans="1:24">
      <c r="A13" s="2197"/>
      <c r="B13" s="2197"/>
      <c r="C13" s="2197"/>
      <c r="D13" s="2197"/>
      <c r="E13" s="2197"/>
      <c r="F13" s="2197"/>
      <c r="G13" s="2197"/>
      <c r="H13" s="2197"/>
      <c r="I13" s="2197"/>
      <c r="J13" s="2197"/>
      <c r="K13" s="1179"/>
      <c r="L13" s="1180"/>
      <c r="M13" s="1180"/>
      <c r="N13" s="1180"/>
      <c r="O13" s="1180"/>
      <c r="P13" s="1180"/>
      <c r="Q13" s="1180"/>
      <c r="R13" s="1180"/>
      <c r="S13" s="1180"/>
      <c r="T13" s="1180"/>
      <c r="U13" s="1180"/>
      <c r="V13" s="1180"/>
      <c r="W13" s="1180"/>
      <c r="X13" s="1180"/>
    </row>
    <row r="14" spans="1:24">
      <c r="A14" s="1180"/>
      <c r="B14" s="1180"/>
      <c r="C14" s="1180"/>
      <c r="D14" s="1180"/>
      <c r="E14" s="1180"/>
      <c r="F14" s="1180"/>
      <c r="G14" s="1180"/>
      <c r="H14" s="1180"/>
      <c r="I14" s="1180"/>
      <c r="J14" s="2199"/>
      <c r="K14" s="1180"/>
      <c r="L14" s="1180"/>
      <c r="M14" s="1180"/>
      <c r="N14" s="1180"/>
      <c r="O14" s="1180"/>
      <c r="P14" s="1180"/>
      <c r="Q14" s="1180"/>
      <c r="R14" s="1180"/>
      <c r="S14" s="1180"/>
      <c r="T14" s="1180"/>
      <c r="U14" s="1180"/>
      <c r="V14" s="1180"/>
      <c r="W14" s="1180"/>
      <c r="X14" s="1180"/>
    </row>
    <row r="15" spans="1:24">
      <c r="A15" s="1581" t="s">
        <v>267</v>
      </c>
      <c r="B15" s="1180"/>
      <c r="C15" s="1180"/>
      <c r="D15" s="1180"/>
      <c r="E15" s="1180"/>
      <c r="F15" s="1180"/>
      <c r="G15" s="1180"/>
      <c r="H15" s="1180"/>
      <c r="I15" s="1180"/>
      <c r="J15" s="1180"/>
      <c r="K15" s="1180"/>
      <c r="L15" s="1180"/>
      <c r="M15" s="1180"/>
      <c r="N15" s="1180"/>
      <c r="O15" s="1180"/>
      <c r="P15" s="1180"/>
      <c r="Q15" s="1180"/>
      <c r="R15" s="1180"/>
      <c r="S15" s="1180"/>
      <c r="T15" s="1180"/>
      <c r="U15" s="1180"/>
      <c r="V15" s="1180"/>
      <c r="W15" s="1180"/>
      <c r="X15" s="1180"/>
    </row>
    <row r="16" spans="1:24">
      <c r="A16" s="1581" t="s">
        <v>1765</v>
      </c>
      <c r="B16" s="1180"/>
      <c r="C16" s="1180"/>
      <c r="D16" s="1180"/>
      <c r="E16" s="1180"/>
      <c r="F16" s="1180"/>
      <c r="G16" s="1180"/>
      <c r="H16" s="1180"/>
      <c r="I16" s="1180"/>
      <c r="J16" s="1180"/>
      <c r="K16" s="1180"/>
      <c r="L16" s="1180"/>
      <c r="M16" s="1180"/>
      <c r="N16" s="1180"/>
      <c r="O16" s="1180"/>
      <c r="P16" s="1180"/>
      <c r="Q16" s="1180"/>
      <c r="R16" s="1180"/>
      <c r="S16" s="1180"/>
      <c r="T16" s="1180"/>
      <c r="U16" s="1180"/>
      <c r="V16" s="1180"/>
      <c r="W16" s="1180"/>
      <c r="X16" s="1180"/>
    </row>
    <row r="17" spans="1:24">
      <c r="A17" s="1179"/>
      <c r="B17" s="1180"/>
      <c r="C17" s="1180"/>
      <c r="D17" s="1180"/>
      <c r="E17" s="1180"/>
      <c r="F17" s="1180"/>
      <c r="G17" s="1180"/>
      <c r="H17" s="1180"/>
      <c r="I17" s="1180"/>
      <c r="J17" s="1180"/>
      <c r="K17" s="1180"/>
      <c r="L17" s="1180"/>
      <c r="M17" s="1180"/>
      <c r="N17" s="1180"/>
      <c r="O17" s="1180"/>
      <c r="P17" s="1180"/>
      <c r="Q17" s="1180"/>
      <c r="R17" s="1180"/>
      <c r="S17" s="1180"/>
      <c r="T17" s="1180"/>
      <c r="U17" s="1180"/>
      <c r="V17" s="1180"/>
      <c r="W17" s="1180"/>
      <c r="X17" s="1180"/>
    </row>
    <row r="18" spans="1:24">
      <c r="A18" s="1179"/>
      <c r="B18" s="1180"/>
      <c r="C18" s="1180"/>
      <c r="D18" s="1180"/>
      <c r="E18" s="1180"/>
      <c r="F18" s="1180"/>
      <c r="G18" s="1180"/>
      <c r="H18" s="1180"/>
      <c r="I18" s="1180"/>
      <c r="J18" s="1180"/>
      <c r="K18" s="1180"/>
      <c r="L18" s="1180"/>
      <c r="M18" s="1180"/>
      <c r="N18" s="1180"/>
      <c r="O18" s="1180"/>
      <c r="P18" s="1180"/>
      <c r="Q18" s="1180"/>
      <c r="R18" s="1180"/>
      <c r="S18" s="1180"/>
      <c r="T18" s="1180"/>
      <c r="U18" s="1180"/>
      <c r="V18" s="1180"/>
      <c r="W18" s="1180"/>
      <c r="X18" s="1180"/>
    </row>
    <row r="19" spans="1:24">
      <c r="A19" s="1179"/>
      <c r="B19" s="1180"/>
      <c r="C19" s="1180"/>
      <c r="D19" s="1180"/>
      <c r="E19" s="1180"/>
      <c r="F19" s="1180"/>
      <c r="G19" s="1180"/>
      <c r="H19" s="1180"/>
      <c r="I19" s="1180"/>
      <c r="J19" s="1180"/>
      <c r="K19" s="1180"/>
      <c r="L19" s="1180"/>
      <c r="M19" s="1180"/>
      <c r="N19" s="1180"/>
      <c r="O19" s="1180"/>
      <c r="P19" s="1180"/>
      <c r="Q19" s="1180"/>
      <c r="R19" s="1180"/>
      <c r="S19" s="1180"/>
      <c r="T19" s="1180"/>
      <c r="U19" s="1180"/>
      <c r="V19" s="1180"/>
      <c r="W19" s="1180"/>
      <c r="X19" s="1180"/>
    </row>
    <row r="20" spans="1:24">
      <c r="A20" s="1179"/>
      <c r="B20" s="1180"/>
      <c r="C20" s="1180"/>
      <c r="D20" s="1180"/>
      <c r="E20" s="1180"/>
      <c r="F20" s="1180"/>
      <c r="G20" s="1180"/>
      <c r="H20" s="2199"/>
      <c r="I20" s="1180"/>
      <c r="J20" s="1180"/>
      <c r="K20" s="1180"/>
      <c r="L20" s="1180"/>
      <c r="M20" s="1180"/>
      <c r="N20" s="1180"/>
      <c r="O20" s="1180"/>
      <c r="P20" s="1180"/>
      <c r="Q20" s="1180"/>
      <c r="R20" s="1180"/>
      <c r="S20" s="1180"/>
      <c r="T20" s="1180"/>
      <c r="U20" s="1180"/>
      <c r="V20" s="1180"/>
      <c r="W20" s="1180"/>
      <c r="X20" s="1180"/>
    </row>
    <row r="21" spans="1:24">
      <c r="A21" s="1502"/>
      <c r="B21" s="1180"/>
      <c r="C21" s="1180"/>
      <c r="D21" s="1180"/>
      <c r="E21" s="1180"/>
      <c r="F21" s="1180"/>
      <c r="G21" s="1180"/>
      <c r="H21" s="2170"/>
      <c r="I21" s="1180"/>
      <c r="J21" s="1180"/>
      <c r="K21" s="1180"/>
      <c r="L21" s="1180"/>
      <c r="M21" s="1180"/>
      <c r="N21" s="1180"/>
      <c r="O21" s="1180"/>
      <c r="P21" s="1180"/>
      <c r="Q21" s="1180"/>
      <c r="R21" s="1180"/>
      <c r="S21" s="1180"/>
      <c r="T21" s="1180"/>
      <c r="U21" s="1180"/>
      <c r="V21" s="1180"/>
      <c r="W21" s="1180"/>
      <c r="X21" s="1180"/>
    </row>
    <row r="22" spans="1:24">
      <c r="A22" s="1179" t="s">
        <v>1357</v>
      </c>
      <c r="B22" s="1180"/>
      <c r="C22" s="1180"/>
      <c r="D22" s="1180"/>
      <c r="E22" s="1180"/>
      <c r="F22" s="1180"/>
      <c r="G22" s="1180"/>
      <c r="H22" s="2199"/>
      <c r="I22" s="1180"/>
      <c r="J22" s="1375">
        <f>T56</f>
        <v>5147</v>
      </c>
      <c r="K22" s="1180"/>
      <c r="L22" s="1180"/>
      <c r="M22" s="1180"/>
      <c r="N22" s="1180"/>
      <c r="O22" s="1180"/>
      <c r="P22" s="1180"/>
      <c r="Q22" s="1180"/>
      <c r="R22" s="1180"/>
      <c r="S22" s="1180"/>
      <c r="T22" s="1180"/>
      <c r="U22" s="1180"/>
      <c r="V22" s="1180"/>
      <c r="W22" s="1180"/>
      <c r="X22" s="1180"/>
    </row>
    <row r="23" spans="1:24">
      <c r="A23" s="1179"/>
      <c r="B23" s="1180"/>
      <c r="C23" s="1180"/>
      <c r="D23" s="1180"/>
      <c r="E23" s="1180"/>
      <c r="F23" s="1180"/>
      <c r="G23" s="1180"/>
      <c r="H23" s="2199"/>
      <c r="I23" s="1180"/>
      <c r="J23" s="2362"/>
      <c r="K23" s="1180"/>
      <c r="L23" s="1180"/>
      <c r="M23" s="1180"/>
      <c r="N23" s="1180"/>
      <c r="O23" s="1180"/>
      <c r="P23" s="1180"/>
      <c r="Q23" s="1180"/>
      <c r="R23" s="1180"/>
      <c r="S23" s="1180"/>
      <c r="T23" s="1180"/>
      <c r="U23" s="1180"/>
      <c r="V23" s="1180"/>
      <c r="W23" s="1180"/>
      <c r="X23" s="1180"/>
    </row>
    <row r="24" spans="1:24">
      <c r="A24" s="1180" t="s">
        <v>1361</v>
      </c>
      <c r="B24" s="1180"/>
      <c r="C24" s="1180"/>
      <c r="D24" s="1180"/>
      <c r="E24" s="1180"/>
      <c r="F24" s="1180"/>
      <c r="G24" s="1180"/>
      <c r="H24" s="2199"/>
      <c r="I24" s="1180"/>
      <c r="J24" s="2369">
        <f>T58</f>
        <v>2100462</v>
      </c>
      <c r="K24" s="1180"/>
      <c r="L24" s="1180"/>
      <c r="M24" s="1180"/>
      <c r="N24" s="1180"/>
      <c r="O24" s="1180"/>
      <c r="P24" s="1180"/>
      <c r="Q24" s="1180"/>
      <c r="R24" s="1180"/>
      <c r="S24" s="1180"/>
      <c r="T24" s="1180"/>
      <c r="U24" s="1180"/>
      <c r="V24" s="1180"/>
      <c r="W24" s="1180"/>
      <c r="X24" s="1180"/>
    </row>
    <row r="25" spans="1:24">
      <c r="A25" s="1180"/>
      <c r="B25" s="1180"/>
      <c r="C25" s="1180"/>
      <c r="D25" s="1180"/>
      <c r="E25" s="1180"/>
      <c r="F25" s="1180"/>
      <c r="G25" s="1180"/>
      <c r="H25" s="1180"/>
      <c r="I25" s="1180"/>
      <c r="J25" s="1180"/>
      <c r="K25" s="1180"/>
      <c r="L25" s="1180"/>
      <c r="M25" s="1180"/>
      <c r="N25" s="1180"/>
      <c r="O25" s="1180"/>
      <c r="P25" s="1180"/>
      <c r="Q25" s="1180"/>
      <c r="R25" s="1180"/>
      <c r="S25" s="1180"/>
      <c r="T25" s="1180"/>
      <c r="U25" s="1180"/>
      <c r="V25" s="1180"/>
      <c r="W25" s="1180"/>
      <c r="X25" s="1180"/>
    </row>
    <row r="26" spans="1:24">
      <c r="A26" s="1179" t="s">
        <v>268</v>
      </c>
      <c r="B26" s="1180"/>
      <c r="C26" s="1180"/>
      <c r="D26" s="1180"/>
      <c r="E26" s="1180"/>
      <c r="F26" s="1180"/>
      <c r="G26" s="1180"/>
      <c r="H26" s="1180"/>
      <c r="I26" s="1426"/>
      <c r="J26" s="1375">
        <f>SUM(J22:J24)</f>
        <v>2105609</v>
      </c>
      <c r="K26" s="1180"/>
      <c r="L26" s="1180"/>
      <c r="M26" s="1180"/>
      <c r="N26" s="1180"/>
      <c r="O26" s="1180"/>
      <c r="P26" s="1180"/>
      <c r="Q26" s="1180"/>
      <c r="R26" s="1180"/>
      <c r="S26" s="1180"/>
      <c r="T26" s="1180"/>
      <c r="U26" s="1180"/>
      <c r="V26" s="1180"/>
      <c r="W26" s="1180"/>
      <c r="X26" s="1180"/>
    </row>
    <row r="27" spans="1:24">
      <c r="A27" s="1180"/>
      <c r="B27" s="1180"/>
      <c r="C27" s="1180"/>
      <c r="D27" s="1180"/>
      <c r="E27" s="1180"/>
      <c r="F27" s="1180"/>
      <c r="G27" s="1180"/>
      <c r="H27" s="1180"/>
      <c r="I27" s="1180"/>
      <c r="J27" s="1426"/>
      <c r="K27" s="1180"/>
      <c r="L27" s="1180"/>
      <c r="M27" s="1180"/>
      <c r="N27" s="1180"/>
      <c r="O27" s="1180"/>
      <c r="P27" s="1180"/>
      <c r="Q27" s="1180"/>
      <c r="R27" s="1180"/>
      <c r="S27" s="1180"/>
      <c r="T27" s="1180"/>
      <c r="U27" s="1180"/>
      <c r="V27" s="1180"/>
      <c r="W27" s="1180"/>
      <c r="X27" s="1180"/>
    </row>
    <row r="28" spans="1:24">
      <c r="A28" s="1180"/>
      <c r="B28" s="1180"/>
      <c r="C28" s="1180"/>
      <c r="D28" s="1180"/>
      <c r="E28" s="1180"/>
      <c r="F28" s="1180"/>
      <c r="G28" s="1180"/>
      <c r="H28" s="1180"/>
      <c r="I28" s="1180"/>
      <c r="J28" s="1180"/>
      <c r="K28" s="1180"/>
      <c r="L28" s="1180"/>
      <c r="M28" s="1180"/>
      <c r="N28" s="1180"/>
      <c r="O28" s="1180"/>
      <c r="P28" s="1180"/>
      <c r="Q28" s="1180"/>
      <c r="R28" s="1180"/>
      <c r="S28" s="1180"/>
      <c r="T28" s="1180"/>
      <c r="U28" s="1180"/>
      <c r="V28" s="1180"/>
      <c r="W28" s="1180"/>
      <c r="X28" s="1180"/>
    </row>
    <row r="29" spans="1:24">
      <c r="A29" s="1179" t="s">
        <v>266</v>
      </c>
      <c r="B29" s="1180"/>
      <c r="C29" s="1180"/>
      <c r="D29" s="1180"/>
      <c r="E29" s="1180"/>
      <c r="F29" s="1180"/>
      <c r="G29" s="1180"/>
      <c r="H29" s="1180"/>
      <c r="I29" s="1180"/>
      <c r="J29" s="1425">
        <f>VLOOKUP(D36,ALLOCTABLE,2)/100</f>
        <v>1</v>
      </c>
      <c r="K29" s="1180"/>
      <c r="L29" s="1180"/>
      <c r="M29" s="1180"/>
      <c r="N29" s="1180"/>
      <c r="O29" s="1180"/>
      <c r="P29" s="1180"/>
      <c r="Q29" s="1180"/>
      <c r="R29" s="1180"/>
      <c r="S29" s="1180"/>
      <c r="T29" s="1180"/>
      <c r="U29" s="1180"/>
      <c r="V29" s="1180"/>
      <c r="W29" s="1180"/>
      <c r="X29" s="1180"/>
    </row>
    <row r="30" spans="1:24">
      <c r="A30" s="1180"/>
      <c r="B30" s="1180"/>
      <c r="C30" s="1180"/>
      <c r="D30" s="1180"/>
      <c r="E30" s="1180"/>
      <c r="F30" s="1180"/>
      <c r="G30" s="1180"/>
      <c r="H30" s="1180"/>
      <c r="I30" s="1180"/>
      <c r="J30" s="1426"/>
      <c r="K30" s="1180"/>
      <c r="L30" s="1180"/>
      <c r="M30" s="1180"/>
      <c r="N30" s="1180"/>
      <c r="O30" s="1180"/>
      <c r="P30" s="1180"/>
      <c r="Q30" s="1180"/>
      <c r="R30" s="1180"/>
      <c r="S30" s="1180"/>
      <c r="T30" s="1180"/>
      <c r="U30" s="1180"/>
      <c r="V30" s="1180"/>
      <c r="W30" s="1180"/>
      <c r="X30" s="1180"/>
    </row>
    <row r="31" spans="1:24">
      <c r="A31" s="1180"/>
      <c r="B31" s="1180"/>
      <c r="C31" s="1180"/>
      <c r="D31" s="1180"/>
      <c r="E31" s="1180"/>
      <c r="F31" s="1180"/>
      <c r="G31" s="1180"/>
      <c r="H31" s="1180"/>
      <c r="I31" s="1180"/>
      <c r="J31" s="1180"/>
      <c r="K31" s="1180"/>
      <c r="L31" s="1180"/>
      <c r="M31" s="1180"/>
      <c r="N31" s="1180"/>
      <c r="O31" s="1180"/>
      <c r="P31" s="1180"/>
      <c r="Q31" s="1180"/>
      <c r="R31" s="1180"/>
      <c r="S31" s="1180"/>
      <c r="T31" s="1180"/>
      <c r="U31" s="1180"/>
      <c r="V31" s="1180"/>
      <c r="W31" s="1180"/>
      <c r="X31" s="1180"/>
    </row>
    <row r="32" spans="1:24" ht="15">
      <c r="A32" s="1179" t="s">
        <v>1236</v>
      </c>
      <c r="B32" s="1180"/>
      <c r="C32" s="1180"/>
      <c r="D32" s="1180"/>
      <c r="E32" s="1180"/>
      <c r="F32" s="1179" t="s">
        <v>1213</v>
      </c>
      <c r="G32" s="1180"/>
      <c r="H32" s="1180"/>
      <c r="I32" s="1426"/>
      <c r="J32" s="1427">
        <f>ROUND(J26*J29,0)</f>
        <v>2105609</v>
      </c>
      <c r="K32" s="1180"/>
      <c r="L32" s="1180"/>
      <c r="M32" s="1180"/>
      <c r="N32" s="1180"/>
      <c r="O32" s="1180"/>
      <c r="P32" s="1180"/>
      <c r="Q32" s="1180"/>
      <c r="R32" s="1180"/>
      <c r="S32" s="1180"/>
      <c r="T32" s="1180"/>
      <c r="U32" s="1180"/>
      <c r="V32" s="1180"/>
      <c r="W32" s="1180"/>
      <c r="X32" s="1180"/>
    </row>
    <row r="33" spans="1:24">
      <c r="A33" s="1180"/>
      <c r="B33" s="1180"/>
      <c r="C33" s="1180"/>
      <c r="D33" s="1180"/>
      <c r="E33" s="1180"/>
      <c r="F33" s="1180"/>
      <c r="G33" s="1180"/>
      <c r="H33" s="1180"/>
      <c r="I33" s="1180"/>
      <c r="J33" s="1426"/>
      <c r="K33" s="1180"/>
      <c r="L33" s="1180"/>
      <c r="M33" s="1180"/>
      <c r="N33" s="1180"/>
      <c r="O33" s="1180"/>
      <c r="P33" s="1180"/>
      <c r="Q33" s="1180"/>
      <c r="R33" s="1180"/>
      <c r="S33" s="1180"/>
      <c r="T33" s="1180"/>
      <c r="U33" s="1180"/>
      <c r="V33" s="1180"/>
      <c r="W33" s="1180"/>
      <c r="X33" s="1180"/>
    </row>
    <row r="34" spans="1:24">
      <c r="A34" s="1180"/>
      <c r="B34" s="1180"/>
      <c r="C34" s="1180"/>
      <c r="D34" s="1180"/>
      <c r="E34" s="1180"/>
      <c r="F34" s="1180"/>
      <c r="G34" s="1180"/>
      <c r="H34" s="1180"/>
      <c r="I34" s="1180"/>
      <c r="J34" s="1180"/>
      <c r="K34" s="1180"/>
      <c r="L34" s="1180"/>
      <c r="M34" s="1180"/>
      <c r="N34" s="1180"/>
      <c r="O34" s="1180"/>
      <c r="P34" s="1180"/>
      <c r="Q34" s="1180"/>
      <c r="R34" s="1180"/>
      <c r="S34" s="1180"/>
      <c r="T34" s="1180"/>
      <c r="U34" s="1180"/>
      <c r="V34" s="1180"/>
      <c r="W34" s="1180"/>
      <c r="X34" s="1180"/>
    </row>
    <row r="35" spans="1:24">
      <c r="A35" s="1180"/>
      <c r="B35" s="1180"/>
      <c r="C35" s="1180"/>
      <c r="D35" s="1180"/>
      <c r="E35" s="1180"/>
      <c r="F35" s="1180"/>
      <c r="G35" s="1180"/>
      <c r="H35" s="1180"/>
      <c r="I35" s="1180"/>
      <c r="J35" s="1180"/>
      <c r="K35" s="1180"/>
      <c r="L35" s="1180"/>
      <c r="M35" s="1180"/>
      <c r="N35" s="1180"/>
      <c r="O35" s="1180"/>
      <c r="P35" s="1180"/>
      <c r="Q35" s="1180"/>
      <c r="R35" s="1180"/>
      <c r="S35" s="1180"/>
      <c r="T35" s="1180"/>
      <c r="U35" s="1180"/>
      <c r="V35" s="1180"/>
      <c r="W35" s="1180"/>
      <c r="X35" s="1180"/>
    </row>
    <row r="36" spans="1:24">
      <c r="A36" s="1179" t="s">
        <v>1237</v>
      </c>
      <c r="B36" s="1180"/>
      <c r="C36" s="1180"/>
      <c r="D36" s="2149" t="s">
        <v>593</v>
      </c>
      <c r="E36" s="1180"/>
      <c r="F36" s="1180"/>
      <c r="G36" s="1180"/>
      <c r="H36" s="1180"/>
      <c r="I36" s="1180"/>
      <c r="J36" s="1180"/>
      <c r="K36" s="1180"/>
      <c r="L36" s="1180"/>
      <c r="M36" s="1180"/>
      <c r="N36" s="1180"/>
      <c r="O36" s="1180"/>
      <c r="P36" s="1180"/>
      <c r="Q36" s="1180"/>
      <c r="R36" s="1180"/>
      <c r="S36" s="1180"/>
      <c r="T36" s="1180"/>
      <c r="U36" s="1180"/>
      <c r="V36" s="1180"/>
      <c r="W36" s="1180"/>
      <c r="X36" s="1180"/>
    </row>
    <row r="37" spans="1:24">
      <c r="A37" s="1179"/>
      <c r="B37" s="1180"/>
      <c r="C37" s="1180"/>
      <c r="D37" s="1180"/>
      <c r="E37" s="1180"/>
      <c r="F37" s="1180"/>
      <c r="G37" s="1180"/>
      <c r="H37" s="1180"/>
      <c r="I37" s="1180"/>
      <c r="J37" s="1180"/>
      <c r="K37" s="1180"/>
      <c r="L37" s="1180"/>
      <c r="M37" s="1180"/>
      <c r="N37" s="1180"/>
      <c r="O37" s="1180"/>
      <c r="P37" s="1180"/>
      <c r="Q37" s="1180"/>
      <c r="R37" s="1180"/>
      <c r="S37" s="1180"/>
      <c r="T37" s="1180"/>
      <c r="U37" s="1180"/>
      <c r="V37" s="1180"/>
      <c r="W37" s="1180"/>
      <c r="X37" s="1180"/>
    </row>
    <row r="38" spans="1:24">
      <c r="A38" s="1180"/>
      <c r="B38" s="1180"/>
      <c r="C38" s="1180"/>
      <c r="D38" s="1180"/>
      <c r="E38" s="1180"/>
      <c r="F38" s="1180"/>
      <c r="G38" s="1180"/>
      <c r="H38" s="1180"/>
      <c r="I38" s="1180"/>
      <c r="J38" s="1180"/>
      <c r="K38" s="1180"/>
      <c r="L38" s="1180"/>
      <c r="M38" s="1180"/>
      <c r="N38" s="1180"/>
      <c r="O38" s="1180"/>
      <c r="P38" s="1180"/>
      <c r="Q38" s="1180"/>
      <c r="R38" s="1180"/>
      <c r="S38" s="1180"/>
      <c r="T38" s="1180"/>
      <c r="U38" s="1180"/>
      <c r="V38" s="1180"/>
      <c r="W38" s="1180"/>
      <c r="X38" s="1180"/>
    </row>
    <row r="39" spans="1:24">
      <c r="A39" s="1180"/>
      <c r="B39" s="1180"/>
      <c r="C39" s="1180"/>
      <c r="D39" s="1180"/>
      <c r="E39" s="1180"/>
      <c r="F39" s="1180"/>
      <c r="G39" s="1180"/>
      <c r="H39" s="1180"/>
      <c r="I39" s="1180"/>
      <c r="J39" s="1180"/>
      <c r="K39" s="1180"/>
      <c r="L39" s="1180"/>
      <c r="M39" s="1180"/>
      <c r="N39" s="1180"/>
      <c r="O39" s="1180"/>
      <c r="P39" s="1180"/>
      <c r="Q39" s="1180"/>
      <c r="R39" s="1180"/>
      <c r="S39" s="1180"/>
      <c r="T39" s="1180"/>
      <c r="U39" s="1180"/>
      <c r="V39" s="1180"/>
      <c r="W39" s="1180"/>
      <c r="X39" s="1180"/>
    </row>
    <row r="40" spans="1:24">
      <c r="A40" s="1180"/>
      <c r="B40" s="1180"/>
      <c r="C40" s="1180"/>
      <c r="D40" s="1180"/>
      <c r="E40" s="1180"/>
      <c r="F40" s="1180"/>
      <c r="G40" s="1180"/>
      <c r="H40" s="1180"/>
      <c r="I40" s="1180"/>
      <c r="J40" s="1180"/>
      <c r="K40" s="1180"/>
      <c r="L40" s="1180"/>
      <c r="M40" s="1180"/>
      <c r="N40" s="1180"/>
      <c r="O40" s="1180"/>
      <c r="P40" s="1180"/>
      <c r="Q40" s="1180"/>
      <c r="R40" s="1180"/>
      <c r="S40" s="1180"/>
      <c r="T40" s="1180"/>
      <c r="U40" s="1180"/>
      <c r="V40" s="1180"/>
      <c r="W40" s="1180"/>
      <c r="X40" s="1180"/>
    </row>
    <row r="41" spans="1:24">
      <c r="A41" s="1180"/>
      <c r="B41" s="1180"/>
      <c r="C41" s="1180"/>
      <c r="D41" s="1180"/>
      <c r="E41" s="1180"/>
      <c r="F41" s="1180"/>
      <c r="G41" s="1180"/>
      <c r="H41" s="1180"/>
      <c r="I41" s="1180"/>
      <c r="J41" s="1180"/>
      <c r="K41" s="1180"/>
      <c r="L41" s="1180"/>
      <c r="M41" s="1180"/>
      <c r="N41" s="1180"/>
      <c r="O41" s="1180"/>
      <c r="P41" s="1180"/>
      <c r="Q41" s="1180"/>
      <c r="R41" s="1180"/>
      <c r="S41" s="1180"/>
      <c r="T41" s="1180"/>
      <c r="U41" s="1180"/>
      <c r="V41" s="1180"/>
      <c r="W41" s="1180"/>
      <c r="X41" s="1180"/>
    </row>
    <row r="42" spans="1:24">
      <c r="A42" s="1180"/>
      <c r="B42" s="1180"/>
      <c r="C42" s="1180"/>
      <c r="D42" s="1180"/>
      <c r="E42" s="1180"/>
      <c r="F42" s="1180"/>
      <c r="G42" s="1180"/>
      <c r="H42" s="1180"/>
      <c r="I42" s="1180"/>
      <c r="J42" s="1180"/>
      <c r="K42" s="1180"/>
      <c r="L42" s="1180"/>
      <c r="M42" s="1180"/>
      <c r="N42" s="1180"/>
      <c r="O42" s="1180"/>
      <c r="P42" s="1180"/>
      <c r="Q42" s="1180"/>
      <c r="R42" s="1180"/>
      <c r="S42" s="1180"/>
      <c r="T42" s="1180"/>
      <c r="U42" s="1180"/>
      <c r="V42" s="1180"/>
      <c r="W42" s="1180"/>
      <c r="X42" s="1180"/>
    </row>
    <row r="43" spans="1:24">
      <c r="A43" s="1180"/>
      <c r="B43" s="1180"/>
      <c r="C43" s="1180"/>
      <c r="D43" s="1180"/>
      <c r="E43" s="1180"/>
      <c r="F43" s="1180"/>
      <c r="G43" s="1180"/>
      <c r="H43" s="1180"/>
      <c r="I43" s="1180"/>
      <c r="J43" s="1180"/>
      <c r="K43" s="1180"/>
      <c r="L43" s="1180"/>
      <c r="M43" s="1180"/>
      <c r="N43" s="1180"/>
      <c r="O43" s="1180"/>
      <c r="P43" s="1180"/>
      <c r="Q43" s="1180"/>
      <c r="R43" s="1180"/>
      <c r="S43" s="1180"/>
      <c r="T43" s="1180"/>
      <c r="U43" s="1180"/>
      <c r="V43" s="1180"/>
      <c r="W43" s="1180"/>
      <c r="X43" s="1180"/>
    </row>
    <row r="44" spans="1:24">
      <c r="A44" s="1180"/>
      <c r="B44" s="1180"/>
      <c r="C44" s="1180"/>
      <c r="D44" s="1180"/>
      <c r="E44" s="1180"/>
      <c r="F44" s="1180"/>
      <c r="G44" s="1180"/>
      <c r="H44" s="1180"/>
      <c r="I44" s="1180"/>
      <c r="J44" s="1180"/>
      <c r="K44" s="1180"/>
      <c r="L44" s="1180"/>
      <c r="M44" s="1180"/>
      <c r="N44" s="1180"/>
      <c r="O44" s="1180"/>
      <c r="P44" s="1180"/>
      <c r="Q44" s="1180"/>
      <c r="R44" s="1180"/>
      <c r="S44" s="1180"/>
      <c r="T44" s="1180"/>
      <c r="U44" s="1180"/>
      <c r="V44" s="1180"/>
      <c r="W44" s="1180"/>
      <c r="X44" s="1180"/>
    </row>
    <row r="45" spans="1:24">
      <c r="A45" s="1180"/>
      <c r="B45" s="1180"/>
      <c r="C45" s="1180"/>
      <c r="D45" s="1180"/>
      <c r="E45" s="1180"/>
      <c r="F45" s="1180"/>
      <c r="G45" s="1180"/>
      <c r="H45" s="1180"/>
      <c r="I45" s="1180"/>
      <c r="J45" s="1180"/>
      <c r="K45" s="1180"/>
      <c r="L45" s="1180"/>
      <c r="M45" s="1180"/>
      <c r="N45" s="1180"/>
      <c r="O45" s="1180"/>
      <c r="P45" s="1180"/>
      <c r="Q45" s="1180"/>
      <c r="R45" s="1180"/>
      <c r="S45" s="1180"/>
      <c r="T45" s="1180"/>
      <c r="U45" s="1180"/>
      <c r="V45" s="1180"/>
      <c r="W45" s="1180"/>
      <c r="X45" s="1180"/>
    </row>
    <row r="46" spans="1:24">
      <c r="A46" s="1180"/>
      <c r="B46" s="1180"/>
      <c r="C46" s="1180"/>
      <c r="D46" s="1180"/>
      <c r="E46" s="1180"/>
      <c r="F46" s="1180"/>
      <c r="G46" s="1180"/>
      <c r="H46" s="1180"/>
      <c r="I46" s="1180"/>
      <c r="J46" s="1180"/>
      <c r="K46" s="1180"/>
      <c r="L46" s="1629" t="str">
        <f>COMPANY</f>
        <v>DUKE ENERGY KENTUCKY, INC.</v>
      </c>
      <c r="M46" s="530"/>
      <c r="N46" s="530"/>
      <c r="O46" s="530"/>
      <c r="P46" s="530"/>
      <c r="Q46" s="530"/>
      <c r="R46" s="1629" t="s">
        <v>1356</v>
      </c>
      <c r="S46" s="530"/>
      <c r="T46" s="1178"/>
      <c r="U46" s="1180"/>
      <c r="V46" s="1180"/>
      <c r="W46" s="1180"/>
      <c r="X46" s="1180"/>
    </row>
    <row r="47" spans="1:24">
      <c r="A47" s="1180"/>
      <c r="B47" s="1180"/>
      <c r="C47" s="1180"/>
      <c r="D47" s="1180"/>
      <c r="E47" s="1180"/>
      <c r="F47" s="1180"/>
      <c r="G47" s="1180"/>
      <c r="H47" s="1180"/>
      <c r="I47" s="1180"/>
      <c r="J47" s="1180"/>
      <c r="K47" s="1180"/>
      <c r="L47" s="1629" t="str">
        <f>DEPT</f>
        <v>ELECTRIC DEPARTMENT</v>
      </c>
      <c r="M47" s="530"/>
      <c r="N47" s="530"/>
      <c r="O47" s="530"/>
      <c r="P47" s="530"/>
      <c r="Q47" s="530"/>
      <c r="R47" s="1629" t="s">
        <v>1239</v>
      </c>
      <c r="S47" s="530"/>
      <c r="T47" s="1178"/>
      <c r="U47" s="1180"/>
      <c r="V47" s="1180"/>
      <c r="W47" s="1180"/>
      <c r="X47" s="1180"/>
    </row>
    <row r="48" spans="1:24">
      <c r="A48" s="1180"/>
      <c r="B48" s="1180"/>
      <c r="C48" s="1180"/>
      <c r="D48" s="1180"/>
      <c r="E48" s="1180"/>
      <c r="F48" s="1180"/>
      <c r="G48" s="1180"/>
      <c r="H48" s="1180"/>
      <c r="I48" s="1180"/>
      <c r="J48" s="1180"/>
      <c r="K48" s="1180"/>
      <c r="L48" s="1629" t="str">
        <f>CASE</f>
        <v>CASE NO. 2017-00321</v>
      </c>
      <c r="M48" s="530"/>
      <c r="N48" s="530"/>
      <c r="O48" s="530"/>
      <c r="P48" s="530"/>
      <c r="Q48" s="530"/>
      <c r="R48" s="530" t="str">
        <f>_WIT10</f>
        <v>R. H. PRATT</v>
      </c>
      <c r="S48" s="530"/>
      <c r="T48" s="1178"/>
      <c r="U48" s="1180"/>
      <c r="V48" s="1180"/>
      <c r="W48" s="1180"/>
      <c r="X48" s="1180"/>
    </row>
    <row r="49" spans="1:24">
      <c r="A49" s="1180"/>
      <c r="B49" s="1180"/>
      <c r="C49" s="1180"/>
      <c r="D49" s="1180"/>
      <c r="E49" s="1180"/>
      <c r="F49" s="1180"/>
      <c r="G49" s="1180"/>
      <c r="H49" s="1180"/>
      <c r="I49" s="1180"/>
      <c r="J49" s="1180"/>
      <c r="K49" s="1180"/>
      <c r="L49" s="1629" t="s">
        <v>270</v>
      </c>
      <c r="M49" s="530"/>
      <c r="N49" s="530"/>
      <c r="O49" s="530"/>
      <c r="P49" s="530"/>
      <c r="Q49" s="530"/>
      <c r="R49" s="2107"/>
      <c r="S49" s="530"/>
      <c r="T49" s="1178"/>
      <c r="U49" s="1180"/>
      <c r="V49" s="1180"/>
      <c r="W49" s="1180"/>
      <c r="X49" s="1180"/>
    </row>
    <row r="50" spans="1:24">
      <c r="A50" s="1180"/>
      <c r="B50" s="1180"/>
      <c r="C50" s="1180"/>
      <c r="D50" s="1180"/>
      <c r="E50" s="1180"/>
      <c r="F50" s="1180"/>
      <c r="G50" s="1180"/>
      <c r="H50" s="1180"/>
      <c r="I50" s="1180"/>
      <c r="J50" s="1180"/>
      <c r="K50" s="1180"/>
      <c r="L50" s="1629"/>
      <c r="M50" s="530"/>
      <c r="N50" s="530"/>
      <c r="O50" s="530"/>
      <c r="P50" s="530"/>
      <c r="Q50" s="530"/>
      <c r="R50" s="530"/>
      <c r="S50" s="530"/>
      <c r="T50" s="1178"/>
      <c r="U50" s="1180"/>
      <c r="V50" s="1180"/>
      <c r="W50" s="1180"/>
      <c r="X50" s="1180"/>
    </row>
    <row r="51" spans="1:24">
      <c r="A51" s="1180"/>
      <c r="B51" s="1180"/>
      <c r="C51" s="1180"/>
      <c r="D51" s="1180"/>
      <c r="E51" s="1180"/>
      <c r="F51" s="1180"/>
      <c r="G51" s="1180"/>
      <c r="H51" s="1180"/>
      <c r="I51" s="1180"/>
      <c r="J51" s="1180"/>
      <c r="K51" s="1180"/>
      <c r="L51" s="1178"/>
      <c r="M51" s="1178"/>
      <c r="N51" s="1178"/>
      <c r="O51" s="1178"/>
      <c r="P51" s="1178"/>
      <c r="Q51" s="1178"/>
      <c r="R51" s="1178"/>
      <c r="S51" s="1178"/>
      <c r="T51" s="1178"/>
      <c r="U51" s="1180"/>
      <c r="V51" s="1180"/>
      <c r="W51" s="1180"/>
      <c r="X51" s="1180"/>
    </row>
    <row r="52" spans="1:24">
      <c r="A52" s="1180"/>
      <c r="B52" s="1180"/>
      <c r="C52" s="1180"/>
      <c r="D52" s="1180"/>
      <c r="E52" s="1180"/>
      <c r="F52" s="1180"/>
      <c r="G52" s="1180"/>
      <c r="H52" s="1180"/>
      <c r="I52" s="1180"/>
      <c r="J52" s="1180"/>
      <c r="K52" s="1180"/>
      <c r="L52" s="1178"/>
      <c r="M52" s="1178"/>
      <c r="N52" s="1178"/>
      <c r="O52" s="1178"/>
      <c r="P52" s="1178"/>
      <c r="Q52" s="1178"/>
      <c r="R52" s="1178"/>
      <c r="S52" s="1178"/>
      <c r="T52" s="1178"/>
      <c r="U52" s="1180"/>
      <c r="V52" s="1180"/>
      <c r="W52" s="1180"/>
      <c r="X52" s="1180"/>
    </row>
    <row r="53" spans="1:24">
      <c r="A53" s="1180"/>
      <c r="B53" s="1180"/>
      <c r="C53" s="1180"/>
      <c r="D53" s="1180"/>
      <c r="E53" s="1180"/>
      <c r="F53" s="1180"/>
      <c r="G53" s="1180"/>
      <c r="H53" s="1180"/>
      <c r="I53" s="1180"/>
      <c r="J53" s="1180"/>
      <c r="K53" s="1180"/>
      <c r="L53" s="1423" t="s">
        <v>1240</v>
      </c>
      <c r="M53" s="1423"/>
      <c r="N53" s="1423"/>
      <c r="O53" s="1423"/>
      <c r="P53" s="1423" t="s">
        <v>1117</v>
      </c>
      <c r="Q53" s="1423"/>
      <c r="R53" s="1423" t="s">
        <v>626</v>
      </c>
      <c r="S53" s="1423"/>
      <c r="T53" s="1423"/>
      <c r="U53" s="1180"/>
      <c r="V53" s="1180"/>
      <c r="W53" s="1180"/>
      <c r="X53" s="1180"/>
    </row>
    <row r="54" spans="1:24">
      <c r="A54" s="1180"/>
      <c r="B54" s="1180"/>
      <c r="C54" s="1180"/>
      <c r="D54" s="1180"/>
      <c r="E54" s="1180"/>
      <c r="F54" s="1180"/>
      <c r="G54" s="1180"/>
      <c r="H54" s="1180"/>
      <c r="I54" s="1180"/>
      <c r="J54" s="1180"/>
      <c r="K54" s="1180"/>
      <c r="L54" s="1424" t="s">
        <v>1241</v>
      </c>
      <c r="M54" s="1424"/>
      <c r="N54" s="1424" t="s">
        <v>1119</v>
      </c>
      <c r="O54" s="1424"/>
      <c r="P54" s="1424" t="s">
        <v>1120</v>
      </c>
      <c r="Q54" s="1424"/>
      <c r="R54" s="1424" t="s">
        <v>1120</v>
      </c>
      <c r="S54" s="1424"/>
      <c r="T54" s="1424" t="s">
        <v>1242</v>
      </c>
      <c r="U54" s="1180"/>
      <c r="V54" s="1180"/>
      <c r="W54" s="1180"/>
      <c r="X54" s="1180"/>
    </row>
    <row r="55" spans="1:24">
      <c r="A55" s="1180"/>
      <c r="B55" s="1180"/>
      <c r="C55" s="1180"/>
      <c r="D55" s="1180"/>
      <c r="E55" s="1180"/>
      <c r="F55" s="1180"/>
      <c r="G55" s="1180"/>
      <c r="H55" s="1180"/>
      <c r="I55" s="1180"/>
      <c r="J55" s="1180"/>
      <c r="K55" s="1180"/>
      <c r="L55" s="1178"/>
      <c r="M55" s="1178"/>
      <c r="N55" s="1178"/>
      <c r="O55" s="1178"/>
      <c r="P55" s="1178"/>
      <c r="Q55" s="1178"/>
      <c r="R55" s="1178"/>
      <c r="S55" s="1178"/>
      <c r="T55" s="1178"/>
      <c r="U55" s="1180"/>
      <c r="V55" s="1180"/>
      <c r="W55" s="1180"/>
      <c r="X55" s="1180"/>
    </row>
    <row r="56" spans="1:24">
      <c r="A56" s="1180"/>
      <c r="B56" s="1180"/>
      <c r="C56" s="1180"/>
      <c r="D56" s="1180"/>
      <c r="E56" s="1180"/>
      <c r="F56" s="1180"/>
      <c r="G56" s="1180"/>
      <c r="H56" s="1180"/>
      <c r="I56" s="1180"/>
      <c r="J56" s="1180"/>
      <c r="K56" s="1180"/>
      <c r="L56" s="1423">
        <v>1</v>
      </c>
      <c r="M56" s="1178"/>
      <c r="N56" s="1179" t="s">
        <v>1357</v>
      </c>
      <c r="O56" s="1178"/>
      <c r="P56" s="2260">
        <f>SCH_C2!E42</f>
        <v>-5147</v>
      </c>
      <c r="Q56" s="1178"/>
      <c r="R56" s="2260">
        <f>SCH_C2!H42</f>
        <v>0</v>
      </c>
      <c r="S56" s="1178"/>
      <c r="T56" s="2260">
        <f>R56-P56</f>
        <v>5147</v>
      </c>
      <c r="U56" s="1180"/>
      <c r="V56" s="1180"/>
      <c r="W56" s="1180"/>
      <c r="X56" s="1180"/>
    </row>
    <row r="57" spans="1:24">
      <c r="A57" s="1180"/>
      <c r="B57" s="1180"/>
      <c r="C57" s="1180"/>
      <c r="D57" s="1180"/>
      <c r="E57" s="1180"/>
      <c r="F57" s="1180"/>
      <c r="G57" s="1180"/>
      <c r="H57" s="1180"/>
      <c r="I57" s="1180"/>
      <c r="J57" s="1180"/>
      <c r="K57" s="1180"/>
      <c r="L57" s="1423">
        <v>2</v>
      </c>
      <c r="M57" s="1178"/>
      <c r="N57" s="1179"/>
      <c r="O57" s="1178"/>
      <c r="P57" s="1178"/>
      <c r="Q57" s="1178"/>
      <c r="R57" s="1178"/>
      <c r="S57" s="1178"/>
      <c r="T57" s="1178"/>
      <c r="U57" s="1180"/>
      <c r="V57" s="1180"/>
      <c r="W57" s="1180"/>
      <c r="X57" s="1180"/>
    </row>
    <row r="58" spans="1:24">
      <c r="A58" s="1180"/>
      <c r="B58" s="1180"/>
      <c r="C58" s="1180"/>
      <c r="D58" s="1180"/>
      <c r="E58" s="1180"/>
      <c r="F58" s="1180"/>
      <c r="G58" s="1180"/>
      <c r="H58" s="1180"/>
      <c r="I58" s="1180"/>
      <c r="J58" s="1180"/>
      <c r="K58" s="1180"/>
      <c r="L58" s="1423">
        <v>3</v>
      </c>
      <c r="M58" s="1178"/>
      <c r="N58" s="1180" t="s">
        <v>1361</v>
      </c>
      <c r="O58" s="1178"/>
      <c r="P58" s="2269">
        <f>SCH_C2!E43</f>
        <v>10680604</v>
      </c>
      <c r="Q58" s="1178"/>
      <c r="R58" s="2269">
        <f>SCH_C2!H43</f>
        <v>12781066</v>
      </c>
      <c r="S58" s="1178"/>
      <c r="T58" s="2269">
        <f>R58-P58</f>
        <v>2100462</v>
      </c>
      <c r="U58" s="1180"/>
      <c r="V58" s="1180"/>
      <c r="W58" s="1180"/>
      <c r="X58" s="1180"/>
    </row>
    <row r="59" spans="1:24">
      <c r="A59" s="1180"/>
      <c r="B59" s="1180"/>
      <c r="C59" s="1180"/>
      <c r="D59" s="1180"/>
      <c r="E59" s="1180"/>
      <c r="F59" s="1180"/>
      <c r="G59" s="1180"/>
      <c r="H59" s="1180"/>
      <c r="I59" s="1180"/>
      <c r="J59" s="1180"/>
      <c r="K59" s="1180"/>
      <c r="L59" s="1423">
        <v>4</v>
      </c>
      <c r="M59" s="1178"/>
      <c r="N59" s="1180"/>
      <c r="O59" s="1178"/>
      <c r="P59" s="1178"/>
      <c r="Q59" s="1178"/>
      <c r="R59" s="1178"/>
      <c r="S59" s="1178"/>
      <c r="T59" s="1178"/>
      <c r="U59" s="1180"/>
      <c r="V59" s="1180"/>
      <c r="W59" s="1180"/>
      <c r="X59" s="1180"/>
    </row>
    <row r="60" spans="1:24" ht="13.5" thickBot="1">
      <c r="A60" s="1180"/>
      <c r="B60" s="1180"/>
      <c r="C60" s="1180"/>
      <c r="D60" s="1180"/>
      <c r="E60" s="1180"/>
      <c r="F60" s="1180"/>
      <c r="G60" s="1180"/>
      <c r="H60" s="1180"/>
      <c r="I60" s="1180"/>
      <c r="J60" s="1180"/>
      <c r="K60" s="1180"/>
      <c r="L60" s="1423">
        <v>5</v>
      </c>
      <c r="M60" s="1178"/>
      <c r="N60" s="2361" t="s">
        <v>268</v>
      </c>
      <c r="O60" s="1178"/>
      <c r="P60" s="2275">
        <f>SUM(P56:P58)</f>
        <v>10675457</v>
      </c>
      <c r="Q60" s="1178"/>
      <c r="R60" s="2275">
        <f>SUM(R56:R58)</f>
        <v>12781066</v>
      </c>
      <c r="S60" s="1178"/>
      <c r="T60" s="2275">
        <f>SUM(T56:T58)</f>
        <v>2105609</v>
      </c>
      <c r="U60" s="1180"/>
      <c r="V60" s="1180"/>
      <c r="W60" s="1180"/>
      <c r="X60" s="1180"/>
    </row>
    <row r="61" spans="1:24" ht="13.5" thickTop="1">
      <c r="A61" s="1180"/>
      <c r="B61" s="1180"/>
      <c r="C61" s="1180"/>
      <c r="D61" s="1180"/>
      <c r="E61" s="1180"/>
      <c r="F61" s="1180"/>
      <c r="G61" s="1180"/>
      <c r="H61" s="1180"/>
      <c r="I61" s="1180"/>
      <c r="J61" s="1180"/>
      <c r="K61" s="1180"/>
      <c r="L61" s="1423"/>
      <c r="M61" s="1178"/>
      <c r="N61" s="1178"/>
      <c r="O61" s="1178"/>
      <c r="P61" s="1178"/>
      <c r="Q61" s="1178"/>
      <c r="R61" s="1178"/>
      <c r="S61" s="1178"/>
      <c r="T61" s="1178"/>
      <c r="U61" s="1180"/>
      <c r="V61" s="1180"/>
      <c r="W61" s="1180"/>
      <c r="X61" s="1180"/>
    </row>
    <row r="62" spans="1:24">
      <c r="A62" s="1180"/>
      <c r="B62" s="1180"/>
      <c r="C62" s="1180"/>
      <c r="D62" s="1180"/>
      <c r="E62" s="1180"/>
      <c r="F62" s="1180"/>
      <c r="G62" s="1180"/>
      <c r="H62" s="1180"/>
      <c r="I62" s="1180"/>
      <c r="J62" s="1180"/>
      <c r="K62" s="1180"/>
      <c r="L62" s="1178"/>
      <c r="M62" s="1178"/>
      <c r="N62" s="1178"/>
      <c r="O62" s="1178"/>
      <c r="P62" s="1178"/>
      <c r="Q62" s="1178"/>
      <c r="R62" s="1178"/>
      <c r="S62" s="1178"/>
      <c r="T62" s="1178"/>
      <c r="U62" s="1180"/>
      <c r="V62" s="1180"/>
      <c r="W62" s="1180"/>
      <c r="X62" s="1180"/>
    </row>
    <row r="63" spans="1:24">
      <c r="A63" s="1180"/>
      <c r="B63" s="1180"/>
      <c r="C63" s="1180"/>
      <c r="D63" s="1180"/>
      <c r="E63" s="1180"/>
      <c r="F63" s="1180"/>
      <c r="G63" s="1180"/>
      <c r="H63" s="1180"/>
      <c r="I63" s="1180"/>
      <c r="J63" s="1180"/>
      <c r="K63" s="1180"/>
      <c r="L63" s="1178"/>
      <c r="M63" s="1178"/>
      <c r="N63" s="1178"/>
      <c r="O63" s="1178"/>
      <c r="P63" s="1178"/>
      <c r="Q63" s="1178"/>
      <c r="R63" s="1178"/>
      <c r="S63" s="1178"/>
      <c r="T63" s="1178"/>
      <c r="U63" s="1180"/>
      <c r="V63" s="1180"/>
      <c r="W63" s="1180"/>
      <c r="X63" s="1180"/>
    </row>
    <row r="64" spans="1:24">
      <c r="A64" s="1180"/>
      <c r="B64" s="1180"/>
      <c r="C64" s="1180"/>
      <c r="D64" s="1180"/>
      <c r="E64" s="1180"/>
      <c r="F64" s="1180"/>
      <c r="G64" s="1180"/>
      <c r="H64" s="1180"/>
      <c r="I64" s="1180"/>
      <c r="J64" s="1180"/>
      <c r="K64" s="1180"/>
      <c r="L64" s="1178"/>
      <c r="M64" s="1178"/>
      <c r="N64" s="1178"/>
      <c r="O64" s="1178"/>
      <c r="P64" s="1178"/>
      <c r="Q64" s="1178"/>
      <c r="R64" s="1178"/>
      <c r="S64" s="1178"/>
      <c r="T64" s="1423" t="s">
        <v>1244</v>
      </c>
      <c r="U64" s="1180"/>
      <c r="V64" s="1180"/>
      <c r="W64" s="1180"/>
      <c r="X64" s="1180"/>
    </row>
    <row r="65" spans="1:24">
      <c r="A65" s="1180"/>
      <c r="B65" s="1180"/>
      <c r="C65" s="1180"/>
      <c r="D65" s="1180"/>
      <c r="E65" s="1180"/>
      <c r="F65" s="1180"/>
      <c r="G65" s="1180"/>
      <c r="H65" s="1180"/>
      <c r="I65" s="1180"/>
      <c r="J65" s="1180"/>
      <c r="K65" s="1180"/>
      <c r="L65" s="1180"/>
      <c r="M65" s="1180"/>
      <c r="N65" s="1180"/>
      <c r="O65" s="1180"/>
      <c r="P65" s="1180"/>
      <c r="Q65" s="1180"/>
      <c r="R65" s="1180"/>
      <c r="S65" s="1180"/>
      <c r="T65" s="1180"/>
      <c r="U65" s="1180"/>
      <c r="V65" s="1180"/>
      <c r="W65" s="1180"/>
      <c r="X65" s="1180"/>
    </row>
    <row r="66" spans="1:24">
      <c r="A66" s="1180"/>
      <c r="B66" s="1180"/>
      <c r="C66" s="1180"/>
      <c r="D66" s="1180"/>
      <c r="E66" s="1180"/>
      <c r="F66" s="1180"/>
      <c r="G66" s="1180"/>
      <c r="H66" s="1180"/>
      <c r="I66" s="1180"/>
      <c r="J66" s="1180"/>
      <c r="K66" s="1180"/>
      <c r="L66" s="1180"/>
      <c r="M66" s="1180"/>
      <c r="N66" s="1180"/>
      <c r="O66" s="1180"/>
      <c r="P66" s="1180"/>
      <c r="Q66" s="1180"/>
      <c r="R66" s="1180"/>
      <c r="S66" s="1180"/>
      <c r="T66" s="1180"/>
      <c r="U66" s="1180"/>
      <c r="V66" s="1180"/>
      <c r="W66" s="1180"/>
      <c r="X66" s="1180"/>
    </row>
    <row r="67" spans="1:24">
      <c r="A67" s="1180"/>
      <c r="B67" s="1180"/>
      <c r="C67" s="1180"/>
      <c r="D67" s="1180"/>
      <c r="E67" s="1180"/>
      <c r="F67" s="1180"/>
      <c r="G67" s="1180"/>
      <c r="H67" s="1180"/>
      <c r="I67" s="1180"/>
      <c r="J67" s="1180"/>
      <c r="K67" s="1180"/>
      <c r="L67" s="1180"/>
      <c r="M67" s="1180"/>
      <c r="N67" s="1180"/>
      <c r="O67" s="1180"/>
      <c r="P67" s="1180"/>
      <c r="Q67" s="1180"/>
      <c r="R67" s="2370"/>
      <c r="S67" s="1180"/>
      <c r="T67" s="1180"/>
      <c r="U67" s="1180"/>
      <c r="V67" s="1180"/>
      <c r="W67" s="1180"/>
      <c r="X67" s="1180"/>
    </row>
    <row r="68" spans="1:24">
      <c r="A68" s="1180"/>
      <c r="B68" s="1180"/>
      <c r="C68" s="1180"/>
      <c r="D68" s="1180"/>
      <c r="E68" s="1180"/>
      <c r="F68" s="1180"/>
      <c r="G68" s="1180"/>
      <c r="H68" s="1180"/>
      <c r="I68" s="1180"/>
      <c r="J68" s="1180"/>
      <c r="K68" s="1180"/>
      <c r="L68" s="1180"/>
      <c r="M68" s="1180"/>
      <c r="N68" s="1180"/>
      <c r="O68" s="1180"/>
      <c r="P68" s="1180"/>
      <c r="Q68" s="1180"/>
      <c r="R68" s="1180"/>
      <c r="S68" s="1180"/>
      <c r="T68" s="1180"/>
      <c r="U68" s="1180"/>
      <c r="V68" s="1180"/>
      <c r="W68" s="1180"/>
      <c r="X68" s="1180"/>
    </row>
    <row r="69" spans="1:24">
      <c r="A69" s="1180"/>
      <c r="B69" s="1180"/>
      <c r="C69" s="1180"/>
      <c r="D69" s="1180"/>
      <c r="E69" s="1180"/>
      <c r="F69" s="1180"/>
      <c r="G69" s="1180"/>
      <c r="H69" s="1180"/>
      <c r="I69" s="1180"/>
      <c r="J69" s="1180"/>
      <c r="K69" s="1180"/>
      <c r="L69" s="1180"/>
      <c r="M69" s="1180"/>
      <c r="N69" s="1180"/>
      <c r="O69" s="1180"/>
      <c r="P69" s="1180"/>
      <c r="Q69" s="1180"/>
      <c r="R69" s="1180"/>
      <c r="S69" s="1180"/>
      <c r="T69" s="1180"/>
      <c r="U69" s="1180"/>
      <c r="V69" s="1180"/>
      <c r="W69" s="1180"/>
      <c r="X69" s="1180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theme="7" tint="-0.249977111117893"/>
  </sheetPr>
  <dimension ref="A1:X76"/>
  <sheetViews>
    <sheetView tabSelected="1" view="pageLayout" topLeftCell="A5" zoomScaleNormal="90" workbookViewId="0">
      <selection activeCell="G1" sqref="G1"/>
    </sheetView>
  </sheetViews>
  <sheetFormatPr defaultColWidth="8" defaultRowHeight="12.75"/>
  <cols>
    <col min="1" max="1" width="8" style="18" customWidth="1"/>
    <col min="2" max="2" width="20.42578125" style="18" customWidth="1"/>
    <col min="3" max="3" width="8" style="18" customWidth="1"/>
    <col min="4" max="4" width="10.42578125" style="18" customWidth="1"/>
    <col min="5" max="7" width="8" style="18" customWidth="1"/>
    <col min="8" max="8" width="12.42578125" style="18" customWidth="1"/>
    <col min="9" max="9" width="10" style="18" customWidth="1"/>
    <col min="10" max="10" width="18.42578125" style="18" customWidth="1"/>
    <col min="11" max="11" width="8" style="18" customWidth="1"/>
    <col min="12" max="12" width="6.42578125" style="18" customWidth="1"/>
    <col min="13" max="13" width="2.42578125" style="18" customWidth="1"/>
    <col min="14" max="14" width="20.85546875" style="18" customWidth="1"/>
    <col min="15" max="15" width="2" style="18" customWidth="1"/>
    <col min="16" max="16" width="16" style="18" customWidth="1"/>
    <col min="17" max="17" width="1.85546875" style="18" customWidth="1"/>
    <col min="18" max="18" width="18.140625" style="18" customWidth="1"/>
    <col min="19" max="19" width="2.28515625" style="18" customWidth="1"/>
    <col min="20" max="20" width="21.140625" style="18" customWidth="1"/>
    <col min="21" max="16384" width="8" style="18"/>
  </cols>
  <sheetData>
    <row r="1" spans="1:24">
      <c r="A1" s="2087" t="str">
        <f>LOGO!B5</f>
        <v>DUKE ENERGY KENTUCKY, INC.</v>
      </c>
      <c r="B1" s="2195"/>
      <c r="C1" s="2195"/>
      <c r="D1" s="2195"/>
      <c r="E1" s="2195"/>
      <c r="F1" s="2195"/>
      <c r="G1" s="2195"/>
      <c r="H1" s="2195"/>
      <c r="I1" s="2195"/>
      <c r="J1" s="2195"/>
      <c r="K1" s="1180"/>
      <c r="L1" s="1180"/>
      <c r="M1" s="1180"/>
      <c r="N1" s="1180"/>
      <c r="O1" s="1180"/>
      <c r="P1" s="1180"/>
      <c r="Q1" s="1180"/>
      <c r="R1" s="1180"/>
      <c r="S1" s="1180"/>
      <c r="T1" s="1180"/>
      <c r="U1" s="1180"/>
      <c r="V1" s="1180"/>
      <c r="W1" s="1180"/>
      <c r="X1" s="1180"/>
    </row>
    <row r="2" spans="1:24">
      <c r="A2" s="2087" t="str">
        <f>LOGO!B6</f>
        <v>CASE NO. 2017-00321</v>
      </c>
      <c r="B2" s="2195"/>
      <c r="C2" s="2195"/>
      <c r="D2" s="2195"/>
      <c r="E2" s="2195"/>
      <c r="F2" s="2195"/>
      <c r="G2" s="2195"/>
      <c r="H2" s="2195"/>
      <c r="I2" s="2195"/>
      <c r="J2" s="2195"/>
      <c r="K2" s="1180"/>
      <c r="L2" s="1180"/>
      <c r="M2" s="1180"/>
      <c r="N2" s="1180"/>
      <c r="O2" s="1180"/>
      <c r="P2" s="1180"/>
      <c r="Q2" s="1180"/>
      <c r="R2" s="1180"/>
      <c r="S2" s="1180"/>
      <c r="T2" s="1180"/>
      <c r="U2" s="1180"/>
      <c r="V2" s="1180"/>
      <c r="W2" s="1180"/>
      <c r="X2" s="1180"/>
    </row>
    <row r="3" spans="1:24">
      <c r="A3" s="2166" t="s">
        <v>1766</v>
      </c>
      <c r="B3" s="2195"/>
      <c r="C3" s="2195"/>
      <c r="D3" s="2195"/>
      <c r="E3" s="2195"/>
      <c r="F3" s="2195"/>
      <c r="G3" s="2195"/>
      <c r="H3" s="2195"/>
      <c r="I3" s="2195"/>
      <c r="J3" s="2195"/>
      <c r="K3" s="1180"/>
      <c r="L3" s="1180"/>
      <c r="M3" s="1180"/>
      <c r="N3" s="1180"/>
      <c r="O3" s="1180"/>
      <c r="P3" s="1180"/>
      <c r="Q3" s="1180"/>
      <c r="R3" s="1180"/>
      <c r="S3" s="1180"/>
      <c r="T3" s="1180"/>
      <c r="U3" s="1180"/>
      <c r="V3" s="1180"/>
      <c r="W3" s="1180"/>
      <c r="X3" s="1180"/>
    </row>
    <row r="4" spans="1:24">
      <c r="A4" s="2087" t="str">
        <f>LOGO!B8</f>
        <v>FOR THE TWELVE MONTHS ENDED MARCH 31, 2019</v>
      </c>
      <c r="B4" s="2195"/>
      <c r="C4" s="2195"/>
      <c r="D4" s="2195"/>
      <c r="E4" s="2195"/>
      <c r="F4" s="2195"/>
      <c r="G4" s="2195"/>
      <c r="H4" s="2195"/>
      <c r="I4" s="2195"/>
      <c r="J4" s="2195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</row>
    <row r="5" spans="1:24">
      <c r="A5" s="1180"/>
      <c r="B5" s="1180"/>
      <c r="C5" s="1180"/>
      <c r="D5" s="1180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80"/>
      <c r="U5" s="1180"/>
      <c r="V5" s="1180"/>
      <c r="W5" s="1180"/>
      <c r="X5" s="1180"/>
    </row>
    <row r="6" spans="1:24">
      <c r="A6" s="2206" t="str">
        <f>DataB</f>
        <v>DATA: "X" BASE PERIOD  "X" FORECASTED PERIOD</v>
      </c>
      <c r="B6" s="1180"/>
      <c r="C6" s="1180"/>
      <c r="D6" s="1180"/>
      <c r="E6" s="1180"/>
      <c r="F6" s="1180"/>
      <c r="G6" s="1180"/>
      <c r="H6" s="1180"/>
      <c r="I6" s="2196" t="s">
        <v>1950</v>
      </c>
      <c r="J6" s="1180"/>
      <c r="K6" s="1180"/>
      <c r="L6" s="1180"/>
      <c r="M6" s="1180"/>
      <c r="N6" s="1180"/>
      <c r="O6" s="1180"/>
      <c r="P6" s="1180"/>
      <c r="Q6" s="1180"/>
      <c r="R6" s="1180"/>
      <c r="S6" s="1180"/>
      <c r="T6" s="1180"/>
      <c r="U6" s="1180"/>
      <c r="V6" s="1180"/>
      <c r="W6" s="1180"/>
      <c r="X6" s="1180"/>
    </row>
    <row r="7" spans="1:24">
      <c r="A7" s="2206" t="str">
        <f>LOGO!B15</f>
        <v xml:space="preserve">TYPE OF FILING:  "X" ORIGINAL   UPDATED    REVISED  </v>
      </c>
      <c r="B7" s="1180"/>
      <c r="C7" s="1180"/>
      <c r="D7" s="1180"/>
      <c r="E7" s="1180"/>
      <c r="F7" s="1180"/>
      <c r="G7" s="1180"/>
      <c r="H7" s="1180"/>
      <c r="I7" s="1179" t="s">
        <v>620</v>
      </c>
      <c r="J7" s="1180"/>
      <c r="K7" s="1180"/>
      <c r="L7" s="1180"/>
      <c r="M7" s="1180"/>
      <c r="N7" s="1180"/>
      <c r="O7" s="1180"/>
      <c r="P7" s="1180"/>
      <c r="Q7" s="1180"/>
      <c r="R7" s="1180"/>
      <c r="S7" s="1180"/>
      <c r="T7" s="1180"/>
      <c r="U7" s="1180"/>
      <c r="V7" s="1180"/>
      <c r="W7" s="1180"/>
      <c r="X7" s="1180"/>
    </row>
    <row r="8" spans="1:24">
      <c r="A8" s="1179" t="s">
        <v>2267</v>
      </c>
      <c r="B8" s="1180"/>
      <c r="C8" s="1180"/>
      <c r="D8" s="1180"/>
      <c r="E8" s="1180"/>
      <c r="F8" s="1180"/>
      <c r="G8" s="1180"/>
      <c r="H8" s="1180"/>
      <c r="I8" s="1179" t="s">
        <v>622</v>
      </c>
      <c r="J8" s="1180"/>
      <c r="K8" s="1180"/>
      <c r="L8" s="1180"/>
      <c r="M8" s="1180"/>
      <c r="N8" s="1180"/>
      <c r="O8" s="1180"/>
      <c r="P8" s="1180"/>
      <c r="Q8" s="1180"/>
      <c r="R8" s="1180"/>
      <c r="S8" s="1180"/>
      <c r="T8" s="1180"/>
      <c r="U8" s="1180"/>
      <c r="V8" s="1180"/>
      <c r="W8" s="1180"/>
      <c r="X8" s="1180"/>
    </row>
    <row r="9" spans="1:24">
      <c r="A9" s="1180"/>
      <c r="B9" s="1180"/>
      <c r="C9" s="1180"/>
      <c r="D9" s="1180"/>
      <c r="E9" s="1180"/>
      <c r="F9" s="1180"/>
      <c r="G9" s="1180"/>
      <c r="H9" s="1180"/>
      <c r="I9" s="1179" t="str">
        <f>_WIT10</f>
        <v>R. H. PRATT</v>
      </c>
      <c r="J9" s="1180"/>
      <c r="K9" s="1180"/>
      <c r="L9" s="1180"/>
      <c r="M9" s="1180"/>
      <c r="N9" s="1180"/>
      <c r="O9" s="1180"/>
      <c r="P9" s="1180"/>
      <c r="Q9" s="1180"/>
      <c r="R9" s="1180"/>
      <c r="S9" s="1180"/>
      <c r="T9" s="1180"/>
      <c r="U9" s="1180"/>
      <c r="V9" s="1180"/>
      <c r="W9" s="1180"/>
      <c r="X9" s="1180"/>
    </row>
    <row r="10" spans="1:24">
      <c r="A10" s="2197"/>
      <c r="B10" s="2197"/>
      <c r="C10" s="2197"/>
      <c r="D10" s="2197"/>
      <c r="E10" s="2197"/>
      <c r="F10" s="2197"/>
      <c r="G10" s="2197"/>
      <c r="H10" s="2197"/>
      <c r="I10" s="2197"/>
      <c r="J10" s="2197"/>
      <c r="K10" s="1179"/>
      <c r="L10" s="1180"/>
      <c r="M10" s="1180"/>
      <c r="N10" s="1180"/>
      <c r="O10" s="1180"/>
      <c r="P10" s="1180"/>
      <c r="Q10" s="1180"/>
      <c r="R10" s="1180"/>
      <c r="S10" s="1180"/>
      <c r="T10" s="1180"/>
      <c r="U10" s="1180"/>
      <c r="V10" s="1180"/>
      <c r="W10" s="1180"/>
      <c r="X10" s="1180"/>
    </row>
    <row r="11" spans="1:24">
      <c r="A11" s="1180"/>
      <c r="B11" s="1180"/>
      <c r="C11" s="1180"/>
      <c r="D11" s="1180"/>
      <c r="E11" s="1180"/>
      <c r="F11" s="1180"/>
      <c r="G11" s="1180"/>
      <c r="H11" s="1180"/>
      <c r="I11" s="1180"/>
      <c r="J11" s="1180"/>
      <c r="K11" s="1180"/>
      <c r="L11" s="1180"/>
      <c r="M11" s="1180"/>
      <c r="N11" s="1180"/>
      <c r="O11" s="1180"/>
      <c r="P11" s="1180"/>
      <c r="Q11" s="1180"/>
      <c r="R11" s="1180"/>
      <c r="S11" s="1180"/>
      <c r="T11" s="1180"/>
      <c r="U11" s="1180"/>
      <c r="V11" s="1180"/>
      <c r="W11" s="1180"/>
      <c r="X11" s="1180"/>
    </row>
    <row r="12" spans="1:24">
      <c r="A12" s="1179" t="s">
        <v>1246</v>
      </c>
      <c r="B12" s="1180"/>
      <c r="C12" s="1180"/>
      <c r="D12" s="1180"/>
      <c r="E12" s="1180"/>
      <c r="F12" s="1180"/>
      <c r="G12" s="1180"/>
      <c r="H12" s="1180"/>
      <c r="I12" s="1180"/>
      <c r="J12" s="2198" t="s">
        <v>364</v>
      </c>
      <c r="K12" s="1180"/>
      <c r="L12" s="1180"/>
      <c r="M12" s="1180"/>
      <c r="N12" s="1180"/>
      <c r="O12" s="1180"/>
      <c r="P12" s="1180"/>
      <c r="Q12" s="1180"/>
      <c r="R12" s="1180"/>
      <c r="S12" s="1180"/>
      <c r="T12" s="1180"/>
      <c r="U12" s="1180"/>
      <c r="V12" s="1180"/>
      <c r="W12" s="1180"/>
      <c r="X12" s="1180"/>
    </row>
    <row r="13" spans="1:24">
      <c r="A13" s="2197"/>
      <c r="B13" s="2197"/>
      <c r="C13" s="2197"/>
      <c r="D13" s="2197"/>
      <c r="E13" s="2197"/>
      <c r="F13" s="2197"/>
      <c r="G13" s="2197"/>
      <c r="H13" s="2197"/>
      <c r="I13" s="2197"/>
      <c r="J13" s="2197"/>
      <c r="K13" s="1179"/>
      <c r="L13" s="1180"/>
      <c r="M13" s="1180"/>
      <c r="N13" s="1180"/>
      <c r="O13" s="1180"/>
      <c r="P13" s="1180"/>
      <c r="Q13" s="1180"/>
      <c r="R13" s="1180"/>
      <c r="S13" s="1180"/>
      <c r="T13" s="1180"/>
      <c r="U13" s="1180"/>
      <c r="V13" s="1180"/>
      <c r="W13" s="1180"/>
      <c r="X13" s="1180"/>
    </row>
    <row r="14" spans="1:24">
      <c r="A14" s="1180"/>
      <c r="B14" s="1180"/>
      <c r="C14" s="1180"/>
      <c r="D14" s="1180"/>
      <c r="E14" s="1180"/>
      <c r="F14" s="1180"/>
      <c r="G14" s="1180"/>
      <c r="H14" s="1180"/>
      <c r="I14" s="1180"/>
      <c r="J14" s="2199"/>
      <c r="K14" s="1180"/>
      <c r="L14" s="1180"/>
      <c r="M14" s="1180"/>
      <c r="N14" s="1180"/>
      <c r="O14" s="1180"/>
      <c r="P14" s="1180"/>
      <c r="Q14" s="1180"/>
      <c r="R14" s="1180"/>
      <c r="S14" s="1180"/>
      <c r="T14" s="1180"/>
      <c r="U14" s="1180"/>
      <c r="V14" s="1180"/>
      <c r="W14" s="1180"/>
      <c r="X14" s="1180"/>
    </row>
    <row r="15" spans="1:24">
      <c r="A15" s="1581" t="s">
        <v>1934</v>
      </c>
      <c r="B15" s="1180"/>
      <c r="C15" s="1180"/>
      <c r="D15" s="1180"/>
      <c r="E15" s="1180"/>
      <c r="F15" s="1180"/>
      <c r="G15" s="1180"/>
      <c r="H15" s="1180"/>
      <c r="I15" s="1180"/>
      <c r="J15" s="1180"/>
      <c r="K15" s="1180"/>
      <c r="L15" s="1180"/>
      <c r="M15" s="1180"/>
      <c r="N15" s="1180"/>
      <c r="O15" s="1180"/>
      <c r="P15" s="1180"/>
      <c r="Q15" s="1180"/>
      <c r="R15" s="1180"/>
      <c r="S15" s="1180"/>
      <c r="T15" s="1180"/>
      <c r="U15" s="1180"/>
      <c r="V15" s="1180"/>
      <c r="W15" s="1180"/>
      <c r="X15" s="1180"/>
    </row>
    <row r="16" spans="1:24">
      <c r="A16" s="1581" t="s">
        <v>1765</v>
      </c>
      <c r="B16" s="1180"/>
      <c r="C16" s="1180"/>
      <c r="D16" s="1180"/>
      <c r="E16" s="1180"/>
      <c r="F16" s="1180"/>
      <c r="G16" s="1180"/>
      <c r="H16" s="1180"/>
      <c r="I16" s="1180"/>
      <c r="J16" s="1180"/>
      <c r="K16" s="1180"/>
      <c r="L16" s="1180"/>
      <c r="M16" s="1180"/>
      <c r="N16" s="1180"/>
      <c r="O16" s="1180"/>
      <c r="P16" s="1180"/>
      <c r="Q16" s="1180"/>
      <c r="R16" s="1180"/>
      <c r="S16" s="1180"/>
      <c r="T16" s="1180"/>
      <c r="U16" s="1180"/>
      <c r="V16" s="1180"/>
      <c r="W16" s="1180"/>
      <c r="X16" s="1180"/>
    </row>
    <row r="17" spans="1:24">
      <c r="A17" s="1179"/>
      <c r="B17" s="1180"/>
      <c r="C17" s="1180"/>
      <c r="D17" s="1180"/>
      <c r="E17" s="1180"/>
      <c r="F17" s="1180"/>
      <c r="G17" s="1180"/>
      <c r="H17" s="1180"/>
      <c r="I17" s="1180"/>
      <c r="J17" s="1180"/>
      <c r="K17" s="1180"/>
      <c r="L17" s="1180"/>
      <c r="M17" s="1180"/>
      <c r="N17" s="1180"/>
      <c r="O17" s="1180"/>
      <c r="P17" s="1180"/>
      <c r="Q17" s="1180"/>
      <c r="R17" s="1180"/>
      <c r="S17" s="1180"/>
      <c r="T17" s="1180"/>
      <c r="U17" s="1180"/>
      <c r="V17" s="1180"/>
      <c r="W17" s="1180"/>
      <c r="X17" s="1180"/>
    </row>
    <row r="18" spans="1:24">
      <c r="A18" s="1179"/>
      <c r="B18" s="1180"/>
      <c r="C18" s="1180"/>
      <c r="D18" s="1180"/>
      <c r="E18" s="1180"/>
      <c r="F18" s="1180"/>
      <c r="G18" s="1180"/>
      <c r="H18" s="1180"/>
      <c r="I18" s="1180"/>
      <c r="J18" s="1180"/>
      <c r="K18" s="1180"/>
      <c r="L18" s="1180"/>
      <c r="M18" s="1180"/>
      <c r="N18" s="1180"/>
      <c r="O18" s="1180"/>
      <c r="P18" s="1180"/>
      <c r="Q18" s="1180"/>
      <c r="R18" s="1180"/>
      <c r="S18" s="1180"/>
      <c r="T18" s="1180"/>
      <c r="U18" s="1180"/>
      <c r="V18" s="1180"/>
      <c r="W18" s="1180"/>
      <c r="X18" s="1180"/>
    </row>
    <row r="19" spans="1:24">
      <c r="A19" s="1179"/>
      <c r="B19" s="1180"/>
      <c r="C19" s="1180"/>
      <c r="D19" s="1180"/>
      <c r="E19" s="1180"/>
      <c r="F19" s="1180"/>
      <c r="G19" s="1180"/>
      <c r="H19" s="1180"/>
      <c r="I19" s="1180"/>
      <c r="J19" s="1180"/>
      <c r="K19" s="1180"/>
      <c r="L19" s="1180"/>
      <c r="M19" s="1180"/>
      <c r="N19" s="1180"/>
      <c r="O19" s="1180"/>
      <c r="P19" s="1180"/>
      <c r="Q19" s="1180"/>
      <c r="R19" s="1180"/>
      <c r="S19" s="1180"/>
      <c r="T19" s="1180"/>
      <c r="U19" s="1180"/>
      <c r="V19" s="1180"/>
      <c r="W19" s="1180"/>
      <c r="X19" s="1180"/>
    </row>
    <row r="20" spans="1:24">
      <c r="A20" s="1179"/>
      <c r="B20" s="1180"/>
      <c r="C20" s="1180"/>
      <c r="D20" s="1180"/>
      <c r="E20" s="1180"/>
      <c r="F20" s="1180"/>
      <c r="G20" s="1180"/>
      <c r="H20" s="2199"/>
      <c r="I20" s="1180"/>
      <c r="J20" s="1180"/>
      <c r="K20" s="1180"/>
      <c r="L20" s="1180"/>
      <c r="M20" s="1180"/>
      <c r="N20" s="1180"/>
      <c r="O20" s="1180"/>
      <c r="P20" s="1180"/>
      <c r="Q20" s="1180"/>
      <c r="R20" s="1180"/>
      <c r="S20" s="1180"/>
      <c r="T20" s="1180"/>
      <c r="U20" s="1180"/>
      <c r="V20" s="1180"/>
      <c r="W20" s="1180"/>
      <c r="X20" s="1180"/>
    </row>
    <row r="21" spans="1:24">
      <c r="A21" s="1179" t="s">
        <v>1972</v>
      </c>
      <c r="B21" s="1180"/>
      <c r="C21" s="1180"/>
      <c r="D21" s="1180"/>
      <c r="E21" s="1180"/>
      <c r="F21" s="1180"/>
      <c r="G21" s="1180"/>
      <c r="H21" s="2170"/>
      <c r="I21" s="1180"/>
      <c r="J21" s="1180"/>
      <c r="K21" s="1180"/>
      <c r="L21" s="1180"/>
      <c r="M21" s="1180"/>
      <c r="N21" s="1180"/>
      <c r="O21" s="1180"/>
      <c r="P21" s="1180"/>
      <c r="Q21" s="1180"/>
      <c r="R21" s="1180"/>
      <c r="S21" s="1180"/>
      <c r="T21" s="1180"/>
      <c r="U21" s="1180"/>
      <c r="V21" s="1180"/>
      <c r="W21" s="1180"/>
      <c r="X21" s="1180"/>
    </row>
    <row r="22" spans="1:24">
      <c r="A22" s="2361" t="s">
        <v>912</v>
      </c>
      <c r="B22" s="1180"/>
      <c r="C22" s="1180"/>
      <c r="D22" s="1180"/>
      <c r="E22" s="1180"/>
      <c r="F22" s="1180"/>
      <c r="G22" s="1180"/>
      <c r="H22" s="2199"/>
      <c r="I22" s="1180"/>
      <c r="J22" s="1375">
        <f ca="1">T70</f>
        <v>1974854</v>
      </c>
      <c r="K22" s="1180"/>
      <c r="L22" s="1180"/>
      <c r="M22" s="1180"/>
      <c r="N22" s="1180"/>
      <c r="O22" s="1180"/>
      <c r="P22" s="1180"/>
      <c r="Q22" s="1180"/>
      <c r="R22" s="1180"/>
      <c r="S22" s="1180"/>
      <c r="T22" s="1180"/>
      <c r="U22" s="1180"/>
      <c r="V22" s="1180"/>
      <c r="W22" s="1180"/>
      <c r="X22" s="1180"/>
    </row>
    <row r="23" spans="1:24">
      <c r="A23" s="2361" t="s">
        <v>3184</v>
      </c>
      <c r="B23" s="1180"/>
      <c r="C23" s="1180"/>
      <c r="D23" s="1180"/>
      <c r="E23" s="1180"/>
      <c r="F23" s="1180"/>
      <c r="G23" s="1180"/>
      <c r="H23" s="2199"/>
      <c r="I23" s="1180"/>
      <c r="J23" s="2362">
        <f ca="1">SCH_E1!I107</f>
        <v>-2269312.154492442</v>
      </c>
      <c r="K23" s="1180"/>
      <c r="L23" s="1180"/>
      <c r="M23" s="1180"/>
      <c r="N23" s="1180"/>
      <c r="O23" s="1180"/>
      <c r="P23" s="1180"/>
      <c r="Q23" s="1180"/>
      <c r="R23" s="1180"/>
      <c r="S23" s="1180"/>
      <c r="T23" s="1180"/>
      <c r="U23" s="1180"/>
      <c r="V23" s="1180"/>
      <c r="W23" s="1180"/>
      <c r="X23" s="1180"/>
    </row>
    <row r="24" spans="1:24">
      <c r="A24" s="1179"/>
      <c r="B24" s="1180"/>
      <c r="C24" s="1180"/>
      <c r="D24" s="1180"/>
      <c r="E24" s="1180"/>
      <c r="F24" s="1180"/>
      <c r="G24" s="1180"/>
      <c r="H24" s="2199"/>
      <c r="I24" s="1180"/>
      <c r="J24" s="2362"/>
      <c r="K24" s="1180"/>
      <c r="L24" s="1180"/>
      <c r="M24" s="1180"/>
      <c r="N24" s="1180"/>
      <c r="O24" s="1180"/>
      <c r="P24" s="1180"/>
      <c r="Q24" s="1180"/>
      <c r="R24" s="1180"/>
      <c r="S24" s="1180"/>
      <c r="T24" s="1180"/>
      <c r="U24" s="1180"/>
      <c r="V24" s="1180"/>
      <c r="W24" s="1180"/>
      <c r="X24" s="1180"/>
    </row>
    <row r="25" spans="1:24">
      <c r="A25" s="1179" t="s">
        <v>1300</v>
      </c>
      <c r="B25" s="1180"/>
      <c r="C25" s="1180"/>
      <c r="D25" s="1180"/>
      <c r="E25" s="1180"/>
      <c r="F25" s="1180"/>
      <c r="G25" s="1180"/>
      <c r="H25" s="2199"/>
      <c r="I25" s="1180"/>
      <c r="J25" s="1180"/>
      <c r="K25" s="1180"/>
      <c r="L25" s="1180"/>
      <c r="M25" s="1180"/>
      <c r="N25" s="1180"/>
      <c r="O25" s="1180"/>
      <c r="P25" s="1180"/>
      <c r="Q25" s="1180"/>
      <c r="R25" s="1180"/>
      <c r="S25" s="1180"/>
      <c r="T25" s="1180"/>
      <c r="U25" s="1180"/>
      <c r="V25" s="1180"/>
      <c r="W25" s="1180"/>
      <c r="X25" s="1180"/>
    </row>
    <row r="26" spans="1:24">
      <c r="A26" s="2361" t="s">
        <v>912</v>
      </c>
      <c r="B26" s="1180"/>
      <c r="C26" s="1180"/>
      <c r="D26" s="1180"/>
      <c r="E26" s="1180"/>
      <c r="F26" s="1180"/>
      <c r="G26" s="1180"/>
      <c r="H26" s="2199"/>
      <c r="I26" s="1180"/>
      <c r="J26" s="1375">
        <f ca="1">T71</f>
        <v>8852881</v>
      </c>
      <c r="K26" s="1180"/>
      <c r="L26" s="1180"/>
      <c r="M26" s="1180"/>
      <c r="N26" s="1180"/>
      <c r="O26" s="1180"/>
      <c r="P26" s="1180"/>
      <c r="Q26" s="1180"/>
      <c r="R26" s="1180"/>
      <c r="S26" s="1180"/>
      <c r="T26" s="1180"/>
      <c r="U26" s="1180"/>
      <c r="V26" s="1180"/>
      <c r="W26" s="1180"/>
      <c r="X26" s="1180"/>
    </row>
    <row r="27" spans="1:24">
      <c r="A27" s="2361" t="s">
        <v>3184</v>
      </c>
      <c r="B27" s="1180"/>
      <c r="C27" s="1180"/>
      <c r="D27" s="1180"/>
      <c r="E27" s="1180"/>
      <c r="F27" s="1180"/>
      <c r="G27" s="1180"/>
      <c r="H27" s="2199"/>
      <c r="I27" s="1180"/>
      <c r="J27" s="2363">
        <f ca="1">SCH_E1!I126</f>
        <v>-10218968.845507558</v>
      </c>
      <c r="K27" s="1180"/>
      <c r="L27" s="1180"/>
      <c r="M27" s="1180"/>
      <c r="N27" s="1180"/>
      <c r="O27" s="1180"/>
      <c r="P27" s="1180"/>
      <c r="Q27" s="1180"/>
      <c r="R27" s="1180"/>
      <c r="S27" s="1180"/>
      <c r="T27" s="1180"/>
      <c r="U27" s="1180"/>
      <c r="V27" s="1180"/>
      <c r="W27" s="1180"/>
      <c r="X27" s="1180"/>
    </row>
    <row r="28" spans="1:24">
      <c r="A28" s="2361" t="s">
        <v>3185</v>
      </c>
      <c r="B28" s="1180"/>
      <c r="C28" s="1180"/>
      <c r="D28" s="1180"/>
      <c r="E28" s="1180"/>
      <c r="F28" s="1180"/>
      <c r="G28" s="1180"/>
      <c r="H28" s="2199"/>
      <c r="I28" s="1180"/>
      <c r="J28" s="2364">
        <f>SCH_E1!I128</f>
        <v>634</v>
      </c>
      <c r="K28" s="1180"/>
      <c r="L28" s="1180"/>
      <c r="M28" s="1180"/>
      <c r="N28" s="1180"/>
      <c r="O28" s="1180"/>
      <c r="P28" s="1180"/>
      <c r="Q28" s="1180"/>
      <c r="R28" s="1180"/>
      <c r="S28" s="1180"/>
      <c r="T28" s="1180"/>
      <c r="U28" s="1180"/>
      <c r="V28" s="1180"/>
      <c r="W28" s="1180"/>
      <c r="X28" s="1180"/>
    </row>
    <row r="29" spans="1:24">
      <c r="A29" s="1180"/>
      <c r="B29" s="1180"/>
      <c r="C29" s="1180"/>
      <c r="D29" s="1180"/>
      <c r="E29" s="1180"/>
      <c r="F29" s="1180"/>
      <c r="G29" s="1180"/>
      <c r="H29" s="1180"/>
      <c r="I29" s="1180"/>
      <c r="J29" s="1180"/>
      <c r="K29" s="1180"/>
      <c r="L29" s="1180"/>
      <c r="M29" s="1180"/>
      <c r="N29" s="1180"/>
      <c r="O29" s="1180"/>
      <c r="P29" s="1180"/>
      <c r="Q29" s="1180"/>
      <c r="R29" s="1180"/>
      <c r="S29" s="1180"/>
      <c r="T29" s="1180"/>
      <c r="U29" s="1180"/>
      <c r="V29" s="1180"/>
      <c r="W29" s="1180"/>
      <c r="X29" s="1180"/>
    </row>
    <row r="30" spans="1:24">
      <c r="A30" s="1179" t="s">
        <v>1296</v>
      </c>
      <c r="B30" s="1180"/>
      <c r="C30" s="1180"/>
      <c r="D30" s="1180"/>
      <c r="E30" s="1180"/>
      <c r="F30" s="1180"/>
      <c r="G30" s="1180"/>
      <c r="H30" s="1180"/>
      <c r="I30" s="1426"/>
      <c r="J30" s="1375">
        <f ca="1">SUM(J22:J28)</f>
        <v>-1659912</v>
      </c>
      <c r="K30" s="1180"/>
      <c r="L30" s="1180"/>
      <c r="M30" s="1180"/>
      <c r="N30" s="1180"/>
      <c r="O30" s="1180"/>
      <c r="P30" s="1180"/>
      <c r="Q30" s="1180"/>
      <c r="R30" s="1180"/>
      <c r="S30" s="1180"/>
      <c r="T30" s="1180"/>
      <c r="U30" s="1180"/>
      <c r="V30" s="1180"/>
      <c r="W30" s="1180"/>
      <c r="X30" s="1180"/>
    </row>
    <row r="31" spans="1:24">
      <c r="A31" s="1180"/>
      <c r="B31" s="1180"/>
      <c r="C31" s="1180"/>
      <c r="D31" s="1180"/>
      <c r="E31" s="1180"/>
      <c r="F31" s="1180"/>
      <c r="G31" s="1180"/>
      <c r="H31" s="1180"/>
      <c r="I31" s="1180"/>
      <c r="J31" s="1426"/>
      <c r="K31" s="1180"/>
      <c r="L31" s="1180"/>
      <c r="M31" s="1180"/>
      <c r="N31" s="1180"/>
      <c r="O31" s="1180"/>
      <c r="P31" s="1180"/>
      <c r="Q31" s="1180"/>
      <c r="R31" s="1180"/>
      <c r="S31" s="1180"/>
      <c r="T31" s="1180"/>
      <c r="U31" s="1180"/>
      <c r="V31" s="1180"/>
      <c r="W31" s="1180"/>
      <c r="X31" s="1180"/>
    </row>
    <row r="32" spans="1:24">
      <c r="A32" s="1180"/>
      <c r="B32" s="1180"/>
      <c r="C32" s="1180"/>
      <c r="D32" s="1180"/>
      <c r="E32" s="1180"/>
      <c r="F32" s="1180"/>
      <c r="G32" s="1180"/>
      <c r="H32" s="1180"/>
      <c r="I32" s="1180"/>
      <c r="J32" s="1180"/>
      <c r="K32" s="1180"/>
      <c r="L32" s="1180"/>
      <c r="M32" s="1180"/>
      <c r="N32" s="1180"/>
      <c r="O32" s="1180"/>
      <c r="P32" s="1180"/>
      <c r="Q32" s="1180"/>
      <c r="R32" s="1180"/>
      <c r="S32" s="1180"/>
      <c r="T32" s="1180"/>
      <c r="U32" s="1180"/>
      <c r="V32" s="1180"/>
      <c r="W32" s="1180"/>
      <c r="X32" s="1180"/>
    </row>
    <row r="33" spans="1:24">
      <c r="A33" s="1179" t="s">
        <v>266</v>
      </c>
      <c r="B33" s="1180"/>
      <c r="C33" s="1180"/>
      <c r="D33" s="1180"/>
      <c r="E33" s="1180"/>
      <c r="F33" s="1180"/>
      <c r="G33" s="1180"/>
      <c r="H33" s="1180"/>
      <c r="I33" s="1180"/>
      <c r="J33" s="2365">
        <f>VLOOKUP(D40,ALLOCTABLE,2)/100</f>
        <v>1</v>
      </c>
      <c r="K33" s="1180"/>
      <c r="L33" s="1180"/>
      <c r="M33" s="1180"/>
      <c r="N33" s="1180"/>
      <c r="O33" s="1180"/>
      <c r="P33" s="1180"/>
      <c r="Q33" s="1180"/>
      <c r="R33" s="1180"/>
      <c r="S33" s="1180"/>
      <c r="T33" s="1180"/>
      <c r="U33" s="1180"/>
      <c r="V33" s="1180"/>
      <c r="W33" s="1180"/>
      <c r="X33" s="1180"/>
    </row>
    <row r="34" spans="1:24">
      <c r="A34" s="1180"/>
      <c r="B34" s="1180"/>
      <c r="C34" s="1180"/>
      <c r="D34" s="1180"/>
      <c r="E34" s="1180"/>
      <c r="F34" s="1180"/>
      <c r="G34" s="1180"/>
      <c r="H34" s="1180"/>
      <c r="I34" s="1180"/>
      <c r="J34" s="1426"/>
      <c r="K34" s="1180"/>
      <c r="L34" s="1180"/>
      <c r="M34" s="1180"/>
      <c r="N34" s="1180"/>
      <c r="O34" s="1180"/>
      <c r="P34" s="1180"/>
      <c r="Q34" s="1180"/>
      <c r="R34" s="1180"/>
      <c r="S34" s="1180"/>
      <c r="T34" s="1180"/>
      <c r="U34" s="1180"/>
      <c r="V34" s="1180"/>
      <c r="W34" s="1180"/>
      <c r="X34" s="1180"/>
    </row>
    <row r="35" spans="1:24">
      <c r="A35" s="1180"/>
      <c r="B35" s="1180"/>
      <c r="C35" s="1180"/>
      <c r="D35" s="1180"/>
      <c r="E35" s="1180"/>
      <c r="F35" s="1180"/>
      <c r="G35" s="1180"/>
      <c r="H35" s="1180"/>
      <c r="I35" s="1180"/>
      <c r="J35" s="1180"/>
      <c r="K35" s="1180"/>
      <c r="L35" s="1180"/>
      <c r="M35" s="1180"/>
      <c r="N35" s="1180"/>
      <c r="O35" s="1180"/>
      <c r="P35" s="1180"/>
      <c r="Q35" s="1180"/>
      <c r="R35" s="1180"/>
      <c r="S35" s="1180"/>
      <c r="T35" s="1180"/>
      <c r="U35" s="1180"/>
      <c r="V35" s="1180"/>
      <c r="W35" s="1180"/>
      <c r="X35" s="1180"/>
    </row>
    <row r="36" spans="1:24" ht="13.5" thickBot="1">
      <c r="A36" s="1179" t="s">
        <v>1236</v>
      </c>
      <c r="B36" s="1180"/>
      <c r="C36" s="1180"/>
      <c r="D36" s="1180"/>
      <c r="E36" s="1180"/>
      <c r="F36" s="1179" t="s">
        <v>1213</v>
      </c>
      <c r="G36" s="1180"/>
      <c r="H36" s="1180"/>
      <c r="I36" s="1426"/>
      <c r="J36" s="2366">
        <f ca="1">ROUND(J30*J33,0)</f>
        <v>-1659912</v>
      </c>
      <c r="K36" s="1180"/>
      <c r="L36" s="1180"/>
      <c r="M36" s="1180"/>
      <c r="N36" s="1180"/>
      <c r="O36" s="1180"/>
      <c r="P36" s="1180"/>
      <c r="Q36" s="1180"/>
      <c r="R36" s="1180"/>
      <c r="S36" s="1180"/>
      <c r="T36" s="1180"/>
      <c r="U36" s="1180"/>
      <c r="V36" s="1180"/>
      <c r="W36" s="1180"/>
      <c r="X36" s="1180"/>
    </row>
    <row r="37" spans="1:24" ht="13.5" thickTop="1">
      <c r="A37" s="1180"/>
      <c r="B37" s="1180"/>
      <c r="C37" s="1180"/>
      <c r="D37" s="1180"/>
      <c r="E37" s="1180"/>
      <c r="F37" s="1180"/>
      <c r="G37" s="1180"/>
      <c r="H37" s="1180"/>
      <c r="I37" s="1180"/>
      <c r="J37" s="1426"/>
      <c r="K37" s="1180"/>
      <c r="L37" s="1180"/>
      <c r="M37" s="1180"/>
      <c r="N37" s="1180"/>
      <c r="O37" s="1180"/>
      <c r="P37" s="1180"/>
      <c r="Q37" s="1180"/>
      <c r="R37" s="1180"/>
      <c r="S37" s="1180"/>
      <c r="T37" s="1180"/>
      <c r="U37" s="1180"/>
      <c r="V37" s="1180"/>
      <c r="W37" s="1180"/>
      <c r="X37" s="1180"/>
    </row>
    <row r="38" spans="1:24">
      <c r="A38" s="1180"/>
      <c r="B38" s="1180"/>
      <c r="C38" s="1180"/>
      <c r="D38" s="1180"/>
      <c r="E38" s="1180"/>
      <c r="F38" s="1180"/>
      <c r="G38" s="1180"/>
      <c r="H38" s="1180"/>
      <c r="I38" s="1180"/>
      <c r="J38" s="1180"/>
      <c r="K38" s="1180"/>
      <c r="L38" s="1180"/>
      <c r="M38" s="1180"/>
      <c r="N38" s="1180"/>
      <c r="O38" s="1180"/>
      <c r="P38" s="1180"/>
      <c r="Q38" s="1180"/>
      <c r="R38" s="1180"/>
      <c r="S38" s="1180"/>
      <c r="T38" s="1180"/>
      <c r="U38" s="1180"/>
      <c r="V38" s="1180"/>
      <c r="W38" s="1180"/>
      <c r="X38" s="1180"/>
    </row>
    <row r="39" spans="1:24">
      <c r="A39" s="1180"/>
      <c r="B39" s="1180"/>
      <c r="C39" s="1180"/>
      <c r="D39" s="1180"/>
      <c r="E39" s="1180"/>
      <c r="F39" s="1180"/>
      <c r="G39" s="1180"/>
      <c r="H39" s="1180"/>
      <c r="I39" s="1180"/>
      <c r="J39" s="1180"/>
      <c r="K39" s="1180"/>
      <c r="L39" s="1180"/>
      <c r="M39" s="1180"/>
      <c r="N39" s="1180"/>
      <c r="O39" s="1180"/>
      <c r="P39" s="1180"/>
      <c r="Q39" s="1180"/>
      <c r="R39" s="1180"/>
      <c r="S39" s="1180"/>
      <c r="T39" s="1180"/>
      <c r="U39" s="1180"/>
      <c r="V39" s="1180"/>
      <c r="W39" s="1180"/>
      <c r="X39" s="1180"/>
    </row>
    <row r="40" spans="1:24">
      <c r="A40" s="1179" t="s">
        <v>1237</v>
      </c>
      <c r="B40" s="1180"/>
      <c r="C40" s="1180"/>
      <c r="D40" s="2149" t="s">
        <v>593</v>
      </c>
      <c r="E40" s="1180"/>
      <c r="F40" s="1180"/>
      <c r="G40" s="1180"/>
      <c r="H40" s="1180"/>
      <c r="I40" s="1180"/>
      <c r="J40" s="1180"/>
      <c r="K40" s="1180"/>
      <c r="L40" s="1180"/>
      <c r="M40" s="1180"/>
      <c r="N40" s="1180"/>
      <c r="O40" s="1180"/>
      <c r="P40" s="1180"/>
      <c r="Q40" s="1180"/>
      <c r="R40" s="1180"/>
      <c r="S40" s="1180"/>
      <c r="T40" s="1180"/>
      <c r="U40" s="1180"/>
      <c r="V40" s="1180"/>
      <c r="W40" s="1180"/>
      <c r="X40" s="1180"/>
    </row>
    <row r="41" spans="1:24">
      <c r="A41" s="1179"/>
      <c r="B41" s="1180"/>
      <c r="C41" s="1180"/>
      <c r="D41" s="1180"/>
      <c r="E41" s="1180"/>
      <c r="F41" s="1180"/>
      <c r="G41" s="1180"/>
      <c r="H41" s="1180"/>
      <c r="I41" s="1180"/>
      <c r="J41" s="1180"/>
      <c r="K41" s="1180"/>
      <c r="L41" s="1180"/>
      <c r="M41" s="1180"/>
      <c r="N41" s="1180"/>
      <c r="O41" s="1180"/>
      <c r="P41" s="1180"/>
      <c r="Q41" s="1180"/>
      <c r="R41" s="1180"/>
      <c r="S41" s="1180"/>
      <c r="T41" s="1180"/>
      <c r="U41" s="1180"/>
      <c r="V41" s="1180"/>
      <c r="W41" s="1180"/>
      <c r="X41" s="1180"/>
    </row>
    <row r="42" spans="1:24">
      <c r="A42" s="1180"/>
      <c r="B42" s="1180"/>
      <c r="C42" s="1180"/>
      <c r="D42" s="1180"/>
      <c r="E42" s="1180"/>
      <c r="F42" s="1180"/>
      <c r="G42" s="1180"/>
      <c r="H42" s="1180"/>
      <c r="I42" s="1180"/>
      <c r="J42" s="1180"/>
      <c r="K42" s="1180"/>
      <c r="L42" s="1180"/>
      <c r="M42" s="1180"/>
      <c r="N42" s="1180"/>
      <c r="O42" s="1180"/>
      <c r="P42" s="1180"/>
      <c r="Q42" s="1180"/>
      <c r="R42" s="1180"/>
      <c r="S42" s="1180"/>
      <c r="T42" s="1180"/>
      <c r="U42" s="1180"/>
      <c r="V42" s="1180"/>
      <c r="W42" s="1180"/>
      <c r="X42" s="1180"/>
    </row>
    <row r="43" spans="1:24">
      <c r="A43" s="1180"/>
      <c r="B43" s="1180"/>
      <c r="C43" s="1180"/>
      <c r="D43" s="1180"/>
      <c r="E43" s="1180"/>
      <c r="F43" s="1180"/>
      <c r="G43" s="1180"/>
      <c r="H43" s="1180"/>
      <c r="I43" s="1180"/>
      <c r="J43" s="1180"/>
      <c r="K43" s="1180"/>
      <c r="L43" s="1180"/>
      <c r="M43" s="1180"/>
      <c r="N43" s="1180"/>
      <c r="O43" s="1180"/>
      <c r="P43" s="1180"/>
      <c r="Q43" s="1180"/>
      <c r="R43" s="1180"/>
      <c r="S43" s="1180"/>
      <c r="T43" s="1180"/>
      <c r="U43" s="1180"/>
      <c r="V43" s="1180"/>
      <c r="W43" s="1180"/>
      <c r="X43" s="1180"/>
    </row>
    <row r="44" spans="1:24">
      <c r="A44" s="1180"/>
      <c r="B44" s="1180"/>
      <c r="C44" s="1180"/>
      <c r="D44" s="1180"/>
      <c r="E44" s="1180"/>
      <c r="F44" s="1180"/>
      <c r="G44" s="1180"/>
      <c r="H44" s="1180"/>
      <c r="I44" s="1180"/>
      <c r="J44" s="1180"/>
      <c r="K44" s="1180"/>
      <c r="L44" s="1180"/>
      <c r="M44" s="1180"/>
      <c r="N44" s="1180"/>
      <c r="O44" s="1180"/>
      <c r="P44" s="1180"/>
      <c r="Q44" s="1180"/>
      <c r="R44" s="1180"/>
      <c r="S44" s="1180"/>
      <c r="T44" s="1180"/>
      <c r="U44" s="1180"/>
      <c r="V44" s="1180"/>
      <c r="W44" s="1180"/>
      <c r="X44" s="1180"/>
    </row>
    <row r="45" spans="1:24">
      <c r="A45" s="1180"/>
      <c r="B45" s="1180"/>
      <c r="C45" s="1180"/>
      <c r="D45" s="1180"/>
      <c r="E45" s="1180"/>
      <c r="F45" s="1180"/>
      <c r="G45" s="1180"/>
      <c r="H45" s="1180"/>
      <c r="I45" s="1180"/>
      <c r="J45" s="1180"/>
      <c r="K45" s="1180"/>
      <c r="L45" s="1180"/>
      <c r="M45" s="1180"/>
      <c r="N45" s="1180"/>
      <c r="O45" s="1180"/>
      <c r="P45" s="1180"/>
      <c r="Q45" s="1180"/>
      <c r="R45" s="1180"/>
      <c r="S45" s="1180"/>
      <c r="T45" s="1180"/>
      <c r="U45" s="1180"/>
      <c r="V45" s="1180"/>
      <c r="W45" s="1180"/>
      <c r="X45" s="1180"/>
    </row>
    <row r="46" spans="1:24">
      <c r="A46" s="1180"/>
      <c r="B46" s="1180"/>
      <c r="C46" s="1180"/>
      <c r="D46" s="1180"/>
      <c r="E46" s="1180"/>
      <c r="F46" s="1180"/>
      <c r="G46" s="1180"/>
      <c r="H46" s="1180"/>
      <c r="I46" s="1180"/>
      <c r="J46" s="1180"/>
      <c r="K46" s="1180"/>
      <c r="L46" s="1180"/>
      <c r="M46" s="1180"/>
      <c r="N46" s="1180"/>
      <c r="O46" s="1180"/>
      <c r="P46" s="1180"/>
      <c r="Q46" s="1180"/>
      <c r="R46" s="1180"/>
      <c r="S46" s="1180"/>
      <c r="T46" s="1180"/>
      <c r="U46" s="1180"/>
      <c r="V46" s="1180"/>
      <c r="W46" s="1180"/>
      <c r="X46" s="1180"/>
    </row>
    <row r="47" spans="1:24">
      <c r="A47" s="1180"/>
      <c r="B47" s="1180"/>
      <c r="C47" s="1180"/>
      <c r="D47" s="1180"/>
      <c r="E47" s="1180"/>
      <c r="F47" s="1180"/>
      <c r="G47" s="1180"/>
      <c r="H47" s="1180"/>
      <c r="I47" s="1180"/>
      <c r="J47" s="1180"/>
      <c r="K47" s="1180"/>
      <c r="L47" s="1180"/>
      <c r="M47" s="1180"/>
      <c r="N47" s="1180"/>
      <c r="O47" s="1180"/>
      <c r="P47" s="1180"/>
      <c r="Q47" s="1180"/>
      <c r="R47" s="1180"/>
      <c r="S47" s="1180"/>
      <c r="T47" s="1180"/>
      <c r="U47" s="1180"/>
      <c r="V47" s="1180"/>
      <c r="W47" s="1180"/>
      <c r="X47" s="1180"/>
    </row>
    <row r="48" spans="1:24">
      <c r="A48" s="1180"/>
      <c r="B48" s="1180"/>
      <c r="C48" s="1180"/>
      <c r="D48" s="1180"/>
      <c r="E48" s="1180"/>
      <c r="F48" s="1180"/>
      <c r="G48" s="1180"/>
      <c r="H48" s="1180"/>
      <c r="I48" s="1180"/>
      <c r="J48" s="1180"/>
      <c r="K48" s="1180"/>
      <c r="L48" s="1180"/>
      <c r="M48" s="1180"/>
      <c r="N48" s="1180"/>
      <c r="O48" s="1180"/>
      <c r="P48" s="1180"/>
      <c r="Q48" s="1180"/>
      <c r="R48" s="1180"/>
      <c r="S48" s="1180"/>
      <c r="T48" s="1180"/>
      <c r="U48" s="1180"/>
      <c r="V48" s="1180"/>
      <c r="W48" s="1180"/>
      <c r="X48" s="1180"/>
    </row>
    <row r="49" spans="1:24">
      <c r="A49" s="1180"/>
      <c r="B49" s="1180"/>
      <c r="C49" s="1180"/>
      <c r="D49" s="1180"/>
      <c r="E49" s="1180"/>
      <c r="F49" s="1180"/>
      <c r="G49" s="1180"/>
      <c r="H49" s="1180"/>
      <c r="I49" s="1180"/>
      <c r="J49" s="1180"/>
      <c r="K49" s="1180"/>
      <c r="L49" s="1180"/>
      <c r="M49" s="1180"/>
      <c r="N49" s="1180"/>
      <c r="O49" s="1180"/>
      <c r="P49" s="1180"/>
      <c r="Q49" s="1180"/>
      <c r="R49" s="1180"/>
      <c r="S49" s="1180"/>
      <c r="T49" s="1180"/>
      <c r="U49" s="1180"/>
      <c r="V49" s="1180"/>
      <c r="W49" s="1180"/>
      <c r="X49" s="1180"/>
    </row>
    <row r="50" spans="1:24">
      <c r="A50" s="1180"/>
      <c r="B50" s="1180"/>
      <c r="C50" s="1180"/>
      <c r="D50" s="1180"/>
      <c r="E50" s="1180"/>
      <c r="F50" s="1180"/>
      <c r="G50" s="1180"/>
      <c r="H50" s="1180"/>
      <c r="I50" s="1180"/>
      <c r="J50" s="1180"/>
      <c r="K50" s="1180"/>
      <c r="L50" s="1629" t="str">
        <f>COMPANY</f>
        <v>DUKE ENERGY KENTUCKY, INC.</v>
      </c>
      <c r="M50" s="530"/>
      <c r="N50" s="530"/>
      <c r="O50" s="530"/>
      <c r="P50" s="530"/>
      <c r="Q50" s="530"/>
      <c r="S50" s="1629" t="s">
        <v>1951</v>
      </c>
      <c r="T50" s="1178"/>
      <c r="U50" s="1180"/>
      <c r="V50" s="1180"/>
      <c r="W50" s="1180"/>
      <c r="X50" s="1180"/>
    </row>
    <row r="51" spans="1:24">
      <c r="A51" s="1180"/>
      <c r="B51" s="1180"/>
      <c r="C51" s="1180"/>
      <c r="D51" s="1180"/>
      <c r="E51" s="1180"/>
      <c r="F51" s="1180"/>
      <c r="G51" s="1180"/>
      <c r="H51" s="1180"/>
      <c r="I51" s="1180"/>
      <c r="J51" s="1180"/>
      <c r="K51" s="1180"/>
      <c r="L51" s="1629" t="str">
        <f>DEPT</f>
        <v>ELECTRIC DEPARTMENT</v>
      </c>
      <c r="M51" s="530"/>
      <c r="N51" s="530"/>
      <c r="O51" s="530"/>
      <c r="P51" s="530"/>
      <c r="Q51" s="530"/>
      <c r="S51" s="1629" t="s">
        <v>1239</v>
      </c>
      <c r="T51" s="1178"/>
      <c r="U51" s="1180"/>
      <c r="V51" s="1180"/>
      <c r="W51" s="1180"/>
      <c r="X51" s="1180"/>
    </row>
    <row r="52" spans="1:24">
      <c r="A52" s="1180"/>
      <c r="B52" s="1180"/>
      <c r="C52" s="1180"/>
      <c r="D52" s="1180"/>
      <c r="E52" s="1180"/>
      <c r="F52" s="1180"/>
      <c r="G52" s="1180"/>
      <c r="H52" s="1180"/>
      <c r="I52" s="1180"/>
      <c r="J52" s="1180"/>
      <c r="K52" s="1180"/>
      <c r="L52" s="1629" t="str">
        <f>CASE</f>
        <v>CASE NO. 2017-00321</v>
      </c>
      <c r="M52" s="530"/>
      <c r="N52" s="530"/>
      <c r="O52" s="530"/>
      <c r="P52" s="530"/>
      <c r="Q52" s="530"/>
      <c r="S52" s="530" t="str">
        <f>_WIT10</f>
        <v>R. H. PRATT</v>
      </c>
      <c r="T52" s="1178"/>
      <c r="U52" s="1180"/>
      <c r="V52" s="1180"/>
      <c r="W52" s="1180"/>
      <c r="X52" s="1180"/>
    </row>
    <row r="53" spans="1:24">
      <c r="A53" s="1180"/>
      <c r="B53" s="1180"/>
      <c r="C53" s="1180"/>
      <c r="D53" s="1180"/>
      <c r="E53" s="1180"/>
      <c r="F53" s="1180"/>
      <c r="G53" s="1180"/>
      <c r="H53" s="1180"/>
      <c r="I53" s="1180"/>
      <c r="J53" s="1180"/>
      <c r="K53" s="1180"/>
      <c r="L53" s="1629" t="s">
        <v>1297</v>
      </c>
      <c r="M53" s="530"/>
      <c r="N53" s="530"/>
      <c r="O53" s="530"/>
      <c r="P53" s="530"/>
      <c r="Q53" s="530"/>
      <c r="R53" s="2107"/>
      <c r="S53" s="530"/>
      <c r="T53" s="1178"/>
      <c r="U53" s="1180"/>
      <c r="V53" s="1180"/>
      <c r="W53" s="1180"/>
      <c r="X53" s="1180"/>
    </row>
    <row r="54" spans="1:24">
      <c r="A54" s="1180"/>
      <c r="B54" s="1180"/>
      <c r="C54" s="1180"/>
      <c r="D54" s="1180"/>
      <c r="E54" s="1180"/>
      <c r="F54" s="1180"/>
      <c r="G54" s="1180"/>
      <c r="H54" s="1180"/>
      <c r="I54" s="1180"/>
      <c r="J54" s="1180"/>
      <c r="K54" s="1180"/>
      <c r="L54" s="1629"/>
      <c r="M54" s="530"/>
      <c r="N54" s="530"/>
      <c r="O54" s="530"/>
      <c r="P54" s="530"/>
      <c r="Q54" s="530"/>
      <c r="R54" s="530"/>
      <c r="S54" s="530"/>
      <c r="T54" s="1178"/>
      <c r="U54" s="1180"/>
      <c r="V54" s="1180"/>
      <c r="W54" s="1180"/>
      <c r="X54" s="1180"/>
    </row>
    <row r="55" spans="1:24">
      <c r="A55" s="1180"/>
      <c r="B55" s="1180"/>
      <c r="C55" s="1180"/>
      <c r="D55" s="1180"/>
      <c r="E55" s="1180"/>
      <c r="F55" s="1180"/>
      <c r="G55" s="1180"/>
      <c r="H55" s="1180"/>
      <c r="I55" s="1180"/>
      <c r="J55" s="1180"/>
      <c r="K55" s="1180"/>
      <c r="L55" s="1178"/>
      <c r="M55" s="1178"/>
      <c r="N55" s="1178"/>
      <c r="O55" s="1178"/>
      <c r="P55" s="1178"/>
      <c r="Q55" s="1178"/>
      <c r="R55" s="1178"/>
      <c r="S55" s="1178"/>
      <c r="T55" s="1178"/>
      <c r="U55" s="1180"/>
      <c r="V55" s="1180"/>
      <c r="W55" s="1180"/>
      <c r="X55" s="1180"/>
    </row>
    <row r="56" spans="1:24">
      <c r="A56" s="1180"/>
      <c r="B56" s="1180"/>
      <c r="C56" s="1180"/>
      <c r="D56" s="1180"/>
      <c r="E56" s="1180"/>
      <c r="F56" s="1180"/>
      <c r="G56" s="1180"/>
      <c r="H56" s="1180"/>
      <c r="I56" s="1180"/>
      <c r="J56" s="1180"/>
      <c r="K56" s="1180"/>
      <c r="L56" s="1178"/>
      <c r="M56" s="1178"/>
      <c r="N56" s="1178"/>
      <c r="O56" s="1178"/>
      <c r="P56" s="1178"/>
      <c r="Q56" s="1178"/>
      <c r="R56" s="1178"/>
      <c r="S56" s="1178"/>
      <c r="T56" s="1178"/>
      <c r="U56" s="1180"/>
      <c r="V56" s="1180"/>
      <c r="W56" s="1180"/>
      <c r="X56" s="1180"/>
    </row>
    <row r="57" spans="1:24">
      <c r="A57" s="1180"/>
      <c r="B57" s="1180"/>
      <c r="C57" s="1180"/>
      <c r="D57" s="1180"/>
      <c r="E57" s="1180"/>
      <c r="F57" s="1180"/>
      <c r="G57" s="1180"/>
      <c r="H57" s="1180"/>
      <c r="I57" s="1180"/>
      <c r="J57" s="1180"/>
      <c r="K57" s="1180"/>
      <c r="L57" s="1178"/>
      <c r="M57" s="1178"/>
      <c r="N57" s="1178"/>
      <c r="O57" s="1178"/>
      <c r="P57" s="2367" t="s">
        <v>510</v>
      </c>
      <c r="Q57" s="2367"/>
      <c r="R57" s="2367"/>
      <c r="S57" s="1178"/>
      <c r="T57" s="1178"/>
      <c r="U57" s="1180"/>
      <c r="V57" s="1180"/>
      <c r="W57" s="1180"/>
      <c r="X57" s="1180"/>
    </row>
    <row r="58" spans="1:24">
      <c r="A58" s="1180"/>
      <c r="B58" s="1180"/>
      <c r="C58" s="1180"/>
      <c r="D58" s="1180"/>
      <c r="E58" s="1180"/>
      <c r="F58" s="1180"/>
      <c r="G58" s="1180"/>
      <c r="H58" s="1180"/>
      <c r="I58" s="1180"/>
      <c r="J58" s="1180"/>
      <c r="K58" s="1180"/>
      <c r="L58" s="1423" t="s">
        <v>1240</v>
      </c>
      <c r="M58" s="1423"/>
      <c r="N58" s="1423"/>
      <c r="O58" s="1423"/>
      <c r="P58" s="1423" t="s">
        <v>1117</v>
      </c>
      <c r="Q58" s="1423"/>
      <c r="R58" s="1423" t="s">
        <v>626</v>
      </c>
      <c r="S58" s="1423"/>
      <c r="T58" s="1423"/>
      <c r="U58" s="1180"/>
      <c r="V58" s="1180"/>
      <c r="W58" s="1180"/>
      <c r="X58" s="1180"/>
    </row>
    <row r="59" spans="1:24">
      <c r="A59" s="1180"/>
      <c r="B59" s="1180"/>
      <c r="C59" s="1180"/>
      <c r="D59" s="1180"/>
      <c r="E59" s="1180"/>
      <c r="F59" s="1180"/>
      <c r="G59" s="1180"/>
      <c r="H59" s="1180"/>
      <c r="I59" s="1180"/>
      <c r="J59" s="1180"/>
      <c r="K59" s="1180"/>
      <c r="L59" s="1424" t="s">
        <v>1241</v>
      </c>
      <c r="M59" s="1424"/>
      <c r="N59" s="2368" t="s">
        <v>1119</v>
      </c>
      <c r="O59" s="1424"/>
      <c r="P59" s="1424" t="s">
        <v>1120</v>
      </c>
      <c r="Q59" s="1424"/>
      <c r="R59" s="1424" t="s">
        <v>1120</v>
      </c>
      <c r="S59" s="1424"/>
      <c r="T59" s="1424" t="s">
        <v>646</v>
      </c>
      <c r="U59" s="1180"/>
      <c r="V59" s="1180"/>
      <c r="W59" s="1180"/>
      <c r="X59" s="1180"/>
    </row>
    <row r="60" spans="1:24">
      <c r="A60" s="1180"/>
      <c r="B60" s="1180"/>
      <c r="C60" s="1180"/>
      <c r="D60" s="1180"/>
      <c r="E60" s="1180"/>
      <c r="F60" s="1180"/>
      <c r="G60" s="1180"/>
      <c r="H60" s="1180"/>
      <c r="I60" s="1180"/>
      <c r="J60" s="1180"/>
      <c r="K60" s="1180"/>
      <c r="L60" s="1423"/>
      <c r="M60" s="1178"/>
      <c r="N60" s="1502"/>
      <c r="O60" s="1178"/>
      <c r="P60" s="1180"/>
      <c r="Q60" s="1180"/>
      <c r="R60" s="1180"/>
      <c r="S60" s="1180"/>
      <c r="T60" s="1180"/>
      <c r="U60" s="1180"/>
      <c r="V60" s="1180"/>
      <c r="W60" s="1180"/>
      <c r="X60" s="1180"/>
    </row>
    <row r="61" spans="1:24">
      <c r="A61" s="1180"/>
      <c r="B61" s="1180"/>
      <c r="C61" s="1180"/>
      <c r="D61" s="1180"/>
      <c r="E61" s="1180"/>
      <c r="F61" s="1180"/>
      <c r="G61" s="1180"/>
      <c r="H61" s="1180"/>
      <c r="I61" s="1180"/>
      <c r="J61" s="1180"/>
      <c r="K61" s="1180"/>
      <c r="L61" s="1423">
        <v>1</v>
      </c>
      <c r="M61" s="1178"/>
      <c r="N61" s="1502" t="s">
        <v>1298</v>
      </c>
      <c r="O61" s="1178"/>
      <c r="P61" s="1180"/>
      <c r="Q61" s="1180"/>
      <c r="R61" s="1180"/>
      <c r="S61" s="1180"/>
      <c r="T61" s="1180"/>
      <c r="U61" s="1180"/>
      <c r="V61" s="1180"/>
      <c r="W61" s="1180"/>
      <c r="X61" s="1180"/>
    </row>
    <row r="62" spans="1:24">
      <c r="A62" s="1180"/>
      <c r="B62" s="1180"/>
      <c r="C62" s="1180"/>
      <c r="D62" s="1180"/>
      <c r="E62" s="1180"/>
      <c r="F62" s="1180"/>
      <c r="G62" s="1180"/>
      <c r="H62" s="1180"/>
      <c r="I62" s="1180"/>
      <c r="J62" s="1180"/>
      <c r="K62" s="1180"/>
      <c r="L62" s="1423">
        <v>2</v>
      </c>
      <c r="M62" s="1178"/>
      <c r="N62" s="2361" t="s">
        <v>1861</v>
      </c>
      <c r="O62" s="1178"/>
      <c r="P62" s="1732">
        <f ca="1">SUM(SCH_D1!G48:O48)+SUM(SCH_D1!E110:O110)+SUM(SCH_D1!E172:I172)</f>
        <v>-1636354</v>
      </c>
      <c r="Q62" s="1377"/>
      <c r="R62" s="1732">
        <f ca="1">SCH_D1!U234</f>
        <v>395485</v>
      </c>
      <c r="S62" s="1178"/>
      <c r="T62" s="2260">
        <f ca="1">R62+P62</f>
        <v>-1240869</v>
      </c>
      <c r="U62" s="1180"/>
      <c r="V62" s="1180"/>
      <c r="W62" s="1180"/>
      <c r="X62" s="1180"/>
    </row>
    <row r="63" spans="1:24">
      <c r="A63" s="1180"/>
      <c r="B63" s="1180"/>
      <c r="C63" s="1180"/>
      <c r="D63" s="1180"/>
      <c r="E63" s="1180"/>
      <c r="F63" s="1180"/>
      <c r="G63" s="1180"/>
      <c r="H63" s="1180"/>
      <c r="I63" s="1180"/>
      <c r="J63" s="1180"/>
      <c r="K63" s="1180"/>
      <c r="L63" s="1423">
        <v>3</v>
      </c>
      <c r="M63" s="1178"/>
      <c r="N63" s="2361" t="s">
        <v>1862</v>
      </c>
      <c r="O63" s="1178"/>
      <c r="P63" s="2272">
        <f ca="1">SUM(SCH_D1!G53:O53)+SUM(SCH_D1!E115:O115)+SUM(SCH_D1!E177:I177)</f>
        <v>-10142002</v>
      </c>
      <c r="Q63" s="1377"/>
      <c r="R63" s="2272">
        <f ca="1">SCH_D1!U239</f>
        <v>2451199</v>
      </c>
      <c r="S63" s="1178"/>
      <c r="T63" s="2272">
        <f ca="1">R63+P63</f>
        <v>-7690803</v>
      </c>
      <c r="U63" s="1180"/>
      <c r="V63" s="1180"/>
      <c r="W63" s="1180"/>
      <c r="X63" s="1180"/>
    </row>
    <row r="64" spans="1:24">
      <c r="A64" s="1180"/>
      <c r="B64" s="1180"/>
      <c r="C64" s="1180"/>
      <c r="D64" s="1180"/>
      <c r="E64" s="1180"/>
      <c r="F64" s="1180"/>
      <c r="G64" s="1180"/>
      <c r="H64" s="1180"/>
      <c r="I64" s="1180"/>
      <c r="J64" s="1180"/>
      <c r="K64" s="1180"/>
      <c r="L64" s="1423">
        <v>4</v>
      </c>
      <c r="M64" s="1178"/>
      <c r="N64" s="1179"/>
      <c r="O64" s="1178"/>
      <c r="P64" s="1732"/>
      <c r="Q64" s="1377"/>
      <c r="R64" s="1732"/>
      <c r="S64" s="1178"/>
      <c r="T64" s="2260"/>
      <c r="U64" s="1180"/>
      <c r="V64" s="1180"/>
      <c r="W64" s="1180"/>
      <c r="X64" s="1180"/>
    </row>
    <row r="65" spans="1:24">
      <c r="A65" s="1180"/>
      <c r="B65" s="1180"/>
      <c r="C65" s="1180"/>
      <c r="D65" s="1180"/>
      <c r="E65" s="1180"/>
      <c r="F65" s="1180"/>
      <c r="G65" s="1180"/>
      <c r="H65" s="1180"/>
      <c r="I65" s="1180"/>
      <c r="J65" s="1180"/>
      <c r="K65" s="1180"/>
      <c r="L65" s="1423">
        <v>5</v>
      </c>
      <c r="M65" s="1178"/>
      <c r="N65" s="1502" t="s">
        <v>1299</v>
      </c>
      <c r="O65" s="1178"/>
      <c r="P65" s="2125"/>
      <c r="Q65" s="2125"/>
      <c r="R65" s="2125"/>
      <c r="S65" s="1180"/>
      <c r="T65" s="1180"/>
      <c r="U65" s="1180"/>
      <c r="V65" s="1180"/>
      <c r="W65" s="1180"/>
      <c r="X65" s="1180"/>
    </row>
    <row r="66" spans="1:24">
      <c r="A66" s="1180"/>
      <c r="B66" s="1180"/>
      <c r="C66" s="1180"/>
      <c r="D66" s="1180"/>
      <c r="E66" s="1180"/>
      <c r="F66" s="1180"/>
      <c r="G66" s="1180"/>
      <c r="H66" s="1180"/>
      <c r="I66" s="1180"/>
      <c r="J66" s="1180"/>
      <c r="K66" s="1180"/>
      <c r="L66" s="1423">
        <v>6</v>
      </c>
      <c r="M66" s="1178"/>
      <c r="N66" s="2361" t="s">
        <v>1861</v>
      </c>
      <c r="O66" s="1178"/>
      <c r="P66" s="2272">
        <f ca="1">SCH_E1!I78</f>
        <v>338500</v>
      </c>
      <c r="Q66" s="2272"/>
      <c r="R66" s="2272">
        <f ca="1">SCH_E1!L78</f>
        <v>395485</v>
      </c>
      <c r="S66" s="1377"/>
      <c r="T66" s="2272">
        <f ca="1">R66+P66</f>
        <v>733985</v>
      </c>
      <c r="U66" s="1180"/>
      <c r="V66" s="1180"/>
      <c r="W66" s="1180"/>
      <c r="X66" s="1180"/>
    </row>
    <row r="67" spans="1:24">
      <c r="A67" s="1180"/>
      <c r="B67" s="1180"/>
      <c r="C67" s="1180"/>
      <c r="D67" s="1180"/>
      <c r="E67" s="1180"/>
      <c r="F67" s="1180"/>
      <c r="G67" s="1180"/>
      <c r="H67" s="1180"/>
      <c r="I67" s="1180"/>
      <c r="J67" s="1180"/>
      <c r="K67" s="1180"/>
      <c r="L67" s="1423">
        <v>7</v>
      </c>
      <c r="M67" s="1178"/>
      <c r="N67" s="2361" t="s">
        <v>1862</v>
      </c>
      <c r="O67" s="1178"/>
      <c r="P67" s="2272">
        <f ca="1">SCH_E1!I121</f>
        <v>-1289121</v>
      </c>
      <c r="Q67" s="2272"/>
      <c r="R67" s="2272">
        <f ca="1">SCH_E1!L121</f>
        <v>2451199</v>
      </c>
      <c r="S67" s="1178"/>
      <c r="T67" s="2272">
        <f ca="1">R67+P67</f>
        <v>1162078</v>
      </c>
      <c r="U67" s="1180"/>
      <c r="V67" s="1180"/>
      <c r="W67" s="1180"/>
      <c r="X67" s="1180"/>
    </row>
    <row r="68" spans="1:24">
      <c r="A68" s="1180"/>
      <c r="B68" s="1180"/>
      <c r="C68" s="1180"/>
      <c r="D68" s="1180"/>
      <c r="E68" s="1180"/>
      <c r="F68" s="1180"/>
      <c r="G68" s="1180"/>
      <c r="H68" s="1180"/>
      <c r="I68" s="1180"/>
      <c r="J68" s="1180"/>
      <c r="K68" s="1180"/>
      <c r="L68" s="1423">
        <v>8</v>
      </c>
      <c r="M68" s="1178"/>
      <c r="N68" s="2361"/>
      <c r="O68" s="1178"/>
      <c r="P68" s="1732"/>
      <c r="Q68" s="1377"/>
      <c r="R68" s="1732"/>
      <c r="S68" s="1178"/>
      <c r="T68" s="1732"/>
      <c r="U68" s="1180"/>
      <c r="V68" s="1180"/>
      <c r="W68" s="1180"/>
      <c r="X68" s="1180"/>
    </row>
    <row r="69" spans="1:24">
      <c r="A69" s="1180"/>
      <c r="B69" s="1180"/>
      <c r="C69" s="1180"/>
      <c r="D69" s="1180"/>
      <c r="E69" s="1180"/>
      <c r="F69" s="1180"/>
      <c r="G69" s="1180"/>
      <c r="H69" s="1180"/>
      <c r="I69" s="1180"/>
      <c r="J69" s="1180"/>
      <c r="K69" s="1180"/>
      <c r="L69" s="1423">
        <v>9</v>
      </c>
      <c r="M69" s="1178"/>
      <c r="N69" s="1502" t="s">
        <v>1847</v>
      </c>
      <c r="O69" s="1178"/>
      <c r="P69" s="1377"/>
      <c r="Q69" s="1377"/>
      <c r="R69" s="1377"/>
      <c r="S69" s="1178"/>
      <c r="T69" s="1178"/>
      <c r="U69" s="1180"/>
      <c r="V69" s="1180"/>
      <c r="W69" s="1180"/>
      <c r="X69" s="1180"/>
    </row>
    <row r="70" spans="1:24">
      <c r="L70" s="1423">
        <v>10</v>
      </c>
      <c r="N70" s="2361" t="s">
        <v>1861</v>
      </c>
      <c r="P70" s="2272">
        <f ca="1">P66-P62</f>
        <v>1974854</v>
      </c>
      <c r="R70" s="2272">
        <f ca="1">R66-R62</f>
        <v>0</v>
      </c>
      <c r="T70" s="2272">
        <f ca="1">R70+P70</f>
        <v>1974854</v>
      </c>
    </row>
    <row r="71" spans="1:24">
      <c r="L71" s="1423">
        <v>11</v>
      </c>
      <c r="N71" s="2361" t="s">
        <v>1862</v>
      </c>
      <c r="P71" s="2272">
        <f ca="1">P67-P63</f>
        <v>8852881</v>
      </c>
      <c r="R71" s="2272">
        <f ca="1">R67-R63</f>
        <v>0</v>
      </c>
      <c r="T71" s="2272">
        <f ca="1">R71+P71</f>
        <v>8852881</v>
      </c>
    </row>
    <row r="76" spans="1:24">
      <c r="T76" s="1346" t="s">
        <v>1244</v>
      </c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tabColor theme="7" tint="-0.249977111117893"/>
  </sheetPr>
  <dimension ref="A1:S59"/>
  <sheetViews>
    <sheetView tabSelected="1" view="pageLayout" zoomScaleNormal="100" workbookViewId="0">
      <selection activeCell="G1" sqref="G1"/>
    </sheetView>
  </sheetViews>
  <sheetFormatPr defaultColWidth="8.85546875" defaultRowHeight="12.75"/>
  <cols>
    <col min="1" max="1" width="24.28515625" style="18" customWidth="1"/>
    <col min="2" max="3" width="8.85546875" style="18"/>
    <col min="4" max="4" width="16.42578125" style="18" customWidth="1"/>
    <col min="5" max="6" width="8.85546875" style="18"/>
    <col min="7" max="7" width="20.5703125" style="18" customWidth="1"/>
    <col min="8" max="8" width="8.85546875" style="18"/>
    <col min="9" max="9" width="7.140625" style="18" customWidth="1"/>
    <col min="10" max="10" width="0.85546875" style="18" customWidth="1"/>
    <col min="11" max="11" width="13.140625" style="18" customWidth="1"/>
    <col min="12" max="12" width="2.28515625" style="18" customWidth="1"/>
    <col min="13" max="13" width="27.42578125" style="18" customWidth="1"/>
    <col min="14" max="14" width="2.42578125" style="18" customWidth="1"/>
    <col min="15" max="15" width="11.7109375" style="18" customWidth="1"/>
    <col min="16" max="16" width="13.7109375" style="18" customWidth="1"/>
    <col min="17" max="17" width="12.7109375" style="18" customWidth="1"/>
    <col min="18" max="18" width="14.85546875" style="18" customWidth="1"/>
    <col min="19" max="16384" width="8.85546875" style="18"/>
  </cols>
  <sheetData>
    <row r="1" spans="1:7">
      <c r="A1" s="229" t="str">
        <f>COMPANY</f>
        <v>DUKE ENERGY KENTUCKY, INC.</v>
      </c>
      <c r="B1" s="397"/>
      <c r="C1" s="397"/>
      <c r="D1" s="397"/>
      <c r="E1" s="397"/>
      <c r="F1" s="397"/>
      <c r="G1" s="397"/>
    </row>
    <row r="2" spans="1:7">
      <c r="A2" s="229" t="str">
        <f>CASE</f>
        <v>CASE NO. 2017-00321</v>
      </c>
      <c r="B2" s="397"/>
      <c r="C2" s="397"/>
      <c r="D2" s="397"/>
      <c r="E2" s="397"/>
      <c r="F2" s="397"/>
      <c r="G2" s="397"/>
    </row>
    <row r="3" spans="1:7">
      <c r="A3" s="1726" t="s">
        <v>3039</v>
      </c>
      <c r="B3" s="397"/>
      <c r="C3" s="397"/>
      <c r="D3" s="397"/>
      <c r="E3" s="397"/>
      <c r="F3" s="397"/>
      <c r="G3" s="397"/>
    </row>
    <row r="4" spans="1:7">
      <c r="A4" s="1445" t="str">
        <f>PeriodF</f>
        <v>FOR THE TWELVE MONTHS ENDED MARCH 31, 2019</v>
      </c>
      <c r="B4" s="397"/>
      <c r="C4" s="397"/>
      <c r="D4" s="397"/>
      <c r="E4" s="397"/>
      <c r="F4" s="397"/>
      <c r="G4" s="397"/>
    </row>
    <row r="5" spans="1:7">
      <c r="A5" s="529"/>
      <c r="B5" s="1571"/>
      <c r="C5" s="1571"/>
      <c r="D5" s="1571"/>
      <c r="E5" s="1571"/>
      <c r="F5" s="1571"/>
      <c r="G5" s="1571"/>
    </row>
    <row r="6" spans="1:7">
      <c r="A6" s="1446" t="str">
        <f>DataF</f>
        <v>DATA:  BASE PERIOD  "X" FORECASTED PERIOD</v>
      </c>
      <c r="B6" s="1571"/>
      <c r="C6" s="1571"/>
      <c r="D6" s="1571"/>
      <c r="E6" s="1571"/>
      <c r="F6" s="396" t="s">
        <v>517</v>
      </c>
      <c r="G6" s="1571"/>
    </row>
    <row r="7" spans="1:7">
      <c r="A7" s="1446" t="str">
        <f>Type</f>
        <v xml:space="preserve">TYPE OF FILING:  "X" ORIGINAL   UPDATED    REVISED  </v>
      </c>
      <c r="B7" s="1571"/>
      <c r="C7" s="1571"/>
      <c r="D7" s="1571"/>
      <c r="E7" s="1571"/>
      <c r="F7" s="396" t="s">
        <v>620</v>
      </c>
      <c r="G7" s="1571"/>
    </row>
    <row r="8" spans="1:7">
      <c r="A8" s="461" t="s">
        <v>3042</v>
      </c>
      <c r="B8" s="1571"/>
      <c r="C8" s="1571"/>
      <c r="D8" s="1571"/>
      <c r="E8" s="1571"/>
      <c r="F8" s="396" t="s">
        <v>622</v>
      </c>
      <c r="G8" s="1571"/>
    </row>
    <row r="9" spans="1:7">
      <c r="A9" s="529"/>
      <c r="B9" s="1571"/>
      <c r="C9" s="1571"/>
      <c r="D9" s="1571"/>
      <c r="E9" s="1571"/>
      <c r="F9" s="396" t="str">
        <f>_WIT7</f>
        <v>R. H. PRATT / C. S. LEE</v>
      </c>
      <c r="G9" s="1571"/>
    </row>
    <row r="10" spans="1:7">
      <c r="A10" s="1447"/>
      <c r="B10" s="180"/>
      <c r="C10" s="180"/>
      <c r="D10" s="180"/>
      <c r="E10" s="180"/>
      <c r="F10" s="180"/>
      <c r="G10" s="180"/>
    </row>
    <row r="11" spans="1:7">
      <c r="A11" s="1448"/>
      <c r="B11" s="638"/>
      <c r="C11" s="638"/>
      <c r="D11" s="638"/>
      <c r="E11" s="638"/>
      <c r="F11" s="638"/>
      <c r="G11" s="638"/>
    </row>
    <row r="12" spans="1:7">
      <c r="A12" s="1443" t="s">
        <v>1246</v>
      </c>
      <c r="B12" s="1571"/>
      <c r="C12" s="1571"/>
      <c r="D12" s="1571"/>
      <c r="E12" s="1571"/>
      <c r="F12" s="1571"/>
      <c r="G12" s="2741" t="s">
        <v>364</v>
      </c>
    </row>
    <row r="13" spans="1:7">
      <c r="A13" s="1447"/>
      <c r="B13" s="1774"/>
      <c r="C13" s="1774"/>
      <c r="D13" s="1774"/>
      <c r="E13" s="1774"/>
      <c r="F13" s="1774"/>
      <c r="G13" s="1774"/>
    </row>
    <row r="14" spans="1:7">
      <c r="A14" s="1448"/>
      <c r="B14" s="1571"/>
      <c r="C14" s="1571"/>
      <c r="D14" s="1571"/>
      <c r="E14" s="1571"/>
      <c r="F14" s="1571"/>
      <c r="G14" s="1571"/>
    </row>
    <row r="15" spans="1:7">
      <c r="A15" s="1378" t="s">
        <v>3037</v>
      </c>
      <c r="B15" s="1571"/>
      <c r="C15" s="1571"/>
      <c r="D15" s="1571"/>
      <c r="E15" s="1571"/>
      <c r="F15" s="1571"/>
      <c r="G15" s="1571"/>
    </row>
    <row r="16" spans="1:7">
      <c r="A16" s="1378" t="s">
        <v>3038</v>
      </c>
      <c r="B16" s="1571"/>
      <c r="C16" s="1571"/>
      <c r="D16" s="1571"/>
      <c r="E16" s="1571"/>
      <c r="F16" s="1571"/>
      <c r="G16" s="1571"/>
    </row>
    <row r="17" spans="1:19">
      <c r="A17" s="1378" t="s">
        <v>3326</v>
      </c>
      <c r="B17" s="1571"/>
      <c r="C17" s="1571"/>
      <c r="D17" s="1571"/>
      <c r="E17" s="1571"/>
      <c r="F17" s="1571"/>
      <c r="G17" s="1571"/>
    </row>
    <row r="18" spans="1:19">
      <c r="A18" s="396"/>
      <c r="B18" s="1571"/>
      <c r="C18" s="1571"/>
      <c r="D18" s="1571"/>
      <c r="E18" s="1571"/>
      <c r="F18" s="1571"/>
      <c r="G18" s="1571"/>
    </row>
    <row r="19" spans="1:19">
      <c r="A19" s="1430" t="s">
        <v>1187</v>
      </c>
      <c r="B19" s="529"/>
      <c r="C19" s="529"/>
      <c r="D19" s="529"/>
      <c r="E19" s="529"/>
      <c r="F19" s="529"/>
      <c r="G19" s="531">
        <f>P53</f>
        <v>463931</v>
      </c>
    </row>
    <row r="20" spans="1:19">
      <c r="A20" s="1450"/>
      <c r="B20" s="529"/>
      <c r="C20" s="529"/>
      <c r="D20" s="529"/>
      <c r="E20" s="529"/>
      <c r="F20" s="529"/>
      <c r="G20" s="529"/>
    </row>
    <row r="21" spans="1:19">
      <c r="A21" s="1430" t="s">
        <v>266</v>
      </c>
      <c r="B21" s="529"/>
      <c r="C21" s="529"/>
      <c r="D21" s="529"/>
      <c r="E21" s="529"/>
      <c r="F21" s="529"/>
      <c r="G21" s="1451">
        <f>VLOOKUP(B27,ALLOCTABLE,2)/100</f>
        <v>1</v>
      </c>
    </row>
    <row r="22" spans="1:19">
      <c r="A22" s="1450"/>
      <c r="B22" s="529"/>
      <c r="C22" s="529"/>
      <c r="D22" s="529"/>
      <c r="E22" s="529"/>
      <c r="F22" s="529"/>
      <c r="G22" s="529"/>
    </row>
    <row r="23" spans="1:19" ht="15">
      <c r="A23" s="1430" t="s">
        <v>1236</v>
      </c>
      <c r="B23" s="529"/>
      <c r="C23" s="529"/>
      <c r="D23" s="1432" t="s">
        <v>709</v>
      </c>
      <c r="E23" s="529"/>
      <c r="F23" s="529"/>
      <c r="G23" s="1427">
        <f>ROUND(G19*G21,0)</f>
        <v>463931</v>
      </c>
    </row>
    <row r="24" spans="1:19">
      <c r="A24" s="1430"/>
      <c r="B24" s="529"/>
      <c r="C24" s="529"/>
      <c r="D24" s="529"/>
      <c r="E24" s="529"/>
      <c r="F24" s="529"/>
      <c r="G24" s="529"/>
    </row>
    <row r="25" spans="1:19">
      <c r="A25" s="1450"/>
      <c r="B25" s="529"/>
      <c r="C25" s="529"/>
      <c r="D25" s="529"/>
      <c r="E25" s="529"/>
      <c r="F25" s="529"/>
      <c r="G25" s="529"/>
      <c r="H25" s="529"/>
    </row>
    <row r="26" spans="1:19">
      <c r="A26" s="1450"/>
      <c r="B26" s="529"/>
      <c r="C26" s="529"/>
      <c r="D26" s="529"/>
      <c r="E26" s="529"/>
      <c r="F26" s="529"/>
      <c r="G26" s="529"/>
      <c r="H26" s="529"/>
    </row>
    <row r="27" spans="1:19">
      <c r="A27" s="1453" t="s">
        <v>1237</v>
      </c>
      <c r="B27" s="1454" t="s">
        <v>593</v>
      </c>
      <c r="C27" s="1446"/>
      <c r="D27" s="529"/>
      <c r="E27" s="529"/>
      <c r="F27" s="529"/>
      <c r="G27" s="529"/>
      <c r="H27" s="529"/>
    </row>
    <row r="28" spans="1:19">
      <c r="A28" s="1180"/>
      <c r="B28" s="1180"/>
      <c r="C28" s="1180"/>
      <c r="D28" s="1180"/>
      <c r="E28" s="1571"/>
      <c r="F28" s="239"/>
      <c r="G28" s="1426"/>
    </row>
    <row r="29" spans="1:19">
      <c r="A29" s="1179"/>
      <c r="B29" s="1180"/>
      <c r="C29" s="1180"/>
      <c r="D29" s="1462"/>
      <c r="E29" s="1571"/>
      <c r="F29" s="239"/>
      <c r="G29" s="1483"/>
    </row>
    <row r="30" spans="1:19">
      <c r="A30" s="1180"/>
      <c r="B30" s="1180"/>
      <c r="C30" s="1180"/>
      <c r="D30" s="1180"/>
      <c r="E30" s="1571"/>
      <c r="F30" s="1571"/>
      <c r="G30" s="1180"/>
    </row>
    <row r="31" spans="1:19">
      <c r="A31" s="1179"/>
      <c r="B31" s="1180"/>
      <c r="C31" s="1180"/>
      <c r="D31" s="1180"/>
      <c r="E31" s="1571"/>
      <c r="F31" s="1571"/>
      <c r="G31" s="1425"/>
    </row>
    <row r="32" spans="1:19">
      <c r="A32" s="1180"/>
      <c r="B32" s="1180"/>
      <c r="C32" s="1180"/>
      <c r="D32" s="1180"/>
      <c r="E32" s="1571"/>
      <c r="F32" s="1571"/>
      <c r="G32" s="1426"/>
      <c r="I32" s="1429" t="str">
        <f>COMPANY</f>
        <v>DUKE ENERGY KENTUCKY, INC.</v>
      </c>
      <c r="J32" s="529"/>
      <c r="K32" s="529"/>
      <c r="L32" s="529"/>
      <c r="M32" s="529"/>
      <c r="N32" s="529"/>
      <c r="P32" s="1430" t="s">
        <v>3041</v>
      </c>
      <c r="R32" s="530"/>
      <c r="S32" s="1383"/>
    </row>
    <row r="33" spans="1:19">
      <c r="A33" s="1180"/>
      <c r="B33" s="1180"/>
      <c r="C33" s="1180"/>
      <c r="D33" s="1180"/>
      <c r="E33" s="1571"/>
      <c r="F33" s="1571"/>
      <c r="G33" s="1180"/>
      <c r="I33" s="1429" t="str">
        <f>DEPT</f>
        <v>ELECTRIC DEPARTMENT</v>
      </c>
      <c r="J33" s="529"/>
      <c r="K33" s="529"/>
      <c r="L33" s="529"/>
      <c r="M33" s="529"/>
      <c r="N33" s="529"/>
      <c r="P33" s="461" t="s">
        <v>622</v>
      </c>
      <c r="R33" s="530"/>
      <c r="S33" s="1383"/>
    </row>
    <row r="34" spans="1:19" ht="15">
      <c r="A34" s="1179"/>
      <c r="B34" s="1180"/>
      <c r="C34" s="1180"/>
      <c r="D34" s="1179"/>
      <c r="E34" s="1571"/>
      <c r="F34" s="1571"/>
      <c r="G34" s="1427"/>
      <c r="I34" s="1429" t="str">
        <f>CASE</f>
        <v>CASE NO. 2017-00321</v>
      </c>
      <c r="J34" s="529"/>
      <c r="K34" s="529"/>
      <c r="L34" s="529"/>
      <c r="M34" s="529"/>
      <c r="N34" s="529"/>
      <c r="P34" s="461" t="str">
        <f>_WIT7</f>
        <v>R. H. PRATT / C. S. LEE</v>
      </c>
      <c r="R34" s="530"/>
      <c r="S34" s="1383"/>
    </row>
    <row r="35" spans="1:19" ht="15">
      <c r="A35" s="1179"/>
      <c r="B35" s="1180"/>
      <c r="C35" s="1180"/>
      <c r="D35" s="1179"/>
      <c r="E35" s="1571"/>
      <c r="F35" s="1571"/>
      <c r="G35" s="1427"/>
      <c r="I35" s="1602" t="str">
        <f>A3</f>
        <v>AMORTIZATION OF DEFERRED ASSET</v>
      </c>
      <c r="J35" s="529"/>
      <c r="K35" s="529"/>
      <c r="L35" s="529"/>
      <c r="M35" s="529"/>
      <c r="N35" s="529"/>
      <c r="O35" s="529"/>
      <c r="P35" s="529"/>
      <c r="Q35" s="529"/>
      <c r="R35" s="529"/>
      <c r="S35" s="1383"/>
    </row>
    <row r="36" spans="1:19"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1383"/>
    </row>
    <row r="37" spans="1:19">
      <c r="I37" s="529"/>
      <c r="J37" s="529"/>
      <c r="K37" s="529"/>
      <c r="L37" s="529"/>
      <c r="M37" s="529"/>
      <c r="N37" s="1431"/>
      <c r="O37" s="529"/>
      <c r="P37" s="529"/>
      <c r="Q37" s="529"/>
      <c r="R37" s="529"/>
      <c r="S37" s="1383"/>
    </row>
    <row r="38" spans="1:19">
      <c r="A38" s="2092"/>
      <c r="B38" s="2093"/>
      <c r="I38" s="529"/>
      <c r="J38" s="529"/>
      <c r="K38" s="532" t="s">
        <v>1750</v>
      </c>
      <c r="L38" s="529"/>
      <c r="M38" s="529"/>
      <c r="N38" s="1431"/>
      <c r="O38" s="529"/>
      <c r="P38" s="529"/>
      <c r="Q38" s="529"/>
      <c r="R38" s="529"/>
      <c r="S38" s="1383"/>
    </row>
    <row r="39" spans="1:19">
      <c r="I39" s="1432" t="s">
        <v>2648</v>
      </c>
      <c r="J39" s="529"/>
      <c r="K39" s="1432" t="s">
        <v>1118</v>
      </c>
      <c r="L39" s="1432"/>
      <c r="M39" s="529"/>
      <c r="N39" s="1431"/>
      <c r="O39" s="1712" t="s">
        <v>1745</v>
      </c>
      <c r="P39" s="529"/>
      <c r="Q39" s="529"/>
      <c r="R39" s="529"/>
      <c r="S39" s="1383"/>
    </row>
    <row r="40" spans="1:19">
      <c r="I40" s="1434" t="s">
        <v>1241</v>
      </c>
      <c r="J40" s="1435"/>
      <c r="K40" s="1434" t="s">
        <v>359</v>
      </c>
      <c r="L40" s="1434"/>
      <c r="M40" s="1434" t="s">
        <v>1119</v>
      </c>
      <c r="N40" s="1436"/>
      <c r="O40" s="1434" t="s">
        <v>1749</v>
      </c>
      <c r="P40" s="1434" t="s">
        <v>646</v>
      </c>
      <c r="Q40" s="529"/>
      <c r="R40" s="529"/>
      <c r="S40" s="1383"/>
    </row>
    <row r="41" spans="1:19">
      <c r="I41" s="529"/>
      <c r="J41" s="529"/>
      <c r="K41" s="529"/>
      <c r="L41" s="529"/>
      <c r="M41" s="529"/>
      <c r="N41" s="1431"/>
      <c r="O41" s="1431"/>
      <c r="P41" s="1438" t="s">
        <v>1150</v>
      </c>
      <c r="Q41" s="529"/>
      <c r="R41" s="529"/>
      <c r="S41" s="1383"/>
    </row>
    <row r="42" spans="1:19">
      <c r="I42" s="1432">
        <v>1</v>
      </c>
      <c r="J42" s="529"/>
      <c r="K42" s="1711" t="s">
        <v>3223</v>
      </c>
      <c r="L42" s="529"/>
      <c r="M42" s="529"/>
      <c r="N42" s="529"/>
      <c r="O42" s="529"/>
      <c r="P42" s="529"/>
      <c r="Q42" s="529"/>
      <c r="R42" s="529"/>
      <c r="S42" s="1383"/>
    </row>
    <row r="43" spans="1:19">
      <c r="I43" s="1432">
        <v>2</v>
      </c>
      <c r="J43" s="529"/>
      <c r="K43" s="532" t="s">
        <v>3241</v>
      </c>
      <c r="L43" s="532"/>
      <c r="M43" s="461" t="s">
        <v>3240</v>
      </c>
      <c r="N43" s="529"/>
      <c r="O43" s="1432" t="s">
        <v>296</v>
      </c>
      <c r="P43" s="535">
        <v>11170643</v>
      </c>
      <c r="Q43" s="529"/>
      <c r="R43" s="529"/>
      <c r="S43" s="1383"/>
    </row>
    <row r="44" spans="1:19">
      <c r="I44" s="1432"/>
      <c r="J44" s="529"/>
      <c r="K44" s="532"/>
      <c r="L44" s="532"/>
      <c r="M44" s="461"/>
      <c r="N44" s="529"/>
      <c r="O44" s="1432"/>
      <c r="P44" s="535"/>
      <c r="Q44" s="529"/>
      <c r="R44" s="529"/>
      <c r="S44" s="1383"/>
    </row>
    <row r="45" spans="1:19">
      <c r="I45" s="1432"/>
      <c r="J45" s="529"/>
      <c r="K45" s="529"/>
      <c r="L45" s="529"/>
      <c r="M45" s="461"/>
      <c r="N45" s="529"/>
      <c r="O45" s="461"/>
      <c r="P45" s="535"/>
      <c r="Q45" s="529"/>
      <c r="R45" s="529"/>
      <c r="S45" s="1383"/>
    </row>
    <row r="46" spans="1:19">
      <c r="I46" s="1432">
        <f>+I43+1</f>
        <v>3</v>
      </c>
      <c r="J46" s="529"/>
      <c r="K46" s="1711" t="s">
        <v>3224</v>
      </c>
      <c r="L46" s="529"/>
      <c r="M46" s="461"/>
      <c r="N46" s="529"/>
      <c r="O46" s="461"/>
      <c r="P46" s="535"/>
      <c r="Q46" s="529"/>
      <c r="R46" s="529"/>
      <c r="S46" s="1383"/>
    </row>
    <row r="47" spans="1:19">
      <c r="I47" s="1432">
        <f>+I46+1</f>
        <v>4</v>
      </c>
      <c r="J47" s="529"/>
      <c r="K47" s="532" t="s">
        <v>3241</v>
      </c>
      <c r="L47" s="532"/>
      <c r="M47" s="461" t="s">
        <v>3242</v>
      </c>
      <c r="N47" s="529"/>
      <c r="O47" s="1432" t="s">
        <v>296</v>
      </c>
      <c r="P47" s="535">
        <v>4211685</v>
      </c>
      <c r="Q47" s="535"/>
      <c r="R47" s="529"/>
      <c r="S47" s="1383"/>
    </row>
    <row r="48" spans="1:19">
      <c r="I48" s="1432"/>
      <c r="J48" s="529"/>
      <c r="K48" s="529"/>
      <c r="L48" s="529"/>
      <c r="M48" s="461"/>
      <c r="N48" s="529"/>
      <c r="O48" s="461"/>
      <c r="P48" s="535"/>
      <c r="Q48" s="535"/>
      <c r="R48" s="529"/>
      <c r="S48" s="1383"/>
    </row>
    <row r="49" spans="9:19">
      <c r="I49" s="1432">
        <f>+I47+1</f>
        <v>5</v>
      </c>
      <c r="J49" s="529"/>
      <c r="K49" s="529"/>
      <c r="L49" s="529"/>
      <c r="M49" s="461" t="s">
        <v>725</v>
      </c>
      <c r="N49" s="529"/>
      <c r="O49" s="461"/>
      <c r="P49" s="535">
        <f>+P43-P47</f>
        <v>6958958</v>
      </c>
      <c r="Q49" s="535"/>
      <c r="R49" s="529"/>
      <c r="S49" s="1383"/>
    </row>
    <row r="50" spans="9:19">
      <c r="I50" s="1432"/>
      <c r="J50" s="529"/>
      <c r="K50" s="529"/>
      <c r="L50" s="529"/>
      <c r="M50" s="461"/>
      <c r="N50" s="529"/>
      <c r="O50" s="461"/>
      <c r="P50" s="535"/>
      <c r="Q50" s="535"/>
      <c r="R50" s="529"/>
      <c r="S50" s="1383"/>
    </row>
    <row r="51" spans="9:19">
      <c r="I51" s="1432">
        <f>+I49+1</f>
        <v>6</v>
      </c>
      <c r="J51" s="529"/>
      <c r="K51" s="529"/>
      <c r="L51" s="529"/>
      <c r="M51" s="461" t="s">
        <v>3225</v>
      </c>
      <c r="N51" s="529"/>
      <c r="O51" s="461"/>
      <c r="P51" s="535">
        <v>15</v>
      </c>
      <c r="Q51" s="535"/>
      <c r="R51" s="529"/>
      <c r="S51" s="1383"/>
    </row>
    <row r="52" spans="9:19">
      <c r="I52" s="1432"/>
      <c r="J52" s="529"/>
      <c r="K52" s="529"/>
      <c r="L52" s="529"/>
      <c r="M52" s="461"/>
      <c r="N52" s="529"/>
      <c r="O52" s="461"/>
      <c r="P52" s="535"/>
      <c r="Q52" s="535"/>
      <c r="R52" s="529"/>
      <c r="S52" s="1383"/>
    </row>
    <row r="53" spans="9:19" ht="13.5" thickBot="1">
      <c r="I53" s="1432">
        <f>+I51+1</f>
        <v>7</v>
      </c>
      <c r="J53" s="529"/>
      <c r="K53" s="529"/>
      <c r="L53" s="529"/>
      <c r="M53" s="461" t="s">
        <v>3139</v>
      </c>
      <c r="N53" s="529"/>
      <c r="O53" s="1432" t="s">
        <v>210</v>
      </c>
      <c r="P53" s="1710">
        <f>ROUND(P49/P51,0)</f>
        <v>463931</v>
      </c>
      <c r="Q53" s="535"/>
      <c r="R53" s="529"/>
      <c r="S53" s="1383"/>
    </row>
    <row r="54" spans="9:19" ht="13.5" thickTop="1">
      <c r="I54" s="1429"/>
      <c r="J54" s="529"/>
      <c r="K54" s="529"/>
      <c r="L54" s="529"/>
      <c r="M54" s="461"/>
      <c r="N54" s="529"/>
      <c r="O54" s="461"/>
      <c r="P54" s="535"/>
      <c r="Q54" s="535"/>
      <c r="R54" s="529"/>
      <c r="S54" s="1383"/>
    </row>
    <row r="55" spans="9:19">
      <c r="I55" s="1429"/>
      <c r="J55" s="529"/>
      <c r="K55" s="461" t="s">
        <v>2655</v>
      </c>
      <c r="L55" s="461"/>
      <c r="M55" s="461"/>
      <c r="N55" s="529"/>
      <c r="O55" s="461"/>
      <c r="P55" s="529"/>
      <c r="Q55" s="529"/>
      <c r="R55" s="529"/>
      <c r="S55" s="1383"/>
    </row>
    <row r="56" spans="9:19">
      <c r="I56" s="1429"/>
      <c r="J56" s="529"/>
      <c r="K56" s="529" t="s">
        <v>3040</v>
      </c>
      <c r="L56" s="529"/>
      <c r="M56" s="461"/>
      <c r="N56" s="529"/>
      <c r="O56" s="461"/>
      <c r="P56" s="535"/>
      <c r="Q56" s="535"/>
      <c r="R56" s="529"/>
      <c r="S56" s="1383"/>
    </row>
    <row r="57" spans="9:19">
      <c r="I57" s="1429"/>
      <c r="J57" s="529"/>
      <c r="K57" s="45" t="s">
        <v>3328</v>
      </c>
      <c r="L57" s="529"/>
      <c r="M57" s="1441"/>
      <c r="N57" s="529"/>
      <c r="O57" s="529"/>
      <c r="P57" s="1442"/>
      <c r="Q57" s="1442"/>
      <c r="R57" s="529"/>
      <c r="S57" s="1383"/>
    </row>
    <row r="58" spans="9:19">
      <c r="I58" s="1429"/>
      <c r="J58" s="529"/>
      <c r="K58" s="45" t="s">
        <v>3327</v>
      </c>
      <c r="L58" s="529"/>
      <c r="M58" s="1441"/>
      <c r="N58" s="529"/>
      <c r="O58" s="529"/>
      <c r="P58" s="1442"/>
      <c r="Q58" s="1442"/>
      <c r="R58" s="529"/>
      <c r="S58" s="1383"/>
    </row>
    <row r="59" spans="9:19">
      <c r="I59" s="1346"/>
      <c r="K59" s="45" t="s">
        <v>3329</v>
      </c>
      <c r="O59" s="1610"/>
    </row>
  </sheetData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7" tint="-0.249977111117893"/>
  </sheetPr>
  <dimension ref="A1:V61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6.140625" style="18" customWidth="1"/>
    <col min="2" max="2" width="14.28515625" style="18" customWidth="1"/>
    <col min="3" max="3" width="8.5703125" style="18" customWidth="1"/>
    <col min="4" max="4" width="13.85546875" style="18" customWidth="1"/>
    <col min="5" max="5" width="8" style="18" customWidth="1"/>
    <col min="6" max="6" width="12" style="18" customWidth="1"/>
    <col min="7" max="8" width="8" style="18" customWidth="1"/>
    <col min="9" max="9" width="10.85546875" style="18" customWidth="1"/>
    <col min="10" max="10" width="18.7109375" style="18" customWidth="1"/>
    <col min="11" max="11" width="8" style="18" customWidth="1"/>
    <col min="12" max="12" width="7.140625" style="18" customWidth="1"/>
    <col min="13" max="13" width="2.140625" style="18" customWidth="1"/>
    <col min="14" max="14" width="8.28515625" style="18" customWidth="1"/>
    <col min="15" max="15" width="3" style="18" customWidth="1"/>
    <col min="16" max="16" width="26.85546875" style="18" customWidth="1"/>
    <col min="17" max="17" width="16.7109375" style="18" customWidth="1"/>
    <col min="18" max="18" width="8.5703125" style="18" customWidth="1"/>
    <col min="19" max="19" width="16.42578125" style="18" customWidth="1"/>
    <col min="20" max="20" width="12.140625" style="18" customWidth="1"/>
    <col min="21" max="21" width="17.140625" style="18" customWidth="1"/>
    <col min="22" max="16384" width="8" style="18"/>
  </cols>
  <sheetData>
    <row r="1" spans="1:22">
      <c r="A1" s="2336" t="str">
        <f>LOGO!B5</f>
        <v>DUKE ENERGY KENTUCKY, INC.</v>
      </c>
      <c r="B1" s="2337"/>
      <c r="C1" s="2337"/>
      <c r="D1" s="2337"/>
      <c r="E1" s="2337"/>
      <c r="F1" s="2337"/>
      <c r="G1" s="2337"/>
      <c r="H1" s="2337"/>
      <c r="I1" s="2337"/>
      <c r="J1" s="2337"/>
      <c r="K1" s="1380"/>
      <c r="L1" s="1380"/>
      <c r="M1" s="1380"/>
      <c r="N1" s="1380"/>
      <c r="O1" s="1380"/>
      <c r="P1" s="1380"/>
      <c r="Q1" s="1380"/>
      <c r="R1" s="1380"/>
      <c r="S1" s="1380"/>
      <c r="T1" s="1380"/>
      <c r="U1" s="1380"/>
      <c r="V1" s="1380"/>
    </row>
    <row r="2" spans="1:22">
      <c r="A2" s="2336" t="str">
        <f>LOGO!B6</f>
        <v>CASE NO. 2017-00321</v>
      </c>
      <c r="B2" s="2337"/>
      <c r="C2" s="2337"/>
      <c r="D2" s="2337"/>
      <c r="E2" s="2337"/>
      <c r="F2" s="2337"/>
      <c r="G2" s="2337"/>
      <c r="H2" s="2337"/>
      <c r="I2" s="2337"/>
      <c r="J2" s="2337"/>
      <c r="K2" s="1380"/>
      <c r="L2" s="1380"/>
      <c r="M2" s="1380"/>
      <c r="N2" s="1380"/>
      <c r="O2" s="1380"/>
      <c r="P2" s="1380"/>
      <c r="Q2" s="1380"/>
      <c r="R2" s="1380"/>
      <c r="S2" s="1380"/>
      <c r="T2" s="1380"/>
      <c r="U2" s="1380"/>
      <c r="V2" s="1380"/>
    </row>
    <row r="3" spans="1:22">
      <c r="A3" s="2338" t="s">
        <v>1382</v>
      </c>
      <c r="B3" s="2337"/>
      <c r="C3" s="2337"/>
      <c r="D3" s="2337"/>
      <c r="E3" s="2337"/>
      <c r="F3" s="2337"/>
      <c r="G3" s="2337"/>
      <c r="H3" s="2337"/>
      <c r="I3" s="2337"/>
      <c r="J3" s="2337"/>
      <c r="K3" s="1380"/>
      <c r="L3" s="1380"/>
      <c r="M3" s="1380"/>
      <c r="N3" s="1380"/>
      <c r="O3" s="1380"/>
      <c r="P3" s="1380"/>
      <c r="Q3" s="1380"/>
      <c r="R3" s="1380"/>
      <c r="S3" s="1380"/>
      <c r="T3" s="1380"/>
      <c r="U3" s="1380"/>
      <c r="V3" s="1380"/>
    </row>
    <row r="4" spans="1:22">
      <c r="A4" s="2336" t="str">
        <f>LOGO!B8</f>
        <v>FOR THE TWELVE MONTHS ENDED MARCH 31, 2019</v>
      </c>
      <c r="B4" s="2337"/>
      <c r="C4" s="2337"/>
      <c r="D4" s="2337"/>
      <c r="E4" s="2337"/>
      <c r="F4" s="2337"/>
      <c r="G4" s="2337"/>
      <c r="H4" s="2337"/>
      <c r="I4" s="2337"/>
      <c r="J4" s="2337"/>
      <c r="K4" s="1380"/>
      <c r="L4" s="1380"/>
      <c r="M4" s="1380"/>
      <c r="N4" s="1380"/>
      <c r="O4" s="1380"/>
      <c r="P4" s="1380"/>
      <c r="Q4" s="1380"/>
      <c r="R4" s="1380"/>
      <c r="S4" s="1380"/>
      <c r="T4" s="1380"/>
      <c r="U4" s="1380"/>
      <c r="V4" s="1380"/>
    </row>
    <row r="5" spans="1:22">
      <c r="A5" s="1380"/>
      <c r="B5" s="1380"/>
      <c r="C5" s="1380"/>
      <c r="D5" s="1380"/>
      <c r="E5" s="1380"/>
      <c r="F5" s="1380"/>
      <c r="G5" s="1380"/>
      <c r="H5" s="1380"/>
      <c r="I5" s="1380"/>
      <c r="J5" s="1380"/>
      <c r="K5" s="1380"/>
      <c r="L5" s="1380"/>
      <c r="M5" s="1380"/>
      <c r="N5" s="1380"/>
      <c r="O5" s="1380"/>
      <c r="P5" s="1380"/>
      <c r="Q5" s="1380"/>
      <c r="R5" s="1380"/>
      <c r="S5" s="1380"/>
      <c r="T5" s="1380"/>
      <c r="U5" s="1380"/>
      <c r="V5" s="1380"/>
    </row>
    <row r="6" spans="1:22">
      <c r="A6" s="2339" t="str">
        <f>DataF</f>
        <v>DATA:  BASE PERIOD  "X" FORECASTED PERIOD</v>
      </c>
      <c r="B6" s="1380"/>
      <c r="C6" s="1380"/>
      <c r="D6" s="1380"/>
      <c r="E6" s="1380"/>
      <c r="F6" s="1380"/>
      <c r="G6" s="1380"/>
      <c r="H6" s="1380"/>
      <c r="I6" s="2340" t="s">
        <v>1418</v>
      </c>
      <c r="J6" s="1380"/>
      <c r="K6" s="1380"/>
      <c r="L6" s="1380"/>
      <c r="M6" s="1380"/>
      <c r="N6" s="1380"/>
      <c r="O6" s="1380"/>
      <c r="P6" s="1380"/>
      <c r="Q6" s="1380"/>
      <c r="R6" s="1380"/>
      <c r="S6" s="1380"/>
      <c r="T6" s="1380"/>
      <c r="U6" s="1380"/>
      <c r="V6" s="1380"/>
    </row>
    <row r="7" spans="1:22">
      <c r="A7" s="2339" t="str">
        <f>LOGO!B15</f>
        <v xml:space="preserve">TYPE OF FILING:  "X" ORIGINAL   UPDATED    REVISED  </v>
      </c>
      <c r="B7" s="1380"/>
      <c r="C7" s="1380"/>
      <c r="D7" s="1380"/>
      <c r="E7" s="1380"/>
      <c r="F7" s="1380"/>
      <c r="G7" s="1380"/>
      <c r="H7" s="1380"/>
      <c r="I7" s="2340" t="s">
        <v>620</v>
      </c>
      <c r="J7" s="1380"/>
      <c r="K7" s="1380"/>
      <c r="L7" s="1380"/>
      <c r="M7" s="1380"/>
      <c r="N7" s="1380"/>
      <c r="O7" s="1380"/>
      <c r="P7" s="1380"/>
      <c r="Q7" s="1380"/>
      <c r="R7" s="1380"/>
      <c r="S7" s="1380"/>
      <c r="T7" s="1380"/>
      <c r="U7" s="1380"/>
      <c r="V7" s="1380"/>
    </row>
    <row r="8" spans="1:22">
      <c r="A8" s="2340" t="s">
        <v>2265</v>
      </c>
      <c r="B8" s="1380"/>
      <c r="C8" s="1380"/>
      <c r="D8" s="1380"/>
      <c r="E8" s="1380"/>
      <c r="F8" s="1380"/>
      <c r="G8" s="1380"/>
      <c r="H8" s="1380"/>
      <c r="I8" s="2340" t="s">
        <v>622</v>
      </c>
      <c r="J8" s="1380"/>
      <c r="K8" s="1380"/>
      <c r="L8" s="1380"/>
      <c r="M8" s="1380"/>
      <c r="N8" s="1380"/>
      <c r="O8" s="1380"/>
      <c r="P8" s="1380"/>
      <c r="Q8" s="1380"/>
      <c r="R8" s="1380"/>
      <c r="S8" s="1380"/>
      <c r="T8" s="1380"/>
      <c r="U8" s="1380"/>
      <c r="V8" s="1380"/>
    </row>
    <row r="9" spans="1:22">
      <c r="A9" s="1380"/>
      <c r="B9" s="1380"/>
      <c r="C9" s="1380"/>
      <c r="D9" s="1380"/>
      <c r="E9" s="1380"/>
      <c r="F9" s="1380"/>
      <c r="G9" s="1380"/>
      <c r="H9" s="1380"/>
      <c r="I9" s="2340" t="str">
        <f>_WIT1</f>
        <v>S. E. LAWLER</v>
      </c>
      <c r="J9" s="1380"/>
      <c r="K9" s="1380"/>
      <c r="L9" s="1380"/>
      <c r="M9" s="1380"/>
      <c r="N9" s="1380"/>
      <c r="O9" s="1380"/>
      <c r="P9" s="1380"/>
      <c r="Q9" s="1380"/>
      <c r="R9" s="1380"/>
      <c r="S9" s="1380"/>
      <c r="T9" s="1380"/>
      <c r="U9" s="1380"/>
      <c r="V9" s="1380"/>
    </row>
    <row r="10" spans="1:22">
      <c r="A10" s="2341"/>
      <c r="B10" s="2341"/>
      <c r="C10" s="2341"/>
      <c r="D10" s="2341"/>
      <c r="E10" s="2341"/>
      <c r="F10" s="2341"/>
      <c r="G10" s="2341"/>
      <c r="H10" s="2341"/>
      <c r="I10" s="2341"/>
      <c r="J10" s="2341"/>
      <c r="K10" s="2340"/>
      <c r="L10" s="1380"/>
      <c r="M10" s="1380"/>
      <c r="N10" s="1380"/>
      <c r="O10" s="1380"/>
      <c r="P10" s="1380"/>
      <c r="Q10" s="1380"/>
      <c r="R10" s="1380"/>
      <c r="S10" s="1380"/>
      <c r="T10" s="1380"/>
      <c r="U10" s="1380"/>
      <c r="V10" s="1380"/>
    </row>
    <row r="11" spans="1:22">
      <c r="A11" s="1380"/>
      <c r="B11" s="1380"/>
      <c r="C11" s="1380"/>
      <c r="D11" s="1380"/>
      <c r="E11" s="1380"/>
      <c r="F11" s="1380"/>
      <c r="G11" s="1380"/>
      <c r="H11" s="1380"/>
      <c r="I11" s="1380"/>
      <c r="J11" s="1380"/>
      <c r="K11" s="1380"/>
      <c r="L11" s="1380"/>
      <c r="M11" s="1380"/>
      <c r="N11" s="1380"/>
      <c r="O11" s="1380"/>
      <c r="P11" s="1380"/>
      <c r="Q11" s="1380"/>
      <c r="R11" s="1380"/>
      <c r="S11" s="1380"/>
      <c r="T11" s="1380"/>
      <c r="U11" s="1380"/>
      <c r="V11" s="1380"/>
    </row>
    <row r="12" spans="1:22">
      <c r="A12" s="2340" t="s">
        <v>1246</v>
      </c>
      <c r="B12" s="1380"/>
      <c r="C12" s="1380"/>
      <c r="D12" s="1380"/>
      <c r="E12" s="1380"/>
      <c r="F12" s="1380"/>
      <c r="G12" s="1380"/>
      <c r="H12" s="1380"/>
      <c r="I12" s="1380"/>
      <c r="J12" s="2342" t="s">
        <v>364</v>
      </c>
      <c r="K12" s="1380"/>
      <c r="L12" s="1380"/>
      <c r="M12" s="1380"/>
      <c r="N12" s="1380"/>
      <c r="O12" s="1380"/>
      <c r="P12" s="1380"/>
      <c r="Q12" s="1380"/>
      <c r="R12" s="1380"/>
      <c r="S12" s="1380"/>
      <c r="T12" s="1380"/>
      <c r="U12" s="1380"/>
      <c r="V12" s="1380"/>
    </row>
    <row r="13" spans="1:22">
      <c r="A13" s="2341"/>
      <c r="B13" s="2341"/>
      <c r="C13" s="2341"/>
      <c r="D13" s="2341"/>
      <c r="E13" s="2341"/>
      <c r="F13" s="2341"/>
      <c r="G13" s="2341"/>
      <c r="H13" s="2341"/>
      <c r="I13" s="2341"/>
      <c r="J13" s="2341"/>
      <c r="K13" s="2340"/>
      <c r="L13" s="1380"/>
      <c r="M13" s="1380"/>
      <c r="N13" s="1380"/>
      <c r="O13" s="1380"/>
      <c r="P13" s="1380"/>
      <c r="Q13" s="1380"/>
      <c r="R13" s="1380"/>
      <c r="S13" s="1380"/>
      <c r="T13" s="1380"/>
      <c r="U13" s="1380"/>
      <c r="V13" s="1380"/>
    </row>
    <row r="14" spans="1:22">
      <c r="A14" s="1380"/>
      <c r="B14" s="1380"/>
      <c r="C14" s="1380"/>
      <c r="D14" s="1380"/>
      <c r="E14" s="1380"/>
      <c r="F14" s="1380"/>
      <c r="G14" s="1380"/>
      <c r="H14" s="1380"/>
      <c r="I14" s="1380"/>
      <c r="J14" s="1380"/>
      <c r="K14" s="1380"/>
      <c r="L14" s="1380"/>
      <c r="M14" s="1380"/>
      <c r="N14" s="1380"/>
      <c r="O14" s="1380"/>
      <c r="P14" s="1380"/>
      <c r="Q14" s="1380"/>
      <c r="R14" s="1380"/>
      <c r="S14" s="1380"/>
      <c r="T14" s="1380"/>
      <c r="U14" s="1380"/>
      <c r="V14" s="1380"/>
    </row>
    <row r="15" spans="1:22">
      <c r="A15" s="1380"/>
      <c r="B15" s="1380"/>
      <c r="C15" s="1380"/>
      <c r="D15" s="1380"/>
      <c r="E15" s="1380"/>
      <c r="F15" s="1380"/>
      <c r="G15" s="1380"/>
      <c r="H15" s="1380"/>
      <c r="I15" s="1380"/>
      <c r="J15" s="1380"/>
      <c r="K15" s="1380"/>
      <c r="L15" s="1380"/>
      <c r="M15" s="1380"/>
      <c r="N15" s="1380"/>
      <c r="O15" s="1380"/>
      <c r="P15" s="1380"/>
      <c r="Q15" s="1380"/>
      <c r="R15" s="1380"/>
      <c r="S15" s="1380"/>
      <c r="T15" s="1380"/>
      <c r="U15" s="1380"/>
      <c r="V15" s="1380"/>
    </row>
    <row r="16" spans="1:22">
      <c r="A16" s="2340" t="s">
        <v>1898</v>
      </c>
      <c r="B16" s="1380"/>
      <c r="C16" s="1380"/>
      <c r="D16" s="1380"/>
      <c r="E16" s="1380"/>
      <c r="F16" s="1380"/>
      <c r="G16" s="1380"/>
      <c r="H16" s="1380"/>
      <c r="I16" s="1380"/>
      <c r="J16" s="1380"/>
      <c r="K16" s="1380"/>
      <c r="L16" s="1380"/>
      <c r="M16" s="1380"/>
      <c r="N16" s="1380"/>
      <c r="O16" s="1380"/>
      <c r="P16" s="1380"/>
      <c r="Q16" s="1380"/>
      <c r="R16" s="1380"/>
      <c r="S16" s="1380"/>
      <c r="T16" s="1380"/>
      <c r="U16" s="1380"/>
      <c r="V16" s="1380"/>
    </row>
    <row r="17" spans="1:22">
      <c r="A17" s="2340" t="s">
        <v>1379</v>
      </c>
      <c r="B17" s="1380"/>
      <c r="C17" s="1380"/>
      <c r="D17" s="1380"/>
      <c r="E17" s="1380"/>
      <c r="F17" s="1380"/>
      <c r="G17" s="1380"/>
      <c r="H17" s="1380"/>
      <c r="I17" s="1380"/>
      <c r="J17" s="1380"/>
      <c r="K17" s="1380"/>
      <c r="L17" s="1380"/>
      <c r="M17" s="1380"/>
      <c r="N17" s="1380"/>
      <c r="O17" s="1380"/>
      <c r="P17" s="1380"/>
      <c r="Q17" s="1380"/>
      <c r="R17" s="1380"/>
      <c r="S17" s="1380"/>
      <c r="T17" s="1380"/>
      <c r="U17" s="1380"/>
      <c r="V17" s="1380"/>
    </row>
    <row r="18" spans="1:22">
      <c r="A18" s="1380" t="s">
        <v>2716</v>
      </c>
      <c r="B18" s="1380"/>
      <c r="C18" s="1380"/>
      <c r="D18" s="1380"/>
      <c r="E18" s="1380"/>
      <c r="F18" s="1380"/>
      <c r="G18" s="1380"/>
      <c r="H18" s="1380"/>
      <c r="I18" s="1380"/>
      <c r="J18" s="1380"/>
      <c r="K18" s="1380"/>
      <c r="L18" s="1380"/>
      <c r="M18" s="1380"/>
      <c r="N18" s="1380"/>
      <c r="O18" s="1380"/>
      <c r="P18" s="1380"/>
      <c r="Q18" s="1380"/>
      <c r="R18" s="1380"/>
      <c r="S18" s="1380"/>
      <c r="T18" s="1380"/>
      <c r="U18" s="1380"/>
      <c r="V18" s="1380"/>
    </row>
    <row r="19" spans="1:22">
      <c r="A19" s="1380"/>
      <c r="B19" s="1380"/>
      <c r="C19" s="1380"/>
      <c r="D19" s="1380"/>
      <c r="E19" s="1380"/>
      <c r="F19" s="1380"/>
      <c r="G19" s="1380"/>
      <c r="H19" s="1380"/>
      <c r="I19" s="1380"/>
      <c r="J19" s="1380"/>
      <c r="K19" s="1380"/>
      <c r="L19" s="1380"/>
      <c r="M19" s="1380"/>
      <c r="N19" s="1380"/>
      <c r="O19" s="1380"/>
      <c r="P19" s="1380"/>
      <c r="Q19" s="1380"/>
      <c r="R19" s="1380"/>
      <c r="S19" s="1380"/>
      <c r="T19" s="1380"/>
      <c r="U19" s="1380"/>
      <c r="V19" s="1380"/>
    </row>
    <row r="20" spans="1:22">
      <c r="A20" s="2340" t="s">
        <v>1929</v>
      </c>
      <c r="B20" s="1380"/>
      <c r="C20" s="1380"/>
      <c r="D20" s="1380"/>
      <c r="E20" s="1380"/>
      <c r="F20" s="1380"/>
      <c r="G20" s="1380"/>
      <c r="H20" s="1380"/>
      <c r="I20" s="1379"/>
      <c r="J20" s="1375">
        <f>U52</f>
        <v>120538</v>
      </c>
      <c r="K20" s="1380"/>
      <c r="L20" s="1380"/>
      <c r="M20" s="1380"/>
      <c r="N20" s="1380"/>
      <c r="O20" s="1380"/>
      <c r="P20" s="1380"/>
      <c r="Q20" s="1380"/>
      <c r="R20" s="1380"/>
      <c r="S20" s="1380"/>
      <c r="T20" s="1380"/>
      <c r="U20" s="1380"/>
      <c r="V20" s="1380"/>
    </row>
    <row r="21" spans="1:22">
      <c r="A21" s="1380"/>
      <c r="B21" s="1380"/>
      <c r="C21" s="1380"/>
      <c r="D21" s="1380"/>
      <c r="E21" s="1380"/>
      <c r="F21" s="1380"/>
      <c r="G21" s="1380"/>
      <c r="H21" s="1380"/>
      <c r="I21" s="1380"/>
      <c r="J21" s="1379"/>
      <c r="K21" s="1380"/>
      <c r="L21" s="1380"/>
      <c r="M21" s="1380"/>
      <c r="N21" s="1380"/>
      <c r="O21" s="1380"/>
      <c r="P21" s="1380"/>
      <c r="Q21" s="1380"/>
      <c r="R21" s="1380"/>
      <c r="S21" s="1380"/>
      <c r="T21" s="1380"/>
      <c r="U21" s="1380"/>
      <c r="V21" s="1380"/>
    </row>
    <row r="22" spans="1:22">
      <c r="A22" s="1380"/>
      <c r="B22" s="1380"/>
      <c r="C22" s="1380"/>
      <c r="D22" s="1380"/>
      <c r="E22" s="1380"/>
      <c r="F22" s="1380"/>
      <c r="G22" s="1380"/>
      <c r="H22" s="1380"/>
      <c r="I22" s="1380"/>
      <c r="J22" s="1380"/>
      <c r="K22" s="1380"/>
      <c r="L22" s="1380"/>
      <c r="M22" s="1380"/>
      <c r="N22" s="1380"/>
      <c r="O22" s="1380"/>
      <c r="P22" s="1380"/>
      <c r="Q22" s="1380"/>
      <c r="R22" s="1380"/>
      <c r="S22" s="1380"/>
      <c r="T22" s="1380"/>
      <c r="U22" s="1380"/>
      <c r="V22" s="1380"/>
    </row>
    <row r="23" spans="1:22">
      <c r="A23" s="2340" t="s">
        <v>266</v>
      </c>
      <c r="B23" s="1380"/>
      <c r="C23" s="1380"/>
      <c r="D23" s="1380"/>
      <c r="E23" s="1380"/>
      <c r="F23" s="1380"/>
      <c r="G23" s="1380"/>
      <c r="H23" s="1380"/>
      <c r="I23" s="1380"/>
      <c r="J23" s="1425">
        <f>VLOOKUP(D30,ALLOCTABLE,2)/100</f>
        <v>1</v>
      </c>
      <c r="K23" s="1380"/>
      <c r="L23" s="1380"/>
      <c r="M23" s="1380"/>
      <c r="N23" s="1380"/>
      <c r="O23" s="1380"/>
      <c r="P23" s="1380"/>
      <c r="Q23" s="1380"/>
      <c r="R23" s="1380"/>
      <c r="S23" s="1380"/>
      <c r="T23" s="1380"/>
      <c r="U23" s="1380"/>
      <c r="V23" s="1380"/>
    </row>
    <row r="24" spans="1:22">
      <c r="A24" s="1380"/>
      <c r="B24" s="1380"/>
      <c r="C24" s="1380"/>
      <c r="D24" s="1380"/>
      <c r="E24" s="1380"/>
      <c r="F24" s="1380"/>
      <c r="G24" s="1380"/>
      <c r="H24" s="1380"/>
      <c r="I24" s="1380"/>
      <c r="J24" s="1379"/>
      <c r="K24" s="1380"/>
      <c r="L24" s="1380"/>
      <c r="M24" s="1380"/>
      <c r="N24" s="1380"/>
      <c r="O24" s="1380"/>
      <c r="P24" s="1380"/>
      <c r="Q24" s="1380"/>
      <c r="R24" s="1380"/>
      <c r="S24" s="1380"/>
      <c r="T24" s="1380"/>
      <c r="U24" s="1380"/>
      <c r="V24" s="1380"/>
    </row>
    <row r="25" spans="1:22">
      <c r="A25" s="1380"/>
      <c r="B25" s="1380"/>
      <c r="C25" s="1380"/>
      <c r="D25" s="1380"/>
      <c r="E25" s="1380"/>
      <c r="F25" s="1380"/>
      <c r="G25" s="1380"/>
      <c r="H25" s="1380"/>
      <c r="I25" s="1380"/>
      <c r="J25" s="1380"/>
      <c r="K25" s="1380"/>
      <c r="L25" s="1380"/>
      <c r="M25" s="1380"/>
      <c r="N25" s="1380"/>
      <c r="O25" s="1380"/>
      <c r="P25" s="1380"/>
      <c r="Q25" s="1380"/>
      <c r="R25" s="1380"/>
      <c r="S25" s="1380"/>
      <c r="T25" s="1380"/>
      <c r="U25" s="1380"/>
      <c r="V25" s="1380"/>
    </row>
    <row r="26" spans="1:22" ht="15">
      <c r="A26" s="2340" t="s">
        <v>1236</v>
      </c>
      <c r="B26" s="1380"/>
      <c r="C26" s="1380"/>
      <c r="D26" s="1380"/>
      <c r="E26" s="1380"/>
      <c r="F26" s="2340" t="s">
        <v>1094</v>
      </c>
      <c r="G26" s="1380"/>
      <c r="H26" s="1380"/>
      <c r="I26" s="1379"/>
      <c r="J26" s="1427">
        <f>ROUND(J20*J23,0)</f>
        <v>120538</v>
      </c>
      <c r="K26" s="1380"/>
      <c r="L26" s="1380"/>
      <c r="M26" s="1380"/>
      <c r="N26" s="1380"/>
      <c r="O26" s="1380"/>
      <c r="P26" s="1380"/>
      <c r="Q26" s="1380"/>
      <c r="R26" s="1380"/>
      <c r="S26" s="1380"/>
      <c r="T26" s="1380"/>
      <c r="U26" s="1380"/>
      <c r="V26" s="1380"/>
    </row>
    <row r="27" spans="1:22">
      <c r="A27" s="1380"/>
      <c r="B27" s="1380"/>
      <c r="C27" s="1380"/>
      <c r="D27" s="1380"/>
      <c r="E27" s="1380"/>
      <c r="F27" s="1380"/>
      <c r="G27" s="1380"/>
      <c r="H27" s="1380"/>
      <c r="I27" s="1380"/>
      <c r="J27" s="1379"/>
      <c r="K27" s="1380"/>
      <c r="L27" s="1380"/>
      <c r="M27" s="1380"/>
      <c r="N27" s="1380"/>
      <c r="O27" s="1380"/>
      <c r="P27" s="1380"/>
      <c r="Q27" s="1380"/>
      <c r="R27" s="1380"/>
      <c r="S27" s="1380"/>
      <c r="T27" s="1380"/>
      <c r="U27" s="1380"/>
      <c r="V27" s="1380"/>
    </row>
    <row r="28" spans="1:22">
      <c r="A28" s="1380"/>
      <c r="B28" s="1380"/>
      <c r="C28" s="1380"/>
      <c r="D28" s="1380"/>
      <c r="E28" s="1380"/>
      <c r="F28" s="1380"/>
      <c r="G28" s="1380"/>
      <c r="H28" s="1380"/>
      <c r="I28" s="1380"/>
      <c r="J28" s="1380"/>
      <c r="K28" s="1380"/>
      <c r="L28" s="1380"/>
      <c r="M28" s="1380"/>
      <c r="N28" s="1380"/>
      <c r="O28" s="1380"/>
      <c r="P28" s="1380"/>
      <c r="Q28" s="1380"/>
      <c r="R28" s="1380"/>
      <c r="S28" s="1380"/>
      <c r="T28" s="1380"/>
      <c r="U28" s="1380"/>
      <c r="V28" s="1380"/>
    </row>
    <row r="29" spans="1:22">
      <c r="A29" s="1380"/>
      <c r="B29" s="1380"/>
      <c r="C29" s="1380"/>
      <c r="D29" s="1380"/>
      <c r="E29" s="1380"/>
      <c r="F29" s="1380"/>
      <c r="G29" s="1380"/>
      <c r="H29" s="1380"/>
      <c r="I29" s="1380"/>
      <c r="J29" s="1380"/>
      <c r="K29" s="1380"/>
      <c r="L29" s="2343"/>
      <c r="M29" s="2344"/>
      <c r="N29" s="2344"/>
      <c r="O29" s="2344"/>
      <c r="P29" s="2344"/>
      <c r="Q29" s="2344"/>
      <c r="R29" s="2345"/>
      <c r="S29" s="2345"/>
      <c r="T29" s="2344"/>
      <c r="U29" s="1380"/>
      <c r="V29" s="1380"/>
    </row>
    <row r="30" spans="1:22">
      <c r="A30" s="1179" t="s">
        <v>1237</v>
      </c>
      <c r="B30" s="1180"/>
      <c r="C30" s="1180"/>
      <c r="D30" s="2149" t="s">
        <v>593</v>
      </c>
      <c r="E30" s="1380"/>
      <c r="F30" s="1380"/>
      <c r="G30" s="1380"/>
      <c r="H30" s="1380"/>
      <c r="I30" s="1380"/>
      <c r="J30" s="1380"/>
      <c r="K30" s="1380"/>
      <c r="L30" s="2343"/>
      <c r="M30" s="2344"/>
      <c r="N30" s="2344"/>
      <c r="O30" s="2344"/>
      <c r="P30" s="2344"/>
      <c r="Q30" s="2344"/>
      <c r="R30" s="2344"/>
      <c r="S30" s="2344"/>
      <c r="T30" s="2344"/>
      <c r="U30" s="1380"/>
      <c r="V30" s="1380"/>
    </row>
    <row r="31" spans="1:22">
      <c r="A31" s="1380"/>
      <c r="B31" s="1380"/>
      <c r="C31" s="1380"/>
      <c r="D31" s="1380"/>
      <c r="E31" s="1380"/>
      <c r="F31" s="1380"/>
      <c r="G31" s="1380"/>
      <c r="H31" s="1380"/>
      <c r="I31" s="1380"/>
      <c r="J31" s="1380"/>
      <c r="K31" s="1380"/>
      <c r="L31" s="2343"/>
      <c r="M31" s="2344"/>
      <c r="N31" s="2344"/>
      <c r="O31" s="2344"/>
      <c r="P31" s="2344"/>
      <c r="Q31" s="2344"/>
      <c r="R31" s="2345"/>
      <c r="S31" s="2344"/>
      <c r="T31" s="2344"/>
      <c r="U31" s="1380"/>
      <c r="V31" s="1380"/>
    </row>
    <row r="32" spans="1:22">
      <c r="A32" s="1380"/>
      <c r="B32" s="1380"/>
      <c r="C32" s="1380"/>
      <c r="D32" s="1380"/>
      <c r="E32" s="1380"/>
      <c r="F32" s="1380"/>
      <c r="G32" s="1380"/>
      <c r="H32" s="1380"/>
      <c r="I32" s="1380"/>
      <c r="J32" s="1380"/>
      <c r="K32" s="1380"/>
      <c r="L32" s="2345"/>
      <c r="M32" s="2344"/>
      <c r="N32" s="2344"/>
      <c r="O32" s="2344"/>
      <c r="P32" s="2344"/>
      <c r="Q32" s="2344"/>
      <c r="R32" s="2344"/>
      <c r="S32" s="2344"/>
      <c r="T32" s="2344"/>
      <c r="U32" s="1380"/>
      <c r="V32" s="1380"/>
    </row>
    <row r="33" spans="1:22">
      <c r="A33" s="1380"/>
      <c r="B33" s="1380"/>
      <c r="C33" s="1380"/>
      <c r="D33" s="1380"/>
      <c r="E33" s="1380"/>
      <c r="F33" s="1380"/>
      <c r="G33" s="1380"/>
      <c r="H33" s="1380"/>
      <c r="I33" s="1380"/>
      <c r="J33" s="1380"/>
      <c r="K33" s="1380"/>
      <c r="L33" s="2343"/>
      <c r="M33" s="2344"/>
      <c r="N33" s="2344"/>
      <c r="O33" s="2344"/>
      <c r="P33" s="2344"/>
      <c r="Q33" s="2344"/>
      <c r="R33" s="2344"/>
      <c r="S33" s="2346"/>
      <c r="T33" s="2344"/>
      <c r="U33" s="1380"/>
      <c r="V33" s="1380"/>
    </row>
    <row r="34" spans="1:22">
      <c r="A34" s="1380"/>
      <c r="B34" s="1380"/>
      <c r="C34" s="1380"/>
      <c r="D34" s="1380"/>
      <c r="E34" s="1380"/>
      <c r="F34" s="1380"/>
      <c r="G34" s="1380"/>
      <c r="H34" s="1380"/>
      <c r="I34" s="1380"/>
      <c r="J34" s="1380"/>
      <c r="K34" s="1380"/>
      <c r="L34" s="2344"/>
      <c r="M34" s="2344"/>
      <c r="N34" s="2344"/>
      <c r="O34" s="2344"/>
      <c r="P34" s="2344"/>
      <c r="Q34" s="2344"/>
      <c r="R34" s="2344"/>
      <c r="S34" s="2344"/>
      <c r="T34" s="2344"/>
      <c r="U34" s="1380"/>
      <c r="V34" s="1380"/>
    </row>
    <row r="35" spans="1:22">
      <c r="A35" s="1380"/>
      <c r="B35" s="1380"/>
      <c r="C35" s="1380"/>
      <c r="D35" s="1380"/>
      <c r="E35" s="1380"/>
      <c r="F35" s="1380"/>
      <c r="G35" s="1380"/>
      <c r="H35" s="1380"/>
      <c r="I35" s="1380"/>
      <c r="J35" s="1380"/>
      <c r="K35" s="1380"/>
      <c r="L35" s="2344"/>
      <c r="M35" s="2344"/>
      <c r="N35" s="2347" t="str">
        <f>COMPANY</f>
        <v>DUKE ENERGY KENTUCKY, INC.</v>
      </c>
      <c r="O35" s="2094"/>
      <c r="P35" s="2094"/>
      <c r="Q35" s="2094"/>
      <c r="R35" s="2094"/>
      <c r="S35" s="2094"/>
      <c r="T35" s="2092" t="s">
        <v>224</v>
      </c>
      <c r="U35" s="1380"/>
      <c r="V35" s="1380"/>
    </row>
    <row r="36" spans="1:22">
      <c r="A36" s="1380"/>
      <c r="B36" s="1380"/>
      <c r="C36" s="1380"/>
      <c r="D36" s="1380"/>
      <c r="E36" s="1380"/>
      <c r="F36" s="1380"/>
      <c r="G36" s="1380"/>
      <c r="H36" s="1380"/>
      <c r="I36" s="1380"/>
      <c r="J36" s="1380"/>
      <c r="K36" s="1380"/>
      <c r="L36" s="2348"/>
      <c r="M36" s="2344"/>
      <c r="N36" s="2347" t="str">
        <f>DEPT</f>
        <v>ELECTRIC DEPARTMENT</v>
      </c>
      <c r="O36" s="2094"/>
      <c r="P36" s="2094"/>
      <c r="Q36" s="2094"/>
      <c r="R36" s="2094"/>
      <c r="S36" s="2094"/>
      <c r="T36" s="2092" t="s">
        <v>1239</v>
      </c>
      <c r="U36" s="1380"/>
      <c r="V36" s="1380"/>
    </row>
    <row r="37" spans="1:22">
      <c r="A37" s="1380"/>
      <c r="B37" s="1380"/>
      <c r="C37" s="1380"/>
      <c r="D37" s="1380"/>
      <c r="E37" s="1380"/>
      <c r="F37" s="1380"/>
      <c r="G37" s="1380"/>
      <c r="H37" s="1380"/>
      <c r="I37" s="1380"/>
      <c r="J37" s="1380"/>
      <c r="K37" s="1380"/>
      <c r="L37" s="2349"/>
      <c r="M37" s="2344"/>
      <c r="N37" s="2347" t="str">
        <f>CASE</f>
        <v>CASE NO. 2017-00321</v>
      </c>
      <c r="O37" s="2094"/>
      <c r="P37" s="2094"/>
      <c r="Q37" s="2094"/>
      <c r="R37" s="2094"/>
      <c r="S37" s="2094"/>
      <c r="T37" s="2094" t="str">
        <f>LOGO!G6</f>
        <v>S. E. LAWLER</v>
      </c>
      <c r="U37" s="1380"/>
      <c r="V37" s="1380"/>
    </row>
    <row r="38" spans="1:22">
      <c r="A38" s="1380"/>
      <c r="B38" s="1380"/>
      <c r="C38" s="1380"/>
      <c r="D38" s="1380"/>
      <c r="E38" s="1380"/>
      <c r="F38" s="1380"/>
      <c r="G38" s="1380"/>
      <c r="H38" s="1380"/>
      <c r="I38" s="1380"/>
      <c r="J38" s="1380"/>
      <c r="K38" s="1380"/>
      <c r="L38" s="2348"/>
      <c r="M38" s="2344"/>
      <c r="N38" s="2347" t="s">
        <v>1095</v>
      </c>
      <c r="O38" s="2094"/>
      <c r="P38" s="2094"/>
      <c r="Q38" s="2094"/>
      <c r="R38" s="2094"/>
      <c r="S38" s="2094"/>
      <c r="T38" s="2094"/>
      <c r="U38" s="1380"/>
      <c r="V38" s="1380"/>
    </row>
    <row r="39" spans="1:22">
      <c r="A39" s="1380"/>
      <c r="B39" s="1380"/>
      <c r="C39" s="1380"/>
      <c r="D39" s="1380"/>
      <c r="E39" s="1380"/>
      <c r="F39" s="1380"/>
      <c r="G39" s="1380"/>
      <c r="H39" s="1380"/>
      <c r="I39" s="1380"/>
      <c r="J39" s="1380"/>
      <c r="K39" s="1380"/>
      <c r="L39" s="1187"/>
      <c r="M39" s="2344"/>
      <c r="N39" s="2347"/>
      <c r="O39" s="2094"/>
      <c r="P39" s="2094"/>
      <c r="Q39" s="2094"/>
      <c r="R39" s="2094"/>
      <c r="S39" s="2094"/>
      <c r="T39" s="2094"/>
      <c r="U39" s="2350"/>
      <c r="V39" s="1380"/>
    </row>
    <row r="40" spans="1:22">
      <c r="A40" s="1380"/>
      <c r="B40" s="1380"/>
      <c r="C40" s="1380"/>
      <c r="D40" s="1380"/>
      <c r="E40" s="1380"/>
      <c r="F40" s="1380"/>
      <c r="G40" s="1380"/>
      <c r="H40" s="1380"/>
      <c r="I40" s="1380"/>
      <c r="J40" s="1380"/>
      <c r="K40" s="1380"/>
      <c r="L40" s="1187"/>
      <c r="M40" s="2344"/>
      <c r="N40" s="2347"/>
      <c r="O40" s="2094"/>
      <c r="P40" s="2094"/>
      <c r="Q40" s="2094"/>
      <c r="R40" s="2094"/>
      <c r="S40" s="2094"/>
      <c r="T40" s="2094"/>
      <c r="U40" s="2350"/>
      <c r="V40" s="1380"/>
    </row>
    <row r="41" spans="1:22">
      <c r="A41" s="1380"/>
      <c r="B41" s="1380"/>
      <c r="C41" s="1380"/>
      <c r="D41" s="1380"/>
      <c r="E41" s="1380"/>
      <c r="F41" s="1380"/>
      <c r="G41" s="1380"/>
      <c r="H41" s="1380"/>
      <c r="I41" s="1380"/>
      <c r="J41" s="1380"/>
      <c r="K41" s="1380"/>
      <c r="L41" s="1187"/>
      <c r="M41" s="2344"/>
      <c r="N41" s="2094"/>
      <c r="O41" s="2094"/>
      <c r="P41" s="2094"/>
      <c r="Q41" s="2094"/>
      <c r="R41" s="2094"/>
      <c r="S41" s="2094"/>
      <c r="T41" s="2094"/>
      <c r="U41" s="2094"/>
      <c r="V41" s="1380"/>
    </row>
    <row r="42" spans="1:22">
      <c r="A42" s="1380"/>
      <c r="B42" s="1380"/>
      <c r="C42" s="1380"/>
      <c r="D42" s="1380"/>
      <c r="E42" s="1380"/>
      <c r="F42" s="1380"/>
      <c r="G42" s="1380"/>
      <c r="H42" s="1380"/>
      <c r="I42" s="1380"/>
      <c r="J42" s="1380"/>
      <c r="K42" s="1380"/>
      <c r="L42" s="1187"/>
      <c r="M42" s="2344"/>
      <c r="N42" s="2351" t="s">
        <v>1961</v>
      </c>
      <c r="O42" s="2094"/>
      <c r="P42" s="2094"/>
      <c r="Q42" s="2094"/>
      <c r="R42" s="2094"/>
      <c r="S42" s="2094"/>
      <c r="T42" s="2094"/>
      <c r="U42" s="1380"/>
      <c r="V42" s="1380"/>
    </row>
    <row r="43" spans="1:22">
      <c r="A43" s="1380"/>
      <c r="B43" s="1380"/>
      <c r="C43" s="1380"/>
      <c r="D43" s="1380"/>
      <c r="E43" s="1380"/>
      <c r="F43" s="1380"/>
      <c r="G43" s="1380"/>
      <c r="H43" s="1380"/>
      <c r="I43" s="1380"/>
      <c r="J43" s="1380"/>
      <c r="K43" s="1380"/>
      <c r="L43" s="1187"/>
      <c r="M43" s="2344"/>
      <c r="N43" s="2352" t="s">
        <v>90</v>
      </c>
      <c r="O43" s="2353"/>
      <c r="P43" s="2354" t="s">
        <v>1874</v>
      </c>
      <c r="Q43" s="2352"/>
      <c r="R43" s="2353"/>
      <c r="S43" s="2353"/>
      <c r="T43" s="2353"/>
      <c r="U43" s="2352" t="s">
        <v>364</v>
      </c>
      <c r="V43" s="1380"/>
    </row>
    <row r="44" spans="1:22">
      <c r="A44" s="1380"/>
      <c r="B44" s="1380"/>
      <c r="C44" s="1380"/>
      <c r="D44" s="1380"/>
      <c r="E44" s="1380"/>
      <c r="F44" s="1380"/>
      <c r="G44" s="1380"/>
      <c r="H44" s="1380"/>
      <c r="I44" s="1380"/>
      <c r="J44" s="1380"/>
      <c r="K44" s="1380"/>
      <c r="L44" s="1187"/>
      <c r="M44" s="2344"/>
      <c r="N44" s="1380"/>
      <c r="O44" s="2094"/>
      <c r="P44" s="2355"/>
      <c r="Q44" s="2355"/>
      <c r="R44" s="2094"/>
      <c r="S44" s="2094"/>
      <c r="T44" s="2094"/>
      <c r="U44" s="2356" t="s">
        <v>1705</v>
      </c>
      <c r="V44" s="1380"/>
    </row>
    <row r="45" spans="1:22">
      <c r="A45" s="1380"/>
      <c r="B45" s="1380"/>
      <c r="C45" s="1380"/>
      <c r="D45" s="1380"/>
      <c r="E45" s="1380"/>
      <c r="F45" s="1380"/>
      <c r="G45" s="1380"/>
      <c r="H45" s="1380"/>
      <c r="I45" s="1380"/>
      <c r="J45" s="1380"/>
      <c r="K45" s="1380"/>
      <c r="L45" s="1187"/>
      <c r="M45" s="2344"/>
      <c r="N45" s="2351">
        <v>1</v>
      </c>
      <c r="O45" s="2094"/>
      <c r="P45" s="2354" t="str">
        <f>PROPER(N37)</f>
        <v>Case No. 2017-00321</v>
      </c>
      <c r="Q45" s="2355"/>
      <c r="R45" s="2094"/>
      <c r="S45" s="2094"/>
      <c r="T45" s="2094"/>
      <c r="U45" s="2094"/>
      <c r="V45" s="1380"/>
    </row>
    <row r="46" spans="1:22">
      <c r="A46" s="1380"/>
      <c r="B46" s="1380"/>
      <c r="C46" s="1380"/>
      <c r="D46" s="1380"/>
      <c r="E46" s="1380"/>
      <c r="F46" s="1380"/>
      <c r="G46" s="1380"/>
      <c r="H46" s="1380"/>
      <c r="I46" s="1380"/>
      <c r="J46" s="1380"/>
      <c r="K46" s="1380"/>
      <c r="L46" s="1187"/>
      <c r="M46" s="2344"/>
      <c r="N46" s="2351">
        <v>2</v>
      </c>
      <c r="O46" s="2094"/>
      <c r="P46" s="2092" t="s">
        <v>1096</v>
      </c>
      <c r="Q46" s="2092"/>
      <c r="R46" s="2094"/>
      <c r="S46" s="2092" t="s">
        <v>710</v>
      </c>
      <c r="T46" s="2094"/>
      <c r="U46" s="2357">
        <f>SCH_F6!C37</f>
        <v>602690</v>
      </c>
      <c r="V46" s="1380"/>
    </row>
    <row r="47" spans="1:22">
      <c r="A47" s="1380"/>
      <c r="B47" s="1380"/>
      <c r="C47" s="1380"/>
      <c r="D47" s="1380"/>
      <c r="E47" s="1380"/>
      <c r="F47" s="1380"/>
      <c r="G47" s="1380"/>
      <c r="H47" s="1380"/>
      <c r="I47" s="1380"/>
      <c r="J47" s="1380"/>
      <c r="K47" s="1380"/>
      <c r="L47" s="1187"/>
      <c r="M47" s="2344"/>
      <c r="N47" s="2351">
        <v>3</v>
      </c>
      <c r="O47" s="2094"/>
      <c r="P47" s="2355"/>
      <c r="Q47" s="2355"/>
      <c r="R47" s="2094"/>
      <c r="S47" s="2094"/>
      <c r="T47" s="2094"/>
      <c r="U47" s="2358"/>
      <c r="V47" s="1380"/>
    </row>
    <row r="48" spans="1:22">
      <c r="A48" s="1380"/>
      <c r="B48" s="1380"/>
      <c r="C48" s="1380"/>
      <c r="D48" s="1380"/>
      <c r="E48" s="1380"/>
      <c r="F48" s="1380"/>
      <c r="G48" s="1380"/>
      <c r="H48" s="1380"/>
      <c r="I48" s="1380"/>
      <c r="J48" s="1380"/>
      <c r="K48" s="1380"/>
      <c r="L48" s="1187"/>
      <c r="M48" s="2344"/>
      <c r="N48" s="2351">
        <v>4</v>
      </c>
      <c r="O48" s="2094"/>
      <c r="P48" s="2355" t="s">
        <v>2383</v>
      </c>
      <c r="Q48" s="2355"/>
      <c r="R48" s="2094"/>
      <c r="S48" s="2094"/>
      <c r="T48" s="2094"/>
      <c r="U48" s="2357">
        <v>5</v>
      </c>
      <c r="V48" s="1380"/>
    </row>
    <row r="49" spans="1:22">
      <c r="A49" s="1380"/>
      <c r="B49" s="1380"/>
      <c r="C49" s="1380"/>
      <c r="D49" s="1380"/>
      <c r="E49" s="1380"/>
      <c r="F49" s="1380"/>
      <c r="G49" s="1380"/>
      <c r="H49" s="1380"/>
      <c r="I49" s="1380"/>
      <c r="J49" s="1380"/>
      <c r="K49" s="1380"/>
      <c r="L49" s="1187"/>
      <c r="M49" s="2344"/>
      <c r="N49" s="2351">
        <v>5</v>
      </c>
      <c r="O49" s="2094"/>
      <c r="P49" s="2355"/>
      <c r="Q49" s="2355"/>
      <c r="R49" s="2094"/>
      <c r="S49" s="2094"/>
      <c r="T49" s="2094"/>
      <c r="U49" s="2358"/>
      <c r="V49" s="1380"/>
    </row>
    <row r="50" spans="1:22">
      <c r="A50" s="1380"/>
      <c r="B50" s="1380"/>
      <c r="C50" s="1380"/>
      <c r="D50" s="1380"/>
      <c r="E50" s="1380"/>
      <c r="F50" s="1380"/>
      <c r="G50" s="1380"/>
      <c r="H50" s="1380"/>
      <c r="I50" s="1380"/>
      <c r="J50" s="1380"/>
      <c r="K50" s="1380"/>
      <c r="L50" s="1187"/>
      <c r="M50" s="2344"/>
      <c r="N50" s="2351">
        <v>6</v>
      </c>
      <c r="O50" s="2094"/>
      <c r="P50" s="2092" t="str">
        <f>"Test Period Amortization ( Line 2 / "&amp;U48&amp;" yrs )"</f>
        <v>Test Period Amortization ( Line 2 / 5 yrs )</v>
      </c>
      <c r="Q50" s="2092"/>
      <c r="R50" s="2094"/>
      <c r="S50" s="2094"/>
      <c r="T50" s="2094"/>
      <c r="U50" s="2359">
        <f>ROUND(U46/U48,0)</f>
        <v>120538</v>
      </c>
      <c r="V50" s="1380"/>
    </row>
    <row r="51" spans="1:22">
      <c r="A51" s="1380"/>
      <c r="B51" s="1380"/>
      <c r="C51" s="1380"/>
      <c r="D51" s="1380"/>
      <c r="E51" s="1380"/>
      <c r="F51" s="1380"/>
      <c r="G51" s="1380"/>
      <c r="H51" s="1380"/>
      <c r="I51" s="1380"/>
      <c r="J51" s="1380"/>
      <c r="K51" s="1380"/>
      <c r="L51" s="1187"/>
      <c r="M51" s="2344"/>
      <c r="N51" s="2351">
        <v>7</v>
      </c>
      <c r="O51" s="2094"/>
      <c r="P51" s="2355"/>
      <c r="Q51" s="2355"/>
      <c r="R51" s="2094"/>
      <c r="S51" s="2094"/>
      <c r="T51" s="2094"/>
      <c r="U51" s="2094"/>
      <c r="V51" s="1380"/>
    </row>
    <row r="52" spans="1:22">
      <c r="A52" s="1380"/>
      <c r="B52" s="1380"/>
      <c r="C52" s="1380"/>
      <c r="D52" s="1380"/>
      <c r="E52" s="1380"/>
      <c r="F52" s="1380"/>
      <c r="G52" s="1380"/>
      <c r="H52" s="1380"/>
      <c r="I52" s="1380"/>
      <c r="J52" s="1380"/>
      <c r="K52" s="1380"/>
      <c r="L52" s="1187"/>
      <c r="M52" s="2344"/>
      <c r="N52" s="2351">
        <v>8</v>
      </c>
      <c r="O52" s="2094"/>
      <c r="P52" s="2092" t="str">
        <f>"Annual Rate Case Expense - "&amp;PROPER(CASE)</f>
        <v>Annual Rate Case Expense - Case No. 2017-00321</v>
      </c>
      <c r="Q52" s="2092"/>
      <c r="R52" s="1380"/>
      <c r="S52" s="2092" t="s">
        <v>2266</v>
      </c>
      <c r="T52" s="1380"/>
      <c r="U52" s="2360">
        <f>U50</f>
        <v>120538</v>
      </c>
      <c r="V52" s="1380"/>
    </row>
    <row r="53" spans="1:22">
      <c r="A53" s="1380"/>
      <c r="B53" s="1380"/>
      <c r="C53" s="1380"/>
      <c r="D53" s="1380"/>
      <c r="E53" s="1380"/>
      <c r="F53" s="1380"/>
      <c r="G53" s="1380"/>
      <c r="H53" s="1380"/>
      <c r="I53" s="1380"/>
      <c r="J53" s="1380"/>
      <c r="K53" s="1380"/>
      <c r="L53" s="2344"/>
      <c r="M53" s="2344"/>
      <c r="N53" s="2344"/>
      <c r="O53" s="2344"/>
      <c r="P53" s="2344"/>
      <c r="Q53" s="2344"/>
      <c r="R53" s="2344"/>
      <c r="S53" s="2344"/>
      <c r="T53" s="2344"/>
      <c r="U53" s="1380"/>
      <c r="V53" s="1380"/>
    </row>
    <row r="54" spans="1:22">
      <c r="A54" s="1380"/>
      <c r="B54" s="1380"/>
      <c r="C54" s="1380"/>
      <c r="D54" s="1380"/>
      <c r="E54" s="1380"/>
      <c r="F54" s="1380"/>
      <c r="G54" s="1380"/>
      <c r="H54" s="1380"/>
      <c r="I54" s="1380"/>
      <c r="J54" s="1380"/>
      <c r="K54" s="1380"/>
      <c r="L54" s="2344"/>
      <c r="M54" s="2344"/>
      <c r="N54" s="2344"/>
      <c r="O54" s="2344"/>
      <c r="P54" s="2344"/>
      <c r="Q54" s="2344"/>
      <c r="R54" s="2344"/>
      <c r="S54" s="2344"/>
      <c r="T54" s="2344"/>
      <c r="U54" s="1380"/>
      <c r="V54" s="1380"/>
    </row>
    <row r="55" spans="1:22">
      <c r="A55" s="1380"/>
      <c r="B55" s="1380"/>
      <c r="C55" s="1380"/>
      <c r="D55" s="1380"/>
      <c r="E55" s="1380"/>
      <c r="F55" s="1380"/>
      <c r="G55" s="1380"/>
      <c r="H55" s="1380"/>
      <c r="I55" s="1380"/>
      <c r="J55" s="1380"/>
      <c r="K55" s="1380"/>
      <c r="L55" s="2344"/>
      <c r="M55" s="2344"/>
      <c r="N55" s="2344"/>
      <c r="O55" s="2344"/>
      <c r="P55" s="2344"/>
      <c r="Q55" s="2344"/>
      <c r="R55" s="2344"/>
      <c r="S55" s="2344"/>
      <c r="T55" s="2344"/>
      <c r="U55" s="1380"/>
      <c r="V55" s="1380"/>
    </row>
    <row r="56" spans="1:22">
      <c r="A56" s="1380"/>
      <c r="B56" s="1380"/>
      <c r="C56" s="1380"/>
      <c r="D56" s="1380"/>
      <c r="E56" s="1380"/>
      <c r="F56" s="1380"/>
      <c r="G56" s="1380"/>
      <c r="H56" s="1380"/>
      <c r="I56" s="1380"/>
      <c r="J56" s="1380"/>
      <c r="K56" s="1380"/>
      <c r="L56" s="2344"/>
      <c r="M56" s="2344"/>
      <c r="N56" s="2344"/>
      <c r="O56" s="2344"/>
      <c r="P56" s="2344"/>
      <c r="Q56" s="2344"/>
      <c r="R56" s="2344"/>
      <c r="S56" s="2344"/>
      <c r="T56" s="2344"/>
      <c r="U56" s="1380"/>
      <c r="V56" s="1380"/>
    </row>
    <row r="57" spans="1:22">
      <c r="A57" s="1380"/>
      <c r="B57" s="1380"/>
      <c r="C57" s="1380"/>
      <c r="D57" s="1380"/>
      <c r="E57" s="1380"/>
      <c r="F57" s="1380"/>
      <c r="G57" s="1380"/>
      <c r="H57" s="1380"/>
      <c r="I57" s="1380"/>
      <c r="J57" s="1380"/>
      <c r="K57" s="1380"/>
      <c r="L57" s="2344"/>
      <c r="M57" s="2344"/>
      <c r="N57" s="2344"/>
      <c r="O57" s="2344"/>
      <c r="P57" s="2344"/>
      <c r="Q57" s="2344"/>
      <c r="R57" s="2344"/>
      <c r="S57" s="2344"/>
      <c r="T57" s="2344"/>
      <c r="U57" s="1380"/>
      <c r="V57" s="1380"/>
    </row>
    <row r="58" spans="1:22">
      <c r="A58" s="1380"/>
      <c r="B58" s="1380"/>
      <c r="C58" s="1380"/>
      <c r="D58" s="1380"/>
      <c r="E58" s="1380"/>
      <c r="F58" s="1380"/>
      <c r="G58" s="1380"/>
      <c r="H58" s="1380"/>
      <c r="I58" s="1380"/>
      <c r="J58" s="1380"/>
      <c r="K58" s="1380"/>
      <c r="L58" s="2344"/>
      <c r="M58" s="2344"/>
      <c r="N58" s="2344"/>
      <c r="O58" s="2344"/>
      <c r="P58" s="2344"/>
      <c r="Q58" s="2344"/>
      <c r="R58" s="2344"/>
      <c r="S58" s="2344"/>
      <c r="T58" s="2344"/>
      <c r="U58" s="1380"/>
      <c r="V58" s="1380"/>
    </row>
    <row r="59" spans="1:22">
      <c r="A59" s="1380"/>
      <c r="B59" s="1380"/>
      <c r="C59" s="1380"/>
      <c r="D59" s="1380"/>
      <c r="E59" s="1380"/>
      <c r="F59" s="1380"/>
      <c r="G59" s="1380"/>
      <c r="H59" s="1380"/>
      <c r="I59" s="1380"/>
      <c r="J59" s="1380"/>
      <c r="K59" s="1380"/>
      <c r="L59" s="2344"/>
      <c r="M59" s="2344"/>
      <c r="N59" s="2344"/>
      <c r="O59" s="2344"/>
      <c r="P59" s="2344"/>
      <c r="Q59" s="2344"/>
      <c r="R59" s="2344"/>
      <c r="S59" s="2344"/>
      <c r="T59" s="2344"/>
      <c r="U59" s="1380"/>
      <c r="V59" s="1380"/>
    </row>
    <row r="60" spans="1:22">
      <c r="A60" s="1380"/>
      <c r="B60" s="1380"/>
      <c r="C60" s="1380"/>
      <c r="D60" s="1380"/>
      <c r="E60" s="1380"/>
      <c r="F60" s="1380"/>
      <c r="G60" s="1380"/>
      <c r="H60" s="1380"/>
      <c r="I60" s="1380"/>
      <c r="J60" s="1380"/>
      <c r="K60" s="1380"/>
      <c r="L60" s="2344"/>
      <c r="M60" s="2344"/>
      <c r="N60" s="2344"/>
      <c r="O60" s="2344"/>
      <c r="P60" s="2344"/>
      <c r="Q60" s="2344"/>
      <c r="R60" s="2344"/>
      <c r="S60" s="2344"/>
      <c r="T60" s="2344"/>
      <c r="U60" s="1380"/>
      <c r="V60" s="1380"/>
    </row>
    <row r="61" spans="1:22">
      <c r="A61" s="1380"/>
      <c r="B61" s="1380"/>
      <c r="C61" s="1380"/>
      <c r="D61" s="1380"/>
      <c r="E61" s="1380"/>
      <c r="F61" s="1380"/>
      <c r="G61" s="1380"/>
      <c r="H61" s="1380"/>
      <c r="I61" s="1380"/>
      <c r="J61" s="1380"/>
      <c r="K61" s="1380"/>
      <c r="L61" s="2344"/>
      <c r="M61" s="2344"/>
      <c r="N61" s="2344"/>
      <c r="O61" s="2344"/>
      <c r="P61" s="2344"/>
      <c r="Q61" s="2344"/>
      <c r="R61" s="2344"/>
      <c r="S61" s="2344"/>
      <c r="T61" s="2344"/>
      <c r="U61" s="1380"/>
      <c r="V61" s="1380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7" tint="-0.249977111117893"/>
  </sheetPr>
  <dimension ref="A1:Q86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21.42578125" style="18" customWidth="1"/>
    <col min="2" max="2" width="7.7109375" style="18" customWidth="1"/>
    <col min="3" max="3" width="14.5703125" style="18" customWidth="1"/>
    <col min="4" max="4" width="12.5703125" style="18" customWidth="1"/>
    <col min="5" max="5" width="9.28515625" style="18" customWidth="1"/>
    <col min="6" max="6" width="15.7109375" style="18" customWidth="1"/>
    <col min="7" max="7" width="8" style="18"/>
    <col min="8" max="8" width="16.42578125" style="18" customWidth="1"/>
    <col min="9" max="9" width="9.140625" style="18" customWidth="1"/>
    <col min="10" max="10" width="6.85546875" style="18" customWidth="1"/>
    <col min="11" max="11" width="1.7109375" style="18" customWidth="1"/>
    <col min="12" max="12" width="22.7109375" style="18" customWidth="1"/>
    <col min="13" max="13" width="9.7109375" style="18" customWidth="1"/>
    <col min="14" max="14" width="14.42578125" style="18" customWidth="1"/>
    <col min="15" max="15" width="2.42578125" style="18" customWidth="1"/>
    <col min="16" max="16" width="18.28515625" style="18" customWidth="1"/>
    <col min="17" max="17" width="15" style="18" customWidth="1"/>
    <col min="18" max="18" width="3.42578125" style="18" customWidth="1"/>
    <col min="19" max="19" width="8.42578125" style="18" customWidth="1"/>
    <col min="20" max="20" width="2" style="18" customWidth="1"/>
    <col min="21" max="21" width="11.5703125" style="18" customWidth="1"/>
    <col min="22" max="22" width="8.85546875" style="18" customWidth="1"/>
    <col min="23" max="23" width="14.5703125" style="18" customWidth="1"/>
    <col min="24" max="24" width="9.7109375" style="18" customWidth="1"/>
    <col min="25" max="25" width="17.85546875" style="18" customWidth="1"/>
    <col min="26" max="16384" width="8" style="18"/>
  </cols>
  <sheetData>
    <row r="1" spans="1:8">
      <c r="A1" s="1443" t="str">
        <f>COMPANY</f>
        <v>DUKE ENERGY KENTUCKY, INC.</v>
      </c>
      <c r="B1" s="1443"/>
      <c r="C1" s="1443"/>
      <c r="D1" s="1444"/>
      <c r="E1" s="1444"/>
      <c r="F1" s="1444"/>
      <c r="G1" s="1444"/>
      <c r="H1" s="1444"/>
    </row>
    <row r="2" spans="1:8">
      <c r="A2" s="1443" t="str">
        <f>CASE</f>
        <v>CASE NO. 2017-00321</v>
      </c>
      <c r="B2" s="1443"/>
      <c r="C2" s="1443"/>
      <c r="D2" s="1444"/>
      <c r="E2" s="1444"/>
      <c r="F2" s="1444"/>
      <c r="G2" s="1444"/>
      <c r="H2" s="1444"/>
    </row>
    <row r="3" spans="1:8">
      <c r="A3" s="1443" t="s">
        <v>3089</v>
      </c>
      <c r="B3" s="1443"/>
      <c r="C3" s="1443"/>
      <c r="D3" s="1444"/>
      <c r="E3" s="1444"/>
      <c r="F3" s="1444"/>
      <c r="G3" s="1444"/>
      <c r="H3" s="1444"/>
    </row>
    <row r="4" spans="1:8">
      <c r="A4" s="1445" t="str">
        <f>PeriodF</f>
        <v>FOR THE TWELVE MONTHS ENDED MARCH 31, 2019</v>
      </c>
      <c r="B4" s="1445"/>
      <c r="C4" s="1445"/>
      <c r="D4" s="1444"/>
      <c r="E4" s="1444"/>
      <c r="F4" s="1444"/>
      <c r="G4" s="1444"/>
      <c r="H4" s="1444"/>
    </row>
    <row r="5" spans="1:8">
      <c r="A5" s="529"/>
      <c r="B5" s="529"/>
      <c r="C5" s="529"/>
      <c r="D5" s="529"/>
      <c r="E5" s="529"/>
      <c r="F5" s="529"/>
      <c r="G5" s="529"/>
      <c r="H5" s="529"/>
    </row>
    <row r="6" spans="1:8">
      <c r="A6" s="1446" t="str">
        <f>DataF</f>
        <v>DATA:  BASE PERIOD  "X" FORECASTED PERIOD</v>
      </c>
      <c r="B6" s="1446"/>
      <c r="C6" s="1446"/>
      <c r="D6" s="529"/>
      <c r="E6" s="529"/>
      <c r="G6" s="461" t="s">
        <v>2664</v>
      </c>
      <c r="H6" s="529"/>
    </row>
    <row r="7" spans="1:8">
      <c r="A7" s="1446" t="str">
        <f>Type</f>
        <v xml:space="preserve">TYPE OF FILING:  "X" ORIGINAL   UPDATED    REVISED  </v>
      </c>
      <c r="B7" s="1446"/>
      <c r="C7" s="1446"/>
      <c r="D7" s="529"/>
      <c r="E7" s="529"/>
      <c r="G7" s="461" t="s">
        <v>620</v>
      </c>
      <c r="H7" s="529"/>
    </row>
    <row r="8" spans="1:8">
      <c r="A8" s="461" t="s">
        <v>3082</v>
      </c>
      <c r="B8" s="461"/>
      <c r="C8" s="461"/>
      <c r="D8" s="529"/>
      <c r="E8" s="529"/>
      <c r="G8" s="461" t="s">
        <v>622</v>
      </c>
      <c r="H8" s="529"/>
    </row>
    <row r="9" spans="1:8">
      <c r="A9" s="529"/>
      <c r="B9" s="529"/>
      <c r="C9" s="529"/>
      <c r="D9" s="529"/>
      <c r="E9" s="529"/>
      <c r="G9" s="461" t="str">
        <f>_WIT1</f>
        <v>S. E. LAWLER</v>
      </c>
      <c r="H9" s="529"/>
    </row>
    <row r="10" spans="1:8">
      <c r="A10" s="1447"/>
      <c r="B10" s="1447"/>
      <c r="C10" s="1447"/>
      <c r="D10" s="1447"/>
      <c r="E10" s="1447"/>
      <c r="F10" s="1447"/>
      <c r="G10" s="1447"/>
      <c r="H10" s="1447"/>
    </row>
    <row r="11" spans="1:8">
      <c r="A11" s="2089"/>
      <c r="B11" s="2089"/>
      <c r="C11" s="2089"/>
      <c r="D11" s="2089"/>
      <c r="E11" s="2089"/>
      <c r="F11" s="2089"/>
      <c r="G11" s="2089"/>
      <c r="H11" s="2089"/>
    </row>
    <row r="12" spans="1:8">
      <c r="A12" s="1432" t="s">
        <v>1246</v>
      </c>
      <c r="B12" s="1432"/>
      <c r="C12" s="1432"/>
      <c r="D12" s="529"/>
      <c r="E12" s="529"/>
      <c r="F12" s="529"/>
      <c r="G12" s="529"/>
      <c r="H12" s="1432" t="s">
        <v>364</v>
      </c>
    </row>
    <row r="13" spans="1:8">
      <c r="A13" s="1447"/>
      <c r="B13" s="1447"/>
      <c r="C13" s="1447"/>
      <c r="D13" s="1447"/>
      <c r="E13" s="1447"/>
      <c r="F13" s="1447"/>
      <c r="G13" s="1447"/>
      <c r="H13" s="1447"/>
    </row>
    <row r="14" spans="1:8">
      <c r="A14" s="2089"/>
      <c r="B14" s="2089"/>
      <c r="C14" s="2089"/>
      <c r="D14" s="2089"/>
      <c r="E14" s="2089"/>
      <c r="F14" s="2089"/>
      <c r="G14" s="2089"/>
      <c r="H14" s="2090"/>
    </row>
    <row r="15" spans="1:8">
      <c r="A15" s="1430" t="s">
        <v>3164</v>
      </c>
      <c r="B15" s="1430"/>
      <c r="C15" s="1430"/>
      <c r="D15" s="529"/>
      <c r="E15" s="529"/>
      <c r="F15" s="529"/>
      <c r="G15" s="529"/>
      <c r="H15" s="529"/>
    </row>
    <row r="16" spans="1:8">
      <c r="A16" s="1430" t="s">
        <v>3165</v>
      </c>
      <c r="B16" s="1430"/>
      <c r="C16" s="1430"/>
      <c r="D16" s="529"/>
      <c r="E16" s="529"/>
      <c r="F16" s="529"/>
      <c r="G16" s="529"/>
      <c r="H16" s="529"/>
    </row>
    <row r="17" spans="1:8">
      <c r="A17" s="1450"/>
      <c r="B17" s="1450"/>
      <c r="C17" s="1450"/>
      <c r="D17" s="529"/>
      <c r="E17" s="529"/>
      <c r="F17" s="529"/>
      <c r="G17" s="529"/>
      <c r="H17" s="529"/>
    </row>
    <row r="18" spans="1:8">
      <c r="A18" s="1450"/>
      <c r="B18" s="1450"/>
      <c r="C18" s="1450"/>
      <c r="D18" s="529"/>
      <c r="E18" s="529"/>
      <c r="F18" s="529"/>
      <c r="G18" s="529"/>
      <c r="H18" s="529"/>
    </row>
    <row r="19" spans="1:8">
      <c r="A19" s="529"/>
      <c r="B19" s="1450"/>
      <c r="C19" s="1450"/>
      <c r="D19" s="529"/>
      <c r="E19" s="529"/>
      <c r="F19" s="529"/>
      <c r="G19" s="529"/>
      <c r="H19" s="535"/>
    </row>
    <row r="20" spans="1:8">
      <c r="A20" s="1430" t="s">
        <v>2646</v>
      </c>
      <c r="B20" s="1430"/>
      <c r="C20" s="1430"/>
      <c r="D20" s="529"/>
      <c r="E20" s="529"/>
      <c r="F20" s="529"/>
      <c r="G20" s="1452"/>
      <c r="H20" s="531">
        <f>-P46</f>
        <v>-12395756</v>
      </c>
    </row>
    <row r="21" spans="1:8">
      <c r="A21" s="1430" t="s">
        <v>3090</v>
      </c>
      <c r="B21" s="1430"/>
      <c r="C21" s="1430"/>
      <c r="D21" s="529"/>
      <c r="E21" s="529"/>
      <c r="F21" s="529"/>
      <c r="G21" s="1452"/>
      <c r="H21" s="1503">
        <f>-P51</f>
        <v>-2817</v>
      </c>
    </row>
    <row r="22" spans="1:8">
      <c r="A22" s="1430" t="s">
        <v>3091</v>
      </c>
      <c r="B22" s="1430"/>
      <c r="C22" s="1430"/>
      <c r="D22" s="529"/>
      <c r="E22" s="529"/>
      <c r="F22" s="529"/>
      <c r="G22" s="1452"/>
      <c r="H22" s="2331">
        <f>SUM(H20:H21)</f>
        <v>-12398573</v>
      </c>
    </row>
    <row r="23" spans="1:8">
      <c r="A23" s="1450"/>
      <c r="B23" s="1450"/>
      <c r="C23" s="1450"/>
      <c r="D23" s="529"/>
      <c r="E23" s="529"/>
      <c r="F23" s="529"/>
      <c r="G23" s="529"/>
      <c r="H23" s="529"/>
    </row>
    <row r="24" spans="1:8">
      <c r="A24" s="1430" t="s">
        <v>266</v>
      </c>
      <c r="B24" s="1430"/>
      <c r="C24" s="1430"/>
      <c r="D24" s="529"/>
      <c r="E24" s="529"/>
      <c r="F24" s="529"/>
      <c r="G24" s="529"/>
      <c r="H24" s="1451">
        <f>VLOOKUP(B29,ALLOCTABLE,2,FALSE)/100</f>
        <v>1</v>
      </c>
    </row>
    <row r="25" spans="1:8">
      <c r="A25" s="1450"/>
      <c r="B25" s="1450"/>
      <c r="C25" s="1450"/>
      <c r="D25" s="529"/>
      <c r="E25" s="529"/>
      <c r="F25" s="529"/>
      <c r="G25" s="529"/>
      <c r="H25" s="529"/>
    </row>
    <row r="26" spans="1:8" ht="15">
      <c r="A26" s="1430" t="s">
        <v>1236</v>
      </c>
      <c r="B26" s="1430"/>
      <c r="C26" s="1430"/>
      <c r="D26" s="529"/>
      <c r="E26" s="1432" t="s">
        <v>709</v>
      </c>
      <c r="F26" s="529"/>
      <c r="G26" s="1452"/>
      <c r="H26" s="1427">
        <f>ROUND(H22*H24,0)</f>
        <v>-12398573</v>
      </c>
    </row>
    <row r="27" spans="1:8">
      <c r="A27" s="1430"/>
      <c r="B27" s="1430"/>
      <c r="C27" s="1430"/>
      <c r="D27" s="529"/>
      <c r="E27" s="529"/>
      <c r="F27" s="529"/>
      <c r="G27" s="529"/>
      <c r="H27" s="529"/>
    </row>
    <row r="28" spans="1:8">
      <c r="A28" s="1450"/>
      <c r="B28" s="1450"/>
      <c r="C28" s="1450"/>
      <c r="D28" s="529"/>
      <c r="E28" s="529"/>
      <c r="F28" s="529"/>
      <c r="G28" s="529"/>
      <c r="H28" s="529"/>
    </row>
    <row r="29" spans="1:8">
      <c r="A29" s="2092" t="s">
        <v>1237</v>
      </c>
      <c r="B29" s="2093" t="s">
        <v>593</v>
      </c>
      <c r="C29" s="2092"/>
      <c r="D29" s="2094"/>
      <c r="E29" s="529"/>
      <c r="F29" s="529"/>
      <c r="G29" s="529"/>
      <c r="H29" s="529"/>
    </row>
    <row r="30" spans="1:8">
      <c r="A30" s="1178"/>
      <c r="B30" s="1178"/>
      <c r="C30" s="1178"/>
      <c r="D30" s="1178"/>
    </row>
    <row r="31" spans="1:8">
      <c r="A31" s="1178"/>
      <c r="B31" s="1178"/>
      <c r="C31" s="1178"/>
      <c r="D31" s="1178"/>
    </row>
    <row r="32" spans="1:8">
      <c r="A32" s="1178"/>
      <c r="B32" s="1178"/>
      <c r="C32" s="1178"/>
      <c r="D32" s="1178"/>
    </row>
    <row r="33" spans="1:17">
      <c r="A33" s="1178"/>
      <c r="B33" s="1178"/>
      <c r="C33" s="1178"/>
      <c r="D33" s="1178"/>
      <c r="J33" s="1629" t="s">
        <v>1387</v>
      </c>
      <c r="K33" s="530"/>
      <c r="L33" s="530"/>
      <c r="M33" s="530"/>
      <c r="O33" s="2106"/>
      <c r="P33" s="2106" t="s">
        <v>2645</v>
      </c>
    </row>
    <row r="34" spans="1:17">
      <c r="A34" s="1178"/>
      <c r="B34" s="1178"/>
      <c r="C34" s="1178"/>
      <c r="D34" s="1178"/>
      <c r="J34" s="1629" t="s">
        <v>695</v>
      </c>
      <c r="K34" s="530"/>
      <c r="L34" s="530"/>
      <c r="M34" s="530"/>
      <c r="O34" s="1629"/>
      <c r="P34" s="1629" t="s">
        <v>1239</v>
      </c>
    </row>
    <row r="35" spans="1:17">
      <c r="A35" s="1178"/>
      <c r="B35" s="1178"/>
      <c r="C35" s="1178"/>
      <c r="D35" s="1178"/>
      <c r="J35" s="1629" t="str">
        <f>CASE</f>
        <v>CASE NO. 2017-00321</v>
      </c>
      <c r="K35" s="530"/>
      <c r="L35" s="530"/>
      <c r="M35" s="530"/>
      <c r="O35" s="530"/>
      <c r="P35" s="530" t="str">
        <f>_WIT1</f>
        <v>S. E. LAWLER</v>
      </c>
    </row>
    <row r="36" spans="1:17">
      <c r="A36" s="1178"/>
      <c r="B36" s="1178"/>
      <c r="C36" s="1178"/>
      <c r="D36" s="1178"/>
      <c r="J36" s="1629" t="str">
        <f>A3</f>
        <v>ELIMINATE ENVIRONMENTAL EXPENSE FROM BASE RATES</v>
      </c>
      <c r="K36" s="530"/>
      <c r="L36" s="530"/>
      <c r="M36" s="530"/>
      <c r="N36" s="530"/>
      <c r="O36" s="530"/>
      <c r="P36" s="530"/>
      <c r="Q36" s="2107"/>
    </row>
    <row r="37" spans="1:17">
      <c r="A37" s="1178"/>
      <c r="B37" s="1178"/>
      <c r="C37" s="1178"/>
      <c r="D37" s="1178"/>
      <c r="J37" s="1629"/>
      <c r="K37" s="530"/>
      <c r="L37" s="530"/>
      <c r="M37" s="530"/>
      <c r="N37" s="530"/>
      <c r="O37" s="530"/>
      <c r="P37" s="530"/>
      <c r="Q37" s="2107"/>
    </row>
    <row r="38" spans="1:17">
      <c r="A38" s="1178"/>
      <c r="B38" s="1178"/>
      <c r="C38" s="1178"/>
      <c r="D38" s="1178"/>
      <c r="J38" s="1629"/>
      <c r="K38" s="530"/>
      <c r="L38" s="530"/>
      <c r="M38" s="530"/>
      <c r="N38" s="530"/>
      <c r="O38" s="530"/>
      <c r="P38" s="2112"/>
      <c r="Q38" s="2107"/>
    </row>
    <row r="39" spans="1:17">
      <c r="A39" s="1178"/>
      <c r="B39" s="1178"/>
      <c r="C39" s="1178"/>
      <c r="D39" s="1178"/>
      <c r="J39" s="2332" t="s">
        <v>1240</v>
      </c>
      <c r="K39" s="530"/>
      <c r="L39" s="530"/>
      <c r="M39" s="530"/>
      <c r="N39" s="530"/>
      <c r="O39" s="530"/>
      <c r="P39" s="2113"/>
      <c r="Q39" s="2107"/>
    </row>
    <row r="40" spans="1:17">
      <c r="A40" s="1178"/>
      <c r="B40" s="1178"/>
      <c r="C40" s="1178"/>
      <c r="D40" s="1178"/>
      <c r="J40" s="2096" t="s">
        <v>1241</v>
      </c>
      <c r="K40" s="1475"/>
      <c r="L40" s="2100" t="s">
        <v>1119</v>
      </c>
      <c r="O40" s="2096"/>
      <c r="P40" s="2096" t="s">
        <v>646</v>
      </c>
      <c r="Q40" s="2096"/>
    </row>
    <row r="41" spans="1:17">
      <c r="A41" s="1178"/>
      <c r="B41" s="1178"/>
      <c r="C41" s="1178"/>
      <c r="D41" s="1178"/>
      <c r="J41" s="1694"/>
      <c r="K41" s="1475"/>
      <c r="L41" s="1475"/>
      <c r="O41" s="1470"/>
      <c r="P41" s="1470"/>
      <c r="Q41" s="1732"/>
    </row>
    <row r="42" spans="1:17">
      <c r="A42" s="1178"/>
      <c r="B42" s="1178"/>
      <c r="C42" s="1178"/>
      <c r="D42" s="1178"/>
      <c r="J42" s="1423">
        <v>1</v>
      </c>
      <c r="K42" s="1475"/>
      <c r="L42" s="2100" t="s">
        <v>3092</v>
      </c>
      <c r="O42" s="1470"/>
      <c r="P42" s="1470"/>
      <c r="Q42" s="1732"/>
    </row>
    <row r="43" spans="1:17">
      <c r="A43" s="1178"/>
      <c r="B43" s="1178"/>
      <c r="C43" s="1178"/>
      <c r="D43" s="1178"/>
      <c r="J43" s="1423">
        <v>2</v>
      </c>
      <c r="K43" s="1423"/>
      <c r="L43" s="1475" t="s">
        <v>3083</v>
      </c>
      <c r="O43" s="1468"/>
      <c r="P43" s="1744">
        <v>1180610</v>
      </c>
      <c r="Q43" s="1469"/>
    </row>
    <row r="44" spans="1:17">
      <c r="A44" s="1178"/>
      <c r="B44" s="1178"/>
      <c r="C44" s="1178"/>
      <c r="D44" s="1178"/>
      <c r="J44" s="1423">
        <v>3</v>
      </c>
      <c r="K44" s="1475"/>
      <c r="L44" s="1475" t="s">
        <v>3084</v>
      </c>
      <c r="O44" s="1468"/>
      <c r="P44" s="1469">
        <v>9077251</v>
      </c>
      <c r="Q44" s="1469"/>
    </row>
    <row r="45" spans="1:17">
      <c r="A45" s="1178"/>
      <c r="B45" s="1178"/>
      <c r="C45" s="1178"/>
      <c r="D45" s="1178"/>
      <c r="J45" s="1423">
        <v>4</v>
      </c>
      <c r="K45" s="1475"/>
      <c r="L45" s="1475" t="s">
        <v>3085</v>
      </c>
      <c r="O45" s="1468"/>
      <c r="P45" s="1469">
        <v>2137895</v>
      </c>
      <c r="Q45" s="1469"/>
    </row>
    <row r="46" spans="1:17">
      <c r="A46" s="1178"/>
      <c r="B46" s="1178"/>
      <c r="C46" s="1178"/>
      <c r="D46" s="1178"/>
      <c r="J46" s="1423">
        <v>5</v>
      </c>
      <c r="K46" s="2109"/>
      <c r="L46" s="2116" t="s">
        <v>3086</v>
      </c>
      <c r="O46" s="1744"/>
      <c r="P46" s="2333">
        <f>SUM(P43:P45)</f>
        <v>12395756</v>
      </c>
      <c r="Q46" s="1469"/>
    </row>
    <row r="47" spans="1:17">
      <c r="A47" s="1178"/>
      <c r="B47" s="1178"/>
      <c r="C47" s="1178"/>
      <c r="D47" s="1178"/>
      <c r="J47" s="1423">
        <v>6</v>
      </c>
      <c r="K47" s="2109"/>
      <c r="L47" s="2116"/>
      <c r="O47" s="1744"/>
      <c r="P47" s="1744"/>
      <c r="Q47" s="1469"/>
    </row>
    <row r="48" spans="1:17">
      <c r="A48" s="1178"/>
      <c r="B48" s="1178"/>
      <c r="C48" s="1178"/>
      <c r="D48" s="1178"/>
      <c r="J48" s="1423">
        <v>7</v>
      </c>
      <c r="K48" s="2109"/>
      <c r="L48" s="2334" t="s">
        <v>3090</v>
      </c>
      <c r="O48" s="1744"/>
      <c r="P48" s="1744"/>
      <c r="Q48" s="1469"/>
    </row>
    <row r="49" spans="1:17">
      <c r="A49" s="1178"/>
      <c r="B49" s="1178"/>
      <c r="C49" s="1178"/>
      <c r="D49" s="1178"/>
      <c r="J49" s="1423">
        <v>8</v>
      </c>
      <c r="K49" s="2109"/>
      <c r="L49" s="2116" t="s">
        <v>3093</v>
      </c>
      <c r="O49" s="1744"/>
      <c r="P49" s="1744">
        <v>2162</v>
      </c>
      <c r="Q49" s="1469"/>
    </row>
    <row r="50" spans="1:17">
      <c r="A50" s="1178"/>
      <c r="B50" s="1178"/>
      <c r="C50" s="1178"/>
      <c r="D50" s="1178"/>
      <c r="J50" s="1423">
        <v>9</v>
      </c>
      <c r="K50" s="2109"/>
      <c r="L50" s="2116" t="s">
        <v>3186</v>
      </c>
      <c r="O50" s="1744"/>
      <c r="P50" s="1469">
        <v>655</v>
      </c>
      <c r="Q50" s="1469"/>
    </row>
    <row r="51" spans="1:17">
      <c r="A51" s="1178"/>
      <c r="B51" s="1178"/>
      <c r="C51" s="1178"/>
      <c r="D51" s="1178"/>
      <c r="J51" s="1423">
        <v>10</v>
      </c>
      <c r="K51" s="2109"/>
      <c r="L51" s="2116" t="s">
        <v>3094</v>
      </c>
      <c r="O51" s="1744"/>
      <c r="P51" s="2333">
        <f>SUM(P49:P50)</f>
        <v>2817</v>
      </c>
      <c r="Q51" s="1469"/>
    </row>
    <row r="52" spans="1:17">
      <c r="A52" s="1178"/>
      <c r="B52" s="1178"/>
      <c r="C52" s="1178"/>
      <c r="D52" s="1178"/>
      <c r="J52" s="1694"/>
      <c r="K52" s="2109"/>
      <c r="L52" s="2116"/>
      <c r="O52" s="1744"/>
      <c r="P52" s="1744"/>
      <c r="Q52" s="1469"/>
    </row>
    <row r="53" spans="1:17">
      <c r="A53" s="1178"/>
      <c r="B53" s="1178"/>
      <c r="C53" s="1178"/>
      <c r="D53" s="1178"/>
      <c r="J53" s="1694"/>
      <c r="K53" s="1694"/>
      <c r="L53" s="2116"/>
      <c r="M53" s="1695"/>
      <c r="N53" s="1695"/>
      <c r="O53" s="1695"/>
      <c r="P53" s="1695"/>
      <c r="Q53" s="1469"/>
    </row>
    <row r="54" spans="1:17">
      <c r="A54" s="1178"/>
      <c r="B54" s="1178"/>
      <c r="C54" s="1178"/>
      <c r="D54" s="1178"/>
      <c r="J54" s="1694"/>
      <c r="K54" s="1694"/>
      <c r="L54" s="55"/>
      <c r="M54" s="2118"/>
      <c r="N54" s="2118"/>
      <c r="O54" s="2118"/>
      <c r="P54" s="2118"/>
      <c r="Q54" s="1469"/>
    </row>
    <row r="55" spans="1:17">
      <c r="A55" s="1178"/>
      <c r="B55" s="1178"/>
      <c r="C55" s="1178"/>
      <c r="D55" s="1178"/>
      <c r="H55" s="1694"/>
      <c r="I55" s="1694"/>
      <c r="J55" s="1694"/>
      <c r="K55" s="1694"/>
      <c r="L55" s="2116"/>
      <c r="M55" s="1469"/>
      <c r="N55" s="1695"/>
      <c r="O55" s="1695"/>
      <c r="P55" s="1695"/>
      <c r="Q55" s="1469"/>
    </row>
    <row r="56" spans="1:17">
      <c r="A56" s="1423"/>
      <c r="B56" s="1178"/>
      <c r="C56" s="1178"/>
      <c r="D56" s="1178"/>
      <c r="H56" s="1694"/>
      <c r="I56" s="46"/>
      <c r="J56" s="1694"/>
      <c r="K56" s="46"/>
      <c r="L56" s="2116"/>
      <c r="M56" s="1469"/>
      <c r="N56" s="1469"/>
      <c r="O56" s="1469"/>
      <c r="P56" s="1469"/>
      <c r="Q56" s="1469"/>
    </row>
    <row r="57" spans="1:17">
      <c r="A57" s="1424"/>
      <c r="B57" s="2335"/>
      <c r="C57" s="2335"/>
      <c r="D57" s="2335"/>
      <c r="H57" s="1694"/>
      <c r="I57" s="46"/>
      <c r="J57" s="1694"/>
      <c r="K57" s="46"/>
      <c r="L57" s="2122"/>
      <c r="M57" s="1893"/>
      <c r="N57" s="1893"/>
      <c r="O57" s="1893"/>
      <c r="P57" s="1893"/>
      <c r="Q57" s="1469"/>
    </row>
    <row r="58" spans="1:17">
      <c r="A58" s="1178"/>
      <c r="B58" s="1178"/>
      <c r="C58" s="1178"/>
      <c r="D58" s="1178"/>
      <c r="H58" s="1694"/>
      <c r="I58" s="46"/>
      <c r="J58" s="1694"/>
      <c r="K58" s="46"/>
      <c r="L58" s="2122"/>
      <c r="M58" s="1893"/>
      <c r="N58" s="1893"/>
      <c r="O58" s="1893"/>
      <c r="P58" s="1893"/>
      <c r="Q58" s="1469"/>
    </row>
    <row r="59" spans="1:17">
      <c r="A59" s="1178"/>
      <c r="B59" s="1178"/>
      <c r="C59" s="1178"/>
      <c r="D59" s="1178"/>
      <c r="Q59" s="1469"/>
    </row>
    <row r="60" spans="1:17">
      <c r="A60" s="1178"/>
      <c r="B60" s="1178"/>
      <c r="C60" s="1178"/>
      <c r="D60" s="1178"/>
    </row>
    <row r="61" spans="1:17">
      <c r="A61" s="1178"/>
      <c r="B61" s="1178"/>
      <c r="C61" s="1178"/>
      <c r="D61" s="1178"/>
    </row>
    <row r="62" spans="1:17">
      <c r="A62" s="1178"/>
      <c r="B62" s="1178"/>
      <c r="C62" s="1178"/>
      <c r="D62" s="1178"/>
    </row>
    <row r="63" spans="1:17">
      <c r="A63" s="1178"/>
      <c r="B63" s="1178"/>
      <c r="C63" s="1178"/>
      <c r="D63" s="1178"/>
    </row>
    <row r="64" spans="1:17">
      <c r="A64" s="1178"/>
      <c r="B64" s="1178"/>
      <c r="C64" s="1178"/>
      <c r="D64" s="1178"/>
    </row>
    <row r="65" spans="1:4">
      <c r="A65" s="1178"/>
      <c r="B65" s="1178"/>
      <c r="C65" s="1178"/>
      <c r="D65" s="1178"/>
    </row>
    <row r="66" spans="1:4">
      <c r="A66" s="1178"/>
      <c r="B66" s="1178"/>
      <c r="C66" s="1178"/>
      <c r="D66" s="1178"/>
    </row>
    <row r="67" spans="1:4">
      <c r="A67" s="1178"/>
      <c r="B67" s="1178"/>
      <c r="C67" s="1178"/>
      <c r="D67" s="1178"/>
    </row>
    <row r="68" spans="1:4">
      <c r="A68" s="1178"/>
      <c r="B68" s="1178"/>
      <c r="C68" s="1178"/>
      <c r="D68" s="1178"/>
    </row>
    <row r="69" spans="1:4">
      <c r="A69" s="1178"/>
      <c r="B69" s="1178"/>
      <c r="C69" s="1178"/>
      <c r="D69" s="1178"/>
    </row>
    <row r="70" spans="1:4">
      <c r="A70" s="1178"/>
      <c r="B70" s="1178"/>
      <c r="C70" s="1178"/>
      <c r="D70" s="1178"/>
    </row>
    <row r="71" spans="1:4">
      <c r="A71" s="1178"/>
      <c r="B71" s="1178"/>
      <c r="C71" s="1178"/>
      <c r="D71" s="1178"/>
    </row>
    <row r="72" spans="1:4">
      <c r="A72" s="1178"/>
      <c r="B72" s="1178"/>
      <c r="C72" s="1178"/>
      <c r="D72" s="1178"/>
    </row>
    <row r="73" spans="1:4">
      <c r="A73" s="1178"/>
      <c r="B73" s="1178"/>
      <c r="C73" s="1178"/>
      <c r="D73" s="1178"/>
    </row>
    <row r="74" spans="1:4">
      <c r="A74" s="1178"/>
      <c r="B74" s="1178"/>
      <c r="C74" s="1178"/>
      <c r="D74" s="1178"/>
    </row>
    <row r="75" spans="1:4">
      <c r="A75" s="1377"/>
      <c r="B75" s="1377"/>
      <c r="C75" s="1377"/>
      <c r="D75" s="1377"/>
    </row>
    <row r="76" spans="1:4">
      <c r="A76" s="1377"/>
      <c r="B76" s="1377"/>
      <c r="C76" s="1377"/>
      <c r="D76" s="1377"/>
    </row>
    <row r="77" spans="1:4">
      <c r="A77" s="1377"/>
      <c r="B77" s="1377"/>
      <c r="C77" s="1377"/>
      <c r="D77" s="1377"/>
    </row>
    <row r="78" spans="1:4">
      <c r="A78" s="1377"/>
      <c r="B78" s="1377"/>
      <c r="C78" s="1377"/>
      <c r="D78" s="1377"/>
    </row>
    <row r="79" spans="1:4">
      <c r="A79" s="1377"/>
      <c r="B79" s="1377"/>
      <c r="C79" s="1377"/>
      <c r="D79" s="1377"/>
    </row>
    <row r="80" spans="1:4">
      <c r="A80" s="1377"/>
      <c r="B80" s="1377"/>
      <c r="C80" s="1377"/>
      <c r="D80" s="1377"/>
    </row>
    <row r="81" spans="1:4">
      <c r="A81" s="1377"/>
      <c r="B81" s="1377"/>
      <c r="C81" s="1377"/>
      <c r="D81" s="1377"/>
    </row>
    <row r="82" spans="1:4">
      <c r="A82" s="1377"/>
      <c r="B82" s="1377"/>
      <c r="C82" s="1377"/>
      <c r="D82" s="1377"/>
    </row>
    <row r="83" spans="1:4">
      <c r="A83" s="1377"/>
      <c r="B83" s="1377"/>
      <c r="C83" s="1377"/>
      <c r="D83" s="1377"/>
    </row>
    <row r="84" spans="1:4">
      <c r="A84" s="1377"/>
      <c r="B84" s="1377"/>
      <c r="C84" s="1377"/>
      <c r="D84" s="1377"/>
    </row>
    <row r="85" spans="1:4">
      <c r="A85" s="1377"/>
      <c r="B85" s="1377"/>
      <c r="C85" s="1377"/>
      <c r="D85" s="1377"/>
    </row>
    <row r="86" spans="1:4">
      <c r="A86" s="1377"/>
      <c r="B86" s="1377"/>
      <c r="C86" s="1377"/>
      <c r="D86" s="1377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tabColor theme="7" tint="-0.249977111117893"/>
  </sheetPr>
  <dimension ref="A1:AH178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7" width="10.7109375" style="18" customWidth="1"/>
    <col min="8" max="8" width="14.5703125" style="18" customWidth="1"/>
    <col min="9" max="9" width="17.5703125" style="18" customWidth="1"/>
    <col min="10" max="10" width="17" style="18" customWidth="1"/>
    <col min="11" max="11" width="3.5703125" style="18" customWidth="1"/>
    <col min="12" max="12" width="11" style="18" customWidth="1"/>
    <col min="13" max="18" width="11.140625" style="18" customWidth="1"/>
    <col min="19" max="19" width="17.5703125" style="18" customWidth="1"/>
    <col min="20" max="20" width="17.140625" style="18" customWidth="1"/>
    <col min="21" max="21" width="6.5703125" style="18" customWidth="1"/>
    <col min="22" max="22" width="18.5703125" style="18" customWidth="1"/>
    <col min="23" max="23" width="7.7109375" style="18" customWidth="1"/>
    <col min="24" max="24" width="1.5703125" style="18" customWidth="1"/>
    <col min="25" max="25" width="47.7109375" style="18" customWidth="1"/>
    <col min="26" max="26" width="1.5703125" style="18" customWidth="1"/>
    <col min="27" max="27" width="21.28515625" style="18" customWidth="1"/>
    <col min="28" max="28" width="15.42578125" style="18" customWidth="1"/>
    <col min="29" max="29" width="16.7109375" style="18" customWidth="1"/>
    <col min="30" max="30" width="1.85546875" style="18" customWidth="1"/>
    <col min="31" max="31" width="17.42578125" style="18" customWidth="1"/>
    <col min="32" max="32" width="8" style="18" customWidth="1"/>
    <col min="33" max="40" width="12.140625" style="18" customWidth="1"/>
    <col min="41" max="16384" width="8" style="18"/>
  </cols>
  <sheetData>
    <row r="1" spans="1:34">
      <c r="A1" s="2312" t="str">
        <f>COMPANY</f>
        <v>DUKE ENERGY KENTUCKY, INC.</v>
      </c>
      <c r="B1" s="1170"/>
      <c r="C1" s="1170"/>
      <c r="D1" s="1170"/>
      <c r="E1" s="1170"/>
      <c r="F1" s="1170"/>
      <c r="G1" s="1170"/>
      <c r="H1" s="1170"/>
      <c r="I1" s="1170"/>
      <c r="J1" s="1170"/>
      <c r="K1" s="1170"/>
      <c r="L1" s="1328"/>
      <c r="M1" s="1328"/>
      <c r="N1" s="1328"/>
      <c r="O1" s="1328"/>
      <c r="P1" s="1328"/>
      <c r="Q1" s="1328"/>
      <c r="R1" s="1328"/>
      <c r="S1" s="1328"/>
      <c r="T1" s="1328"/>
      <c r="U1" s="1328"/>
      <c r="V1" s="1328"/>
      <c r="W1" s="1328"/>
      <c r="X1" s="1328"/>
      <c r="Y1" s="1328"/>
      <c r="Z1" s="1328"/>
      <c r="AA1" s="1328"/>
      <c r="AB1" s="1328"/>
      <c r="AC1" s="1328"/>
      <c r="AD1" s="1328"/>
      <c r="AE1" s="1328"/>
      <c r="AF1" s="1328"/>
      <c r="AG1" s="1328"/>
      <c r="AH1" s="1328"/>
    </row>
    <row r="2" spans="1:34">
      <c r="A2" s="2312" t="str">
        <f>CASE</f>
        <v>CASE NO. 2017-00321</v>
      </c>
      <c r="B2" s="1170"/>
      <c r="C2" s="1170"/>
      <c r="D2" s="1170"/>
      <c r="E2" s="1170"/>
      <c r="F2" s="1170"/>
      <c r="G2" s="1170"/>
      <c r="H2" s="1170"/>
      <c r="I2" s="1170"/>
      <c r="J2" s="1170"/>
      <c r="K2" s="1170"/>
      <c r="L2" s="1328"/>
      <c r="M2" s="1328"/>
      <c r="N2" s="1328"/>
      <c r="O2" s="1328"/>
      <c r="P2" s="1328"/>
      <c r="Q2" s="1328"/>
      <c r="R2" s="1328"/>
      <c r="S2" s="1328"/>
      <c r="T2" s="1328"/>
      <c r="U2" s="1328"/>
      <c r="V2" s="1328"/>
      <c r="W2" s="1328"/>
      <c r="X2" s="1328"/>
      <c r="Y2" s="1328"/>
      <c r="Z2" s="1328"/>
      <c r="AA2" s="1328"/>
      <c r="AB2" s="1328"/>
      <c r="AC2" s="1328"/>
      <c r="AD2" s="1328"/>
      <c r="AE2" s="1328"/>
      <c r="AF2" s="1328"/>
      <c r="AG2" s="1328"/>
      <c r="AH2" s="1328"/>
    </row>
    <row r="3" spans="1:34">
      <c r="A3" s="2313" t="s">
        <v>1029</v>
      </c>
      <c r="B3" s="1170"/>
      <c r="C3" s="1170"/>
      <c r="D3" s="1170"/>
      <c r="E3" s="1170"/>
      <c r="F3" s="1170"/>
      <c r="G3" s="1170"/>
      <c r="H3" s="1170"/>
      <c r="I3" s="1170"/>
      <c r="J3" s="1170"/>
      <c r="K3" s="1170"/>
      <c r="L3" s="1328"/>
      <c r="M3" s="1328"/>
      <c r="N3" s="1328"/>
      <c r="O3" s="1328"/>
      <c r="P3" s="1328"/>
      <c r="Q3" s="1328"/>
      <c r="R3" s="1328"/>
      <c r="S3" s="1328"/>
      <c r="T3" s="1328"/>
      <c r="U3" s="1328"/>
      <c r="V3" s="1328"/>
      <c r="W3" s="1328"/>
      <c r="X3" s="1328"/>
      <c r="Y3" s="1328"/>
      <c r="Z3" s="1328"/>
      <c r="AA3" s="1328"/>
      <c r="AB3" s="1328"/>
      <c r="AC3" s="1328"/>
      <c r="AD3" s="1328"/>
      <c r="AE3" s="1328"/>
      <c r="AF3" s="1328"/>
      <c r="AG3" s="1328"/>
      <c r="AH3" s="1328"/>
    </row>
    <row r="4" spans="1:34">
      <c r="A4" s="2312" t="str">
        <f>PeriodF</f>
        <v>FOR THE TWELVE MONTHS ENDED MARCH 31, 2019</v>
      </c>
      <c r="B4" s="1170"/>
      <c r="C4" s="1170"/>
      <c r="D4" s="1170"/>
      <c r="E4" s="1170"/>
      <c r="F4" s="1170"/>
      <c r="G4" s="1170"/>
      <c r="H4" s="1170"/>
      <c r="I4" s="1170"/>
      <c r="J4" s="1170"/>
      <c r="K4" s="1170"/>
      <c r="L4" s="1328"/>
      <c r="M4" s="1328"/>
      <c r="N4" s="1328"/>
      <c r="O4" s="1328"/>
      <c r="P4" s="1328"/>
      <c r="Q4" s="1328"/>
      <c r="R4" s="1328"/>
      <c r="S4" s="1328"/>
      <c r="T4" s="1328"/>
      <c r="U4" s="1328"/>
      <c r="V4" s="1328"/>
      <c r="W4" s="1328"/>
      <c r="X4" s="1328"/>
      <c r="Y4" s="1328"/>
      <c r="Z4" s="1328"/>
      <c r="AA4" s="1328"/>
      <c r="AB4" s="1328"/>
      <c r="AC4" s="1328"/>
      <c r="AD4" s="1328"/>
      <c r="AE4" s="1328"/>
      <c r="AF4" s="1328"/>
      <c r="AG4" s="1328"/>
      <c r="AH4" s="1328"/>
    </row>
    <row r="5" spans="1:34">
      <c r="A5" s="1328"/>
      <c r="B5" s="1328"/>
      <c r="C5" s="1328"/>
      <c r="D5" s="1328"/>
      <c r="E5" s="1328"/>
      <c r="F5" s="1328"/>
      <c r="G5" s="1328"/>
      <c r="H5" s="1328"/>
      <c r="I5" s="1328"/>
      <c r="J5" s="1328"/>
      <c r="K5" s="1328"/>
      <c r="L5" s="1328"/>
      <c r="M5" s="1328"/>
      <c r="N5" s="1328"/>
      <c r="O5" s="1328"/>
      <c r="P5" s="1328"/>
      <c r="Q5" s="1328"/>
      <c r="R5" s="1328"/>
      <c r="S5" s="1328"/>
      <c r="T5" s="1328"/>
      <c r="U5" s="1328"/>
      <c r="V5" s="1328"/>
      <c r="W5" s="1328"/>
      <c r="X5" s="1328"/>
      <c r="Y5" s="1328"/>
      <c r="Z5" s="1328"/>
      <c r="AA5" s="1328"/>
      <c r="AB5" s="1328"/>
      <c r="AC5" s="1328"/>
      <c r="AD5" s="1328"/>
      <c r="AE5" s="1328"/>
      <c r="AF5" s="1328"/>
      <c r="AG5" s="1328"/>
      <c r="AH5" s="1328"/>
    </row>
    <row r="6" spans="1:34">
      <c r="A6" s="1167" t="str">
        <f>DataF</f>
        <v>DATA:  BASE PERIOD  "X" FORECASTED PERIOD</v>
      </c>
      <c r="B6" s="1328"/>
      <c r="C6" s="1328"/>
      <c r="D6" s="1328"/>
      <c r="E6" s="1328"/>
      <c r="F6" s="1328"/>
      <c r="G6" s="1328"/>
      <c r="H6" s="1328"/>
      <c r="I6" s="2314" t="s">
        <v>2261</v>
      </c>
      <c r="J6" s="1328"/>
      <c r="K6" s="1328"/>
      <c r="L6" s="1328"/>
      <c r="M6" s="1328"/>
      <c r="N6" s="1328"/>
      <c r="O6" s="1328"/>
      <c r="P6" s="1328"/>
      <c r="Q6" s="1328"/>
      <c r="R6" s="1328"/>
      <c r="S6" s="1328"/>
      <c r="T6" s="1328"/>
      <c r="U6" s="1328"/>
      <c r="V6" s="1328"/>
      <c r="W6" s="1328"/>
      <c r="X6" s="1328"/>
      <c r="Y6" s="1328"/>
      <c r="Z6" s="1328"/>
      <c r="AA6" s="1328"/>
      <c r="AB6" s="1328"/>
      <c r="AC6" s="1328"/>
      <c r="AD6" s="1328"/>
      <c r="AE6" s="1328"/>
      <c r="AF6" s="1328"/>
      <c r="AG6" s="1328"/>
      <c r="AH6" s="1328"/>
    </row>
    <row r="7" spans="1:34">
      <c r="A7" s="1167" t="str">
        <f>Type</f>
        <v xml:space="preserve">TYPE OF FILING:  "X" ORIGINAL   UPDATED    REVISED  </v>
      </c>
      <c r="B7" s="1328"/>
      <c r="C7" s="1328"/>
      <c r="D7" s="1328"/>
      <c r="E7" s="1328"/>
      <c r="F7" s="1328"/>
      <c r="G7" s="1328"/>
      <c r="H7" s="1328"/>
      <c r="I7" s="2314" t="s">
        <v>1788</v>
      </c>
      <c r="J7" s="1328"/>
      <c r="K7" s="1328"/>
      <c r="L7" s="1328"/>
      <c r="M7" s="1328"/>
      <c r="N7" s="1328"/>
      <c r="O7" s="1328"/>
      <c r="P7" s="1328"/>
      <c r="Q7" s="1328"/>
      <c r="R7" s="1328"/>
      <c r="S7" s="1328"/>
      <c r="T7" s="1328"/>
      <c r="U7" s="1328"/>
      <c r="V7" s="1328"/>
      <c r="W7" s="1328"/>
      <c r="X7" s="1328"/>
      <c r="Y7" s="1328"/>
      <c r="Z7" s="1328"/>
      <c r="AA7" s="1328"/>
      <c r="AB7" s="1328"/>
      <c r="AC7" s="1328"/>
      <c r="AD7" s="1328"/>
      <c r="AE7" s="1328"/>
      <c r="AF7" s="1328"/>
      <c r="AG7" s="1328"/>
      <c r="AH7" s="1328"/>
    </row>
    <row r="8" spans="1:34">
      <c r="A8" s="1168" t="s">
        <v>3341</v>
      </c>
      <c r="B8" s="1328"/>
      <c r="C8" s="1328"/>
      <c r="D8" s="1328"/>
      <c r="E8" s="1328"/>
      <c r="F8" s="1328"/>
      <c r="G8" s="1328"/>
      <c r="H8" s="1328"/>
      <c r="I8" s="2314" t="s">
        <v>705</v>
      </c>
      <c r="J8" s="1328"/>
      <c r="K8" s="1328"/>
      <c r="L8" s="1328"/>
      <c r="M8" s="1328"/>
      <c r="N8" s="1328"/>
      <c r="O8" s="1328"/>
      <c r="P8" s="1328"/>
      <c r="Q8" s="1328"/>
      <c r="R8" s="1328"/>
      <c r="S8" s="1328"/>
      <c r="T8" s="1328"/>
      <c r="U8" s="1328"/>
      <c r="V8" s="1328"/>
      <c r="W8" s="1328"/>
      <c r="X8" s="1328"/>
      <c r="Y8" s="1328"/>
      <c r="Z8" s="1328"/>
      <c r="AA8" s="1328"/>
      <c r="AB8" s="1328"/>
      <c r="AC8" s="1328"/>
      <c r="AD8" s="1328"/>
      <c r="AE8" s="1328"/>
      <c r="AF8" s="1328"/>
      <c r="AG8" s="1328"/>
      <c r="AH8" s="1328"/>
    </row>
    <row r="9" spans="1:34">
      <c r="A9" s="1328"/>
      <c r="B9" s="1328"/>
      <c r="C9" s="1328"/>
      <c r="D9" s="1328"/>
      <c r="E9" s="1328"/>
      <c r="F9" s="1328"/>
      <c r="G9" s="1328"/>
      <c r="H9" s="1328"/>
      <c r="I9" s="2315" t="str">
        <f>"          "&amp;_WIT1</f>
        <v xml:space="preserve">          S. E. LAWLER</v>
      </c>
      <c r="J9" s="1328"/>
      <c r="K9" s="1328"/>
      <c r="L9" s="1328"/>
      <c r="M9" s="1328"/>
      <c r="N9" s="1328"/>
      <c r="O9" s="1328"/>
      <c r="P9" s="1328"/>
      <c r="Q9" s="1328"/>
      <c r="R9" s="1328"/>
      <c r="S9" s="1328"/>
      <c r="T9" s="1328"/>
      <c r="U9" s="1328"/>
      <c r="V9" s="1328"/>
      <c r="W9" s="1328"/>
      <c r="X9" s="1328"/>
      <c r="Y9" s="1328"/>
      <c r="Z9" s="1328"/>
      <c r="AA9" s="1328"/>
      <c r="AB9" s="1328"/>
      <c r="AC9" s="1328"/>
      <c r="AD9" s="1328"/>
      <c r="AE9" s="1328"/>
      <c r="AF9" s="1328"/>
      <c r="AG9" s="1328"/>
      <c r="AH9" s="1328"/>
    </row>
    <row r="10" spans="1:34">
      <c r="A10" s="2316"/>
      <c r="B10" s="2316"/>
      <c r="C10" s="2316"/>
      <c r="D10" s="2316"/>
      <c r="E10" s="2316"/>
      <c r="F10" s="2316"/>
      <c r="G10" s="2316"/>
      <c r="H10" s="2316"/>
      <c r="I10" s="2316"/>
      <c r="J10" s="2316"/>
      <c r="K10" s="2317"/>
      <c r="L10" s="1328"/>
      <c r="M10" s="1328"/>
      <c r="N10" s="1328"/>
      <c r="O10" s="1328"/>
      <c r="P10" s="1328"/>
      <c r="Q10" s="1328"/>
      <c r="R10" s="1328"/>
      <c r="S10" s="1328"/>
      <c r="T10" s="1328"/>
      <c r="U10" s="1328"/>
      <c r="V10" s="1328"/>
      <c r="W10" s="1328"/>
      <c r="X10" s="1328"/>
      <c r="Y10" s="1328"/>
      <c r="Z10" s="1328"/>
      <c r="AA10" s="1328"/>
      <c r="AB10" s="1328"/>
      <c r="AC10" s="1328"/>
      <c r="AD10" s="1328"/>
      <c r="AE10" s="1328"/>
      <c r="AF10" s="1328"/>
      <c r="AG10" s="1328"/>
      <c r="AH10" s="1328"/>
    </row>
    <row r="11" spans="1:34">
      <c r="A11" s="1328"/>
      <c r="B11" s="1328"/>
      <c r="C11" s="1328"/>
      <c r="D11" s="1328"/>
      <c r="E11" s="1328"/>
      <c r="F11" s="1328"/>
      <c r="G11" s="1328"/>
      <c r="H11" s="1328"/>
      <c r="I11" s="1328"/>
      <c r="J11" s="1328"/>
      <c r="K11" s="1271"/>
      <c r="L11" s="1328"/>
      <c r="M11" s="1328"/>
      <c r="N11" s="1328"/>
      <c r="O11" s="1328"/>
      <c r="P11" s="1328"/>
      <c r="Q11" s="1328"/>
      <c r="R11" s="1328"/>
      <c r="S11" s="1328"/>
      <c r="T11" s="1328"/>
      <c r="U11" s="1328"/>
      <c r="V11" s="1328"/>
      <c r="W11" s="1328"/>
      <c r="X11" s="1328"/>
      <c r="Y11" s="1328"/>
      <c r="Z11" s="1328"/>
      <c r="AA11" s="1328"/>
      <c r="AB11" s="1328"/>
      <c r="AC11" s="1328"/>
      <c r="AD11" s="1328"/>
      <c r="AE11" s="1328"/>
      <c r="AF11" s="1328"/>
      <c r="AG11" s="1328"/>
      <c r="AH11" s="1328"/>
    </row>
    <row r="12" spans="1:34">
      <c r="A12" s="1168" t="s">
        <v>1246</v>
      </c>
      <c r="B12" s="1328"/>
      <c r="C12" s="1328"/>
      <c r="D12" s="1328"/>
      <c r="E12" s="1328"/>
      <c r="F12" s="1328"/>
      <c r="G12" s="1328"/>
      <c r="H12" s="1328"/>
      <c r="I12" s="1328"/>
      <c r="J12" s="2318" t="s">
        <v>364</v>
      </c>
      <c r="K12" s="1271"/>
      <c r="L12" s="1328"/>
      <c r="M12" s="1328"/>
      <c r="N12" s="1328"/>
      <c r="O12" s="1328"/>
      <c r="P12" s="1328"/>
      <c r="Q12" s="1328"/>
      <c r="R12" s="1328"/>
      <c r="S12" s="1328"/>
      <c r="T12" s="1328"/>
      <c r="U12" s="1328"/>
      <c r="V12" s="1328"/>
      <c r="W12" s="1328"/>
      <c r="X12" s="1328"/>
      <c r="Y12" s="1328"/>
      <c r="Z12" s="1328"/>
      <c r="AA12" s="1328"/>
      <c r="AB12" s="1328"/>
      <c r="AC12" s="1328"/>
      <c r="AD12" s="1328"/>
      <c r="AE12" s="1328"/>
      <c r="AF12" s="1328"/>
      <c r="AG12" s="1328"/>
      <c r="AH12" s="1328"/>
    </row>
    <row r="13" spans="1:34">
      <c r="A13" s="2316"/>
      <c r="B13" s="2316"/>
      <c r="C13" s="2316"/>
      <c r="D13" s="2316"/>
      <c r="E13" s="2316"/>
      <c r="F13" s="2316"/>
      <c r="G13" s="2316"/>
      <c r="H13" s="2316"/>
      <c r="I13" s="2316"/>
      <c r="J13" s="2316"/>
      <c r="K13" s="2317"/>
      <c r="L13" s="1328"/>
      <c r="M13" s="1328"/>
      <c r="N13" s="1328"/>
      <c r="O13" s="1328"/>
      <c r="P13" s="1328"/>
      <c r="Q13" s="1328"/>
      <c r="R13" s="1328"/>
      <c r="S13" s="1328"/>
      <c r="T13" s="1328"/>
      <c r="U13" s="1328"/>
      <c r="V13" s="1328"/>
      <c r="W13" s="1328"/>
      <c r="X13" s="1328"/>
      <c r="Y13" s="1328"/>
      <c r="Z13" s="1328"/>
      <c r="AA13" s="1328"/>
      <c r="AB13" s="1328"/>
      <c r="AC13" s="1328"/>
      <c r="AD13" s="1328"/>
      <c r="AE13" s="1328"/>
      <c r="AF13" s="1328"/>
      <c r="AG13" s="1328"/>
      <c r="AH13" s="1328"/>
    </row>
    <row r="14" spans="1:34">
      <c r="A14" s="1328"/>
      <c r="B14" s="1328"/>
      <c r="C14" s="1328"/>
      <c r="D14" s="1328"/>
      <c r="E14" s="1328"/>
      <c r="F14" s="1328"/>
      <c r="G14" s="1328"/>
      <c r="H14" s="1328"/>
      <c r="I14" s="1328"/>
      <c r="J14" s="1171"/>
      <c r="K14" s="1271"/>
      <c r="L14" s="1328"/>
      <c r="M14" s="1328"/>
      <c r="N14" s="1328"/>
      <c r="O14" s="1328"/>
      <c r="P14" s="1328"/>
      <c r="Q14" s="1328"/>
      <c r="R14" s="1328"/>
      <c r="S14" s="1328"/>
      <c r="T14" s="1328"/>
      <c r="U14" s="1328"/>
      <c r="V14" s="1328"/>
      <c r="W14" s="1328"/>
      <c r="X14" s="1328"/>
      <c r="Y14" s="1328"/>
      <c r="Z14" s="1328"/>
      <c r="AA14" s="1328"/>
      <c r="AB14" s="1328"/>
      <c r="AC14" s="1328"/>
      <c r="AD14" s="1328"/>
      <c r="AE14" s="1328"/>
      <c r="AF14" s="1328"/>
      <c r="AG14" s="1328"/>
      <c r="AH14" s="1328"/>
    </row>
    <row r="15" spans="1:34">
      <c r="A15" s="1168" t="s">
        <v>1789</v>
      </c>
      <c r="B15" s="1328"/>
      <c r="C15" s="1328"/>
      <c r="D15" s="1328"/>
      <c r="E15" s="1328"/>
      <c r="F15" s="1328"/>
      <c r="G15" s="1328"/>
      <c r="H15" s="1328"/>
      <c r="I15" s="1328"/>
      <c r="J15" s="1328"/>
      <c r="K15" s="1328"/>
      <c r="L15" s="1328"/>
      <c r="M15" s="1328"/>
      <c r="N15" s="1328"/>
      <c r="O15" s="1328"/>
      <c r="P15" s="1328"/>
      <c r="Q15" s="1328"/>
      <c r="R15" s="1328"/>
      <c r="S15" s="1328"/>
      <c r="T15" s="1328"/>
      <c r="U15" s="1328"/>
      <c r="V15" s="1328"/>
      <c r="W15" s="1328"/>
      <c r="X15" s="1328"/>
      <c r="Y15" s="1328"/>
      <c r="Z15" s="1328"/>
      <c r="AA15" s="1328"/>
      <c r="AB15" s="1328"/>
      <c r="AC15" s="1328"/>
      <c r="AD15" s="1328"/>
      <c r="AE15" s="1328"/>
      <c r="AF15" s="1328"/>
      <c r="AG15" s="1328"/>
      <c r="AH15" s="1328"/>
    </row>
    <row r="16" spans="1:34">
      <c r="A16" s="1186" t="str">
        <f>TEXT(FIT,"##%")&amp;" due to interest deductible for tax purposes being based"</f>
        <v>35% due to interest deductible for tax purposes being based</v>
      </c>
      <c r="B16" s="1328"/>
      <c r="C16" s="1328"/>
      <c r="D16" s="1328"/>
      <c r="E16" s="1328"/>
      <c r="F16" s="1328"/>
      <c r="G16" s="1328"/>
      <c r="H16" s="1328"/>
      <c r="I16" s="1328"/>
      <c r="J16" s="1328"/>
      <c r="K16" s="1328"/>
      <c r="L16" s="1328"/>
      <c r="M16" s="1328"/>
      <c r="N16" s="1328"/>
      <c r="O16" s="1328"/>
      <c r="P16" s="1328"/>
      <c r="Q16" s="1328"/>
      <c r="R16" s="1328"/>
      <c r="S16" s="1328"/>
      <c r="T16" s="1328"/>
      <c r="U16" s="1328"/>
      <c r="V16" s="1328"/>
      <c r="W16" s="1328"/>
      <c r="X16" s="1328"/>
      <c r="Y16" s="1328"/>
      <c r="Z16" s="1328"/>
      <c r="AA16" s="1328"/>
      <c r="AB16" s="1328"/>
      <c r="AC16" s="1328"/>
      <c r="AD16" s="1328"/>
      <c r="AE16" s="1328"/>
      <c r="AF16" s="1328"/>
      <c r="AG16" s="1328"/>
      <c r="AH16" s="1328"/>
    </row>
    <row r="17" spans="1:34">
      <c r="A17" s="2314" t="s">
        <v>3109</v>
      </c>
      <c r="B17" s="1328"/>
      <c r="C17" s="1328"/>
      <c r="D17" s="1328"/>
      <c r="E17" s="1328"/>
      <c r="F17" s="1328"/>
      <c r="G17" s="1328"/>
      <c r="H17" s="1328"/>
      <c r="I17" s="1328"/>
      <c r="J17" s="1328"/>
      <c r="K17" s="1328"/>
      <c r="L17" s="1328"/>
      <c r="M17" s="1328"/>
      <c r="N17" s="1328"/>
      <c r="O17" s="1328"/>
      <c r="P17" s="1328"/>
      <c r="Q17" s="1328"/>
      <c r="R17" s="1328"/>
      <c r="S17" s="1328"/>
      <c r="T17" s="1328"/>
      <c r="U17" s="1328"/>
      <c r="V17" s="1328"/>
      <c r="W17" s="1328"/>
      <c r="X17" s="1328"/>
      <c r="Y17" s="1328"/>
      <c r="Z17" s="1328"/>
      <c r="AA17" s="1328"/>
      <c r="AB17" s="1328"/>
      <c r="AC17" s="1328"/>
      <c r="AD17" s="1328"/>
      <c r="AE17" s="1328"/>
      <c r="AF17" s="1328"/>
      <c r="AG17" s="1328"/>
      <c r="AH17" s="1328"/>
    </row>
    <row r="18" spans="1:34">
      <c r="A18" s="1167" t="s">
        <v>3110</v>
      </c>
      <c r="B18" s="1328"/>
      <c r="C18" s="1328"/>
      <c r="D18" s="2319"/>
      <c r="E18" s="1328"/>
      <c r="F18" s="1328"/>
      <c r="G18" s="1328"/>
      <c r="H18" s="1328"/>
      <c r="I18" s="1328"/>
      <c r="J18" s="1328"/>
      <c r="K18" s="1328"/>
      <c r="L18" s="1328"/>
      <c r="M18" s="1328"/>
      <c r="N18" s="1328"/>
      <c r="O18" s="1328"/>
      <c r="P18" s="1328"/>
      <c r="Q18" s="1328"/>
      <c r="R18" s="1328"/>
      <c r="S18" s="1328"/>
      <c r="T18" s="1328"/>
      <c r="U18" s="1328"/>
      <c r="V18" s="1328"/>
      <c r="W18" s="1328"/>
      <c r="X18" s="1328"/>
      <c r="Y18" s="1328"/>
      <c r="Z18" s="1328"/>
      <c r="AA18" s="1328"/>
      <c r="AB18" s="1328"/>
      <c r="AC18" s="1328"/>
      <c r="AD18" s="1328"/>
      <c r="AE18" s="1328"/>
      <c r="AF18" s="1328"/>
      <c r="AG18" s="1328"/>
      <c r="AH18" s="1328"/>
    </row>
    <row r="19" spans="1:34">
      <c r="A19" s="1328"/>
      <c r="B19" s="1328"/>
      <c r="C19" s="1328"/>
      <c r="D19" s="1328"/>
      <c r="E19" s="1328"/>
      <c r="F19" s="1328"/>
      <c r="G19" s="1328"/>
      <c r="H19" s="1328"/>
      <c r="I19" s="1328"/>
      <c r="J19" s="1328"/>
      <c r="K19" s="1328"/>
      <c r="L19" s="1328"/>
      <c r="M19" s="1328"/>
      <c r="N19" s="1328"/>
      <c r="O19" s="1328"/>
      <c r="P19" s="1328"/>
      <c r="Q19" s="1328"/>
      <c r="R19" s="1328"/>
      <c r="S19" s="1328"/>
      <c r="T19" s="1328"/>
      <c r="U19" s="1328"/>
      <c r="V19" s="1328"/>
      <c r="W19" s="1328"/>
      <c r="X19" s="1328"/>
      <c r="Y19" s="1328"/>
      <c r="Z19" s="1328"/>
      <c r="AA19" s="1328"/>
      <c r="AB19" s="1328"/>
      <c r="AC19" s="1328"/>
      <c r="AD19" s="1328"/>
      <c r="AE19" s="1328"/>
      <c r="AF19" s="1328"/>
      <c r="AG19" s="1328"/>
      <c r="AH19" s="1328"/>
    </row>
    <row r="20" spans="1:34">
      <c r="A20" s="1328"/>
      <c r="B20" s="1328"/>
      <c r="C20" s="1328"/>
      <c r="D20" s="1328"/>
      <c r="E20" s="1328"/>
      <c r="F20" s="1328"/>
      <c r="G20" s="1328"/>
      <c r="H20" s="1328"/>
      <c r="I20" s="1328"/>
      <c r="J20" s="1328"/>
      <c r="K20" s="1328"/>
      <c r="L20" s="1328"/>
      <c r="M20" s="1328"/>
      <c r="N20" s="1328"/>
      <c r="O20" s="1328"/>
      <c r="P20" s="1328"/>
      <c r="Q20" s="1328"/>
      <c r="R20" s="1328"/>
      <c r="S20" s="1328"/>
      <c r="T20" s="1328"/>
      <c r="U20" s="1328"/>
      <c r="V20" s="1328"/>
      <c r="W20" s="1328"/>
      <c r="X20" s="1328"/>
      <c r="Y20" s="1328"/>
      <c r="Z20" s="1328"/>
      <c r="AA20" s="1328"/>
      <c r="AB20" s="1328"/>
      <c r="AC20" s="1328"/>
      <c r="AD20" s="1328"/>
      <c r="AE20" s="1328"/>
      <c r="AF20" s="1328"/>
      <c r="AG20" s="1328"/>
      <c r="AH20" s="1328"/>
    </row>
    <row r="21" spans="1:34">
      <c r="A21" s="1328"/>
      <c r="B21" s="1328"/>
      <c r="C21" s="1328"/>
      <c r="D21" s="1328"/>
      <c r="E21" s="1328"/>
      <c r="F21" s="1328"/>
      <c r="G21" s="1328"/>
      <c r="H21" s="1328"/>
      <c r="I21" s="1328"/>
      <c r="J21" s="1328"/>
      <c r="K21" s="1328"/>
      <c r="L21" s="1328"/>
      <c r="M21" s="1328"/>
      <c r="N21" s="1328"/>
      <c r="O21" s="1328"/>
      <c r="P21" s="1328"/>
      <c r="Q21" s="1328"/>
      <c r="R21" s="1328"/>
      <c r="S21" s="1328"/>
      <c r="T21" s="1328"/>
      <c r="U21" s="1328"/>
      <c r="V21" s="1328"/>
      <c r="W21" s="1328"/>
      <c r="X21" s="1328"/>
      <c r="Y21" s="1328"/>
      <c r="Z21" s="1328"/>
      <c r="AA21" s="1328"/>
      <c r="AB21" s="1328"/>
      <c r="AC21" s="1328"/>
      <c r="AD21" s="1328"/>
      <c r="AE21" s="1328"/>
      <c r="AF21" s="1328"/>
      <c r="AG21" s="1328"/>
      <c r="AH21" s="1328"/>
    </row>
    <row r="22" spans="1:34">
      <c r="A22" s="1168" t="s">
        <v>1929</v>
      </c>
      <c r="B22" s="1328"/>
      <c r="C22" s="1328"/>
      <c r="D22" s="1328"/>
      <c r="E22" s="1328"/>
      <c r="F22" s="1328"/>
      <c r="G22" s="1328"/>
      <c r="H22" s="1328"/>
      <c r="I22" s="2320"/>
      <c r="J22" s="1375">
        <f ca="1">AE98</f>
        <v>-92910</v>
      </c>
      <c r="K22" s="1328"/>
      <c r="L22" s="1328"/>
      <c r="M22" s="1328"/>
      <c r="N22" s="1328"/>
      <c r="O22" s="1328"/>
      <c r="P22" s="1328"/>
      <c r="Q22" s="1328"/>
      <c r="R22" s="1328"/>
      <c r="S22" s="1328"/>
      <c r="T22" s="1328"/>
      <c r="U22" s="1328"/>
      <c r="V22" s="1328"/>
      <c r="W22" s="1328"/>
      <c r="X22" s="1328"/>
      <c r="Y22" s="1328"/>
      <c r="Z22" s="1328"/>
      <c r="AA22" s="1328"/>
      <c r="AB22" s="1328"/>
      <c r="AC22" s="1328"/>
      <c r="AD22" s="1328"/>
      <c r="AE22" s="1328"/>
      <c r="AF22" s="1328"/>
      <c r="AG22" s="1328"/>
      <c r="AH22" s="1328"/>
    </row>
    <row r="23" spans="1:34">
      <c r="A23" s="1328"/>
      <c r="B23" s="1328"/>
      <c r="C23" s="1328"/>
      <c r="D23" s="1328"/>
      <c r="E23" s="1328"/>
      <c r="F23" s="1328"/>
      <c r="G23" s="1328"/>
      <c r="H23" s="1328"/>
      <c r="I23" s="1328"/>
      <c r="J23" s="2320"/>
      <c r="K23" s="1328"/>
      <c r="L23" s="1328"/>
      <c r="M23" s="1328"/>
      <c r="N23" s="1328"/>
      <c r="O23" s="1328"/>
      <c r="P23" s="1328"/>
      <c r="Q23" s="1328"/>
      <c r="R23" s="1328"/>
      <c r="S23" s="1328"/>
      <c r="T23" s="1328"/>
      <c r="U23" s="1328"/>
      <c r="V23" s="1328"/>
      <c r="W23" s="1328"/>
      <c r="X23" s="1328"/>
      <c r="Y23" s="1328"/>
      <c r="Z23" s="1328"/>
      <c r="AA23" s="1328"/>
      <c r="AB23" s="1328"/>
      <c r="AC23" s="1328"/>
      <c r="AD23" s="1328"/>
      <c r="AE23" s="1328"/>
      <c r="AF23" s="1328"/>
      <c r="AG23" s="1328"/>
      <c r="AH23" s="1328"/>
    </row>
    <row r="24" spans="1:34">
      <c r="A24" s="1328"/>
      <c r="B24" s="1328"/>
      <c r="C24" s="1328"/>
      <c r="D24" s="1328"/>
      <c r="E24" s="1328"/>
      <c r="F24" s="1328"/>
      <c r="G24" s="1328"/>
      <c r="H24" s="1328"/>
      <c r="I24" s="1328"/>
      <c r="J24" s="1328"/>
      <c r="K24" s="1328"/>
      <c r="L24" s="1328"/>
      <c r="M24" s="1328"/>
      <c r="N24" s="1328"/>
      <c r="O24" s="1328"/>
      <c r="P24" s="1328"/>
      <c r="Q24" s="1328"/>
      <c r="R24" s="1328"/>
      <c r="S24" s="1328"/>
      <c r="T24" s="1328"/>
      <c r="U24" s="1328"/>
      <c r="V24" s="1328"/>
      <c r="W24" s="1328"/>
      <c r="X24" s="1328"/>
      <c r="Y24" s="1328"/>
      <c r="Z24" s="1328"/>
      <c r="AA24" s="1328"/>
      <c r="AB24" s="1328"/>
      <c r="AC24" s="1328"/>
      <c r="AD24" s="1328"/>
      <c r="AE24" s="1328"/>
      <c r="AF24" s="1328"/>
      <c r="AG24" s="1328"/>
      <c r="AH24" s="1328"/>
    </row>
    <row r="25" spans="1:34">
      <c r="A25" s="1168" t="s">
        <v>266</v>
      </c>
      <c r="B25" s="1328"/>
      <c r="C25" s="1328"/>
      <c r="D25" s="1328"/>
      <c r="E25" s="1328"/>
      <c r="F25" s="1328"/>
      <c r="G25" s="1328"/>
      <c r="H25" s="1328"/>
      <c r="I25" s="1328"/>
      <c r="J25" s="2321">
        <f>VLOOKUP(D31,ALLOCTABLE,2)/100</f>
        <v>1</v>
      </c>
      <c r="K25" s="1328"/>
      <c r="L25" s="1328"/>
      <c r="M25" s="1328"/>
      <c r="N25" s="1328"/>
      <c r="O25" s="1328"/>
      <c r="P25" s="1328"/>
      <c r="Q25" s="1328"/>
      <c r="R25" s="1328"/>
      <c r="S25" s="1328"/>
      <c r="T25" s="1328"/>
      <c r="U25" s="1328"/>
      <c r="V25" s="1328"/>
      <c r="W25" s="1328"/>
      <c r="X25" s="1328"/>
      <c r="Y25" s="1328"/>
      <c r="Z25" s="1328"/>
      <c r="AA25" s="1328"/>
      <c r="AB25" s="1328"/>
      <c r="AC25" s="1328"/>
      <c r="AD25" s="1328"/>
      <c r="AE25" s="1328"/>
      <c r="AF25" s="1328"/>
      <c r="AG25" s="1328"/>
      <c r="AH25" s="1328"/>
    </row>
    <row r="26" spans="1:34">
      <c r="A26" s="1328"/>
      <c r="B26" s="1328"/>
      <c r="C26" s="1328"/>
      <c r="D26" s="1328"/>
      <c r="E26" s="1328"/>
      <c r="F26" s="1328"/>
      <c r="G26" s="1328"/>
      <c r="H26" s="1328"/>
      <c r="I26" s="1328"/>
      <c r="J26" s="2320"/>
      <c r="K26" s="1328"/>
      <c r="L26" s="1328"/>
      <c r="M26" s="1328"/>
      <c r="N26" s="1328"/>
      <c r="O26" s="1328"/>
      <c r="P26" s="1328"/>
      <c r="Q26" s="1328"/>
      <c r="R26" s="1328"/>
      <c r="S26" s="1328"/>
      <c r="T26" s="1328"/>
      <c r="U26" s="1328"/>
      <c r="V26" s="1328"/>
      <c r="W26" s="1328"/>
      <c r="X26" s="1328"/>
      <c r="Y26" s="1328"/>
      <c r="Z26" s="1328"/>
      <c r="AA26" s="1328"/>
      <c r="AB26" s="1328"/>
      <c r="AC26" s="1328"/>
      <c r="AD26" s="1328"/>
      <c r="AE26" s="1328"/>
      <c r="AF26" s="1328"/>
      <c r="AG26" s="1328"/>
      <c r="AH26" s="1328"/>
    </row>
    <row r="27" spans="1:34">
      <c r="A27" s="1328"/>
      <c r="B27" s="1328"/>
      <c r="C27" s="1328"/>
      <c r="D27" s="1328"/>
      <c r="E27" s="1328"/>
      <c r="F27" s="1328"/>
      <c r="G27" s="1328"/>
      <c r="H27" s="1328"/>
      <c r="I27" s="1328"/>
      <c r="J27" s="1328"/>
      <c r="K27" s="1328"/>
      <c r="L27" s="1328"/>
      <c r="M27" s="1328"/>
      <c r="N27" s="1328"/>
      <c r="O27" s="1328"/>
      <c r="P27" s="1328"/>
      <c r="Q27" s="1328"/>
      <c r="R27" s="1328"/>
      <c r="S27" s="1328"/>
      <c r="T27" s="1328"/>
      <c r="U27" s="1328"/>
      <c r="V27" s="1328"/>
      <c r="W27" s="1328"/>
      <c r="X27" s="1328"/>
      <c r="Y27" s="1328"/>
      <c r="Z27" s="1328"/>
      <c r="AA27" s="1328"/>
      <c r="AB27" s="1328"/>
      <c r="AC27" s="1328"/>
      <c r="AD27" s="1328"/>
      <c r="AE27" s="1328"/>
      <c r="AF27" s="1328"/>
      <c r="AG27" s="1328"/>
      <c r="AH27" s="1328"/>
    </row>
    <row r="28" spans="1:34" ht="15">
      <c r="A28" s="1168" t="s">
        <v>1236</v>
      </c>
      <c r="B28" s="1328"/>
      <c r="C28" s="1328"/>
      <c r="D28" s="1328"/>
      <c r="E28" s="1328"/>
      <c r="F28" s="1328"/>
      <c r="G28" s="1328"/>
      <c r="H28" s="1168" t="s">
        <v>1213</v>
      </c>
      <c r="I28" s="2320"/>
      <c r="J28" s="1427">
        <f ca="1">ROUND(J22*J25,0)</f>
        <v>-92910</v>
      </c>
      <c r="K28" s="1328"/>
      <c r="L28" s="1328"/>
      <c r="M28" s="1328"/>
      <c r="N28" s="1328"/>
      <c r="O28" s="1328"/>
      <c r="P28" s="1328"/>
      <c r="Q28" s="1328"/>
      <c r="R28" s="1328"/>
      <c r="S28" s="1328"/>
      <c r="T28" s="1328"/>
      <c r="U28" s="1328"/>
      <c r="V28" s="1328"/>
      <c r="W28" s="1328"/>
      <c r="X28" s="1328"/>
      <c r="Y28" s="1328"/>
      <c r="Z28" s="1328"/>
      <c r="AA28" s="1328"/>
      <c r="AB28" s="1328"/>
      <c r="AC28" s="1328"/>
      <c r="AD28" s="1328"/>
      <c r="AE28" s="1328"/>
      <c r="AF28" s="1328"/>
      <c r="AG28" s="1328"/>
      <c r="AH28" s="1328"/>
    </row>
    <row r="29" spans="1:34">
      <c r="A29" s="1328"/>
      <c r="B29" s="1328"/>
      <c r="C29" s="1328"/>
      <c r="D29" s="1328"/>
      <c r="E29" s="1328"/>
      <c r="F29" s="1328"/>
      <c r="G29" s="1328"/>
      <c r="H29" s="1328"/>
      <c r="I29" s="1328"/>
      <c r="J29" s="2320"/>
      <c r="K29" s="1328"/>
      <c r="L29" s="1328"/>
      <c r="M29" s="1328"/>
      <c r="N29" s="1328"/>
      <c r="O29" s="1328"/>
      <c r="P29" s="1328"/>
      <c r="Q29" s="1328"/>
      <c r="R29" s="1328"/>
      <c r="S29" s="1328"/>
      <c r="T29" s="1328"/>
      <c r="U29" s="1328"/>
      <c r="V29" s="1328"/>
      <c r="W29" s="1328"/>
      <c r="X29" s="1328"/>
      <c r="Y29" s="1328"/>
      <c r="Z29" s="1328"/>
      <c r="AA29" s="1328"/>
      <c r="AB29" s="1328"/>
      <c r="AC29" s="1328"/>
      <c r="AD29" s="1328"/>
      <c r="AE29" s="1328"/>
      <c r="AF29" s="1328"/>
      <c r="AG29" s="1328"/>
      <c r="AH29" s="1328"/>
    </row>
    <row r="30" spans="1:34">
      <c r="A30" s="1328"/>
      <c r="B30" s="1328"/>
      <c r="C30" s="1328"/>
      <c r="D30" s="1328"/>
      <c r="E30" s="1328"/>
      <c r="F30" s="1328"/>
      <c r="G30" s="1328"/>
      <c r="H30" s="1328"/>
      <c r="I30" s="1328"/>
      <c r="J30" s="2320"/>
      <c r="K30" s="1328"/>
      <c r="L30" s="1328"/>
      <c r="M30" s="1328"/>
      <c r="N30" s="1328"/>
      <c r="O30" s="1328"/>
      <c r="P30" s="1328"/>
      <c r="Q30" s="1328"/>
      <c r="R30" s="1328"/>
      <c r="S30" s="1328"/>
      <c r="T30" s="1328"/>
      <c r="U30" s="1328"/>
      <c r="V30" s="1328"/>
      <c r="W30" s="1328"/>
      <c r="X30" s="1328"/>
      <c r="Y30" s="1328"/>
      <c r="Z30" s="1328"/>
      <c r="AA30" s="1328"/>
      <c r="AB30" s="1328"/>
      <c r="AC30" s="1328"/>
      <c r="AD30" s="1328"/>
      <c r="AE30" s="1328"/>
      <c r="AF30" s="1328"/>
      <c r="AG30" s="1328"/>
      <c r="AH30" s="1328"/>
    </row>
    <row r="31" spans="1:34">
      <c r="A31" s="1328" t="s">
        <v>1237</v>
      </c>
      <c r="B31" s="1328"/>
      <c r="C31" s="1328"/>
      <c r="D31" s="2322" t="s">
        <v>593</v>
      </c>
      <c r="E31" s="1328"/>
      <c r="F31" s="1328"/>
      <c r="G31" s="1328"/>
      <c r="H31" s="1328"/>
      <c r="I31" s="1328"/>
      <c r="J31" s="2320"/>
      <c r="K31" s="1328"/>
      <c r="L31" s="1328"/>
      <c r="M31" s="1328"/>
      <c r="N31" s="1328"/>
      <c r="O31" s="1328"/>
      <c r="P31" s="1328"/>
      <c r="Q31" s="1328"/>
      <c r="R31" s="1328"/>
      <c r="S31" s="1328"/>
      <c r="T31" s="1328"/>
      <c r="U31" s="1328"/>
      <c r="V31" s="1328"/>
      <c r="W31" s="1328"/>
      <c r="X31" s="1328"/>
      <c r="Y31" s="1328"/>
      <c r="Z31" s="1328"/>
      <c r="AA31" s="1328"/>
      <c r="AB31" s="1328"/>
      <c r="AC31" s="1328"/>
      <c r="AD31" s="1328"/>
      <c r="AE31" s="1328"/>
      <c r="AF31" s="1328"/>
      <c r="AG31" s="1328"/>
      <c r="AH31" s="1328"/>
    </row>
    <row r="32" spans="1:34">
      <c r="A32" s="1328"/>
      <c r="B32" s="1328"/>
      <c r="C32" s="1328"/>
      <c r="D32" s="1328"/>
      <c r="E32" s="1328"/>
      <c r="F32" s="1328"/>
      <c r="G32" s="1328"/>
      <c r="H32" s="1328"/>
      <c r="I32" s="1328"/>
      <c r="J32" s="2320"/>
      <c r="K32" s="1328"/>
      <c r="L32" s="1328"/>
      <c r="M32" s="1328"/>
      <c r="N32" s="1328"/>
      <c r="O32" s="1328"/>
      <c r="P32" s="1328"/>
      <c r="Q32" s="1328"/>
      <c r="R32" s="1328"/>
      <c r="S32" s="1328"/>
      <c r="T32" s="1328"/>
      <c r="U32" s="1328"/>
      <c r="V32" s="1328"/>
      <c r="W32" s="1328"/>
      <c r="X32" s="1328"/>
      <c r="Y32" s="1328"/>
      <c r="Z32" s="1328"/>
      <c r="AA32" s="1328"/>
      <c r="AB32" s="1328"/>
      <c r="AC32" s="1328"/>
      <c r="AD32" s="1328"/>
      <c r="AE32" s="1328"/>
      <c r="AF32" s="1328"/>
      <c r="AG32" s="1328"/>
      <c r="AH32" s="1328"/>
    </row>
    <row r="33" spans="1:34">
      <c r="A33" s="1168"/>
      <c r="B33" s="1328"/>
      <c r="C33" s="1328"/>
      <c r="D33" s="1328"/>
      <c r="E33" s="1328"/>
      <c r="F33" s="1328"/>
      <c r="G33" s="1328"/>
      <c r="H33" s="1328"/>
      <c r="I33" s="1328"/>
      <c r="J33" s="1328"/>
      <c r="K33" s="1328"/>
      <c r="L33" s="1328"/>
      <c r="M33" s="1328"/>
      <c r="N33" s="1328"/>
      <c r="O33" s="1328"/>
      <c r="P33" s="1328"/>
      <c r="Q33" s="1328"/>
      <c r="R33" s="1328"/>
      <c r="S33" s="1328"/>
      <c r="T33" s="1328"/>
      <c r="U33" s="1328"/>
      <c r="V33" s="1328"/>
      <c r="W33" s="1328"/>
      <c r="X33" s="1328"/>
      <c r="Y33" s="1328"/>
      <c r="Z33" s="1328"/>
      <c r="AA33" s="1328"/>
      <c r="AB33" s="1328"/>
      <c r="AC33" s="1328"/>
      <c r="AD33" s="1328"/>
      <c r="AE33" s="1328"/>
      <c r="AF33" s="1328"/>
      <c r="AG33" s="1328"/>
      <c r="AH33" s="1328"/>
    </row>
    <row r="34" spans="1:34">
      <c r="A34" s="1328"/>
      <c r="B34" s="1328"/>
      <c r="C34" s="1328"/>
      <c r="D34" s="1328"/>
      <c r="E34" s="1328"/>
      <c r="F34" s="1328"/>
      <c r="G34" s="1328"/>
      <c r="H34" s="1328"/>
      <c r="I34" s="1328"/>
      <c r="J34" s="1328"/>
      <c r="K34" s="1328"/>
      <c r="L34" s="2312" t="str">
        <f>COMPANY</f>
        <v>DUKE ENERGY KENTUCKY, INC.</v>
      </c>
      <c r="M34" s="1170"/>
      <c r="N34" s="1170"/>
      <c r="O34" s="1170"/>
      <c r="P34" s="1170"/>
      <c r="Q34" s="1170"/>
      <c r="R34" s="1170"/>
      <c r="S34" s="1170"/>
      <c r="T34" s="1170"/>
      <c r="U34" s="1328"/>
      <c r="V34" s="1328"/>
      <c r="W34" s="1328"/>
      <c r="X34" s="1328"/>
      <c r="Y34" s="1328"/>
      <c r="Z34" s="1328"/>
      <c r="AA34" s="1328"/>
      <c r="AB34" s="1328"/>
      <c r="AC34" s="1328"/>
      <c r="AD34" s="1328"/>
      <c r="AE34" s="1328"/>
      <c r="AF34" s="1328"/>
      <c r="AG34" s="1328"/>
      <c r="AH34" s="1328"/>
    </row>
    <row r="35" spans="1:34">
      <c r="A35" s="1328"/>
      <c r="B35" s="1328"/>
      <c r="C35" s="1328"/>
      <c r="D35" s="1328"/>
      <c r="E35" s="1328"/>
      <c r="F35" s="1328"/>
      <c r="G35" s="1328"/>
      <c r="H35" s="1328"/>
      <c r="I35" s="1328"/>
      <c r="J35" s="1328"/>
      <c r="K35" s="1328"/>
      <c r="L35" s="2312" t="str">
        <f>CASE</f>
        <v>CASE NO. 2017-00321</v>
      </c>
      <c r="M35" s="1170"/>
      <c r="N35" s="1170"/>
      <c r="O35" s="1170"/>
      <c r="P35" s="1170"/>
      <c r="Q35" s="1170"/>
      <c r="R35" s="1170"/>
      <c r="S35" s="1170"/>
      <c r="T35" s="1170"/>
      <c r="U35" s="1328"/>
      <c r="V35" s="1328"/>
      <c r="W35" s="1328"/>
      <c r="X35" s="1328"/>
      <c r="Y35" s="1328"/>
      <c r="Z35" s="1328"/>
      <c r="AA35" s="1328"/>
      <c r="AB35" s="1328"/>
      <c r="AC35" s="1328"/>
      <c r="AD35" s="1328"/>
      <c r="AE35" s="1328"/>
      <c r="AF35" s="1328"/>
      <c r="AG35" s="1328"/>
      <c r="AH35" s="1328"/>
    </row>
    <row r="36" spans="1:34">
      <c r="A36" s="1328"/>
      <c r="B36" s="1328"/>
      <c r="C36" s="1328"/>
      <c r="D36" s="1328"/>
      <c r="E36" s="1328"/>
      <c r="F36" s="1328"/>
      <c r="G36" s="1328"/>
      <c r="H36" s="1328"/>
      <c r="I36" s="1328"/>
      <c r="J36" s="1328"/>
      <c r="K36" s="1328"/>
      <c r="L36" s="2313" t="s">
        <v>1029</v>
      </c>
      <c r="M36" s="1170"/>
      <c r="N36" s="1170"/>
      <c r="O36" s="1170"/>
      <c r="P36" s="1170"/>
      <c r="Q36" s="1170"/>
      <c r="R36" s="1170"/>
      <c r="S36" s="1170"/>
      <c r="T36" s="1170"/>
      <c r="U36" s="1328"/>
      <c r="V36" s="1328"/>
      <c r="W36" s="1328"/>
      <c r="X36" s="1328"/>
      <c r="Y36" s="1328"/>
      <c r="Z36" s="1328"/>
      <c r="AA36" s="1328"/>
      <c r="AB36" s="1328"/>
      <c r="AC36" s="1328"/>
      <c r="AD36" s="1328"/>
      <c r="AE36" s="1328"/>
      <c r="AF36" s="1328"/>
      <c r="AG36" s="1328"/>
      <c r="AH36" s="1328"/>
    </row>
    <row r="37" spans="1:34">
      <c r="A37" s="1328"/>
      <c r="B37" s="1328"/>
      <c r="C37" s="1328"/>
      <c r="D37" s="1328"/>
      <c r="E37" s="1328"/>
      <c r="F37" s="1328"/>
      <c r="G37" s="1328"/>
      <c r="H37" s="1328"/>
      <c r="I37" s="1328"/>
      <c r="J37" s="1328"/>
      <c r="K37" s="1328"/>
      <c r="L37" s="2312" t="str">
        <f>PeriodF</f>
        <v>FOR THE TWELVE MONTHS ENDED MARCH 31, 2019</v>
      </c>
      <c r="M37" s="1170"/>
      <c r="N37" s="1170"/>
      <c r="O37" s="1170"/>
      <c r="P37" s="1170"/>
      <c r="Q37" s="1170"/>
      <c r="R37" s="1170"/>
      <c r="S37" s="1170"/>
      <c r="T37" s="1170"/>
      <c r="U37" s="1328"/>
      <c r="V37" s="1328"/>
      <c r="W37" s="1328"/>
      <c r="X37" s="1328"/>
      <c r="Y37" s="1328"/>
      <c r="Z37" s="1328"/>
      <c r="AA37" s="1328"/>
      <c r="AB37" s="1328"/>
      <c r="AC37" s="1328"/>
      <c r="AD37" s="1328"/>
      <c r="AE37" s="1328"/>
      <c r="AF37" s="1328"/>
      <c r="AG37" s="1328"/>
      <c r="AH37" s="1328"/>
    </row>
    <row r="38" spans="1:34">
      <c r="A38" s="1328"/>
      <c r="B38" s="1328"/>
      <c r="C38" s="1328"/>
      <c r="D38" s="1328"/>
      <c r="E38" s="1328"/>
      <c r="F38" s="1328"/>
      <c r="G38" s="1328"/>
      <c r="H38" s="1328"/>
      <c r="I38" s="1328"/>
      <c r="J38" s="1328"/>
      <c r="K38" s="1328"/>
      <c r="L38" s="1328"/>
      <c r="M38" s="1328"/>
      <c r="N38" s="1328"/>
      <c r="O38" s="1328"/>
      <c r="P38" s="1328"/>
      <c r="Q38" s="1328"/>
      <c r="R38" s="1328"/>
      <c r="S38" s="1328"/>
      <c r="T38" s="1328"/>
      <c r="U38" s="1328"/>
      <c r="V38" s="1328"/>
      <c r="W38" s="1328"/>
      <c r="X38" s="1328"/>
      <c r="Y38" s="1328"/>
      <c r="Z38" s="1328"/>
      <c r="AA38" s="1328"/>
      <c r="AB38" s="1328"/>
      <c r="AC38" s="1328"/>
      <c r="AD38" s="1328"/>
      <c r="AE38" s="1328"/>
      <c r="AF38" s="1328"/>
      <c r="AG38" s="1328"/>
      <c r="AH38" s="1328"/>
    </row>
    <row r="39" spans="1:34">
      <c r="A39" s="1328"/>
      <c r="B39" s="1328"/>
      <c r="C39" s="1328"/>
      <c r="D39" s="1328"/>
      <c r="E39" s="1328"/>
      <c r="F39" s="1328"/>
      <c r="G39" s="1328"/>
      <c r="H39" s="1328"/>
      <c r="I39" s="1328"/>
      <c r="J39" s="1328"/>
      <c r="K39" s="1328"/>
      <c r="L39" s="1167" t="str">
        <f>DataF</f>
        <v>DATA:  BASE PERIOD  "X" FORECASTED PERIOD</v>
      </c>
      <c r="M39" s="1328"/>
      <c r="N39" s="1328"/>
      <c r="O39" s="1328"/>
      <c r="P39" s="1328"/>
      <c r="Q39" s="1328"/>
      <c r="R39" s="1328"/>
      <c r="S39" s="2314" t="s">
        <v>2261</v>
      </c>
      <c r="T39" s="1328"/>
      <c r="U39" s="1328"/>
      <c r="V39" s="1328"/>
      <c r="W39" s="1328"/>
      <c r="X39" s="1328"/>
      <c r="Y39" s="1328"/>
      <c r="Z39" s="1328"/>
      <c r="AA39" s="1328"/>
      <c r="AB39" s="1328"/>
      <c r="AC39" s="1328"/>
      <c r="AD39" s="1328"/>
      <c r="AE39" s="1328"/>
      <c r="AF39" s="1328"/>
      <c r="AG39" s="1328"/>
      <c r="AH39" s="1328"/>
    </row>
    <row r="40" spans="1:34">
      <c r="A40" s="1328"/>
      <c r="B40" s="1328"/>
      <c r="C40" s="1328"/>
      <c r="D40" s="1328"/>
      <c r="E40" s="1328"/>
      <c r="F40" s="1328"/>
      <c r="G40" s="1328"/>
      <c r="H40" s="1328"/>
      <c r="I40" s="1328"/>
      <c r="J40" s="1328"/>
      <c r="K40" s="1328"/>
      <c r="L40" s="1167" t="str">
        <f>Type</f>
        <v xml:space="preserve">TYPE OF FILING:  "X" ORIGINAL   UPDATED    REVISED  </v>
      </c>
      <c r="M40" s="1328"/>
      <c r="N40" s="1328"/>
      <c r="O40" s="1328"/>
      <c r="P40" s="1328"/>
      <c r="Q40" s="1328"/>
      <c r="R40" s="1328"/>
      <c r="S40" s="2314" t="s">
        <v>1790</v>
      </c>
      <c r="T40" s="1328"/>
      <c r="U40" s="1328"/>
      <c r="V40" s="1328"/>
      <c r="W40" s="1328"/>
      <c r="X40" s="1328"/>
      <c r="Y40" s="1328"/>
      <c r="Z40" s="1328"/>
      <c r="AA40" s="1328"/>
      <c r="AB40" s="1328"/>
      <c r="AC40" s="1328"/>
      <c r="AD40" s="1328"/>
      <c r="AE40" s="1328"/>
      <c r="AF40" s="1328"/>
      <c r="AG40" s="1328"/>
      <c r="AH40" s="1328"/>
    </row>
    <row r="41" spans="1:34">
      <c r="A41" s="1328"/>
      <c r="B41" s="1328"/>
      <c r="C41" s="1328"/>
      <c r="D41" s="1328"/>
      <c r="E41" s="1328"/>
      <c r="F41" s="1328"/>
      <c r="G41" s="1328"/>
      <c r="H41" s="1328"/>
      <c r="I41" s="1328"/>
      <c r="J41" s="1328"/>
      <c r="K41" s="1328"/>
      <c r="L41" s="1168" t="str">
        <f>A8</f>
        <v>WORK PAPER REFERENCE NO(S).: WPD-2.19a</v>
      </c>
      <c r="M41" s="1328"/>
      <c r="N41" s="1328"/>
      <c r="O41" s="1328"/>
      <c r="P41" s="1328"/>
      <c r="Q41" s="1328"/>
      <c r="R41" s="1328"/>
      <c r="S41" s="2314" t="s">
        <v>705</v>
      </c>
      <c r="T41" s="1328"/>
      <c r="U41" s="1328"/>
      <c r="V41" s="1328"/>
      <c r="W41" s="1328"/>
      <c r="X41" s="1328"/>
      <c r="Y41" s="1328"/>
      <c r="Z41" s="1328"/>
      <c r="AA41" s="1328"/>
      <c r="AB41" s="1328"/>
      <c r="AC41" s="1328"/>
      <c r="AD41" s="1328"/>
      <c r="AE41" s="1328"/>
      <c r="AF41" s="1328"/>
      <c r="AG41" s="1328"/>
      <c r="AH41" s="1328"/>
    </row>
    <row r="42" spans="1:34">
      <c r="A42" s="1328"/>
      <c r="B42" s="1328"/>
      <c r="C42" s="1328"/>
      <c r="D42" s="1328"/>
      <c r="E42" s="1328"/>
      <c r="F42" s="1328"/>
      <c r="G42" s="1328"/>
      <c r="H42" s="1328"/>
      <c r="I42" s="1328"/>
      <c r="J42" s="1328"/>
      <c r="K42" s="1328"/>
      <c r="L42" s="1328"/>
      <c r="M42" s="1328"/>
      <c r="N42" s="1328"/>
      <c r="O42" s="1328"/>
      <c r="P42" s="1328"/>
      <c r="Q42" s="1328"/>
      <c r="R42" s="1328"/>
      <c r="S42" s="2315" t="str">
        <f>"          "&amp;_WIT1</f>
        <v xml:space="preserve">          S. E. LAWLER</v>
      </c>
      <c r="T42" s="1328"/>
      <c r="U42" s="1328"/>
      <c r="V42" s="1328"/>
      <c r="W42" s="1328"/>
      <c r="X42" s="1328"/>
      <c r="Y42" s="1328"/>
      <c r="Z42" s="1328"/>
      <c r="AA42" s="1328"/>
      <c r="AB42" s="1328"/>
      <c r="AC42" s="1328"/>
      <c r="AD42" s="1328"/>
      <c r="AE42" s="1328"/>
      <c r="AF42" s="1328"/>
      <c r="AG42" s="1328"/>
      <c r="AH42" s="1328"/>
    </row>
    <row r="43" spans="1:34">
      <c r="A43" s="1328"/>
      <c r="B43" s="1328"/>
      <c r="C43" s="1328"/>
      <c r="D43" s="1328"/>
      <c r="E43" s="1328"/>
      <c r="F43" s="1328"/>
      <c r="G43" s="1328"/>
      <c r="H43" s="1328"/>
      <c r="I43" s="1328"/>
      <c r="J43" s="1328"/>
      <c r="K43" s="1328"/>
      <c r="L43" s="2316"/>
      <c r="M43" s="2316"/>
      <c r="N43" s="2316"/>
      <c r="O43" s="2316"/>
      <c r="P43" s="2316"/>
      <c r="Q43" s="2316"/>
      <c r="R43" s="2316"/>
      <c r="S43" s="2316"/>
      <c r="T43" s="2316"/>
      <c r="U43" s="1328"/>
      <c r="V43" s="1328"/>
      <c r="W43" s="1328"/>
      <c r="X43" s="1328"/>
      <c r="Y43" s="1328"/>
      <c r="Z43" s="1328"/>
      <c r="AA43" s="1328"/>
      <c r="AB43" s="1328"/>
      <c r="AC43" s="1328"/>
      <c r="AD43" s="1328"/>
      <c r="AE43" s="1328"/>
      <c r="AF43" s="1328"/>
      <c r="AG43" s="1328"/>
      <c r="AH43" s="1328"/>
    </row>
    <row r="44" spans="1:34">
      <c r="A44" s="1328"/>
      <c r="B44" s="1328"/>
      <c r="C44" s="1328"/>
      <c r="D44" s="1328"/>
      <c r="E44" s="1328"/>
      <c r="F44" s="1328"/>
      <c r="G44" s="1328"/>
      <c r="H44" s="1328"/>
      <c r="I44" s="1328"/>
      <c r="J44" s="1328"/>
      <c r="K44" s="1328"/>
      <c r="L44" s="1328"/>
      <c r="M44" s="1328"/>
      <c r="N44" s="1328"/>
      <c r="O44" s="1328"/>
      <c r="P44" s="1328"/>
      <c r="Q44" s="1328"/>
      <c r="R44" s="1328"/>
      <c r="S44" s="1328"/>
      <c r="T44" s="1328"/>
      <c r="U44" s="1328"/>
      <c r="V44" s="1328"/>
      <c r="W44" s="1328"/>
      <c r="X44" s="1328"/>
      <c r="Y44" s="1328"/>
      <c r="Z44" s="1328"/>
      <c r="AA44" s="1328"/>
      <c r="AB44" s="1328"/>
      <c r="AC44" s="1328"/>
      <c r="AD44" s="1328"/>
      <c r="AE44" s="1328"/>
      <c r="AF44" s="1328"/>
      <c r="AG44" s="1328"/>
      <c r="AH44" s="1328"/>
    </row>
    <row r="45" spans="1:34">
      <c r="A45" s="1328"/>
      <c r="B45" s="1328"/>
      <c r="C45" s="1328"/>
      <c r="D45" s="1328"/>
      <c r="E45" s="1328"/>
      <c r="F45" s="1328"/>
      <c r="G45" s="1328"/>
      <c r="H45" s="1328"/>
      <c r="I45" s="1328"/>
      <c r="J45" s="1328"/>
      <c r="K45" s="1328"/>
      <c r="L45" s="1168" t="s">
        <v>1246</v>
      </c>
      <c r="M45" s="1328"/>
      <c r="N45" s="1328"/>
      <c r="O45" s="1328"/>
      <c r="P45" s="1328"/>
      <c r="Q45" s="1328"/>
      <c r="R45" s="1328"/>
      <c r="S45" s="1328"/>
      <c r="T45" s="2318" t="s">
        <v>364</v>
      </c>
      <c r="U45" s="1328"/>
      <c r="V45" s="1328"/>
      <c r="W45" s="1328"/>
      <c r="X45" s="1328"/>
      <c r="Y45" s="1328"/>
      <c r="Z45" s="1328"/>
      <c r="AA45" s="1328"/>
      <c r="AB45" s="1328"/>
      <c r="AC45" s="1328"/>
      <c r="AD45" s="1328"/>
      <c r="AE45" s="1328"/>
      <c r="AF45" s="1328"/>
      <c r="AG45" s="1328"/>
      <c r="AH45" s="1328"/>
    </row>
    <row r="46" spans="1:34">
      <c r="A46" s="1328"/>
      <c r="B46" s="1328"/>
      <c r="C46" s="1328"/>
      <c r="D46" s="1328"/>
      <c r="E46" s="1328"/>
      <c r="F46" s="1328"/>
      <c r="G46" s="1328"/>
      <c r="H46" s="1328"/>
      <c r="I46" s="1328"/>
      <c r="J46" s="1328"/>
      <c r="K46" s="1328"/>
      <c r="L46" s="2316"/>
      <c r="M46" s="2316"/>
      <c r="N46" s="2316"/>
      <c r="O46" s="2316"/>
      <c r="P46" s="2316"/>
      <c r="Q46" s="2316"/>
      <c r="R46" s="2316"/>
      <c r="S46" s="2316"/>
      <c r="T46" s="2316"/>
      <c r="U46" s="1328"/>
      <c r="V46" s="1328"/>
      <c r="W46" s="1328"/>
      <c r="X46" s="1328"/>
      <c r="Y46" s="1328"/>
      <c r="Z46" s="1328"/>
      <c r="AA46" s="1328"/>
      <c r="AB46" s="1328"/>
      <c r="AC46" s="1328"/>
      <c r="AD46" s="1328"/>
      <c r="AE46" s="1328"/>
      <c r="AF46" s="1328"/>
      <c r="AG46" s="1328"/>
      <c r="AH46" s="1328"/>
    </row>
    <row r="47" spans="1:34">
      <c r="A47" s="1328"/>
      <c r="B47" s="1328"/>
      <c r="C47" s="1328"/>
      <c r="D47" s="1328"/>
      <c r="E47" s="1328"/>
      <c r="F47" s="1328"/>
      <c r="G47" s="1328"/>
      <c r="H47" s="1328"/>
      <c r="I47" s="1328"/>
      <c r="J47" s="1328"/>
      <c r="K47" s="1328"/>
      <c r="L47" s="1328"/>
      <c r="M47" s="1328"/>
      <c r="N47" s="1328"/>
      <c r="O47" s="1328"/>
      <c r="P47" s="1328"/>
      <c r="Q47" s="1328"/>
      <c r="R47" s="1328"/>
      <c r="S47" s="1328"/>
      <c r="T47" s="1171"/>
      <c r="U47" s="1328"/>
      <c r="V47" s="1328"/>
      <c r="W47" s="1328"/>
      <c r="X47" s="1328"/>
      <c r="Y47" s="1328"/>
      <c r="Z47" s="1328"/>
      <c r="AA47" s="1328"/>
      <c r="AB47" s="1328"/>
      <c r="AC47" s="1328"/>
      <c r="AD47" s="1328"/>
      <c r="AE47" s="1328"/>
      <c r="AF47" s="1328"/>
      <c r="AG47" s="1328"/>
      <c r="AH47" s="1328"/>
    </row>
    <row r="48" spans="1:34">
      <c r="A48" s="1328"/>
      <c r="B48" s="1328"/>
      <c r="C48" s="1328"/>
      <c r="D48" s="1328"/>
      <c r="E48" s="1328"/>
      <c r="F48" s="1328"/>
      <c r="G48" s="1328"/>
      <c r="H48" s="1328"/>
      <c r="I48" s="1328"/>
      <c r="J48" s="1328"/>
      <c r="K48" s="1328"/>
      <c r="L48" s="1168" t="s">
        <v>698</v>
      </c>
      <c r="M48" s="1328"/>
      <c r="N48" s="1328"/>
      <c r="O48" s="1328"/>
      <c r="P48" s="1328"/>
      <c r="Q48" s="1328"/>
      <c r="R48" s="1328"/>
      <c r="S48" s="1328"/>
      <c r="T48" s="1328"/>
      <c r="U48" s="1328"/>
      <c r="V48" s="1328"/>
      <c r="W48" s="1328"/>
      <c r="X48" s="1328"/>
      <c r="Y48" s="1328"/>
      <c r="Z48" s="1328"/>
      <c r="AA48" s="1328"/>
      <c r="AB48" s="1328"/>
      <c r="AC48" s="1328"/>
      <c r="AD48" s="1328"/>
      <c r="AE48" s="1328"/>
      <c r="AF48" s="1328"/>
      <c r="AG48" s="1328"/>
      <c r="AH48" s="1328"/>
    </row>
    <row r="49" spans="1:34">
      <c r="A49" s="1328"/>
      <c r="B49" s="1328"/>
      <c r="C49" s="1328"/>
      <c r="D49" s="1328"/>
      <c r="E49" s="1328"/>
      <c r="F49" s="1328"/>
      <c r="G49" s="1328"/>
      <c r="H49" s="1328"/>
      <c r="I49" s="1328"/>
      <c r="J49" s="1328"/>
      <c r="K49" s="1328"/>
      <c r="L49" s="1186" t="str">
        <f>TEXT(SIT,"#0.0#%")&amp;" due to interest deductible for tax purposes being based"</f>
        <v>6.0% due to interest deductible for tax purposes being based</v>
      </c>
      <c r="M49" s="1328"/>
      <c r="N49" s="1328"/>
      <c r="O49" s="1328"/>
      <c r="P49" s="1328"/>
      <c r="Q49" s="1328"/>
      <c r="R49" s="1328"/>
      <c r="S49" s="1328"/>
      <c r="T49" s="1328"/>
      <c r="U49" s="1328"/>
      <c r="V49" s="1328"/>
      <c r="W49" s="1328"/>
      <c r="X49" s="1328"/>
      <c r="Y49" s="1328"/>
      <c r="Z49" s="1328"/>
      <c r="AA49" s="1328"/>
      <c r="AB49" s="1328"/>
      <c r="AC49" s="1328"/>
      <c r="AD49" s="1328"/>
      <c r="AE49" s="1328"/>
      <c r="AF49" s="1328"/>
      <c r="AG49" s="1328"/>
      <c r="AH49" s="1328"/>
    </row>
    <row r="50" spans="1:34">
      <c r="A50" s="1328"/>
      <c r="B50" s="1328"/>
      <c r="C50" s="1328"/>
      <c r="D50" s="1328"/>
      <c r="E50" s="1328"/>
      <c r="F50" s="1328"/>
      <c r="G50" s="1328"/>
      <c r="H50" s="1328"/>
      <c r="I50" s="1328"/>
      <c r="J50" s="1328"/>
      <c r="K50" s="1328"/>
      <c r="L50" s="2314" t="s">
        <v>3109</v>
      </c>
      <c r="M50" s="1328"/>
      <c r="N50" s="1328"/>
      <c r="O50" s="1328"/>
      <c r="P50" s="1328"/>
      <c r="Q50" s="1328"/>
      <c r="R50" s="1328"/>
      <c r="S50" s="1328"/>
      <c r="T50" s="1328"/>
      <c r="U50" s="1328"/>
      <c r="V50" s="1328"/>
      <c r="W50" s="1328"/>
      <c r="X50" s="1328"/>
      <c r="Y50" s="1328"/>
      <c r="Z50" s="1328"/>
      <c r="AA50" s="1328"/>
      <c r="AB50" s="1328"/>
      <c r="AC50" s="1328"/>
      <c r="AD50" s="1328"/>
      <c r="AE50" s="1328"/>
      <c r="AF50" s="1328"/>
      <c r="AG50" s="1328"/>
      <c r="AH50" s="1328"/>
    </row>
    <row r="51" spans="1:34">
      <c r="A51" s="1328"/>
      <c r="B51" s="1328"/>
      <c r="C51" s="1328"/>
      <c r="D51" s="1328"/>
      <c r="E51" s="1328"/>
      <c r="F51" s="1328"/>
      <c r="G51" s="1328"/>
      <c r="H51" s="1328"/>
      <c r="I51" s="1328"/>
      <c r="J51" s="1328"/>
      <c r="K51" s="1328"/>
      <c r="L51" s="1167" t="s">
        <v>3110</v>
      </c>
      <c r="M51" s="1328"/>
      <c r="N51" s="1328"/>
      <c r="O51" s="2319"/>
      <c r="P51" s="2319"/>
      <c r="Q51" s="2319"/>
      <c r="R51" s="1328"/>
      <c r="S51" s="1328"/>
      <c r="T51" s="1328"/>
      <c r="U51" s="1328"/>
      <c r="V51" s="1328"/>
      <c r="W51" s="1328"/>
      <c r="X51" s="1328"/>
      <c r="Y51" s="1328"/>
      <c r="Z51" s="1328"/>
      <c r="AA51" s="1328"/>
      <c r="AB51" s="1328"/>
      <c r="AC51" s="1328"/>
      <c r="AD51" s="1328"/>
      <c r="AE51" s="1328"/>
      <c r="AF51" s="1328"/>
      <c r="AG51" s="1328"/>
      <c r="AH51" s="1328"/>
    </row>
    <row r="52" spans="1:34">
      <c r="A52" s="1328"/>
      <c r="B52" s="1328"/>
      <c r="C52" s="1328"/>
      <c r="D52" s="1328"/>
      <c r="E52" s="1328"/>
      <c r="F52" s="1328"/>
      <c r="G52" s="1328"/>
      <c r="H52" s="1328"/>
      <c r="I52" s="1328"/>
      <c r="J52" s="1328"/>
      <c r="K52" s="1328"/>
      <c r="L52" s="1328"/>
      <c r="M52" s="1328"/>
      <c r="N52" s="1328"/>
      <c r="O52" s="1328"/>
      <c r="P52" s="1328"/>
      <c r="Q52" s="1328"/>
      <c r="R52" s="1328"/>
      <c r="S52" s="1328"/>
      <c r="T52" s="1328"/>
      <c r="U52" s="1328"/>
      <c r="V52" s="1328"/>
      <c r="W52" s="1328"/>
      <c r="X52" s="1328"/>
      <c r="Y52" s="1328"/>
      <c r="Z52" s="1328"/>
      <c r="AA52" s="1328"/>
      <c r="AB52" s="1328"/>
      <c r="AC52" s="1328"/>
      <c r="AD52" s="1328"/>
      <c r="AE52" s="1328"/>
      <c r="AF52" s="1328"/>
      <c r="AG52" s="1328"/>
      <c r="AH52" s="1328"/>
    </row>
    <row r="53" spans="1:34">
      <c r="A53" s="1328"/>
      <c r="B53" s="1328"/>
      <c r="C53" s="1328"/>
      <c r="D53" s="1328"/>
      <c r="E53" s="1328"/>
      <c r="F53" s="1328"/>
      <c r="G53" s="1328"/>
      <c r="H53" s="1328"/>
      <c r="I53" s="1328"/>
      <c r="J53" s="1328"/>
      <c r="K53" s="1328"/>
      <c r="L53" s="1328"/>
      <c r="M53" s="1328"/>
      <c r="N53" s="1328"/>
      <c r="O53" s="1328"/>
      <c r="P53" s="1328"/>
      <c r="Q53" s="1328"/>
      <c r="R53" s="1328"/>
      <c r="S53" s="1328"/>
      <c r="T53" s="1328"/>
      <c r="U53" s="1328"/>
      <c r="V53" s="1328"/>
      <c r="W53" s="1328"/>
      <c r="X53" s="1328"/>
      <c r="Y53" s="1328"/>
      <c r="Z53" s="1328"/>
      <c r="AA53" s="1328"/>
      <c r="AB53" s="1328"/>
      <c r="AC53" s="1328"/>
      <c r="AD53" s="1328"/>
      <c r="AE53" s="1328"/>
      <c r="AF53" s="1328"/>
      <c r="AG53" s="1328"/>
      <c r="AH53" s="1328"/>
    </row>
    <row r="54" spans="1:34">
      <c r="A54" s="1328"/>
      <c r="B54" s="1328"/>
      <c r="C54" s="1328"/>
      <c r="D54" s="1328"/>
      <c r="E54" s="1328"/>
      <c r="F54" s="1328"/>
      <c r="G54" s="1328"/>
      <c r="H54" s="1328"/>
      <c r="I54" s="1328"/>
      <c r="J54" s="1328"/>
      <c r="K54" s="1328"/>
      <c r="L54" s="1328"/>
      <c r="M54" s="1328"/>
      <c r="N54" s="1328"/>
      <c r="O54" s="1328"/>
      <c r="P54" s="1328"/>
      <c r="Q54" s="1328"/>
      <c r="R54" s="1328"/>
      <c r="S54" s="1328"/>
      <c r="T54" s="1328"/>
      <c r="U54" s="1328"/>
      <c r="V54" s="1328"/>
      <c r="W54" s="1328"/>
      <c r="X54" s="1328"/>
      <c r="Y54" s="1328"/>
      <c r="Z54" s="1328"/>
      <c r="AA54" s="1328"/>
      <c r="AB54" s="1328"/>
      <c r="AC54" s="1328"/>
      <c r="AD54" s="1328"/>
      <c r="AE54" s="1328"/>
      <c r="AF54" s="1328"/>
      <c r="AG54" s="1328"/>
      <c r="AH54" s="1328"/>
    </row>
    <row r="55" spans="1:34">
      <c r="A55" s="1328"/>
      <c r="B55" s="1328"/>
      <c r="C55" s="1328"/>
      <c r="D55" s="1328"/>
      <c r="E55" s="1328"/>
      <c r="F55" s="1328"/>
      <c r="G55" s="1328"/>
      <c r="H55" s="1328"/>
      <c r="I55" s="1328"/>
      <c r="J55" s="1328"/>
      <c r="K55" s="1328"/>
      <c r="L55" s="1168" t="s">
        <v>1929</v>
      </c>
      <c r="M55" s="1328"/>
      <c r="N55" s="1328"/>
      <c r="O55" s="1328"/>
      <c r="P55" s="1328"/>
      <c r="Q55" s="1328"/>
      <c r="R55" s="1328"/>
      <c r="S55" s="1328"/>
      <c r="T55" s="1375">
        <f ca="1">AE96</f>
        <v>-14991</v>
      </c>
      <c r="U55" s="2320"/>
      <c r="V55" s="1328"/>
      <c r="W55" s="1328"/>
      <c r="X55" s="1328"/>
      <c r="Y55" s="1328"/>
      <c r="Z55" s="1328"/>
      <c r="AA55" s="1328"/>
      <c r="AB55" s="1328"/>
      <c r="AC55" s="1328"/>
      <c r="AD55" s="1328"/>
      <c r="AE55" s="1328"/>
      <c r="AF55" s="1328"/>
      <c r="AG55" s="1328"/>
      <c r="AH55" s="1328"/>
    </row>
    <row r="56" spans="1:34">
      <c r="A56" s="1328"/>
      <c r="B56" s="1328"/>
      <c r="C56" s="1328"/>
      <c r="D56" s="1328"/>
      <c r="E56" s="1328"/>
      <c r="F56" s="1328"/>
      <c r="G56" s="1328"/>
      <c r="H56" s="1328"/>
      <c r="I56" s="1328"/>
      <c r="J56" s="1328"/>
      <c r="K56" s="1328"/>
      <c r="L56" s="1328"/>
      <c r="M56" s="1328"/>
      <c r="N56" s="1328"/>
      <c r="O56" s="1328"/>
      <c r="P56" s="1328"/>
      <c r="Q56" s="1328"/>
      <c r="R56" s="1328"/>
      <c r="S56" s="1328"/>
      <c r="T56" s="2320"/>
      <c r="U56" s="1328"/>
      <c r="V56" s="1328"/>
      <c r="W56" s="1328"/>
      <c r="X56" s="1328"/>
      <c r="Y56" s="1328"/>
      <c r="Z56" s="1328"/>
      <c r="AA56" s="1328"/>
      <c r="AB56" s="1328"/>
      <c r="AC56" s="1328"/>
      <c r="AD56" s="1328"/>
      <c r="AE56" s="1328"/>
      <c r="AF56" s="1328"/>
      <c r="AG56" s="1328"/>
      <c r="AH56" s="1328"/>
    </row>
    <row r="57" spans="1:34">
      <c r="A57" s="1328"/>
      <c r="B57" s="1328"/>
      <c r="C57" s="1328"/>
      <c r="D57" s="1328"/>
      <c r="E57" s="1328"/>
      <c r="F57" s="1328"/>
      <c r="G57" s="1328"/>
      <c r="H57" s="1328"/>
      <c r="I57" s="1328"/>
      <c r="J57" s="1328"/>
      <c r="K57" s="1328"/>
      <c r="L57" s="1328"/>
      <c r="M57" s="1328"/>
      <c r="N57" s="1328"/>
      <c r="O57" s="1328"/>
      <c r="P57" s="1328"/>
      <c r="Q57" s="1328"/>
      <c r="R57" s="1328"/>
      <c r="S57" s="1328"/>
      <c r="T57" s="1328"/>
      <c r="U57" s="1328"/>
      <c r="V57" s="1328"/>
      <c r="W57" s="1328"/>
      <c r="X57" s="1328"/>
      <c r="Y57" s="1328"/>
      <c r="Z57" s="1328"/>
      <c r="AA57" s="1328"/>
      <c r="AB57" s="1328"/>
      <c r="AC57" s="1328"/>
      <c r="AD57" s="1328"/>
      <c r="AE57" s="1328"/>
      <c r="AF57" s="1328"/>
      <c r="AG57" s="1328"/>
      <c r="AH57" s="1328"/>
    </row>
    <row r="58" spans="1:34">
      <c r="A58" s="1328"/>
      <c r="B58" s="1328"/>
      <c r="C58" s="1328"/>
      <c r="D58" s="1328"/>
      <c r="E58" s="1328"/>
      <c r="F58" s="1328"/>
      <c r="G58" s="1328"/>
      <c r="H58" s="1328"/>
      <c r="I58" s="1328"/>
      <c r="J58" s="1328"/>
      <c r="K58" s="1328"/>
      <c r="L58" s="1168" t="s">
        <v>266</v>
      </c>
      <c r="M58" s="1328"/>
      <c r="N58" s="1328"/>
      <c r="O58" s="1328"/>
      <c r="P58" s="1328"/>
      <c r="Q58" s="1328"/>
      <c r="R58" s="1328"/>
      <c r="S58" s="1328"/>
      <c r="T58" s="2321">
        <v>1</v>
      </c>
      <c r="U58" s="1328"/>
      <c r="V58" s="1328"/>
      <c r="W58" s="1328"/>
      <c r="X58" s="1328"/>
      <c r="Y58" s="1328"/>
      <c r="Z58" s="1328"/>
      <c r="AA58" s="1328"/>
      <c r="AB58" s="1328"/>
      <c r="AC58" s="1328"/>
      <c r="AD58" s="1328"/>
      <c r="AE58" s="1328"/>
      <c r="AF58" s="1328"/>
      <c r="AG58" s="1328"/>
      <c r="AH58" s="1328"/>
    </row>
    <row r="59" spans="1:34">
      <c r="A59" s="1328"/>
      <c r="B59" s="1328"/>
      <c r="C59" s="1328"/>
      <c r="D59" s="1328"/>
      <c r="E59" s="1328"/>
      <c r="F59" s="1328"/>
      <c r="G59" s="1328"/>
      <c r="H59" s="1328"/>
      <c r="I59" s="1328"/>
      <c r="J59" s="1328"/>
      <c r="K59" s="1328"/>
      <c r="L59" s="1328"/>
      <c r="M59" s="1328"/>
      <c r="N59" s="1328"/>
      <c r="O59" s="1328"/>
      <c r="P59" s="1328"/>
      <c r="Q59" s="1328"/>
      <c r="R59" s="1328"/>
      <c r="S59" s="1328"/>
      <c r="T59" s="2320"/>
      <c r="U59" s="1328"/>
      <c r="V59" s="1328"/>
      <c r="W59" s="1328"/>
      <c r="X59" s="1328"/>
      <c r="Y59" s="1328"/>
      <c r="Z59" s="1328"/>
      <c r="AA59" s="1328"/>
      <c r="AB59" s="1328"/>
      <c r="AC59" s="1328"/>
      <c r="AD59" s="1328"/>
      <c r="AE59" s="1328"/>
      <c r="AF59" s="1328"/>
      <c r="AG59" s="1328"/>
      <c r="AH59" s="1328"/>
    </row>
    <row r="60" spans="1:34">
      <c r="A60" s="1328"/>
      <c r="B60" s="1328"/>
      <c r="C60" s="1328"/>
      <c r="D60" s="1328"/>
      <c r="E60" s="1328"/>
      <c r="F60" s="1328"/>
      <c r="G60" s="1328"/>
      <c r="H60" s="1328"/>
      <c r="I60" s="1328"/>
      <c r="J60" s="1328"/>
      <c r="K60" s="1328"/>
      <c r="L60" s="1328"/>
      <c r="M60" s="1328"/>
      <c r="N60" s="1328"/>
      <c r="O60" s="1328"/>
      <c r="P60" s="1328"/>
      <c r="Q60" s="1328"/>
      <c r="R60" s="1328"/>
      <c r="S60" s="1328"/>
      <c r="T60" s="1328"/>
      <c r="U60" s="1328"/>
      <c r="V60" s="1328"/>
      <c r="W60" s="1328"/>
      <c r="X60" s="1328"/>
      <c r="Y60" s="1328"/>
      <c r="Z60" s="1328"/>
      <c r="AA60" s="1328"/>
      <c r="AB60" s="1328"/>
      <c r="AC60" s="1328"/>
      <c r="AD60" s="1328"/>
      <c r="AE60" s="1328"/>
      <c r="AF60" s="1328"/>
      <c r="AG60" s="1328"/>
      <c r="AH60" s="1328"/>
    </row>
    <row r="61" spans="1:34" ht="15">
      <c r="A61" s="1328"/>
      <c r="B61" s="1328"/>
      <c r="C61" s="1328"/>
      <c r="D61" s="1328"/>
      <c r="E61" s="1328"/>
      <c r="F61" s="1328"/>
      <c r="G61" s="1328"/>
      <c r="H61" s="1328"/>
      <c r="I61" s="1328"/>
      <c r="J61" s="1328"/>
      <c r="K61" s="1328"/>
      <c r="L61" s="1168" t="s">
        <v>1236</v>
      </c>
      <c r="M61" s="1328"/>
      <c r="N61" s="1328"/>
      <c r="O61" s="1328"/>
      <c r="P61" s="1328"/>
      <c r="Q61" s="1328"/>
      <c r="R61" s="1168" t="s">
        <v>1213</v>
      </c>
      <c r="S61" s="1328"/>
      <c r="T61" s="1427">
        <f ca="1">ROUND(T55*T58,0)</f>
        <v>-14991</v>
      </c>
      <c r="U61" s="2320"/>
      <c r="V61" s="1328"/>
      <c r="W61" s="1328"/>
      <c r="X61" s="1328"/>
      <c r="Y61" s="1328"/>
      <c r="Z61" s="1328"/>
      <c r="AA61" s="1328"/>
      <c r="AB61" s="1328"/>
      <c r="AC61" s="1328"/>
      <c r="AD61" s="1328"/>
      <c r="AE61" s="1328"/>
      <c r="AF61" s="1328"/>
      <c r="AG61" s="1328"/>
      <c r="AH61" s="1328"/>
    </row>
    <row r="62" spans="1:34">
      <c r="A62" s="1328"/>
      <c r="B62" s="1328"/>
      <c r="C62" s="1328"/>
      <c r="D62" s="1328"/>
      <c r="E62" s="1328"/>
      <c r="F62" s="1328"/>
      <c r="G62" s="1328"/>
      <c r="H62" s="1328"/>
      <c r="I62" s="1328"/>
      <c r="J62" s="1328"/>
      <c r="K62" s="1328"/>
      <c r="L62" s="1328"/>
      <c r="M62" s="1328"/>
      <c r="N62" s="1328"/>
      <c r="O62" s="1328"/>
      <c r="P62" s="1328"/>
      <c r="Q62" s="1328"/>
      <c r="R62" s="1328"/>
      <c r="S62" s="1328"/>
      <c r="T62" s="2320"/>
      <c r="U62" s="1328"/>
      <c r="V62" s="1328"/>
      <c r="W62" s="1328"/>
      <c r="X62" s="1328"/>
      <c r="Y62" s="1328"/>
      <c r="Z62" s="1328"/>
      <c r="AA62" s="1328"/>
      <c r="AB62" s="1328"/>
      <c r="AC62" s="1328"/>
      <c r="AD62" s="1328"/>
      <c r="AE62" s="1328"/>
      <c r="AF62" s="1328"/>
      <c r="AG62" s="1328"/>
      <c r="AH62" s="1328"/>
    </row>
    <row r="63" spans="1:34">
      <c r="A63" s="1328"/>
      <c r="B63" s="1328"/>
      <c r="C63" s="1328"/>
      <c r="D63" s="1328"/>
      <c r="E63" s="1328"/>
      <c r="F63" s="1328"/>
      <c r="G63" s="1328"/>
      <c r="H63" s="1328"/>
      <c r="I63" s="1328"/>
      <c r="J63" s="1328"/>
      <c r="K63" s="1328"/>
      <c r="L63" s="1328"/>
      <c r="M63" s="1328"/>
      <c r="N63" s="1328"/>
      <c r="O63" s="1328"/>
      <c r="P63" s="1328"/>
      <c r="Q63" s="1328"/>
      <c r="R63" s="1328"/>
      <c r="S63" s="1328"/>
      <c r="T63" s="1328"/>
      <c r="U63" s="1328"/>
      <c r="V63" s="1328"/>
      <c r="W63" s="1328"/>
      <c r="X63" s="1328"/>
      <c r="Y63" s="1328"/>
      <c r="Z63" s="1328"/>
      <c r="AA63" s="1328"/>
      <c r="AB63" s="1328"/>
      <c r="AC63" s="1328"/>
      <c r="AD63" s="1328"/>
      <c r="AE63" s="1328"/>
      <c r="AF63" s="1328"/>
      <c r="AG63" s="1328"/>
      <c r="AH63" s="1328"/>
    </row>
    <row r="64" spans="1:34">
      <c r="A64" s="1328"/>
      <c r="B64" s="1328"/>
      <c r="C64" s="1328"/>
      <c r="D64" s="1328"/>
      <c r="E64" s="1328"/>
      <c r="F64" s="1328"/>
      <c r="G64" s="1328"/>
      <c r="H64" s="1328"/>
      <c r="I64" s="1328"/>
      <c r="J64" s="1328"/>
      <c r="K64" s="1328"/>
      <c r="L64" s="1328" t="s">
        <v>1237</v>
      </c>
      <c r="M64" s="1328"/>
      <c r="N64" s="1328"/>
      <c r="O64" s="2322" t="s">
        <v>593</v>
      </c>
      <c r="P64" s="2322"/>
      <c r="Q64" s="2322"/>
      <c r="R64" s="1328"/>
      <c r="S64" s="1328"/>
      <c r="T64" s="1328"/>
      <c r="U64" s="1328"/>
      <c r="V64" s="1328"/>
      <c r="W64" s="1328"/>
      <c r="X64" s="1328"/>
      <c r="Y64" s="1328"/>
      <c r="Z64" s="1328"/>
      <c r="AA64" s="1328"/>
      <c r="AB64" s="1328"/>
      <c r="AC64" s="1328"/>
      <c r="AD64" s="1328"/>
      <c r="AE64" s="1328"/>
      <c r="AF64" s="1328"/>
      <c r="AG64" s="1328"/>
      <c r="AH64" s="1328"/>
    </row>
    <row r="65" spans="1:34">
      <c r="A65" s="1328"/>
      <c r="B65" s="1328"/>
      <c r="C65" s="1328"/>
      <c r="D65" s="1328"/>
      <c r="E65" s="1328"/>
      <c r="F65" s="1328"/>
      <c r="G65" s="1328"/>
      <c r="H65" s="1328"/>
      <c r="I65" s="1328"/>
      <c r="J65" s="1328"/>
      <c r="K65" s="1328"/>
      <c r="L65" s="1328"/>
      <c r="M65" s="1328"/>
      <c r="N65" s="1328"/>
      <c r="O65" s="1328"/>
      <c r="P65" s="1328"/>
      <c r="Q65" s="1328"/>
      <c r="R65" s="1328"/>
      <c r="S65" s="1328"/>
      <c r="T65" s="1328"/>
      <c r="U65" s="1328"/>
      <c r="V65" s="1328"/>
      <c r="W65" s="1328"/>
      <c r="X65" s="1328"/>
      <c r="Y65" s="1328"/>
      <c r="Z65" s="1328"/>
      <c r="AA65" s="1328"/>
      <c r="AB65" s="1328"/>
      <c r="AC65" s="1328"/>
      <c r="AD65" s="1328"/>
      <c r="AE65" s="1328"/>
      <c r="AF65" s="1328"/>
      <c r="AG65" s="1328"/>
      <c r="AH65" s="1328"/>
    </row>
    <row r="66" spans="1:34">
      <c r="A66" s="1328"/>
      <c r="B66" s="1328"/>
      <c r="C66" s="1328"/>
      <c r="D66" s="1328"/>
      <c r="E66" s="1328"/>
      <c r="F66" s="1328"/>
      <c r="G66" s="1328"/>
      <c r="H66" s="1328"/>
      <c r="I66" s="1328"/>
      <c r="J66" s="1328"/>
      <c r="K66" s="1328"/>
      <c r="L66" s="1168"/>
      <c r="M66" s="1328"/>
      <c r="N66" s="1328"/>
      <c r="O66" s="1328"/>
      <c r="P66" s="1328"/>
      <c r="Q66" s="1328"/>
      <c r="R66" s="1328"/>
      <c r="S66" s="1328"/>
      <c r="T66" s="1328"/>
      <c r="U66" s="1328"/>
      <c r="V66" s="1328"/>
      <c r="W66" s="1328"/>
      <c r="X66" s="1328"/>
      <c r="Y66" s="1328"/>
      <c r="Z66" s="1328"/>
      <c r="AA66" s="1328"/>
      <c r="AB66" s="1328"/>
      <c r="AC66" s="1328"/>
      <c r="AD66" s="1328"/>
      <c r="AE66" s="1328"/>
      <c r="AF66" s="1328"/>
      <c r="AG66" s="1328"/>
      <c r="AH66" s="1328"/>
    </row>
    <row r="67" spans="1:34">
      <c r="A67" s="1328"/>
      <c r="B67" s="1328"/>
      <c r="C67" s="1328"/>
      <c r="D67" s="1328"/>
      <c r="E67" s="1328"/>
      <c r="F67" s="1328"/>
      <c r="G67" s="1328"/>
      <c r="H67" s="1328"/>
      <c r="I67" s="1328"/>
      <c r="J67" s="1328"/>
      <c r="K67" s="1328"/>
      <c r="L67" s="1328"/>
      <c r="M67" s="1328"/>
      <c r="N67" s="1328"/>
      <c r="O67" s="1328"/>
      <c r="P67" s="1328"/>
      <c r="Q67" s="1328"/>
      <c r="R67" s="1328"/>
      <c r="S67" s="1328"/>
      <c r="T67" s="1328"/>
      <c r="U67" s="1328"/>
      <c r="V67" s="1328"/>
      <c r="W67" s="1328"/>
      <c r="X67" s="1328"/>
      <c r="Y67" s="1328"/>
      <c r="Z67" s="1328"/>
      <c r="AA67" s="1328"/>
      <c r="AB67" s="1328"/>
      <c r="AC67" s="1328"/>
      <c r="AD67" s="1328"/>
      <c r="AE67" s="1328"/>
      <c r="AF67" s="1328"/>
      <c r="AG67" s="1328"/>
      <c r="AH67" s="1328"/>
    </row>
    <row r="68" spans="1:34">
      <c r="A68" s="1328"/>
      <c r="B68" s="1328"/>
      <c r="C68" s="1328"/>
      <c r="D68" s="1328"/>
      <c r="E68" s="1328"/>
      <c r="F68" s="1328"/>
      <c r="G68" s="1328"/>
      <c r="H68" s="1328"/>
      <c r="I68" s="1328"/>
      <c r="J68" s="1328"/>
      <c r="K68" s="1328"/>
      <c r="L68" s="1328"/>
      <c r="M68" s="1328"/>
      <c r="N68" s="1328"/>
      <c r="O68" s="1328"/>
      <c r="P68" s="1328"/>
      <c r="Q68" s="1328"/>
      <c r="R68" s="1328"/>
      <c r="S68" s="1328"/>
      <c r="T68" s="1328"/>
      <c r="U68" s="1328"/>
      <c r="V68" s="1271"/>
      <c r="W68" s="1328"/>
      <c r="X68" s="1328"/>
      <c r="Y68" s="1328"/>
      <c r="Z68" s="1328"/>
      <c r="AA68" s="1328"/>
      <c r="AB68" s="1328"/>
      <c r="AC68" s="1328"/>
      <c r="AD68" s="1328"/>
      <c r="AE68" s="1328"/>
      <c r="AF68" s="1328"/>
      <c r="AG68" s="1328"/>
      <c r="AH68" s="1328"/>
    </row>
    <row r="69" spans="1:34">
      <c r="A69" s="1328"/>
      <c r="B69" s="1328"/>
      <c r="C69" s="1328"/>
      <c r="D69" s="1328"/>
      <c r="E69" s="1328"/>
      <c r="F69" s="1328"/>
      <c r="G69" s="1328"/>
      <c r="H69" s="1328"/>
      <c r="I69" s="1328"/>
      <c r="J69" s="1328"/>
      <c r="K69" s="1328"/>
      <c r="L69" s="1328"/>
      <c r="M69" s="1328"/>
      <c r="N69" s="1328"/>
      <c r="O69" s="1328"/>
      <c r="P69" s="1328"/>
      <c r="Q69" s="1328"/>
      <c r="R69" s="1328"/>
      <c r="S69" s="1328"/>
      <c r="T69" s="1328"/>
      <c r="U69" s="1328"/>
      <c r="V69" s="1271"/>
      <c r="W69" s="1328"/>
      <c r="X69" s="1328"/>
      <c r="Y69" s="1328"/>
      <c r="Z69" s="1328"/>
      <c r="AA69" s="1328"/>
      <c r="AB69" s="1328"/>
      <c r="AC69" s="1328"/>
      <c r="AD69" s="1328"/>
      <c r="AE69" s="1328"/>
      <c r="AF69" s="1328"/>
      <c r="AG69" s="1328"/>
      <c r="AH69" s="1328"/>
    </row>
    <row r="70" spans="1:34">
      <c r="A70" s="1328"/>
      <c r="B70" s="1328"/>
      <c r="C70" s="1328"/>
      <c r="D70" s="1328"/>
      <c r="E70" s="1328"/>
      <c r="F70" s="1328"/>
      <c r="G70" s="1328"/>
      <c r="H70" s="1328"/>
      <c r="I70" s="1328"/>
      <c r="J70" s="1328"/>
      <c r="K70" s="1328"/>
      <c r="L70" s="1328"/>
      <c r="M70" s="1328"/>
      <c r="N70" s="1328"/>
      <c r="O70" s="1328"/>
      <c r="P70" s="1328"/>
      <c r="Q70" s="1328"/>
      <c r="R70" s="1328"/>
      <c r="S70" s="1328"/>
      <c r="T70" s="1328"/>
      <c r="U70" s="1328"/>
      <c r="V70" s="1271"/>
      <c r="W70" s="1328"/>
      <c r="X70" s="1328"/>
      <c r="Y70" s="1328"/>
      <c r="Z70" s="1328"/>
      <c r="AA70" s="1328"/>
      <c r="AB70" s="1328"/>
      <c r="AC70" s="1328"/>
      <c r="AD70" s="1328"/>
      <c r="AE70" s="1328"/>
      <c r="AF70" s="1328"/>
      <c r="AG70" s="1328"/>
      <c r="AH70" s="1328"/>
    </row>
    <row r="71" spans="1:34">
      <c r="A71" s="1328"/>
      <c r="B71" s="1328"/>
      <c r="C71" s="1328"/>
      <c r="D71" s="1328"/>
      <c r="E71" s="1328"/>
      <c r="F71" s="1328"/>
      <c r="G71" s="1328"/>
      <c r="H71" s="1328"/>
      <c r="I71" s="1328"/>
      <c r="J71" s="1328"/>
      <c r="K71" s="1328"/>
      <c r="L71" s="1328"/>
      <c r="M71" s="1328"/>
      <c r="N71" s="1328"/>
      <c r="O71" s="1328"/>
      <c r="P71" s="1328"/>
      <c r="Q71" s="1328"/>
      <c r="R71" s="1328"/>
      <c r="S71" s="1328"/>
      <c r="T71" s="1328"/>
      <c r="U71" s="1328"/>
      <c r="V71" s="1271"/>
      <c r="W71" s="1167" t="str">
        <f>COMPANY</f>
        <v>DUKE ENERGY KENTUCKY, INC.</v>
      </c>
      <c r="X71" s="1328"/>
      <c r="Y71" s="1328"/>
      <c r="Z71" s="1328"/>
      <c r="AA71" s="1328"/>
      <c r="AB71" s="1328"/>
      <c r="AC71" s="2314" t="s">
        <v>2262</v>
      </c>
      <c r="AD71" s="1328"/>
      <c r="AE71" s="1328"/>
      <c r="AF71" s="1328"/>
      <c r="AG71" s="1328"/>
      <c r="AH71" s="1328"/>
    </row>
    <row r="72" spans="1:34">
      <c r="A72" s="1328"/>
      <c r="B72" s="1328"/>
      <c r="C72" s="1328"/>
      <c r="D72" s="1328"/>
      <c r="E72" s="1328"/>
      <c r="F72" s="1328"/>
      <c r="G72" s="1328"/>
      <c r="H72" s="1328"/>
      <c r="I72" s="1328"/>
      <c r="J72" s="1328"/>
      <c r="K72" s="1328"/>
      <c r="L72" s="1328"/>
      <c r="M72" s="1328"/>
      <c r="N72" s="1328"/>
      <c r="O72" s="1328"/>
      <c r="P72" s="1328"/>
      <c r="Q72" s="1328"/>
      <c r="R72" s="1328"/>
      <c r="S72" s="1328"/>
      <c r="T72" s="1328"/>
      <c r="U72" s="1328"/>
      <c r="V72" s="1328"/>
      <c r="W72" s="1167" t="str">
        <f>DEPT</f>
        <v>ELECTRIC DEPARTMENT</v>
      </c>
      <c r="X72" s="1328"/>
      <c r="Y72" s="1328"/>
      <c r="Z72" s="1328"/>
      <c r="AA72" s="1328"/>
      <c r="AB72" s="1328"/>
      <c r="AC72" s="2314" t="s">
        <v>558</v>
      </c>
      <c r="AD72" s="1328"/>
      <c r="AE72" s="1328"/>
      <c r="AF72" s="1328"/>
      <c r="AG72" s="1328"/>
      <c r="AH72" s="1328"/>
    </row>
    <row r="73" spans="1:34">
      <c r="A73" s="1328"/>
      <c r="B73" s="1328"/>
      <c r="C73" s="1328"/>
      <c r="D73" s="1328"/>
      <c r="E73" s="1328"/>
      <c r="F73" s="1328"/>
      <c r="G73" s="1328"/>
      <c r="H73" s="1328"/>
      <c r="I73" s="1328"/>
      <c r="J73" s="1328"/>
      <c r="K73" s="1328"/>
      <c r="L73" s="1328"/>
      <c r="M73" s="1328"/>
      <c r="N73" s="1328"/>
      <c r="O73" s="1328"/>
      <c r="P73" s="1328"/>
      <c r="Q73" s="1328"/>
      <c r="R73" s="1328"/>
      <c r="S73" s="1328"/>
      <c r="T73" s="1328"/>
      <c r="U73" s="1328"/>
      <c r="V73" s="1328"/>
      <c r="W73" s="1167" t="str">
        <f>CASE</f>
        <v>CASE NO. 2017-00321</v>
      </c>
      <c r="X73" s="1328"/>
      <c r="Y73" s="1328"/>
      <c r="Z73" s="1328"/>
      <c r="AA73" s="1328"/>
      <c r="AB73" s="1328"/>
      <c r="AC73" s="407" t="str">
        <f>"              "&amp;_WIT1</f>
        <v xml:space="preserve">              S. E. LAWLER</v>
      </c>
      <c r="AD73" s="1328"/>
      <c r="AE73" s="1328"/>
      <c r="AF73" s="1328"/>
      <c r="AG73" s="1328"/>
      <c r="AH73" s="1328"/>
    </row>
    <row r="74" spans="1:34">
      <c r="A74" s="1328"/>
      <c r="B74" s="1328"/>
      <c r="C74" s="1328"/>
      <c r="D74" s="1328"/>
      <c r="E74" s="1328"/>
      <c r="F74" s="1328"/>
      <c r="G74" s="1328"/>
      <c r="H74" s="1328"/>
      <c r="I74" s="1328"/>
      <c r="J74" s="1328"/>
      <c r="K74" s="1328"/>
      <c r="L74" s="1328"/>
      <c r="M74" s="1328"/>
      <c r="N74" s="1328"/>
      <c r="O74" s="1328"/>
      <c r="P74" s="1328"/>
      <c r="Q74" s="1328"/>
      <c r="R74" s="1328"/>
      <c r="S74" s="1328"/>
      <c r="T74" s="1328"/>
      <c r="U74" s="1328"/>
      <c r="V74" s="1328"/>
      <c r="W74" s="1328" t="str">
        <f>DataF</f>
        <v>DATA:  BASE PERIOD  "X" FORECASTED PERIOD</v>
      </c>
      <c r="X74" s="1328"/>
      <c r="Y74" s="1328"/>
      <c r="Z74" s="1328"/>
      <c r="AA74" s="1328"/>
      <c r="AB74" s="1328"/>
      <c r="AC74" s="1328"/>
      <c r="AD74" s="1328"/>
      <c r="AE74" s="1328"/>
      <c r="AF74" s="1328"/>
      <c r="AG74" s="1328"/>
      <c r="AH74" s="1328"/>
    </row>
    <row r="75" spans="1:34">
      <c r="A75" s="1328"/>
      <c r="B75" s="1328"/>
      <c r="C75" s="1328"/>
      <c r="D75" s="1328"/>
      <c r="E75" s="1328"/>
      <c r="F75" s="1328"/>
      <c r="G75" s="1328"/>
      <c r="H75" s="1328"/>
      <c r="I75" s="1328"/>
      <c r="J75" s="1328"/>
      <c r="K75" s="1328"/>
      <c r="L75" s="1328"/>
      <c r="M75" s="1328"/>
      <c r="N75" s="1328"/>
      <c r="O75" s="1328"/>
      <c r="P75" s="1328"/>
      <c r="Q75" s="1328"/>
      <c r="R75" s="1328"/>
      <c r="S75" s="1328"/>
      <c r="T75" s="1328"/>
      <c r="U75" s="1328"/>
      <c r="V75" s="1328"/>
      <c r="W75" s="1168" t="s">
        <v>77</v>
      </c>
      <c r="X75" s="1328"/>
      <c r="Y75" s="1328"/>
      <c r="Z75" s="1328"/>
      <c r="AA75" s="1328"/>
      <c r="AB75" s="1328"/>
      <c r="AC75" s="1328"/>
      <c r="AD75" s="1328"/>
      <c r="AE75" s="1328"/>
      <c r="AF75" s="1328"/>
      <c r="AG75" s="1328"/>
      <c r="AH75" s="1328"/>
    </row>
    <row r="76" spans="1:34">
      <c r="A76" s="1328"/>
      <c r="B76" s="1328"/>
      <c r="C76" s="1328"/>
      <c r="D76" s="1328"/>
      <c r="E76" s="1328"/>
      <c r="F76" s="1328"/>
      <c r="G76" s="1328"/>
      <c r="H76" s="1328"/>
      <c r="I76" s="1328"/>
      <c r="J76" s="1328"/>
      <c r="K76" s="1328"/>
      <c r="L76" s="1328"/>
      <c r="M76" s="1328"/>
      <c r="N76" s="1328"/>
      <c r="O76" s="1328"/>
      <c r="P76" s="1328"/>
      <c r="Q76" s="1328"/>
      <c r="R76" s="1328"/>
      <c r="S76" s="1328"/>
      <c r="T76" s="1328"/>
      <c r="U76" s="1328"/>
      <c r="V76" s="1328"/>
      <c r="W76" s="1328"/>
      <c r="X76" s="1328"/>
      <c r="Y76" s="1328"/>
      <c r="Z76" s="1328"/>
      <c r="AA76" s="1328"/>
      <c r="AB76" s="1328"/>
      <c r="AC76" s="1328"/>
      <c r="AD76" s="1328"/>
      <c r="AE76" s="1328"/>
      <c r="AF76" s="1328"/>
      <c r="AG76" s="1328"/>
      <c r="AH76" s="1328"/>
    </row>
    <row r="77" spans="1:34">
      <c r="A77" s="1328"/>
      <c r="B77" s="1328"/>
      <c r="C77" s="1328"/>
      <c r="D77" s="1328"/>
      <c r="E77" s="1328"/>
      <c r="F77" s="1328"/>
      <c r="G77" s="1328"/>
      <c r="H77" s="1328"/>
      <c r="I77" s="1328"/>
      <c r="J77" s="1328"/>
      <c r="K77" s="1328"/>
      <c r="L77" s="1328"/>
      <c r="M77" s="1328"/>
      <c r="N77" s="1328"/>
      <c r="O77" s="1328"/>
      <c r="P77" s="1328"/>
      <c r="Q77" s="1328"/>
      <c r="R77" s="1328"/>
      <c r="S77" s="1328"/>
      <c r="T77" s="1328"/>
      <c r="U77" s="1328"/>
      <c r="V77" s="1328"/>
      <c r="W77" s="1328"/>
      <c r="X77" s="1328"/>
      <c r="Y77" s="1328"/>
      <c r="Z77" s="1328"/>
      <c r="AA77" s="1328"/>
      <c r="AB77" s="1328"/>
      <c r="AC77" s="1328"/>
      <c r="AD77" s="1328"/>
      <c r="AE77" s="1328"/>
      <c r="AF77" s="1328"/>
      <c r="AG77" s="1328"/>
      <c r="AH77" s="1328"/>
    </row>
    <row r="78" spans="1:34">
      <c r="A78" s="1328"/>
      <c r="B78" s="1328"/>
      <c r="C78" s="1328"/>
      <c r="D78" s="1328"/>
      <c r="E78" s="1328"/>
      <c r="F78" s="1328"/>
      <c r="G78" s="1328"/>
      <c r="H78" s="1328"/>
      <c r="I78" s="1328"/>
      <c r="J78" s="1328"/>
      <c r="K78" s="1328"/>
      <c r="L78" s="1328"/>
      <c r="M78" s="1328"/>
      <c r="N78" s="1328"/>
      <c r="O78" s="1328"/>
      <c r="P78" s="1328"/>
      <c r="Q78" s="1328"/>
      <c r="R78" s="1328"/>
      <c r="S78" s="1328"/>
      <c r="T78" s="1328"/>
      <c r="U78" s="1328"/>
      <c r="V78" s="1328"/>
      <c r="W78" s="1171" t="s">
        <v>1240</v>
      </c>
      <c r="X78" s="1328"/>
      <c r="Y78" s="1328"/>
      <c r="Z78" s="1328"/>
      <c r="AA78" s="1328"/>
      <c r="AB78" s="1171" t="s">
        <v>1745</v>
      </c>
      <c r="AC78" s="1171" t="s">
        <v>78</v>
      </c>
      <c r="AD78" s="1328"/>
      <c r="AE78" s="1171" t="s">
        <v>79</v>
      </c>
      <c r="AF78" s="1328"/>
      <c r="AG78" s="1328"/>
      <c r="AH78" s="1328"/>
    </row>
    <row r="79" spans="1:34">
      <c r="A79" s="1328"/>
      <c r="B79" s="1328"/>
      <c r="C79" s="1328"/>
      <c r="D79" s="1328"/>
      <c r="E79" s="1328"/>
      <c r="F79" s="1328"/>
      <c r="G79" s="1328"/>
      <c r="H79" s="1328"/>
      <c r="I79" s="1328"/>
      <c r="J79" s="1328"/>
      <c r="K79" s="1328"/>
      <c r="L79" s="1328"/>
      <c r="M79" s="1328"/>
      <c r="N79" s="1328"/>
      <c r="O79" s="1328"/>
      <c r="P79" s="1328"/>
      <c r="Q79" s="1328"/>
      <c r="R79" s="1328"/>
      <c r="S79" s="1328"/>
      <c r="T79" s="1328"/>
      <c r="U79" s="1328"/>
      <c r="V79" s="1328"/>
      <c r="W79" s="1173" t="s">
        <v>80</v>
      </c>
      <c r="X79" s="1328"/>
      <c r="Y79" s="1173" t="s">
        <v>1119</v>
      </c>
      <c r="Z79" s="1328"/>
      <c r="AA79" s="1328"/>
      <c r="AB79" s="1173" t="s">
        <v>1749</v>
      </c>
      <c r="AC79" s="1173" t="s">
        <v>81</v>
      </c>
      <c r="AD79" s="1328"/>
      <c r="AE79" s="1173" t="s">
        <v>81</v>
      </c>
      <c r="AF79" s="1328"/>
      <c r="AG79" s="1328"/>
      <c r="AH79" s="1328"/>
    </row>
    <row r="80" spans="1:34">
      <c r="A80" s="1328"/>
      <c r="B80" s="1328"/>
      <c r="C80" s="1328"/>
      <c r="D80" s="1328"/>
      <c r="E80" s="1328"/>
      <c r="F80" s="1328"/>
      <c r="G80" s="1328"/>
      <c r="H80" s="1328"/>
      <c r="I80" s="1328"/>
      <c r="J80" s="1328"/>
      <c r="K80" s="1328"/>
      <c r="L80" s="1328"/>
      <c r="M80" s="1328"/>
      <c r="N80" s="1328"/>
      <c r="O80" s="1328"/>
      <c r="P80" s="1328"/>
      <c r="Q80" s="1328"/>
      <c r="R80" s="1328"/>
      <c r="S80" s="1328"/>
      <c r="T80" s="1328"/>
      <c r="U80" s="1328"/>
      <c r="V80" s="1328"/>
      <c r="W80" s="1328"/>
      <c r="X80" s="1328"/>
      <c r="Y80" s="1328"/>
      <c r="Z80" s="1328"/>
      <c r="AA80" s="1328"/>
      <c r="AB80" s="1328"/>
      <c r="AC80" s="1328"/>
      <c r="AD80" s="1328"/>
      <c r="AE80" s="1328"/>
      <c r="AF80" s="1328"/>
      <c r="AG80" s="1328"/>
      <c r="AH80" s="1328"/>
    </row>
    <row r="81" spans="1:34">
      <c r="A81" s="1328"/>
      <c r="B81" s="1328"/>
      <c r="C81" s="1328"/>
      <c r="D81" s="1328"/>
      <c r="E81" s="1328"/>
      <c r="F81" s="1328"/>
      <c r="G81" s="1328"/>
      <c r="H81" s="1328"/>
      <c r="I81" s="1328"/>
      <c r="J81" s="1328"/>
      <c r="K81" s="1328"/>
      <c r="L81" s="1328"/>
      <c r="M81" s="1328"/>
      <c r="N81" s="1328"/>
      <c r="O81" s="1328"/>
      <c r="P81" s="1328"/>
      <c r="Q81" s="1328"/>
      <c r="R81" s="1328"/>
      <c r="S81" s="1328"/>
      <c r="T81" s="1328"/>
      <c r="U81" s="1328"/>
      <c r="V81" s="1328"/>
      <c r="W81" s="1171">
        <v>1</v>
      </c>
      <c r="X81" s="1328"/>
      <c r="Y81" s="1328" t="s">
        <v>82</v>
      </c>
      <c r="Z81" s="1328"/>
      <c r="AA81" s="1328"/>
      <c r="AB81" s="1171" t="s">
        <v>93</v>
      </c>
      <c r="AC81" s="1175">
        <f>'SCH_J1 - Forecast'!I18</f>
        <v>0.40678999999999998</v>
      </c>
      <c r="AD81" s="1328"/>
      <c r="AE81" s="1175">
        <f>'SCH_J1 - Forecast'!I19</f>
        <v>0.10428</v>
      </c>
      <c r="AF81" s="1328"/>
      <c r="AG81" s="1328"/>
      <c r="AH81" s="1328"/>
    </row>
    <row r="82" spans="1:34">
      <c r="A82" s="1328"/>
      <c r="B82" s="1328"/>
      <c r="C82" s="1328"/>
      <c r="D82" s="1328"/>
      <c r="E82" s="1328"/>
      <c r="F82" s="1328"/>
      <c r="G82" s="1328"/>
      <c r="H82" s="1328"/>
      <c r="I82" s="1328"/>
      <c r="J82" s="1328"/>
      <c r="K82" s="1328"/>
      <c r="L82" s="1328"/>
      <c r="M82" s="1328"/>
      <c r="N82" s="1328"/>
      <c r="O82" s="1328"/>
      <c r="P82" s="1328"/>
      <c r="Q82" s="1328"/>
      <c r="R82" s="1328"/>
      <c r="S82" s="1328"/>
      <c r="T82" s="1328"/>
      <c r="U82" s="1328"/>
      <c r="V82" s="1328"/>
      <c r="W82" s="1171">
        <f>W81+1</f>
        <v>2</v>
      </c>
      <c r="X82" s="1328"/>
      <c r="Y82" s="1328"/>
      <c r="Z82" s="1328"/>
      <c r="AA82" s="1328"/>
      <c r="AB82" s="1328"/>
      <c r="AC82" s="1328"/>
      <c r="AD82" s="1328"/>
      <c r="AE82" s="1328"/>
      <c r="AF82" s="1328"/>
      <c r="AG82" s="1328"/>
      <c r="AH82" s="1328"/>
    </row>
    <row r="83" spans="1:34">
      <c r="A83" s="1328"/>
      <c r="B83" s="1328"/>
      <c r="C83" s="1328"/>
      <c r="D83" s="1328"/>
      <c r="E83" s="1328"/>
      <c r="F83" s="1328"/>
      <c r="G83" s="1328"/>
      <c r="H83" s="1328"/>
      <c r="I83" s="1328"/>
      <c r="J83" s="1328"/>
      <c r="K83" s="1328"/>
      <c r="L83" s="1328"/>
      <c r="M83" s="1328"/>
      <c r="N83" s="1328"/>
      <c r="O83" s="1328"/>
      <c r="P83" s="1328"/>
      <c r="Q83" s="1328"/>
      <c r="R83" s="1328"/>
      <c r="S83" s="1328"/>
      <c r="T83" s="1328"/>
      <c r="U83" s="1328"/>
      <c r="V83" s="1328"/>
      <c r="W83" s="1171">
        <f t="shared" ref="W83:W98" si="0">W82+1</f>
        <v>3</v>
      </c>
      <c r="X83" s="1328"/>
      <c r="Y83" s="1328" t="str">
        <f ca="1">"Debt Portion of "&amp;TEXT(SCH_A!Q112,"$##,###,###") &amp;" Electric Capitalization"</f>
        <v>Debt Portion of $705,051,140 Electric Capitalization</v>
      </c>
      <c r="Z83" s="1328"/>
      <c r="AA83" s="1328"/>
      <c r="AB83" s="1171" t="s">
        <v>1864</v>
      </c>
      <c r="AC83" s="1174">
        <f ca="1">ROUND(SCH_A!$Q$112*AC81,0)</f>
        <v>286807753</v>
      </c>
      <c r="AD83" s="1328"/>
      <c r="AE83" s="1174">
        <f ca="1">ROUND(SCH_A!$Q$112*AE81,0)</f>
        <v>73522733</v>
      </c>
      <c r="AF83" s="1328"/>
      <c r="AG83" s="1328"/>
      <c r="AH83" s="1328"/>
    </row>
    <row r="84" spans="1:34">
      <c r="A84" s="1328"/>
      <c r="B84" s="1328"/>
      <c r="C84" s="1328"/>
      <c r="D84" s="1328"/>
      <c r="E84" s="1328"/>
      <c r="F84" s="1328"/>
      <c r="G84" s="1328"/>
      <c r="H84" s="1328"/>
      <c r="I84" s="1328"/>
      <c r="J84" s="1328"/>
      <c r="K84" s="1328"/>
      <c r="L84" s="1328"/>
      <c r="M84" s="1328"/>
      <c r="N84" s="1328"/>
      <c r="O84" s="1328"/>
      <c r="P84" s="1328"/>
      <c r="Q84" s="1328"/>
      <c r="R84" s="1328"/>
      <c r="S84" s="1328"/>
      <c r="T84" s="1328"/>
      <c r="U84" s="1328"/>
      <c r="V84" s="1328"/>
      <c r="W84" s="1171">
        <f t="shared" si="0"/>
        <v>4</v>
      </c>
      <c r="X84" s="1328"/>
      <c r="Y84" s="1328"/>
      <c r="Z84" s="1328"/>
      <c r="AA84" s="1328"/>
      <c r="AB84" s="1328"/>
      <c r="AC84" s="1328"/>
      <c r="AD84" s="1328"/>
      <c r="AE84" s="1328"/>
      <c r="AF84" s="1328"/>
      <c r="AG84" s="1328"/>
      <c r="AH84" s="1328"/>
    </row>
    <row r="85" spans="1:34">
      <c r="A85" s="1328"/>
      <c r="B85" s="1328"/>
      <c r="C85" s="1328"/>
      <c r="D85" s="1328"/>
      <c r="E85" s="1328"/>
      <c r="F85" s="1328"/>
      <c r="G85" s="1328"/>
      <c r="H85" s="1328"/>
      <c r="I85" s="1328"/>
      <c r="J85" s="1328"/>
      <c r="K85" s="1328"/>
      <c r="L85" s="1328"/>
      <c r="M85" s="1328"/>
      <c r="N85" s="1328"/>
      <c r="O85" s="1328"/>
      <c r="P85" s="1328"/>
      <c r="Q85" s="1328"/>
      <c r="R85" s="1328"/>
      <c r="S85" s="1328"/>
      <c r="T85" s="1328"/>
      <c r="U85" s="1328"/>
      <c r="V85" s="1328"/>
      <c r="W85" s="1171">
        <f t="shared" si="0"/>
        <v>5</v>
      </c>
      <c r="X85" s="1328"/>
      <c r="Y85" s="1328" t="s">
        <v>489</v>
      </c>
      <c r="Z85" s="1328"/>
      <c r="AA85" s="1328"/>
      <c r="AB85" s="1171" t="s">
        <v>93</v>
      </c>
      <c r="AC85" s="2323">
        <f>'SCH_J1 - Forecast'!K18</f>
        <v>4.2430000000000002E-2</v>
      </c>
      <c r="AD85" s="1328"/>
      <c r="AE85" s="2323">
        <f>'SCH_J1 - Forecast'!K19</f>
        <v>3.083E-2</v>
      </c>
      <c r="AF85" s="1328"/>
      <c r="AG85" s="1328"/>
      <c r="AH85" s="1328"/>
    </row>
    <row r="86" spans="1:34">
      <c r="A86" s="1328"/>
      <c r="B86" s="1328"/>
      <c r="C86" s="1328"/>
      <c r="D86" s="1328"/>
      <c r="E86" s="1328"/>
      <c r="F86" s="1328"/>
      <c r="G86" s="1328"/>
      <c r="H86" s="1328"/>
      <c r="I86" s="1328"/>
      <c r="J86" s="1328"/>
      <c r="K86" s="1328"/>
      <c r="L86" s="1328"/>
      <c r="M86" s="1328"/>
      <c r="N86" s="1328"/>
      <c r="O86" s="1328"/>
      <c r="P86" s="1328"/>
      <c r="Q86" s="1328"/>
      <c r="R86" s="1328"/>
      <c r="S86" s="1328"/>
      <c r="T86" s="1328"/>
      <c r="U86" s="1328"/>
      <c r="V86" s="1328"/>
      <c r="W86" s="1171">
        <f t="shared" si="0"/>
        <v>6</v>
      </c>
      <c r="X86" s="1328"/>
      <c r="Y86" s="1328"/>
      <c r="Z86" s="1328"/>
      <c r="AA86" s="1328"/>
      <c r="AB86" s="1328"/>
      <c r="AC86" s="1328"/>
      <c r="AD86" s="1328"/>
      <c r="AE86" s="1328"/>
      <c r="AF86" s="1328"/>
      <c r="AG86" s="1328"/>
      <c r="AH86" s="1328"/>
    </row>
    <row r="87" spans="1:34">
      <c r="A87" s="1328"/>
      <c r="B87" s="1328"/>
      <c r="C87" s="1328"/>
      <c r="D87" s="1328"/>
      <c r="E87" s="1328"/>
      <c r="F87" s="1328"/>
      <c r="G87" s="1328"/>
      <c r="H87" s="1328"/>
      <c r="I87" s="1328"/>
      <c r="J87" s="1328"/>
      <c r="K87" s="1328"/>
      <c r="L87" s="1328"/>
      <c r="M87" s="1328"/>
      <c r="N87" s="1328"/>
      <c r="O87" s="1328"/>
      <c r="P87" s="1328"/>
      <c r="Q87" s="1328"/>
      <c r="R87" s="1328"/>
      <c r="S87" s="1328"/>
      <c r="T87" s="1328"/>
      <c r="U87" s="1328"/>
      <c r="V87" s="1328"/>
      <c r="W87" s="1171">
        <f t="shared" si="0"/>
        <v>7</v>
      </c>
      <c r="X87" s="1328"/>
      <c r="Y87" s="1328" t="s">
        <v>720</v>
      </c>
      <c r="Z87" s="1328"/>
      <c r="AA87" s="1328"/>
      <c r="AB87" s="1328"/>
      <c r="AC87" s="1328"/>
      <c r="AD87" s="1328"/>
      <c r="AE87" s="1328"/>
      <c r="AF87" s="1328"/>
      <c r="AG87" s="1328"/>
      <c r="AH87" s="1328"/>
    </row>
    <row r="88" spans="1:34" ht="13.5" thickBot="1">
      <c r="A88" s="1328"/>
      <c r="B88" s="1328"/>
      <c r="C88" s="1328"/>
      <c r="D88" s="1328"/>
      <c r="E88" s="1328"/>
      <c r="F88" s="1328"/>
      <c r="G88" s="1328"/>
      <c r="H88" s="1328"/>
      <c r="I88" s="1328"/>
      <c r="J88" s="1328"/>
      <c r="K88" s="1328"/>
      <c r="L88" s="1328"/>
      <c r="M88" s="1328"/>
      <c r="N88" s="1328"/>
      <c r="O88" s="1328"/>
      <c r="P88" s="1328"/>
      <c r="Q88" s="1328"/>
      <c r="R88" s="1328"/>
      <c r="S88" s="1328"/>
      <c r="T88" s="1328"/>
      <c r="U88" s="1328"/>
      <c r="V88" s="1328"/>
      <c r="W88" s="1171">
        <f t="shared" si="0"/>
        <v>8</v>
      </c>
      <c r="X88" s="1328"/>
      <c r="Y88" s="1328" t="s">
        <v>490</v>
      </c>
      <c r="Z88" s="1328"/>
      <c r="AA88" s="1328"/>
      <c r="AB88" s="1328"/>
      <c r="AC88" s="2324">
        <f ca="1">ROUND(AC83*AC85,0)</f>
        <v>12169253</v>
      </c>
      <c r="AD88" s="1328"/>
      <c r="AE88" s="2324">
        <f ca="1">ROUND(AE83*AE85,0)</f>
        <v>2266706</v>
      </c>
      <c r="AF88" s="1328"/>
      <c r="AG88" s="1328"/>
      <c r="AH88" s="1328"/>
    </row>
    <row r="89" spans="1:34" ht="13.5" thickTop="1">
      <c r="A89" s="1328"/>
      <c r="B89" s="1328"/>
      <c r="C89" s="1328"/>
      <c r="D89" s="1328"/>
      <c r="E89" s="1328"/>
      <c r="F89" s="1328"/>
      <c r="G89" s="1328"/>
      <c r="H89" s="1328"/>
      <c r="I89" s="1328"/>
      <c r="J89" s="1328"/>
      <c r="K89" s="1328"/>
      <c r="L89" s="1328"/>
      <c r="M89" s="1328"/>
      <c r="N89" s="1328"/>
      <c r="O89" s="1328"/>
      <c r="P89" s="1328"/>
      <c r="Q89" s="1328"/>
      <c r="R89" s="1328"/>
      <c r="S89" s="1328"/>
      <c r="T89" s="1328"/>
      <c r="U89" s="1328"/>
      <c r="V89" s="1328"/>
      <c r="W89" s="1171">
        <f t="shared" si="0"/>
        <v>9</v>
      </c>
      <c r="X89" s="1328"/>
      <c r="Y89" s="1328"/>
      <c r="Z89" s="1328"/>
      <c r="AA89" s="1328"/>
      <c r="AB89" s="1328"/>
      <c r="AC89" s="1328"/>
      <c r="AD89" s="1328"/>
      <c r="AE89" s="1328"/>
      <c r="AF89" s="1328"/>
      <c r="AG89" s="1328"/>
      <c r="AH89" s="1328"/>
    </row>
    <row r="90" spans="1:34">
      <c r="A90" s="1328"/>
      <c r="B90" s="1328"/>
      <c r="C90" s="1328"/>
      <c r="D90" s="1328"/>
      <c r="E90" s="1328"/>
      <c r="F90" s="1328"/>
      <c r="G90" s="1328"/>
      <c r="H90" s="1328"/>
      <c r="I90" s="1328"/>
      <c r="J90" s="1328"/>
      <c r="K90" s="1328"/>
      <c r="L90" s="1328"/>
      <c r="M90" s="1328"/>
      <c r="N90" s="1328"/>
      <c r="O90" s="1328"/>
      <c r="P90" s="1328"/>
      <c r="Q90" s="1328"/>
      <c r="R90" s="1328"/>
      <c r="S90" s="1328"/>
      <c r="T90" s="1328"/>
      <c r="U90" s="1328"/>
      <c r="V90" s="1328"/>
      <c r="W90" s="1171">
        <f t="shared" si="0"/>
        <v>10</v>
      </c>
      <c r="X90" s="1328"/>
      <c r="Y90" s="1328" t="s">
        <v>721</v>
      </c>
      <c r="Z90" s="1328"/>
      <c r="AA90" s="1328"/>
      <c r="AB90" s="1328"/>
      <c r="AC90" s="1328"/>
      <c r="AD90" s="1328"/>
      <c r="AE90" s="1174">
        <f ca="1">AC88+AE88</f>
        <v>14435959</v>
      </c>
      <c r="AF90" s="1328"/>
      <c r="AG90" s="1328"/>
      <c r="AH90" s="1328"/>
    </row>
    <row r="91" spans="1:34">
      <c r="A91" s="1328"/>
      <c r="B91" s="1328"/>
      <c r="C91" s="1328"/>
      <c r="D91" s="1328"/>
      <c r="E91" s="1328"/>
      <c r="F91" s="1328"/>
      <c r="G91" s="1328"/>
      <c r="H91" s="1328"/>
      <c r="I91" s="1328"/>
      <c r="J91" s="1328"/>
      <c r="K91" s="1328"/>
      <c r="L91" s="1328"/>
      <c r="M91" s="1328"/>
      <c r="N91" s="1328"/>
      <c r="O91" s="1328"/>
      <c r="P91" s="1328"/>
      <c r="Q91" s="1328"/>
      <c r="R91" s="1328"/>
      <c r="S91" s="1328"/>
      <c r="T91" s="1328"/>
      <c r="U91" s="1328"/>
      <c r="V91" s="1328"/>
      <c r="W91" s="1171">
        <f t="shared" si="0"/>
        <v>11</v>
      </c>
      <c r="X91" s="1328"/>
      <c r="Y91" s="1328"/>
      <c r="Z91" s="1328"/>
      <c r="AA91" s="1328"/>
      <c r="AB91" s="1328"/>
      <c r="AC91" s="1328"/>
      <c r="AD91" s="1328"/>
      <c r="AE91" s="1328"/>
      <c r="AF91" s="1328"/>
      <c r="AG91" s="1328"/>
      <c r="AH91" s="1328"/>
    </row>
    <row r="92" spans="1:34">
      <c r="A92" s="1328"/>
      <c r="B92" s="1328"/>
      <c r="C92" s="1328"/>
      <c r="D92" s="1328"/>
      <c r="E92" s="1328"/>
      <c r="F92" s="1328"/>
      <c r="G92" s="1328"/>
      <c r="H92" s="1328"/>
      <c r="I92" s="1328"/>
      <c r="J92" s="1328"/>
      <c r="K92" s="1328"/>
      <c r="L92" s="1328"/>
      <c r="M92" s="1328"/>
      <c r="N92" s="1328"/>
      <c r="O92" s="1328"/>
      <c r="P92" s="1328"/>
      <c r="Q92" s="1328"/>
      <c r="R92" s="1328"/>
      <c r="S92" s="1328"/>
      <c r="T92" s="1328"/>
      <c r="U92" s="1328"/>
      <c r="V92" s="1328"/>
      <c r="W92" s="1171">
        <f t="shared" si="0"/>
        <v>12</v>
      </c>
      <c r="X92" s="1328"/>
      <c r="Y92" s="1328" t="s">
        <v>1032</v>
      </c>
      <c r="Z92" s="1328"/>
      <c r="AA92" s="1328"/>
      <c r="AB92" s="1171" t="s">
        <v>2925</v>
      </c>
      <c r="AC92" s="1328"/>
      <c r="AD92" s="1328"/>
      <c r="AE92" s="1556">
        <f>-SCH_E1!K22</f>
        <v>14155510</v>
      </c>
      <c r="AF92" s="1328"/>
      <c r="AG92" s="1328"/>
      <c r="AH92" s="1328"/>
    </row>
    <row r="93" spans="1:34">
      <c r="A93" s="1328"/>
      <c r="B93" s="1328"/>
      <c r="C93" s="1328"/>
      <c r="D93" s="1328"/>
      <c r="E93" s="1328"/>
      <c r="F93" s="1328"/>
      <c r="G93" s="1328"/>
      <c r="H93" s="1328"/>
      <c r="I93" s="1328"/>
      <c r="J93" s="1328"/>
      <c r="K93" s="1328"/>
      <c r="L93" s="1328"/>
      <c r="M93" s="1328"/>
      <c r="N93" s="1328"/>
      <c r="O93" s="1328"/>
      <c r="P93" s="1328"/>
      <c r="Q93" s="1328"/>
      <c r="R93" s="1328"/>
      <c r="S93" s="1328"/>
      <c r="T93" s="1328"/>
      <c r="U93" s="1328"/>
      <c r="V93" s="1328"/>
      <c r="W93" s="1171">
        <f t="shared" si="0"/>
        <v>13</v>
      </c>
      <c r="X93" s="1328"/>
      <c r="Y93" s="1328"/>
      <c r="Z93" s="1328"/>
      <c r="AA93" s="1328"/>
      <c r="AB93" s="1328"/>
      <c r="AC93" s="1328"/>
      <c r="AD93" s="1328"/>
      <c r="AE93" s="1328"/>
      <c r="AF93" s="1328"/>
      <c r="AG93" s="1328"/>
      <c r="AH93" s="1328"/>
    </row>
    <row r="94" spans="1:34" ht="13.5" thickBot="1">
      <c r="A94" s="1328"/>
      <c r="B94" s="1328"/>
      <c r="C94" s="1328"/>
      <c r="D94" s="1328"/>
      <c r="E94" s="1328"/>
      <c r="F94" s="1328"/>
      <c r="G94" s="1328"/>
      <c r="H94" s="1328"/>
      <c r="I94" s="1328"/>
      <c r="J94" s="1328"/>
      <c r="K94" s="1328"/>
      <c r="L94" s="1328"/>
      <c r="M94" s="1328"/>
      <c r="N94" s="1328"/>
      <c r="O94" s="1328"/>
      <c r="P94" s="1328"/>
      <c r="Q94" s="1328"/>
      <c r="R94" s="1328"/>
      <c r="S94" s="1328"/>
      <c r="T94" s="1328"/>
      <c r="U94" s="1328"/>
      <c r="V94" s="1328"/>
      <c r="W94" s="1171">
        <f t="shared" si="0"/>
        <v>14</v>
      </c>
      <c r="X94" s="1328"/>
      <c r="Y94" s="1177" t="str">
        <f ca="1">IF(AE94&lt;0,"Decrease","Increase")&amp;" in Electric Interest Expense"</f>
        <v>Increase in Electric Interest Expense</v>
      </c>
      <c r="Z94" s="1328"/>
      <c r="AA94" s="1328"/>
      <c r="AB94" s="1328"/>
      <c r="AC94" s="1328"/>
      <c r="AD94" s="1328"/>
      <c r="AE94" s="2324">
        <f ca="1">AE90-AE92</f>
        <v>280449</v>
      </c>
      <c r="AF94" s="1328"/>
      <c r="AG94" s="1328"/>
      <c r="AH94" s="1328"/>
    </row>
    <row r="95" spans="1:34" ht="13.5" thickTop="1">
      <c r="A95" s="1328"/>
      <c r="B95" s="1328"/>
      <c r="C95" s="1328"/>
      <c r="D95" s="1328"/>
      <c r="E95" s="1328"/>
      <c r="F95" s="1328"/>
      <c r="G95" s="1328"/>
      <c r="H95" s="1328"/>
      <c r="I95" s="1328"/>
      <c r="J95" s="1328"/>
      <c r="K95" s="1328"/>
      <c r="L95" s="1328"/>
      <c r="M95" s="1328"/>
      <c r="N95" s="1328"/>
      <c r="O95" s="1328"/>
      <c r="P95" s="1328"/>
      <c r="Q95" s="1328"/>
      <c r="R95" s="1328"/>
      <c r="S95" s="1328"/>
      <c r="T95" s="1328"/>
      <c r="U95" s="1328"/>
      <c r="V95" s="1328"/>
      <c r="W95" s="1171">
        <f t="shared" si="0"/>
        <v>15</v>
      </c>
      <c r="X95" s="1328"/>
      <c r="Y95" s="1328"/>
      <c r="Z95" s="1328"/>
      <c r="AA95" s="1328"/>
      <c r="AB95" s="1328"/>
      <c r="AC95" s="2325"/>
      <c r="AD95" s="1328"/>
      <c r="AE95" s="1328"/>
      <c r="AF95" s="1328"/>
      <c r="AG95" s="1328"/>
      <c r="AH95" s="1328"/>
    </row>
    <row r="96" spans="1:34">
      <c r="A96" s="1328"/>
      <c r="B96" s="1328"/>
      <c r="C96" s="1328"/>
      <c r="D96" s="1328"/>
      <c r="E96" s="1328"/>
      <c r="F96" s="1328"/>
      <c r="G96" s="1328"/>
      <c r="H96" s="1328"/>
      <c r="I96" s="1328"/>
      <c r="J96" s="1328"/>
      <c r="K96" s="1328"/>
      <c r="L96" s="1328"/>
      <c r="M96" s="1328"/>
      <c r="N96" s="1328"/>
      <c r="O96" s="1328"/>
      <c r="P96" s="1328"/>
      <c r="Q96" s="1328"/>
      <c r="R96" s="1328"/>
      <c r="S96" s="1328"/>
      <c r="T96" s="1328"/>
      <c r="U96" s="1328"/>
      <c r="V96" s="1328"/>
      <c r="W96" s="1171">
        <f t="shared" si="0"/>
        <v>16</v>
      </c>
      <c r="X96" s="1328"/>
      <c r="Y96" s="2315" t="str">
        <f>"State Income Tax Effect @ "&amp; TEXT(SIT,"##.00%")&amp;" (A)"</f>
        <v>State Income Tax Effect @ 6.00% (A)</v>
      </c>
      <c r="Z96" s="1328"/>
      <c r="AA96" s="2251" t="str">
        <f>"(Line 14 * "&amp;TEXT(APPORT,"0.000%")&amp;" * "&amp;TEXT(SIT,"0.000%")&amp;")"</f>
        <v>(Line 14 * 89.087% * 6.000%)</v>
      </c>
      <c r="AB96" s="1328"/>
      <c r="AC96" s="2320" t="s">
        <v>2263</v>
      </c>
      <c r="AD96" s="1328"/>
      <c r="AE96" s="2326">
        <f ca="1">-ROUND((AE94)*SIT*APPORT,0)</f>
        <v>-14991</v>
      </c>
      <c r="AF96" s="1328"/>
      <c r="AG96" s="1328"/>
      <c r="AH96" s="1328"/>
    </row>
    <row r="97" spans="1:34">
      <c r="A97" s="1328"/>
      <c r="B97" s="1328"/>
      <c r="C97" s="1328"/>
      <c r="D97" s="1328"/>
      <c r="E97" s="1328"/>
      <c r="F97" s="1328"/>
      <c r="G97" s="1328"/>
      <c r="H97" s="1328"/>
      <c r="I97" s="1328"/>
      <c r="J97" s="1328"/>
      <c r="K97" s="1328"/>
      <c r="L97" s="1328"/>
      <c r="M97" s="1328"/>
      <c r="N97" s="1328"/>
      <c r="O97" s="1328"/>
      <c r="P97" s="1328"/>
      <c r="Q97" s="1328"/>
      <c r="R97" s="1328"/>
      <c r="S97" s="1328"/>
      <c r="T97" s="1328"/>
      <c r="U97" s="1328"/>
      <c r="V97" s="1328"/>
      <c r="W97" s="1171">
        <f t="shared" si="0"/>
        <v>17</v>
      </c>
      <c r="X97" s="1328"/>
      <c r="Y97" s="2327"/>
      <c r="Z97" s="1328"/>
      <c r="AA97" s="1328"/>
      <c r="AB97" s="1328"/>
      <c r="AC97" s="1328"/>
      <c r="AD97" s="1328"/>
      <c r="AE97" s="2328"/>
      <c r="AF97" s="1328"/>
      <c r="AG97" s="1328"/>
      <c r="AH97" s="1328"/>
    </row>
    <row r="98" spans="1:34">
      <c r="A98" s="1328"/>
      <c r="B98" s="1328"/>
      <c r="C98" s="1328"/>
      <c r="D98" s="1328"/>
      <c r="E98" s="1328"/>
      <c r="F98" s="1328"/>
      <c r="G98" s="1328"/>
      <c r="H98" s="1328"/>
      <c r="I98" s="1328"/>
      <c r="J98" s="1328"/>
      <c r="K98" s="1328"/>
      <c r="L98" s="1328"/>
      <c r="M98" s="1328"/>
      <c r="N98" s="1328"/>
      <c r="O98" s="1328"/>
      <c r="P98" s="1328"/>
      <c r="Q98" s="1328"/>
      <c r="R98" s="1328"/>
      <c r="S98" s="1328"/>
      <c r="T98" s="1328"/>
      <c r="U98" s="1328"/>
      <c r="V98" s="1328"/>
      <c r="W98" s="1171">
        <f t="shared" si="0"/>
        <v>18</v>
      </c>
      <c r="X98" s="1328"/>
      <c r="Y98" s="2315" t="str">
        <f>"Federal Income Tax Effect @ "&amp; TEXT(FIT,"##.#00%")&amp;" (A)"</f>
        <v>Federal Income Tax Effect @ 35.00% (A)</v>
      </c>
      <c r="Z98" s="1328"/>
      <c r="AA98" s="2315" t="str">
        <f>"((Line 14 - Line 16) * "&amp; TEXT(FIT,"##%")&amp;")"</f>
        <v>((Line 14 - Line 16) * 35%)</v>
      </c>
      <c r="AB98" s="1328"/>
      <c r="AC98" s="2320" t="s">
        <v>2264</v>
      </c>
      <c r="AD98" s="1328"/>
      <c r="AE98" s="2326">
        <f ca="1">-ROUND((AE94+AE96)*FIT,0)</f>
        <v>-92910</v>
      </c>
      <c r="AF98" s="1328"/>
      <c r="AG98" s="1328"/>
      <c r="AH98" s="1328"/>
    </row>
    <row r="99" spans="1:34">
      <c r="A99" s="1328"/>
      <c r="B99" s="1328"/>
      <c r="C99" s="1328"/>
      <c r="D99" s="1328"/>
      <c r="E99" s="1328"/>
      <c r="F99" s="1328"/>
      <c r="G99" s="1328"/>
      <c r="H99" s="1328"/>
      <c r="I99" s="1328"/>
      <c r="J99" s="1328"/>
      <c r="K99" s="1328"/>
      <c r="L99" s="1328"/>
      <c r="M99" s="1328"/>
      <c r="N99" s="1328"/>
      <c r="O99" s="1328"/>
      <c r="P99" s="1328"/>
      <c r="Q99" s="1328"/>
      <c r="R99" s="1328"/>
      <c r="S99" s="1328"/>
      <c r="T99" s="1328"/>
      <c r="U99" s="1328"/>
      <c r="V99" s="1328"/>
      <c r="W99" s="1328"/>
      <c r="X99" s="1328"/>
      <c r="Y99" s="1328"/>
      <c r="Z99" s="1328"/>
      <c r="AA99" s="1328"/>
      <c r="AB99" s="1328"/>
      <c r="AC99" s="1328"/>
      <c r="AD99" s="1328"/>
      <c r="AE99" s="1328"/>
      <c r="AF99" s="1328"/>
      <c r="AG99" s="1328"/>
      <c r="AH99" s="1328"/>
    </row>
    <row r="100" spans="1:34">
      <c r="A100" s="1328"/>
      <c r="B100" s="1328"/>
      <c r="C100" s="1328"/>
      <c r="D100" s="1328"/>
      <c r="E100" s="1328"/>
      <c r="F100" s="1328"/>
      <c r="G100" s="1328"/>
      <c r="H100" s="1328"/>
      <c r="I100" s="1328"/>
      <c r="J100" s="1328"/>
      <c r="K100" s="1328"/>
      <c r="L100" s="1328"/>
      <c r="M100" s="1328"/>
      <c r="N100" s="1328"/>
      <c r="O100" s="1328"/>
      <c r="P100" s="1328"/>
      <c r="Q100" s="1328"/>
      <c r="R100" s="1328"/>
      <c r="S100" s="1328"/>
      <c r="T100" s="1328"/>
      <c r="U100" s="1328"/>
      <c r="V100" s="1328"/>
      <c r="W100" s="1328"/>
      <c r="X100" s="1328"/>
      <c r="Y100" s="1328"/>
      <c r="Z100" s="1328"/>
      <c r="AA100" s="1328"/>
      <c r="AB100" s="1328"/>
      <c r="AC100" s="1328"/>
      <c r="AD100" s="1328"/>
      <c r="AE100" s="1328"/>
      <c r="AF100" s="1328"/>
      <c r="AG100" s="1328"/>
      <c r="AH100" s="1328"/>
    </row>
    <row r="101" spans="1:34">
      <c r="A101" s="1328"/>
      <c r="B101" s="1328"/>
      <c r="C101" s="1328"/>
      <c r="D101" s="1328"/>
      <c r="E101" s="1328"/>
      <c r="F101" s="1328"/>
      <c r="G101" s="1328"/>
      <c r="H101" s="1328"/>
      <c r="I101" s="1328"/>
      <c r="J101" s="1328"/>
      <c r="K101" s="1328"/>
      <c r="L101" s="1328"/>
      <c r="M101" s="1328"/>
      <c r="N101" s="1328"/>
      <c r="O101" s="1328"/>
      <c r="P101" s="1328"/>
      <c r="Q101" s="1328"/>
      <c r="R101" s="1328"/>
      <c r="S101" s="1328"/>
      <c r="T101" s="1328"/>
      <c r="U101" s="1328"/>
      <c r="V101" s="1328"/>
      <c r="W101" s="1328"/>
      <c r="X101" s="1328"/>
      <c r="Y101" s="1328" t="s">
        <v>1921</v>
      </c>
      <c r="Z101" s="1328"/>
      <c r="AA101" s="1328"/>
      <c r="AB101" s="1328"/>
      <c r="AC101" s="1328"/>
      <c r="AD101" s="1328"/>
      <c r="AE101" s="1328"/>
      <c r="AF101" s="1328"/>
      <c r="AG101" s="1328"/>
      <c r="AH101" s="1328"/>
    </row>
    <row r="102" spans="1:34">
      <c r="A102" s="1328"/>
      <c r="B102" s="1328"/>
      <c r="C102" s="1328"/>
      <c r="D102" s="1328"/>
      <c r="E102" s="1328"/>
      <c r="F102" s="1328"/>
      <c r="G102" s="1328"/>
      <c r="H102" s="1328"/>
      <c r="I102" s="1328"/>
      <c r="J102" s="1328"/>
      <c r="K102" s="1328"/>
      <c r="L102" s="1328"/>
      <c r="M102" s="1328"/>
      <c r="N102" s="1328"/>
      <c r="O102" s="1328"/>
      <c r="P102" s="1328"/>
      <c r="Q102" s="1328"/>
      <c r="R102" s="1328"/>
      <c r="S102" s="1328"/>
      <c r="T102" s="1328"/>
      <c r="U102" s="1328"/>
      <c r="V102" s="1328"/>
      <c r="W102" s="1328"/>
      <c r="X102" s="1328"/>
      <c r="Y102" s="1328"/>
      <c r="Z102" s="1328"/>
      <c r="AA102" s="1328"/>
      <c r="AB102" s="1328"/>
      <c r="AC102" s="1328"/>
      <c r="AD102" s="1328"/>
      <c r="AE102" s="1328"/>
      <c r="AF102" s="1328"/>
      <c r="AG102" s="1328"/>
      <c r="AH102" s="1328"/>
    </row>
    <row r="103" spans="1:34">
      <c r="A103" s="1328"/>
      <c r="B103" s="1328"/>
      <c r="C103" s="1328"/>
      <c r="D103" s="1328"/>
      <c r="E103" s="1328"/>
      <c r="F103" s="1328"/>
      <c r="G103" s="1328"/>
      <c r="H103" s="1328"/>
      <c r="I103" s="1328"/>
      <c r="J103" s="1328"/>
      <c r="K103" s="1328"/>
      <c r="L103" s="1328"/>
      <c r="M103" s="1328"/>
      <c r="N103" s="1328"/>
      <c r="O103" s="1328"/>
      <c r="P103" s="1328"/>
      <c r="Q103" s="1328"/>
      <c r="R103" s="1328"/>
      <c r="S103" s="1328"/>
      <c r="T103" s="1328"/>
      <c r="U103" s="1328"/>
      <c r="V103" s="1328"/>
      <c r="W103" s="1328"/>
      <c r="X103" s="1328"/>
      <c r="Y103" s="1328"/>
      <c r="Z103" s="1328"/>
      <c r="AA103" s="1328"/>
      <c r="AB103" s="1328"/>
      <c r="AC103" s="1328"/>
      <c r="AD103" s="1328"/>
      <c r="AE103" s="1328"/>
      <c r="AF103" s="1328"/>
      <c r="AG103" s="1328"/>
      <c r="AH103" s="1328"/>
    </row>
    <row r="104" spans="1:34">
      <c r="A104" s="1328"/>
      <c r="B104" s="1328"/>
      <c r="C104" s="1328"/>
      <c r="D104" s="1328"/>
      <c r="E104" s="1328"/>
      <c r="F104" s="1328"/>
      <c r="G104" s="1328"/>
      <c r="H104" s="1328"/>
      <c r="I104" s="1328"/>
      <c r="J104" s="1328"/>
      <c r="K104" s="1328"/>
      <c r="L104" s="1328"/>
      <c r="M104" s="1328"/>
      <c r="N104" s="1328"/>
      <c r="O104" s="1328"/>
      <c r="P104" s="1328"/>
      <c r="Q104" s="1328"/>
      <c r="R104" s="1328"/>
      <c r="S104" s="1328"/>
      <c r="T104" s="1328"/>
      <c r="U104" s="1328"/>
      <c r="V104" s="1328"/>
      <c r="W104" s="1328"/>
      <c r="X104" s="1328"/>
      <c r="Y104" s="1328"/>
      <c r="Z104" s="1328"/>
      <c r="AA104" s="1328"/>
      <c r="AB104" s="1328"/>
      <c r="AC104" s="1328"/>
      <c r="AD104" s="1328"/>
      <c r="AE104" s="1328"/>
      <c r="AF104" s="1328"/>
      <c r="AG104" s="1328"/>
      <c r="AH104" s="1328"/>
    </row>
    <row r="105" spans="1:34">
      <c r="A105" s="1328"/>
      <c r="B105" s="1328"/>
      <c r="C105" s="1328"/>
      <c r="D105" s="1328"/>
      <c r="E105" s="1328"/>
      <c r="F105" s="1328"/>
      <c r="G105" s="1328"/>
      <c r="H105" s="1328"/>
      <c r="I105" s="1328"/>
      <c r="J105" s="1328"/>
      <c r="K105" s="1328"/>
      <c r="L105" s="1328"/>
      <c r="M105" s="1328"/>
      <c r="N105" s="1328"/>
      <c r="O105" s="1328"/>
      <c r="P105" s="1328"/>
      <c r="Q105" s="1328"/>
      <c r="R105" s="1328"/>
      <c r="S105" s="1328"/>
      <c r="T105" s="1328"/>
      <c r="U105" s="1328"/>
      <c r="V105" s="1328"/>
      <c r="W105" s="1328"/>
      <c r="X105" s="1328"/>
      <c r="Z105" s="1328"/>
      <c r="AA105" s="1328"/>
      <c r="AB105" s="1328"/>
      <c r="AC105" s="1328"/>
      <c r="AD105" s="1328"/>
      <c r="AE105" s="1328"/>
      <c r="AF105" s="1328"/>
      <c r="AG105" s="1328"/>
      <c r="AH105" s="1328"/>
    </row>
    <row r="106" spans="1:34">
      <c r="A106" s="1328"/>
      <c r="B106" s="1328"/>
      <c r="C106" s="1328"/>
      <c r="D106" s="1328"/>
      <c r="E106" s="1328"/>
      <c r="F106" s="1328"/>
      <c r="G106" s="1328"/>
      <c r="H106" s="1328"/>
      <c r="I106" s="1328"/>
      <c r="J106" s="1328"/>
      <c r="K106" s="1328"/>
      <c r="L106" s="1328"/>
      <c r="M106" s="1328"/>
      <c r="N106" s="1328"/>
      <c r="O106" s="1328"/>
      <c r="P106" s="1328"/>
      <c r="Q106" s="1328"/>
      <c r="R106" s="1328"/>
      <c r="S106" s="1328"/>
      <c r="T106" s="1328"/>
      <c r="U106" s="1328"/>
      <c r="V106" s="1328"/>
      <c r="W106" s="1328"/>
      <c r="X106" s="1328"/>
      <c r="Y106" s="1328"/>
      <c r="Z106" s="1328"/>
      <c r="AA106" s="1328"/>
      <c r="AB106" s="1328"/>
      <c r="AC106" s="1328"/>
      <c r="AD106" s="1328"/>
      <c r="AE106" s="1328"/>
      <c r="AF106" s="1328"/>
      <c r="AG106" s="1328"/>
      <c r="AH106" s="1328"/>
    </row>
    <row r="107" spans="1:34">
      <c r="A107" s="1328"/>
      <c r="B107" s="1328"/>
      <c r="C107" s="1328"/>
      <c r="D107" s="1328"/>
      <c r="E107" s="1328"/>
      <c r="F107" s="1328"/>
      <c r="G107" s="1328"/>
      <c r="H107" s="1328"/>
      <c r="I107" s="1328"/>
      <c r="J107" s="1328"/>
      <c r="K107" s="1328"/>
      <c r="L107" s="1328"/>
      <c r="M107" s="1328"/>
      <c r="N107" s="1328"/>
      <c r="O107" s="1328"/>
      <c r="P107" s="1328"/>
      <c r="Q107" s="1328"/>
      <c r="R107" s="1328"/>
      <c r="S107" s="1328"/>
      <c r="T107" s="1328"/>
      <c r="U107" s="1328"/>
      <c r="V107" s="1328"/>
      <c r="W107" s="1328"/>
      <c r="X107" s="1328"/>
      <c r="Y107" s="1328"/>
      <c r="Z107" s="1328"/>
      <c r="AA107" s="1328"/>
      <c r="AB107" s="1328"/>
      <c r="AC107" s="1328"/>
      <c r="AD107" s="1328"/>
      <c r="AE107" s="1328"/>
      <c r="AF107" s="1328"/>
      <c r="AG107" s="1328"/>
      <c r="AH107" s="1328"/>
    </row>
    <row r="108" spans="1:34">
      <c r="A108" s="1328"/>
      <c r="B108" s="1328"/>
      <c r="C108" s="1328"/>
      <c r="D108" s="1328"/>
      <c r="E108" s="1328"/>
      <c r="F108" s="1328"/>
      <c r="G108" s="1328"/>
      <c r="H108" s="1328"/>
      <c r="I108" s="1328"/>
      <c r="J108" s="1328"/>
      <c r="K108" s="1328"/>
      <c r="L108" s="1328"/>
      <c r="M108" s="1328"/>
      <c r="N108" s="1328"/>
      <c r="O108" s="1328"/>
      <c r="P108" s="1328"/>
      <c r="Q108" s="1328"/>
      <c r="R108" s="1328"/>
      <c r="S108" s="1328"/>
      <c r="T108" s="1328"/>
      <c r="U108" s="1328"/>
      <c r="V108" s="1328"/>
      <c r="W108" s="1328"/>
      <c r="X108" s="1328"/>
      <c r="Y108" s="1328"/>
      <c r="Z108" s="1328"/>
      <c r="AA108" s="1328"/>
      <c r="AB108" s="1328"/>
      <c r="AC108" s="1328"/>
      <c r="AD108" s="1328"/>
      <c r="AE108" s="1328"/>
      <c r="AF108" s="1328"/>
      <c r="AG108" s="1328"/>
      <c r="AH108" s="1328"/>
    </row>
    <row r="109" spans="1:34">
      <c r="A109" s="1328"/>
      <c r="B109" s="1328"/>
      <c r="C109" s="1328"/>
      <c r="D109" s="1328"/>
      <c r="E109" s="1328"/>
      <c r="F109" s="1328"/>
      <c r="G109" s="1328"/>
      <c r="H109" s="1328"/>
      <c r="I109" s="1328"/>
      <c r="J109" s="1328"/>
      <c r="K109" s="1328"/>
      <c r="L109" s="1328"/>
      <c r="M109" s="1328"/>
      <c r="N109" s="1328"/>
      <c r="O109" s="1328"/>
      <c r="P109" s="1328"/>
      <c r="Q109" s="1328"/>
      <c r="R109" s="1328"/>
      <c r="S109" s="1328"/>
      <c r="T109" s="1328"/>
      <c r="U109" s="1328"/>
      <c r="V109" s="1328"/>
      <c r="W109" s="1328"/>
      <c r="X109" s="1328"/>
      <c r="Y109" s="1328"/>
      <c r="Z109" s="1328"/>
      <c r="AA109" s="1328"/>
      <c r="AB109" s="1328"/>
      <c r="AC109" s="1328"/>
      <c r="AD109" s="1328"/>
      <c r="AE109" s="1328"/>
      <c r="AF109" s="1328"/>
      <c r="AG109" s="1328"/>
      <c r="AH109" s="1328"/>
    </row>
    <row r="110" spans="1:34">
      <c r="A110" s="1328"/>
      <c r="B110" s="1328"/>
      <c r="C110" s="1328"/>
      <c r="D110" s="1328"/>
      <c r="E110" s="1328"/>
      <c r="F110" s="1328"/>
      <c r="G110" s="1328"/>
      <c r="H110" s="1328"/>
      <c r="I110" s="1328"/>
      <c r="J110" s="1328"/>
      <c r="K110" s="1328"/>
      <c r="L110" s="1328"/>
      <c r="M110" s="1328"/>
      <c r="N110" s="1328"/>
      <c r="O110" s="1328"/>
      <c r="P110" s="1328"/>
      <c r="Q110" s="1328"/>
      <c r="R110" s="1328"/>
      <c r="S110" s="1328"/>
      <c r="T110" s="1328"/>
      <c r="U110" s="1328"/>
      <c r="V110" s="1328"/>
      <c r="W110" s="1328"/>
      <c r="X110" s="1328"/>
      <c r="Y110" s="1328"/>
      <c r="Z110" s="1328"/>
      <c r="AA110" s="1328"/>
      <c r="AB110" s="1328"/>
      <c r="AC110" s="1328"/>
      <c r="AD110" s="1328"/>
      <c r="AE110" s="1328"/>
      <c r="AF110" s="1328"/>
      <c r="AG110" s="1328"/>
      <c r="AH110" s="1328"/>
    </row>
    <row r="111" spans="1:34">
      <c r="A111" s="1328"/>
      <c r="B111" s="1328"/>
      <c r="C111" s="1328"/>
      <c r="D111" s="1328"/>
      <c r="E111" s="1328"/>
      <c r="F111" s="1328"/>
      <c r="G111" s="1328"/>
      <c r="H111" s="1328"/>
      <c r="I111" s="1328"/>
      <c r="J111" s="1328"/>
      <c r="K111" s="1328"/>
      <c r="L111" s="1328"/>
      <c r="M111" s="1328"/>
      <c r="N111" s="1328"/>
      <c r="O111" s="1328"/>
      <c r="P111" s="1328"/>
      <c r="Q111" s="1328"/>
      <c r="R111" s="1328"/>
      <c r="S111" s="1328"/>
      <c r="T111" s="1328"/>
      <c r="U111" s="1328"/>
      <c r="V111" s="1328"/>
      <c r="W111" s="1328"/>
      <c r="X111" s="1328"/>
      <c r="Y111" s="1328"/>
      <c r="Z111" s="1328"/>
      <c r="AA111" s="1328"/>
      <c r="AB111" s="1328"/>
      <c r="AC111" s="1328"/>
      <c r="AD111" s="1328"/>
      <c r="AE111" s="1328"/>
      <c r="AF111" s="1328"/>
      <c r="AG111" s="1328"/>
      <c r="AH111" s="1328"/>
    </row>
    <row r="112" spans="1:34">
      <c r="A112" s="1328"/>
      <c r="B112" s="1328"/>
      <c r="C112" s="1328"/>
      <c r="D112" s="1328"/>
      <c r="E112" s="1328"/>
      <c r="F112" s="1328"/>
      <c r="G112" s="1328"/>
      <c r="H112" s="1328"/>
      <c r="I112" s="1328"/>
      <c r="J112" s="1328"/>
      <c r="K112" s="1328"/>
      <c r="L112" s="1328"/>
      <c r="M112" s="1328"/>
      <c r="N112" s="1328"/>
      <c r="O112" s="1328"/>
      <c r="P112" s="1328"/>
      <c r="Q112" s="1328"/>
      <c r="R112" s="1328"/>
      <c r="S112" s="1328"/>
      <c r="T112" s="1328"/>
      <c r="U112" s="1328"/>
      <c r="V112" s="1328"/>
      <c r="W112" s="1328"/>
      <c r="X112" s="1328"/>
      <c r="Y112" s="1328"/>
      <c r="Z112" s="1328"/>
      <c r="AA112" s="1328"/>
      <c r="AB112" s="1328"/>
      <c r="AC112" s="1328"/>
      <c r="AD112" s="1328"/>
      <c r="AE112" s="1328"/>
      <c r="AF112" s="1328"/>
      <c r="AG112" s="2329"/>
      <c r="AH112" s="2329"/>
    </row>
    <row r="113" spans="1:34">
      <c r="A113" s="1328"/>
      <c r="B113" s="1328"/>
      <c r="C113" s="1328"/>
      <c r="D113" s="1328"/>
      <c r="E113" s="1328"/>
      <c r="F113" s="1328"/>
      <c r="G113" s="1328"/>
      <c r="H113" s="1328"/>
      <c r="I113" s="1328"/>
      <c r="J113" s="1328"/>
      <c r="K113" s="1328"/>
      <c r="L113" s="1328"/>
      <c r="M113" s="1328"/>
      <c r="N113" s="1328"/>
      <c r="O113" s="1328"/>
      <c r="P113" s="1328"/>
      <c r="Q113" s="1328"/>
      <c r="R113" s="1328"/>
      <c r="S113" s="1328"/>
      <c r="T113" s="1328"/>
      <c r="U113" s="1328"/>
      <c r="V113" s="1328"/>
      <c r="W113" s="1328"/>
      <c r="X113" s="1328"/>
      <c r="Y113" s="1328"/>
      <c r="Z113" s="1328"/>
      <c r="AA113" s="1328"/>
      <c r="AB113" s="1328"/>
      <c r="AC113" s="1328"/>
      <c r="AD113" s="1328"/>
      <c r="AE113" s="1328"/>
      <c r="AF113" s="1328"/>
      <c r="AG113" s="1271"/>
      <c r="AH113" s="1271"/>
    </row>
    <row r="114" spans="1:34">
      <c r="A114" s="1328"/>
      <c r="B114" s="1328"/>
      <c r="C114" s="1328"/>
      <c r="D114" s="1328"/>
      <c r="E114" s="1328"/>
      <c r="F114" s="1328"/>
      <c r="G114" s="1328"/>
      <c r="H114" s="1328"/>
      <c r="I114" s="1328"/>
      <c r="J114" s="1328"/>
      <c r="K114" s="1328"/>
      <c r="L114" s="1328"/>
      <c r="M114" s="1328"/>
      <c r="N114" s="1328"/>
      <c r="O114" s="1328"/>
      <c r="P114" s="1328"/>
      <c r="Q114" s="1328"/>
      <c r="R114" s="1328"/>
      <c r="S114" s="1328"/>
      <c r="T114" s="1328"/>
      <c r="U114" s="1328"/>
      <c r="V114" s="1328"/>
      <c r="W114" s="1328"/>
      <c r="X114" s="1328"/>
      <c r="Y114" s="1328"/>
      <c r="Z114" s="1328"/>
      <c r="AA114" s="1328"/>
      <c r="AB114" s="1328"/>
      <c r="AC114" s="1328"/>
      <c r="AD114" s="1328"/>
      <c r="AE114" s="1328"/>
      <c r="AF114" s="1328"/>
      <c r="AG114" s="2330"/>
      <c r="AH114" s="2330"/>
    </row>
    <row r="115" spans="1:34">
      <c r="A115" s="1328"/>
      <c r="B115" s="1328"/>
      <c r="C115" s="1328"/>
      <c r="D115" s="1328"/>
      <c r="E115" s="1328"/>
      <c r="F115" s="1328"/>
      <c r="G115" s="1328"/>
      <c r="H115" s="1328"/>
      <c r="I115" s="1328"/>
      <c r="J115" s="1328"/>
      <c r="K115" s="1328"/>
      <c r="L115" s="1328"/>
      <c r="M115" s="1328"/>
      <c r="N115" s="1328"/>
      <c r="O115" s="1328"/>
      <c r="P115" s="1328"/>
      <c r="Q115" s="1328"/>
      <c r="R115" s="1328"/>
      <c r="S115" s="1328"/>
      <c r="T115" s="1328"/>
      <c r="U115" s="1328"/>
      <c r="V115" s="1328"/>
      <c r="W115" s="1328"/>
      <c r="X115" s="1328"/>
      <c r="Y115" s="1328"/>
      <c r="Z115" s="1328"/>
      <c r="AA115" s="1328"/>
      <c r="AB115" s="1328"/>
      <c r="AC115" s="1328"/>
      <c r="AD115" s="1328"/>
      <c r="AE115" s="1328"/>
      <c r="AF115" s="1328"/>
      <c r="AG115" s="2330"/>
      <c r="AH115" s="2330"/>
    </row>
    <row r="116" spans="1:34">
      <c r="A116" s="1328"/>
      <c r="B116" s="1328"/>
      <c r="C116" s="1328"/>
      <c r="D116" s="1328"/>
      <c r="E116" s="1328"/>
      <c r="F116" s="1328"/>
      <c r="G116" s="1328"/>
      <c r="H116" s="1328"/>
      <c r="I116" s="1328"/>
      <c r="J116" s="1328"/>
      <c r="K116" s="1328"/>
      <c r="L116" s="1328"/>
      <c r="M116" s="1328"/>
      <c r="N116" s="1328"/>
      <c r="O116" s="1328"/>
      <c r="P116" s="1328"/>
      <c r="Q116" s="1328"/>
      <c r="R116" s="1328"/>
      <c r="S116" s="1328"/>
      <c r="T116" s="1328"/>
      <c r="U116" s="1328"/>
      <c r="V116" s="1328"/>
      <c r="W116" s="1328"/>
      <c r="X116" s="1328"/>
      <c r="Y116" s="1328"/>
      <c r="Z116" s="1328"/>
      <c r="AA116" s="1328"/>
      <c r="AB116" s="1328"/>
      <c r="AC116" s="1328"/>
      <c r="AD116" s="1328"/>
      <c r="AE116" s="1328"/>
      <c r="AF116" s="1328"/>
      <c r="AG116" s="2330"/>
      <c r="AH116" s="2330"/>
    </row>
    <row r="117" spans="1:34">
      <c r="A117" s="1328"/>
      <c r="B117" s="1328"/>
      <c r="C117" s="1328"/>
      <c r="D117" s="1328"/>
      <c r="E117" s="1328"/>
      <c r="F117" s="1328"/>
      <c r="G117" s="1328"/>
      <c r="H117" s="1328"/>
      <c r="I117" s="1328"/>
      <c r="J117" s="1328"/>
      <c r="K117" s="1328"/>
      <c r="L117" s="1328"/>
      <c r="M117" s="1328"/>
      <c r="N117" s="1328"/>
      <c r="O117" s="1328"/>
      <c r="P117" s="1328"/>
      <c r="Q117" s="1328"/>
      <c r="R117" s="1328"/>
      <c r="S117" s="1328"/>
      <c r="T117" s="1328"/>
      <c r="U117" s="1328"/>
      <c r="V117" s="1328"/>
      <c r="W117" s="1328"/>
      <c r="X117" s="1328"/>
      <c r="Y117" s="1328"/>
      <c r="Z117" s="1328"/>
      <c r="AA117" s="1328"/>
      <c r="AB117" s="1328"/>
      <c r="AC117" s="1328"/>
      <c r="AD117" s="1328"/>
      <c r="AE117" s="1328"/>
      <c r="AF117" s="1328"/>
      <c r="AG117" s="2330"/>
      <c r="AH117" s="2330"/>
    </row>
    <row r="118" spans="1:34">
      <c r="A118" s="1328"/>
      <c r="B118" s="1328"/>
      <c r="C118" s="1328"/>
      <c r="D118" s="1328"/>
      <c r="E118" s="1328"/>
      <c r="F118" s="1328"/>
      <c r="G118" s="1328"/>
      <c r="H118" s="1328"/>
      <c r="I118" s="1328"/>
      <c r="J118" s="1328"/>
      <c r="K118" s="1328"/>
      <c r="L118" s="1328"/>
      <c r="M118" s="1328"/>
      <c r="N118" s="1328"/>
      <c r="O118" s="1328"/>
      <c r="P118" s="1328"/>
      <c r="Q118" s="1328"/>
      <c r="R118" s="1328"/>
      <c r="S118" s="1328"/>
      <c r="T118" s="1328"/>
      <c r="U118" s="1328"/>
      <c r="V118" s="1328"/>
      <c r="W118" s="1328"/>
      <c r="X118" s="1328"/>
      <c r="Y118" s="1328"/>
      <c r="Z118" s="1328"/>
      <c r="AA118" s="1328"/>
      <c r="AB118" s="1328"/>
      <c r="AC118" s="1328"/>
      <c r="AD118" s="1328"/>
      <c r="AE118" s="1328"/>
      <c r="AF118" s="1328"/>
      <c r="AG118" s="2330"/>
      <c r="AH118" s="2330"/>
    </row>
    <row r="119" spans="1:34">
      <c r="A119" s="1328"/>
      <c r="B119" s="1328"/>
      <c r="C119" s="1328"/>
      <c r="D119" s="1328"/>
      <c r="E119" s="1328"/>
      <c r="F119" s="1328"/>
      <c r="G119" s="1328"/>
      <c r="H119" s="1328"/>
      <c r="I119" s="1328"/>
      <c r="J119" s="1328"/>
      <c r="K119" s="1328"/>
      <c r="L119" s="1328"/>
      <c r="M119" s="1328"/>
      <c r="N119" s="1328"/>
      <c r="O119" s="1328"/>
      <c r="P119" s="1328"/>
      <c r="Q119" s="1328"/>
      <c r="R119" s="1328"/>
      <c r="S119" s="1328"/>
      <c r="T119" s="1328"/>
      <c r="U119" s="1328"/>
      <c r="V119" s="1328"/>
      <c r="W119" s="1328"/>
      <c r="X119" s="1328"/>
      <c r="Y119" s="1328"/>
      <c r="Z119" s="1328"/>
      <c r="AA119" s="1328"/>
      <c r="AB119" s="1328"/>
      <c r="AC119" s="1328"/>
      <c r="AD119" s="1328"/>
      <c r="AE119" s="1328"/>
      <c r="AF119" s="1328"/>
      <c r="AG119" s="2330"/>
      <c r="AH119" s="2330"/>
    </row>
    <row r="120" spans="1:34">
      <c r="A120" s="1328"/>
      <c r="B120" s="1328"/>
      <c r="C120" s="1328"/>
      <c r="D120" s="1328"/>
      <c r="E120" s="1328"/>
      <c r="F120" s="1328"/>
      <c r="G120" s="1328"/>
      <c r="H120" s="1328"/>
      <c r="I120" s="1328"/>
      <c r="J120" s="1328"/>
      <c r="K120" s="1328"/>
      <c r="L120" s="1328"/>
      <c r="M120" s="1328"/>
      <c r="N120" s="1328"/>
      <c r="O120" s="1328"/>
      <c r="P120" s="1328"/>
      <c r="Q120" s="1328"/>
      <c r="R120" s="1328"/>
      <c r="S120" s="1328"/>
      <c r="T120" s="1328"/>
      <c r="U120" s="1328"/>
      <c r="V120" s="1328"/>
      <c r="W120" s="1328"/>
      <c r="X120" s="1328"/>
      <c r="Y120" s="1328"/>
      <c r="Z120" s="1328"/>
      <c r="AA120" s="1328"/>
      <c r="AB120" s="1328"/>
      <c r="AC120" s="1328"/>
      <c r="AD120" s="1328"/>
      <c r="AE120" s="1328"/>
      <c r="AF120" s="1328"/>
      <c r="AG120" s="2330"/>
      <c r="AH120" s="2330"/>
    </row>
    <row r="121" spans="1:34">
      <c r="A121" s="1328"/>
      <c r="B121" s="1328"/>
      <c r="C121" s="1328"/>
      <c r="D121" s="1328"/>
      <c r="E121" s="1328"/>
      <c r="F121" s="1328"/>
      <c r="G121" s="1328"/>
      <c r="H121" s="1328"/>
      <c r="I121" s="1328"/>
      <c r="J121" s="1328"/>
      <c r="K121" s="1328"/>
      <c r="L121" s="1328"/>
      <c r="M121" s="1328"/>
      <c r="N121" s="1328"/>
      <c r="O121" s="1328"/>
      <c r="P121" s="1328"/>
      <c r="Q121" s="1328"/>
      <c r="R121" s="1328"/>
      <c r="S121" s="1328"/>
      <c r="T121" s="1328"/>
      <c r="U121" s="1328"/>
      <c r="V121" s="1328"/>
      <c r="W121" s="1328"/>
      <c r="X121" s="1328"/>
      <c r="Y121" s="1328"/>
      <c r="Z121" s="1328"/>
      <c r="AA121" s="1328"/>
      <c r="AB121" s="1328"/>
      <c r="AC121" s="1328"/>
      <c r="AD121" s="1328"/>
      <c r="AE121" s="1328"/>
      <c r="AF121" s="1328"/>
      <c r="AG121" s="2330"/>
      <c r="AH121" s="2330"/>
    </row>
    <row r="122" spans="1:34">
      <c r="A122" s="1328"/>
      <c r="B122" s="1328"/>
      <c r="C122" s="1328"/>
      <c r="D122" s="1328"/>
      <c r="E122" s="1328"/>
      <c r="F122" s="1328"/>
      <c r="G122" s="1328"/>
      <c r="H122" s="1328"/>
      <c r="I122" s="1328"/>
      <c r="J122" s="1328"/>
      <c r="K122" s="1328"/>
      <c r="L122" s="1328"/>
      <c r="M122" s="1328"/>
      <c r="N122" s="1328"/>
      <c r="O122" s="1328"/>
      <c r="P122" s="1328"/>
      <c r="Q122" s="1328"/>
      <c r="R122" s="1328"/>
      <c r="S122" s="1328"/>
      <c r="T122" s="1328"/>
      <c r="U122" s="1328"/>
      <c r="V122" s="1328"/>
      <c r="W122" s="1328"/>
      <c r="X122" s="1328"/>
      <c r="Y122" s="1328"/>
      <c r="Z122" s="1328"/>
      <c r="AA122" s="1328"/>
      <c r="AB122" s="1328"/>
      <c r="AC122" s="1328"/>
      <c r="AD122" s="1328"/>
      <c r="AE122" s="1328"/>
      <c r="AF122" s="1328"/>
      <c r="AG122" s="2330"/>
      <c r="AH122" s="2330"/>
    </row>
    <row r="123" spans="1:34">
      <c r="A123" s="1328"/>
      <c r="B123" s="1328"/>
      <c r="C123" s="1328"/>
      <c r="D123" s="1328"/>
      <c r="E123" s="1328"/>
      <c r="F123" s="1328"/>
      <c r="G123" s="1328"/>
      <c r="H123" s="1328"/>
      <c r="I123" s="1328"/>
      <c r="J123" s="1328"/>
      <c r="K123" s="1328"/>
      <c r="L123" s="1328"/>
      <c r="M123" s="1328"/>
      <c r="N123" s="1328"/>
      <c r="O123" s="1328"/>
      <c r="P123" s="1328"/>
      <c r="Q123" s="1328"/>
      <c r="R123" s="1328"/>
      <c r="S123" s="1328"/>
      <c r="T123" s="1328"/>
      <c r="U123" s="1328"/>
      <c r="V123" s="1328"/>
      <c r="W123" s="1328"/>
      <c r="X123" s="1328"/>
      <c r="Y123" s="1328"/>
      <c r="Z123" s="1328"/>
      <c r="AA123" s="1328"/>
      <c r="AB123" s="1328"/>
      <c r="AC123" s="1328"/>
      <c r="AD123" s="1328"/>
      <c r="AE123" s="1328"/>
      <c r="AF123" s="1328"/>
      <c r="AG123" s="2330"/>
      <c r="AH123" s="2330"/>
    </row>
    <row r="124" spans="1:34">
      <c r="A124" s="1328"/>
      <c r="B124" s="1328"/>
      <c r="C124" s="1328"/>
      <c r="D124" s="1328"/>
      <c r="E124" s="1328"/>
      <c r="F124" s="1328"/>
      <c r="G124" s="1328"/>
      <c r="H124" s="1328"/>
      <c r="I124" s="1328"/>
      <c r="J124" s="1328"/>
      <c r="K124" s="1328"/>
      <c r="L124" s="1328"/>
      <c r="M124" s="1328"/>
      <c r="N124" s="1328"/>
      <c r="O124" s="1328"/>
      <c r="P124" s="1328"/>
      <c r="Q124" s="1328"/>
      <c r="R124" s="1328"/>
      <c r="S124" s="1328"/>
      <c r="T124" s="1328"/>
      <c r="U124" s="1328"/>
      <c r="V124" s="1328"/>
      <c r="W124" s="1328"/>
      <c r="X124" s="1328"/>
      <c r="Y124" s="1328"/>
      <c r="Z124" s="1328"/>
      <c r="AA124" s="1328"/>
      <c r="AB124" s="1328"/>
      <c r="AC124" s="1328"/>
      <c r="AD124" s="1328"/>
      <c r="AE124" s="1328"/>
      <c r="AF124" s="1328"/>
      <c r="AG124" s="2330"/>
      <c r="AH124" s="2330"/>
    </row>
    <row r="125" spans="1:34">
      <c r="A125" s="1328"/>
      <c r="B125" s="1328"/>
      <c r="C125" s="1328"/>
      <c r="D125" s="1328"/>
      <c r="E125" s="1328"/>
      <c r="F125" s="1328"/>
      <c r="G125" s="1328"/>
      <c r="H125" s="1328"/>
      <c r="I125" s="1328"/>
      <c r="J125" s="1328"/>
      <c r="K125" s="1328"/>
      <c r="L125" s="1328"/>
      <c r="M125" s="1328"/>
      <c r="N125" s="1328"/>
      <c r="O125" s="1328"/>
      <c r="P125" s="1328"/>
      <c r="Q125" s="1328"/>
      <c r="R125" s="1328"/>
      <c r="S125" s="1328"/>
      <c r="T125" s="1328"/>
      <c r="U125" s="1328"/>
      <c r="V125" s="1328"/>
      <c r="W125" s="1328"/>
      <c r="X125" s="1328"/>
      <c r="Y125" s="1328"/>
      <c r="Z125" s="1328"/>
      <c r="AA125" s="1328"/>
      <c r="AB125" s="1328"/>
      <c r="AC125" s="1328"/>
      <c r="AD125" s="1328"/>
      <c r="AE125" s="1328"/>
      <c r="AF125" s="1328"/>
      <c r="AG125" s="2330"/>
      <c r="AH125" s="2330"/>
    </row>
    <row r="126" spans="1:34">
      <c r="A126" s="1328"/>
      <c r="B126" s="1328"/>
      <c r="C126" s="1328"/>
      <c r="D126" s="1328"/>
      <c r="E126" s="1328"/>
      <c r="F126" s="1328"/>
      <c r="G126" s="1328"/>
      <c r="H126" s="1328"/>
      <c r="I126" s="1328"/>
      <c r="J126" s="1328"/>
      <c r="K126" s="1328"/>
      <c r="L126" s="1328"/>
      <c r="M126" s="1328"/>
      <c r="N126" s="1328"/>
      <c r="O126" s="1328"/>
      <c r="P126" s="1328"/>
      <c r="Q126" s="1328"/>
      <c r="R126" s="1328"/>
      <c r="S126" s="1328"/>
      <c r="T126" s="1328"/>
      <c r="U126" s="1328"/>
      <c r="V126" s="1328"/>
      <c r="W126" s="1328"/>
      <c r="X126" s="1328"/>
      <c r="Y126" s="1328"/>
      <c r="Z126" s="1328"/>
      <c r="AA126" s="1328"/>
      <c r="AB126" s="1328"/>
      <c r="AC126" s="1328"/>
      <c r="AD126" s="1328"/>
      <c r="AE126" s="1328"/>
      <c r="AF126" s="1328"/>
      <c r="AG126" s="2330"/>
      <c r="AH126" s="2330"/>
    </row>
    <row r="127" spans="1:34">
      <c r="A127" s="1328"/>
      <c r="B127" s="1328"/>
      <c r="C127" s="1328"/>
      <c r="D127" s="1328"/>
      <c r="E127" s="1328"/>
      <c r="F127" s="1328"/>
      <c r="G127" s="1328"/>
      <c r="H127" s="1328"/>
      <c r="I127" s="1328"/>
      <c r="J127" s="1328"/>
      <c r="K127" s="1328"/>
      <c r="L127" s="1328"/>
      <c r="M127" s="1328"/>
      <c r="N127" s="1328"/>
      <c r="O127" s="1328"/>
      <c r="P127" s="1328"/>
      <c r="Q127" s="1328"/>
      <c r="R127" s="1328"/>
      <c r="S127" s="1328"/>
      <c r="T127" s="1328"/>
      <c r="U127" s="1328"/>
      <c r="V127" s="1328"/>
      <c r="W127" s="1328"/>
      <c r="X127" s="1328"/>
      <c r="Y127" s="1328"/>
      <c r="Z127" s="1328"/>
      <c r="AA127" s="1328"/>
      <c r="AB127" s="1328"/>
      <c r="AC127" s="1328"/>
      <c r="AD127" s="1328"/>
      <c r="AE127" s="1328"/>
      <c r="AF127" s="1328"/>
      <c r="AG127" s="2330"/>
      <c r="AH127" s="2330"/>
    </row>
    <row r="128" spans="1:34">
      <c r="A128" s="1328"/>
      <c r="B128" s="1328"/>
      <c r="C128" s="1328"/>
      <c r="D128" s="1328"/>
      <c r="E128" s="1328"/>
      <c r="F128" s="1328"/>
      <c r="G128" s="1328"/>
      <c r="H128" s="1328"/>
      <c r="I128" s="1328"/>
      <c r="J128" s="1328"/>
      <c r="K128" s="1328"/>
      <c r="L128" s="1328"/>
      <c r="M128" s="1328"/>
      <c r="N128" s="1328"/>
      <c r="O128" s="1328"/>
      <c r="P128" s="1328"/>
      <c r="Q128" s="1328"/>
      <c r="R128" s="1328"/>
      <c r="S128" s="1328"/>
      <c r="T128" s="1328"/>
      <c r="U128" s="1328"/>
      <c r="V128" s="1328"/>
      <c r="W128" s="1328"/>
      <c r="X128" s="1328"/>
      <c r="Y128" s="1328"/>
      <c r="Z128" s="1328"/>
      <c r="AA128" s="1328"/>
      <c r="AB128" s="1328"/>
      <c r="AC128" s="1328"/>
      <c r="AD128" s="1328"/>
      <c r="AE128" s="1328"/>
      <c r="AF128" s="1328"/>
      <c r="AG128" s="2330"/>
      <c r="AH128" s="2330"/>
    </row>
    <row r="129" spans="1:34">
      <c r="A129" s="1328"/>
      <c r="B129" s="1328"/>
      <c r="C129" s="1328"/>
      <c r="D129" s="1328"/>
      <c r="E129" s="1328"/>
      <c r="F129" s="1328"/>
      <c r="G129" s="1328"/>
      <c r="H129" s="1328"/>
      <c r="I129" s="1328"/>
      <c r="J129" s="1328"/>
      <c r="K129" s="1328"/>
      <c r="L129" s="1328"/>
      <c r="M129" s="1328"/>
      <c r="N129" s="1328"/>
      <c r="O129" s="1328"/>
      <c r="P129" s="1328"/>
      <c r="Q129" s="1328"/>
      <c r="R129" s="1328"/>
      <c r="S129" s="1328"/>
      <c r="T129" s="1328"/>
      <c r="U129" s="1328"/>
      <c r="V129" s="1328"/>
      <c r="W129" s="1328"/>
      <c r="X129" s="1328"/>
      <c r="Y129" s="1328"/>
      <c r="Z129" s="1328"/>
      <c r="AA129" s="1328"/>
      <c r="AB129" s="1328"/>
      <c r="AC129" s="1328"/>
      <c r="AD129" s="1328"/>
      <c r="AE129" s="1328"/>
      <c r="AF129" s="1328"/>
      <c r="AG129" s="2330"/>
      <c r="AH129" s="2330"/>
    </row>
    <row r="130" spans="1:34">
      <c r="A130" s="1328"/>
      <c r="B130" s="1328"/>
      <c r="C130" s="1328"/>
      <c r="D130" s="1328"/>
      <c r="E130" s="1328"/>
      <c r="F130" s="1328"/>
      <c r="G130" s="1328"/>
      <c r="H130" s="1328"/>
      <c r="I130" s="1328"/>
      <c r="J130" s="1328"/>
      <c r="K130" s="1328"/>
      <c r="L130" s="1328"/>
      <c r="M130" s="1328"/>
      <c r="N130" s="1328"/>
      <c r="O130" s="1328"/>
      <c r="P130" s="1328"/>
      <c r="Q130" s="1328"/>
      <c r="R130" s="1328"/>
      <c r="S130" s="1328"/>
      <c r="T130" s="1328"/>
      <c r="U130" s="1328"/>
      <c r="V130" s="1328"/>
      <c r="W130" s="1328"/>
      <c r="X130" s="1328"/>
      <c r="Y130" s="1328"/>
      <c r="Z130" s="1328"/>
      <c r="AA130" s="1328"/>
      <c r="AB130" s="1328"/>
      <c r="AC130" s="1328"/>
      <c r="AD130" s="1328"/>
      <c r="AE130" s="1328"/>
      <c r="AF130" s="1328"/>
      <c r="AG130" s="2330"/>
      <c r="AH130" s="2330"/>
    </row>
    <row r="131" spans="1:34">
      <c r="A131" s="1328"/>
      <c r="B131" s="1328"/>
      <c r="C131" s="1328"/>
      <c r="D131" s="1328"/>
      <c r="E131" s="1328"/>
      <c r="F131" s="1328"/>
      <c r="G131" s="1328"/>
      <c r="H131" s="1328"/>
      <c r="I131" s="1328"/>
      <c r="J131" s="1328"/>
      <c r="K131" s="1328"/>
      <c r="L131" s="1328"/>
      <c r="M131" s="1328"/>
      <c r="N131" s="1328"/>
      <c r="O131" s="1328"/>
      <c r="P131" s="1328"/>
      <c r="Q131" s="1328"/>
      <c r="R131" s="1328"/>
      <c r="S131" s="1328"/>
      <c r="T131" s="1328"/>
      <c r="U131" s="1328"/>
      <c r="V131" s="1328"/>
      <c r="W131" s="1328"/>
      <c r="X131" s="1328"/>
      <c r="Y131" s="1328"/>
      <c r="Z131" s="1328"/>
      <c r="AA131" s="1328"/>
      <c r="AB131" s="1328"/>
      <c r="AC131" s="1328"/>
      <c r="AD131" s="1328"/>
      <c r="AE131" s="1328"/>
      <c r="AF131" s="1328"/>
      <c r="AG131" s="2330"/>
      <c r="AH131" s="2330"/>
    </row>
    <row r="132" spans="1:34">
      <c r="A132" s="1328"/>
      <c r="B132" s="1328"/>
      <c r="C132" s="1328"/>
      <c r="D132" s="1328"/>
      <c r="E132" s="1328"/>
      <c r="F132" s="1328"/>
      <c r="G132" s="1328"/>
      <c r="H132" s="1328"/>
      <c r="I132" s="1328"/>
      <c r="J132" s="1328"/>
      <c r="K132" s="1328"/>
      <c r="L132" s="1328"/>
      <c r="M132" s="1328"/>
      <c r="N132" s="1328"/>
      <c r="O132" s="1328"/>
      <c r="P132" s="1328"/>
      <c r="Q132" s="1328"/>
      <c r="R132" s="1328"/>
      <c r="S132" s="1328"/>
      <c r="T132" s="1328"/>
      <c r="U132" s="1328"/>
      <c r="V132" s="1328"/>
      <c r="W132" s="1328"/>
      <c r="X132" s="1328"/>
      <c r="Y132" s="1328"/>
      <c r="Z132" s="1328"/>
      <c r="AA132" s="1328"/>
      <c r="AB132" s="1328"/>
      <c r="AC132" s="1328"/>
      <c r="AD132" s="1328"/>
      <c r="AE132" s="1328"/>
      <c r="AF132" s="1328"/>
      <c r="AG132" s="2330"/>
      <c r="AH132" s="2330"/>
    </row>
    <row r="133" spans="1:34">
      <c r="A133" s="1328"/>
      <c r="B133" s="1328"/>
      <c r="C133" s="1328"/>
      <c r="D133" s="1328"/>
      <c r="E133" s="1328"/>
      <c r="F133" s="1328"/>
      <c r="G133" s="1328"/>
      <c r="H133" s="1328"/>
      <c r="I133" s="1328"/>
      <c r="J133" s="1328"/>
      <c r="K133" s="1328"/>
      <c r="L133" s="1328"/>
      <c r="M133" s="1328"/>
      <c r="N133" s="1328"/>
      <c r="O133" s="1328"/>
      <c r="P133" s="1328"/>
      <c r="Q133" s="1328"/>
      <c r="R133" s="1328"/>
      <c r="S133" s="1328"/>
      <c r="T133" s="1328"/>
      <c r="U133" s="1328"/>
      <c r="V133" s="1328"/>
      <c r="W133" s="1328"/>
      <c r="X133" s="1328"/>
      <c r="Y133" s="1328"/>
      <c r="Z133" s="1328"/>
      <c r="AA133" s="1328"/>
      <c r="AB133" s="1328"/>
      <c r="AC133" s="1328"/>
      <c r="AD133" s="1328"/>
      <c r="AE133" s="1328"/>
      <c r="AF133" s="1328"/>
      <c r="AG133" s="2330"/>
      <c r="AH133" s="2330"/>
    </row>
    <row r="134" spans="1:34">
      <c r="A134" s="1328"/>
      <c r="B134" s="1328"/>
      <c r="C134" s="1328"/>
      <c r="D134" s="1328"/>
      <c r="E134" s="1328"/>
      <c r="F134" s="1328"/>
      <c r="G134" s="1328"/>
      <c r="H134" s="1328"/>
      <c r="I134" s="1328"/>
      <c r="J134" s="1328"/>
      <c r="K134" s="1328"/>
      <c r="L134" s="1328"/>
      <c r="M134" s="1328"/>
      <c r="N134" s="1328"/>
      <c r="O134" s="1328"/>
      <c r="P134" s="1328"/>
      <c r="Q134" s="1328"/>
      <c r="R134" s="1328"/>
      <c r="S134" s="1328"/>
      <c r="T134" s="1328"/>
      <c r="U134" s="1328"/>
      <c r="V134" s="1328"/>
      <c r="W134" s="1328"/>
      <c r="X134" s="1328"/>
      <c r="Y134" s="1328"/>
      <c r="Z134" s="1328"/>
      <c r="AA134" s="1328"/>
      <c r="AB134" s="1328"/>
      <c r="AC134" s="1328"/>
      <c r="AD134" s="1328"/>
      <c r="AE134" s="1328"/>
      <c r="AF134" s="1328"/>
      <c r="AG134" s="2330"/>
      <c r="AH134" s="2330"/>
    </row>
    <row r="135" spans="1:34">
      <c r="A135" s="1328"/>
      <c r="B135" s="1328"/>
      <c r="C135" s="1328"/>
      <c r="D135" s="1328"/>
      <c r="E135" s="1328"/>
      <c r="F135" s="1328"/>
      <c r="G135" s="1328"/>
      <c r="H135" s="1328"/>
      <c r="I135" s="1328"/>
      <c r="J135" s="1328"/>
      <c r="K135" s="1328"/>
      <c r="L135" s="1328"/>
      <c r="M135" s="1328"/>
      <c r="N135" s="1328"/>
      <c r="O135" s="1328"/>
      <c r="P135" s="1328"/>
      <c r="Q135" s="1328"/>
      <c r="R135" s="1328"/>
      <c r="S135" s="1328"/>
      <c r="T135" s="1328"/>
      <c r="U135" s="1328"/>
      <c r="V135" s="1328"/>
      <c r="W135" s="1328"/>
      <c r="X135" s="1328"/>
      <c r="Y135" s="1328"/>
      <c r="Z135" s="1328"/>
      <c r="AA135" s="1328"/>
      <c r="AB135" s="1328"/>
      <c r="AC135" s="1328"/>
      <c r="AD135" s="1328"/>
      <c r="AE135" s="1328"/>
      <c r="AF135" s="1328"/>
      <c r="AG135" s="2330"/>
      <c r="AH135" s="2330"/>
    </row>
    <row r="136" spans="1:34">
      <c r="A136" s="1328"/>
      <c r="B136" s="1328"/>
      <c r="C136" s="1328"/>
      <c r="D136" s="1328"/>
      <c r="E136" s="1328"/>
      <c r="F136" s="1328"/>
      <c r="G136" s="1328"/>
      <c r="H136" s="1328"/>
      <c r="I136" s="1328"/>
      <c r="J136" s="1328"/>
      <c r="K136" s="1328"/>
      <c r="L136" s="1328"/>
      <c r="M136" s="1328"/>
      <c r="N136" s="1328"/>
      <c r="O136" s="1328"/>
      <c r="P136" s="1328"/>
      <c r="Q136" s="1328"/>
      <c r="R136" s="1328"/>
      <c r="S136" s="1328"/>
      <c r="T136" s="1328"/>
      <c r="U136" s="1328"/>
      <c r="V136" s="1328"/>
      <c r="W136" s="1328"/>
      <c r="X136" s="1328"/>
      <c r="Y136" s="1328"/>
      <c r="Z136" s="1328"/>
      <c r="AA136" s="1328"/>
      <c r="AB136" s="1328"/>
      <c r="AC136" s="1328"/>
      <c r="AD136" s="1328"/>
      <c r="AE136" s="1328"/>
      <c r="AF136" s="1328"/>
      <c r="AG136" s="2330"/>
      <c r="AH136" s="2330"/>
    </row>
    <row r="137" spans="1:34">
      <c r="A137" s="1328"/>
      <c r="B137" s="1328"/>
      <c r="C137" s="1328"/>
      <c r="D137" s="1328"/>
      <c r="E137" s="1328"/>
      <c r="F137" s="1328"/>
      <c r="G137" s="1328"/>
      <c r="H137" s="1328"/>
      <c r="I137" s="1328"/>
      <c r="J137" s="1328"/>
      <c r="K137" s="1328"/>
      <c r="L137" s="1328"/>
      <c r="M137" s="1328"/>
      <c r="N137" s="1328"/>
      <c r="O137" s="1328"/>
      <c r="P137" s="1328"/>
      <c r="Q137" s="1328"/>
      <c r="R137" s="1328"/>
      <c r="S137" s="1328"/>
      <c r="T137" s="1328"/>
      <c r="U137" s="1328"/>
      <c r="V137" s="1328"/>
      <c r="W137" s="1328"/>
      <c r="X137" s="1328"/>
      <c r="Y137" s="1328"/>
      <c r="Z137" s="1328"/>
      <c r="AA137" s="1328"/>
      <c r="AB137" s="1328"/>
      <c r="AC137" s="1328"/>
      <c r="AD137" s="1328"/>
      <c r="AE137" s="1328"/>
      <c r="AF137" s="1328"/>
      <c r="AG137" s="2330"/>
      <c r="AH137" s="2330"/>
    </row>
    <row r="138" spans="1:34">
      <c r="A138" s="1328"/>
      <c r="B138" s="1328"/>
      <c r="C138" s="1328"/>
      <c r="D138" s="1328"/>
      <c r="E138" s="1328"/>
      <c r="F138" s="1328"/>
      <c r="G138" s="1328"/>
      <c r="H138" s="1328"/>
      <c r="I138" s="1328"/>
      <c r="J138" s="1328"/>
      <c r="K138" s="1328"/>
      <c r="L138" s="1328"/>
      <c r="M138" s="1328"/>
      <c r="N138" s="1328"/>
      <c r="O138" s="1328"/>
      <c r="P138" s="1328"/>
      <c r="Q138" s="1328"/>
      <c r="R138" s="1328"/>
      <c r="S138" s="1328"/>
      <c r="T138" s="1328"/>
      <c r="U138" s="1328"/>
      <c r="V138" s="1328"/>
      <c r="W138" s="1328"/>
      <c r="X138" s="1328"/>
      <c r="Y138" s="1328"/>
      <c r="Z138" s="1328"/>
      <c r="AA138" s="1328"/>
      <c r="AB138" s="1328"/>
      <c r="AC138" s="1328"/>
      <c r="AD138" s="1328"/>
      <c r="AE138" s="1328"/>
      <c r="AF138" s="1328"/>
      <c r="AG138" s="2330"/>
      <c r="AH138" s="2330"/>
    </row>
    <row r="139" spans="1:34">
      <c r="A139" s="1328"/>
      <c r="B139" s="1328"/>
      <c r="C139" s="1328"/>
      <c r="D139" s="1328"/>
      <c r="E139" s="1328"/>
      <c r="F139" s="1328"/>
      <c r="G139" s="1328"/>
      <c r="H139" s="1328"/>
      <c r="I139" s="1328"/>
      <c r="J139" s="1328"/>
      <c r="K139" s="1328"/>
      <c r="L139" s="1328"/>
      <c r="M139" s="1328"/>
      <c r="N139" s="1328"/>
      <c r="O139" s="1328"/>
      <c r="P139" s="1328"/>
      <c r="Q139" s="1328"/>
      <c r="R139" s="1328"/>
      <c r="S139" s="1328"/>
      <c r="T139" s="1328"/>
      <c r="U139" s="1328"/>
      <c r="V139" s="1328"/>
      <c r="W139" s="1328"/>
      <c r="X139" s="1328"/>
      <c r="Y139" s="1328"/>
      <c r="Z139" s="1328"/>
      <c r="AA139" s="1328"/>
      <c r="AB139" s="1328"/>
      <c r="AC139" s="1328"/>
      <c r="AD139" s="1328"/>
      <c r="AE139" s="1328"/>
      <c r="AF139" s="1328"/>
      <c r="AG139" s="2330"/>
      <c r="AH139" s="2330"/>
    </row>
    <row r="140" spans="1:34">
      <c r="A140" s="1328"/>
      <c r="B140" s="1328"/>
      <c r="C140" s="1328"/>
      <c r="D140" s="1328"/>
      <c r="E140" s="1328"/>
      <c r="F140" s="1328"/>
      <c r="G140" s="1328"/>
      <c r="H140" s="1328"/>
      <c r="I140" s="1328"/>
      <c r="J140" s="1328"/>
      <c r="K140" s="1328"/>
      <c r="L140" s="1328"/>
      <c r="M140" s="1328"/>
      <c r="N140" s="1328"/>
      <c r="O140" s="1328"/>
      <c r="P140" s="1328"/>
      <c r="Q140" s="1328"/>
      <c r="R140" s="1328"/>
      <c r="S140" s="1328"/>
      <c r="T140" s="1328"/>
      <c r="U140" s="1328"/>
      <c r="V140" s="1328"/>
      <c r="W140" s="1328"/>
      <c r="X140" s="1328"/>
      <c r="Y140" s="1328"/>
      <c r="Z140" s="1328"/>
      <c r="AA140" s="1328"/>
      <c r="AB140" s="1328"/>
      <c r="AC140" s="1328"/>
      <c r="AD140" s="1328"/>
      <c r="AE140" s="1328"/>
      <c r="AF140" s="1328"/>
      <c r="AG140" s="2330"/>
      <c r="AH140" s="2330"/>
    </row>
    <row r="141" spans="1:34">
      <c r="A141" s="1328"/>
      <c r="B141" s="1328"/>
      <c r="C141" s="1328"/>
      <c r="D141" s="1328"/>
      <c r="E141" s="1328"/>
      <c r="F141" s="1328"/>
      <c r="G141" s="1328"/>
      <c r="H141" s="1328"/>
      <c r="I141" s="1328"/>
      <c r="J141" s="1328"/>
      <c r="K141" s="1328"/>
      <c r="L141" s="1328"/>
      <c r="M141" s="1328"/>
      <c r="N141" s="1328"/>
      <c r="O141" s="1328"/>
      <c r="P141" s="1328"/>
      <c r="Q141" s="1328"/>
      <c r="R141" s="1328"/>
      <c r="S141" s="1328"/>
      <c r="T141" s="1328"/>
      <c r="U141" s="1328"/>
      <c r="V141" s="1328"/>
      <c r="W141" s="1328"/>
      <c r="X141" s="1328"/>
      <c r="Y141" s="1328"/>
      <c r="Z141" s="1328"/>
      <c r="AA141" s="1328"/>
      <c r="AB141" s="1328"/>
      <c r="AC141" s="1328"/>
      <c r="AD141" s="1328"/>
      <c r="AE141" s="1328"/>
      <c r="AF141" s="1328"/>
      <c r="AG141" s="2330"/>
      <c r="AH141" s="2330"/>
    </row>
    <row r="142" spans="1:34">
      <c r="A142" s="1328"/>
      <c r="B142" s="1328"/>
      <c r="C142" s="1328"/>
      <c r="D142" s="1328"/>
      <c r="E142" s="1328"/>
      <c r="F142" s="1328"/>
      <c r="G142" s="1328"/>
      <c r="H142" s="1328"/>
      <c r="I142" s="1328"/>
      <c r="J142" s="1328"/>
      <c r="K142" s="1328"/>
      <c r="L142" s="1328"/>
      <c r="M142" s="1328"/>
      <c r="N142" s="1328"/>
      <c r="O142" s="1328"/>
      <c r="P142" s="1328"/>
      <c r="Q142" s="1328"/>
      <c r="R142" s="1328"/>
      <c r="S142" s="1328"/>
      <c r="T142" s="1328"/>
      <c r="U142" s="1328"/>
      <c r="V142" s="1328"/>
      <c r="W142" s="1328"/>
      <c r="X142" s="1328"/>
      <c r="Y142" s="1328"/>
      <c r="Z142" s="1328"/>
      <c r="AA142" s="1328"/>
      <c r="AB142" s="1328"/>
      <c r="AC142" s="1328"/>
      <c r="AD142" s="1328"/>
      <c r="AE142" s="1328"/>
      <c r="AF142" s="1328"/>
      <c r="AG142" s="2330"/>
      <c r="AH142" s="2330"/>
    </row>
    <row r="143" spans="1:34">
      <c r="A143" s="1328"/>
      <c r="B143" s="1328"/>
      <c r="C143" s="1328"/>
      <c r="D143" s="1328"/>
      <c r="E143" s="1328"/>
      <c r="F143" s="1328"/>
      <c r="G143" s="1328"/>
      <c r="H143" s="1328"/>
      <c r="I143" s="1328"/>
      <c r="J143" s="1328"/>
      <c r="K143" s="1328"/>
      <c r="L143" s="1328"/>
      <c r="M143" s="1328"/>
      <c r="N143" s="1328"/>
      <c r="O143" s="1328"/>
      <c r="P143" s="1328"/>
      <c r="Q143" s="1328"/>
      <c r="R143" s="1328"/>
      <c r="S143" s="1328"/>
      <c r="T143" s="1328"/>
      <c r="U143" s="1328"/>
      <c r="V143" s="1328"/>
      <c r="W143" s="1328"/>
      <c r="X143" s="1328"/>
      <c r="Y143" s="1328"/>
      <c r="Z143" s="1328"/>
      <c r="AA143" s="1328"/>
      <c r="AB143" s="1328"/>
      <c r="AC143" s="1328"/>
      <c r="AD143" s="1328"/>
      <c r="AE143" s="1328"/>
      <c r="AF143" s="1328"/>
      <c r="AG143" s="2330"/>
      <c r="AH143" s="2330"/>
    </row>
    <row r="144" spans="1:34">
      <c r="A144" s="1328"/>
      <c r="B144" s="1328"/>
      <c r="C144" s="1328"/>
      <c r="D144" s="1328"/>
      <c r="E144" s="1328"/>
      <c r="F144" s="1328"/>
      <c r="G144" s="1328"/>
      <c r="H144" s="1328"/>
      <c r="I144" s="1328"/>
      <c r="J144" s="1328"/>
      <c r="K144" s="1328"/>
      <c r="L144" s="1328"/>
      <c r="M144" s="1328"/>
      <c r="N144" s="1328"/>
      <c r="O144" s="1328"/>
      <c r="P144" s="1328"/>
      <c r="Q144" s="1328"/>
      <c r="R144" s="1328"/>
      <c r="S144" s="1328"/>
      <c r="T144" s="1328"/>
      <c r="U144" s="1328"/>
      <c r="V144" s="1328"/>
      <c r="W144" s="1328"/>
      <c r="X144" s="1328"/>
      <c r="Y144" s="1328"/>
      <c r="Z144" s="1328"/>
      <c r="AA144" s="1328"/>
      <c r="AB144" s="1328"/>
      <c r="AC144" s="1328"/>
      <c r="AD144" s="1328"/>
      <c r="AE144" s="1328"/>
      <c r="AF144" s="1328"/>
      <c r="AG144" s="2330"/>
      <c r="AH144" s="2330"/>
    </row>
    <row r="145" spans="1:34">
      <c r="A145" s="1328"/>
      <c r="B145" s="1328"/>
      <c r="C145" s="1328"/>
      <c r="D145" s="1328"/>
      <c r="E145" s="1328"/>
      <c r="F145" s="1328"/>
      <c r="G145" s="1328"/>
      <c r="H145" s="1328"/>
      <c r="I145" s="1328"/>
      <c r="J145" s="1328"/>
      <c r="K145" s="1328"/>
      <c r="L145" s="1328"/>
      <c r="M145" s="1328"/>
      <c r="N145" s="1328"/>
      <c r="O145" s="1328"/>
      <c r="P145" s="1328"/>
      <c r="Q145" s="1328"/>
      <c r="R145" s="1328"/>
      <c r="S145" s="1328"/>
      <c r="T145" s="1328"/>
      <c r="U145" s="1328"/>
      <c r="V145" s="1328"/>
      <c r="W145" s="1328"/>
      <c r="X145" s="1328"/>
      <c r="Y145" s="1328"/>
      <c r="Z145" s="1328"/>
      <c r="AA145" s="1328"/>
      <c r="AB145" s="1328"/>
      <c r="AC145" s="1328"/>
      <c r="AD145" s="1328"/>
      <c r="AE145" s="1328"/>
      <c r="AF145" s="1328"/>
      <c r="AG145" s="2330"/>
      <c r="AH145" s="2330"/>
    </row>
    <row r="146" spans="1:34">
      <c r="A146" s="1328"/>
      <c r="B146" s="1328"/>
      <c r="C146" s="1328"/>
      <c r="D146" s="1328"/>
      <c r="E146" s="1328"/>
      <c r="F146" s="1328"/>
      <c r="G146" s="1328"/>
      <c r="H146" s="1328"/>
      <c r="I146" s="1328"/>
      <c r="J146" s="1328"/>
      <c r="K146" s="1328"/>
      <c r="L146" s="1328"/>
      <c r="M146" s="1328"/>
      <c r="N146" s="1328"/>
      <c r="O146" s="1328"/>
      <c r="P146" s="1328"/>
      <c r="Q146" s="1328"/>
      <c r="R146" s="1328"/>
      <c r="S146" s="1328"/>
      <c r="T146" s="1328"/>
      <c r="U146" s="1328"/>
      <c r="V146" s="1328"/>
      <c r="W146" s="1328"/>
      <c r="X146" s="1328"/>
      <c r="Y146" s="1328"/>
      <c r="Z146" s="1328"/>
      <c r="AA146" s="1328"/>
      <c r="AB146" s="1328"/>
      <c r="AC146" s="1328"/>
      <c r="AD146" s="1328"/>
      <c r="AE146" s="1328"/>
      <c r="AF146" s="1328"/>
      <c r="AG146" s="2330"/>
      <c r="AH146" s="2330"/>
    </row>
    <row r="147" spans="1:34">
      <c r="A147" s="1328"/>
      <c r="B147" s="1328"/>
      <c r="C147" s="1328"/>
      <c r="D147" s="1328"/>
      <c r="E147" s="1328"/>
      <c r="F147" s="1328"/>
      <c r="G147" s="1328"/>
      <c r="H147" s="1328"/>
      <c r="I147" s="1328"/>
      <c r="J147" s="1328"/>
      <c r="K147" s="1328"/>
      <c r="L147" s="1328"/>
      <c r="M147" s="1328"/>
      <c r="N147" s="1328"/>
      <c r="O147" s="1328"/>
      <c r="P147" s="1328"/>
      <c r="Q147" s="1328"/>
      <c r="R147" s="1328"/>
      <c r="S147" s="1328"/>
      <c r="T147" s="1328"/>
      <c r="U147" s="1328"/>
      <c r="V147" s="1328"/>
      <c r="W147" s="1328"/>
      <c r="X147" s="1328"/>
      <c r="Y147" s="1328"/>
      <c r="Z147" s="1328"/>
      <c r="AA147" s="1328"/>
      <c r="AB147" s="1328"/>
      <c r="AC147" s="1328"/>
      <c r="AD147" s="1328"/>
      <c r="AE147" s="1328"/>
      <c r="AF147" s="1328"/>
      <c r="AG147" s="2330"/>
      <c r="AH147" s="2330"/>
    </row>
    <row r="148" spans="1:34">
      <c r="A148" s="1328"/>
      <c r="B148" s="1328"/>
      <c r="C148" s="1328"/>
      <c r="D148" s="1328"/>
      <c r="E148" s="1328"/>
      <c r="F148" s="1328"/>
      <c r="G148" s="1328"/>
      <c r="H148" s="1328"/>
      <c r="I148" s="1328"/>
      <c r="J148" s="1328"/>
      <c r="K148" s="1328"/>
      <c r="L148" s="1328"/>
      <c r="M148" s="1328"/>
      <c r="N148" s="1328"/>
      <c r="O148" s="1328"/>
      <c r="P148" s="1328"/>
      <c r="Q148" s="1328"/>
      <c r="R148" s="1328"/>
      <c r="S148" s="1328"/>
      <c r="T148" s="1328"/>
      <c r="U148" s="1328"/>
      <c r="V148" s="1328"/>
      <c r="W148" s="1328"/>
      <c r="X148" s="1328"/>
      <c r="Y148" s="1328"/>
      <c r="Z148" s="1328"/>
      <c r="AA148" s="1328"/>
      <c r="AB148" s="1328"/>
      <c r="AC148" s="1328"/>
      <c r="AD148" s="1328"/>
      <c r="AE148" s="1328"/>
      <c r="AF148" s="1328"/>
      <c r="AG148" s="2330"/>
      <c r="AH148" s="2330"/>
    </row>
    <row r="149" spans="1:34">
      <c r="A149" s="1328"/>
      <c r="B149" s="1328"/>
      <c r="C149" s="1328"/>
      <c r="D149" s="1328"/>
      <c r="E149" s="1328"/>
      <c r="F149" s="1328"/>
      <c r="G149" s="1328"/>
      <c r="H149" s="1328"/>
      <c r="I149" s="1328"/>
      <c r="J149" s="1328"/>
      <c r="K149" s="1328"/>
      <c r="L149" s="1328"/>
      <c r="M149" s="1328"/>
      <c r="N149" s="1328"/>
      <c r="O149" s="1328"/>
      <c r="P149" s="1328"/>
      <c r="Q149" s="1328"/>
      <c r="R149" s="1328"/>
      <c r="S149" s="1328"/>
      <c r="T149" s="1328"/>
      <c r="U149" s="1328"/>
      <c r="V149" s="1328"/>
      <c r="W149" s="1328"/>
      <c r="X149" s="1328"/>
      <c r="Y149" s="1328"/>
      <c r="Z149" s="1328"/>
      <c r="AA149" s="1328"/>
      <c r="AB149" s="1328"/>
      <c r="AC149" s="1328"/>
      <c r="AD149" s="1328"/>
      <c r="AE149" s="1328"/>
      <c r="AF149" s="1328"/>
      <c r="AG149" s="2330"/>
      <c r="AH149" s="2330"/>
    </row>
    <row r="150" spans="1:34">
      <c r="A150" s="1328"/>
      <c r="B150" s="1328"/>
      <c r="C150" s="1328"/>
      <c r="D150" s="1328"/>
      <c r="E150" s="1328"/>
      <c r="F150" s="1328"/>
      <c r="G150" s="1328"/>
      <c r="H150" s="1328"/>
      <c r="I150" s="1328"/>
      <c r="J150" s="1328"/>
      <c r="K150" s="1328"/>
      <c r="L150" s="1328"/>
      <c r="M150" s="1328"/>
      <c r="N150" s="1328"/>
      <c r="O150" s="1328"/>
      <c r="P150" s="1328"/>
      <c r="Q150" s="1328"/>
      <c r="R150" s="1328"/>
      <c r="S150" s="1328"/>
      <c r="T150" s="1328"/>
      <c r="U150" s="1328"/>
      <c r="V150" s="1328"/>
      <c r="W150" s="1328"/>
      <c r="X150" s="1328"/>
      <c r="Y150" s="1328"/>
      <c r="Z150" s="1328"/>
      <c r="AA150" s="1328"/>
      <c r="AB150" s="1328"/>
      <c r="AC150" s="1328"/>
      <c r="AD150" s="1328"/>
      <c r="AE150" s="1328"/>
      <c r="AF150" s="1328"/>
      <c r="AG150" s="2330"/>
      <c r="AH150" s="2330"/>
    </row>
    <row r="151" spans="1:34">
      <c r="A151" s="1328"/>
      <c r="B151" s="1328"/>
      <c r="C151" s="1328"/>
      <c r="D151" s="1328"/>
      <c r="E151" s="1328"/>
      <c r="F151" s="1328"/>
      <c r="G151" s="1328"/>
      <c r="H151" s="1328"/>
      <c r="I151" s="1328"/>
      <c r="J151" s="1328"/>
      <c r="K151" s="1328"/>
      <c r="L151" s="1328"/>
      <c r="M151" s="1328"/>
      <c r="N151" s="1328"/>
      <c r="O151" s="1328"/>
      <c r="P151" s="1328"/>
      <c r="Q151" s="1328"/>
      <c r="R151" s="1328"/>
      <c r="S151" s="1328"/>
      <c r="T151" s="1328"/>
      <c r="U151" s="1328"/>
      <c r="V151" s="1328"/>
      <c r="W151" s="1328"/>
      <c r="X151" s="1328"/>
      <c r="Y151" s="1328"/>
      <c r="Z151" s="1328"/>
      <c r="AA151" s="1328"/>
      <c r="AB151" s="1328"/>
      <c r="AC151" s="1328"/>
      <c r="AD151" s="1328"/>
      <c r="AE151" s="1328"/>
      <c r="AF151" s="1328"/>
      <c r="AG151" s="2330"/>
      <c r="AH151" s="2330"/>
    </row>
    <row r="152" spans="1:34">
      <c r="A152" s="1328"/>
      <c r="B152" s="1328"/>
      <c r="C152" s="1328"/>
      <c r="D152" s="1328"/>
      <c r="E152" s="1328"/>
      <c r="F152" s="1328"/>
      <c r="G152" s="1328"/>
      <c r="H152" s="1328"/>
      <c r="I152" s="1328"/>
      <c r="J152" s="1328"/>
      <c r="K152" s="1328"/>
      <c r="L152" s="1328"/>
      <c r="M152" s="1328"/>
      <c r="N152" s="1328"/>
      <c r="O152" s="1328"/>
      <c r="P152" s="1328"/>
      <c r="Q152" s="1328"/>
      <c r="R152" s="1328"/>
      <c r="S152" s="1328"/>
      <c r="T152" s="1328"/>
      <c r="U152" s="1328"/>
      <c r="V152" s="1328"/>
      <c r="W152" s="1328"/>
      <c r="X152" s="1328"/>
      <c r="Y152" s="1328"/>
      <c r="Z152" s="1328"/>
      <c r="AA152" s="1328"/>
      <c r="AB152" s="1328"/>
      <c r="AC152" s="1328"/>
      <c r="AD152" s="1328"/>
      <c r="AE152" s="1328"/>
      <c r="AF152" s="1328"/>
      <c r="AG152" s="2330"/>
      <c r="AH152" s="2330"/>
    </row>
    <row r="153" spans="1:34">
      <c r="A153" s="1328"/>
      <c r="B153" s="1328"/>
      <c r="C153" s="1328"/>
      <c r="D153" s="1328"/>
      <c r="E153" s="1328"/>
      <c r="F153" s="1328"/>
      <c r="G153" s="1328"/>
      <c r="H153" s="1328"/>
      <c r="I153" s="1328"/>
      <c r="J153" s="1328"/>
      <c r="K153" s="1328"/>
      <c r="L153" s="1328"/>
      <c r="M153" s="1328"/>
      <c r="N153" s="1328"/>
      <c r="O153" s="1328"/>
      <c r="P153" s="1328"/>
      <c r="Q153" s="1328"/>
      <c r="R153" s="1328"/>
      <c r="S153" s="1328"/>
      <c r="T153" s="1328"/>
      <c r="U153" s="1328"/>
      <c r="V153" s="1328"/>
      <c r="W153" s="1328"/>
      <c r="X153" s="1328"/>
      <c r="Y153" s="1328"/>
      <c r="Z153" s="1328"/>
      <c r="AA153" s="1328"/>
      <c r="AB153" s="1328"/>
      <c r="AC153" s="1328"/>
      <c r="AD153" s="1328"/>
      <c r="AE153" s="1328"/>
      <c r="AF153" s="1328"/>
      <c r="AG153" s="2330"/>
      <c r="AH153" s="2330"/>
    </row>
    <row r="154" spans="1:34">
      <c r="A154" s="1328"/>
      <c r="B154" s="1328"/>
      <c r="C154" s="1328"/>
      <c r="D154" s="1328"/>
      <c r="E154" s="1328"/>
      <c r="F154" s="1328"/>
      <c r="G154" s="1328"/>
      <c r="H154" s="1328"/>
      <c r="I154" s="1328"/>
      <c r="J154" s="1328"/>
      <c r="K154" s="1328"/>
      <c r="L154" s="1328"/>
      <c r="M154" s="1328"/>
      <c r="N154" s="1328"/>
      <c r="O154" s="1328"/>
      <c r="P154" s="1328"/>
      <c r="Q154" s="1328"/>
      <c r="R154" s="1328"/>
      <c r="S154" s="1328"/>
      <c r="T154" s="1328"/>
      <c r="U154" s="1328"/>
      <c r="V154" s="1328"/>
      <c r="W154" s="1328"/>
      <c r="X154" s="1328"/>
      <c r="Y154" s="1328"/>
      <c r="Z154" s="1328"/>
      <c r="AA154" s="1328"/>
      <c r="AB154" s="1328"/>
      <c r="AC154" s="1328"/>
      <c r="AD154" s="1328"/>
      <c r="AE154" s="1328"/>
      <c r="AF154" s="1328"/>
      <c r="AG154" s="2330"/>
      <c r="AH154" s="2330"/>
    </row>
    <row r="155" spans="1:34">
      <c r="A155" s="1328"/>
      <c r="B155" s="1328"/>
      <c r="C155" s="1328"/>
      <c r="D155" s="1328"/>
      <c r="E155" s="1328"/>
      <c r="F155" s="1328"/>
      <c r="G155" s="1328"/>
      <c r="H155" s="1328"/>
      <c r="I155" s="1328"/>
      <c r="J155" s="1328"/>
      <c r="K155" s="1328"/>
      <c r="L155" s="1328"/>
      <c r="M155" s="1328"/>
      <c r="N155" s="1328"/>
      <c r="O155" s="1328"/>
      <c r="P155" s="1328"/>
      <c r="Q155" s="1328"/>
      <c r="R155" s="1328"/>
      <c r="S155" s="1328"/>
      <c r="T155" s="1328"/>
      <c r="U155" s="1328"/>
      <c r="V155" s="1328"/>
      <c r="W155" s="1328"/>
      <c r="X155" s="1328"/>
      <c r="Y155" s="1328"/>
      <c r="Z155" s="1328"/>
      <c r="AA155" s="1328"/>
      <c r="AB155" s="1328"/>
      <c r="AC155" s="1328"/>
      <c r="AD155" s="1328"/>
      <c r="AE155" s="1328"/>
      <c r="AF155" s="1328"/>
      <c r="AG155" s="2330"/>
      <c r="AH155" s="2330"/>
    </row>
    <row r="156" spans="1:34">
      <c r="A156" s="1328"/>
      <c r="B156" s="1328"/>
      <c r="C156" s="1328"/>
      <c r="D156" s="1328"/>
      <c r="E156" s="1328"/>
      <c r="F156" s="1328"/>
      <c r="G156" s="1328"/>
      <c r="H156" s="1328"/>
      <c r="I156" s="1328"/>
      <c r="J156" s="1328"/>
      <c r="K156" s="1328"/>
      <c r="L156" s="1328"/>
      <c r="M156" s="1328"/>
      <c r="N156" s="1328"/>
      <c r="O156" s="1328"/>
      <c r="P156" s="1328"/>
      <c r="Q156" s="1328"/>
      <c r="R156" s="1328"/>
      <c r="S156" s="1328"/>
      <c r="T156" s="1328"/>
      <c r="U156" s="1328"/>
      <c r="V156" s="1328"/>
      <c r="W156" s="1328"/>
      <c r="X156" s="1328"/>
      <c r="Y156" s="1328"/>
      <c r="Z156" s="1328"/>
      <c r="AA156" s="1328"/>
      <c r="AB156" s="1328"/>
      <c r="AC156" s="1328"/>
      <c r="AD156" s="1328"/>
      <c r="AE156" s="1328"/>
      <c r="AF156" s="1328"/>
      <c r="AG156" s="2330"/>
      <c r="AH156" s="2330"/>
    </row>
    <row r="157" spans="1:34">
      <c r="A157" s="1328"/>
      <c r="B157" s="1328"/>
      <c r="C157" s="1328"/>
      <c r="D157" s="1328"/>
      <c r="E157" s="1328"/>
      <c r="F157" s="1328"/>
      <c r="G157" s="1328"/>
      <c r="H157" s="1328"/>
      <c r="I157" s="1328"/>
      <c r="J157" s="1328"/>
      <c r="K157" s="1328"/>
      <c r="L157" s="1328"/>
      <c r="M157" s="1328"/>
      <c r="N157" s="1328"/>
      <c r="O157" s="1328"/>
      <c r="P157" s="1328"/>
      <c r="Q157" s="1328"/>
      <c r="R157" s="1328"/>
      <c r="S157" s="1328"/>
      <c r="T157" s="1328"/>
      <c r="U157" s="1328"/>
      <c r="V157" s="1328"/>
      <c r="W157" s="1328"/>
      <c r="X157" s="1328"/>
      <c r="Y157" s="1328"/>
      <c r="Z157" s="1328"/>
      <c r="AA157" s="1328"/>
      <c r="AB157" s="1328"/>
      <c r="AC157" s="1328"/>
      <c r="AD157" s="1328"/>
      <c r="AE157" s="1328"/>
      <c r="AF157" s="1328"/>
      <c r="AG157" s="2330"/>
      <c r="AH157" s="2330"/>
    </row>
    <row r="158" spans="1:34">
      <c r="A158" s="1328"/>
      <c r="B158" s="1328"/>
      <c r="C158" s="1328"/>
      <c r="D158" s="1328"/>
      <c r="E158" s="1328"/>
      <c r="F158" s="1328"/>
      <c r="G158" s="1328"/>
      <c r="H158" s="1328"/>
      <c r="I158" s="1328"/>
      <c r="J158" s="1328"/>
      <c r="K158" s="1328"/>
      <c r="L158" s="1328"/>
      <c r="M158" s="1328"/>
      <c r="N158" s="1328"/>
      <c r="O158" s="1328"/>
      <c r="P158" s="1328"/>
      <c r="Q158" s="1328"/>
      <c r="R158" s="1328"/>
      <c r="S158" s="1328"/>
      <c r="T158" s="1328"/>
      <c r="U158" s="1328"/>
      <c r="V158" s="1328"/>
      <c r="W158" s="1328"/>
      <c r="X158" s="1328"/>
      <c r="Y158" s="1328"/>
      <c r="Z158" s="1328"/>
      <c r="AA158" s="1328"/>
      <c r="AB158" s="1328"/>
      <c r="AC158" s="1328"/>
      <c r="AD158" s="1328"/>
      <c r="AE158" s="1328"/>
      <c r="AF158" s="1328"/>
      <c r="AG158" s="2330"/>
      <c r="AH158" s="2330"/>
    </row>
    <row r="159" spans="1:34">
      <c r="A159" s="1328"/>
      <c r="B159" s="1328"/>
      <c r="C159" s="1328"/>
      <c r="D159" s="1328"/>
      <c r="E159" s="1328"/>
      <c r="F159" s="1328"/>
      <c r="G159" s="1328"/>
      <c r="H159" s="1328"/>
      <c r="I159" s="1328"/>
      <c r="J159" s="1328"/>
      <c r="K159" s="1328"/>
      <c r="L159" s="1328"/>
      <c r="M159" s="1328"/>
      <c r="N159" s="1328"/>
      <c r="O159" s="1328"/>
      <c r="P159" s="1328"/>
      <c r="Q159" s="1328"/>
      <c r="R159" s="1328"/>
      <c r="S159" s="1328"/>
      <c r="T159" s="1328"/>
      <c r="U159" s="1328"/>
      <c r="V159" s="1328"/>
      <c r="W159" s="1328"/>
      <c r="X159" s="1328"/>
      <c r="Y159" s="1328"/>
      <c r="Z159" s="1328"/>
      <c r="AA159" s="1328"/>
      <c r="AB159" s="1328"/>
      <c r="AC159" s="1328"/>
      <c r="AD159" s="1328"/>
      <c r="AE159" s="1328"/>
      <c r="AF159" s="1328"/>
      <c r="AG159" s="2330"/>
      <c r="AH159" s="2330"/>
    </row>
    <row r="160" spans="1:34">
      <c r="A160" s="1328"/>
      <c r="B160" s="1328"/>
      <c r="C160" s="1328"/>
      <c r="D160" s="1328"/>
      <c r="E160" s="1328"/>
      <c r="F160" s="1328"/>
      <c r="G160" s="1328"/>
      <c r="H160" s="1328"/>
      <c r="I160" s="1328"/>
      <c r="J160" s="1328"/>
      <c r="K160" s="1328"/>
      <c r="L160" s="1328"/>
      <c r="M160" s="1328"/>
      <c r="N160" s="1328"/>
      <c r="O160" s="1328"/>
      <c r="P160" s="1328"/>
      <c r="Q160" s="1328"/>
      <c r="R160" s="1328"/>
      <c r="S160" s="1328"/>
      <c r="T160" s="1328"/>
      <c r="U160" s="1328"/>
      <c r="V160" s="1328"/>
      <c r="W160" s="1328"/>
      <c r="X160" s="1328"/>
      <c r="Y160" s="1328"/>
      <c r="Z160" s="1328"/>
      <c r="AA160" s="1328"/>
      <c r="AB160" s="1328"/>
      <c r="AC160" s="1328"/>
      <c r="AD160" s="1328"/>
      <c r="AE160" s="1328"/>
      <c r="AF160" s="1328"/>
      <c r="AG160" s="2330"/>
      <c r="AH160" s="2330"/>
    </row>
    <row r="161" spans="1:34">
      <c r="A161" s="1328"/>
      <c r="B161" s="1328"/>
      <c r="C161" s="1328"/>
      <c r="D161" s="1328"/>
      <c r="E161" s="1328"/>
      <c r="F161" s="1328"/>
      <c r="G161" s="1328"/>
      <c r="H161" s="1328"/>
      <c r="I161" s="1328"/>
      <c r="J161" s="1328"/>
      <c r="K161" s="1328"/>
      <c r="L161" s="1328"/>
      <c r="M161" s="1328"/>
      <c r="N161" s="1328"/>
      <c r="O161" s="1328"/>
      <c r="P161" s="1328"/>
      <c r="Q161" s="1328"/>
      <c r="R161" s="1328"/>
      <c r="S161" s="1328"/>
      <c r="T161" s="1328"/>
      <c r="U161" s="1328"/>
      <c r="V161" s="1328"/>
      <c r="W161" s="1328"/>
      <c r="X161" s="1328"/>
      <c r="Y161" s="1328"/>
      <c r="Z161" s="1328"/>
      <c r="AA161" s="1328"/>
      <c r="AB161" s="1328"/>
      <c r="AC161" s="1328"/>
      <c r="AD161" s="1328"/>
      <c r="AE161" s="1328"/>
      <c r="AF161" s="1328"/>
      <c r="AG161" s="2330"/>
      <c r="AH161" s="2330"/>
    </row>
    <row r="162" spans="1:34">
      <c r="A162" s="1328"/>
      <c r="B162" s="1328"/>
      <c r="C162" s="1328"/>
      <c r="D162" s="1328"/>
      <c r="E162" s="1328"/>
      <c r="F162" s="1328"/>
      <c r="G162" s="1328"/>
      <c r="H162" s="1328"/>
      <c r="I162" s="1328"/>
      <c r="J162" s="1328"/>
      <c r="K162" s="1328"/>
      <c r="L162" s="1328"/>
      <c r="M162" s="1328"/>
      <c r="N162" s="1328"/>
      <c r="O162" s="1328"/>
      <c r="P162" s="1328"/>
      <c r="Q162" s="1328"/>
      <c r="R162" s="1328"/>
      <c r="S162" s="1328"/>
      <c r="T162" s="1328"/>
      <c r="U162" s="1328"/>
      <c r="V162" s="1328"/>
      <c r="W162" s="1328"/>
      <c r="X162" s="1328"/>
      <c r="Y162" s="1328"/>
      <c r="Z162" s="1328"/>
      <c r="AA162" s="1328"/>
      <c r="AB162" s="1328"/>
      <c r="AC162" s="1328"/>
      <c r="AD162" s="1328"/>
      <c r="AE162" s="1328"/>
      <c r="AF162" s="1328"/>
      <c r="AG162" s="2330"/>
      <c r="AH162" s="2330"/>
    </row>
    <row r="163" spans="1:34">
      <c r="A163" s="1328"/>
      <c r="B163" s="1328"/>
      <c r="C163" s="1328"/>
      <c r="D163" s="1328"/>
      <c r="E163" s="1328"/>
      <c r="F163" s="1328"/>
      <c r="G163" s="1328"/>
      <c r="H163" s="1328"/>
      <c r="I163" s="1328"/>
      <c r="J163" s="1328"/>
      <c r="K163" s="1328"/>
      <c r="L163" s="1328"/>
      <c r="M163" s="1328"/>
      <c r="N163" s="1328"/>
      <c r="O163" s="1328"/>
      <c r="P163" s="1328"/>
      <c r="Q163" s="1328"/>
      <c r="R163" s="1328"/>
      <c r="S163" s="1328"/>
      <c r="T163" s="1328"/>
      <c r="U163" s="1328"/>
      <c r="V163" s="1328"/>
      <c r="W163" s="1328"/>
      <c r="X163" s="1328"/>
      <c r="Y163" s="1328"/>
      <c r="Z163" s="1328"/>
      <c r="AA163" s="1328"/>
      <c r="AB163" s="1328"/>
      <c r="AC163" s="1328"/>
      <c r="AD163" s="1328"/>
      <c r="AE163" s="1328"/>
      <c r="AF163" s="1328"/>
      <c r="AG163" s="2330"/>
      <c r="AH163" s="2330"/>
    </row>
    <row r="164" spans="1:34">
      <c r="A164" s="1328"/>
      <c r="B164" s="1328"/>
      <c r="C164" s="1328"/>
      <c r="D164" s="1328"/>
      <c r="E164" s="1328"/>
      <c r="F164" s="1328"/>
      <c r="G164" s="1328"/>
      <c r="H164" s="1328"/>
      <c r="I164" s="1328"/>
      <c r="J164" s="1328"/>
      <c r="K164" s="1328"/>
      <c r="L164" s="1328"/>
      <c r="M164" s="1328"/>
      <c r="N164" s="1328"/>
      <c r="O164" s="1328"/>
      <c r="P164" s="1328"/>
      <c r="Q164" s="1328"/>
      <c r="R164" s="1328"/>
      <c r="S164" s="1328"/>
      <c r="T164" s="1328"/>
      <c r="U164" s="1328"/>
      <c r="V164" s="1328"/>
      <c r="W164" s="1328"/>
      <c r="X164" s="1328"/>
      <c r="Y164" s="1328"/>
      <c r="Z164" s="1328"/>
      <c r="AA164" s="1328"/>
      <c r="AB164" s="1328"/>
      <c r="AC164" s="1328"/>
      <c r="AD164" s="1328"/>
      <c r="AE164" s="1328"/>
      <c r="AF164" s="1328"/>
      <c r="AG164" s="2330"/>
      <c r="AH164" s="2330"/>
    </row>
    <row r="165" spans="1:34">
      <c r="A165" s="1328"/>
      <c r="B165" s="1328"/>
      <c r="C165" s="1328"/>
      <c r="D165" s="1328"/>
      <c r="E165" s="1328"/>
      <c r="F165" s="1328"/>
      <c r="G165" s="1328"/>
      <c r="H165" s="1328"/>
      <c r="I165" s="1328"/>
      <c r="J165" s="1328"/>
      <c r="K165" s="1328"/>
      <c r="L165" s="1328"/>
      <c r="M165" s="1328"/>
      <c r="N165" s="1328"/>
      <c r="O165" s="1328"/>
      <c r="P165" s="1328"/>
      <c r="Q165" s="1328"/>
      <c r="R165" s="1328"/>
      <c r="S165" s="1328"/>
      <c r="T165" s="1328"/>
      <c r="U165" s="1328"/>
      <c r="V165" s="1328"/>
      <c r="W165" s="1328"/>
      <c r="X165" s="1328"/>
      <c r="Y165" s="1328"/>
      <c r="Z165" s="1328"/>
      <c r="AA165" s="1328"/>
      <c r="AB165" s="1328"/>
      <c r="AC165" s="1328"/>
      <c r="AD165" s="1328"/>
      <c r="AE165" s="1328"/>
      <c r="AF165" s="1328"/>
      <c r="AG165" s="2330"/>
      <c r="AH165" s="2330"/>
    </row>
    <row r="166" spans="1:34">
      <c r="A166" s="1328"/>
      <c r="B166" s="1328"/>
      <c r="C166" s="1328"/>
      <c r="D166" s="1328"/>
      <c r="E166" s="1328"/>
      <c r="F166" s="1328"/>
      <c r="G166" s="1328"/>
      <c r="H166" s="1328"/>
      <c r="I166" s="1328"/>
      <c r="J166" s="1328"/>
      <c r="K166" s="1328"/>
      <c r="L166" s="1328"/>
      <c r="M166" s="1328"/>
      <c r="N166" s="1328"/>
      <c r="O166" s="1328"/>
      <c r="P166" s="1328"/>
      <c r="Q166" s="1328"/>
      <c r="R166" s="1328"/>
      <c r="S166" s="1328"/>
      <c r="T166" s="1328"/>
      <c r="U166" s="1328"/>
      <c r="V166" s="1328"/>
      <c r="W166" s="1328"/>
      <c r="X166" s="1328"/>
      <c r="Y166" s="1328"/>
      <c r="Z166" s="1328"/>
      <c r="AA166" s="1328"/>
      <c r="AB166" s="1328"/>
      <c r="AC166" s="1328"/>
      <c r="AD166" s="1328"/>
      <c r="AE166" s="1328"/>
      <c r="AF166" s="1328"/>
      <c r="AG166" s="1271"/>
      <c r="AH166" s="1271"/>
    </row>
    <row r="167" spans="1:34">
      <c r="A167" s="1328"/>
      <c r="B167" s="1328"/>
      <c r="C167" s="1328"/>
      <c r="D167" s="1328"/>
      <c r="E167" s="1328"/>
      <c r="F167" s="1328"/>
      <c r="G167" s="1328"/>
      <c r="H167" s="1328"/>
      <c r="I167" s="1328"/>
      <c r="J167" s="1328"/>
      <c r="K167" s="1328"/>
      <c r="L167" s="1328"/>
      <c r="M167" s="1328"/>
      <c r="N167" s="1328"/>
      <c r="O167" s="1328"/>
      <c r="P167" s="1328"/>
      <c r="Q167" s="1328"/>
      <c r="R167" s="1328"/>
      <c r="S167" s="1328"/>
      <c r="T167" s="1328"/>
      <c r="U167" s="1328"/>
      <c r="V167" s="1328"/>
      <c r="W167" s="1328"/>
      <c r="X167" s="1328"/>
      <c r="Y167" s="1328"/>
      <c r="Z167" s="1328"/>
      <c r="AA167" s="1328"/>
      <c r="AB167" s="1328"/>
      <c r="AC167" s="1328"/>
      <c r="AD167" s="1328"/>
      <c r="AE167" s="1328"/>
      <c r="AF167" s="1328"/>
      <c r="AG167" s="1271"/>
      <c r="AH167" s="1271"/>
    </row>
    <row r="168" spans="1:34">
      <c r="A168" s="1328"/>
      <c r="B168" s="1328"/>
      <c r="C168" s="1328"/>
      <c r="D168" s="1328"/>
      <c r="E168" s="1328"/>
      <c r="F168" s="1328"/>
      <c r="G168" s="1328"/>
      <c r="H168" s="1328"/>
      <c r="I168" s="1328"/>
      <c r="J168" s="1328"/>
      <c r="K168" s="1328"/>
      <c r="L168" s="1328"/>
      <c r="M168" s="1328"/>
      <c r="N168" s="1328"/>
      <c r="O168" s="1328"/>
      <c r="P168" s="1328"/>
      <c r="Q168" s="1328"/>
      <c r="R168" s="1328"/>
      <c r="S168" s="1328"/>
      <c r="T168" s="1328"/>
      <c r="U168" s="1328"/>
      <c r="V168" s="1328"/>
      <c r="W168" s="1328"/>
      <c r="X168" s="1328"/>
      <c r="Y168" s="1328"/>
      <c r="Z168" s="1328"/>
      <c r="AA168" s="1328"/>
      <c r="AB168" s="1328"/>
      <c r="AC168" s="1328"/>
      <c r="AD168" s="1328"/>
      <c r="AE168" s="1328"/>
      <c r="AF168" s="1328"/>
      <c r="AG168" s="1271"/>
      <c r="AH168" s="1271"/>
    </row>
    <row r="169" spans="1:34">
      <c r="A169" s="1328"/>
      <c r="B169" s="1328"/>
      <c r="C169" s="1328"/>
      <c r="D169" s="1328"/>
      <c r="E169" s="1328"/>
      <c r="F169" s="1328"/>
      <c r="G169" s="1328"/>
      <c r="H169" s="1328"/>
      <c r="I169" s="1328"/>
      <c r="J169" s="1328"/>
      <c r="K169" s="1328"/>
      <c r="L169" s="1328"/>
      <c r="M169" s="1328"/>
      <c r="N169" s="1328"/>
      <c r="O169" s="1328"/>
      <c r="P169" s="1328"/>
      <c r="Q169" s="1328"/>
      <c r="R169" s="1328"/>
      <c r="S169" s="1328"/>
      <c r="T169" s="1328"/>
      <c r="U169" s="1328"/>
      <c r="V169" s="1328"/>
      <c r="W169" s="1328"/>
      <c r="X169" s="1328"/>
      <c r="Y169" s="1328"/>
      <c r="Z169" s="1328"/>
      <c r="AA169" s="1328"/>
      <c r="AB169" s="1328"/>
      <c r="AC169" s="1328"/>
      <c r="AD169" s="1328"/>
      <c r="AE169" s="1328"/>
      <c r="AF169" s="1328"/>
      <c r="AG169" s="1328"/>
      <c r="AH169" s="1328"/>
    </row>
    <row r="170" spans="1:34">
      <c r="A170" s="1328"/>
      <c r="B170" s="1328"/>
      <c r="C170" s="1328"/>
      <c r="D170" s="1328"/>
      <c r="E170" s="1328"/>
      <c r="F170" s="1328"/>
      <c r="G170" s="1328"/>
      <c r="H170" s="1328"/>
      <c r="I170" s="1328"/>
      <c r="J170" s="1328"/>
      <c r="K170" s="1328"/>
      <c r="L170" s="1328"/>
      <c r="M170" s="1328"/>
      <c r="N170" s="1328"/>
      <c r="O170" s="1328"/>
      <c r="P170" s="1328"/>
      <c r="Q170" s="1328"/>
      <c r="R170" s="1328"/>
      <c r="S170" s="1328"/>
      <c r="T170" s="1328"/>
      <c r="U170" s="1328"/>
      <c r="V170" s="1328"/>
      <c r="W170" s="1328"/>
      <c r="X170" s="1328"/>
      <c r="Y170" s="1328"/>
      <c r="Z170" s="1328"/>
      <c r="AA170" s="1328"/>
      <c r="AB170" s="1328"/>
      <c r="AC170" s="1328"/>
      <c r="AD170" s="1328"/>
      <c r="AE170" s="1328"/>
      <c r="AF170" s="1328"/>
      <c r="AG170" s="1328"/>
      <c r="AH170" s="1328"/>
    </row>
    <row r="171" spans="1:34">
      <c r="A171" s="1328"/>
      <c r="B171" s="1328"/>
      <c r="C171" s="1328"/>
      <c r="D171" s="1328"/>
      <c r="E171" s="1328"/>
      <c r="F171" s="1328"/>
      <c r="G171" s="1328"/>
      <c r="H171" s="1328"/>
      <c r="I171" s="1328"/>
      <c r="J171" s="1328"/>
      <c r="K171" s="1328"/>
      <c r="L171" s="1328"/>
      <c r="M171" s="1328"/>
      <c r="N171" s="1328"/>
      <c r="O171" s="1328"/>
      <c r="P171" s="1328"/>
      <c r="Q171" s="1328"/>
      <c r="R171" s="1328"/>
      <c r="S171" s="1328"/>
      <c r="T171" s="1328"/>
      <c r="U171" s="1328"/>
      <c r="V171" s="1328"/>
      <c r="W171" s="1328"/>
      <c r="X171" s="1328"/>
      <c r="Y171" s="1328"/>
      <c r="Z171" s="1328"/>
      <c r="AA171" s="1328"/>
      <c r="AB171" s="1328"/>
      <c r="AC171" s="1328"/>
      <c r="AD171" s="1328"/>
      <c r="AE171" s="1328"/>
      <c r="AF171" s="1328"/>
      <c r="AG171" s="1328"/>
      <c r="AH171" s="1328"/>
    </row>
    <row r="172" spans="1:34">
      <c r="A172" s="1328"/>
      <c r="B172" s="1328"/>
      <c r="C172" s="1328"/>
      <c r="D172" s="1328"/>
      <c r="E172" s="1328"/>
      <c r="F172" s="1328"/>
      <c r="G172" s="1328"/>
      <c r="H172" s="1328"/>
      <c r="I172" s="1328"/>
      <c r="J172" s="1328"/>
      <c r="K172" s="1328"/>
      <c r="L172" s="1328"/>
      <c r="M172" s="1328"/>
      <c r="N172" s="1328"/>
      <c r="O172" s="1328"/>
      <c r="P172" s="1328"/>
      <c r="Q172" s="1328"/>
      <c r="R172" s="1328"/>
      <c r="S172" s="1328"/>
      <c r="T172" s="1328"/>
      <c r="U172" s="1328"/>
      <c r="V172" s="1328"/>
      <c r="W172" s="1328"/>
      <c r="X172" s="1328"/>
      <c r="Y172" s="1328"/>
      <c r="Z172" s="1328"/>
      <c r="AA172" s="1328"/>
      <c r="AB172" s="1328"/>
      <c r="AC172" s="1328"/>
      <c r="AD172" s="1328"/>
      <c r="AE172" s="1328"/>
      <c r="AF172" s="1328"/>
      <c r="AG172" s="1328"/>
      <c r="AH172" s="1328"/>
    </row>
    <row r="173" spans="1:34">
      <c r="A173" s="1328"/>
      <c r="B173" s="1328"/>
      <c r="C173" s="1328"/>
      <c r="D173" s="1328"/>
      <c r="E173" s="1328"/>
      <c r="F173" s="1328"/>
      <c r="G173" s="1328"/>
      <c r="H173" s="1328"/>
      <c r="I173" s="1328"/>
      <c r="J173" s="1328"/>
      <c r="K173" s="1328"/>
      <c r="L173" s="1328"/>
      <c r="M173" s="1328"/>
      <c r="N173" s="1328"/>
      <c r="O173" s="1328"/>
      <c r="P173" s="1328"/>
      <c r="Q173" s="1328"/>
      <c r="R173" s="1328"/>
      <c r="S173" s="1328"/>
      <c r="T173" s="1328"/>
      <c r="U173" s="1328"/>
      <c r="V173" s="1328"/>
      <c r="W173" s="1328"/>
      <c r="X173" s="1328"/>
      <c r="Y173" s="1328"/>
      <c r="Z173" s="1328"/>
      <c r="AA173" s="1328"/>
      <c r="AB173" s="1328"/>
      <c r="AC173" s="1328"/>
      <c r="AD173" s="1328"/>
      <c r="AE173" s="1328"/>
      <c r="AF173" s="1328"/>
      <c r="AG173" s="1328"/>
      <c r="AH173" s="1328"/>
    </row>
    <row r="174" spans="1:34">
      <c r="A174" s="1328"/>
      <c r="B174" s="1328"/>
      <c r="C174" s="1328"/>
      <c r="D174" s="1328"/>
      <c r="E174" s="1328"/>
      <c r="F174" s="1328"/>
      <c r="G174" s="1328"/>
      <c r="H174" s="1328"/>
      <c r="I174" s="1328"/>
      <c r="J174" s="1328"/>
      <c r="K174" s="1328"/>
      <c r="L174" s="1328"/>
      <c r="M174" s="1328"/>
      <c r="N174" s="1328"/>
      <c r="O174" s="1328"/>
      <c r="P174" s="1328"/>
      <c r="Q174" s="1328"/>
      <c r="R174" s="1328"/>
      <c r="S174" s="1328"/>
      <c r="T174" s="1328"/>
      <c r="U174" s="1328"/>
      <c r="V174" s="1328"/>
      <c r="W174" s="1328"/>
      <c r="X174" s="1328"/>
      <c r="Y174" s="1328"/>
      <c r="Z174" s="1328"/>
      <c r="AA174" s="1328"/>
      <c r="AB174" s="1328"/>
      <c r="AC174" s="1328"/>
      <c r="AD174" s="1328"/>
      <c r="AE174" s="1328"/>
      <c r="AF174" s="1328"/>
      <c r="AG174" s="1328"/>
      <c r="AH174" s="1328"/>
    </row>
    <row r="175" spans="1:34">
      <c r="A175" s="1328"/>
      <c r="B175" s="1328"/>
      <c r="C175" s="1328"/>
      <c r="D175" s="1328"/>
      <c r="E175" s="1328"/>
      <c r="F175" s="1328"/>
      <c r="G175" s="1328"/>
      <c r="H175" s="1328"/>
      <c r="I175" s="1328"/>
      <c r="J175" s="1328"/>
      <c r="K175" s="1328"/>
      <c r="L175" s="1328"/>
      <c r="M175" s="1328"/>
      <c r="N175" s="1328"/>
      <c r="O175" s="1328"/>
      <c r="P175" s="1328"/>
      <c r="Q175" s="1328"/>
      <c r="R175" s="1328"/>
      <c r="S175" s="1328"/>
      <c r="T175" s="1328"/>
      <c r="U175" s="1328"/>
      <c r="V175" s="1328"/>
      <c r="W175" s="1328"/>
      <c r="X175" s="1328"/>
      <c r="Y175" s="1328"/>
      <c r="Z175" s="1328"/>
      <c r="AA175" s="1328"/>
      <c r="AB175" s="1328"/>
      <c r="AC175" s="1328"/>
      <c r="AD175" s="1328"/>
      <c r="AE175" s="1328"/>
      <c r="AF175" s="1328"/>
      <c r="AG175" s="1328"/>
      <c r="AH175" s="1328"/>
    </row>
    <row r="176" spans="1:34">
      <c r="A176" s="1328"/>
      <c r="B176" s="1328"/>
      <c r="C176" s="1328"/>
      <c r="D176" s="1328"/>
      <c r="E176" s="1328"/>
      <c r="F176" s="1328"/>
      <c r="G176" s="1328"/>
      <c r="H176" s="1328"/>
      <c r="I176" s="1328"/>
      <c r="J176" s="1328"/>
      <c r="K176" s="1328"/>
      <c r="L176" s="1328"/>
      <c r="M176" s="1328"/>
      <c r="N176" s="1328"/>
      <c r="O176" s="1328"/>
      <c r="P176" s="1328"/>
      <c r="Q176" s="1328"/>
      <c r="R176" s="1328"/>
      <c r="S176" s="1328"/>
      <c r="T176" s="1328"/>
      <c r="U176" s="1328"/>
      <c r="V176" s="1328"/>
      <c r="W176" s="1328"/>
      <c r="X176" s="1328"/>
      <c r="Y176" s="1328"/>
      <c r="Z176" s="1328"/>
      <c r="AA176" s="1328"/>
      <c r="AB176" s="1328"/>
      <c r="AC176" s="1328"/>
      <c r="AD176" s="1328"/>
      <c r="AE176" s="1328"/>
      <c r="AF176" s="1328"/>
      <c r="AG176" s="1328"/>
      <c r="AH176" s="1328"/>
    </row>
    <row r="177" spans="1:34">
      <c r="A177" s="1328"/>
      <c r="B177" s="1328"/>
      <c r="C177" s="1328"/>
      <c r="D177" s="1328"/>
      <c r="E177" s="1328"/>
      <c r="F177" s="1328"/>
      <c r="G177" s="1328"/>
      <c r="H177" s="1328"/>
      <c r="I177" s="1328"/>
      <c r="J177" s="1328"/>
      <c r="K177" s="1328"/>
      <c r="L177" s="1328"/>
      <c r="M177" s="1328"/>
      <c r="N177" s="1328"/>
      <c r="O177" s="1328"/>
      <c r="P177" s="1328"/>
      <c r="Q177" s="1328"/>
      <c r="R177" s="1328"/>
      <c r="S177" s="1328"/>
      <c r="T177" s="1328"/>
      <c r="U177" s="1328"/>
      <c r="V177" s="1328"/>
      <c r="W177" s="1328"/>
      <c r="X177" s="1328"/>
      <c r="Y177" s="1328"/>
      <c r="Z177" s="1328"/>
      <c r="AA177" s="1328"/>
      <c r="AB177" s="1328"/>
      <c r="AC177" s="1328"/>
      <c r="AD177" s="1328"/>
      <c r="AE177" s="1328"/>
      <c r="AF177" s="1328"/>
      <c r="AG177" s="1328"/>
      <c r="AH177" s="1328"/>
    </row>
    <row r="178" spans="1:34">
      <c r="A178" s="1328"/>
      <c r="B178" s="1328"/>
      <c r="C178" s="1328"/>
      <c r="D178" s="1328"/>
      <c r="E178" s="1328"/>
      <c r="F178" s="1328"/>
      <c r="G178" s="1328"/>
      <c r="H178" s="1328"/>
      <c r="I178" s="1328"/>
      <c r="J178" s="1328"/>
      <c r="K178" s="1328"/>
      <c r="L178" s="1328"/>
      <c r="M178" s="1328"/>
      <c r="N178" s="1328"/>
      <c r="O178" s="1328"/>
      <c r="P178" s="1328"/>
      <c r="Q178" s="1328"/>
      <c r="R178" s="1328"/>
      <c r="S178" s="1328"/>
      <c r="T178" s="1328"/>
      <c r="U178" s="1328"/>
      <c r="V178" s="1328"/>
      <c r="W178" s="1328"/>
      <c r="X178" s="1328"/>
      <c r="Y178" s="1328"/>
      <c r="Z178" s="1328"/>
      <c r="AA178" s="1328"/>
      <c r="AB178" s="1328"/>
      <c r="AC178" s="1328"/>
      <c r="AD178" s="1328"/>
      <c r="AE178" s="1328"/>
      <c r="AF178" s="1328"/>
      <c r="AG178" s="1328"/>
      <c r="AH178" s="1328"/>
    </row>
  </sheetData>
  <phoneticPr fontId="43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theme="7" tint="-0.249977111117893"/>
  </sheetPr>
  <dimension ref="A1:T115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3.28515625" style="18" customWidth="1"/>
    <col min="2" max="2" width="27.5703125" style="18" customWidth="1"/>
    <col min="3" max="6" width="13" style="18" customWidth="1"/>
    <col min="7" max="7" width="14.28515625" style="18" customWidth="1"/>
    <col min="8" max="8" width="18.7109375" style="18" customWidth="1"/>
    <col min="9" max="9" width="3.42578125" style="18" customWidth="1"/>
    <col min="10" max="10" width="6.28515625" style="18" customWidth="1"/>
    <col min="11" max="11" width="1.42578125" style="18" customWidth="1"/>
    <col min="12" max="12" width="9.7109375" style="18" customWidth="1"/>
    <col min="13" max="13" width="3.42578125" style="18" customWidth="1"/>
    <col min="14" max="14" width="30.5703125" style="18" customWidth="1"/>
    <col min="15" max="15" width="7.5703125" style="18" customWidth="1"/>
    <col min="16" max="16" width="7.42578125" style="1346" customWidth="1"/>
    <col min="17" max="17" width="8.7109375" style="18" customWidth="1"/>
    <col min="18" max="18" width="15.28515625" style="18" customWidth="1"/>
    <col min="19" max="19" width="1.85546875" style="18" customWidth="1"/>
    <col min="20" max="16384" width="8" style="18"/>
  </cols>
  <sheetData>
    <row r="1" spans="2:19">
      <c r="B1" s="229" t="str">
        <f>COMPANY</f>
        <v>DUKE ENERGY KENTUCKY, INC.</v>
      </c>
      <c r="C1" s="397"/>
      <c r="D1" s="397"/>
      <c r="E1" s="397"/>
      <c r="F1" s="397"/>
      <c r="G1" s="397"/>
      <c r="H1" s="397"/>
      <c r="I1" s="1571"/>
      <c r="J1" s="1571"/>
      <c r="K1" s="1571"/>
      <c r="L1" s="1571"/>
      <c r="M1" s="1571"/>
      <c r="N1" s="1571"/>
      <c r="O1" s="1571"/>
      <c r="P1" s="1285"/>
      <c r="Q1" s="1571"/>
      <c r="R1" s="1571"/>
      <c r="S1" s="1571"/>
    </row>
    <row r="2" spans="2:19">
      <c r="B2" s="229" t="str">
        <f>CASE</f>
        <v>CASE NO. 2017-00321</v>
      </c>
      <c r="C2" s="397"/>
      <c r="D2" s="397"/>
      <c r="E2" s="397"/>
      <c r="F2" s="397"/>
      <c r="G2" s="397"/>
      <c r="H2" s="397"/>
      <c r="I2" s="1571"/>
      <c r="J2" s="1571"/>
      <c r="K2" s="1571"/>
      <c r="L2" s="1571"/>
      <c r="M2" s="1571"/>
      <c r="N2" s="1571"/>
      <c r="O2" s="1571"/>
      <c r="P2" s="1285"/>
      <c r="Q2" s="1571"/>
      <c r="R2" s="1571"/>
      <c r="S2" s="1571"/>
    </row>
    <row r="3" spans="2:19">
      <c r="B3" s="229" t="s">
        <v>973</v>
      </c>
      <c r="C3" s="397"/>
      <c r="D3" s="397"/>
      <c r="E3" s="397"/>
      <c r="F3" s="397"/>
      <c r="G3" s="397"/>
      <c r="H3" s="397"/>
      <c r="I3" s="1571"/>
      <c r="J3" s="1571"/>
      <c r="K3" s="1571"/>
      <c r="L3" s="1571"/>
      <c r="M3" s="1571"/>
      <c r="N3" s="1571"/>
      <c r="O3" s="1571"/>
      <c r="P3" s="1285"/>
      <c r="Q3" s="1571"/>
      <c r="R3" s="1571"/>
      <c r="S3" s="1571"/>
    </row>
    <row r="4" spans="2:19">
      <c r="B4" s="229" t="str">
        <f>PeriodF</f>
        <v>FOR THE TWELVE MONTHS ENDED MARCH 31, 2019</v>
      </c>
      <c r="C4" s="397"/>
      <c r="D4" s="397"/>
      <c r="E4" s="397"/>
      <c r="F4" s="397"/>
      <c r="G4" s="397"/>
      <c r="H4" s="397"/>
      <c r="I4" s="1571"/>
      <c r="J4" s="1571"/>
      <c r="K4" s="1571"/>
      <c r="L4" s="1571"/>
      <c r="M4" s="1571"/>
      <c r="N4" s="1571"/>
      <c r="O4" s="1571"/>
      <c r="P4" s="1285"/>
      <c r="Q4" s="1571"/>
      <c r="R4" s="1571"/>
      <c r="S4" s="1571"/>
    </row>
    <row r="5" spans="2:19">
      <c r="B5" s="1571"/>
      <c r="C5" s="1571"/>
      <c r="D5" s="1571"/>
      <c r="E5" s="1571"/>
      <c r="F5" s="1571"/>
      <c r="G5" s="1571"/>
      <c r="H5" s="1571"/>
      <c r="I5" s="1571"/>
      <c r="J5" s="1571"/>
      <c r="K5" s="1571"/>
      <c r="L5" s="1571"/>
      <c r="M5" s="1571"/>
      <c r="N5" s="1571"/>
      <c r="O5" s="1571"/>
      <c r="P5" s="1285"/>
      <c r="Q5" s="1571"/>
      <c r="R5" s="1571"/>
      <c r="S5" s="1571"/>
    </row>
    <row r="6" spans="2:19">
      <c r="B6" s="173" t="str">
        <f>DataF</f>
        <v>DATA:  BASE PERIOD  "X" FORECASTED PERIOD</v>
      </c>
      <c r="C6" s="1571"/>
      <c r="D6" s="1571"/>
      <c r="E6" s="1571"/>
      <c r="F6" s="1571"/>
      <c r="G6" s="396" t="s">
        <v>1552</v>
      </c>
      <c r="H6" s="1571"/>
      <c r="I6" s="1571"/>
      <c r="J6" s="1571"/>
      <c r="K6" s="1571"/>
      <c r="L6" s="1571"/>
      <c r="M6" s="1571"/>
      <c r="N6" s="1571"/>
      <c r="O6" s="1571"/>
      <c r="P6" s="1285"/>
      <c r="Q6" s="1571"/>
      <c r="R6" s="1571"/>
      <c r="S6" s="1571"/>
    </row>
    <row r="7" spans="2:19">
      <c r="B7" s="173" t="str">
        <f>LOGO!B15</f>
        <v xml:space="preserve">TYPE OF FILING:  "X" ORIGINAL   UPDATED    REVISED  </v>
      </c>
      <c r="C7" s="1571"/>
      <c r="D7" s="1571"/>
      <c r="E7" s="1571"/>
      <c r="F7" s="1571"/>
      <c r="G7" s="396" t="s">
        <v>620</v>
      </c>
      <c r="H7" s="1571"/>
      <c r="I7" s="1571"/>
      <c r="J7" s="1571"/>
      <c r="K7" s="1571"/>
      <c r="L7" s="1571"/>
      <c r="M7" s="1571"/>
      <c r="N7" s="1571"/>
      <c r="O7" s="1571"/>
      <c r="P7" s="1285"/>
      <c r="Q7" s="1571"/>
      <c r="R7" s="1571"/>
      <c r="S7" s="1571"/>
    </row>
    <row r="8" spans="2:19">
      <c r="B8" s="1581" t="s">
        <v>2385</v>
      </c>
      <c r="C8" s="1571"/>
      <c r="D8" s="1571"/>
      <c r="E8" s="1571"/>
      <c r="F8" s="1571"/>
      <c r="G8" s="396" t="s">
        <v>622</v>
      </c>
      <c r="H8" s="1571"/>
      <c r="I8" s="1571"/>
      <c r="J8" s="1571"/>
      <c r="K8" s="1571"/>
      <c r="L8" s="1571"/>
      <c r="M8" s="1571"/>
      <c r="N8" s="1571"/>
      <c r="O8" s="1571"/>
      <c r="P8" s="1285"/>
      <c r="Q8" s="1571"/>
      <c r="R8" s="1571"/>
      <c r="S8" s="1571"/>
    </row>
    <row r="9" spans="2:19">
      <c r="B9" s="1571"/>
      <c r="C9" s="1571"/>
      <c r="D9" s="1571"/>
      <c r="E9" s="1571"/>
      <c r="F9" s="1571"/>
      <c r="G9" s="396" t="str">
        <f>_WIT1</f>
        <v>S. E. LAWLER</v>
      </c>
      <c r="H9" s="1571"/>
      <c r="I9" s="1571"/>
      <c r="J9" s="1571"/>
      <c r="K9" s="1571"/>
      <c r="L9" s="1571"/>
      <c r="M9" s="1571"/>
      <c r="N9" s="1571"/>
      <c r="O9" s="1571"/>
      <c r="P9" s="1285"/>
      <c r="Q9" s="1571"/>
      <c r="R9" s="1571"/>
      <c r="S9" s="1571"/>
    </row>
    <row r="10" spans="2:19">
      <c r="B10" s="180"/>
      <c r="C10" s="180"/>
      <c r="D10" s="180"/>
      <c r="E10" s="180"/>
      <c r="F10" s="180"/>
      <c r="G10" s="180"/>
      <c r="H10" s="180"/>
      <c r="I10" s="1581"/>
      <c r="J10" s="1571"/>
      <c r="K10" s="1571"/>
      <c r="L10" s="1571"/>
      <c r="M10" s="1571"/>
      <c r="N10" s="1571"/>
      <c r="O10" s="1571"/>
      <c r="P10" s="1285"/>
      <c r="Q10" s="1571"/>
      <c r="R10" s="1571"/>
      <c r="S10" s="1571"/>
    </row>
    <row r="11" spans="2:19">
      <c r="B11" s="638"/>
      <c r="C11" s="638"/>
      <c r="D11" s="638"/>
      <c r="E11" s="638"/>
      <c r="F11" s="638"/>
      <c r="G11" s="638"/>
      <c r="H11" s="638"/>
      <c r="I11" s="1571"/>
      <c r="J11" s="1571"/>
      <c r="K11" s="1571"/>
      <c r="L11" s="1571"/>
      <c r="M11" s="1571"/>
      <c r="N11" s="1571"/>
      <c r="O11" s="1571"/>
      <c r="P11" s="1285"/>
      <c r="Q11" s="1571"/>
      <c r="R11" s="1571"/>
      <c r="S11" s="1571"/>
    </row>
    <row r="12" spans="2:19">
      <c r="B12" s="1581" t="s">
        <v>1246</v>
      </c>
      <c r="C12" s="1571"/>
      <c r="D12" s="1571"/>
      <c r="E12" s="1571"/>
      <c r="F12" s="1571"/>
      <c r="G12" s="1571"/>
      <c r="H12" s="2741" t="s">
        <v>364</v>
      </c>
      <c r="I12" s="1571"/>
      <c r="J12" s="1571"/>
      <c r="K12" s="1571"/>
      <c r="L12" s="1571"/>
      <c r="M12" s="1571"/>
      <c r="N12" s="1571"/>
      <c r="O12" s="1571"/>
      <c r="P12" s="1285"/>
      <c r="Q12" s="1571"/>
      <c r="R12" s="1571"/>
      <c r="S12" s="1571"/>
    </row>
    <row r="13" spans="2:19">
      <c r="B13" s="1774"/>
      <c r="C13" s="1774"/>
      <c r="D13" s="1774"/>
      <c r="E13" s="1774"/>
      <c r="F13" s="1774"/>
      <c r="G13" s="1774"/>
      <c r="H13" s="1774"/>
      <c r="I13" s="1581"/>
      <c r="J13" s="1571"/>
      <c r="K13" s="1571"/>
      <c r="L13" s="1571"/>
      <c r="M13" s="1571"/>
      <c r="N13" s="1571"/>
      <c r="O13" s="1571"/>
      <c r="P13" s="1285"/>
      <c r="Q13" s="1571"/>
      <c r="R13" s="1571"/>
      <c r="S13" s="1571"/>
    </row>
    <row r="14" spans="2:19">
      <c r="B14" s="1571"/>
      <c r="C14" s="1571"/>
      <c r="D14" s="1571"/>
      <c r="E14" s="1571"/>
      <c r="F14" s="1571"/>
      <c r="G14" s="1571"/>
      <c r="H14" s="1571"/>
      <c r="I14" s="1571"/>
      <c r="J14" s="1571"/>
      <c r="K14" s="1571"/>
      <c r="L14" s="1571"/>
      <c r="M14" s="1571"/>
      <c r="N14" s="1571"/>
      <c r="O14" s="1571"/>
      <c r="P14" s="1285"/>
      <c r="Q14" s="1571"/>
      <c r="R14" s="1571"/>
      <c r="S14" s="1571"/>
    </row>
    <row r="15" spans="2:19">
      <c r="B15" s="1378" t="s">
        <v>1549</v>
      </c>
      <c r="C15" s="1571"/>
      <c r="D15" s="1571"/>
      <c r="E15" s="1571"/>
      <c r="F15" s="1571"/>
      <c r="G15" s="1571"/>
      <c r="H15" s="1571"/>
      <c r="I15" s="1571"/>
      <c r="J15" s="1571"/>
      <c r="K15" s="1571"/>
      <c r="L15" s="1571"/>
      <c r="M15" s="1571"/>
      <c r="N15" s="1571"/>
      <c r="O15" s="1571"/>
      <c r="P15" s="1285"/>
      <c r="Q15" s="1571"/>
      <c r="R15" s="1571"/>
      <c r="S15" s="1571"/>
    </row>
    <row r="16" spans="2:19">
      <c r="B16" s="1378" t="s">
        <v>974</v>
      </c>
      <c r="C16" s="1571"/>
      <c r="D16" s="1571"/>
      <c r="E16" s="1571"/>
      <c r="F16" s="1571"/>
      <c r="G16" s="1571"/>
      <c r="H16" s="1571"/>
      <c r="I16" s="1571"/>
      <c r="J16" s="1571"/>
      <c r="K16" s="1571"/>
      <c r="L16" s="1571"/>
      <c r="M16" s="1571"/>
      <c r="N16" s="1571"/>
      <c r="O16" s="1571"/>
      <c r="P16" s="1285"/>
      <c r="Q16" s="1571"/>
      <c r="R16" s="1571"/>
      <c r="S16" s="1571"/>
    </row>
    <row r="17" spans="1:19">
      <c r="B17" s="1378"/>
      <c r="C17" s="1571"/>
      <c r="D17" s="1571"/>
      <c r="E17" s="1571"/>
      <c r="F17" s="1571"/>
      <c r="G17" s="1571"/>
      <c r="H17" s="1571"/>
      <c r="I17" s="1571"/>
      <c r="J17" s="1571"/>
      <c r="K17" s="1571"/>
      <c r="L17" s="1571"/>
      <c r="M17" s="1571"/>
      <c r="N17" s="1571"/>
      <c r="O17" s="1571"/>
      <c r="P17" s="1285"/>
      <c r="Q17" s="1571"/>
      <c r="R17" s="1571"/>
      <c r="S17" s="1571"/>
    </row>
    <row r="18" spans="1:19">
      <c r="B18" s="396"/>
      <c r="C18" s="1571"/>
      <c r="D18" s="1571"/>
      <c r="E18" s="1571"/>
      <c r="F18" s="1571"/>
      <c r="G18" s="1571"/>
      <c r="H18" s="1571"/>
      <c r="I18" s="1571"/>
      <c r="J18" s="1571"/>
      <c r="K18" s="1571"/>
      <c r="L18" s="1571"/>
      <c r="M18" s="1571"/>
      <c r="N18" s="1571"/>
      <c r="O18" s="1571"/>
      <c r="P18" s="1285"/>
      <c r="Q18" s="1571"/>
      <c r="R18" s="1571"/>
      <c r="S18" s="1571"/>
    </row>
    <row r="19" spans="1:19">
      <c r="B19" s="396"/>
      <c r="C19" s="1571"/>
      <c r="D19" s="1571"/>
      <c r="E19" s="1571"/>
      <c r="F19" s="1571"/>
      <c r="G19" s="1571"/>
      <c r="H19" s="1571"/>
      <c r="I19" s="1571"/>
      <c r="J19" s="1571"/>
      <c r="K19" s="1571"/>
      <c r="L19" s="1571"/>
      <c r="M19" s="1571"/>
      <c r="N19" s="1571"/>
      <c r="O19" s="1571"/>
      <c r="P19" s="1285"/>
      <c r="Q19" s="1571"/>
      <c r="R19" s="1571"/>
      <c r="S19" s="1571"/>
    </row>
    <row r="20" spans="1:19">
      <c r="B20" s="396"/>
      <c r="C20" s="1571"/>
      <c r="D20" s="1571"/>
      <c r="E20" s="1571"/>
      <c r="F20" s="1571"/>
      <c r="G20" s="1571"/>
      <c r="H20" s="1571"/>
      <c r="I20" s="1571"/>
      <c r="J20" s="1571"/>
      <c r="K20" s="1571"/>
      <c r="L20" s="1571"/>
      <c r="M20" s="1571"/>
      <c r="N20" s="1571"/>
      <c r="O20" s="1571"/>
      <c r="P20" s="1285"/>
      <c r="Q20" s="1571"/>
      <c r="R20" s="1571"/>
      <c r="S20" s="1571"/>
    </row>
    <row r="21" spans="1:19">
      <c r="B21" s="1179" t="s">
        <v>976</v>
      </c>
      <c r="C21" s="1180"/>
      <c r="D21" s="1180"/>
      <c r="E21" s="1180"/>
      <c r="F21" s="1571"/>
      <c r="G21" s="239"/>
      <c r="H21" s="1481">
        <f>-R72</f>
        <v>-11959000</v>
      </c>
      <c r="I21" s="1581"/>
      <c r="J21" s="1571"/>
      <c r="K21" s="1571"/>
      <c r="L21" s="1571"/>
      <c r="M21" s="1571"/>
      <c r="N21" s="1571"/>
      <c r="O21" s="1571"/>
      <c r="P21" s="1285"/>
      <c r="Q21" s="1571"/>
      <c r="R21" s="1571"/>
      <c r="S21" s="1571"/>
    </row>
    <row r="22" spans="1:19">
      <c r="B22" s="1179" t="s">
        <v>2713</v>
      </c>
      <c r="C22" s="1180"/>
      <c r="D22" s="1180"/>
      <c r="E22" s="1180"/>
      <c r="F22" s="1571"/>
      <c r="G22" s="239"/>
      <c r="H22" s="1585">
        <f>-R73</f>
        <v>-1881230</v>
      </c>
      <c r="I22" s="1581"/>
      <c r="J22" s="2302"/>
      <c r="K22" s="1571"/>
      <c r="L22" s="1571"/>
      <c r="M22" s="1571"/>
      <c r="N22" s="1571"/>
      <c r="O22" s="1571"/>
      <c r="P22" s="1285"/>
      <c r="Q22" s="1571"/>
      <c r="R22" s="1571"/>
      <c r="S22" s="1571"/>
    </row>
    <row r="23" spans="1:19" ht="15">
      <c r="B23" s="1179" t="s">
        <v>2386</v>
      </c>
      <c r="C23" s="1180"/>
      <c r="D23" s="1180"/>
      <c r="E23" s="1180"/>
      <c r="F23" s="1571"/>
      <c r="G23" s="239"/>
      <c r="H23" s="1480">
        <f>-R74</f>
        <v>2401046</v>
      </c>
      <c r="I23" s="1581"/>
      <c r="J23" s="1571"/>
      <c r="K23" s="1571"/>
      <c r="L23" s="1571"/>
      <c r="M23" s="1571"/>
      <c r="N23" s="1571"/>
      <c r="O23" s="1571"/>
      <c r="P23" s="1285"/>
      <c r="Q23" s="1571"/>
      <c r="R23" s="1571"/>
      <c r="S23" s="1571"/>
    </row>
    <row r="24" spans="1:19">
      <c r="B24" s="1179"/>
      <c r="C24" s="1180"/>
      <c r="D24" s="1180"/>
      <c r="E24" s="1180"/>
      <c r="F24" s="1571"/>
      <c r="G24" s="239"/>
      <c r="H24" s="1483">
        <f>SUM(H21:H23)</f>
        <v>-11439184</v>
      </c>
      <c r="I24" s="1581"/>
      <c r="J24" s="1571"/>
      <c r="K24" s="1571"/>
      <c r="L24" s="1571"/>
      <c r="M24" s="1571"/>
      <c r="N24" s="1571"/>
      <c r="O24" s="1571"/>
      <c r="P24" s="1285"/>
      <c r="Q24" s="1571"/>
      <c r="R24" s="1571"/>
      <c r="S24" s="1571"/>
    </row>
    <row r="25" spans="1:19">
      <c r="B25" s="1180"/>
      <c r="C25" s="1180"/>
      <c r="D25" s="1180"/>
      <c r="E25" s="1180"/>
      <c r="F25" s="1571"/>
      <c r="G25" s="1571"/>
      <c r="H25" s="1180"/>
      <c r="I25" s="1571"/>
      <c r="J25" s="1571"/>
      <c r="K25" s="1571"/>
      <c r="L25" s="1571"/>
      <c r="M25" s="1571"/>
      <c r="N25" s="1571"/>
      <c r="O25" s="1571"/>
      <c r="P25" s="1285"/>
      <c r="Q25" s="1571"/>
      <c r="R25" s="1571"/>
      <c r="S25" s="1571"/>
    </row>
    <row r="26" spans="1:19">
      <c r="B26" s="1179" t="s">
        <v>266</v>
      </c>
      <c r="C26" s="1180"/>
      <c r="D26" s="1180"/>
      <c r="E26" s="1180"/>
      <c r="F26" s="1571"/>
      <c r="G26" s="1571"/>
      <c r="H26" s="1425">
        <f>VLOOKUP(C54,ALLOCTABLE,2)/100</f>
        <v>1</v>
      </c>
      <c r="I26" s="1571"/>
      <c r="J26" s="1571"/>
      <c r="K26" s="1571"/>
      <c r="L26" s="1571"/>
      <c r="M26" s="1571"/>
      <c r="N26" s="1571"/>
      <c r="O26" s="1571"/>
      <c r="P26" s="1285"/>
      <c r="Q26" s="1571"/>
      <c r="R26" s="1571"/>
      <c r="S26" s="1571"/>
    </row>
    <row r="27" spans="1:19">
      <c r="B27" s="1180"/>
      <c r="C27" s="1180"/>
      <c r="D27" s="1180"/>
      <c r="E27" s="1180"/>
      <c r="F27" s="1571"/>
      <c r="G27" s="1571"/>
      <c r="H27" s="1426"/>
      <c r="I27" s="1571"/>
      <c r="J27" s="1571"/>
      <c r="K27" s="1571"/>
      <c r="L27" s="1571"/>
      <c r="M27" s="1571"/>
      <c r="N27" s="1571"/>
      <c r="O27" s="1571"/>
      <c r="P27" s="1285"/>
      <c r="Q27" s="1571"/>
      <c r="R27" s="1571"/>
      <c r="S27" s="1571"/>
    </row>
    <row r="28" spans="1:19">
      <c r="B28" s="1180"/>
      <c r="C28" s="1180"/>
      <c r="D28" s="1180"/>
      <c r="E28" s="1180"/>
      <c r="F28" s="1571"/>
      <c r="G28" s="1571"/>
      <c r="H28" s="1180"/>
      <c r="I28" s="1571"/>
      <c r="J28" s="1571"/>
      <c r="K28" s="1571"/>
      <c r="L28" s="1571"/>
      <c r="M28" s="1571"/>
      <c r="N28" s="1571"/>
      <c r="O28" s="1571"/>
      <c r="P28" s="1285"/>
      <c r="Q28" s="1571"/>
      <c r="R28" s="1571"/>
      <c r="S28" s="1571"/>
    </row>
    <row r="29" spans="1:19" ht="15">
      <c r="B29" s="1179" t="s">
        <v>1236</v>
      </c>
      <c r="C29" s="1180"/>
      <c r="D29" s="1180"/>
      <c r="E29" s="1179" t="s">
        <v>1213</v>
      </c>
      <c r="F29" s="1571"/>
      <c r="G29" s="1571"/>
      <c r="H29" s="1427">
        <f>ROUND(H24*H26,0)</f>
        <v>-11439184</v>
      </c>
      <c r="I29" s="1571"/>
      <c r="J29" s="1571"/>
      <c r="K29" s="1571"/>
      <c r="L29" s="1571"/>
      <c r="M29" s="1571"/>
      <c r="N29" s="1571"/>
      <c r="O29" s="1571"/>
      <c r="P29" s="1285"/>
      <c r="Q29" s="1571"/>
      <c r="R29" s="1571"/>
      <c r="S29" s="1571"/>
    </row>
    <row r="30" spans="1:19">
      <c r="B30" s="1180"/>
      <c r="C30" s="1180"/>
      <c r="D30" s="1180"/>
      <c r="E30" s="1180"/>
      <c r="F30" s="1571"/>
      <c r="G30" s="239"/>
      <c r="H30" s="1426"/>
      <c r="I30" s="1571"/>
      <c r="J30" s="1571"/>
      <c r="K30" s="1571"/>
      <c r="L30" s="1571"/>
      <c r="M30" s="1571"/>
      <c r="N30" s="1571"/>
      <c r="O30" s="1571"/>
      <c r="P30" s="1285"/>
      <c r="Q30" s="1571"/>
      <c r="R30" s="1571"/>
      <c r="S30" s="1571"/>
    </row>
    <row r="31" spans="1:19">
      <c r="B31" s="1180"/>
      <c r="C31" s="1180"/>
      <c r="D31" s="1180"/>
      <c r="E31" s="1180"/>
      <c r="F31" s="1571"/>
      <c r="G31" s="1571"/>
      <c r="H31" s="1426"/>
      <c r="I31" s="1571"/>
      <c r="J31" s="1571"/>
      <c r="K31" s="1571"/>
      <c r="L31" s="1571"/>
      <c r="M31" s="1571"/>
      <c r="N31" s="1571"/>
      <c r="O31" s="1571"/>
      <c r="P31" s="1285"/>
      <c r="Q31" s="1571"/>
      <c r="R31" s="1571"/>
      <c r="S31" s="1571"/>
    </row>
    <row r="32" spans="1:19">
      <c r="A32" s="1670"/>
      <c r="B32" s="1179" t="s">
        <v>112</v>
      </c>
      <c r="C32" s="1180"/>
      <c r="D32" s="1180"/>
      <c r="E32" s="1180"/>
      <c r="F32" s="1571"/>
      <c r="G32" s="1571"/>
      <c r="H32" s="1483">
        <f>-R78</f>
        <v>-8758000</v>
      </c>
      <c r="I32" s="1571"/>
      <c r="J32" s="1571"/>
      <c r="K32" s="1571"/>
      <c r="L32" s="1571"/>
      <c r="M32" s="1571"/>
      <c r="N32" s="1571"/>
      <c r="O32" s="1571"/>
      <c r="P32" s="1285"/>
      <c r="Q32" s="1571"/>
      <c r="R32" s="1571"/>
      <c r="S32" s="1571"/>
    </row>
    <row r="33" spans="1:19" ht="15">
      <c r="A33" s="1670"/>
      <c r="B33" s="1179" t="s">
        <v>416</v>
      </c>
      <c r="C33" s="1180"/>
      <c r="D33" s="1180"/>
      <c r="E33" s="1180"/>
      <c r="F33" s="1571"/>
      <c r="G33" s="1571"/>
      <c r="H33" s="1480">
        <f>-R84</f>
        <v>204693</v>
      </c>
      <c r="I33" s="1571"/>
      <c r="J33" s="1571"/>
      <c r="K33" s="1571"/>
      <c r="L33" s="1571"/>
      <c r="M33" s="1571"/>
      <c r="N33" s="1571"/>
      <c r="O33" s="1571"/>
      <c r="P33" s="1285"/>
      <c r="Q33" s="1571"/>
      <c r="R33" s="1571"/>
      <c r="S33" s="1571"/>
    </row>
    <row r="34" spans="1:19">
      <c r="A34" s="1670"/>
      <c r="B34" s="1179"/>
      <c r="C34" s="1180"/>
      <c r="D34" s="1180"/>
      <c r="E34" s="1180"/>
      <c r="F34" s="1571"/>
      <c r="G34" s="1571"/>
      <c r="H34" s="1483">
        <f>SUM(H32:H33)</f>
        <v>-8553307</v>
      </c>
      <c r="I34" s="1571"/>
      <c r="J34" s="1571"/>
      <c r="K34" s="1571"/>
      <c r="L34" s="1571"/>
      <c r="M34" s="1571"/>
      <c r="N34" s="1571"/>
      <c r="O34" s="1571"/>
      <c r="P34" s="1285"/>
      <c r="Q34" s="1571"/>
      <c r="R34" s="1571"/>
      <c r="S34" s="1571"/>
    </row>
    <row r="35" spans="1:19" ht="15">
      <c r="A35" s="1670"/>
      <c r="B35" s="1179"/>
      <c r="C35" s="1180"/>
      <c r="D35" s="1180"/>
      <c r="E35" s="1180"/>
      <c r="F35" s="1571"/>
      <c r="G35" s="1571"/>
      <c r="H35" s="1374"/>
      <c r="I35" s="1571"/>
      <c r="J35" s="1571"/>
      <c r="K35" s="1571"/>
      <c r="L35" s="1571"/>
      <c r="M35" s="1571"/>
      <c r="N35" s="1571"/>
      <c r="O35" s="1571"/>
      <c r="P35" s="1285"/>
      <c r="Q35" s="1571"/>
      <c r="R35" s="1571"/>
      <c r="S35" s="1571"/>
    </row>
    <row r="36" spans="1:19">
      <c r="B36" s="1179" t="s">
        <v>266</v>
      </c>
      <c r="C36" s="1180"/>
      <c r="D36" s="1180"/>
      <c r="E36" s="1180"/>
      <c r="F36" s="1571"/>
      <c r="G36" s="1571"/>
      <c r="H36" s="1425">
        <f>VLOOKUP(C54,ALLOCTABLE,2)/100</f>
        <v>1</v>
      </c>
      <c r="I36" s="1571"/>
      <c r="J36" s="1571"/>
      <c r="K36" s="1571"/>
      <c r="L36" s="1571"/>
      <c r="M36" s="1571"/>
      <c r="N36" s="1571"/>
      <c r="O36" s="1571"/>
      <c r="P36" s="1285"/>
      <c r="Q36" s="1571"/>
      <c r="R36" s="1571"/>
      <c r="S36" s="1571"/>
    </row>
    <row r="37" spans="1:19">
      <c r="B37" s="1180"/>
      <c r="C37" s="1180"/>
      <c r="D37" s="1180"/>
      <c r="E37" s="1180"/>
      <c r="F37" s="1571"/>
      <c r="G37" s="1571"/>
      <c r="H37" s="1426"/>
      <c r="I37" s="1571"/>
      <c r="J37" s="1571"/>
      <c r="K37" s="1571"/>
      <c r="L37" s="1571"/>
      <c r="M37" s="1571"/>
      <c r="N37" s="1571"/>
      <c r="O37" s="1571"/>
      <c r="P37" s="1285"/>
      <c r="Q37" s="1571"/>
      <c r="R37" s="1571"/>
      <c r="S37" s="1571"/>
    </row>
    <row r="38" spans="1:19">
      <c r="B38" s="1180"/>
      <c r="C38" s="1180"/>
      <c r="D38" s="1180"/>
      <c r="E38" s="1180"/>
      <c r="F38" s="1571"/>
      <c r="G38" s="1571"/>
      <c r="H38" s="1180"/>
      <c r="I38" s="1571"/>
      <c r="J38" s="1571"/>
      <c r="K38" s="1571"/>
      <c r="L38" s="1571"/>
      <c r="M38" s="1571"/>
      <c r="N38" s="1571"/>
      <c r="O38" s="1571"/>
      <c r="P38" s="1285"/>
      <c r="Q38" s="1571"/>
      <c r="R38" s="1571"/>
      <c r="S38" s="1571"/>
    </row>
    <row r="39" spans="1:19" ht="15">
      <c r="B39" s="1179" t="s">
        <v>1236</v>
      </c>
      <c r="C39" s="1180"/>
      <c r="D39" s="1180"/>
      <c r="E39" s="1179" t="s">
        <v>1213</v>
      </c>
      <c r="F39" s="1571"/>
      <c r="G39" s="1571"/>
      <c r="H39" s="1427">
        <f>ROUND(H34*H36,0)</f>
        <v>-8553307</v>
      </c>
      <c r="I39" s="1571"/>
      <c r="J39" s="1571"/>
      <c r="K39" s="1571"/>
      <c r="L39" s="1571"/>
      <c r="M39" s="1571"/>
      <c r="N39" s="1571"/>
      <c r="O39" s="1571"/>
      <c r="P39" s="1285"/>
      <c r="Q39" s="1571"/>
      <c r="R39" s="1571"/>
      <c r="S39" s="1571"/>
    </row>
    <row r="40" spans="1:19">
      <c r="B40" s="1179"/>
      <c r="C40" s="1180"/>
      <c r="D40" s="1180"/>
      <c r="E40" s="1180"/>
      <c r="F40" s="1571"/>
      <c r="G40" s="1571"/>
      <c r="H40" s="1487"/>
      <c r="I40" s="1571"/>
      <c r="J40" s="1571"/>
      <c r="K40" s="1571"/>
      <c r="L40" s="1571"/>
      <c r="M40" s="1571"/>
      <c r="N40" s="1571"/>
      <c r="O40" s="1571"/>
      <c r="P40" s="1285"/>
      <c r="Q40" s="1571"/>
      <c r="R40" s="1571"/>
      <c r="S40" s="1571"/>
    </row>
    <row r="41" spans="1:19">
      <c r="B41" s="1179"/>
      <c r="C41" s="1180"/>
      <c r="D41" s="1180"/>
      <c r="E41" s="1180"/>
      <c r="F41" s="1571"/>
      <c r="G41" s="1571"/>
      <c r="H41" s="1487"/>
      <c r="I41" s="1571"/>
      <c r="J41" s="1571"/>
      <c r="K41" s="1571"/>
      <c r="L41" s="1571"/>
      <c r="M41" s="1571"/>
      <c r="N41" s="1571"/>
      <c r="O41" s="1571"/>
      <c r="P41" s="1285"/>
      <c r="Q41" s="1571"/>
      <c r="R41" s="1571"/>
      <c r="S41" s="1571"/>
    </row>
    <row r="42" spans="1:19">
      <c r="B42" s="1179" t="s">
        <v>1827</v>
      </c>
      <c r="C42" s="1180"/>
      <c r="D42" s="1180"/>
      <c r="E42" s="1180"/>
      <c r="F42" s="1571"/>
      <c r="G42" s="1571"/>
      <c r="H42" s="1483">
        <f>-R92</f>
        <v>-241</v>
      </c>
      <c r="I42" s="1571"/>
      <c r="J42" s="1571"/>
      <c r="K42" s="1571"/>
      <c r="L42" s="1571"/>
      <c r="M42" s="1571"/>
      <c r="N42" s="1571"/>
      <c r="O42" s="1571"/>
      <c r="P42" s="1285"/>
      <c r="Q42" s="1571"/>
      <c r="R42" s="1571"/>
      <c r="S42" s="1571"/>
    </row>
    <row r="43" spans="1:19">
      <c r="B43" s="1179" t="s">
        <v>2713</v>
      </c>
      <c r="C43" s="1180"/>
      <c r="D43" s="1180"/>
      <c r="E43" s="1180"/>
      <c r="F43" s="1571"/>
      <c r="G43" s="1571"/>
      <c r="H43" s="1586">
        <f>-R87</f>
        <v>-1062000</v>
      </c>
      <c r="I43" s="1571"/>
      <c r="J43" s="2302"/>
      <c r="K43" s="1571"/>
      <c r="L43" s="1571"/>
      <c r="M43" s="1571"/>
      <c r="N43" s="1571"/>
      <c r="O43" s="1571"/>
      <c r="P43" s="1285"/>
      <c r="Q43" s="1571"/>
      <c r="R43" s="1571"/>
      <c r="S43" s="1571"/>
    </row>
    <row r="44" spans="1:19" ht="15">
      <c r="B44" s="1179" t="s">
        <v>975</v>
      </c>
      <c r="C44" s="1180"/>
      <c r="D44" s="1180"/>
      <c r="E44" s="1180"/>
      <c r="F44" s="1571"/>
      <c r="G44" s="1571"/>
      <c r="H44" s="1486">
        <v>0</v>
      </c>
      <c r="I44" s="1571"/>
      <c r="J44" s="1571"/>
      <c r="K44" s="1571"/>
      <c r="L44" s="1571"/>
      <c r="M44" s="1571"/>
      <c r="N44" s="1571"/>
      <c r="O44" s="1571"/>
      <c r="P44" s="1285"/>
      <c r="Q44" s="1571"/>
      <c r="R44" s="1571"/>
      <c r="S44" s="1571"/>
    </row>
    <row r="45" spans="1:19">
      <c r="B45" s="1179" t="s">
        <v>113</v>
      </c>
      <c r="C45" s="1180"/>
      <c r="D45" s="1180"/>
      <c r="E45" s="1180"/>
      <c r="F45" s="1571"/>
      <c r="G45" s="1571"/>
      <c r="H45" s="1375">
        <f>SUM(H42:H44)</f>
        <v>-1062241</v>
      </c>
      <c r="I45" s="1571"/>
      <c r="J45" s="1571"/>
      <c r="K45" s="1571"/>
      <c r="L45" s="1571"/>
      <c r="M45" s="1571"/>
      <c r="N45" s="1571"/>
      <c r="O45" s="1571"/>
      <c r="P45" s="1285"/>
      <c r="Q45" s="1571"/>
      <c r="R45" s="1571"/>
      <c r="S45" s="1571"/>
    </row>
    <row r="46" spans="1:19">
      <c r="B46" s="1180"/>
      <c r="C46" s="1180"/>
      <c r="D46" s="1180"/>
      <c r="E46" s="1180"/>
      <c r="F46" s="1571"/>
      <c r="G46" s="1571"/>
      <c r="H46" s="1180"/>
      <c r="I46" s="1571"/>
      <c r="J46" s="1571"/>
      <c r="K46" s="1571"/>
      <c r="L46" s="1571"/>
      <c r="M46" s="1571"/>
      <c r="N46" s="1571"/>
      <c r="O46" s="1571"/>
      <c r="P46" s="1285"/>
      <c r="Q46" s="1571"/>
      <c r="R46" s="1571"/>
      <c r="S46" s="1571"/>
    </row>
    <row r="47" spans="1:19">
      <c r="B47" s="1179" t="s">
        <v>266</v>
      </c>
      <c r="C47" s="1180"/>
      <c r="D47" s="1180"/>
      <c r="E47" s="1180"/>
      <c r="F47" s="1571"/>
      <c r="G47" s="1571"/>
      <c r="H47" s="1425">
        <f>VLOOKUP(C54,ALLOCTABLE,2)/100</f>
        <v>1</v>
      </c>
      <c r="I47" s="1571"/>
      <c r="J47" s="1571"/>
      <c r="K47" s="1571"/>
      <c r="L47" s="1571"/>
      <c r="M47" s="1571"/>
      <c r="N47" s="1571"/>
      <c r="O47" s="1571"/>
      <c r="P47" s="1285"/>
      <c r="Q47" s="1571"/>
      <c r="R47" s="1571"/>
      <c r="S47" s="1571"/>
    </row>
    <row r="48" spans="1:19">
      <c r="B48" s="1180"/>
      <c r="C48" s="1180"/>
      <c r="D48" s="1180"/>
      <c r="E48" s="1180"/>
      <c r="F48" s="1571"/>
      <c r="G48" s="1571"/>
      <c r="H48" s="1426"/>
      <c r="I48" s="1571"/>
      <c r="J48" s="1571"/>
      <c r="K48" s="1571"/>
      <c r="L48" s="1571"/>
      <c r="M48" s="1571"/>
      <c r="N48" s="1571"/>
      <c r="O48" s="1571"/>
      <c r="P48" s="1285"/>
      <c r="Q48" s="1571"/>
      <c r="R48" s="1571"/>
      <c r="S48" s="1571"/>
    </row>
    <row r="49" spans="2:19">
      <c r="B49" s="1180"/>
      <c r="C49" s="1180"/>
      <c r="D49" s="1180"/>
      <c r="E49" s="1180"/>
      <c r="F49" s="1571"/>
      <c r="G49" s="1571"/>
      <c r="H49" s="1180"/>
      <c r="I49" s="1571"/>
      <c r="J49" s="1571"/>
      <c r="K49" s="1571"/>
      <c r="L49" s="1571"/>
      <c r="M49" s="1571"/>
      <c r="N49" s="1571"/>
      <c r="O49" s="1571"/>
      <c r="P49" s="1285"/>
      <c r="Q49" s="1571"/>
      <c r="R49" s="1571"/>
      <c r="S49" s="1571"/>
    </row>
    <row r="50" spans="2:19" ht="15">
      <c r="B50" s="1179" t="s">
        <v>1236</v>
      </c>
      <c r="C50" s="1180"/>
      <c r="D50" s="1180"/>
      <c r="E50" s="1179" t="s">
        <v>1213</v>
      </c>
      <c r="F50" s="1178"/>
      <c r="G50" s="1178"/>
      <c r="H50" s="1427">
        <f>ROUND(H45*H47,0)</f>
        <v>-1062241</v>
      </c>
      <c r="I50" s="1571"/>
      <c r="J50" s="1571"/>
      <c r="K50" s="1571"/>
      <c r="L50" s="1571"/>
      <c r="M50" s="1571"/>
      <c r="N50" s="1571"/>
      <c r="O50" s="1571"/>
      <c r="P50" s="1285"/>
      <c r="Q50" s="1571"/>
      <c r="R50" s="1571"/>
      <c r="S50" s="1571"/>
    </row>
    <row r="51" spans="2:19">
      <c r="B51" s="1180"/>
      <c r="C51" s="1180"/>
      <c r="D51" s="1180"/>
      <c r="E51" s="1180"/>
      <c r="F51" s="1178"/>
      <c r="G51" s="1178"/>
      <c r="H51" s="1426"/>
      <c r="I51" s="1571"/>
      <c r="J51" s="1571"/>
      <c r="K51" s="1571"/>
      <c r="L51" s="1571"/>
      <c r="M51" s="1571"/>
      <c r="N51" s="1571"/>
      <c r="O51" s="1571"/>
      <c r="P51" s="1285"/>
      <c r="Q51" s="1571"/>
      <c r="R51" s="1571"/>
      <c r="S51" s="1571"/>
    </row>
    <row r="52" spans="2:19">
      <c r="B52" s="637"/>
      <c r="C52" s="1571"/>
      <c r="D52" s="1571"/>
      <c r="E52" s="1571"/>
      <c r="F52" s="1571"/>
      <c r="G52" s="1571"/>
      <c r="H52" s="1571"/>
      <c r="I52" s="1571"/>
      <c r="J52" s="1571"/>
      <c r="K52" s="1571"/>
      <c r="L52" s="1571"/>
      <c r="M52" s="1571"/>
      <c r="N52" s="1571"/>
      <c r="O52" s="1571"/>
      <c r="P52" s="1285"/>
      <c r="Q52" s="1571"/>
      <c r="R52" s="1571"/>
      <c r="S52" s="1571"/>
    </row>
    <row r="53" spans="2:19">
      <c r="B53" s="637"/>
      <c r="C53" s="1571"/>
      <c r="D53" s="1571"/>
      <c r="E53" s="1571"/>
      <c r="F53" s="1571"/>
      <c r="G53" s="1571"/>
      <c r="H53" s="1571"/>
      <c r="I53" s="1571"/>
      <c r="J53" s="1571"/>
      <c r="K53" s="1571"/>
      <c r="L53" s="1571"/>
      <c r="M53" s="1571"/>
      <c r="N53" s="1571"/>
      <c r="O53" s="1571"/>
      <c r="P53" s="1285"/>
      <c r="Q53" s="1571"/>
      <c r="R53" s="1571"/>
      <c r="S53" s="1571"/>
    </row>
    <row r="54" spans="2:19">
      <c r="B54" s="1179" t="s">
        <v>1237</v>
      </c>
      <c r="C54" s="2149" t="s">
        <v>593</v>
      </c>
      <c r="D54" s="1571"/>
      <c r="E54" s="2200"/>
      <c r="F54" s="1571"/>
      <c r="G54" s="1571"/>
      <c r="H54" s="1571"/>
      <c r="I54" s="1571"/>
      <c r="J54" s="1571"/>
      <c r="K54" s="1571"/>
      <c r="L54" s="1571"/>
      <c r="M54" s="1571"/>
      <c r="N54" s="1571"/>
      <c r="O54" s="1571"/>
      <c r="P54" s="1285"/>
      <c r="Q54" s="1571"/>
      <c r="R54" s="1571"/>
      <c r="S54" s="1571"/>
    </row>
    <row r="55" spans="2:19">
      <c r="B55" s="1571"/>
      <c r="C55" s="1571"/>
      <c r="D55" s="1571"/>
      <c r="E55" s="1571"/>
      <c r="F55" s="1571"/>
      <c r="G55" s="1571"/>
      <c r="H55" s="1571"/>
      <c r="I55" s="1571"/>
      <c r="J55" s="1571"/>
      <c r="K55" s="1571"/>
      <c r="L55" s="1571"/>
      <c r="M55" s="1571"/>
      <c r="N55" s="1571"/>
      <c r="O55" s="1571"/>
      <c r="P55" s="1285"/>
      <c r="Q55" s="1571"/>
      <c r="R55" s="1571"/>
      <c r="S55" s="1571"/>
    </row>
    <row r="56" spans="2:19">
      <c r="B56" s="1571"/>
      <c r="C56" s="1571"/>
      <c r="D56" s="1571"/>
      <c r="E56" s="1571"/>
      <c r="F56" s="1571"/>
      <c r="G56" s="1571"/>
      <c r="H56" s="1571"/>
      <c r="I56" s="1571"/>
      <c r="J56" s="234"/>
      <c r="K56" s="1571"/>
      <c r="L56" s="1571"/>
      <c r="M56" s="1571"/>
      <c r="N56" s="1571"/>
      <c r="O56" s="1571"/>
      <c r="P56" s="1285"/>
      <c r="Q56" s="1571"/>
      <c r="R56" s="1571"/>
      <c r="S56" s="1571"/>
    </row>
    <row r="57" spans="2:19">
      <c r="B57" s="1571"/>
      <c r="C57" s="1571"/>
      <c r="D57" s="1571"/>
      <c r="E57" s="1571"/>
      <c r="F57" s="1571"/>
      <c r="G57" s="1571"/>
      <c r="H57" s="1571"/>
      <c r="I57" s="1571"/>
      <c r="J57" s="234"/>
      <c r="K57" s="1571"/>
      <c r="L57" s="1571"/>
      <c r="M57" s="1571"/>
      <c r="N57" s="1571"/>
      <c r="O57" s="1571"/>
      <c r="P57" s="1285"/>
      <c r="Q57" s="1571"/>
      <c r="R57" s="1571"/>
      <c r="S57" s="1571"/>
    </row>
    <row r="58" spans="2:19">
      <c r="B58" s="1571"/>
      <c r="C58" s="1571"/>
      <c r="D58" s="1571"/>
      <c r="E58" s="1571"/>
      <c r="F58" s="1571"/>
      <c r="G58" s="1571"/>
      <c r="H58" s="1571"/>
      <c r="I58" s="1571"/>
      <c r="J58" s="234"/>
      <c r="K58" s="1571"/>
      <c r="L58" s="1571"/>
      <c r="M58" s="1571"/>
      <c r="N58" s="1571"/>
      <c r="O58" s="1571"/>
      <c r="P58" s="1285"/>
      <c r="Q58" s="1571"/>
      <c r="R58" s="1571"/>
      <c r="S58" s="1571"/>
    </row>
    <row r="59" spans="2:19">
      <c r="B59" s="1571"/>
      <c r="C59" s="1571"/>
      <c r="D59" s="1571"/>
      <c r="E59" s="1571"/>
      <c r="F59" s="1571"/>
      <c r="G59" s="1571"/>
      <c r="H59" s="1571"/>
      <c r="I59" s="1571"/>
      <c r="J59" s="234"/>
      <c r="K59" s="1571"/>
      <c r="L59" s="1571"/>
      <c r="M59" s="1571"/>
      <c r="N59" s="1571"/>
      <c r="O59" s="1571"/>
      <c r="P59" s="1285"/>
      <c r="Q59" s="1571"/>
      <c r="R59" s="1571"/>
      <c r="S59" s="1571"/>
    </row>
    <row r="60" spans="2:19">
      <c r="B60" s="1571"/>
      <c r="C60" s="1571"/>
      <c r="D60" s="1571"/>
      <c r="E60" s="1571"/>
      <c r="F60" s="1571"/>
      <c r="G60" s="1571"/>
      <c r="H60" s="1571"/>
      <c r="I60" s="1571"/>
      <c r="J60" s="234"/>
      <c r="K60" s="1571"/>
      <c r="L60" s="1571"/>
      <c r="M60" s="1571"/>
      <c r="N60" s="1571"/>
      <c r="O60" s="1571"/>
      <c r="P60" s="1285"/>
      <c r="R60" s="1571"/>
      <c r="S60" s="1571"/>
    </row>
    <row r="61" spans="2:19">
      <c r="B61" s="1571"/>
      <c r="C61" s="1571"/>
      <c r="D61" s="1571"/>
      <c r="E61" s="1571"/>
      <c r="F61" s="1571"/>
      <c r="G61" s="1571"/>
      <c r="H61" s="1571"/>
      <c r="I61" s="1571"/>
      <c r="J61" s="234"/>
      <c r="K61" s="1571"/>
      <c r="L61" s="1571"/>
      <c r="M61" s="1571"/>
      <c r="N61" s="1571"/>
      <c r="O61" s="1571"/>
      <c r="P61" s="1285"/>
      <c r="S61" s="1571"/>
    </row>
    <row r="62" spans="2:19">
      <c r="B62" s="1571"/>
      <c r="C62" s="1571"/>
      <c r="D62" s="1571"/>
      <c r="E62" s="1571"/>
      <c r="F62" s="1571"/>
      <c r="G62" s="1571"/>
      <c r="H62" s="1571"/>
      <c r="I62" s="1571"/>
      <c r="J62" s="1629" t="s">
        <v>1387</v>
      </c>
      <c r="K62" s="530"/>
      <c r="L62" s="530"/>
      <c r="M62" s="530"/>
      <c r="N62" s="530"/>
      <c r="O62" s="530"/>
      <c r="P62" s="2112"/>
      <c r="Q62" s="2106" t="s">
        <v>2384</v>
      </c>
      <c r="S62" s="530"/>
    </row>
    <row r="63" spans="2:19">
      <c r="B63" s="1571"/>
      <c r="C63" s="1571"/>
      <c r="D63" s="1571"/>
      <c r="E63" s="1571"/>
      <c r="F63" s="1571"/>
      <c r="G63" s="1571"/>
      <c r="H63" s="1571"/>
      <c r="I63" s="1571"/>
      <c r="J63" s="1629" t="s">
        <v>695</v>
      </c>
      <c r="K63" s="530"/>
      <c r="L63" s="530"/>
      <c r="M63" s="530"/>
      <c r="N63" s="530"/>
      <c r="O63" s="530"/>
      <c r="P63" s="2112"/>
      <c r="Q63" s="1629" t="s">
        <v>1239</v>
      </c>
      <c r="S63" s="530"/>
    </row>
    <row r="64" spans="2:19">
      <c r="B64" s="1571"/>
      <c r="C64" s="1571"/>
      <c r="D64" s="1571"/>
      <c r="E64" s="1571"/>
      <c r="F64" s="1571"/>
      <c r="G64" s="1571"/>
      <c r="H64" s="1571"/>
      <c r="I64" s="1571"/>
      <c r="J64" s="1629" t="str">
        <f>CASE</f>
        <v>CASE NO. 2017-00321</v>
      </c>
      <c r="K64" s="530"/>
      <c r="L64" s="530"/>
      <c r="M64" s="530"/>
      <c r="N64" s="530"/>
      <c r="O64" s="530"/>
      <c r="P64" s="2112"/>
      <c r="Q64" s="530" t="str">
        <f>_WIT1</f>
        <v>S. E. LAWLER</v>
      </c>
      <c r="R64" s="530"/>
      <c r="S64" s="530"/>
    </row>
    <row r="65" spans="2:20">
      <c r="B65" s="1571"/>
      <c r="C65" s="1571"/>
      <c r="D65" s="1571"/>
      <c r="E65" s="1571"/>
      <c r="F65" s="1571"/>
      <c r="G65" s="1571"/>
      <c r="H65" s="1571"/>
      <c r="I65" s="1571"/>
      <c r="J65" s="1629" t="str">
        <f>B3</f>
        <v>ELIMINATE NON-NATIVE REVENUE AND EXPENSE</v>
      </c>
      <c r="K65" s="530"/>
      <c r="L65" s="530"/>
      <c r="M65" s="530"/>
      <c r="N65" s="530"/>
      <c r="O65" s="530"/>
      <c r="P65" s="2112"/>
      <c r="Q65" s="530"/>
      <c r="R65" s="530"/>
      <c r="S65" s="530"/>
    </row>
    <row r="66" spans="2:20">
      <c r="B66" s="1571"/>
      <c r="C66" s="1571"/>
      <c r="D66" s="1571"/>
      <c r="E66" s="1571"/>
      <c r="F66" s="1571"/>
      <c r="G66" s="1571"/>
      <c r="H66" s="1571"/>
      <c r="I66" s="1571"/>
      <c r="J66" s="1475"/>
      <c r="K66" s="1475"/>
      <c r="L66" s="1475"/>
      <c r="M66" s="1475"/>
      <c r="N66" s="1475"/>
      <c r="O66" s="1475"/>
      <c r="P66" s="2112"/>
      <c r="Q66" s="1475"/>
      <c r="R66" s="1475"/>
      <c r="S66" s="1475"/>
    </row>
    <row r="67" spans="2:20">
      <c r="B67" s="1571"/>
      <c r="C67" s="1571"/>
      <c r="D67" s="1571"/>
      <c r="E67" s="1571"/>
      <c r="F67" s="1571"/>
      <c r="G67" s="1571"/>
      <c r="H67" s="1571"/>
      <c r="I67" s="1571"/>
      <c r="J67" s="1475"/>
      <c r="K67" s="1475"/>
      <c r="L67" s="1475"/>
      <c r="M67" s="1475"/>
      <c r="N67" s="1475"/>
      <c r="O67" s="1475"/>
      <c r="P67" s="2112"/>
      <c r="Q67" s="1475"/>
      <c r="R67" s="1475"/>
      <c r="S67" s="1475"/>
    </row>
    <row r="68" spans="2:20">
      <c r="B68" s="1571"/>
      <c r="C68" s="1571"/>
      <c r="D68" s="1571"/>
      <c r="E68" s="1571"/>
      <c r="F68" s="1571"/>
      <c r="G68" s="1571"/>
      <c r="H68" s="1571"/>
      <c r="I68" s="1571"/>
      <c r="J68" s="1423" t="s">
        <v>1240</v>
      </c>
      <c r="K68" s="1423"/>
      <c r="L68" s="2303"/>
      <c r="M68" s="2303"/>
      <c r="N68" s="2303"/>
      <c r="O68" s="2303"/>
      <c r="P68" s="2112"/>
      <c r="Q68" s="1475"/>
      <c r="R68" s="1373"/>
      <c r="S68" s="1373"/>
    </row>
    <row r="69" spans="2:20">
      <c r="B69" s="1571"/>
      <c r="C69" s="1571"/>
      <c r="D69" s="1571"/>
      <c r="E69" s="1571"/>
      <c r="F69" s="1571"/>
      <c r="G69" s="1571"/>
      <c r="H69" s="1571"/>
      <c r="I69" s="1571"/>
      <c r="J69" s="1424" t="s">
        <v>1241</v>
      </c>
      <c r="K69" s="1424"/>
      <c r="L69" s="2304" t="s">
        <v>359</v>
      </c>
      <c r="M69" s="2304"/>
      <c r="N69" s="2304" t="s">
        <v>1119</v>
      </c>
      <c r="O69" s="2304"/>
      <c r="P69" s="2112"/>
      <c r="Q69" s="1475"/>
      <c r="R69" s="2305" t="s">
        <v>646</v>
      </c>
      <c r="S69" s="2305"/>
    </row>
    <row r="70" spans="2:20">
      <c r="B70" s="1571"/>
      <c r="C70" s="1571"/>
      <c r="D70" s="1571"/>
      <c r="E70" s="1571"/>
      <c r="F70" s="1571"/>
      <c r="G70" s="1571"/>
      <c r="H70" s="1571"/>
      <c r="I70" s="1571"/>
      <c r="J70" s="1475"/>
      <c r="K70" s="1475"/>
      <c r="L70" s="1485"/>
      <c r="M70" s="1485"/>
      <c r="N70" s="1485"/>
      <c r="O70" s="1485"/>
      <c r="P70" s="2112"/>
      <c r="Q70" s="1485"/>
      <c r="R70" s="2306"/>
      <c r="S70" s="2306"/>
    </row>
    <row r="71" spans="2:20">
      <c r="B71" s="1571"/>
      <c r="C71" s="1571"/>
      <c r="D71" s="1571"/>
      <c r="E71" s="1571"/>
      <c r="F71" s="1571"/>
      <c r="G71" s="1571"/>
      <c r="H71" s="1571"/>
      <c r="I71" s="1571"/>
      <c r="J71" s="1694">
        <v>1</v>
      </c>
      <c r="K71" s="1475"/>
      <c r="L71" s="1482" t="s">
        <v>1416</v>
      </c>
      <c r="M71" s="1482"/>
      <c r="N71" s="1485"/>
      <c r="O71" s="1485"/>
      <c r="P71" s="2112"/>
      <c r="Q71" s="1485"/>
      <c r="R71" s="2306"/>
      <c r="S71" s="2306"/>
    </row>
    <row r="72" spans="2:20">
      <c r="B72" s="1571"/>
      <c r="C72" s="1571"/>
      <c r="D72" s="1571"/>
      <c r="E72" s="1571"/>
      <c r="F72" s="1571"/>
      <c r="G72" s="1571"/>
      <c r="H72" s="1571"/>
      <c r="I72" s="1571"/>
      <c r="J72" s="1694">
        <v>2</v>
      </c>
      <c r="K72" s="1475"/>
      <c r="L72" s="1727">
        <v>447150</v>
      </c>
      <c r="M72" s="1727"/>
      <c r="N72" s="1485" t="str">
        <f>VLOOKUP(L72,FPERIOD,2,FALSE)</f>
        <v>Sales For Resale - Outside</v>
      </c>
      <c r="O72" s="1485"/>
      <c r="P72" s="2112"/>
      <c r="Q72" s="1485"/>
      <c r="R72" s="1689">
        <f>VLOOKUP(L72,FPERIOD,5,FALSE)</f>
        <v>11959000</v>
      </c>
      <c r="S72" s="1373"/>
      <c r="T72" s="45"/>
    </row>
    <row r="73" spans="2:20">
      <c r="B73" s="1571"/>
      <c r="C73" s="1571"/>
      <c r="D73" s="1571"/>
      <c r="E73" s="1571"/>
      <c r="F73" s="1571"/>
      <c r="G73" s="1571"/>
      <c r="H73" s="1571"/>
      <c r="I73" s="1571"/>
      <c r="J73" s="1694">
        <v>3</v>
      </c>
      <c r="K73" s="1475"/>
      <c r="L73" s="1727">
        <v>457204</v>
      </c>
      <c r="M73" s="1727"/>
      <c r="N73" s="1485" t="s">
        <v>2713</v>
      </c>
      <c r="O73" s="1485"/>
      <c r="P73" s="2112"/>
      <c r="Q73" s="1485"/>
      <c r="R73" s="2307">
        <f>VLOOKUP(L73,FPERIOD,5,FALSE)</f>
        <v>1881230</v>
      </c>
      <c r="S73" s="1373"/>
      <c r="T73" s="45"/>
    </row>
    <row r="74" spans="2:20" ht="15">
      <c r="B74" s="1571"/>
      <c r="C74" s="1571"/>
      <c r="D74" s="1571"/>
      <c r="E74" s="1571"/>
      <c r="F74" s="1571"/>
      <c r="G74" s="1571"/>
      <c r="H74" s="1571"/>
      <c r="I74" s="1571"/>
      <c r="J74" s="1694">
        <v>4</v>
      </c>
      <c r="K74" s="1571"/>
      <c r="L74" s="1727" t="s">
        <v>1209</v>
      </c>
      <c r="M74" s="1727"/>
      <c r="N74" s="1485" t="s">
        <v>2589</v>
      </c>
      <c r="O74" s="1485"/>
      <c r="P74" s="2112"/>
      <c r="Q74" s="1485"/>
      <c r="R74" s="1728">
        <f>SUM(WPC_2!AK207:AK211)</f>
        <v>-2401046</v>
      </c>
      <c r="S74" s="1373"/>
      <c r="T74" s="45"/>
    </row>
    <row r="75" spans="2:20">
      <c r="B75" s="1571"/>
      <c r="C75" s="1571"/>
      <c r="D75" s="1571"/>
      <c r="E75" s="1571"/>
      <c r="F75" s="1571"/>
      <c r="G75" s="1571"/>
      <c r="H75" s="1571"/>
      <c r="I75" s="1571"/>
      <c r="J75" s="1694">
        <v>5</v>
      </c>
      <c r="K75" s="1571"/>
      <c r="L75" s="1727"/>
      <c r="M75" s="1727"/>
      <c r="N75" s="1485" t="s">
        <v>1243</v>
      </c>
      <c r="O75" s="1485"/>
      <c r="P75" s="2112"/>
      <c r="Q75" s="1485"/>
      <c r="R75" s="1689">
        <f>SUM(R72:R74)</f>
        <v>11439184</v>
      </c>
      <c r="S75" s="1373"/>
      <c r="T75" s="45"/>
    </row>
    <row r="76" spans="2:20">
      <c r="B76" s="1571"/>
      <c r="C76" s="1571"/>
      <c r="D76" s="1571"/>
      <c r="E76" s="1571"/>
      <c r="F76" s="1571"/>
      <c r="G76" s="1571"/>
      <c r="H76" s="1571"/>
      <c r="I76" s="1571"/>
      <c r="J76" s="1694">
        <v>6</v>
      </c>
      <c r="K76" s="1571"/>
      <c r="L76" s="1485"/>
      <c r="M76" s="1485"/>
      <c r="N76" s="1485"/>
      <c r="O76" s="1485"/>
      <c r="P76" s="2112"/>
      <c r="Q76" s="1485"/>
      <c r="R76" s="1373"/>
      <c r="S76" s="1373"/>
      <c r="T76" s="45"/>
    </row>
    <row r="77" spans="2:20">
      <c r="B77" s="1571"/>
      <c r="C77" s="1571"/>
      <c r="D77" s="1571"/>
      <c r="E77" s="1571"/>
      <c r="F77" s="1571"/>
      <c r="G77" s="1571"/>
      <c r="H77" s="1571"/>
      <c r="I77" s="1571"/>
      <c r="J77" s="1694">
        <v>7</v>
      </c>
      <c r="K77" s="1571"/>
      <c r="L77" s="1482" t="s">
        <v>1624</v>
      </c>
      <c r="M77" s="1482"/>
      <c r="N77" s="1485"/>
      <c r="O77" s="1485"/>
      <c r="P77" s="2112"/>
      <c r="Q77" s="1485"/>
      <c r="R77" s="1373"/>
      <c r="S77" s="1373"/>
      <c r="T77" s="45"/>
    </row>
    <row r="78" spans="2:20">
      <c r="B78" s="1571"/>
      <c r="C78" s="1571"/>
      <c r="D78" s="1571"/>
      <c r="E78" s="1571"/>
      <c r="F78" s="1571"/>
      <c r="G78" s="1571"/>
      <c r="H78" s="1571"/>
      <c r="I78" s="1571"/>
      <c r="J78" s="1694">
        <v>8</v>
      </c>
      <c r="K78" s="1571"/>
      <c r="L78" s="1727">
        <v>501996</v>
      </c>
      <c r="M78" s="1727"/>
      <c r="N78" s="1485" t="s">
        <v>1624</v>
      </c>
      <c r="O78" s="1485"/>
      <c r="P78" s="2112"/>
      <c r="Q78" s="1485"/>
      <c r="R78" s="1689">
        <f>VLOOKUP(L78,FPERIOD,5,FALSE)</f>
        <v>8758000</v>
      </c>
      <c r="S78" s="1373"/>
      <c r="T78" s="45"/>
    </row>
    <row r="79" spans="2:20">
      <c r="B79" s="1571"/>
      <c r="C79" s="1571"/>
      <c r="D79" s="1571"/>
      <c r="E79" s="1571"/>
      <c r="F79" s="1571"/>
      <c r="G79" s="1571"/>
      <c r="H79" s="1571"/>
      <c r="I79" s="1571"/>
      <c r="J79" s="1694">
        <v>9</v>
      </c>
      <c r="K79" s="1571"/>
      <c r="L79" s="1485"/>
      <c r="M79" s="1485"/>
      <c r="N79" s="1485"/>
      <c r="O79" s="1485"/>
      <c r="P79" s="2112"/>
      <c r="Q79" s="1485"/>
      <c r="R79" s="1373"/>
      <c r="S79" s="1373"/>
      <c r="T79" s="45"/>
    </row>
    <row r="80" spans="2:20">
      <c r="B80" s="1571"/>
      <c r="C80" s="1571"/>
      <c r="D80" s="1571"/>
      <c r="E80" s="1571"/>
      <c r="F80" s="1571"/>
      <c r="G80" s="1571"/>
      <c r="H80" s="1571"/>
      <c r="I80" s="1571"/>
      <c r="J80" s="1694">
        <v>10</v>
      </c>
      <c r="K80" s="1571"/>
      <c r="L80" s="1482" t="s">
        <v>1173</v>
      </c>
      <c r="M80" s="1482"/>
      <c r="N80" s="1485"/>
      <c r="O80" s="1485"/>
      <c r="P80" s="2112"/>
      <c r="Q80" s="1485"/>
      <c r="R80" s="1373"/>
      <c r="S80" s="1373"/>
      <c r="T80" s="45"/>
    </row>
    <row r="81" spans="2:20">
      <c r="B81" s="1571"/>
      <c r="C81" s="1571"/>
      <c r="D81" s="1571"/>
      <c r="E81" s="1571"/>
      <c r="F81" s="1571"/>
      <c r="G81" s="1571"/>
      <c r="H81" s="1571"/>
      <c r="I81" s="1571"/>
      <c r="J81" s="1694">
        <v>11</v>
      </c>
      <c r="K81" s="1571"/>
      <c r="L81" s="1727">
        <v>555202</v>
      </c>
      <c r="M81" s="1727"/>
      <c r="N81" s="1489" t="s">
        <v>2694</v>
      </c>
      <c r="O81" s="1489"/>
      <c r="P81" s="2112"/>
      <c r="Q81" s="1485"/>
      <c r="R81" s="1689">
        <v>447588</v>
      </c>
      <c r="S81" s="1373"/>
      <c r="T81" s="45"/>
    </row>
    <row r="82" spans="2:20">
      <c r="B82" s="1571"/>
      <c r="C82" s="1571"/>
      <c r="D82" s="1571"/>
      <c r="E82" s="1571"/>
      <c r="F82" s="1571"/>
      <c r="G82" s="1571"/>
      <c r="H82" s="1571"/>
      <c r="I82" s="1571"/>
      <c r="J82" s="1694">
        <v>12</v>
      </c>
      <c r="K82" s="1571"/>
      <c r="L82" s="1727">
        <v>555202</v>
      </c>
      <c r="M82" s="1727"/>
      <c r="N82" s="1489" t="s">
        <v>2695</v>
      </c>
      <c r="O82" s="1489"/>
      <c r="P82" s="2112"/>
      <c r="Q82" s="1485"/>
      <c r="R82" s="1458">
        <v>-1266360</v>
      </c>
      <c r="S82" s="1373"/>
      <c r="T82" s="45"/>
    </row>
    <row r="83" spans="2:20" ht="15">
      <c r="B83" s="1571"/>
      <c r="C83" s="1571"/>
      <c r="D83" s="1571"/>
      <c r="E83" s="1571"/>
      <c r="F83" s="1571"/>
      <c r="G83" s="1571"/>
      <c r="H83" s="1571"/>
      <c r="I83" s="1571"/>
      <c r="J83" s="1694">
        <v>13</v>
      </c>
      <c r="K83" s="1571"/>
      <c r="L83" s="1727">
        <v>555202</v>
      </c>
      <c r="M83" s="1727"/>
      <c r="N83" s="1489" t="s">
        <v>2696</v>
      </c>
      <c r="O83" s="1489"/>
      <c r="P83" s="2112"/>
      <c r="Q83" s="1485"/>
      <c r="R83" s="1728">
        <v>614079</v>
      </c>
      <c r="S83" s="1373"/>
      <c r="T83" s="45"/>
    </row>
    <row r="84" spans="2:20">
      <c r="B84" s="1571"/>
      <c r="C84" s="1571"/>
      <c r="D84" s="1571"/>
      <c r="E84" s="1571"/>
      <c r="F84" s="1571"/>
      <c r="G84" s="1571"/>
      <c r="H84" s="1571"/>
      <c r="I84" s="1571"/>
      <c r="J84" s="1694">
        <v>14</v>
      </c>
      <c r="K84" s="1571"/>
      <c r="L84" s="1485"/>
      <c r="M84" s="1485"/>
      <c r="N84" s="1485" t="s">
        <v>2592</v>
      </c>
      <c r="O84" s="1485"/>
      <c r="P84" s="2112"/>
      <c r="Q84" s="1485"/>
      <c r="R84" s="1689">
        <f>SUM(R81:R83)</f>
        <v>-204693</v>
      </c>
      <c r="S84" s="1373"/>
      <c r="T84" s="45"/>
    </row>
    <row r="85" spans="2:20">
      <c r="B85" s="1571"/>
      <c r="C85" s="1571"/>
      <c r="D85" s="1571"/>
      <c r="E85" s="1571"/>
      <c r="F85" s="1571"/>
      <c r="G85" s="1571"/>
      <c r="H85" s="1571"/>
      <c r="I85" s="1571"/>
      <c r="J85" s="1694">
        <v>15</v>
      </c>
      <c r="K85" s="1571"/>
      <c r="L85" s="1485"/>
      <c r="M85" s="1485"/>
      <c r="N85" s="1485"/>
      <c r="O85" s="1485"/>
      <c r="P85" s="2112"/>
      <c r="Q85" s="1485"/>
      <c r="R85" s="1373"/>
      <c r="S85" s="1373"/>
      <c r="T85" s="45"/>
    </row>
    <row r="86" spans="2:20">
      <c r="B86" s="1571"/>
      <c r="C86" s="1571"/>
      <c r="D86" s="1571"/>
      <c r="E86" s="1571"/>
      <c r="F86" s="1571"/>
      <c r="G86" s="1571"/>
      <c r="H86" s="1571"/>
      <c r="I86" s="1571"/>
      <c r="J86" s="1694">
        <v>16</v>
      </c>
      <c r="K86" s="1571"/>
      <c r="L86" s="1482" t="s">
        <v>2711</v>
      </c>
      <c r="M86" s="1485"/>
      <c r="N86" s="1485"/>
      <c r="O86" s="1485"/>
      <c r="P86" s="2112"/>
      <c r="Q86" s="1485"/>
      <c r="R86" s="1373"/>
      <c r="S86" s="1373"/>
      <c r="T86" s="45"/>
    </row>
    <row r="87" spans="2:20">
      <c r="B87" s="1571"/>
      <c r="C87" s="1571"/>
      <c r="D87" s="1571"/>
      <c r="E87" s="1571"/>
      <c r="F87" s="1571"/>
      <c r="G87" s="1571"/>
      <c r="H87" s="1571"/>
      <c r="I87" s="1571"/>
      <c r="J87" s="1694">
        <v>17</v>
      </c>
      <c r="K87" s="1571"/>
      <c r="L87" s="1727">
        <v>561400</v>
      </c>
      <c r="M87" s="1485"/>
      <c r="N87" s="1485" t="s">
        <v>2712</v>
      </c>
      <c r="O87" s="1485"/>
      <c r="P87" s="2112"/>
      <c r="Q87" s="1485"/>
      <c r="R87" s="1689">
        <f>VLOOKUP(L87,FPERIOD,5,FALSE)</f>
        <v>1062000</v>
      </c>
      <c r="S87" s="1373"/>
      <c r="T87" s="45"/>
    </row>
    <row r="88" spans="2:20">
      <c r="B88" s="1571"/>
      <c r="C88" s="1571"/>
      <c r="D88" s="1571"/>
      <c r="E88" s="1571"/>
      <c r="F88" s="1571"/>
      <c r="G88" s="1571"/>
      <c r="H88" s="1571"/>
      <c r="I88" s="1571"/>
      <c r="J88" s="1694">
        <v>18</v>
      </c>
      <c r="K88" s="1571"/>
      <c r="L88" s="1485"/>
      <c r="M88" s="1485"/>
      <c r="N88" s="1485"/>
      <c r="O88" s="1485"/>
      <c r="P88" s="2112"/>
      <c r="Q88" s="1485"/>
      <c r="R88" s="1373"/>
      <c r="S88" s="1373"/>
      <c r="T88" s="45"/>
    </row>
    <row r="89" spans="2:20">
      <c r="B89" s="1571"/>
      <c r="C89" s="1571"/>
      <c r="D89" s="1571"/>
      <c r="E89" s="1571"/>
      <c r="F89" s="1571"/>
      <c r="G89" s="1571"/>
      <c r="H89" s="1571"/>
      <c r="I89" s="1571"/>
      <c r="J89" s="1694">
        <v>19</v>
      </c>
      <c r="K89" s="1571"/>
      <c r="L89" s="1482" t="s">
        <v>2593</v>
      </c>
      <c r="M89" s="1482"/>
      <c r="N89" s="1485"/>
      <c r="O89" s="1485"/>
      <c r="P89" s="2112"/>
      <c r="Q89" s="1485"/>
      <c r="R89" s="1373"/>
      <c r="S89" s="1373"/>
      <c r="T89" s="45"/>
    </row>
    <row r="90" spans="2:20">
      <c r="B90" s="1571"/>
      <c r="C90" s="1571"/>
      <c r="D90" s="1571"/>
      <c r="E90" s="1571"/>
      <c r="F90" s="1571"/>
      <c r="G90" s="1571"/>
      <c r="H90" s="1571"/>
      <c r="I90" s="1571"/>
      <c r="J90" s="1694">
        <v>20</v>
      </c>
      <c r="K90" s="1571"/>
      <c r="L90" s="1727">
        <v>509030</v>
      </c>
      <c r="M90" s="1727"/>
      <c r="N90" s="1485" t="str">
        <f>VLOOKUP(L90,FPERIOD,2,FALSE)</f>
        <v>SO2 Emission Expense</v>
      </c>
      <c r="O90" s="1485"/>
      <c r="P90" s="2112"/>
      <c r="Q90" s="1485"/>
      <c r="R90" s="1689">
        <v>195</v>
      </c>
      <c r="S90" s="1373"/>
      <c r="T90" s="45"/>
    </row>
    <row r="91" spans="2:20" ht="15">
      <c r="B91" s="1571"/>
      <c r="C91" s="1571"/>
      <c r="D91" s="1571"/>
      <c r="E91" s="1571"/>
      <c r="F91" s="1571"/>
      <c r="G91" s="1571"/>
      <c r="H91" s="1571"/>
      <c r="I91" s="1571"/>
      <c r="J91" s="1694">
        <v>21</v>
      </c>
      <c r="K91" s="1571"/>
      <c r="L91" s="1727">
        <v>509210</v>
      </c>
      <c r="M91" s="1727"/>
      <c r="N91" s="1485" t="str">
        <f>VLOOKUP(L91,FPERIOD,2,FALSE)</f>
        <v>Seasonal NOx Emission Expense</v>
      </c>
      <c r="O91" s="1485"/>
      <c r="P91" s="2112"/>
      <c r="Q91" s="1485"/>
      <c r="R91" s="1728">
        <v>46</v>
      </c>
      <c r="S91" s="1373"/>
      <c r="T91" s="45"/>
    </row>
    <row r="92" spans="2:20">
      <c r="B92" s="1571"/>
      <c r="C92" s="1571"/>
      <c r="D92" s="1571"/>
      <c r="E92" s="1571"/>
      <c r="F92" s="1571"/>
      <c r="G92" s="1571"/>
      <c r="H92" s="1571"/>
      <c r="I92" s="1571"/>
      <c r="J92" s="1694">
        <v>22</v>
      </c>
      <c r="K92" s="1571"/>
      <c r="L92" s="1485"/>
      <c r="M92" s="1485"/>
      <c r="N92" s="1485" t="s">
        <v>2594</v>
      </c>
      <c r="O92" s="1485"/>
      <c r="P92" s="2112"/>
      <c r="Q92" s="1485"/>
      <c r="R92" s="1689">
        <f>SUM(R90:R91)</f>
        <v>241</v>
      </c>
      <c r="S92" s="1373"/>
      <c r="T92" s="45"/>
    </row>
    <row r="93" spans="2:20">
      <c r="B93" s="1571"/>
      <c r="C93" s="1571"/>
      <c r="D93" s="1571"/>
      <c r="E93" s="1571"/>
      <c r="F93" s="1571"/>
      <c r="G93" s="1571"/>
      <c r="H93" s="1571"/>
      <c r="I93" s="1571"/>
      <c r="J93" s="1694"/>
      <c r="K93" s="1571"/>
      <c r="L93" s="1485"/>
      <c r="M93" s="1485"/>
      <c r="N93" s="1485"/>
      <c r="O93" s="1485"/>
      <c r="P93" s="1727"/>
      <c r="Q93" s="1485"/>
      <c r="R93" s="1373"/>
      <c r="S93" s="1373"/>
      <c r="T93" s="45"/>
    </row>
    <row r="94" spans="2:20">
      <c r="B94" s="1571"/>
      <c r="C94" s="1571"/>
      <c r="D94" s="1571"/>
      <c r="E94" s="1571"/>
      <c r="F94" s="1571"/>
      <c r="G94" s="1571"/>
      <c r="H94" s="1571"/>
      <c r="I94" s="1571"/>
      <c r="J94" s="1694"/>
      <c r="K94" s="1571"/>
      <c r="L94" s="1482"/>
      <c r="M94" s="1482"/>
      <c r="N94" s="1485"/>
      <c r="O94" s="1485"/>
      <c r="P94" s="1727"/>
      <c r="Q94" s="1485"/>
      <c r="R94" s="1373"/>
      <c r="S94" s="1373"/>
    </row>
    <row r="95" spans="2:20">
      <c r="B95" s="1571"/>
      <c r="C95" s="1571"/>
      <c r="D95" s="1571"/>
      <c r="E95" s="1571"/>
      <c r="F95" s="1571"/>
      <c r="G95" s="1571"/>
      <c r="H95" s="1571"/>
      <c r="I95" s="1571"/>
      <c r="J95" s="1694"/>
      <c r="K95" s="1428"/>
      <c r="L95" s="2308"/>
      <c r="M95" s="2308"/>
      <c r="N95" s="2309"/>
      <c r="O95" s="2309"/>
      <c r="P95" s="2310"/>
      <c r="Q95" s="2309"/>
      <c r="R95" s="2311"/>
      <c r="S95" s="2311"/>
    </row>
    <row r="96" spans="2:20">
      <c r="B96" s="1571"/>
      <c r="C96" s="1571"/>
      <c r="D96" s="1571"/>
      <c r="E96" s="1571"/>
      <c r="F96" s="1571"/>
      <c r="G96" s="1571"/>
      <c r="H96" s="1571"/>
      <c r="I96" s="1571"/>
      <c r="J96" s="1694"/>
      <c r="K96" s="1571"/>
      <c r="L96" s="1485"/>
      <c r="M96" s="1485"/>
      <c r="N96" s="1485"/>
      <c r="O96" s="1485"/>
      <c r="P96" s="1727"/>
      <c r="Q96" s="1485"/>
      <c r="R96" s="2311"/>
      <c r="S96" s="1373"/>
    </row>
    <row r="97" spans="2:19">
      <c r="B97" s="1571"/>
      <c r="C97" s="1571"/>
      <c r="D97" s="1571"/>
      <c r="E97" s="1571"/>
      <c r="F97" s="1571"/>
      <c r="G97" s="1571"/>
      <c r="H97" s="1571"/>
      <c r="I97" s="1571"/>
      <c r="J97" s="1694"/>
      <c r="K97" s="1571"/>
      <c r="L97" s="1485"/>
      <c r="M97" s="1485"/>
      <c r="N97" s="1485"/>
      <c r="O97" s="1485"/>
      <c r="P97" s="1727"/>
      <c r="Q97" s="1485"/>
      <c r="R97" s="2311"/>
      <c r="S97" s="1373"/>
    </row>
    <row r="98" spans="2:19">
      <c r="B98" s="1571"/>
      <c r="C98" s="1571"/>
      <c r="D98" s="1571"/>
      <c r="E98" s="1571"/>
      <c r="F98" s="1571"/>
      <c r="G98" s="1571"/>
      <c r="H98" s="1571"/>
      <c r="I98" s="1571"/>
      <c r="J98" s="234"/>
      <c r="K98" s="1571"/>
      <c r="L98" s="1485"/>
      <c r="M98" s="1485"/>
      <c r="N98" s="1485"/>
      <c r="O98" s="1485"/>
      <c r="P98" s="1727"/>
      <c r="Q98" s="1485"/>
      <c r="R98" s="2311"/>
      <c r="S98" s="1373"/>
    </row>
    <row r="99" spans="2:19">
      <c r="B99" s="1571"/>
      <c r="C99" s="1571"/>
      <c r="D99" s="1571"/>
      <c r="E99" s="1571"/>
      <c r="F99" s="1571"/>
      <c r="G99" s="1571"/>
      <c r="H99" s="1571"/>
      <c r="I99" s="1571"/>
      <c r="J99" s="234"/>
      <c r="K99" s="1571"/>
      <c r="L99" s="1485"/>
      <c r="M99" s="1485"/>
      <c r="N99" s="1485"/>
      <c r="O99" s="1485"/>
      <c r="P99" s="1727"/>
      <c r="Q99" s="1485"/>
      <c r="R99" s="2311"/>
      <c r="S99" s="1373"/>
    </row>
    <row r="100" spans="2:19">
      <c r="B100" s="1571"/>
      <c r="C100" s="1571"/>
      <c r="D100" s="1571"/>
      <c r="E100" s="1571"/>
      <c r="F100" s="1571"/>
      <c r="G100" s="1571"/>
      <c r="H100" s="1571"/>
      <c r="I100" s="1571"/>
      <c r="J100" s="234"/>
      <c r="K100" s="1571"/>
      <c r="L100" s="1485"/>
      <c r="M100" s="1485"/>
      <c r="N100" s="1485"/>
      <c r="O100" s="1485"/>
      <c r="P100" s="1727"/>
      <c r="Q100" s="1485"/>
      <c r="R100" s="1373"/>
      <c r="S100" s="1373"/>
    </row>
    <row r="101" spans="2:19">
      <c r="B101" s="1571"/>
      <c r="C101" s="1571"/>
      <c r="D101" s="1571"/>
      <c r="E101" s="1571"/>
      <c r="F101" s="1571"/>
      <c r="G101" s="1571"/>
      <c r="H101" s="1571"/>
      <c r="I101" s="1571"/>
      <c r="J101" s="234"/>
      <c r="K101" s="1571"/>
      <c r="L101" s="1571"/>
      <c r="M101" s="1571"/>
      <c r="N101" s="1571"/>
      <c r="O101" s="1571"/>
      <c r="P101" s="1285"/>
      <c r="Q101" s="1571"/>
      <c r="R101" s="1571"/>
      <c r="S101" s="1571"/>
    </row>
    <row r="102" spans="2:19">
      <c r="B102" s="1571"/>
      <c r="C102" s="1571"/>
      <c r="D102" s="1571"/>
      <c r="E102" s="1571"/>
      <c r="F102" s="1571"/>
      <c r="G102" s="1571"/>
      <c r="H102" s="1571"/>
      <c r="I102" s="1571"/>
      <c r="J102" s="1571"/>
      <c r="K102" s="1571"/>
      <c r="L102" s="1571"/>
      <c r="M102" s="1571"/>
      <c r="N102" s="1571"/>
      <c r="O102" s="1571"/>
      <c r="P102" s="1285"/>
      <c r="Q102" s="1571"/>
      <c r="R102" s="1571"/>
      <c r="S102" s="1571"/>
    </row>
    <row r="103" spans="2:19">
      <c r="B103" s="1571"/>
      <c r="C103" s="1571"/>
      <c r="D103" s="1571"/>
      <c r="E103" s="1571"/>
      <c r="F103" s="1571"/>
      <c r="G103" s="1571"/>
      <c r="H103" s="1571"/>
      <c r="I103" s="1571"/>
      <c r="J103" s="1571"/>
      <c r="K103" s="1571"/>
      <c r="L103" s="1571"/>
      <c r="M103" s="1571"/>
      <c r="N103" s="1571"/>
      <c r="O103" s="1571"/>
      <c r="P103" s="1285"/>
      <c r="Q103" s="1571"/>
      <c r="R103" s="1571"/>
      <c r="S103" s="1571"/>
    </row>
    <row r="104" spans="2:19">
      <c r="B104" s="1571"/>
      <c r="C104" s="1571"/>
      <c r="D104" s="1571"/>
      <c r="E104" s="1571"/>
      <c r="F104" s="1571"/>
      <c r="G104" s="1571"/>
      <c r="H104" s="1571"/>
      <c r="I104" s="1571"/>
      <c r="J104" s="1571"/>
      <c r="K104" s="1571"/>
      <c r="L104" s="1571"/>
      <c r="M104" s="1571"/>
      <c r="N104" s="1571"/>
      <c r="O104" s="1571"/>
      <c r="P104" s="1285"/>
      <c r="Q104" s="1571"/>
      <c r="R104" s="1571"/>
      <c r="S104" s="1571"/>
    </row>
    <row r="105" spans="2:19">
      <c r="B105" s="1571"/>
      <c r="C105" s="1571"/>
      <c r="D105" s="1571"/>
      <c r="E105" s="1571"/>
      <c r="F105" s="1571"/>
      <c r="G105" s="1571"/>
      <c r="H105" s="1571"/>
      <c r="I105" s="1571"/>
      <c r="J105" s="1571"/>
      <c r="K105" s="1571"/>
      <c r="L105" s="1571"/>
      <c r="M105" s="1571"/>
      <c r="N105" s="1571"/>
      <c r="O105" s="1571"/>
      <c r="P105" s="1285"/>
      <c r="Q105" s="1571"/>
      <c r="R105" s="1571"/>
      <c r="S105" s="1571"/>
    </row>
    <row r="106" spans="2:19">
      <c r="B106" s="1571"/>
      <c r="C106" s="1571"/>
      <c r="D106" s="1571"/>
      <c r="E106" s="1571"/>
      <c r="F106" s="1571"/>
      <c r="G106" s="1571"/>
      <c r="H106" s="1571"/>
      <c r="I106" s="1571"/>
      <c r="J106" s="1571"/>
      <c r="K106" s="1571"/>
      <c r="L106" s="1571"/>
      <c r="M106" s="1571"/>
      <c r="N106" s="1571"/>
      <c r="O106" s="1571"/>
      <c r="P106" s="1285"/>
      <c r="Q106" s="1571"/>
      <c r="R106" s="1571"/>
      <c r="S106" s="1571"/>
    </row>
    <row r="107" spans="2:19">
      <c r="B107" s="1571"/>
      <c r="C107" s="1571"/>
      <c r="D107" s="1571"/>
      <c r="E107" s="1571"/>
      <c r="F107" s="1571"/>
      <c r="G107" s="1571"/>
      <c r="H107" s="1571"/>
      <c r="I107" s="1571"/>
      <c r="J107" s="1571"/>
      <c r="K107" s="1571"/>
      <c r="L107" s="1571"/>
      <c r="M107" s="1571"/>
      <c r="N107" s="1571"/>
      <c r="O107" s="1571"/>
      <c r="P107" s="1285"/>
      <c r="Q107" s="1571"/>
      <c r="R107" s="1571"/>
      <c r="S107" s="1571"/>
    </row>
    <row r="108" spans="2:19">
      <c r="B108" s="1571"/>
      <c r="C108" s="1571"/>
      <c r="D108" s="1571"/>
      <c r="E108" s="1571"/>
      <c r="F108" s="1571"/>
      <c r="G108" s="1571"/>
      <c r="H108" s="1571"/>
      <c r="I108" s="1571"/>
      <c r="J108" s="1571"/>
      <c r="K108" s="1571"/>
      <c r="L108" s="1571"/>
      <c r="M108" s="1571"/>
      <c r="N108" s="1571"/>
      <c r="O108" s="1571"/>
      <c r="P108" s="1285"/>
      <c r="Q108" s="1571"/>
      <c r="R108" s="1571"/>
      <c r="S108" s="1571"/>
    </row>
    <row r="109" spans="2:19">
      <c r="B109" s="1571"/>
      <c r="C109" s="1571"/>
      <c r="D109" s="1571"/>
      <c r="E109" s="1571"/>
      <c r="F109" s="1571"/>
      <c r="G109" s="1571"/>
      <c r="H109" s="1571"/>
      <c r="I109" s="1571"/>
      <c r="J109" s="1571"/>
      <c r="K109" s="1571"/>
      <c r="L109" s="1571"/>
      <c r="M109" s="1571"/>
      <c r="N109" s="1571"/>
      <c r="O109" s="1571"/>
      <c r="P109" s="1285"/>
      <c r="Q109" s="1571"/>
      <c r="R109" s="1571"/>
      <c r="S109" s="1571"/>
    </row>
    <row r="110" spans="2:19">
      <c r="B110" s="1571"/>
      <c r="C110" s="1571"/>
      <c r="D110" s="1571"/>
      <c r="E110" s="1571"/>
      <c r="F110" s="1571"/>
      <c r="G110" s="1571"/>
      <c r="H110" s="1571"/>
      <c r="I110" s="1571"/>
      <c r="J110" s="1571"/>
      <c r="K110" s="1571"/>
      <c r="L110" s="1571"/>
      <c r="M110" s="1571"/>
      <c r="N110" s="1571"/>
      <c r="O110" s="1571"/>
      <c r="P110" s="1285"/>
      <c r="Q110" s="1571"/>
      <c r="R110" s="1571"/>
      <c r="S110" s="1571"/>
    </row>
    <row r="111" spans="2:19">
      <c r="B111" s="1571"/>
      <c r="C111" s="1571"/>
      <c r="D111" s="1571"/>
      <c r="E111" s="1571"/>
      <c r="F111" s="1571"/>
      <c r="G111" s="1571"/>
      <c r="H111" s="1571"/>
      <c r="I111" s="1571"/>
      <c r="J111" s="1571"/>
      <c r="K111" s="1571"/>
      <c r="L111" s="1571"/>
      <c r="M111" s="1571"/>
      <c r="N111" s="1571"/>
      <c r="O111" s="1571"/>
      <c r="P111" s="1285"/>
      <c r="Q111" s="1571"/>
      <c r="R111" s="1571"/>
      <c r="S111" s="1571"/>
    </row>
    <row r="112" spans="2:19">
      <c r="B112" s="1571"/>
      <c r="C112" s="1571"/>
      <c r="D112" s="1571"/>
      <c r="E112" s="1571"/>
      <c r="F112" s="1571"/>
      <c r="G112" s="1571"/>
      <c r="H112" s="1571"/>
      <c r="I112" s="1571"/>
      <c r="J112" s="1571"/>
      <c r="K112" s="1571"/>
      <c r="L112" s="1571"/>
      <c r="M112" s="1571"/>
      <c r="N112" s="1571"/>
      <c r="O112" s="1571"/>
      <c r="P112" s="1285"/>
      <c r="Q112" s="1571"/>
      <c r="R112" s="1571"/>
      <c r="S112" s="1571"/>
    </row>
    <row r="113" spans="2:19">
      <c r="B113" s="1571"/>
      <c r="C113" s="1571"/>
      <c r="D113" s="1571"/>
      <c r="E113" s="1571"/>
      <c r="F113" s="1571"/>
      <c r="G113" s="1571"/>
      <c r="H113" s="1571"/>
      <c r="I113" s="1571"/>
      <c r="J113" s="1571"/>
      <c r="K113" s="1571"/>
      <c r="L113" s="1571"/>
      <c r="M113" s="1571"/>
      <c r="N113" s="1571"/>
      <c r="O113" s="1571"/>
      <c r="P113" s="1285"/>
      <c r="Q113" s="1571"/>
      <c r="R113" s="1571"/>
      <c r="S113" s="1571"/>
    </row>
    <row r="114" spans="2:19">
      <c r="B114" s="1571"/>
      <c r="C114" s="1571"/>
      <c r="D114" s="1571"/>
      <c r="E114" s="1571"/>
      <c r="F114" s="1571"/>
      <c r="G114" s="1571"/>
      <c r="H114" s="1571"/>
      <c r="I114" s="1571"/>
      <c r="J114" s="1571"/>
      <c r="K114" s="1571"/>
      <c r="L114" s="1571"/>
      <c r="M114" s="1571"/>
      <c r="N114" s="1571"/>
      <c r="O114" s="1571"/>
      <c r="P114" s="1285"/>
      <c r="Q114" s="1571"/>
      <c r="R114" s="1571"/>
      <c r="S114" s="1571"/>
    </row>
    <row r="115" spans="2:19">
      <c r="B115" s="1571"/>
      <c r="C115" s="1571"/>
      <c r="D115" s="1571"/>
      <c r="E115" s="1571"/>
      <c r="F115" s="1571"/>
      <c r="G115" s="1571"/>
      <c r="H115" s="1571"/>
      <c r="I115" s="1571"/>
      <c r="J115" s="1571"/>
      <c r="K115" s="1571"/>
      <c r="L115" s="1571"/>
      <c r="M115" s="1571"/>
      <c r="N115" s="1571"/>
      <c r="O115" s="1571"/>
      <c r="P115" s="1285"/>
      <c r="Q115" s="1571"/>
      <c r="R115" s="1571"/>
      <c r="S115" s="1571"/>
    </row>
  </sheetData>
  <phoneticPr fontId="19" type="noConversion"/>
  <pageMargins left="0.75" right="0.75" top="1" bottom="1" header="0.5" footer="0.5"/>
  <pageSetup scale="59" orientation="portrait" verticalDpi="300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7" tint="-0.249977111117893"/>
  </sheetPr>
  <dimension ref="A1:W141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20.85546875" style="18" customWidth="1"/>
    <col min="2" max="3" width="10.42578125" style="18" customWidth="1"/>
    <col min="4" max="4" width="7.5703125" style="18" customWidth="1"/>
    <col min="5" max="5" width="10.42578125" style="18" customWidth="1"/>
    <col min="6" max="6" width="13.42578125" style="18" customWidth="1"/>
    <col min="7" max="7" width="10.42578125" style="18" customWidth="1"/>
    <col min="8" max="8" width="18.7109375" style="18" customWidth="1"/>
    <col min="9" max="9" width="4.42578125" style="18" customWidth="1"/>
    <col min="10" max="10" width="7.5703125" style="18" customWidth="1"/>
    <col min="11" max="11" width="2" style="18" customWidth="1"/>
    <col min="12" max="12" width="54.7109375" style="18" customWidth="1"/>
    <col min="13" max="13" width="6.28515625" style="18" customWidth="1"/>
    <col min="14" max="14" width="3.7109375" style="18" customWidth="1"/>
    <col min="15" max="15" width="20.5703125" style="18" customWidth="1"/>
    <col min="16" max="16" width="3.140625" style="18" customWidth="1"/>
    <col min="17" max="17" width="8" style="18"/>
    <col min="18" max="18" width="11.42578125" style="18" customWidth="1"/>
    <col min="19" max="19" width="19.7109375" style="18" customWidth="1"/>
    <col min="20" max="20" width="13.85546875" style="18" customWidth="1"/>
    <col min="21" max="21" width="17.5703125" style="18" customWidth="1"/>
    <col min="22" max="23" width="14.7109375" style="18" customWidth="1"/>
    <col min="24" max="16384" width="8" style="18"/>
  </cols>
  <sheetData>
    <row r="1" spans="1:17">
      <c r="A1" s="2276" t="str">
        <f>LOGO!B5</f>
        <v>DUKE ENERGY KENTUCKY, INC.</v>
      </c>
      <c r="B1" s="2277"/>
      <c r="C1" s="2277"/>
      <c r="D1" s="2277"/>
      <c r="E1" s="2277"/>
      <c r="F1" s="2277"/>
      <c r="G1" s="2277"/>
      <c r="H1" s="2277"/>
      <c r="I1" s="2278"/>
      <c r="J1" s="2278"/>
      <c r="K1" s="2278"/>
      <c r="L1" s="2278"/>
      <c r="M1" s="2278"/>
      <c r="N1" s="2278"/>
      <c r="O1" s="2278"/>
      <c r="P1" s="2278"/>
      <c r="Q1" s="2278"/>
    </row>
    <row r="2" spans="1:17">
      <c r="A2" s="2276" t="str">
        <f>LOGO!B6</f>
        <v>CASE NO. 2017-00321</v>
      </c>
      <c r="B2" s="2277"/>
      <c r="C2" s="2277"/>
      <c r="D2" s="2277"/>
      <c r="E2" s="2277"/>
      <c r="F2" s="2277"/>
      <c r="G2" s="2277"/>
      <c r="H2" s="2277"/>
      <c r="I2" s="2278"/>
      <c r="J2" s="2278"/>
      <c r="K2" s="2278"/>
      <c r="L2" s="2278"/>
      <c r="M2" s="2278"/>
      <c r="N2" s="2278"/>
      <c r="O2" s="2278"/>
      <c r="P2" s="2278"/>
      <c r="Q2" s="2278"/>
    </row>
    <row r="3" spans="1:17">
      <c r="A3" s="2276" t="s">
        <v>3142</v>
      </c>
      <c r="B3" s="2277"/>
      <c r="C3" s="2277"/>
      <c r="D3" s="2277"/>
      <c r="E3" s="2279"/>
      <c r="F3" s="2277"/>
      <c r="G3" s="2277"/>
      <c r="H3" s="2277"/>
      <c r="I3" s="2278"/>
      <c r="J3" s="2278"/>
      <c r="K3" s="2278"/>
      <c r="L3" s="2278"/>
      <c r="M3" s="2278"/>
      <c r="N3" s="2278"/>
      <c r="O3" s="2278"/>
      <c r="P3" s="2278"/>
      <c r="Q3" s="2278"/>
    </row>
    <row r="4" spans="1:17">
      <c r="A4" s="2276" t="str">
        <f>LOGO!B8</f>
        <v>FOR THE TWELVE MONTHS ENDED MARCH 31, 2019</v>
      </c>
      <c r="B4" s="2277"/>
      <c r="C4" s="2277"/>
      <c r="D4" s="2277"/>
      <c r="E4" s="2277"/>
      <c r="F4" s="2277"/>
      <c r="G4" s="2277"/>
      <c r="H4" s="2277"/>
      <c r="I4" s="2278"/>
      <c r="J4" s="2278"/>
      <c r="K4" s="2278"/>
      <c r="L4" s="2278"/>
      <c r="M4" s="2278"/>
      <c r="N4" s="2278"/>
      <c r="O4" s="2278"/>
      <c r="P4" s="2278"/>
      <c r="Q4" s="2278"/>
    </row>
    <row r="5" spans="1:17">
      <c r="A5" s="2278"/>
      <c r="B5" s="2278"/>
      <c r="C5" s="2278"/>
      <c r="D5" s="2278"/>
      <c r="E5" s="2278"/>
      <c r="F5" s="2278"/>
      <c r="G5" s="2278"/>
      <c r="H5" s="2278"/>
      <c r="I5" s="2278"/>
      <c r="J5" s="2278"/>
      <c r="K5" s="2278"/>
      <c r="L5" s="2278"/>
      <c r="M5" s="2278"/>
      <c r="N5" s="2278"/>
      <c r="O5" s="2278"/>
      <c r="P5" s="2278"/>
      <c r="Q5" s="2278"/>
    </row>
    <row r="6" spans="1:17">
      <c r="A6" s="2280" t="str">
        <f>DataF</f>
        <v>DATA:  BASE PERIOD  "X" FORECASTED PERIOD</v>
      </c>
      <c r="B6" s="2278"/>
      <c r="C6" s="2278"/>
      <c r="D6" s="2278"/>
      <c r="E6" s="2278"/>
      <c r="F6" s="2278"/>
      <c r="G6" s="2281" t="s">
        <v>1081</v>
      </c>
      <c r="H6" s="2278"/>
      <c r="I6" s="2278"/>
      <c r="J6" s="2278"/>
      <c r="K6" s="2278"/>
      <c r="L6" s="2278"/>
      <c r="M6" s="2278"/>
      <c r="N6" s="2278"/>
      <c r="O6" s="2278"/>
      <c r="P6" s="2278"/>
      <c r="Q6" s="2278"/>
    </row>
    <row r="7" spans="1:17">
      <c r="A7" s="2280" t="str">
        <f>LOGO!B15</f>
        <v xml:space="preserve">TYPE OF FILING:  "X" ORIGINAL   UPDATED    REVISED  </v>
      </c>
      <c r="B7" s="2278"/>
      <c r="C7" s="2278"/>
      <c r="D7" s="2278"/>
      <c r="E7" s="2278"/>
      <c r="F7" s="2278"/>
      <c r="G7" s="2281" t="s">
        <v>620</v>
      </c>
      <c r="H7" s="2278"/>
      <c r="I7" s="2278"/>
      <c r="J7" s="2278"/>
      <c r="K7" s="2278"/>
      <c r="L7" s="2278"/>
      <c r="M7" s="2278"/>
      <c r="N7" s="2278"/>
      <c r="O7" s="2278"/>
      <c r="P7" s="2278"/>
      <c r="Q7" s="2278"/>
    </row>
    <row r="8" spans="1:17">
      <c r="A8" s="2281" t="s">
        <v>3299</v>
      </c>
      <c r="B8" s="2278"/>
      <c r="C8" s="2278"/>
      <c r="D8" s="2278"/>
      <c r="E8" s="2278"/>
      <c r="F8" s="2278"/>
      <c r="G8" s="2281" t="s">
        <v>622</v>
      </c>
      <c r="H8" s="2278"/>
      <c r="I8" s="2278"/>
      <c r="J8" s="2278"/>
      <c r="K8" s="2278"/>
      <c r="L8" s="2278"/>
      <c r="M8" s="2278"/>
      <c r="N8" s="2278"/>
      <c r="O8" s="2278"/>
      <c r="P8" s="2278"/>
      <c r="Q8" s="2278"/>
    </row>
    <row r="9" spans="1:17">
      <c r="A9" s="2278"/>
      <c r="B9" s="2278"/>
      <c r="C9" s="2278"/>
      <c r="D9" s="2278"/>
      <c r="E9" s="2278"/>
      <c r="F9" s="2278"/>
      <c r="G9" s="2278" t="str">
        <f>_WIT7</f>
        <v>R. H. PRATT / C. S. LEE</v>
      </c>
      <c r="H9" s="2278"/>
      <c r="I9" s="2278"/>
      <c r="J9" s="2278"/>
      <c r="K9" s="2278"/>
      <c r="L9" s="2278"/>
      <c r="M9" s="2278"/>
      <c r="N9" s="2278"/>
      <c r="O9" s="2278"/>
      <c r="P9" s="2278"/>
      <c r="Q9" s="2278"/>
    </row>
    <row r="10" spans="1:17">
      <c r="A10" s="2282"/>
      <c r="B10" s="2282"/>
      <c r="C10" s="2282"/>
      <c r="D10" s="2282"/>
      <c r="E10" s="2282"/>
      <c r="F10" s="2282"/>
      <c r="G10" s="2282"/>
      <c r="H10" s="2282"/>
      <c r="I10" s="2281"/>
      <c r="J10" s="2278"/>
      <c r="K10" s="2278"/>
      <c r="L10" s="2278"/>
      <c r="M10" s="2278"/>
      <c r="N10" s="2278"/>
      <c r="O10" s="2278"/>
      <c r="P10" s="2278"/>
      <c r="Q10" s="2278"/>
    </row>
    <row r="11" spans="1:17">
      <c r="A11" s="2278"/>
      <c r="B11" s="2278"/>
      <c r="C11" s="2278"/>
      <c r="D11" s="2278"/>
      <c r="E11" s="2278"/>
      <c r="F11" s="2278"/>
      <c r="G11" s="2278"/>
      <c r="H11" s="2278"/>
      <c r="I11" s="2278"/>
      <c r="J11" s="2278"/>
      <c r="K11" s="2278"/>
      <c r="L11" s="2278"/>
      <c r="M11" s="2278"/>
      <c r="N11" s="2278"/>
      <c r="O11" s="2278"/>
      <c r="P11" s="2278"/>
      <c r="Q11" s="2278"/>
    </row>
    <row r="12" spans="1:17">
      <c r="A12" s="2281" t="s">
        <v>1246</v>
      </c>
      <c r="B12" s="2278"/>
      <c r="C12" s="2278"/>
      <c r="D12" s="2278"/>
      <c r="E12" s="2278"/>
      <c r="F12" s="2278"/>
      <c r="G12" s="2278"/>
      <c r="H12" s="2283" t="s">
        <v>364</v>
      </c>
      <c r="I12" s="2278"/>
      <c r="J12" s="2278"/>
      <c r="K12" s="2278"/>
      <c r="L12" s="2278"/>
      <c r="M12" s="2278"/>
      <c r="N12" s="2278"/>
      <c r="O12" s="2278"/>
      <c r="P12" s="2278"/>
      <c r="Q12" s="2278"/>
    </row>
    <row r="13" spans="1:17">
      <c r="A13" s="2282"/>
      <c r="B13" s="2282"/>
      <c r="C13" s="2282"/>
      <c r="D13" s="2282"/>
      <c r="E13" s="2282"/>
      <c r="F13" s="2282"/>
      <c r="G13" s="2282"/>
      <c r="H13" s="2282"/>
      <c r="I13" s="2281"/>
      <c r="J13" s="2278"/>
      <c r="K13" s="2278"/>
      <c r="L13" s="2278"/>
      <c r="M13" s="2278"/>
      <c r="N13" s="2278"/>
      <c r="O13" s="2278"/>
      <c r="P13" s="2278"/>
      <c r="Q13" s="2278"/>
    </row>
    <row r="14" spans="1:17">
      <c r="A14" s="2278"/>
      <c r="B14" s="2278"/>
      <c r="C14" s="2278"/>
      <c r="D14" s="2278"/>
      <c r="E14" s="2278"/>
      <c r="F14" s="2278"/>
      <c r="G14" s="2278"/>
      <c r="H14" s="1185"/>
      <c r="I14" s="2278"/>
      <c r="J14" s="2278"/>
      <c r="K14" s="2278"/>
      <c r="L14" s="2278"/>
      <c r="M14" s="2278"/>
      <c r="N14" s="2278"/>
      <c r="O14" s="2278"/>
      <c r="P14" s="2278"/>
      <c r="Q14" s="2278"/>
    </row>
    <row r="15" spans="1:17">
      <c r="A15" s="1430" t="s">
        <v>2659</v>
      </c>
      <c r="B15" s="529"/>
      <c r="C15" s="529"/>
      <c r="D15" s="529"/>
      <c r="E15" s="529"/>
      <c r="F15" s="529"/>
      <c r="G15" s="2278"/>
      <c r="H15" s="529"/>
      <c r="I15" s="2278"/>
      <c r="J15" s="2278"/>
      <c r="K15" s="2278"/>
      <c r="L15" s="2278"/>
      <c r="M15" s="2278"/>
      <c r="N15" s="2278"/>
      <c r="O15" s="2278"/>
      <c r="P15" s="2278"/>
      <c r="Q15" s="2278"/>
    </row>
    <row r="16" spans="1:17">
      <c r="A16" s="1430" t="s">
        <v>3143</v>
      </c>
      <c r="B16" s="529"/>
      <c r="C16" s="529"/>
      <c r="D16" s="529"/>
      <c r="E16" s="529"/>
      <c r="F16" s="529"/>
      <c r="G16" s="2278"/>
      <c r="H16" s="529"/>
      <c r="I16" s="2278"/>
      <c r="J16" s="2278"/>
      <c r="K16" s="2278"/>
      <c r="L16" s="2278"/>
      <c r="M16" s="2278"/>
      <c r="N16" s="2278"/>
      <c r="O16" s="2278"/>
      <c r="P16" s="2278"/>
      <c r="Q16" s="2278"/>
    </row>
    <row r="17" spans="1:17">
      <c r="A17" s="1450"/>
      <c r="B17" s="529"/>
      <c r="C17" s="529"/>
      <c r="D17" s="529"/>
      <c r="E17" s="529"/>
      <c r="F17" s="529"/>
      <c r="G17" s="2278"/>
      <c r="H17" s="529"/>
      <c r="I17" s="2278"/>
      <c r="J17" s="2278"/>
      <c r="K17" s="2278"/>
      <c r="L17" s="2278"/>
      <c r="M17" s="2278"/>
      <c r="N17" s="2278"/>
      <c r="O17" s="2278"/>
      <c r="P17" s="2278"/>
      <c r="Q17" s="2278"/>
    </row>
    <row r="18" spans="1:17">
      <c r="A18" s="1450"/>
      <c r="B18" s="529"/>
      <c r="C18" s="529"/>
      <c r="D18" s="529"/>
      <c r="E18" s="529"/>
      <c r="F18" s="529"/>
      <c r="G18" s="2278"/>
      <c r="H18" s="529"/>
      <c r="I18" s="2278"/>
      <c r="J18" s="2278"/>
      <c r="K18" s="2278"/>
      <c r="L18" s="2278"/>
      <c r="M18" s="2278"/>
      <c r="N18" s="2278"/>
      <c r="O18" s="2278"/>
      <c r="P18" s="2278"/>
      <c r="Q18" s="2278"/>
    </row>
    <row r="19" spans="1:17">
      <c r="A19" s="1450"/>
      <c r="B19" s="529"/>
      <c r="C19" s="529"/>
      <c r="D19" s="529"/>
      <c r="E19" s="529"/>
      <c r="F19" s="529"/>
      <c r="G19" s="2278"/>
      <c r="H19" s="529"/>
      <c r="I19" s="2278"/>
      <c r="J19" s="2278"/>
      <c r="K19" s="2278"/>
      <c r="L19" s="2278"/>
      <c r="M19" s="2278"/>
      <c r="N19" s="2278"/>
      <c r="O19" s="2278"/>
      <c r="P19" s="2278"/>
      <c r="Q19" s="2278"/>
    </row>
    <row r="20" spans="1:17">
      <c r="A20" s="1430" t="s">
        <v>1187</v>
      </c>
      <c r="B20" s="529"/>
      <c r="C20" s="529"/>
      <c r="D20" s="529"/>
      <c r="E20" s="529"/>
      <c r="F20" s="529"/>
      <c r="G20" s="2284"/>
      <c r="H20" s="531">
        <f>O68</f>
        <v>490618</v>
      </c>
      <c r="I20" s="2278"/>
      <c r="J20" s="2278"/>
      <c r="K20" s="2278"/>
      <c r="L20" s="2278"/>
      <c r="M20" s="2278"/>
      <c r="N20" s="2278"/>
      <c r="O20" s="2278"/>
      <c r="P20" s="2278"/>
      <c r="Q20" s="2278"/>
    </row>
    <row r="21" spans="1:17">
      <c r="A21" s="1450"/>
      <c r="B21" s="529"/>
      <c r="C21" s="529"/>
      <c r="D21" s="529"/>
      <c r="E21" s="529"/>
      <c r="F21" s="529"/>
      <c r="G21" s="2278"/>
      <c r="H21" s="529"/>
      <c r="I21" s="2278"/>
      <c r="J21" s="2278"/>
      <c r="K21" s="2278"/>
      <c r="L21" s="2278"/>
      <c r="M21" s="2278"/>
      <c r="N21" s="2278"/>
      <c r="O21" s="2278"/>
      <c r="P21" s="2278"/>
      <c r="Q21" s="2278"/>
    </row>
    <row r="22" spans="1:17">
      <c r="A22" s="1430" t="s">
        <v>266</v>
      </c>
      <c r="B22" s="529"/>
      <c r="C22" s="529"/>
      <c r="D22" s="529"/>
      <c r="E22" s="529"/>
      <c r="F22" s="529"/>
      <c r="G22" s="2278"/>
      <c r="H22" s="1451">
        <f>VLOOKUP(B28,ALLOCTABLE,2)/100</f>
        <v>1</v>
      </c>
      <c r="I22" s="2278"/>
      <c r="J22" s="2278"/>
      <c r="K22" s="2278"/>
      <c r="L22" s="2278"/>
      <c r="M22" s="2278"/>
      <c r="N22" s="2278"/>
      <c r="O22" s="2278"/>
      <c r="P22" s="2278"/>
      <c r="Q22" s="2278"/>
    </row>
    <row r="23" spans="1:17">
      <c r="A23" s="1450"/>
      <c r="B23" s="529"/>
      <c r="C23" s="529"/>
      <c r="D23" s="529"/>
      <c r="E23" s="529"/>
      <c r="F23" s="529"/>
      <c r="G23" s="2278"/>
      <c r="H23" s="529"/>
      <c r="I23" s="2278"/>
      <c r="J23" s="2278"/>
      <c r="K23" s="2278"/>
      <c r="L23" s="2278"/>
      <c r="M23" s="2278"/>
      <c r="N23" s="2278"/>
      <c r="O23" s="2278"/>
      <c r="P23" s="2278"/>
      <c r="Q23" s="2278"/>
    </row>
    <row r="24" spans="1:17" ht="15">
      <c r="A24" s="1430" t="s">
        <v>1236</v>
      </c>
      <c r="B24" s="529"/>
      <c r="C24" s="529"/>
      <c r="E24" s="529"/>
      <c r="F24" s="1432" t="s">
        <v>709</v>
      </c>
      <c r="G24" s="2278"/>
      <c r="H24" s="1427">
        <f>ROUND(H20*H22,0)</f>
        <v>490618</v>
      </c>
      <c r="I24" s="2278"/>
      <c r="J24" s="2278"/>
      <c r="K24" s="2278"/>
      <c r="L24" s="2278"/>
      <c r="M24" s="2278"/>
      <c r="N24" s="2278"/>
      <c r="O24" s="2278"/>
      <c r="P24" s="2278"/>
      <c r="Q24" s="2278"/>
    </row>
    <row r="25" spans="1:17">
      <c r="A25" s="1430"/>
      <c r="B25" s="529"/>
      <c r="C25" s="529"/>
      <c r="D25" s="529"/>
      <c r="E25" s="529"/>
      <c r="F25" s="529"/>
      <c r="G25" s="2278"/>
      <c r="H25" s="2285"/>
      <c r="I25" s="2278"/>
      <c r="J25" s="2278"/>
      <c r="K25" s="2278"/>
      <c r="L25" s="2278"/>
      <c r="M25" s="2278"/>
      <c r="N25" s="2278"/>
      <c r="O25" s="2278"/>
      <c r="P25" s="2278"/>
      <c r="Q25" s="2278"/>
    </row>
    <row r="26" spans="1:17" ht="15">
      <c r="A26" s="1450"/>
      <c r="B26" s="529"/>
      <c r="C26" s="529"/>
      <c r="D26" s="529"/>
      <c r="E26" s="529"/>
      <c r="F26" s="529"/>
      <c r="G26" s="2286"/>
      <c r="H26" s="1427"/>
      <c r="I26" s="2278"/>
      <c r="J26" s="2278"/>
      <c r="K26" s="2278"/>
      <c r="L26" s="2278"/>
      <c r="M26" s="2278"/>
      <c r="N26" s="2278"/>
      <c r="O26" s="2278"/>
      <c r="P26" s="2278"/>
      <c r="Q26" s="2278"/>
    </row>
    <row r="27" spans="1:17">
      <c r="A27" s="1450"/>
      <c r="B27" s="529"/>
      <c r="C27" s="529"/>
      <c r="D27" s="529"/>
      <c r="E27" s="529"/>
      <c r="F27" s="529"/>
      <c r="G27" s="2287"/>
      <c r="H27" s="2288"/>
      <c r="I27" s="2278"/>
      <c r="J27" s="2278"/>
      <c r="K27" s="2278"/>
      <c r="L27" s="2278"/>
      <c r="M27" s="2278"/>
      <c r="N27" s="2278"/>
      <c r="O27" s="2278"/>
      <c r="P27" s="2278"/>
      <c r="Q27" s="2278"/>
    </row>
    <row r="28" spans="1:17">
      <c r="A28" s="1453" t="s">
        <v>1237</v>
      </c>
      <c r="B28" s="1454" t="s">
        <v>593</v>
      </c>
      <c r="C28" s="1446"/>
      <c r="D28" s="529"/>
      <c r="E28" s="529"/>
      <c r="F28" s="529"/>
      <c r="G28" s="2278"/>
      <c r="H28" s="2278"/>
      <c r="I28" s="2278"/>
      <c r="J28" s="2278"/>
      <c r="K28" s="2278"/>
      <c r="L28" s="2278"/>
      <c r="M28" s="2278"/>
      <c r="N28" s="2278"/>
      <c r="O28" s="2278"/>
      <c r="P28" s="2278"/>
      <c r="Q28" s="2278"/>
    </row>
    <row r="29" spans="1:17">
      <c r="A29" s="2289"/>
      <c r="B29" s="2278"/>
      <c r="C29" s="2278"/>
      <c r="D29" s="2278"/>
      <c r="E29" s="2278"/>
      <c r="F29" s="2278"/>
      <c r="G29" s="2278"/>
      <c r="H29" s="2278"/>
      <c r="I29" s="2278"/>
      <c r="J29" s="2278"/>
      <c r="K29" s="2278"/>
      <c r="L29" s="2278"/>
      <c r="M29" s="2278"/>
      <c r="N29" s="2278"/>
      <c r="O29" s="2278"/>
      <c r="P29" s="2278"/>
      <c r="Q29" s="2278"/>
    </row>
    <row r="30" spans="1:17">
      <c r="A30" s="2289"/>
      <c r="B30" s="2278"/>
      <c r="C30" s="2278"/>
      <c r="D30" s="2278"/>
      <c r="E30" s="2278"/>
      <c r="F30" s="2278"/>
      <c r="G30" s="2278"/>
      <c r="H30" s="2278"/>
      <c r="I30" s="2278"/>
      <c r="J30" s="2278"/>
      <c r="K30" s="2278"/>
      <c r="L30" s="2278"/>
      <c r="M30" s="2278"/>
      <c r="N30" s="2278"/>
      <c r="O30" s="2278"/>
      <c r="P30" s="2278"/>
      <c r="Q30" s="2278"/>
    </row>
    <row r="31" spans="1:17">
      <c r="A31" s="2290"/>
      <c r="B31" s="2278"/>
      <c r="C31" s="2278"/>
      <c r="D31" s="2200"/>
      <c r="E31" s="2278"/>
      <c r="F31" s="2278"/>
      <c r="G31" s="2278"/>
      <c r="H31" s="2278"/>
      <c r="I31" s="2278"/>
      <c r="J31" s="2278"/>
      <c r="K31" s="2278"/>
      <c r="L31" s="2278"/>
      <c r="M31" s="2278"/>
      <c r="N31" s="2278"/>
      <c r="O31" s="2278"/>
      <c r="P31" s="2278"/>
      <c r="Q31" s="2278"/>
    </row>
    <row r="32" spans="1:17">
      <c r="A32" s="2290"/>
      <c r="B32" s="2278"/>
      <c r="C32" s="2278"/>
      <c r="D32" s="2278"/>
      <c r="E32" s="2278"/>
      <c r="F32" s="2278"/>
      <c r="G32" s="2278"/>
      <c r="H32" s="2278"/>
      <c r="I32" s="2278"/>
      <c r="J32" s="2278"/>
      <c r="K32" s="2278"/>
      <c r="L32" s="2278"/>
      <c r="M32" s="2278"/>
      <c r="N32" s="2278"/>
      <c r="O32" s="2278"/>
      <c r="P32" s="2278"/>
      <c r="Q32" s="2278"/>
    </row>
    <row r="33" spans="1:17">
      <c r="A33" s="2289"/>
      <c r="B33" s="2278"/>
      <c r="C33" s="2278"/>
      <c r="D33" s="2278"/>
      <c r="E33" s="2278"/>
      <c r="F33" s="2278"/>
      <c r="G33" s="2278"/>
      <c r="H33" s="2278"/>
      <c r="I33" s="2278"/>
      <c r="J33" s="2281"/>
      <c r="K33" s="1162"/>
      <c r="L33" s="1162"/>
      <c r="M33" s="1162"/>
      <c r="N33" s="1162"/>
      <c r="O33" s="2278"/>
      <c r="P33" s="2278"/>
      <c r="Q33" s="2278"/>
    </row>
    <row r="34" spans="1:17">
      <c r="A34" s="2289"/>
      <c r="B34" s="2278"/>
      <c r="C34" s="2278"/>
      <c r="D34" s="2278"/>
      <c r="E34" s="2278"/>
      <c r="F34" s="2278"/>
      <c r="G34" s="2278"/>
      <c r="H34" s="2278"/>
      <c r="I34" s="2278"/>
      <c r="J34" s="2281"/>
      <c r="K34" s="1162"/>
      <c r="L34" s="1162"/>
      <c r="M34" s="1162"/>
      <c r="N34" s="1162"/>
      <c r="O34" s="1162"/>
      <c r="P34" s="2278"/>
      <c r="Q34" s="2278"/>
    </row>
    <row r="35" spans="1:17">
      <c r="A35" s="2289"/>
      <c r="B35" s="2278"/>
      <c r="C35" s="2278"/>
      <c r="D35" s="2278"/>
      <c r="E35" s="2278"/>
      <c r="F35" s="2278"/>
      <c r="G35" s="2278"/>
      <c r="H35" s="2278"/>
      <c r="I35" s="2278"/>
      <c r="J35" s="1429" t="str">
        <f>COMPANY</f>
        <v>DUKE ENERGY KENTUCKY, INC.</v>
      </c>
      <c r="K35" s="529"/>
      <c r="L35" s="529"/>
      <c r="M35" s="529"/>
      <c r="N35" s="530" t="s">
        <v>3104</v>
      </c>
      <c r="P35" s="2278"/>
      <c r="Q35" s="2278"/>
    </row>
    <row r="36" spans="1:17">
      <c r="A36" s="2289"/>
      <c r="B36" s="2278"/>
      <c r="C36" s="2278"/>
      <c r="D36" s="2278"/>
      <c r="E36" s="2278"/>
      <c r="F36" s="2278"/>
      <c r="G36" s="2278"/>
      <c r="H36" s="2278"/>
      <c r="I36" s="2278"/>
      <c r="J36" s="1429" t="str">
        <f>DEPT</f>
        <v>ELECTRIC DEPARTMENT</v>
      </c>
      <c r="K36" s="529"/>
      <c r="L36" s="529"/>
      <c r="M36" s="529"/>
      <c r="N36" s="396" t="s">
        <v>622</v>
      </c>
      <c r="P36" s="2278"/>
      <c r="Q36" s="2278"/>
    </row>
    <row r="37" spans="1:17">
      <c r="A37" s="2289"/>
      <c r="B37" s="2278"/>
      <c r="C37" s="2278"/>
      <c r="D37" s="2278"/>
      <c r="E37" s="2278"/>
      <c r="F37" s="2278"/>
      <c r="G37" s="2278"/>
      <c r="H37" s="2278"/>
      <c r="I37" s="2278"/>
      <c r="J37" s="1429" t="str">
        <f>CASE</f>
        <v>CASE NO. 2017-00321</v>
      </c>
      <c r="K37" s="529"/>
      <c r="L37" s="529"/>
      <c r="M37" s="529"/>
      <c r="N37" s="529" t="str">
        <f>_WIT7</f>
        <v>R. H. PRATT / C. S. LEE</v>
      </c>
      <c r="O37" s="530"/>
      <c r="P37" s="2278"/>
      <c r="Q37" s="2278"/>
    </row>
    <row r="38" spans="1:17">
      <c r="A38" s="2289"/>
      <c r="B38" s="2278"/>
      <c r="C38" s="2278"/>
      <c r="D38" s="2278"/>
      <c r="E38" s="2278"/>
      <c r="F38" s="2278"/>
      <c r="G38" s="2278"/>
      <c r="H38" s="2278"/>
      <c r="I38" s="2278"/>
      <c r="J38" s="461" t="str">
        <f>A3</f>
        <v>AMORTIZATION OF EAST BEND DEFERRED DEPRECIATION</v>
      </c>
      <c r="K38" s="529"/>
      <c r="L38" s="529"/>
      <c r="M38" s="529"/>
      <c r="N38" s="529"/>
      <c r="O38" s="529"/>
      <c r="P38" s="2278"/>
      <c r="Q38" s="2278"/>
    </row>
    <row r="39" spans="1:17">
      <c r="A39" s="2289"/>
      <c r="B39" s="2278"/>
      <c r="C39" s="2278"/>
      <c r="D39" s="2278"/>
      <c r="E39" s="2278"/>
      <c r="F39" s="2278"/>
      <c r="G39" s="2278"/>
      <c r="H39" s="2278"/>
      <c r="I39" s="2278"/>
      <c r="J39" s="529"/>
      <c r="K39" s="529"/>
      <c r="L39" s="529"/>
      <c r="M39" s="529"/>
      <c r="N39" s="529"/>
      <c r="O39" s="529"/>
      <c r="P39" s="2278"/>
      <c r="Q39" s="2278"/>
    </row>
    <row r="40" spans="1:17">
      <c r="A40" s="2289"/>
      <c r="B40" s="2278"/>
      <c r="C40" s="2278"/>
      <c r="D40" s="2278"/>
      <c r="E40" s="2278"/>
      <c r="F40" s="2278"/>
      <c r="G40" s="2278"/>
      <c r="H40" s="2278"/>
      <c r="I40" s="2278"/>
      <c r="J40" s="529"/>
      <c r="K40" s="529"/>
      <c r="L40" s="529"/>
      <c r="M40" s="529"/>
      <c r="N40" s="1431"/>
      <c r="O40" s="529"/>
      <c r="P40" s="2278"/>
      <c r="Q40" s="2278"/>
    </row>
    <row r="41" spans="1:17">
      <c r="A41" s="2289"/>
      <c r="B41" s="2278"/>
      <c r="C41" s="2278"/>
      <c r="D41" s="2278"/>
      <c r="E41" s="2278"/>
      <c r="F41" s="2278"/>
      <c r="G41" s="2278"/>
      <c r="H41" s="2278"/>
      <c r="I41" s="2278"/>
      <c r="J41" s="529"/>
      <c r="K41" s="529"/>
      <c r="L41" s="529"/>
      <c r="M41" s="529"/>
      <c r="N41" s="1431"/>
      <c r="O41" s="529"/>
      <c r="P41" s="2278"/>
      <c r="Q41" s="2278"/>
    </row>
    <row r="42" spans="1:17">
      <c r="A42" s="2289"/>
      <c r="B42" s="2278"/>
      <c r="C42" s="2278"/>
      <c r="D42" s="2278"/>
      <c r="E42" s="2278"/>
      <c r="F42" s="2278"/>
      <c r="G42" s="2278"/>
      <c r="H42" s="2278"/>
      <c r="I42" s="2278"/>
      <c r="J42" s="1432" t="s">
        <v>2648</v>
      </c>
      <c r="K42" s="529"/>
      <c r="L42" s="529"/>
      <c r="M42" s="529"/>
      <c r="N42" s="1431"/>
      <c r="O42" s="532"/>
      <c r="P42" s="2278"/>
      <c r="Q42" s="2278"/>
    </row>
    <row r="43" spans="1:17">
      <c r="A43" s="2289"/>
      <c r="B43" s="2278"/>
      <c r="C43" s="2278"/>
      <c r="D43" s="2278"/>
      <c r="E43" s="2278"/>
      <c r="F43" s="2278"/>
      <c r="G43" s="2278"/>
      <c r="H43" s="2278"/>
      <c r="I43" s="2278"/>
      <c r="J43" s="1434" t="s">
        <v>1241</v>
      </c>
      <c r="K43" s="1435"/>
      <c r="L43" s="1434" t="s">
        <v>1119</v>
      </c>
      <c r="M43" s="1434"/>
      <c r="N43" s="1436"/>
      <c r="O43" s="1437" t="s">
        <v>646</v>
      </c>
      <c r="P43" s="2278"/>
      <c r="Q43" s="2278"/>
    </row>
    <row r="44" spans="1:17">
      <c r="A44" s="2289"/>
      <c r="B44" s="2278"/>
      <c r="C44" s="2278"/>
      <c r="D44" s="2278"/>
      <c r="E44" s="2278"/>
      <c r="F44" s="2278"/>
      <c r="G44" s="2278"/>
      <c r="H44" s="2278"/>
      <c r="I44" s="2278"/>
      <c r="J44" s="529"/>
      <c r="K44" s="529"/>
      <c r="L44" s="529"/>
      <c r="M44" s="529"/>
      <c r="N44" s="1431"/>
      <c r="O44" s="1438"/>
      <c r="P44" s="2278"/>
      <c r="Q44" s="2278"/>
    </row>
    <row r="45" spans="1:17">
      <c r="A45" s="2289"/>
      <c r="B45" s="2278"/>
      <c r="C45" s="2278"/>
      <c r="D45" s="2278"/>
      <c r="E45" s="2278"/>
      <c r="F45" s="2278"/>
      <c r="G45" s="2278"/>
      <c r="H45" s="2278"/>
      <c r="I45" s="2278"/>
      <c r="J45" s="529"/>
      <c r="K45" s="529"/>
      <c r="L45" s="529"/>
      <c r="M45" s="529"/>
      <c r="N45" s="529"/>
      <c r="O45" s="529"/>
      <c r="P45" s="2278"/>
      <c r="Q45" s="2278"/>
    </row>
    <row r="46" spans="1:17">
      <c r="A46" s="2289"/>
      <c r="B46" s="2278"/>
      <c r="C46" s="2278"/>
      <c r="D46" s="2278"/>
      <c r="E46" s="2278"/>
      <c r="F46" s="2278"/>
      <c r="G46" s="2278"/>
      <c r="H46" s="2278"/>
      <c r="I46" s="2278"/>
      <c r="J46" s="1432">
        <v>1</v>
      </c>
      <c r="K46" s="529"/>
      <c r="L46" s="45" t="s">
        <v>3169</v>
      </c>
      <c r="N46" s="529"/>
      <c r="O46" s="535"/>
      <c r="P46" s="2278"/>
      <c r="Q46" s="2278"/>
    </row>
    <row r="47" spans="1:17">
      <c r="A47" s="2289"/>
      <c r="B47" s="2278"/>
      <c r="C47" s="2278"/>
      <c r="D47" s="2278"/>
      <c r="E47" s="2278"/>
      <c r="F47" s="2278"/>
      <c r="G47" s="2278"/>
      <c r="H47" s="2278"/>
      <c r="I47" s="2278"/>
      <c r="J47" s="1432">
        <v>2</v>
      </c>
      <c r="K47" s="529"/>
      <c r="L47" s="18" t="s">
        <v>3134</v>
      </c>
      <c r="N47" s="529"/>
      <c r="O47" s="2291">
        <v>214359000</v>
      </c>
      <c r="P47" s="2278"/>
      <c r="Q47" s="2278"/>
    </row>
    <row r="48" spans="1:17">
      <c r="A48" s="2289"/>
      <c r="B48" s="2278"/>
      <c r="C48" s="2278"/>
      <c r="D48" s="2278"/>
      <c r="E48" s="2278"/>
      <c r="F48" s="2278"/>
      <c r="G48" s="2278"/>
      <c r="H48" s="2278"/>
      <c r="I48" s="2278"/>
      <c r="J48" s="1432">
        <v>3</v>
      </c>
      <c r="K48" s="529"/>
      <c r="L48" s="18" t="s">
        <v>3135</v>
      </c>
      <c r="N48" s="529"/>
      <c r="O48" s="2292">
        <v>2.1600000000000001E-2</v>
      </c>
      <c r="P48" s="2278"/>
      <c r="Q48" s="2278"/>
    </row>
    <row r="49" spans="1:17">
      <c r="A49" s="2289"/>
      <c r="B49" s="2278"/>
      <c r="C49" s="2278"/>
      <c r="D49" s="2278"/>
      <c r="E49" s="2278"/>
      <c r="F49" s="2278"/>
      <c r="G49" s="2278"/>
      <c r="H49" s="2278"/>
      <c r="I49" s="2278"/>
      <c r="J49" s="1432">
        <v>4</v>
      </c>
      <c r="K49" s="529"/>
      <c r="L49" s="45" t="s">
        <v>3173</v>
      </c>
      <c r="N49" s="529"/>
      <c r="O49" s="1730">
        <f>ROUND(O47*O48,0)</f>
        <v>4630154</v>
      </c>
      <c r="P49" s="2278"/>
      <c r="Q49" s="2278"/>
    </row>
    <row r="50" spans="1:17">
      <c r="A50" s="2289"/>
      <c r="B50" s="2278"/>
      <c r="C50" s="2278"/>
      <c r="D50" s="2278"/>
      <c r="E50" s="2278"/>
      <c r="F50" s="2278"/>
      <c r="G50" s="2278"/>
      <c r="H50" s="2278"/>
      <c r="I50" s="2278"/>
      <c r="J50" s="1432">
        <v>5</v>
      </c>
      <c r="K50" s="529"/>
      <c r="L50" s="45" t="s">
        <v>3174</v>
      </c>
      <c r="N50" s="529"/>
      <c r="O50" s="1730">
        <f>ROUND(O49/12,0)</f>
        <v>385846</v>
      </c>
      <c r="P50" s="2278"/>
      <c r="Q50" s="2278"/>
    </row>
    <row r="51" spans="1:17">
      <c r="A51" s="2289"/>
      <c r="B51" s="2278"/>
      <c r="C51" s="2278"/>
      <c r="D51" s="2278"/>
      <c r="E51" s="2278"/>
      <c r="F51" s="2278"/>
      <c r="G51" s="2278"/>
      <c r="H51" s="2278"/>
      <c r="I51" s="2278"/>
      <c r="J51" s="1432">
        <v>6</v>
      </c>
      <c r="K51" s="529"/>
      <c r="L51" s="18" t="s">
        <v>3136</v>
      </c>
      <c r="N51" s="529"/>
      <c r="O51" s="2293">
        <f>ROUND(O54/O50,2)</f>
        <v>32.14</v>
      </c>
      <c r="P51" s="2278"/>
      <c r="Q51" s="2278"/>
    </row>
    <row r="52" spans="1:17">
      <c r="A52" s="2289"/>
      <c r="B52" s="2278"/>
      <c r="C52" s="2278"/>
      <c r="D52" s="2278"/>
      <c r="E52" s="2278"/>
      <c r="F52" s="2278"/>
      <c r="G52" s="2278"/>
      <c r="H52" s="2278"/>
      <c r="I52" s="2278"/>
      <c r="J52" s="1432">
        <v>7</v>
      </c>
      <c r="K52" s="529"/>
      <c r="N52" s="529"/>
      <c r="O52" s="2294"/>
      <c r="P52" s="2278"/>
      <c r="Q52" s="2278"/>
    </row>
    <row r="53" spans="1:17">
      <c r="A53" s="2289"/>
      <c r="B53" s="2278"/>
      <c r="C53" s="2278"/>
      <c r="D53" s="2278"/>
      <c r="E53" s="2278"/>
      <c r="F53" s="2278"/>
      <c r="G53" s="2278"/>
      <c r="H53" s="2278"/>
      <c r="I53" s="2278"/>
      <c r="J53" s="1432">
        <v>8</v>
      </c>
      <c r="K53" s="529"/>
      <c r="L53" s="45" t="s">
        <v>3168</v>
      </c>
      <c r="N53" s="529"/>
      <c r="O53" s="45"/>
      <c r="P53" s="2278"/>
      <c r="Q53" s="2278"/>
    </row>
    <row r="54" spans="1:17">
      <c r="A54" s="2289"/>
      <c r="B54" s="2278"/>
      <c r="C54" s="2278"/>
      <c r="D54" s="2278"/>
      <c r="E54" s="2278"/>
      <c r="F54" s="2278"/>
      <c r="G54" s="2278"/>
      <c r="H54" s="2278"/>
      <c r="I54" s="2278"/>
      <c r="J54" s="1432">
        <v>9</v>
      </c>
      <c r="K54" s="529"/>
      <c r="L54" s="18" t="s">
        <v>3137</v>
      </c>
      <c r="N54" s="529"/>
      <c r="O54" s="2291">
        <v>12400000</v>
      </c>
      <c r="P54" s="2278"/>
      <c r="Q54" s="2278"/>
    </row>
    <row r="55" spans="1:17">
      <c r="A55" s="2289"/>
      <c r="B55" s="2278"/>
      <c r="C55" s="2278"/>
      <c r="D55" s="2278"/>
      <c r="E55" s="2278"/>
      <c r="F55" s="2278"/>
      <c r="G55" s="2278"/>
      <c r="H55" s="2278"/>
      <c r="I55" s="2278"/>
      <c r="J55" s="1432">
        <v>10</v>
      </c>
      <c r="K55" s="529"/>
      <c r="L55" s="18" t="s">
        <v>3135</v>
      </c>
      <c r="N55" s="529"/>
      <c r="O55" s="2295">
        <f>O48</f>
        <v>2.1600000000000001E-2</v>
      </c>
      <c r="P55" s="2278"/>
      <c r="Q55" s="2278"/>
    </row>
    <row r="56" spans="1:17">
      <c r="A56" s="2289"/>
      <c r="B56" s="2278"/>
      <c r="C56" s="2278"/>
      <c r="D56" s="2278"/>
      <c r="E56" s="2278"/>
      <c r="F56" s="2278"/>
      <c r="G56" s="2278"/>
      <c r="H56" s="2278"/>
      <c r="I56" s="2278"/>
      <c r="J56" s="1432">
        <v>11</v>
      </c>
      <c r="K56" s="529"/>
      <c r="L56" s="45" t="s">
        <v>3172</v>
      </c>
      <c r="N56" s="529"/>
      <c r="O56" s="1730">
        <f>ROUND(O54*O55,0)</f>
        <v>267840</v>
      </c>
      <c r="P56" s="2278"/>
      <c r="Q56" s="2278"/>
    </row>
    <row r="57" spans="1:17">
      <c r="A57" s="2289"/>
      <c r="B57" s="2278"/>
      <c r="C57" s="2278"/>
      <c r="D57" s="2278"/>
      <c r="E57" s="2278"/>
      <c r="F57" s="2278"/>
      <c r="G57" s="2278"/>
      <c r="H57" s="2278"/>
      <c r="I57" s="2278"/>
      <c r="J57" s="1432">
        <v>12</v>
      </c>
      <c r="K57" s="529"/>
      <c r="L57" s="45" t="s">
        <v>3171</v>
      </c>
      <c r="N57" s="529"/>
      <c r="O57" s="1730">
        <f>ROUND(O56/12,0)</f>
        <v>22320</v>
      </c>
      <c r="P57" s="2278"/>
      <c r="Q57" s="2278"/>
    </row>
    <row r="58" spans="1:17">
      <c r="A58" s="2289"/>
      <c r="B58" s="2278"/>
      <c r="C58" s="2278"/>
      <c r="D58" s="2278"/>
      <c r="E58" s="2278"/>
      <c r="F58" s="2278"/>
      <c r="G58" s="2278"/>
      <c r="H58" s="2278"/>
      <c r="I58" s="2278"/>
      <c r="J58" s="1432">
        <v>13</v>
      </c>
      <c r="K58" s="529"/>
      <c r="L58" s="45" t="s">
        <v>3206</v>
      </c>
      <c r="N58" s="529"/>
      <c r="O58" s="1730">
        <f>ROUND(O57*O51,0)</f>
        <v>717365</v>
      </c>
      <c r="P58" s="2278"/>
      <c r="Q58" s="2278"/>
    </row>
    <row r="59" spans="1:17">
      <c r="A59" s="2289"/>
      <c r="B59" s="2278"/>
      <c r="C59" s="2278"/>
      <c r="D59" s="2278"/>
      <c r="E59" s="2278"/>
      <c r="F59" s="2278"/>
      <c r="G59" s="2278"/>
      <c r="H59" s="2278"/>
      <c r="I59" s="2278"/>
      <c r="J59" s="1432">
        <v>14</v>
      </c>
      <c r="K59" s="529"/>
      <c r="N59" s="529"/>
      <c r="O59" s="2296"/>
      <c r="P59" s="2278"/>
      <c r="Q59" s="2278"/>
    </row>
    <row r="60" spans="1:17">
      <c r="A60" s="2289"/>
      <c r="B60" s="2278"/>
      <c r="C60" s="2278"/>
      <c r="D60" s="2278"/>
      <c r="E60" s="2278"/>
      <c r="F60" s="2278"/>
      <c r="G60" s="2278"/>
      <c r="H60" s="2278"/>
      <c r="I60" s="2278"/>
      <c r="J60" s="1432">
        <v>15</v>
      </c>
      <c r="K60" s="529"/>
      <c r="L60" s="18" t="s">
        <v>3138</v>
      </c>
      <c r="N60" s="529"/>
      <c r="O60" s="1730">
        <f>O54-O58</f>
        <v>11682635</v>
      </c>
      <c r="P60" s="2278"/>
      <c r="Q60" s="2278"/>
    </row>
    <row r="61" spans="1:17">
      <c r="A61" s="2289"/>
      <c r="B61" s="2278"/>
      <c r="C61" s="2278"/>
      <c r="D61" s="2278"/>
      <c r="E61" s="2278"/>
      <c r="F61" s="2278"/>
      <c r="G61" s="2278"/>
      <c r="H61" s="2278"/>
      <c r="I61" s="2278"/>
      <c r="J61" s="1432">
        <v>16</v>
      </c>
      <c r="K61" s="529"/>
      <c r="N61" s="529"/>
      <c r="O61" s="2296"/>
      <c r="P61" s="2278"/>
      <c r="Q61" s="2278"/>
    </row>
    <row r="62" spans="1:17">
      <c r="A62" s="2289"/>
      <c r="B62" s="2278"/>
      <c r="C62" s="2278"/>
      <c r="D62" s="2278"/>
      <c r="E62" s="2278"/>
      <c r="F62" s="2278"/>
      <c r="G62" s="2278"/>
      <c r="H62" s="2278"/>
      <c r="I62" s="2278"/>
      <c r="J62" s="1432">
        <v>17</v>
      </c>
      <c r="K62" s="529"/>
      <c r="L62" s="45" t="s">
        <v>3280</v>
      </c>
      <c r="N62" s="529"/>
      <c r="O62" s="2296">
        <f>ROUND((O57*0.86)+(O57*6),0)</f>
        <v>153115</v>
      </c>
      <c r="P62" s="2278"/>
      <c r="Q62" s="2278"/>
    </row>
    <row r="63" spans="1:17">
      <c r="A63" s="2289"/>
      <c r="B63" s="2278"/>
      <c r="C63" s="2278"/>
      <c r="D63" s="2278"/>
      <c r="E63" s="2278"/>
      <c r="F63" s="2278"/>
      <c r="G63" s="2278"/>
      <c r="H63" s="2278"/>
      <c r="I63" s="2278"/>
      <c r="J63" s="1432">
        <v>18</v>
      </c>
      <c r="K63" s="529"/>
      <c r="N63" s="529"/>
      <c r="O63" s="2296"/>
      <c r="P63" s="2278"/>
      <c r="Q63" s="2278"/>
    </row>
    <row r="64" spans="1:17">
      <c r="A64" s="2289"/>
      <c r="B64" s="2278"/>
      <c r="C64" s="2278"/>
      <c r="D64" s="2278"/>
      <c r="E64" s="2278"/>
      <c r="F64" s="2278"/>
      <c r="G64" s="2278"/>
      <c r="H64" s="2278"/>
      <c r="I64" s="2278"/>
      <c r="J64" s="1432">
        <v>19</v>
      </c>
      <c r="K64" s="529"/>
      <c r="L64" s="45" t="s">
        <v>3281</v>
      </c>
      <c r="N64" s="529"/>
      <c r="O64" s="2296">
        <f>O60-O62</f>
        <v>11529520</v>
      </c>
      <c r="P64" s="2278"/>
      <c r="Q64" s="2278"/>
    </row>
    <row r="65" spans="1:23">
      <c r="A65" s="2289"/>
      <c r="B65" s="2278"/>
      <c r="C65" s="2278"/>
      <c r="D65" s="2278"/>
      <c r="E65" s="2278"/>
      <c r="F65" s="2278"/>
      <c r="G65" s="2278"/>
      <c r="H65" s="2278"/>
      <c r="I65" s="2278"/>
      <c r="J65" s="1432">
        <v>20</v>
      </c>
      <c r="K65" s="529"/>
      <c r="N65" s="529"/>
      <c r="O65" s="2296"/>
      <c r="P65" s="2278"/>
      <c r="Q65" s="2278"/>
    </row>
    <row r="66" spans="1:23">
      <c r="A66" s="2289"/>
      <c r="B66" s="2278"/>
      <c r="C66" s="2278"/>
      <c r="D66" s="2278"/>
      <c r="E66" s="2278"/>
      <c r="F66" s="2278"/>
      <c r="G66" s="2278"/>
      <c r="H66" s="2278"/>
      <c r="I66" s="2278"/>
      <c r="J66" s="1432">
        <v>21</v>
      </c>
      <c r="K66" s="529"/>
      <c r="L66" s="45" t="s">
        <v>3170</v>
      </c>
      <c r="N66" s="529"/>
      <c r="O66" s="2297">
        <v>23.5</v>
      </c>
      <c r="P66" s="2278"/>
      <c r="Q66" s="2278"/>
    </row>
    <row r="67" spans="1:23">
      <c r="A67" s="2289"/>
      <c r="B67" s="2278"/>
      <c r="C67" s="2278"/>
      <c r="D67" s="2278"/>
      <c r="E67" s="2278"/>
      <c r="F67" s="2278"/>
      <c r="G67" s="2278"/>
      <c r="H67" s="2278"/>
      <c r="I67" s="2278"/>
      <c r="J67" s="1432">
        <v>22</v>
      </c>
      <c r="K67" s="529"/>
      <c r="N67" s="529"/>
      <c r="O67" s="2296"/>
      <c r="P67" s="2278"/>
      <c r="Q67" s="2278"/>
    </row>
    <row r="68" spans="1:23" ht="13.5" thickBot="1">
      <c r="A68" s="2289"/>
      <c r="B68" s="2278"/>
      <c r="C68" s="2278"/>
      <c r="D68" s="2278"/>
      <c r="E68" s="2278"/>
      <c r="F68" s="2278"/>
      <c r="G68" s="2278"/>
      <c r="H68" s="2278"/>
      <c r="I68" s="2278"/>
      <c r="J68" s="1432">
        <v>23</v>
      </c>
      <c r="K68" s="529"/>
      <c r="L68" s="18" t="s">
        <v>3139</v>
      </c>
      <c r="N68" s="529"/>
      <c r="O68" s="1638">
        <f>ROUND(O64/O66,0)</f>
        <v>490618</v>
      </c>
      <c r="P68" s="2278"/>
      <c r="Q68" s="2278"/>
    </row>
    <row r="69" spans="1:23" ht="13.5" thickTop="1">
      <c r="A69" s="2289"/>
      <c r="B69" s="2278"/>
      <c r="C69" s="2278"/>
      <c r="D69" s="2278"/>
      <c r="E69" s="2278"/>
      <c r="F69" s="2278"/>
      <c r="G69" s="2278"/>
      <c r="H69" s="2278"/>
      <c r="I69" s="2278"/>
      <c r="J69" s="1432"/>
      <c r="K69" s="529"/>
      <c r="L69" s="461"/>
      <c r="M69" s="461"/>
      <c r="N69" s="529"/>
      <c r="O69" s="535"/>
      <c r="P69" s="2278"/>
      <c r="Q69" s="2278"/>
    </row>
    <row r="70" spans="1:23">
      <c r="A70" s="2289"/>
      <c r="B70" s="2278"/>
      <c r="C70" s="2278"/>
      <c r="D70" s="2278"/>
      <c r="E70" s="2278"/>
      <c r="F70" s="2278"/>
      <c r="G70" s="2278"/>
      <c r="H70" s="2278"/>
      <c r="I70" s="2278"/>
      <c r="J70" s="1432"/>
      <c r="K70" s="529"/>
      <c r="L70" s="461"/>
      <c r="M70" s="461"/>
      <c r="N70" s="529"/>
      <c r="O70" s="535"/>
      <c r="P70" s="2278"/>
      <c r="Q70" s="2278"/>
    </row>
    <row r="71" spans="1:23">
      <c r="A71" s="2289"/>
      <c r="B71" s="2278"/>
      <c r="C71" s="2278"/>
      <c r="D71" s="2278"/>
      <c r="E71" s="2278"/>
      <c r="F71" s="2278"/>
      <c r="G71" s="2278"/>
      <c r="H71" s="2278"/>
      <c r="I71" s="2278"/>
      <c r="J71" s="1429"/>
      <c r="K71" s="529"/>
      <c r="L71" s="461"/>
      <c r="M71" s="461"/>
      <c r="N71" s="529"/>
      <c r="O71" s="529"/>
      <c r="P71" s="2278"/>
      <c r="Q71" s="2278"/>
    </row>
    <row r="72" spans="1:23">
      <c r="A72" s="2289"/>
      <c r="B72" s="2278"/>
      <c r="C72" s="2278"/>
      <c r="D72" s="2278"/>
      <c r="E72" s="2278"/>
      <c r="F72" s="2278"/>
      <c r="G72" s="2278"/>
      <c r="H72" s="2278"/>
      <c r="I72" s="2278"/>
      <c r="J72" s="529"/>
      <c r="K72" s="529"/>
      <c r="L72" s="18" t="s">
        <v>3140</v>
      </c>
      <c r="N72" s="529"/>
      <c r="O72" s="529"/>
      <c r="P72" s="2278"/>
      <c r="Q72" s="2278"/>
    </row>
    <row r="73" spans="1:23">
      <c r="A73" s="2289"/>
      <c r="B73" s="2278"/>
      <c r="C73" s="2278"/>
      <c r="D73" s="2278"/>
      <c r="E73" s="2278"/>
      <c r="F73" s="2278"/>
      <c r="G73" s="2278"/>
      <c r="H73" s="2278"/>
      <c r="I73" s="2278"/>
      <c r="J73" s="1162"/>
      <c r="K73" s="1162"/>
      <c r="L73" s="18" t="s">
        <v>3141</v>
      </c>
      <c r="N73" s="1162"/>
      <c r="O73" s="2278"/>
      <c r="P73" s="2278"/>
      <c r="Q73" s="2278"/>
    </row>
    <row r="74" spans="1:23">
      <c r="A74" s="2289"/>
      <c r="B74" s="2278"/>
      <c r="C74" s="2278"/>
      <c r="D74" s="2278"/>
      <c r="E74" s="2278"/>
      <c r="F74" s="2278"/>
      <c r="G74" s="2278"/>
      <c r="H74" s="2278"/>
      <c r="I74" s="2278"/>
      <c r="J74" s="1162"/>
      <c r="K74" s="1162"/>
      <c r="L74" s="1162"/>
      <c r="M74" s="1162"/>
      <c r="N74" s="1162"/>
      <c r="O74" s="1162"/>
      <c r="P74" s="2278"/>
      <c r="Q74" s="1429" t="str">
        <f>COMPANY</f>
        <v>DUKE ENERGY KENTUCKY, INC.</v>
      </c>
      <c r="V74" s="530" t="s">
        <v>3282</v>
      </c>
    </row>
    <row r="75" spans="1:23">
      <c r="A75" s="2289"/>
      <c r="B75" s="2278"/>
      <c r="C75" s="2278"/>
      <c r="D75" s="2278"/>
      <c r="E75" s="2278"/>
      <c r="F75" s="2278"/>
      <c r="G75" s="2278"/>
      <c r="H75" s="2278"/>
      <c r="I75" s="2278"/>
      <c r="J75" s="1162"/>
      <c r="K75" s="1162"/>
      <c r="L75" s="1162"/>
      <c r="M75" s="1162"/>
      <c r="N75" s="1162"/>
      <c r="O75" s="1162"/>
      <c r="P75" s="2278"/>
      <c r="Q75" s="1429" t="str">
        <f>DEPT</f>
        <v>ELECTRIC DEPARTMENT</v>
      </c>
      <c r="V75" s="396" t="s">
        <v>622</v>
      </c>
    </row>
    <row r="76" spans="1:23">
      <c r="A76" s="2289"/>
      <c r="B76" s="2278"/>
      <c r="C76" s="2278"/>
      <c r="D76" s="2278"/>
      <c r="E76" s="2278"/>
      <c r="F76" s="2278"/>
      <c r="G76" s="2278"/>
      <c r="H76" s="2278"/>
      <c r="I76" s="2278"/>
      <c r="J76" s="2283"/>
      <c r="K76" s="1162"/>
      <c r="L76" s="1162"/>
      <c r="M76" s="1162"/>
      <c r="N76" s="1162"/>
      <c r="O76" s="2283"/>
      <c r="P76" s="2278"/>
      <c r="Q76" s="1429" t="str">
        <f>CASE</f>
        <v>CASE NO. 2017-00321</v>
      </c>
      <c r="V76" s="529" t="str">
        <f>_WIT7</f>
        <v>R. H. PRATT / C. S. LEE</v>
      </c>
    </row>
    <row r="77" spans="1:23" ht="15.75">
      <c r="Q77" s="461" t="str">
        <f>A3</f>
        <v>AMORTIZATION OF EAST BEND DEFERRED DEPRECIATION</v>
      </c>
      <c r="W77" s="2298"/>
    </row>
    <row r="81" spans="17:23">
      <c r="R81" s="1162"/>
      <c r="S81" s="2299" t="s">
        <v>3283</v>
      </c>
      <c r="U81" s="2299" t="s">
        <v>3284</v>
      </c>
    </row>
    <row r="82" spans="17:23">
      <c r="Q82" s="1432" t="s">
        <v>2648</v>
      </c>
      <c r="R82" s="1162"/>
      <c r="S82" s="2299" t="s">
        <v>3285</v>
      </c>
      <c r="T82" s="2299" t="s">
        <v>725</v>
      </c>
      <c r="U82" s="2299" t="s">
        <v>3286</v>
      </c>
      <c r="V82" s="2299" t="s">
        <v>3287</v>
      </c>
      <c r="W82" s="1185" t="s">
        <v>3288</v>
      </c>
    </row>
    <row r="83" spans="17:23">
      <c r="Q83" s="1434" t="s">
        <v>1241</v>
      </c>
      <c r="R83" s="2300" t="s">
        <v>1548</v>
      </c>
      <c r="S83" s="2299" t="s">
        <v>3289</v>
      </c>
      <c r="T83" s="2299" t="s">
        <v>3285</v>
      </c>
      <c r="U83" s="2299" t="s">
        <v>3290</v>
      </c>
      <c r="V83" s="2299" t="s">
        <v>3291</v>
      </c>
      <c r="W83" s="1677" t="s">
        <v>3292</v>
      </c>
    </row>
    <row r="84" spans="17:23">
      <c r="R84" s="1162"/>
      <c r="S84" s="2301" t="s">
        <v>3293</v>
      </c>
      <c r="T84" s="2301" t="s">
        <v>3294</v>
      </c>
      <c r="U84" s="2301" t="s">
        <v>3295</v>
      </c>
      <c r="V84" s="2301" t="s">
        <v>3296</v>
      </c>
      <c r="W84" s="2301" t="s">
        <v>3297</v>
      </c>
    </row>
    <row r="85" spans="17:23">
      <c r="R85" s="1162"/>
      <c r="S85" s="565"/>
      <c r="T85" s="2278"/>
      <c r="U85" s="2278"/>
    </row>
    <row r="86" spans="17:23">
      <c r="T86" s="1610">
        <f>O54</f>
        <v>12400000</v>
      </c>
      <c r="W86" s="1747"/>
    </row>
    <row r="87" spans="17:23">
      <c r="Q87" s="1346">
        <f>MAX(Q$47:Q86)+1</f>
        <v>1</v>
      </c>
      <c r="R87" s="1748">
        <v>42035</v>
      </c>
      <c r="S87" s="1749">
        <f>$O$50</f>
        <v>385846</v>
      </c>
      <c r="T87" s="1747">
        <f t="shared" ref="T87:T119" si="0">T86-S87</f>
        <v>12014154</v>
      </c>
      <c r="U87" s="1749">
        <f>$O$57</f>
        <v>22320</v>
      </c>
      <c r="V87" s="1749">
        <f t="shared" ref="V87:V119" si="1">S87-U87</f>
        <v>363526</v>
      </c>
      <c r="W87" s="1747">
        <f t="shared" ref="W87:W118" si="2">W86+V87</f>
        <v>363526</v>
      </c>
    </row>
    <row r="88" spans="17:23">
      <c r="Q88" s="1346">
        <f>MAX(Q$47:Q87)+1</f>
        <v>2</v>
      </c>
      <c r="R88" s="1748">
        <v>42063</v>
      </c>
      <c r="S88" s="1749">
        <f t="shared" ref="S88:S118" si="3">$O$50</f>
        <v>385846</v>
      </c>
      <c r="T88" s="1747">
        <f t="shared" si="0"/>
        <v>11628308</v>
      </c>
      <c r="U88" s="1749">
        <f t="shared" ref="U88:U138" si="4">$O$57</f>
        <v>22320</v>
      </c>
      <c r="V88" s="1747">
        <f t="shared" si="1"/>
        <v>363526</v>
      </c>
      <c r="W88" s="1747">
        <f t="shared" si="2"/>
        <v>727052</v>
      </c>
    </row>
    <row r="89" spans="17:23">
      <c r="Q89" s="1346">
        <f>MAX(Q$47:Q88)+1</f>
        <v>3</v>
      </c>
      <c r="R89" s="1748">
        <v>42094</v>
      </c>
      <c r="S89" s="1749">
        <f t="shared" si="3"/>
        <v>385846</v>
      </c>
      <c r="T89" s="1747">
        <f t="shared" si="0"/>
        <v>11242462</v>
      </c>
      <c r="U89" s="1749">
        <f t="shared" si="4"/>
        <v>22320</v>
      </c>
      <c r="V89" s="1747">
        <f t="shared" si="1"/>
        <v>363526</v>
      </c>
      <c r="W89" s="1747">
        <f t="shared" si="2"/>
        <v>1090578</v>
      </c>
    </row>
    <row r="90" spans="17:23">
      <c r="Q90" s="1346">
        <f>MAX(Q$47:Q89)+1</f>
        <v>4</v>
      </c>
      <c r="R90" s="1748">
        <v>42124</v>
      </c>
      <c r="S90" s="1749">
        <f t="shared" si="3"/>
        <v>385846</v>
      </c>
      <c r="T90" s="1747">
        <f t="shared" si="0"/>
        <v>10856616</v>
      </c>
      <c r="U90" s="1749">
        <f t="shared" si="4"/>
        <v>22320</v>
      </c>
      <c r="V90" s="1747">
        <f t="shared" si="1"/>
        <v>363526</v>
      </c>
      <c r="W90" s="1747">
        <f t="shared" si="2"/>
        <v>1454104</v>
      </c>
    </row>
    <row r="91" spans="17:23">
      <c r="Q91" s="1346">
        <f>MAX(Q$47:Q90)+1</f>
        <v>5</v>
      </c>
      <c r="R91" s="1748">
        <v>42155</v>
      </c>
      <c r="S91" s="1749">
        <f t="shared" si="3"/>
        <v>385846</v>
      </c>
      <c r="T91" s="1747">
        <f t="shared" si="0"/>
        <v>10470770</v>
      </c>
      <c r="U91" s="1749">
        <f t="shared" si="4"/>
        <v>22320</v>
      </c>
      <c r="V91" s="1747">
        <f t="shared" si="1"/>
        <v>363526</v>
      </c>
      <c r="W91" s="1747">
        <f t="shared" si="2"/>
        <v>1817630</v>
      </c>
    </row>
    <row r="92" spans="17:23">
      <c r="Q92" s="1346">
        <f>MAX(Q$47:Q91)+1</f>
        <v>6</v>
      </c>
      <c r="R92" s="1748">
        <v>42185</v>
      </c>
      <c r="S92" s="1749">
        <f t="shared" si="3"/>
        <v>385846</v>
      </c>
      <c r="T92" s="1747">
        <f t="shared" si="0"/>
        <v>10084924</v>
      </c>
      <c r="U92" s="1749">
        <f t="shared" si="4"/>
        <v>22320</v>
      </c>
      <c r="V92" s="1747">
        <f t="shared" si="1"/>
        <v>363526</v>
      </c>
      <c r="W92" s="1747">
        <f t="shared" si="2"/>
        <v>2181156</v>
      </c>
    </row>
    <row r="93" spans="17:23">
      <c r="Q93" s="1346">
        <f>MAX(Q$47:Q92)+1</f>
        <v>7</v>
      </c>
      <c r="R93" s="1748">
        <v>42216</v>
      </c>
      <c r="S93" s="1749">
        <f t="shared" si="3"/>
        <v>385846</v>
      </c>
      <c r="T93" s="1747">
        <f t="shared" si="0"/>
        <v>9699078</v>
      </c>
      <c r="U93" s="1749">
        <f t="shared" si="4"/>
        <v>22320</v>
      </c>
      <c r="V93" s="1747">
        <f t="shared" si="1"/>
        <v>363526</v>
      </c>
      <c r="W93" s="1747">
        <f t="shared" si="2"/>
        <v>2544682</v>
      </c>
    </row>
    <row r="94" spans="17:23">
      <c r="Q94" s="1346">
        <f>MAX(Q$47:Q93)+1</f>
        <v>8</v>
      </c>
      <c r="R94" s="1748">
        <v>42247</v>
      </c>
      <c r="S94" s="1749">
        <f t="shared" si="3"/>
        <v>385846</v>
      </c>
      <c r="T94" s="1747">
        <f t="shared" si="0"/>
        <v>9313232</v>
      </c>
      <c r="U94" s="1749">
        <f t="shared" si="4"/>
        <v>22320</v>
      </c>
      <c r="V94" s="1747">
        <f t="shared" si="1"/>
        <v>363526</v>
      </c>
      <c r="W94" s="1747">
        <f t="shared" si="2"/>
        <v>2908208</v>
      </c>
    </row>
    <row r="95" spans="17:23">
      <c r="Q95" s="1346">
        <f>MAX(Q$47:Q94)+1</f>
        <v>9</v>
      </c>
      <c r="R95" s="1748">
        <v>42277</v>
      </c>
      <c r="S95" s="1749">
        <f t="shared" si="3"/>
        <v>385846</v>
      </c>
      <c r="T95" s="1747">
        <f t="shared" si="0"/>
        <v>8927386</v>
      </c>
      <c r="U95" s="1749">
        <f t="shared" si="4"/>
        <v>22320</v>
      </c>
      <c r="V95" s="1747">
        <f t="shared" si="1"/>
        <v>363526</v>
      </c>
      <c r="W95" s="1747">
        <f t="shared" si="2"/>
        <v>3271734</v>
      </c>
    </row>
    <row r="96" spans="17:23">
      <c r="Q96" s="1346">
        <f>MAX(Q$47:Q95)+1</f>
        <v>10</v>
      </c>
      <c r="R96" s="1748">
        <v>42308</v>
      </c>
      <c r="S96" s="1749">
        <f t="shared" si="3"/>
        <v>385846</v>
      </c>
      <c r="T96" s="1747">
        <f t="shared" si="0"/>
        <v>8541540</v>
      </c>
      <c r="U96" s="1749">
        <f t="shared" si="4"/>
        <v>22320</v>
      </c>
      <c r="V96" s="1747">
        <f t="shared" si="1"/>
        <v>363526</v>
      </c>
      <c r="W96" s="1747">
        <f t="shared" si="2"/>
        <v>3635260</v>
      </c>
    </row>
    <row r="97" spans="17:23">
      <c r="Q97" s="1346">
        <f>MAX(Q$47:Q96)+1</f>
        <v>11</v>
      </c>
      <c r="R97" s="1748">
        <v>42338</v>
      </c>
      <c r="S97" s="1749">
        <f t="shared" si="3"/>
        <v>385846</v>
      </c>
      <c r="T97" s="1747">
        <f t="shared" si="0"/>
        <v>8155694</v>
      </c>
      <c r="U97" s="1749">
        <f t="shared" si="4"/>
        <v>22320</v>
      </c>
      <c r="V97" s="1747">
        <f t="shared" si="1"/>
        <v>363526</v>
      </c>
      <c r="W97" s="1747">
        <f t="shared" si="2"/>
        <v>3998786</v>
      </c>
    </row>
    <row r="98" spans="17:23">
      <c r="Q98" s="1346">
        <f>MAX(Q$47:Q97)+1</f>
        <v>12</v>
      </c>
      <c r="R98" s="1748">
        <v>42369</v>
      </c>
      <c r="S98" s="1749">
        <f t="shared" si="3"/>
        <v>385846</v>
      </c>
      <c r="T98" s="1747">
        <f t="shared" si="0"/>
        <v>7769848</v>
      </c>
      <c r="U98" s="1749">
        <f t="shared" si="4"/>
        <v>22320</v>
      </c>
      <c r="V98" s="1747">
        <f t="shared" si="1"/>
        <v>363526</v>
      </c>
      <c r="W98" s="1747">
        <f t="shared" si="2"/>
        <v>4362312</v>
      </c>
    </row>
    <row r="99" spans="17:23">
      <c r="Q99" s="1346">
        <f>MAX(Q$47:Q98)+1</f>
        <v>13</v>
      </c>
      <c r="R99" s="1748">
        <v>42400</v>
      </c>
      <c r="S99" s="1749">
        <f t="shared" si="3"/>
        <v>385846</v>
      </c>
      <c r="T99" s="1747">
        <f t="shared" si="0"/>
        <v>7384002</v>
      </c>
      <c r="U99" s="1749">
        <f t="shared" si="4"/>
        <v>22320</v>
      </c>
      <c r="V99" s="1747">
        <f t="shared" si="1"/>
        <v>363526</v>
      </c>
      <c r="W99" s="1747">
        <f t="shared" si="2"/>
        <v>4725838</v>
      </c>
    </row>
    <row r="100" spans="17:23">
      <c r="Q100" s="1346">
        <f>MAX(Q$47:Q99)+1</f>
        <v>14</v>
      </c>
      <c r="R100" s="1748">
        <v>42429</v>
      </c>
      <c r="S100" s="1749">
        <f t="shared" si="3"/>
        <v>385846</v>
      </c>
      <c r="T100" s="1747">
        <f t="shared" si="0"/>
        <v>6998156</v>
      </c>
      <c r="U100" s="1749">
        <f t="shared" si="4"/>
        <v>22320</v>
      </c>
      <c r="V100" s="1747">
        <f t="shared" si="1"/>
        <v>363526</v>
      </c>
      <c r="W100" s="1747">
        <f t="shared" si="2"/>
        <v>5089364</v>
      </c>
    </row>
    <row r="101" spans="17:23">
      <c r="Q101" s="1346">
        <f>MAX(Q$47:Q100)+1</f>
        <v>15</v>
      </c>
      <c r="R101" s="1748">
        <v>42460</v>
      </c>
      <c r="S101" s="1749">
        <f t="shared" si="3"/>
        <v>385846</v>
      </c>
      <c r="T101" s="1747">
        <f t="shared" si="0"/>
        <v>6612310</v>
      </c>
      <c r="U101" s="1749">
        <f t="shared" si="4"/>
        <v>22320</v>
      </c>
      <c r="V101" s="1747">
        <f t="shared" si="1"/>
        <v>363526</v>
      </c>
      <c r="W101" s="1747">
        <f t="shared" si="2"/>
        <v>5452890</v>
      </c>
    </row>
    <row r="102" spans="17:23">
      <c r="Q102" s="1346">
        <f>MAX(Q$47:Q101)+1</f>
        <v>16</v>
      </c>
      <c r="R102" s="1748">
        <v>42490</v>
      </c>
      <c r="S102" s="1749">
        <f t="shared" si="3"/>
        <v>385846</v>
      </c>
      <c r="T102" s="1747">
        <f t="shared" si="0"/>
        <v>6226464</v>
      </c>
      <c r="U102" s="1749">
        <f t="shared" si="4"/>
        <v>22320</v>
      </c>
      <c r="V102" s="1747">
        <f t="shared" si="1"/>
        <v>363526</v>
      </c>
      <c r="W102" s="1747">
        <f t="shared" si="2"/>
        <v>5816416</v>
      </c>
    </row>
    <row r="103" spans="17:23">
      <c r="Q103" s="1346">
        <f>MAX(Q$47:Q102)+1</f>
        <v>17</v>
      </c>
      <c r="R103" s="1748">
        <v>42521</v>
      </c>
      <c r="S103" s="1749">
        <f t="shared" si="3"/>
        <v>385846</v>
      </c>
      <c r="T103" s="1747">
        <f t="shared" si="0"/>
        <v>5840618</v>
      </c>
      <c r="U103" s="1749">
        <f t="shared" si="4"/>
        <v>22320</v>
      </c>
      <c r="V103" s="1747">
        <f t="shared" si="1"/>
        <v>363526</v>
      </c>
      <c r="W103" s="1747">
        <f t="shared" si="2"/>
        <v>6179942</v>
      </c>
    </row>
    <row r="104" spans="17:23">
      <c r="Q104" s="1346">
        <f>MAX(Q$47:Q103)+1</f>
        <v>18</v>
      </c>
      <c r="R104" s="1748">
        <v>42551</v>
      </c>
      <c r="S104" s="1749">
        <f t="shared" si="3"/>
        <v>385846</v>
      </c>
      <c r="T104" s="1747">
        <f t="shared" si="0"/>
        <v>5454772</v>
      </c>
      <c r="U104" s="1749">
        <f t="shared" si="4"/>
        <v>22320</v>
      </c>
      <c r="V104" s="1747">
        <f t="shared" si="1"/>
        <v>363526</v>
      </c>
      <c r="W104" s="1747">
        <f t="shared" si="2"/>
        <v>6543468</v>
      </c>
    </row>
    <row r="105" spans="17:23">
      <c r="Q105" s="1346">
        <f>MAX(Q$47:Q104)+1</f>
        <v>19</v>
      </c>
      <c r="R105" s="1748">
        <v>42582</v>
      </c>
      <c r="S105" s="1749">
        <f t="shared" si="3"/>
        <v>385846</v>
      </c>
      <c r="T105" s="1747">
        <f t="shared" si="0"/>
        <v>5068926</v>
      </c>
      <c r="U105" s="1749">
        <f t="shared" si="4"/>
        <v>22320</v>
      </c>
      <c r="V105" s="1747">
        <f t="shared" si="1"/>
        <v>363526</v>
      </c>
      <c r="W105" s="1747">
        <f t="shared" si="2"/>
        <v>6906994</v>
      </c>
    </row>
    <row r="106" spans="17:23">
      <c r="Q106" s="1346">
        <f>MAX(Q$47:Q105)+1</f>
        <v>20</v>
      </c>
      <c r="R106" s="1748">
        <v>42613</v>
      </c>
      <c r="S106" s="1749">
        <f t="shared" si="3"/>
        <v>385846</v>
      </c>
      <c r="T106" s="1747">
        <f t="shared" si="0"/>
        <v>4683080</v>
      </c>
      <c r="U106" s="1749">
        <f t="shared" si="4"/>
        <v>22320</v>
      </c>
      <c r="V106" s="1747">
        <f t="shared" si="1"/>
        <v>363526</v>
      </c>
      <c r="W106" s="1747">
        <f t="shared" si="2"/>
        <v>7270520</v>
      </c>
    </row>
    <row r="107" spans="17:23">
      <c r="Q107" s="1346">
        <f>MAX(Q$47:Q106)+1</f>
        <v>21</v>
      </c>
      <c r="R107" s="1748">
        <v>42643</v>
      </c>
      <c r="S107" s="1749">
        <f t="shared" si="3"/>
        <v>385846</v>
      </c>
      <c r="T107" s="1747">
        <f t="shared" si="0"/>
        <v>4297234</v>
      </c>
      <c r="U107" s="1749">
        <f t="shared" si="4"/>
        <v>22320</v>
      </c>
      <c r="V107" s="1747">
        <f t="shared" si="1"/>
        <v>363526</v>
      </c>
      <c r="W107" s="1747">
        <f t="shared" si="2"/>
        <v>7634046</v>
      </c>
    </row>
    <row r="108" spans="17:23">
      <c r="Q108" s="1346">
        <f>MAX(Q$47:Q107)+1</f>
        <v>22</v>
      </c>
      <c r="R108" s="1748">
        <v>42674</v>
      </c>
      <c r="S108" s="1749">
        <f t="shared" si="3"/>
        <v>385846</v>
      </c>
      <c r="T108" s="1747">
        <f t="shared" si="0"/>
        <v>3911388</v>
      </c>
      <c r="U108" s="1749">
        <f t="shared" si="4"/>
        <v>22320</v>
      </c>
      <c r="V108" s="1747">
        <f t="shared" si="1"/>
        <v>363526</v>
      </c>
      <c r="W108" s="1747">
        <f t="shared" si="2"/>
        <v>7997572</v>
      </c>
    </row>
    <row r="109" spans="17:23">
      <c r="Q109" s="1346">
        <f>MAX(Q$47:Q108)+1</f>
        <v>23</v>
      </c>
      <c r="R109" s="1748">
        <v>42704</v>
      </c>
      <c r="S109" s="1749">
        <f t="shared" si="3"/>
        <v>385846</v>
      </c>
      <c r="T109" s="1747">
        <f t="shared" si="0"/>
        <v>3525542</v>
      </c>
      <c r="U109" s="1749">
        <f t="shared" si="4"/>
        <v>22320</v>
      </c>
      <c r="V109" s="1747">
        <f t="shared" si="1"/>
        <v>363526</v>
      </c>
      <c r="W109" s="1747">
        <f t="shared" si="2"/>
        <v>8361098</v>
      </c>
    </row>
    <row r="110" spans="17:23">
      <c r="Q110" s="1346">
        <f>MAX(Q$47:Q109)+1</f>
        <v>24</v>
      </c>
      <c r="R110" s="1748">
        <v>42735</v>
      </c>
      <c r="S110" s="1749">
        <f t="shared" si="3"/>
        <v>385846</v>
      </c>
      <c r="T110" s="1747">
        <f t="shared" si="0"/>
        <v>3139696</v>
      </c>
      <c r="U110" s="1749">
        <f t="shared" si="4"/>
        <v>22320</v>
      </c>
      <c r="V110" s="1747">
        <f t="shared" si="1"/>
        <v>363526</v>
      </c>
      <c r="W110" s="1747">
        <f t="shared" si="2"/>
        <v>8724624</v>
      </c>
    </row>
    <row r="111" spans="17:23">
      <c r="Q111" s="1346">
        <f>MAX(Q$47:Q110)+1</f>
        <v>25</v>
      </c>
      <c r="R111" s="1748">
        <v>42766</v>
      </c>
      <c r="S111" s="1749">
        <f t="shared" si="3"/>
        <v>385846</v>
      </c>
      <c r="T111" s="1747">
        <f t="shared" si="0"/>
        <v>2753850</v>
      </c>
      <c r="U111" s="1749">
        <f t="shared" si="4"/>
        <v>22320</v>
      </c>
      <c r="V111" s="1747">
        <f t="shared" si="1"/>
        <v>363526</v>
      </c>
      <c r="W111" s="1747">
        <f t="shared" si="2"/>
        <v>9088150</v>
      </c>
    </row>
    <row r="112" spans="17:23">
      <c r="Q112" s="1346">
        <f>MAX(Q$47:Q111)+1</f>
        <v>26</v>
      </c>
      <c r="R112" s="1748">
        <v>42794</v>
      </c>
      <c r="S112" s="1749">
        <f t="shared" si="3"/>
        <v>385846</v>
      </c>
      <c r="T112" s="1747">
        <f t="shared" si="0"/>
        <v>2368004</v>
      </c>
      <c r="U112" s="1749">
        <f t="shared" si="4"/>
        <v>22320</v>
      </c>
      <c r="V112" s="1747">
        <f t="shared" si="1"/>
        <v>363526</v>
      </c>
      <c r="W112" s="1747">
        <f t="shared" si="2"/>
        <v>9451676</v>
      </c>
    </row>
    <row r="113" spans="17:23">
      <c r="Q113" s="1346">
        <f>MAX(Q$47:Q112)+1</f>
        <v>27</v>
      </c>
      <c r="R113" s="1748">
        <v>42825</v>
      </c>
      <c r="S113" s="1749">
        <f t="shared" si="3"/>
        <v>385846</v>
      </c>
      <c r="T113" s="1747">
        <f t="shared" si="0"/>
        <v>1982158</v>
      </c>
      <c r="U113" s="1749">
        <f t="shared" si="4"/>
        <v>22320</v>
      </c>
      <c r="V113" s="1747">
        <f t="shared" si="1"/>
        <v>363526</v>
      </c>
      <c r="W113" s="1747">
        <f t="shared" si="2"/>
        <v>9815202</v>
      </c>
    </row>
    <row r="114" spans="17:23">
      <c r="Q114" s="1346">
        <f>MAX(Q$47:Q113)+1</f>
        <v>28</v>
      </c>
      <c r="R114" s="1748">
        <v>42855</v>
      </c>
      <c r="S114" s="1749">
        <f t="shared" si="3"/>
        <v>385846</v>
      </c>
      <c r="T114" s="1747">
        <f t="shared" si="0"/>
        <v>1596312</v>
      </c>
      <c r="U114" s="1749">
        <f t="shared" si="4"/>
        <v>22320</v>
      </c>
      <c r="V114" s="1747">
        <f t="shared" si="1"/>
        <v>363526</v>
      </c>
      <c r="W114" s="1747">
        <f t="shared" si="2"/>
        <v>10178728</v>
      </c>
    </row>
    <row r="115" spans="17:23">
      <c r="Q115" s="1346">
        <f>MAX(Q$47:Q114)+1</f>
        <v>29</v>
      </c>
      <c r="R115" s="1748">
        <v>42886</v>
      </c>
      <c r="S115" s="1749">
        <f t="shared" si="3"/>
        <v>385846</v>
      </c>
      <c r="T115" s="1747">
        <f t="shared" si="0"/>
        <v>1210466</v>
      </c>
      <c r="U115" s="1749">
        <f t="shared" si="4"/>
        <v>22320</v>
      </c>
      <c r="V115" s="1747">
        <f t="shared" si="1"/>
        <v>363526</v>
      </c>
      <c r="W115" s="1747">
        <f t="shared" si="2"/>
        <v>10542254</v>
      </c>
    </row>
    <row r="116" spans="17:23">
      <c r="Q116" s="1346">
        <f>MAX(Q$47:Q115)+1</f>
        <v>30</v>
      </c>
      <c r="R116" s="1748">
        <v>42916</v>
      </c>
      <c r="S116" s="1749">
        <f t="shared" si="3"/>
        <v>385846</v>
      </c>
      <c r="T116" s="1747">
        <f t="shared" si="0"/>
        <v>824620</v>
      </c>
      <c r="U116" s="1749">
        <f t="shared" si="4"/>
        <v>22320</v>
      </c>
      <c r="V116" s="1747">
        <f t="shared" si="1"/>
        <v>363526</v>
      </c>
      <c r="W116" s="1747">
        <f t="shared" si="2"/>
        <v>10905780</v>
      </c>
    </row>
    <row r="117" spans="17:23">
      <c r="Q117" s="1346">
        <f>MAX(Q$47:Q116)+1</f>
        <v>31</v>
      </c>
      <c r="R117" s="1748">
        <v>42947</v>
      </c>
      <c r="S117" s="1749">
        <f t="shared" si="3"/>
        <v>385846</v>
      </c>
      <c r="T117" s="1747">
        <f t="shared" si="0"/>
        <v>438774</v>
      </c>
      <c r="U117" s="1749">
        <f t="shared" si="4"/>
        <v>22320</v>
      </c>
      <c r="V117" s="1747">
        <f t="shared" si="1"/>
        <v>363526</v>
      </c>
      <c r="W117" s="1747">
        <f t="shared" si="2"/>
        <v>11269306</v>
      </c>
    </row>
    <row r="118" spans="17:23">
      <c r="Q118" s="1346">
        <f>MAX(Q$47:Q117)+1</f>
        <v>32</v>
      </c>
      <c r="R118" s="1748">
        <v>42978</v>
      </c>
      <c r="S118" s="1749">
        <f t="shared" si="3"/>
        <v>385846</v>
      </c>
      <c r="T118" s="1747">
        <f t="shared" si="0"/>
        <v>52928</v>
      </c>
      <c r="U118" s="1749">
        <f t="shared" si="4"/>
        <v>22320</v>
      </c>
      <c r="V118" s="1747">
        <f t="shared" si="1"/>
        <v>363526</v>
      </c>
      <c r="W118" s="1747">
        <f t="shared" si="2"/>
        <v>11632832</v>
      </c>
    </row>
    <row r="119" spans="17:23">
      <c r="Q119" s="1346">
        <f>MAX(Q$47:Q118)+1</f>
        <v>33</v>
      </c>
      <c r="R119" s="1748">
        <v>43008</v>
      </c>
      <c r="S119" s="1747">
        <f>T118</f>
        <v>52928</v>
      </c>
      <c r="T119" s="1747">
        <f t="shared" si="0"/>
        <v>0</v>
      </c>
      <c r="U119" s="1749">
        <f>$O$57*0.14</f>
        <v>3124.8</v>
      </c>
      <c r="V119" s="1747">
        <f t="shared" si="1"/>
        <v>49803.199999999997</v>
      </c>
      <c r="W119" s="1747">
        <f t="shared" ref="W119:W138" si="5">W118+V119</f>
        <v>11682635.199999999</v>
      </c>
    </row>
    <row r="120" spans="17:23">
      <c r="Q120" s="1346">
        <f>MAX(Q$47:Q119)+1</f>
        <v>34</v>
      </c>
      <c r="R120" s="1748">
        <v>43008</v>
      </c>
      <c r="S120" s="1747"/>
      <c r="T120" s="1747"/>
      <c r="U120" s="1749">
        <f>$O$57*0.86</f>
        <v>19195.2</v>
      </c>
      <c r="V120" s="1747">
        <f>-U118*0.86</f>
        <v>-19195.2</v>
      </c>
      <c r="W120" s="1747">
        <f t="shared" si="5"/>
        <v>11663440</v>
      </c>
    </row>
    <row r="121" spans="17:23">
      <c r="Q121" s="1346">
        <f>MAX(Q$47:Q120)+1</f>
        <v>35</v>
      </c>
      <c r="R121" s="1748">
        <v>43039</v>
      </c>
      <c r="S121" s="1750"/>
      <c r="T121" s="1747">
        <f>T119-S121</f>
        <v>0</v>
      </c>
      <c r="U121" s="1749">
        <f t="shared" si="4"/>
        <v>22320</v>
      </c>
      <c r="V121" s="1747">
        <f t="shared" ref="V121:V126" si="6">-U121</f>
        <v>-22320</v>
      </c>
      <c r="W121" s="1747">
        <f t="shared" si="5"/>
        <v>11641120</v>
      </c>
    </row>
    <row r="122" spans="17:23">
      <c r="Q122" s="1346">
        <f>MAX(Q$47:Q121)+1</f>
        <v>36</v>
      </c>
      <c r="R122" s="1748">
        <v>43069</v>
      </c>
      <c r="S122" s="1750"/>
      <c r="T122" s="1747">
        <f t="shared" ref="T122:T138" si="7">T121-S122</f>
        <v>0</v>
      </c>
      <c r="U122" s="1749">
        <f t="shared" si="4"/>
        <v>22320</v>
      </c>
      <c r="V122" s="1747">
        <f t="shared" si="6"/>
        <v>-22320</v>
      </c>
      <c r="W122" s="1747">
        <f t="shared" si="5"/>
        <v>11618800</v>
      </c>
    </row>
    <row r="123" spans="17:23">
      <c r="Q123" s="1346">
        <f>MAX(Q$47:Q122)+1</f>
        <v>37</v>
      </c>
      <c r="R123" s="1748">
        <v>43100</v>
      </c>
      <c r="S123" s="1750"/>
      <c r="T123" s="1747">
        <f t="shared" si="7"/>
        <v>0</v>
      </c>
      <c r="U123" s="1749">
        <f t="shared" si="4"/>
        <v>22320</v>
      </c>
      <c r="V123" s="1747">
        <f t="shared" si="6"/>
        <v>-22320</v>
      </c>
      <c r="W123" s="1747">
        <f t="shared" si="5"/>
        <v>11596480</v>
      </c>
    </row>
    <row r="124" spans="17:23">
      <c r="Q124" s="1346">
        <f>MAX(Q$47:Q123)+1</f>
        <v>38</v>
      </c>
      <c r="R124" s="1748">
        <v>43131</v>
      </c>
      <c r="S124" s="1750"/>
      <c r="T124" s="1747">
        <f t="shared" si="7"/>
        <v>0</v>
      </c>
      <c r="U124" s="1749">
        <f t="shared" si="4"/>
        <v>22320</v>
      </c>
      <c r="V124" s="1747">
        <f t="shared" si="6"/>
        <v>-22320</v>
      </c>
      <c r="W124" s="1747">
        <f t="shared" si="5"/>
        <v>11574160</v>
      </c>
    </row>
    <row r="125" spans="17:23">
      <c r="Q125" s="1346">
        <f>MAX(Q$47:Q124)+1</f>
        <v>39</v>
      </c>
      <c r="R125" s="1748">
        <v>43159</v>
      </c>
      <c r="S125" s="1750"/>
      <c r="T125" s="1747">
        <f t="shared" si="7"/>
        <v>0</v>
      </c>
      <c r="U125" s="1749">
        <f t="shared" si="4"/>
        <v>22320</v>
      </c>
      <c r="V125" s="1747">
        <f t="shared" si="6"/>
        <v>-22320</v>
      </c>
      <c r="W125" s="1747">
        <f t="shared" si="5"/>
        <v>11551840</v>
      </c>
    </row>
    <row r="126" spans="17:23">
      <c r="Q126" s="1346">
        <f>MAX(Q$47:Q125)+1</f>
        <v>40</v>
      </c>
      <c r="R126" s="1748">
        <v>43190</v>
      </c>
      <c r="S126" s="1750"/>
      <c r="T126" s="1747">
        <f t="shared" si="7"/>
        <v>0</v>
      </c>
      <c r="U126" s="1749">
        <f t="shared" si="4"/>
        <v>22320</v>
      </c>
      <c r="V126" s="1747">
        <f t="shared" si="6"/>
        <v>-22320</v>
      </c>
      <c r="W126" s="1747">
        <f t="shared" si="5"/>
        <v>11529520</v>
      </c>
    </row>
    <row r="127" spans="17:23">
      <c r="Q127" s="1346">
        <f>MAX(Q$47:Q126)+1</f>
        <v>41</v>
      </c>
      <c r="R127" s="1748">
        <v>43220</v>
      </c>
      <c r="S127" s="1750"/>
      <c r="T127" s="1747">
        <f t="shared" si="7"/>
        <v>0</v>
      </c>
      <c r="U127" s="1749">
        <f t="shared" si="4"/>
        <v>22320</v>
      </c>
      <c r="V127" s="1747">
        <f>-$O$68/12</f>
        <v>-40884.833333333336</v>
      </c>
      <c r="W127" s="1747">
        <f t="shared" si="5"/>
        <v>11488635.166666666</v>
      </c>
    </row>
    <row r="128" spans="17:23">
      <c r="Q128" s="1346">
        <f>MAX(Q$47:Q127)+1</f>
        <v>42</v>
      </c>
      <c r="R128" s="1748">
        <v>43251</v>
      </c>
      <c r="S128" s="1750"/>
      <c r="T128" s="1747">
        <f t="shared" si="7"/>
        <v>0</v>
      </c>
      <c r="U128" s="1749">
        <f t="shared" si="4"/>
        <v>22320</v>
      </c>
      <c r="V128" s="1747">
        <f t="shared" ref="V128:V138" si="8">-$O$68/12</f>
        <v>-40884.833333333336</v>
      </c>
      <c r="W128" s="1747">
        <f t="shared" si="5"/>
        <v>11447750.333333332</v>
      </c>
    </row>
    <row r="129" spans="17:23">
      <c r="Q129" s="1346">
        <f>MAX(Q$47:Q128)+1</f>
        <v>43</v>
      </c>
      <c r="R129" s="1748">
        <v>43281</v>
      </c>
      <c r="S129" s="1750"/>
      <c r="T129" s="1747">
        <f t="shared" si="7"/>
        <v>0</v>
      </c>
      <c r="U129" s="1749">
        <f t="shared" si="4"/>
        <v>22320</v>
      </c>
      <c r="V129" s="1747">
        <f t="shared" si="8"/>
        <v>-40884.833333333336</v>
      </c>
      <c r="W129" s="1747">
        <f t="shared" si="5"/>
        <v>11406865.499999998</v>
      </c>
    </row>
    <row r="130" spans="17:23">
      <c r="Q130" s="1346">
        <f>MAX(Q$47:Q129)+1</f>
        <v>44</v>
      </c>
      <c r="R130" s="1748">
        <v>43312</v>
      </c>
      <c r="S130" s="1750"/>
      <c r="T130" s="1747">
        <f t="shared" si="7"/>
        <v>0</v>
      </c>
      <c r="U130" s="1749">
        <f t="shared" si="4"/>
        <v>22320</v>
      </c>
      <c r="V130" s="1747">
        <f t="shared" si="8"/>
        <v>-40884.833333333336</v>
      </c>
      <c r="W130" s="1747">
        <f t="shared" si="5"/>
        <v>11365980.666666664</v>
      </c>
    </row>
    <row r="131" spans="17:23">
      <c r="Q131" s="1346">
        <f>MAX(Q$47:Q130)+1</f>
        <v>45</v>
      </c>
      <c r="R131" s="1748">
        <v>43343</v>
      </c>
      <c r="S131" s="1750"/>
      <c r="T131" s="1747">
        <f t="shared" si="7"/>
        <v>0</v>
      </c>
      <c r="U131" s="1749">
        <f t="shared" si="4"/>
        <v>22320</v>
      </c>
      <c r="V131" s="1747">
        <f t="shared" si="8"/>
        <v>-40884.833333333336</v>
      </c>
      <c r="W131" s="1747">
        <f t="shared" si="5"/>
        <v>11325095.83333333</v>
      </c>
    </row>
    <row r="132" spans="17:23">
      <c r="Q132" s="1346">
        <f>MAX(Q$47:Q131)+1</f>
        <v>46</v>
      </c>
      <c r="R132" s="1748">
        <v>43373</v>
      </c>
      <c r="S132" s="1750"/>
      <c r="T132" s="1747">
        <f t="shared" si="7"/>
        <v>0</v>
      </c>
      <c r="U132" s="1749">
        <f t="shared" si="4"/>
        <v>22320</v>
      </c>
      <c r="V132" s="1747">
        <f t="shared" si="8"/>
        <v>-40884.833333333336</v>
      </c>
      <c r="W132" s="1747">
        <f t="shared" si="5"/>
        <v>11284210.999999996</v>
      </c>
    </row>
    <row r="133" spans="17:23">
      <c r="Q133" s="1346">
        <f>MAX(Q$47:Q132)+1</f>
        <v>47</v>
      </c>
      <c r="R133" s="1748">
        <v>43404</v>
      </c>
      <c r="S133" s="1750"/>
      <c r="T133" s="1747">
        <f t="shared" si="7"/>
        <v>0</v>
      </c>
      <c r="U133" s="1749">
        <f t="shared" si="4"/>
        <v>22320</v>
      </c>
      <c r="V133" s="1747">
        <f t="shared" si="8"/>
        <v>-40884.833333333336</v>
      </c>
      <c r="W133" s="1747">
        <f t="shared" si="5"/>
        <v>11243326.166666662</v>
      </c>
    </row>
    <row r="134" spans="17:23">
      <c r="Q134" s="1346">
        <f>MAX(Q$47:Q133)+1</f>
        <v>48</v>
      </c>
      <c r="R134" s="1748">
        <v>43434</v>
      </c>
      <c r="S134" s="1750"/>
      <c r="T134" s="1747">
        <f t="shared" si="7"/>
        <v>0</v>
      </c>
      <c r="U134" s="1749">
        <f t="shared" si="4"/>
        <v>22320</v>
      </c>
      <c r="V134" s="1747">
        <f t="shared" si="8"/>
        <v>-40884.833333333336</v>
      </c>
      <c r="W134" s="1747">
        <f t="shared" si="5"/>
        <v>11202441.333333328</v>
      </c>
    </row>
    <row r="135" spans="17:23">
      <c r="Q135" s="1346">
        <f>MAX(Q$47:Q134)+1</f>
        <v>49</v>
      </c>
      <c r="R135" s="1748">
        <v>43465</v>
      </c>
      <c r="S135" s="1750"/>
      <c r="T135" s="1747">
        <f t="shared" si="7"/>
        <v>0</v>
      </c>
      <c r="U135" s="1749">
        <f t="shared" si="4"/>
        <v>22320</v>
      </c>
      <c r="V135" s="1747">
        <f t="shared" si="8"/>
        <v>-40884.833333333336</v>
      </c>
      <c r="W135" s="1747">
        <f t="shared" si="5"/>
        <v>11161556.499999994</v>
      </c>
    </row>
    <row r="136" spans="17:23">
      <c r="Q136" s="1346">
        <f>MAX(Q$47:Q135)+1</f>
        <v>50</v>
      </c>
      <c r="R136" s="1748">
        <v>43496</v>
      </c>
      <c r="S136" s="1750"/>
      <c r="T136" s="1747">
        <f t="shared" si="7"/>
        <v>0</v>
      </c>
      <c r="U136" s="1749">
        <f t="shared" si="4"/>
        <v>22320</v>
      </c>
      <c r="V136" s="1747">
        <f t="shared" si="8"/>
        <v>-40884.833333333336</v>
      </c>
      <c r="W136" s="1747">
        <f t="shared" si="5"/>
        <v>11120671.66666666</v>
      </c>
    </row>
    <row r="137" spans="17:23">
      <c r="Q137" s="1346">
        <f>MAX(Q$47:Q136)+1</f>
        <v>51</v>
      </c>
      <c r="R137" s="1748">
        <v>43524</v>
      </c>
      <c r="S137" s="1750"/>
      <c r="T137" s="1747">
        <f t="shared" si="7"/>
        <v>0</v>
      </c>
      <c r="U137" s="1749">
        <f t="shared" si="4"/>
        <v>22320</v>
      </c>
      <c r="V137" s="1747">
        <f t="shared" si="8"/>
        <v>-40884.833333333336</v>
      </c>
      <c r="W137" s="1747">
        <f t="shared" si="5"/>
        <v>11079786.833333327</v>
      </c>
    </row>
    <row r="138" spans="17:23">
      <c r="Q138" s="1346">
        <f>MAX(Q$47:Q137)+1</f>
        <v>52</v>
      </c>
      <c r="R138" s="1748">
        <v>43555</v>
      </c>
      <c r="S138" s="1750"/>
      <c r="T138" s="1747">
        <f t="shared" si="7"/>
        <v>0</v>
      </c>
      <c r="U138" s="1749">
        <f t="shared" si="4"/>
        <v>22320</v>
      </c>
      <c r="V138" s="1747">
        <f t="shared" si="8"/>
        <v>-40884.833333333336</v>
      </c>
      <c r="W138" s="1747">
        <f t="shared" si="5"/>
        <v>11038901.999999993</v>
      </c>
    </row>
    <row r="139" spans="17:23">
      <c r="R139" s="1748"/>
      <c r="S139" s="1747"/>
      <c r="T139" s="1747"/>
      <c r="U139" s="1747"/>
      <c r="V139" s="1747"/>
      <c r="W139" s="1751"/>
    </row>
    <row r="140" spans="17:23" ht="13.5" thickBot="1">
      <c r="R140" s="1748"/>
      <c r="S140" s="1752" t="s">
        <v>3298</v>
      </c>
      <c r="T140" s="1747"/>
      <c r="V140" s="1747"/>
      <c r="W140" s="1753">
        <f>ROUND(SUM(W126:W138)/13,0)</f>
        <v>11284211</v>
      </c>
    </row>
    <row r="141" spans="17:23" ht="13.5" thickTop="1"/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tabColor theme="2" tint="-0.499984740745262"/>
  </sheetPr>
  <dimension ref="A1:T73"/>
  <sheetViews>
    <sheetView tabSelected="1" view="pageLayout" zoomScaleNormal="80" workbookViewId="0">
      <selection activeCell="G1" sqref="G1"/>
    </sheetView>
  </sheetViews>
  <sheetFormatPr defaultColWidth="8.85546875" defaultRowHeight="12.75"/>
  <cols>
    <col min="1" max="1" width="8.85546875" style="18"/>
    <col min="2" max="2" width="27" style="18" customWidth="1"/>
    <col min="3" max="3" width="12.28515625" style="18" customWidth="1"/>
    <col min="4" max="4" width="10.85546875" style="18" customWidth="1"/>
    <col min="5" max="5" width="29.140625" style="18" customWidth="1"/>
    <col min="6" max="6" width="12.7109375" style="18" customWidth="1"/>
    <col min="7" max="18" width="13.140625" style="18" customWidth="1"/>
    <col min="19" max="16384" width="8.85546875" style="18"/>
  </cols>
  <sheetData>
    <row r="1" spans="1:20">
      <c r="A1" s="14" t="str">
        <f>COMPANY</f>
        <v>DUKE ENERGY KENTUCKY, INC.</v>
      </c>
    </row>
    <row r="2" spans="1:20">
      <c r="A2" s="14" t="str">
        <f>CASE</f>
        <v>CASE NO. 2017-00321</v>
      </c>
    </row>
    <row r="3" spans="1:20">
      <c r="A3" s="16" t="s">
        <v>2208</v>
      </c>
    </row>
    <row r="4" spans="1:20">
      <c r="A4" s="16" t="s">
        <v>1981</v>
      </c>
    </row>
    <row r="5" spans="1:20">
      <c r="A5" s="14"/>
    </row>
    <row r="6" spans="1:20">
      <c r="A6" s="14" t="str">
        <f>Data</f>
        <v>DATA: "X" BASE PERIOD   FORECASTED PERIOD</v>
      </c>
    </row>
    <row r="7" spans="1:20">
      <c r="A7" s="14" t="str">
        <f>Type</f>
        <v xml:space="preserve">TYPE OF FILING:  "X" ORIGINAL   UPDATED    REVISED  </v>
      </c>
    </row>
    <row r="8" spans="1:20">
      <c r="A8" s="15"/>
    </row>
    <row r="9" spans="1:20">
      <c r="A9" s="15"/>
    </row>
    <row r="10" spans="1:20" ht="13.5" thickBot="1">
      <c r="A10" s="15"/>
    </row>
    <row r="11" spans="1:20" ht="14.25" thickTop="1" thickBot="1">
      <c r="A11" s="70" t="s">
        <v>1118</v>
      </c>
      <c r="B11" s="70" t="s">
        <v>1119</v>
      </c>
      <c r="C11" s="70" t="s">
        <v>575</v>
      </c>
      <c r="D11" s="70" t="s">
        <v>2209</v>
      </c>
      <c r="E11" s="71" t="s">
        <v>2210</v>
      </c>
      <c r="F11" s="70" t="s">
        <v>1929</v>
      </c>
      <c r="G11" s="72">
        <f>LOGO!I7</f>
        <v>42735</v>
      </c>
      <c r="H11" s="72">
        <f>LOGO!I8</f>
        <v>42766</v>
      </c>
      <c r="I11" s="72">
        <f>LOGO!I9</f>
        <v>42794</v>
      </c>
      <c r="J11" s="72">
        <f>LOGO!I10</f>
        <v>42825</v>
      </c>
      <c r="K11" s="72">
        <f>LOGO!I11</f>
        <v>42855</v>
      </c>
      <c r="L11" s="72">
        <f>LOGO!I12</f>
        <v>42886</v>
      </c>
      <c r="M11" s="72">
        <f>LOGO!I13</f>
        <v>42916</v>
      </c>
      <c r="N11" s="72">
        <f>LOGO!I14</f>
        <v>42947</v>
      </c>
      <c r="O11" s="72">
        <f>LOGO!I15</f>
        <v>42978</v>
      </c>
      <c r="P11" s="72">
        <f>LOGO!I16</f>
        <v>43008</v>
      </c>
      <c r="Q11" s="72">
        <f>LOGO!I17</f>
        <v>43039</v>
      </c>
      <c r="R11" s="72">
        <f>LOGO!I18</f>
        <v>43069</v>
      </c>
      <c r="S11" s="45"/>
      <c r="T11" s="45"/>
    </row>
    <row r="12" spans="1:20" ht="13.5" thickTop="1">
      <c r="A12" s="1346">
        <v>440000</v>
      </c>
      <c r="B12" s="18" t="s">
        <v>947</v>
      </c>
      <c r="D12" s="18" t="s">
        <v>2211</v>
      </c>
      <c r="E12" s="18" t="s">
        <v>2212</v>
      </c>
      <c r="F12" s="1347">
        <f>SUM(G12:R12)</f>
        <v>79406684</v>
      </c>
      <c r="G12" s="47">
        <f t="array" ref="G12">SUM(IF($A$12=BPActRevAccount,IF($D$12=BPActRevProduct,BPActRev1)))</f>
        <v>7093348</v>
      </c>
      <c r="H12" s="47">
        <f t="array" ref="H12">SUM(IF($A$12=BPActRevAccount,IF($D$12=BPActRevProduct,BPActRev2)))</f>
        <v>8427342</v>
      </c>
      <c r="I12" s="47">
        <f t="array" ref="I12">SUM(IF($A$12=BPActRevAccount,IF($D$12=BPActRevProduct,BPActRev3)))</f>
        <v>6597780</v>
      </c>
      <c r="J12" s="47">
        <f t="array" ref="J12">SUM(IF($A$12=BPActRevAccount,IF($D$12=BPActRevProduct,BPActRev4)))</f>
        <v>6012250</v>
      </c>
      <c r="K12" s="47">
        <f t="array" ref="K12">SUM(IF($A$12=BPActRevAccount,IF($D$12=BPActRevProduct,BPActRev5)))</f>
        <v>5331415</v>
      </c>
      <c r="L12" s="47">
        <f t="array" ref="L12">SUM(IF($A$12=BPActRevAccount,IF($D$12=BPActRevProduct,BPActRev6)))</f>
        <v>5150601</v>
      </c>
      <c r="M12" s="1366">
        <v>6223458</v>
      </c>
      <c r="N12" s="1366">
        <v>8095575</v>
      </c>
      <c r="O12" s="1366">
        <v>8321571</v>
      </c>
      <c r="P12" s="1366">
        <v>7479656</v>
      </c>
      <c r="Q12" s="1366">
        <v>5278504</v>
      </c>
      <c r="R12" s="1366">
        <v>5395184</v>
      </c>
    </row>
    <row r="13" spans="1:20">
      <c r="A13" s="1346">
        <v>440000</v>
      </c>
      <c r="B13" s="18" t="s">
        <v>947</v>
      </c>
      <c r="D13" s="18" t="s">
        <v>2213</v>
      </c>
      <c r="E13" s="18" t="s">
        <v>2214</v>
      </c>
      <c r="F13" s="1347">
        <f t="shared" ref="F13:F65" si="0">SUM(G13:R13)</f>
        <v>38529081</v>
      </c>
      <c r="G13" s="47">
        <f t="array" ref="G13">SUM(IF($A$13=BPActRevAccount,IF($D$13=BPActRevProduct,BPActRev1)))</f>
        <v>3677306</v>
      </c>
      <c r="H13" s="47">
        <f t="array" ref="H13">SUM(IF($A$13=BPActRevAccount,IF($D$13=BPActRevProduct,BPActRev2)))</f>
        <v>4433371</v>
      </c>
      <c r="I13" s="47">
        <f t="array" ref="I13">SUM(IF($A$13=BPActRevAccount,IF($D$13=BPActRevProduct,BPActRev3)))</f>
        <v>3402539</v>
      </c>
      <c r="J13" s="47">
        <f t="array" ref="J13">SUM(IF($A$13=BPActRevAccount,IF($D$13=BPActRevProduct,BPActRev4)))</f>
        <v>3069717</v>
      </c>
      <c r="K13" s="47">
        <f t="array" ref="K13">SUM(IF($A$13=BPActRevAccount,IF($D$13=BPActRevProduct,BPActRev5)))</f>
        <v>2686524</v>
      </c>
      <c r="L13" s="47">
        <f t="array" ref="L13">SUM(IF($A$13=BPActRevAccount,IF($D$13=BPActRevProduct,BPActRev6)))</f>
        <v>2588234</v>
      </c>
      <c r="M13" s="1366">
        <v>2825321</v>
      </c>
      <c r="N13" s="1366">
        <v>3758779</v>
      </c>
      <c r="O13" s="1366">
        <v>3871602</v>
      </c>
      <c r="P13" s="1366">
        <v>3451334</v>
      </c>
      <c r="Q13" s="1366">
        <v>2353199</v>
      </c>
      <c r="R13" s="1366">
        <v>2411155</v>
      </c>
    </row>
    <row r="14" spans="1:20">
      <c r="A14" s="1346">
        <v>440000</v>
      </c>
      <c r="B14" s="18" t="s">
        <v>947</v>
      </c>
      <c r="D14" s="18" t="s">
        <v>2215</v>
      </c>
      <c r="E14" s="18" t="s">
        <v>2216</v>
      </c>
      <c r="F14" s="1347">
        <f t="shared" si="0"/>
        <v>9041709</v>
      </c>
      <c r="G14" s="47">
        <f t="array" ref="G14">SUM(IF($A$14=BPActRevAccount,IF($D$14=BPActRevProduct,BPActRev1)))</f>
        <v>899172</v>
      </c>
      <c r="H14" s="47">
        <f t="array" ref="H14">SUM(IF($A$14=BPActRevAccount,IF($D$14=BPActRevProduct,BPActRev2)))</f>
        <v>1084950</v>
      </c>
      <c r="I14" s="47">
        <f t="array" ref="I14">SUM(IF($A$14=BPActRevAccount,IF($D$14=BPActRevProduct,BPActRev3)))</f>
        <v>857605</v>
      </c>
      <c r="J14" s="47">
        <f t="array" ref="J14">SUM(IF($A$14=BPActRevAccount,IF($D$14=BPActRevProduct,BPActRev4)))</f>
        <v>773465</v>
      </c>
      <c r="K14" s="47">
        <f t="array" ref="K14">SUM(IF($A$14=BPActRevAccount,IF($D$14=BPActRevProduct,BPActRev5)))</f>
        <v>734455</v>
      </c>
      <c r="L14" s="47">
        <f t="array" ref="L14">SUM(IF($A$14=BPActRevAccount,IF($D$14=BPActRevProduct,BPActRev6)))</f>
        <v>706329</v>
      </c>
      <c r="M14" s="1366">
        <v>680351</v>
      </c>
      <c r="N14" s="1366">
        <v>773742</v>
      </c>
      <c r="O14" s="1366">
        <v>691707</v>
      </c>
      <c r="P14" s="1366">
        <v>630026</v>
      </c>
      <c r="Q14" s="1366">
        <v>685478</v>
      </c>
      <c r="R14" s="1366">
        <v>524429</v>
      </c>
    </row>
    <row r="15" spans="1:20">
      <c r="A15" s="1346">
        <v>440000</v>
      </c>
      <c r="B15" s="18" t="s">
        <v>947</v>
      </c>
      <c r="D15" s="18" t="s">
        <v>2217</v>
      </c>
      <c r="E15" s="18" t="s">
        <v>2218</v>
      </c>
      <c r="F15" s="1347">
        <f t="shared" si="0"/>
        <v>-5252043</v>
      </c>
      <c r="G15" s="47">
        <f t="array" ref="G15">SUM(IF($A$15=BPActRevAccount,IF($D$15=BPActRevProduct,BPActRev1)))</f>
        <v>-750364</v>
      </c>
      <c r="H15" s="47">
        <f t="array" ref="H15">SUM(IF($A$15=BPActRevAccount,IF($D$15=BPActRevProduct,BPActRev2)))</f>
        <v>-884134</v>
      </c>
      <c r="I15" s="47">
        <f t="array" ref="I15">SUM(IF($A$15=BPActRevAccount,IF($D$15=BPActRevProduct,BPActRev3)))</f>
        <v>-586923</v>
      </c>
      <c r="J15" s="47">
        <f t="array" ref="J15">SUM(IF($A$15=BPActRevAccount,IF($D$15=BPActRevProduct,BPActRev4)))</f>
        <v>-609415</v>
      </c>
      <c r="K15" s="47">
        <f t="array" ref="K15">SUM(IF($A$15=BPActRevAccount,IF($D$15=BPActRevProduct,BPActRev5)))</f>
        <v>-696576</v>
      </c>
      <c r="L15" s="47">
        <f t="array" ref="L15">SUM(IF($A$15=BPActRevAccount,IF($D$15=BPActRevProduct,BPActRev6)))</f>
        <v>-801494</v>
      </c>
      <c r="M15" s="1366">
        <v>-225036</v>
      </c>
      <c r="N15" s="1366">
        <v>-164761</v>
      </c>
      <c r="O15" s="1366">
        <v>-188004</v>
      </c>
      <c r="P15" s="1366">
        <v>-12536</v>
      </c>
      <c r="Q15" s="1366">
        <v>-135122</v>
      </c>
      <c r="R15" s="1366">
        <v>-197678</v>
      </c>
    </row>
    <row r="16" spans="1:20">
      <c r="A16" s="1346">
        <v>440000</v>
      </c>
      <c r="B16" s="18" t="s">
        <v>947</v>
      </c>
      <c r="D16" s="18" t="s">
        <v>2219</v>
      </c>
      <c r="E16" s="18" t="s">
        <v>2220</v>
      </c>
      <c r="F16" s="1347">
        <f t="shared" si="0"/>
        <v>-1018171</v>
      </c>
      <c r="G16" s="47">
        <f t="array" ref="G16">SUM(IF($A$16=BPActRevAccount,IF($D$16=BPActRevProduct,BPActRev1)))</f>
        <v>-154829</v>
      </c>
      <c r="H16" s="47">
        <f t="array" ref="H16">SUM(IF($A$16=BPActRevAccount,IF($D$16=BPActRevProduct,BPActRev2)))</f>
        <v>-186883</v>
      </c>
      <c r="I16" s="47">
        <f t="array" ref="I16">SUM(IF($A$16=BPActRevAccount,IF($D$16=BPActRevProduct,BPActRev3)))</f>
        <v>-143052</v>
      </c>
      <c r="J16" s="47">
        <f t="array" ref="J16">SUM(IF($A$16=BPActRevAccount,IF($D$16=BPActRevProduct,BPActRev4)))</f>
        <v>-160744</v>
      </c>
      <c r="K16" s="47">
        <f t="array" ref="K16">SUM(IF($A$16=BPActRevAccount,IF($D$16=BPActRevProduct,BPActRev5)))</f>
        <v>-140723</v>
      </c>
      <c r="L16" s="47">
        <f t="array" ref="L16">SUM(IF($A$16=BPActRevAccount,IF($D$16=BPActRevProduct,BPActRev6)))</f>
        <v>-135356</v>
      </c>
      <c r="M16" s="1366">
        <v>-34919</v>
      </c>
      <c r="N16" s="1366">
        <v>-67941</v>
      </c>
      <c r="O16" s="1366">
        <v>5182</v>
      </c>
      <c r="P16" s="1366">
        <v>20875</v>
      </c>
      <c r="Q16" s="1366">
        <v>3394</v>
      </c>
      <c r="R16" s="1366">
        <v>-23175</v>
      </c>
    </row>
    <row r="17" spans="1:18">
      <c r="A17" s="1346">
        <v>440990</v>
      </c>
      <c r="B17" s="18" t="s">
        <v>2021</v>
      </c>
      <c r="D17" s="18" t="s">
        <v>2221</v>
      </c>
      <c r="E17" s="18" t="s">
        <v>2222</v>
      </c>
      <c r="F17" s="1347">
        <f t="shared" si="0"/>
        <v>-2397730</v>
      </c>
      <c r="G17" s="47">
        <f t="array" ref="G17">SUM(IF($A$17=BPActRevAccount,IF($D$17=BPActRevProduct,BPActRev1)))</f>
        <v>1212394</v>
      </c>
      <c r="H17" s="47">
        <f t="array" ref="H17">SUM(IF($A$17=BPActRevAccount,IF($D$17=BPActRevProduct,BPActRev2)))</f>
        <v>-1263731</v>
      </c>
      <c r="I17" s="47">
        <f t="array" ref="I17">SUM(IF($A$17=BPActRevAccount,IF($D$17=BPActRevProduct,BPActRev3)))</f>
        <v>-836672</v>
      </c>
      <c r="J17" s="47">
        <f t="array" ref="J17">SUM(IF($A$17=BPActRevAccount,IF($D$17=BPActRevProduct,BPActRev4)))</f>
        <v>-528078</v>
      </c>
      <c r="K17" s="47">
        <f t="array" ref="K17">SUM(IF($A$17=BPActRevAccount,IF($D$17=BPActRevProduct,BPActRev5)))</f>
        <v>-339258</v>
      </c>
      <c r="L17" s="47">
        <f t="array" ref="L17">SUM(IF($A$17=BPActRevAccount,IF($D$17=BPActRevProduct,BPActRev6)))</f>
        <v>784453</v>
      </c>
      <c r="M17" s="1366">
        <v>1101729</v>
      </c>
      <c r="N17" s="1366">
        <v>234596</v>
      </c>
      <c r="O17" s="1366">
        <v>-851777</v>
      </c>
      <c r="P17" s="1366">
        <v>-2926539</v>
      </c>
      <c r="Q17" s="1366">
        <v>-67129</v>
      </c>
      <c r="R17" s="1366">
        <v>1082282</v>
      </c>
    </row>
    <row r="18" spans="1:18">
      <c r="A18" s="1346">
        <v>442100</v>
      </c>
      <c r="B18" s="18" t="s">
        <v>2022</v>
      </c>
      <c r="D18" s="18" t="s">
        <v>2211</v>
      </c>
      <c r="E18" s="18" t="s">
        <v>2212</v>
      </c>
      <c r="F18" s="1347">
        <f t="shared" si="0"/>
        <v>72623255</v>
      </c>
      <c r="G18" s="47">
        <f t="array" ref="G18">SUM(IF($A$18=BPActRevAccount,IF($D$18=BPActRevProduct,BPActRev1)))</f>
        <v>5982285</v>
      </c>
      <c r="H18" s="47">
        <f t="array" ref="H18">SUM(IF($A$18=BPActRevAccount,IF($D$18=BPActRevProduct,BPActRev2)))</f>
        <v>6101430</v>
      </c>
      <c r="I18" s="47">
        <f t="array" ref="I18">SUM(IF($A$18=BPActRevAccount,IF($D$18=BPActRevProduct,BPActRev3)))</f>
        <v>5724302</v>
      </c>
      <c r="J18" s="47">
        <f t="array" ref="J18">SUM(IF($A$18=BPActRevAccount,IF($D$18=BPActRevProduct,BPActRev4)))</f>
        <v>5656628</v>
      </c>
      <c r="K18" s="47">
        <f t="array" ref="K18">SUM(IF($A$18=BPActRevAccount,IF($D$18=BPActRevProduct,BPActRev5)))</f>
        <v>5642383</v>
      </c>
      <c r="L18" s="47">
        <f t="array" ref="L18">SUM(IF($A$18=BPActRevAccount,IF($D$18=BPActRevProduct,BPActRev6)))</f>
        <v>5710289</v>
      </c>
      <c r="M18" s="1366">
        <v>6269966</v>
      </c>
      <c r="N18" s="1366">
        <v>6708140</v>
      </c>
      <c r="O18" s="1366">
        <v>6684444</v>
      </c>
      <c r="P18" s="1366">
        <v>6501874</v>
      </c>
      <c r="Q18" s="1366">
        <v>5863006</v>
      </c>
      <c r="R18" s="1366">
        <v>5778508</v>
      </c>
    </row>
    <row r="19" spans="1:18">
      <c r="A19" s="1346">
        <v>442100</v>
      </c>
      <c r="B19" s="18" t="s">
        <v>2022</v>
      </c>
      <c r="D19" s="18" t="s">
        <v>2213</v>
      </c>
      <c r="E19" s="18" t="s">
        <v>2214</v>
      </c>
      <c r="F19" s="1347">
        <f t="shared" si="0"/>
        <v>40157485</v>
      </c>
      <c r="G19" s="47">
        <f t="array" ref="G19">SUM(IF($A$19=BPActRevAccount,IF($D$19=BPActRevProduct,BPActRev1)))</f>
        <v>3604659</v>
      </c>
      <c r="H19" s="47">
        <f t="array" ref="H19">SUM(IF($A$19=BPActRevAccount,IF($D$19=BPActRevProduct,BPActRev2)))</f>
        <v>3662188</v>
      </c>
      <c r="I19" s="47">
        <f t="array" ref="I19">SUM(IF($A$19=BPActRevAccount,IF($D$19=BPActRevProduct,BPActRev3)))</f>
        <v>3305795</v>
      </c>
      <c r="J19" s="47">
        <f t="array" ref="J19">SUM(IF($A$19=BPActRevAccount,IF($D$19=BPActRevProduct,BPActRev4)))</f>
        <v>3246319</v>
      </c>
      <c r="K19" s="47">
        <f t="array" ref="K19">SUM(IF($A$19=BPActRevAccount,IF($D$19=BPActRevProduct,BPActRev5)))</f>
        <v>3273734</v>
      </c>
      <c r="L19" s="47">
        <f t="array" ref="L19">SUM(IF($A$19=BPActRevAccount,IF($D$19=BPActRevProduct,BPActRev6)))</f>
        <v>3344724</v>
      </c>
      <c r="M19" s="1366">
        <v>3264205</v>
      </c>
      <c r="N19" s="1366">
        <v>3559523</v>
      </c>
      <c r="O19" s="1366">
        <v>3522576</v>
      </c>
      <c r="P19" s="1366">
        <v>3436864</v>
      </c>
      <c r="Q19" s="1366">
        <v>3005937</v>
      </c>
      <c r="R19" s="1366">
        <v>2930961</v>
      </c>
    </row>
    <row r="20" spans="1:18">
      <c r="A20" s="1346">
        <v>442100</v>
      </c>
      <c r="B20" s="18" t="s">
        <v>2022</v>
      </c>
      <c r="D20" s="18" t="s">
        <v>2215</v>
      </c>
      <c r="E20" s="18" t="s">
        <v>2216</v>
      </c>
      <c r="F20" s="1347">
        <f t="shared" si="0"/>
        <v>3389994</v>
      </c>
      <c r="G20" s="47">
        <f t="array" ref="G20">SUM(IF($A$20=BPActRevAccount,IF($D$20=BPActRevProduct,BPActRev1)))</f>
        <v>343586</v>
      </c>
      <c r="H20" s="47">
        <f t="array" ref="H20">SUM(IF($A$20=BPActRevAccount,IF($D$20=BPActRevProduct,BPActRev2)))</f>
        <v>349320</v>
      </c>
      <c r="I20" s="47">
        <f t="array" ref="I20">SUM(IF($A$20=BPActRevAccount,IF($D$20=BPActRevProduct,BPActRev3)))</f>
        <v>318513</v>
      </c>
      <c r="J20" s="47">
        <f t="array" ref="J20">SUM(IF($A$20=BPActRevAccount,IF($D$20=BPActRevProduct,BPActRev4)))</f>
        <v>310217</v>
      </c>
      <c r="K20" s="47">
        <f t="array" ref="K20">SUM(IF($A$20=BPActRevAccount,IF($D$20=BPActRevProduct,BPActRev5)))</f>
        <v>289750</v>
      </c>
      <c r="L20" s="47">
        <f t="array" ref="L20">SUM(IF($A$20=BPActRevAccount,IF($D$20=BPActRevProduct,BPActRev6)))</f>
        <v>295277</v>
      </c>
      <c r="M20" s="1366">
        <v>240882</v>
      </c>
      <c r="N20" s="1366">
        <v>276500</v>
      </c>
      <c r="O20" s="1366">
        <v>273630</v>
      </c>
      <c r="P20" s="1366">
        <v>253623</v>
      </c>
      <c r="Q20" s="1366">
        <v>245173</v>
      </c>
      <c r="R20" s="1366">
        <v>193523</v>
      </c>
    </row>
    <row r="21" spans="1:18">
      <c r="A21" s="1346">
        <v>442100</v>
      </c>
      <c r="B21" s="18" t="s">
        <v>2022</v>
      </c>
      <c r="D21" s="18" t="s">
        <v>2217</v>
      </c>
      <c r="E21" s="18" t="s">
        <v>2218</v>
      </c>
      <c r="F21" s="1347">
        <f t="shared" si="0"/>
        <v>-5576768</v>
      </c>
      <c r="G21" s="47">
        <f t="array" ref="G21">SUM(IF($A$21=BPActRevAccount,IF($D$21=BPActRevProduct,BPActRev1)))</f>
        <v>-734229</v>
      </c>
      <c r="H21" s="47">
        <f t="array" ref="H21">SUM(IF($A$21=BPActRevAccount,IF($D$21=BPActRevProduct,BPActRev2)))</f>
        <v>-729349</v>
      </c>
      <c r="I21" s="47">
        <f t="array" ref="I21">SUM(IF($A$21=BPActRevAccount,IF($D$21=BPActRevProduct,BPActRev3)))</f>
        <v>-572122</v>
      </c>
      <c r="J21" s="47">
        <f t="array" ref="J21">SUM(IF($A$21=BPActRevAccount,IF($D$21=BPActRevProduct,BPActRev4)))</f>
        <v>-644370</v>
      </c>
      <c r="K21" s="47">
        <f t="array" ref="K21">SUM(IF($A$21=BPActRevAccount,IF($D$21=BPActRevProduct,BPActRev5)))</f>
        <v>-847186</v>
      </c>
      <c r="L21" s="47">
        <f t="array" ref="L21">SUM(IF($A$21=BPActRevAccount,IF($D$21=BPActRevProduct,BPActRev6)))</f>
        <v>-1037055</v>
      </c>
      <c r="M21" s="1366">
        <v>-259993</v>
      </c>
      <c r="N21" s="1366">
        <v>-156027</v>
      </c>
      <c r="O21" s="1366">
        <v>-171055</v>
      </c>
      <c r="P21" s="1366">
        <v>-12484</v>
      </c>
      <c r="Q21" s="1366">
        <v>-172603</v>
      </c>
      <c r="R21" s="1366">
        <v>-240295</v>
      </c>
    </row>
    <row r="22" spans="1:18">
      <c r="A22" s="1346">
        <v>442100</v>
      </c>
      <c r="B22" s="18" t="s">
        <v>2022</v>
      </c>
      <c r="D22" s="18" t="s">
        <v>2219</v>
      </c>
      <c r="E22" s="18" t="s">
        <v>2220</v>
      </c>
      <c r="F22" s="1347">
        <f t="shared" si="0"/>
        <v>-1064622</v>
      </c>
      <c r="G22" s="47">
        <f t="array" ref="G22">SUM(IF($A$22=BPActRevAccount,IF($D$22=BPActRevProduct,BPActRev1)))</f>
        <v>-151524</v>
      </c>
      <c r="H22" s="47">
        <f t="array" ref="H22">SUM(IF($A$22=BPActRevAccount,IF($D$22=BPActRevProduct,BPActRev2)))</f>
        <v>-154193</v>
      </c>
      <c r="I22" s="47">
        <f t="array" ref="I22">SUM(IF($A$22=BPActRevAccount,IF($D$22=BPActRevProduct,BPActRev3)))</f>
        <v>-139199</v>
      </c>
      <c r="J22" s="47">
        <f t="array" ref="J22">SUM(IF($A$22=BPActRevAccount,IF($D$22=BPActRevProduct,BPActRev4)))</f>
        <v>-169994</v>
      </c>
      <c r="K22" s="47">
        <f t="array" ref="K22">SUM(IF($A$22=BPActRevAccount,IF($D$22=BPActRevProduct,BPActRev5)))</f>
        <v>-171356</v>
      </c>
      <c r="L22" s="47">
        <f t="array" ref="L22">SUM(IF($A$22=BPActRevAccount,IF($D$22=BPActRevProduct,BPActRev6)))</f>
        <v>-175342</v>
      </c>
      <c r="M22" s="1366">
        <v>-40343</v>
      </c>
      <c r="N22" s="1366">
        <v>-64339</v>
      </c>
      <c r="O22" s="1366">
        <v>4715</v>
      </c>
      <c r="P22" s="1366">
        <v>20788</v>
      </c>
      <c r="Q22" s="1366">
        <v>4336</v>
      </c>
      <c r="R22" s="1366">
        <v>-28171</v>
      </c>
    </row>
    <row r="23" spans="1:18">
      <c r="A23" s="1346">
        <v>442190</v>
      </c>
      <c r="B23" s="18" t="s">
        <v>2023</v>
      </c>
      <c r="D23" s="18" t="s">
        <v>2221</v>
      </c>
      <c r="E23" s="18" t="s">
        <v>2222</v>
      </c>
      <c r="F23" s="1347">
        <f t="shared" si="0"/>
        <v>123655</v>
      </c>
      <c r="G23" s="47">
        <f t="array" ref="G23">SUM(IF($A$23=BPActRevAccount,IF($D$23=BPActRevProduct,BPActRev1)))</f>
        <v>-134486</v>
      </c>
      <c r="H23" s="47">
        <f t="array" ref="H23">SUM(IF($A$23=BPActRevAccount,IF($D$23=BPActRevProduct,BPActRev2)))</f>
        <v>-235686</v>
      </c>
      <c r="I23" s="47">
        <f t="array" ref="I23">SUM(IF($A$23=BPActRevAccount,IF($D$23=BPActRevProduct,BPActRev3)))</f>
        <v>-289852</v>
      </c>
      <c r="J23" s="47">
        <f t="array" ref="J23">SUM(IF($A$23=BPActRevAccount,IF($D$23=BPActRevProduct,BPActRev4)))</f>
        <v>106074</v>
      </c>
      <c r="K23" s="47">
        <f t="array" ref="K23">SUM(IF($A$23=BPActRevAccount,IF($D$23=BPActRevProduct,BPActRev5)))</f>
        <v>-21272</v>
      </c>
      <c r="L23" s="47">
        <f t="array" ref="L23">SUM(IF($A$23=BPActRevAccount,IF($D$23=BPActRevProduct,BPActRev6)))</f>
        <v>223617</v>
      </c>
      <c r="M23" s="1366">
        <v>588408</v>
      </c>
      <c r="N23" s="1366">
        <v>375156</v>
      </c>
      <c r="O23" s="1366">
        <v>-108433</v>
      </c>
      <c r="P23" s="1366">
        <v>-370491</v>
      </c>
      <c r="Q23" s="1366">
        <v>201645</v>
      </c>
      <c r="R23" s="1366">
        <v>-211025</v>
      </c>
    </row>
    <row r="24" spans="1:18">
      <c r="A24" s="1346">
        <v>442200</v>
      </c>
      <c r="B24" s="18" t="s">
        <v>2024</v>
      </c>
      <c r="D24" s="18" t="s">
        <v>2211</v>
      </c>
      <c r="E24" s="18" t="s">
        <v>2212</v>
      </c>
      <c r="F24" s="1347">
        <f t="shared" si="0"/>
        <v>31750589</v>
      </c>
      <c r="G24" s="47">
        <f t="array" ref="G24">SUM(IF($A$24=BPActRevAccount,IF($D$24=BPActRevProduct,BPActRev1)))</f>
        <v>2523241</v>
      </c>
      <c r="H24" s="47">
        <f t="array" ref="H24">SUM(IF($A$24=BPActRevAccount,IF($D$24=BPActRevProduct,BPActRev2)))</f>
        <v>2442454</v>
      </c>
      <c r="I24" s="47">
        <f t="array" ref="I24">SUM(IF($A$24=BPActRevAccount,IF($D$24=BPActRevProduct,BPActRev3)))</f>
        <v>2426914</v>
      </c>
      <c r="J24" s="47">
        <f t="array" ref="J24">SUM(IF($A$24=BPActRevAccount,IF($D$24=BPActRevProduct,BPActRev4)))</f>
        <v>2439069</v>
      </c>
      <c r="K24" s="47">
        <f t="array" ref="K24">SUM(IF($A$24=BPActRevAccount,IF($D$24=BPActRevProduct,BPActRev5)))</f>
        <v>2473764</v>
      </c>
      <c r="L24" s="47">
        <f t="array" ref="L24">SUM(IF($A$24=BPActRevAccount,IF($D$24=BPActRevProduct,BPActRev6)))</f>
        <v>2555379</v>
      </c>
      <c r="M24" s="1366">
        <v>2884948</v>
      </c>
      <c r="N24" s="1366">
        <v>2893016</v>
      </c>
      <c r="O24" s="1366">
        <v>2862343</v>
      </c>
      <c r="P24" s="1366">
        <v>2800482</v>
      </c>
      <c r="Q24" s="1366">
        <v>2716713</v>
      </c>
      <c r="R24" s="1366">
        <v>2732266</v>
      </c>
    </row>
    <row r="25" spans="1:18">
      <c r="A25" s="1346">
        <v>442200</v>
      </c>
      <c r="B25" s="18" t="s">
        <v>2024</v>
      </c>
      <c r="D25" s="18" t="s">
        <v>2213</v>
      </c>
      <c r="E25" s="18" t="s">
        <v>2214</v>
      </c>
      <c r="F25" s="1347">
        <f t="shared" si="0"/>
        <v>21854072</v>
      </c>
      <c r="G25" s="47">
        <f t="array" ref="G25">SUM(IF($A$25=BPActRevAccount,IF($D$25=BPActRevProduct,BPActRev1)))</f>
        <v>1996008</v>
      </c>
      <c r="H25" s="47">
        <f t="array" ref="H25">SUM(IF($A$25=BPActRevAccount,IF($D$25=BPActRevProduct,BPActRev2)))</f>
        <v>1844696</v>
      </c>
      <c r="I25" s="47">
        <f t="array" ref="I25">SUM(IF($A$25=BPActRevAccount,IF($D$25=BPActRevProduct,BPActRev3)))</f>
        <v>1844642</v>
      </c>
      <c r="J25" s="47">
        <f t="array" ref="J25">SUM(IF($A$25=BPActRevAccount,IF($D$25=BPActRevProduct,BPActRev4)))</f>
        <v>1801964</v>
      </c>
      <c r="K25" s="47">
        <f t="array" ref="K25">SUM(IF($A$25=BPActRevAccount,IF($D$25=BPActRevProduct,BPActRev5)))</f>
        <v>1856644</v>
      </c>
      <c r="L25" s="47">
        <f t="array" ref="L25">SUM(IF($A$25=BPActRevAccount,IF($D$25=BPActRevProduct,BPActRev6)))</f>
        <v>1932761</v>
      </c>
      <c r="M25" s="1366">
        <v>1759936</v>
      </c>
      <c r="N25" s="1366">
        <v>1777933</v>
      </c>
      <c r="O25" s="1366">
        <v>1769849</v>
      </c>
      <c r="P25" s="1366">
        <v>1748376</v>
      </c>
      <c r="Q25" s="1366">
        <v>1765498</v>
      </c>
      <c r="R25" s="1366">
        <v>1755765</v>
      </c>
    </row>
    <row r="26" spans="1:18">
      <c r="A26" s="1346">
        <v>442200</v>
      </c>
      <c r="B26" s="18" t="s">
        <v>2024</v>
      </c>
      <c r="D26" s="18" t="s">
        <v>2215</v>
      </c>
      <c r="E26" s="18" t="s">
        <v>2216</v>
      </c>
      <c r="F26" s="1347">
        <f t="shared" si="0"/>
        <v>1608391</v>
      </c>
      <c r="G26" s="47">
        <f t="array" ref="G26">SUM(IF($A$26=BPActRevAccount,IF($D$26=BPActRevProduct,BPActRev1)))</f>
        <v>146100</v>
      </c>
      <c r="H26" s="47">
        <f t="array" ref="H26">SUM(IF($A$26=BPActRevAccount,IF($D$26=BPActRevProduct,BPActRev2)))</f>
        <v>136041</v>
      </c>
      <c r="I26" s="47">
        <f t="array" ref="I26">SUM(IF($A$26=BPActRevAccount,IF($D$26=BPActRevProduct,BPActRev3)))</f>
        <v>137528</v>
      </c>
      <c r="J26" s="47">
        <f t="array" ref="J26">SUM(IF($A$26=BPActRevAccount,IF($D$26=BPActRevProduct,BPActRev4)))</f>
        <v>133386</v>
      </c>
      <c r="K26" s="47">
        <f t="array" ref="K26">SUM(IF($A$26=BPActRevAccount,IF($D$26=BPActRevProduct,BPActRev5)))</f>
        <v>128403</v>
      </c>
      <c r="L26" s="47">
        <f t="array" ref="L26">SUM(IF($A$26=BPActRevAccount,IF($D$26=BPActRevProduct,BPActRev6)))</f>
        <v>132522</v>
      </c>
      <c r="M26" s="1366">
        <v>129875</v>
      </c>
      <c r="N26" s="1366">
        <v>138108</v>
      </c>
      <c r="O26" s="1366">
        <v>137480</v>
      </c>
      <c r="P26" s="1366">
        <v>129021</v>
      </c>
      <c r="Q26" s="1366">
        <v>143999</v>
      </c>
      <c r="R26" s="1366">
        <v>115928</v>
      </c>
    </row>
    <row r="27" spans="1:18">
      <c r="A27" s="1346">
        <v>442200</v>
      </c>
      <c r="B27" s="18" t="s">
        <v>2024</v>
      </c>
      <c r="D27" s="18" t="s">
        <v>2217</v>
      </c>
      <c r="E27" s="18" t="s">
        <v>2218</v>
      </c>
      <c r="F27" s="1347">
        <f t="shared" si="0"/>
        <v>-3042581</v>
      </c>
      <c r="G27" s="47">
        <f t="array" ref="G27">SUM(IF($A$27=BPActRevAccount,IF($D$27=BPActRevProduct,BPActRev1)))</f>
        <v>-398464</v>
      </c>
      <c r="H27" s="47">
        <f t="array" ref="H27">SUM(IF($A$27=BPActRevAccount,IF($D$27=BPActRevProduct,BPActRev2)))</f>
        <v>-360517</v>
      </c>
      <c r="I27" s="47">
        <f t="array" ref="I27">SUM(IF($A$27=BPActRevAccount,IF($D$27=BPActRevProduct,BPActRev3)))</f>
        <v>-311505</v>
      </c>
      <c r="J27" s="47">
        <f t="array" ref="J27">SUM(IF($A$27=BPActRevAccount,IF($D$27=BPActRevProduct,BPActRev4)))</f>
        <v>-351977</v>
      </c>
      <c r="K27" s="47">
        <f t="array" ref="K27">SUM(IF($A$27=BPActRevAccount,IF($D$27=BPActRevProduct,BPActRev5)))</f>
        <v>-473997</v>
      </c>
      <c r="L27" s="47">
        <f t="array" ref="L27">SUM(IF($A$27=BPActRevAccount,IF($D$27=BPActRevProduct,BPActRev6)))</f>
        <v>-590393</v>
      </c>
      <c r="M27" s="1366">
        <v>-140179</v>
      </c>
      <c r="N27" s="1366">
        <v>-77933</v>
      </c>
      <c r="O27" s="1366">
        <v>-85943</v>
      </c>
      <c r="P27" s="1366">
        <v>-6351</v>
      </c>
      <c r="Q27" s="1366">
        <v>-101376</v>
      </c>
      <c r="R27" s="1366">
        <v>-143946</v>
      </c>
    </row>
    <row r="28" spans="1:18">
      <c r="A28" s="1346">
        <v>442200</v>
      </c>
      <c r="B28" s="18" t="s">
        <v>2024</v>
      </c>
      <c r="D28" s="18" t="s">
        <v>2219</v>
      </c>
      <c r="E28" s="45" t="s">
        <v>2220</v>
      </c>
      <c r="F28" s="1347">
        <f t="shared" si="0"/>
        <v>-586589</v>
      </c>
      <c r="G28" s="47">
        <f t="array" ref="G28">SUM(IF($A$28=BPActRevAccount,IF($D$28=BPActRevProduct,BPActRev1)))</f>
        <v>-83839</v>
      </c>
      <c r="H28" s="47">
        <f t="array" ref="H28">SUM(IF($A$28=BPActRevAccount,IF($D$28=BPActRevProduct,BPActRev2)))</f>
        <v>-77491</v>
      </c>
      <c r="I28" s="47">
        <f t="array" ref="I28">SUM(IF($A$28=BPActRevAccount,IF($D$28=BPActRevProduct,BPActRev3)))</f>
        <v>-77482</v>
      </c>
      <c r="J28" s="47">
        <f t="array" ref="J28">SUM(IF($A$28=BPActRevAccount,IF($D$28=BPActRevProduct,BPActRev4)))</f>
        <v>-94265</v>
      </c>
      <c r="K28" s="47">
        <f t="array" ref="K28">SUM(IF($A$28=BPActRevAccount,IF($D$28=BPActRevProduct,BPActRev5)))</f>
        <v>-97127</v>
      </c>
      <c r="L28" s="47">
        <f t="array" ref="L28">SUM(IF($A$28=BPActRevAccount,IF($D$28=BPActRevProduct,BPActRev6)))</f>
        <v>-101113</v>
      </c>
      <c r="M28" s="1366">
        <v>-21752</v>
      </c>
      <c r="N28" s="1366">
        <v>-32136</v>
      </c>
      <c r="O28" s="1366">
        <v>2369</v>
      </c>
      <c r="P28" s="1366">
        <v>10575</v>
      </c>
      <c r="Q28" s="1366">
        <v>2547</v>
      </c>
      <c r="R28" s="1366">
        <v>-16875</v>
      </c>
    </row>
    <row r="29" spans="1:18">
      <c r="A29" s="1346">
        <v>442290</v>
      </c>
      <c r="B29" s="18" t="s">
        <v>2025</v>
      </c>
      <c r="D29" s="18" t="s">
        <v>2221</v>
      </c>
      <c r="E29" s="18" t="s">
        <v>2222</v>
      </c>
      <c r="F29" s="1347">
        <f t="shared" si="0"/>
        <v>-8065</v>
      </c>
      <c r="G29" s="47">
        <f t="array" ref="G29">SUM(IF($A$29=BPActRevAccount,IF($D$29=BPActRevProduct,BPActRev1)))</f>
        <v>-153749</v>
      </c>
      <c r="H29" s="47">
        <f t="array" ref="H29">SUM(IF($A$29=BPActRevAccount,IF($D$29=BPActRevProduct,BPActRev2)))</f>
        <v>15961</v>
      </c>
      <c r="I29" s="47">
        <f t="array" ref="I29">SUM(IF($A$29=BPActRevAccount,IF($D$29=BPActRevProduct,BPActRev3)))</f>
        <v>-218848</v>
      </c>
      <c r="J29" s="47">
        <f t="array" ref="J29">SUM(IF($A$29=BPActRevAccount,IF($D$29=BPActRevProduct,BPActRev4)))</f>
        <v>136596</v>
      </c>
      <c r="K29" s="47">
        <f t="array" ref="K29">SUM(IF($A$29=BPActRevAccount,IF($D$29=BPActRevProduct,BPActRev5)))</f>
        <v>-102759</v>
      </c>
      <c r="L29" s="47">
        <f t="array" ref="L29">SUM(IF($A$29=BPActRevAccount,IF($D$29=BPActRevProduct,BPActRev6)))</f>
        <v>162141</v>
      </c>
      <c r="M29" s="1366">
        <v>94679</v>
      </c>
      <c r="N29" s="1366">
        <v>9994</v>
      </c>
      <c r="O29" s="1366">
        <v>15835</v>
      </c>
      <c r="P29" s="1366">
        <v>70916</v>
      </c>
      <c r="Q29" s="1366">
        <v>-20930</v>
      </c>
      <c r="R29" s="1366">
        <v>-17901</v>
      </c>
    </row>
    <row r="30" spans="1:18">
      <c r="A30" s="1346">
        <v>444000</v>
      </c>
      <c r="B30" s="18" t="s">
        <v>2026</v>
      </c>
      <c r="D30" s="18" t="s">
        <v>2211</v>
      </c>
      <c r="E30" s="18" t="s">
        <v>2212</v>
      </c>
      <c r="F30" s="1347">
        <f t="shared" si="0"/>
        <v>1248790</v>
      </c>
      <c r="G30" s="47">
        <f t="array" ref="G30">SUM(IF($A$30=BPActRevAccount,IF($D$30=BPActRevProduct,BPActRev1)))</f>
        <v>106926</v>
      </c>
      <c r="H30" s="47">
        <f t="array" ref="H30">SUM(IF($A$30=BPActRevAccount,IF($D$30=BPActRevProduct,BPActRev2)))</f>
        <v>87710</v>
      </c>
      <c r="I30" s="47">
        <f t="array" ref="I30">SUM(IF($A$30=BPActRevAccount,IF($D$30=BPActRevProduct,BPActRev3)))</f>
        <v>105330</v>
      </c>
      <c r="J30" s="47">
        <f t="array" ref="J30">SUM(IF($A$30=BPActRevAccount,IF($D$30=BPActRevProduct,BPActRev4)))</f>
        <v>104032</v>
      </c>
      <c r="K30" s="47">
        <f t="array" ref="K30">SUM(IF($A$30=BPActRevAccount,IF($D$30=BPActRevProduct,BPActRev5)))</f>
        <v>104585</v>
      </c>
      <c r="L30" s="47">
        <f t="array" ref="L30">SUM(IF($A$30=BPActRevAccount,IF($D$30=BPActRevProduct,BPActRev6)))</f>
        <v>103785</v>
      </c>
      <c r="M30" s="1366">
        <v>104426</v>
      </c>
      <c r="N30" s="1366">
        <v>107107</v>
      </c>
      <c r="O30" s="1366">
        <v>106316</v>
      </c>
      <c r="P30" s="1366">
        <v>105881</v>
      </c>
      <c r="Q30" s="1366">
        <v>105510</v>
      </c>
      <c r="R30" s="1366">
        <v>107182</v>
      </c>
    </row>
    <row r="31" spans="1:18">
      <c r="A31" s="1346">
        <v>444000</v>
      </c>
      <c r="B31" s="18" t="s">
        <v>2026</v>
      </c>
      <c r="D31" s="18" t="s">
        <v>2213</v>
      </c>
      <c r="E31" s="18" t="s">
        <v>2214</v>
      </c>
      <c r="F31" s="1347">
        <f t="shared" si="0"/>
        <v>418484</v>
      </c>
      <c r="G31" s="47">
        <f t="array" ref="G31">SUM(IF($A$31=BPActRevAccount,IF($D$31=BPActRevProduct,BPActRev1)))</f>
        <v>38253</v>
      </c>
      <c r="H31" s="47">
        <f t="array" ref="H31">SUM(IF($A$31=BPActRevAccount,IF($D$31=BPActRevProduct,BPActRev2)))</f>
        <v>37418</v>
      </c>
      <c r="I31" s="47">
        <f t="array" ref="I31">SUM(IF($A$31=BPActRevAccount,IF($D$31=BPActRevProduct,BPActRev3)))</f>
        <v>37369</v>
      </c>
      <c r="J31" s="47">
        <f t="array" ref="J31">SUM(IF($A$31=BPActRevAccount,IF($D$31=BPActRevProduct,BPActRev4)))</f>
        <v>36007</v>
      </c>
      <c r="K31" s="47">
        <f t="array" ref="K31">SUM(IF($A$31=BPActRevAccount,IF($D$31=BPActRevProduct,BPActRev5)))</f>
        <v>36699</v>
      </c>
      <c r="L31" s="47">
        <f t="array" ref="L31">SUM(IF($A$31=BPActRevAccount,IF($D$31=BPActRevProduct,BPActRev6)))</f>
        <v>36136</v>
      </c>
      <c r="M31" s="1366">
        <v>32518</v>
      </c>
      <c r="N31" s="1366">
        <v>32621</v>
      </c>
      <c r="O31" s="1366">
        <v>32544</v>
      </c>
      <c r="P31" s="1366">
        <v>32621</v>
      </c>
      <c r="Q31" s="1366">
        <v>32621</v>
      </c>
      <c r="R31" s="1366">
        <v>33677</v>
      </c>
    </row>
    <row r="32" spans="1:18">
      <c r="A32" s="1346">
        <v>444000</v>
      </c>
      <c r="B32" s="18" t="s">
        <v>2026</v>
      </c>
      <c r="D32" s="18" t="s">
        <v>2215</v>
      </c>
      <c r="E32" s="18" t="s">
        <v>2216</v>
      </c>
      <c r="F32" s="1347">
        <f t="shared" si="0"/>
        <v>2063</v>
      </c>
      <c r="G32" s="47">
        <f t="array" ref="G32">SUM(IF($A$32=BPActRevAccount,IF($D$32=BPActRevProduct,BPActRev1)))</f>
        <v>448</v>
      </c>
      <c r="H32" s="47">
        <f t="array" ref="H32">SUM(IF($A$32=BPActRevAccount,IF($D$32=BPActRevProduct,BPActRev2)))</f>
        <v>423</v>
      </c>
      <c r="I32" s="47">
        <f t="array" ref="I32">SUM(IF($A$32=BPActRevAccount,IF($D$32=BPActRevProduct,BPActRev3)))</f>
        <v>373</v>
      </c>
      <c r="J32" s="47">
        <f t="array" ref="J32">SUM(IF($A$32=BPActRevAccount,IF($D$32=BPActRevProduct,BPActRev4)))</f>
        <v>273</v>
      </c>
      <c r="K32" s="47">
        <f t="array" ref="K32">SUM(IF($A$32=BPActRevAccount,IF($D$32=BPActRevProduct,BPActRev5)))</f>
        <v>286</v>
      </c>
      <c r="L32" s="47">
        <f t="array" ref="L32">SUM(IF($A$32=BPActRevAccount,IF($D$32=BPActRevProduct,BPActRev6)))</f>
        <v>260</v>
      </c>
      <c r="M32" s="1366">
        <v>0</v>
      </c>
      <c r="N32" s="1366">
        <v>0</v>
      </c>
      <c r="O32" s="1366">
        <v>0</v>
      </c>
      <c r="P32" s="1366">
        <v>0</v>
      </c>
      <c r="Q32" s="1366">
        <v>0</v>
      </c>
      <c r="R32" s="1366">
        <v>0</v>
      </c>
    </row>
    <row r="33" spans="1:18">
      <c r="A33" s="1346">
        <v>444000</v>
      </c>
      <c r="B33" s="18" t="s">
        <v>2026</v>
      </c>
      <c r="D33" s="18" t="s">
        <v>2217</v>
      </c>
      <c r="E33" s="18" t="s">
        <v>2218</v>
      </c>
      <c r="F33" s="1347">
        <f t="shared" si="0"/>
        <v>-59906</v>
      </c>
      <c r="G33" s="47">
        <f t="array" ref="G33">SUM(IF($A$33=BPActRevAccount,IF($D$33=BPActRevProduct,BPActRev1)))</f>
        <v>-7787</v>
      </c>
      <c r="H33" s="47">
        <f t="array" ref="H33">SUM(IF($A$33=BPActRevAccount,IF($D$33=BPActRevProduct,BPActRev2)))</f>
        <v>-7442</v>
      </c>
      <c r="I33" s="47">
        <f t="array" ref="I33">SUM(IF($A$33=BPActRevAccount,IF($D$33=BPActRevProduct,BPActRev3)))</f>
        <v>-6481</v>
      </c>
      <c r="J33" s="47">
        <f t="array" ref="J33">SUM(IF($A$33=BPActRevAccount,IF($D$33=BPActRevProduct,BPActRev4)))</f>
        <v>-7143</v>
      </c>
      <c r="K33" s="47">
        <f t="array" ref="K33">SUM(IF($A$33=BPActRevAccount,IF($D$33=BPActRevProduct,BPActRev5)))</f>
        <v>-9506</v>
      </c>
      <c r="L33" s="47">
        <f t="array" ref="L33">SUM(IF($A$33=BPActRevAccount,IF($D$33=BPActRevProduct,BPActRev6)))</f>
        <v>-11195</v>
      </c>
      <c r="M33" s="1366">
        <v>-2590</v>
      </c>
      <c r="N33" s="1366">
        <v>-1430</v>
      </c>
      <c r="O33" s="1366">
        <v>-1580</v>
      </c>
      <c r="P33" s="1366">
        <v>-118</v>
      </c>
      <c r="Q33" s="1366">
        <v>-1873</v>
      </c>
      <c r="R33" s="1366">
        <v>-2761</v>
      </c>
    </row>
    <row r="34" spans="1:18">
      <c r="A34" s="1346">
        <v>444000</v>
      </c>
      <c r="B34" s="18" t="s">
        <v>2026</v>
      </c>
      <c r="D34" s="18" t="s">
        <v>2219</v>
      </c>
      <c r="E34" s="18" t="s">
        <v>2220</v>
      </c>
      <c r="F34" s="1347">
        <f t="shared" si="0"/>
        <v>-11447</v>
      </c>
      <c r="G34" s="47">
        <f t="array" ref="G34">SUM(IF($A$34=BPActRevAccount,IF($D$34=BPActRevProduct,BPActRev1)))</f>
        <v>-1603</v>
      </c>
      <c r="H34" s="47">
        <f t="array" ref="H34">SUM(IF($A$34=BPActRevAccount,IF($D$34=BPActRevProduct,BPActRev2)))</f>
        <v>-1569</v>
      </c>
      <c r="I34" s="47">
        <f t="array" ref="I34">SUM(IF($A$34=BPActRevAccount,IF($D$34=BPActRevProduct,BPActRev3)))</f>
        <v>-1567</v>
      </c>
      <c r="J34" s="47">
        <f t="array" ref="J34">SUM(IF($A$34=BPActRevAccount,IF($D$34=BPActRevProduct,BPActRev4)))</f>
        <v>-1879</v>
      </c>
      <c r="K34" s="47">
        <f t="array" ref="K34">SUM(IF($A$34=BPActRevAccount,IF($D$34=BPActRevProduct,BPActRev5)))</f>
        <v>-1915</v>
      </c>
      <c r="L34" s="47">
        <f t="array" ref="L34">SUM(IF($A$34=BPActRevAccount,IF($D$34=BPActRevProduct,BPActRev6)))</f>
        <v>-1886</v>
      </c>
      <c r="M34" s="1366">
        <v>-402</v>
      </c>
      <c r="N34" s="1366">
        <v>-590</v>
      </c>
      <c r="O34" s="1366">
        <v>44</v>
      </c>
      <c r="P34" s="1366">
        <v>197</v>
      </c>
      <c r="Q34" s="1366">
        <v>47</v>
      </c>
      <c r="R34" s="1366">
        <v>-324</v>
      </c>
    </row>
    <row r="35" spans="1:18">
      <c r="A35" s="1346">
        <v>445000</v>
      </c>
      <c r="B35" s="18" t="s">
        <v>2027</v>
      </c>
      <c r="D35" s="18" t="s">
        <v>2211</v>
      </c>
      <c r="E35" s="18" t="s">
        <v>2212</v>
      </c>
      <c r="F35" s="1347">
        <f t="shared" si="0"/>
        <v>13578861</v>
      </c>
      <c r="G35" s="47">
        <f t="array" ref="G35">SUM(IF($A$35=BPActRevAccount,IF($D$35=BPActRevProduct,BPActRev1)))</f>
        <v>1117691</v>
      </c>
      <c r="H35" s="47">
        <f t="array" ref="H35">SUM(IF($A$35=BPActRevAccount,IF($D$35=BPActRevProduct,BPActRev2)))</f>
        <v>1113876</v>
      </c>
      <c r="I35" s="47">
        <f t="array" ref="I35">SUM(IF($A$35=BPActRevAccount,IF($D$35=BPActRevProduct,BPActRev3)))</f>
        <v>1034096</v>
      </c>
      <c r="J35" s="47">
        <f t="array" ref="J35">SUM(IF($A$35=BPActRevAccount,IF($D$35=BPActRevProduct,BPActRev4)))</f>
        <v>1107687</v>
      </c>
      <c r="K35" s="47">
        <f t="array" ref="K35">SUM(IF($A$35=BPActRevAccount,IF($D$35=BPActRevProduct,BPActRev5)))</f>
        <v>1042014</v>
      </c>
      <c r="L35" s="47">
        <f t="array" ref="L35">SUM(IF($A$35=BPActRevAccount,IF($D$35=BPActRevProduct,BPActRev6)))</f>
        <v>1085006</v>
      </c>
      <c r="M35" s="1366">
        <v>1163115</v>
      </c>
      <c r="N35" s="1366">
        <v>1185460</v>
      </c>
      <c r="O35" s="1366">
        <v>1217617</v>
      </c>
      <c r="P35" s="1366">
        <v>1252877</v>
      </c>
      <c r="Q35" s="1366">
        <v>1149944</v>
      </c>
      <c r="R35" s="1366">
        <v>1109478</v>
      </c>
    </row>
    <row r="36" spans="1:18">
      <c r="A36" s="1346">
        <v>445000</v>
      </c>
      <c r="B36" s="18" t="s">
        <v>2027</v>
      </c>
      <c r="D36" s="18" t="s">
        <v>2213</v>
      </c>
      <c r="E36" s="18" t="s">
        <v>2214</v>
      </c>
      <c r="F36" s="1347">
        <f t="shared" si="0"/>
        <v>7819724</v>
      </c>
      <c r="G36" s="47">
        <f t="array" ref="G36">SUM(IF($A$36=BPActRevAccount,IF($D$36=BPActRevProduct,BPActRev1)))</f>
        <v>707669</v>
      </c>
      <c r="H36" s="47">
        <f t="array" ref="H36">SUM(IF($A$36=BPActRevAccount,IF($D$36=BPActRevProduct,BPActRev2)))</f>
        <v>716058</v>
      </c>
      <c r="I36" s="47">
        <f t="array" ref="I36">SUM(IF($A$36=BPActRevAccount,IF($D$36=BPActRevProduct,BPActRev3)))</f>
        <v>622983</v>
      </c>
      <c r="J36" s="47">
        <f t="array" ref="J36">SUM(IF($A$36=BPActRevAccount,IF($D$36=BPActRevProduct,BPActRev4)))</f>
        <v>646954</v>
      </c>
      <c r="K36" s="47">
        <f t="array" ref="K36">SUM(IF($A$36=BPActRevAccount,IF($D$36=BPActRevProduct,BPActRev5)))</f>
        <v>622060</v>
      </c>
      <c r="L36" s="47">
        <f t="array" ref="L36">SUM(IF($A$36=BPActRevAccount,IF($D$36=BPActRevProduct,BPActRev6)))</f>
        <v>665147</v>
      </c>
      <c r="M36" s="1366">
        <v>618211</v>
      </c>
      <c r="N36" s="1366">
        <v>638835</v>
      </c>
      <c r="O36" s="1366">
        <v>663320</v>
      </c>
      <c r="P36" s="1366">
        <v>702739</v>
      </c>
      <c r="Q36" s="1366">
        <v>627738</v>
      </c>
      <c r="R36" s="1366">
        <v>588010</v>
      </c>
    </row>
    <row r="37" spans="1:18">
      <c r="A37" s="1346">
        <v>445000</v>
      </c>
      <c r="B37" s="18" t="s">
        <v>2027</v>
      </c>
      <c r="D37" s="18" t="s">
        <v>2215</v>
      </c>
      <c r="E37" s="18" t="s">
        <v>2216</v>
      </c>
      <c r="F37" s="1347">
        <f t="shared" si="0"/>
        <v>602253</v>
      </c>
      <c r="G37" s="47">
        <f t="array" ref="G37">SUM(IF($A$37=BPActRevAccount,IF($D$37=BPActRevProduct,BPActRev1)))</f>
        <v>56705</v>
      </c>
      <c r="H37" s="47">
        <f t="array" ref="H37">SUM(IF($A$37=BPActRevAccount,IF($D$37=BPActRevProduct,BPActRev2)))</f>
        <v>57121</v>
      </c>
      <c r="I37" s="47">
        <f t="array" ref="I37">SUM(IF($A$37=BPActRevAccount,IF($D$37=BPActRevProduct,BPActRev3)))</f>
        <v>50448</v>
      </c>
      <c r="J37" s="47">
        <f t="array" ref="J37">SUM(IF($A$37=BPActRevAccount,IF($D$37=BPActRevProduct,BPActRev4)))</f>
        <v>52430</v>
      </c>
      <c r="K37" s="47">
        <f t="array" ref="K37">SUM(IF($A$37=BPActRevAccount,IF($D$37=BPActRevProduct,BPActRev5)))</f>
        <v>46442</v>
      </c>
      <c r="L37" s="47">
        <f t="array" ref="L37">SUM(IF($A$37=BPActRevAccount,IF($D$37=BPActRevProduct,BPActRev6)))</f>
        <v>50452</v>
      </c>
      <c r="M37" s="1366">
        <v>45621</v>
      </c>
      <c r="N37" s="1366">
        <v>49624</v>
      </c>
      <c r="O37" s="1366">
        <v>51526</v>
      </c>
      <c r="P37" s="1366">
        <v>51859</v>
      </c>
      <c r="Q37" s="1366">
        <v>51200</v>
      </c>
      <c r="R37" s="1366">
        <v>38825</v>
      </c>
    </row>
    <row r="38" spans="1:18">
      <c r="A38" s="1346">
        <v>445000</v>
      </c>
      <c r="B38" s="18" t="s">
        <v>2027</v>
      </c>
      <c r="D38" s="18" t="s">
        <v>2217</v>
      </c>
      <c r="E38" s="18" t="s">
        <v>2218</v>
      </c>
      <c r="F38" s="1347">
        <f t="shared" si="0"/>
        <v>-1081964</v>
      </c>
      <c r="G38" s="47">
        <f t="array" ref="G38">SUM(IF($A$38=BPActRevAccount,IF($D$38=BPActRevProduct,BPActRev1)))</f>
        <v>-143158</v>
      </c>
      <c r="H38" s="47">
        <f t="array" ref="H38">SUM(IF($A$38=BPActRevAccount,IF($D$38=BPActRevProduct,BPActRev2)))</f>
        <v>-141833</v>
      </c>
      <c r="I38" s="47">
        <f t="array" ref="I38">SUM(IF($A$38=BPActRevAccount,IF($D$38=BPActRevProduct,BPActRev3)))</f>
        <v>-107225</v>
      </c>
      <c r="J38" s="47">
        <f t="array" ref="J38">SUM(IF($A$38=BPActRevAccount,IF($D$38=BPActRevProduct,BPActRev4)))</f>
        <v>-127474</v>
      </c>
      <c r="K38" s="47">
        <f t="array" ref="K38">SUM(IF($A$38=BPActRevAccount,IF($D$38=BPActRevProduct,BPActRev5)))</f>
        <v>-160621</v>
      </c>
      <c r="L38" s="47">
        <f t="array" ref="L38">SUM(IF($A$38=BPActRevAccount,IF($D$38=BPActRevProduct,BPActRev6)))</f>
        <v>-205394</v>
      </c>
      <c r="M38" s="1366">
        <v>-49240</v>
      </c>
      <c r="N38" s="1366">
        <v>-28002</v>
      </c>
      <c r="O38" s="1366">
        <v>-32211</v>
      </c>
      <c r="P38" s="1366">
        <v>-2553</v>
      </c>
      <c r="Q38" s="1366">
        <v>-36045</v>
      </c>
      <c r="R38" s="1366">
        <v>-48208</v>
      </c>
    </row>
    <row r="39" spans="1:18">
      <c r="A39" s="1346">
        <v>445000</v>
      </c>
      <c r="B39" s="18" t="s">
        <v>2027</v>
      </c>
      <c r="D39" s="18" t="s">
        <v>2219</v>
      </c>
      <c r="E39" s="18" t="s">
        <v>2220</v>
      </c>
      <c r="F39" s="1347">
        <f t="shared" si="0"/>
        <v>-205184</v>
      </c>
      <c r="G39" s="47">
        <f t="array" ref="G39">SUM(IF($A$39=BPActRevAccount,IF($D$39=BPActRevProduct,BPActRev1)))</f>
        <v>-29555</v>
      </c>
      <c r="H39" s="47">
        <f t="array" ref="H39">SUM(IF($A$39=BPActRevAccount,IF($D$39=BPActRevProduct,BPActRev2)))</f>
        <v>-29975</v>
      </c>
      <c r="I39" s="47">
        <f t="array" ref="I39">SUM(IF($A$39=BPActRevAccount,IF($D$39=BPActRevProduct,BPActRev3)))</f>
        <v>-26128</v>
      </c>
      <c r="J39" s="47">
        <f t="array" ref="J39">SUM(IF($A$39=BPActRevAccount,IF($D$39=BPActRevProduct,BPActRev4)))</f>
        <v>-33548</v>
      </c>
      <c r="K39" s="47">
        <f t="array" ref="K39">SUM(IF($A$39=BPActRevAccount,IF($D$39=BPActRevProduct,BPActRev5)))</f>
        <v>-32466</v>
      </c>
      <c r="L39" s="47">
        <f t="array" ref="L39">SUM(IF($A$39=BPActRevAccount,IF($D$39=BPActRevProduct,BPActRev6)))</f>
        <v>-34716</v>
      </c>
      <c r="M39" s="1366">
        <v>-7641</v>
      </c>
      <c r="N39" s="1366">
        <v>-11547</v>
      </c>
      <c r="O39" s="1366">
        <v>888</v>
      </c>
      <c r="P39" s="1366">
        <v>4251</v>
      </c>
      <c r="Q39" s="1366">
        <v>905</v>
      </c>
      <c r="R39" s="1366">
        <v>-5652</v>
      </c>
    </row>
    <row r="40" spans="1:18">
      <c r="A40" s="1346">
        <v>445090</v>
      </c>
      <c r="B40" s="18" t="s">
        <v>2028</v>
      </c>
      <c r="D40" s="18" t="s">
        <v>2221</v>
      </c>
      <c r="E40" s="18" t="s">
        <v>2222</v>
      </c>
      <c r="F40" s="1347">
        <f t="shared" si="0"/>
        <v>-32783</v>
      </c>
      <c r="G40" s="47">
        <f t="array" ref="G40">SUM(IF($A$40=BPActRevAccount,IF($D$40=BPActRevProduct,BPActRev1)))</f>
        <v>-61084</v>
      </c>
      <c r="H40" s="47">
        <f t="array" ref="H40">SUM(IF($A$40=BPActRevAccount,IF($D$40=BPActRevProduct,BPActRev2)))</f>
        <v>-10057</v>
      </c>
      <c r="I40" s="47">
        <f t="array" ref="I40">SUM(IF($A$40=BPActRevAccount,IF($D$40=BPActRevProduct,BPActRev3)))</f>
        <v>-114799</v>
      </c>
      <c r="J40" s="47">
        <f t="array" ref="J40">SUM(IF($A$40=BPActRevAccount,IF($D$40=BPActRevProduct,BPActRev4)))</f>
        <v>44432</v>
      </c>
      <c r="K40" s="47">
        <f t="array" ref="K40">SUM(IF($A$40=BPActRevAccount,IF($D$40=BPActRevProduct,BPActRev5)))</f>
        <v>-50026</v>
      </c>
      <c r="L40" s="47">
        <f t="array" ref="L40">SUM(IF($A$40=BPActRevAccount,IF($D$40=BPActRevProduct,BPActRev6)))</f>
        <v>63810</v>
      </c>
      <c r="M40" s="1366">
        <v>108023</v>
      </c>
      <c r="N40" s="1366">
        <v>65849</v>
      </c>
      <c r="O40" s="1366">
        <v>49795</v>
      </c>
      <c r="P40" s="1366">
        <v>-89899</v>
      </c>
      <c r="Q40" s="1366">
        <v>24909</v>
      </c>
      <c r="R40" s="1366">
        <v>-63736</v>
      </c>
    </row>
    <row r="41" spans="1:18">
      <c r="A41" s="1346">
        <v>447150</v>
      </c>
      <c r="B41" s="18" t="s">
        <v>2029</v>
      </c>
      <c r="D41" s="18" t="s">
        <v>2223</v>
      </c>
      <c r="E41" s="18" t="s">
        <v>2223</v>
      </c>
      <c r="F41" s="1347">
        <f t="shared" si="0"/>
        <v>-20578</v>
      </c>
      <c r="G41" s="47">
        <f t="array" ref="G41">SUM(IF($A$41=BPActRevAccount,IF($D$41=BPActRevProduct,BPActRev1)))</f>
        <v>-3505</v>
      </c>
      <c r="H41" s="47">
        <f t="array" ref="H41">SUM(IF($A$41=BPActRevAccount,IF($D$41=BPActRevProduct,BPActRev2)))</f>
        <v>-3505</v>
      </c>
      <c r="I41" s="47">
        <f t="array" ref="I41">SUM(IF($A$41=BPActRevAccount,IF($D$41=BPActRevProduct,BPActRev3)))</f>
        <v>-3166</v>
      </c>
      <c r="J41" s="47">
        <f t="array" ref="J41">SUM(IF($A$41=BPActRevAccount,IF($D$41=BPActRevProduct,BPActRev4)))</f>
        <v>-3505</v>
      </c>
      <c r="K41" s="47">
        <f t="array" ref="K41">SUM(IF($A$41=BPActRevAccount,IF($D$41=BPActRevProduct,BPActRev5)))</f>
        <v>-3392</v>
      </c>
      <c r="L41" s="47">
        <f t="array" ref="L41">SUM(IF($A$41=BPActRevAccount,IF($D$41=BPActRevProduct,BPActRev6)))</f>
        <v>-3505</v>
      </c>
      <c r="M41" s="1366">
        <v>0</v>
      </c>
      <c r="N41" s="1366">
        <v>0</v>
      </c>
      <c r="O41" s="1366">
        <v>0</v>
      </c>
      <c r="P41" s="1366">
        <v>0</v>
      </c>
      <c r="Q41" s="1366">
        <v>0</v>
      </c>
      <c r="R41" s="1366">
        <v>0</v>
      </c>
    </row>
    <row r="42" spans="1:18">
      <c r="A42" s="1346">
        <v>447150</v>
      </c>
      <c r="B42" s="18" t="s">
        <v>2029</v>
      </c>
      <c r="D42" s="18" t="s">
        <v>2224</v>
      </c>
      <c r="E42" s="18" t="s">
        <v>2225</v>
      </c>
      <c r="F42" s="1347">
        <f t="shared" si="0"/>
        <v>461340</v>
      </c>
      <c r="G42" s="47">
        <f t="array" ref="G42">SUM(IF($A$42=BPActRevAccount,IF($D$42=BPActRevProduct,BPActRev1)))</f>
        <v>77244</v>
      </c>
      <c r="H42" s="47">
        <f t="array" ref="H42">SUM(IF($A$42=BPActRevAccount,IF($D$42=BPActRevProduct,BPActRev2)))</f>
        <v>145522</v>
      </c>
      <c r="I42" s="47">
        <f t="array" ref="I42">SUM(IF($A$42=BPActRevAccount,IF($D$42=BPActRevProduct,BPActRev3)))</f>
        <v>295430</v>
      </c>
      <c r="J42" s="47">
        <f t="array" ref="J42">SUM(IF($A$42=BPActRevAccount,IF($D$42=BPActRevProduct,BPActRev4)))</f>
        <v>-236044</v>
      </c>
      <c r="K42" s="47">
        <f t="array" ref="K42">SUM(IF($A$42=BPActRevAccount,IF($D$42=BPActRevProduct,BPActRev5)))</f>
        <v>65282</v>
      </c>
      <c r="L42" s="47">
        <f t="array" ref="L42">SUM(IF($A$42=BPActRevAccount,IF($D$42=BPActRevProduct,BPActRev6)))</f>
        <v>113906</v>
      </c>
      <c r="M42" s="1366">
        <v>0</v>
      </c>
      <c r="N42" s="1366">
        <v>0</v>
      </c>
      <c r="O42" s="1366">
        <v>0</v>
      </c>
      <c r="P42" s="1366">
        <v>0</v>
      </c>
      <c r="Q42" s="1366">
        <v>0</v>
      </c>
      <c r="R42" s="1366">
        <v>0</v>
      </c>
    </row>
    <row r="43" spans="1:18">
      <c r="A43" s="1346">
        <v>447150</v>
      </c>
      <c r="B43" s="18" t="s">
        <v>2029</v>
      </c>
      <c r="D43" s="18" t="s">
        <v>2226</v>
      </c>
      <c r="E43" s="18" t="s">
        <v>2227</v>
      </c>
      <c r="F43" s="1347">
        <f t="shared" si="0"/>
        <v>3087471</v>
      </c>
      <c r="G43" s="47">
        <f t="array" ref="G43">SUM(IF($A$43=BPActRevAccount,IF($D$43=BPActRevProduct,BPActRev1)))</f>
        <v>1855906</v>
      </c>
      <c r="H43" s="47">
        <f t="array" ref="H43">SUM(IF($A$43=BPActRevAccount,IF($D$43=BPActRevProduct,BPActRev2)))</f>
        <v>0</v>
      </c>
      <c r="I43" s="47">
        <f t="array" ref="I43">SUM(IF($A$43=BPActRevAccount,IF($D$43=BPActRevProduct,BPActRev3)))</f>
        <v>0</v>
      </c>
      <c r="J43" s="47">
        <f t="array" ref="J43">SUM(IF($A$43=BPActRevAccount,IF($D$43=BPActRevProduct,BPActRev4)))</f>
        <v>1231565</v>
      </c>
      <c r="K43" s="47">
        <f t="array" ref="K43">SUM(IF($A$43=BPActRevAccount,IF($D$43=BPActRevProduct,BPActRev5)))</f>
        <v>0</v>
      </c>
      <c r="L43" s="47">
        <f t="array" ref="L43">SUM(IF($A$43=BPActRevAccount,IF($D$43=BPActRevProduct,BPActRev6)))</f>
        <v>0</v>
      </c>
      <c r="M43" s="1366">
        <v>0</v>
      </c>
      <c r="N43" s="1366">
        <v>0</v>
      </c>
      <c r="O43" s="1366">
        <v>0</v>
      </c>
      <c r="P43" s="1366">
        <v>0</v>
      </c>
      <c r="Q43" s="1366">
        <v>0</v>
      </c>
      <c r="R43" s="1366">
        <v>0</v>
      </c>
    </row>
    <row r="44" spans="1:18">
      <c r="A44" s="1346">
        <v>447150</v>
      </c>
      <c r="B44" s="18" t="s">
        <v>2029</v>
      </c>
      <c r="D44" s="18" t="s">
        <v>2228</v>
      </c>
      <c r="E44" s="18" t="s">
        <v>1388</v>
      </c>
      <c r="F44" s="1347">
        <f t="shared" si="0"/>
        <v>14404261</v>
      </c>
      <c r="G44" s="47">
        <f t="array" ref="G44">SUM(IF($A$44=BPActRevAccount,IF($D$44=BPActRevProduct,BPActRev1)))</f>
        <v>1001572</v>
      </c>
      <c r="H44" s="47">
        <f t="array" ref="H44">SUM(IF($A$44=BPActRevAccount,IF($D$44=BPActRevProduct,BPActRev2)))</f>
        <v>1633194</v>
      </c>
      <c r="I44" s="47">
        <f t="array" ref="I44">SUM(IF($A$44=BPActRevAccount,IF($D$44=BPActRevProduct,BPActRev3)))</f>
        <v>1316416</v>
      </c>
      <c r="J44" s="47">
        <f t="array" ref="J44">SUM(IF($A$44=BPActRevAccount,IF($D$44=BPActRevProduct,BPActRev4)))</f>
        <v>2523067</v>
      </c>
      <c r="K44" s="47">
        <f t="array" ref="K44">SUM(IF($A$44=BPActRevAccount,IF($D$44=BPActRevProduct,BPActRev5)))</f>
        <v>2433414</v>
      </c>
      <c r="L44" s="47">
        <f t="array" ref="L44">SUM(IF($A$44=BPActRevAccount,IF($D$44=BPActRevProduct,BPActRev6)))</f>
        <v>1187598</v>
      </c>
      <c r="M44" s="1366">
        <v>672000</v>
      </c>
      <c r="N44" s="1366">
        <v>835000</v>
      </c>
      <c r="O44" s="1366">
        <v>716000</v>
      </c>
      <c r="P44" s="1366">
        <v>619000</v>
      </c>
      <c r="Q44" s="1366">
        <v>898000</v>
      </c>
      <c r="R44" s="1366">
        <v>569000</v>
      </c>
    </row>
    <row r="45" spans="1:18">
      <c r="A45" s="1346">
        <v>447155</v>
      </c>
      <c r="B45" s="18" t="s">
        <v>2030</v>
      </c>
      <c r="D45" s="18" t="s">
        <v>529</v>
      </c>
      <c r="E45" s="18" t="s">
        <v>2229</v>
      </c>
      <c r="F45" s="1347">
        <f t="shared" si="0"/>
        <v>0</v>
      </c>
      <c r="G45" s="47">
        <f t="array" ref="G45">SUM(IF($A$45=BPActRevAccount,IF($D$45=BPActRevProduct,BPActRev1)))</f>
        <v>0</v>
      </c>
      <c r="H45" s="47">
        <f t="array" ref="H45">SUM(IF($A$45=BPActRevAccount,IF($D$45=BPActRevProduct,BPActRev2)))</f>
        <v>0</v>
      </c>
      <c r="I45" s="47">
        <f t="array" ref="I45">SUM(IF($A$45=BPActRevAccount,IF($D$45=BPActRevProduct,BPActRev3)))</f>
        <v>0</v>
      </c>
      <c r="J45" s="47">
        <f t="array" ref="J45">SUM(IF($A$45=BPActRevAccount,IF($D$45=BPActRevProduct,BPActRev4)))</f>
        <v>0</v>
      </c>
      <c r="K45" s="47">
        <f t="array" ref="K45">SUM(IF($A$45=BPActRevAccount,IF($D$45=BPActRevProduct,BPActRev5)))</f>
        <v>0</v>
      </c>
      <c r="L45" s="47">
        <f t="array" ref="L45">SUM(IF($A$45=BPActRevAccount,IF($D$45=BPActRevProduct,BPActRev6)))</f>
        <v>0</v>
      </c>
      <c r="M45" s="1366">
        <v>0</v>
      </c>
      <c r="N45" s="1366">
        <v>0</v>
      </c>
      <c r="O45" s="1366">
        <v>0</v>
      </c>
      <c r="P45" s="1366">
        <v>0</v>
      </c>
      <c r="Q45" s="1366">
        <v>0</v>
      </c>
      <c r="R45" s="1366">
        <v>0</v>
      </c>
    </row>
    <row r="46" spans="1:18">
      <c r="A46" s="1346">
        <v>447155</v>
      </c>
      <c r="B46" s="18" t="s">
        <v>2030</v>
      </c>
      <c r="D46" s="18" t="s">
        <v>2223</v>
      </c>
      <c r="E46" s="18" t="s">
        <v>2223</v>
      </c>
      <c r="F46" s="1347">
        <f t="shared" si="0"/>
        <v>0</v>
      </c>
      <c r="G46" s="47">
        <f t="array" ref="G46">SUM(IF($A$46=BPActRevAccount,IF($D$46=BPActRevProduct,BPActRev1)))</f>
        <v>0</v>
      </c>
      <c r="H46" s="47">
        <f t="array" ref="H46">SUM(IF($A$46=BPActRevAccount,IF($D$46=BPActRevProduct,BPActRev2)))</f>
        <v>0</v>
      </c>
      <c r="I46" s="47">
        <f t="array" ref="I46">SUM(IF($A$46=BPActRevAccount,IF($D$46=BPActRevProduct,BPActRev3)))</f>
        <v>0</v>
      </c>
      <c r="J46" s="47">
        <f t="array" ref="J46">SUM(IF($A$46=BPActRevAccount,IF($D$46=BPActRevProduct,BPActRev4)))</f>
        <v>0</v>
      </c>
      <c r="K46" s="47">
        <f t="array" ref="K46">SUM(IF($A$46=BPActRevAccount,IF($D$46=BPActRevProduct,BPActRev5)))</f>
        <v>0</v>
      </c>
      <c r="L46" s="47">
        <f t="array" ref="L46">SUM(IF($A$46=BPActRevAccount,IF($D$46=BPActRevProduct,BPActRev6)))</f>
        <v>0</v>
      </c>
      <c r="M46" s="1366">
        <v>0</v>
      </c>
      <c r="N46" s="1366">
        <v>0</v>
      </c>
      <c r="O46" s="1366">
        <v>0</v>
      </c>
      <c r="P46" s="1366">
        <v>0</v>
      </c>
      <c r="Q46" s="1366">
        <v>0</v>
      </c>
      <c r="R46" s="1366">
        <v>0</v>
      </c>
    </row>
    <row r="47" spans="1:18">
      <c r="A47" s="1346">
        <v>448000</v>
      </c>
      <c r="B47" s="18" t="s">
        <v>2031</v>
      </c>
      <c r="D47" s="18" t="s">
        <v>529</v>
      </c>
      <c r="E47" s="18" t="s">
        <v>2229</v>
      </c>
      <c r="F47" s="1347">
        <f t="shared" si="0"/>
        <v>52074</v>
      </c>
      <c r="G47" s="47">
        <f t="array" ref="G47">SUM(IF($A$47=BPActRevAccount,IF($D$47=BPActRevProduct,BPActRev1)))</f>
        <v>2467</v>
      </c>
      <c r="H47" s="47">
        <f t="array" ref="H47">SUM(IF($A$47=BPActRevAccount,IF($D$47=BPActRevProduct,BPActRev2)))</f>
        <v>9022</v>
      </c>
      <c r="I47" s="47">
        <f t="array" ref="I47">SUM(IF($A$47=BPActRevAccount,IF($D$47=BPActRevProduct,BPActRev3)))</f>
        <v>11880</v>
      </c>
      <c r="J47" s="47">
        <f t="array" ref="J47">SUM(IF($A$47=BPActRevAccount,IF($D$47=BPActRevProduct,BPActRev4)))</f>
        <v>33871</v>
      </c>
      <c r="K47" s="47">
        <f t="array" ref="K47">SUM(IF($A$47=BPActRevAccount,IF($D$47=BPActRevProduct,BPActRev5)))</f>
        <v>-26351</v>
      </c>
      <c r="L47" s="47">
        <f t="array" ref="L47">SUM(IF($A$47=BPActRevAccount,IF($D$47=BPActRevProduct,BPActRev6)))</f>
        <v>2070</v>
      </c>
      <c r="M47" s="1366">
        <v>2989</v>
      </c>
      <c r="N47" s="1366">
        <v>4290</v>
      </c>
      <c r="O47" s="1366">
        <v>3891</v>
      </c>
      <c r="P47" s="1366">
        <v>1790</v>
      </c>
      <c r="Q47" s="1366">
        <v>1935</v>
      </c>
      <c r="R47" s="1366">
        <v>4220</v>
      </c>
    </row>
    <row r="48" spans="1:18">
      <c r="A48" s="1346">
        <v>449100</v>
      </c>
      <c r="B48" s="18" t="s">
        <v>2032</v>
      </c>
      <c r="D48" s="18" t="s">
        <v>529</v>
      </c>
      <c r="E48" s="18" t="s">
        <v>2229</v>
      </c>
      <c r="F48" s="1347">
        <f t="shared" si="0"/>
        <v>573260</v>
      </c>
      <c r="G48" s="47">
        <f t="array" ref="G48">SUM(IF($A$48=BPActRevAccount,IF($D$48=BPActRevProduct,BPActRev1)))</f>
        <v>-379172</v>
      </c>
      <c r="H48" s="47">
        <f t="array" ref="H48">SUM(IF($A$48=BPActRevAccount,IF($D$48=BPActRevProduct,BPActRev2)))</f>
        <v>93347</v>
      </c>
      <c r="I48" s="47">
        <f t="array" ref="I48">SUM(IF($A$48=BPActRevAccount,IF($D$48=BPActRevProduct,BPActRev3)))</f>
        <v>225359</v>
      </c>
      <c r="J48" s="47">
        <f t="array" ref="J48">SUM(IF($A$48=BPActRevAccount,IF($D$48=BPActRevProduct,BPActRev4)))</f>
        <v>-308596</v>
      </c>
      <c r="K48" s="47">
        <f t="array" ref="K48">SUM(IF($A$48=BPActRevAccount,IF($D$48=BPActRevProduct,BPActRev5)))</f>
        <v>257601</v>
      </c>
      <c r="L48" s="47">
        <f t="array" ref="L48">SUM(IF($A$48=BPActRevAccount,IF($D$48=BPActRevProduct,BPActRev6)))</f>
        <v>684721</v>
      </c>
      <c r="M48" s="1366">
        <v>0</v>
      </c>
      <c r="N48" s="1366">
        <v>0</v>
      </c>
      <c r="O48" s="1366">
        <v>0</v>
      </c>
      <c r="P48" s="1366">
        <v>0</v>
      </c>
      <c r="Q48" s="1366">
        <v>0</v>
      </c>
      <c r="R48" s="1366">
        <v>0</v>
      </c>
    </row>
    <row r="49" spans="1:18">
      <c r="A49" s="1346">
        <v>451100</v>
      </c>
      <c r="B49" s="18" t="s">
        <v>2033</v>
      </c>
      <c r="D49" s="18" t="s">
        <v>2230</v>
      </c>
      <c r="E49" s="18" t="s">
        <v>2231</v>
      </c>
      <c r="F49" s="1347">
        <f t="shared" si="0"/>
        <v>3410</v>
      </c>
      <c r="G49" s="47">
        <f t="array" ref="G49">SUM(IF($A$49=BPActRevAccount,IF($D$49=BPActRevProduct,BPActRev1)))</f>
        <v>550</v>
      </c>
      <c r="H49" s="47">
        <f t="array" ref="H49">SUM(IF($A$49=BPActRevAccount,IF($D$49=BPActRevProduct,BPActRev2)))</f>
        <v>550</v>
      </c>
      <c r="I49" s="47">
        <f t="array" ref="I49">SUM(IF($A$49=BPActRevAccount,IF($D$49=BPActRevProduct,BPActRev3)))</f>
        <v>565</v>
      </c>
      <c r="J49" s="47">
        <f t="array" ref="J49">SUM(IF($A$49=BPActRevAccount,IF($D$49=BPActRevProduct,BPActRev4)))</f>
        <v>587</v>
      </c>
      <c r="K49" s="47">
        <f t="array" ref="K49">SUM(IF($A$49=BPActRevAccount,IF($D$49=BPActRevProduct,BPActRev5)))</f>
        <v>572</v>
      </c>
      <c r="L49" s="47">
        <f t="array" ref="L49">SUM(IF($A$49=BPActRevAccount,IF($D$49=BPActRevProduct,BPActRev6)))</f>
        <v>586</v>
      </c>
      <c r="M49" s="1366">
        <v>0</v>
      </c>
      <c r="N49" s="1366">
        <v>0</v>
      </c>
      <c r="O49" s="1366">
        <v>0</v>
      </c>
      <c r="P49" s="1366">
        <v>0</v>
      </c>
      <c r="Q49" s="1366">
        <v>0</v>
      </c>
      <c r="R49" s="1366">
        <v>0</v>
      </c>
    </row>
    <row r="50" spans="1:18">
      <c r="A50" s="1346">
        <v>451100</v>
      </c>
      <c r="B50" s="18" t="s">
        <v>2033</v>
      </c>
      <c r="D50" s="18" t="s">
        <v>2232</v>
      </c>
      <c r="E50" s="18" t="s">
        <v>2233</v>
      </c>
      <c r="F50" s="1347">
        <f t="shared" si="0"/>
        <v>2733</v>
      </c>
      <c r="G50" s="47">
        <f t="array" ref="G50">SUM(IF($A$50=BPActRevAccount,IF($D$50=BPActRevProduct,BPActRev1)))</f>
        <v>8695</v>
      </c>
      <c r="H50" s="47">
        <f t="array" ref="H50">SUM(IF($A$50=BPActRevAccount,IF($D$50=BPActRevProduct,BPActRev2)))</f>
        <v>0</v>
      </c>
      <c r="I50" s="47">
        <f t="array" ref="I50">SUM(IF($A$50=BPActRevAccount,IF($D$50=BPActRevProduct,BPActRev3)))</f>
        <v>0</v>
      </c>
      <c r="J50" s="47">
        <f t="array" ref="J50">SUM(IF($A$50=BPActRevAccount,IF($D$50=BPActRevProduct,BPActRev4)))</f>
        <v>-5962</v>
      </c>
      <c r="K50" s="47">
        <f t="array" ref="K50">SUM(IF($A$50=BPActRevAccount,IF($D$50=BPActRevProduct,BPActRev5)))</f>
        <v>0</v>
      </c>
      <c r="L50" s="47">
        <f t="array" ref="L50">SUM(IF($A$50=BPActRevAccount,IF($D$50=BPActRevProduct,BPActRev6)))</f>
        <v>0</v>
      </c>
      <c r="M50" s="1366">
        <v>0</v>
      </c>
      <c r="N50" s="1366">
        <v>0</v>
      </c>
      <c r="O50" s="1366">
        <v>0</v>
      </c>
      <c r="P50" s="1366">
        <v>0</v>
      </c>
      <c r="Q50" s="1366">
        <v>0</v>
      </c>
      <c r="R50" s="1366">
        <v>0</v>
      </c>
    </row>
    <row r="51" spans="1:18">
      <c r="A51" s="1346">
        <v>451100</v>
      </c>
      <c r="B51" s="18" t="s">
        <v>2033</v>
      </c>
      <c r="D51" s="18" t="s">
        <v>2234</v>
      </c>
      <c r="E51" s="18" t="s">
        <v>2235</v>
      </c>
      <c r="F51" s="1347">
        <f t="shared" si="0"/>
        <v>45737</v>
      </c>
      <c r="G51" s="47">
        <f t="array" ref="G51">SUM(IF($A$51=BPActRevAccount,IF($D$51=BPActRevProduct,BPActRev1)))</f>
        <v>6621</v>
      </c>
      <c r="H51" s="47">
        <f t="array" ref="H51">SUM(IF($A$51=BPActRevAccount,IF($D$51=BPActRevProduct,BPActRev2)))</f>
        <v>7466</v>
      </c>
      <c r="I51" s="47">
        <f t="array" ref="I51">SUM(IF($A$51=BPActRevAccount,IF($D$51=BPActRevProduct,BPActRev3)))</f>
        <v>6737</v>
      </c>
      <c r="J51" s="47">
        <f t="array" ref="J51">SUM(IF($A$51=BPActRevAccount,IF($D$51=BPActRevProduct,BPActRev4)))</f>
        <v>7513</v>
      </c>
      <c r="K51" s="47">
        <f t="array" ref="K51">SUM(IF($A$51=BPActRevAccount,IF($D$51=BPActRevProduct,BPActRev5)))</f>
        <v>7901</v>
      </c>
      <c r="L51" s="47">
        <f t="array" ref="L51">SUM(IF($A$51=BPActRevAccount,IF($D$51=BPActRevProduct,BPActRev6)))</f>
        <v>9499</v>
      </c>
      <c r="M51" s="1366">
        <v>0</v>
      </c>
      <c r="N51" s="1366">
        <v>0</v>
      </c>
      <c r="O51" s="1366">
        <v>0</v>
      </c>
      <c r="P51" s="1366">
        <v>0</v>
      </c>
      <c r="Q51" s="1366">
        <v>0</v>
      </c>
      <c r="R51" s="1366">
        <v>0</v>
      </c>
    </row>
    <row r="52" spans="1:18">
      <c r="A52" s="1346">
        <v>451100</v>
      </c>
      <c r="B52" s="18" t="s">
        <v>2033</v>
      </c>
      <c r="D52" s="18" t="s">
        <v>2236</v>
      </c>
      <c r="E52" s="18" t="s">
        <v>2237</v>
      </c>
      <c r="F52" s="1347">
        <f t="shared" si="0"/>
        <v>232561</v>
      </c>
      <c r="G52" s="47">
        <f t="array" ref="G52">SUM(IF($A$52=BPActRevAccount,IF($D$52=BPActRevProduct,BPActRev1)))</f>
        <v>10337</v>
      </c>
      <c r="H52" s="47">
        <f t="array" ref="H52">SUM(IF($A$52=BPActRevAccount,IF($D$52=BPActRevProduct,BPActRev2)))</f>
        <v>11463</v>
      </c>
      <c r="I52" s="47">
        <f t="array" ref="I52">SUM(IF($A$52=BPActRevAccount,IF($D$52=BPActRevProduct,BPActRev3)))</f>
        <v>11553</v>
      </c>
      <c r="J52" s="47">
        <f t="array" ref="J52">SUM(IF($A$52=BPActRevAccount,IF($D$52=BPActRevProduct,BPActRev4)))</f>
        <v>16282</v>
      </c>
      <c r="K52" s="47">
        <f t="array" ref="K52">SUM(IF($A$52=BPActRevAccount,IF($D$52=BPActRevProduct,BPActRev5)))</f>
        <v>14696</v>
      </c>
      <c r="L52" s="47">
        <f t="array" ref="L52">SUM(IF($A$52=BPActRevAccount,IF($D$52=BPActRevProduct,BPActRev6)))</f>
        <v>19478</v>
      </c>
      <c r="M52" s="1366">
        <v>24792</v>
      </c>
      <c r="N52" s="1366">
        <v>24792</v>
      </c>
      <c r="O52" s="1366">
        <v>24792</v>
      </c>
      <c r="P52" s="1366">
        <v>24792</v>
      </c>
      <c r="Q52" s="1366">
        <v>24792</v>
      </c>
      <c r="R52" s="1366">
        <v>24792</v>
      </c>
    </row>
    <row r="53" spans="1:18">
      <c r="A53" s="1346">
        <v>453625</v>
      </c>
      <c r="B53" s="18" t="s">
        <v>2544</v>
      </c>
      <c r="E53" s="18" t="s">
        <v>2229</v>
      </c>
      <c r="F53" s="1347">
        <f t="shared" si="0"/>
        <v>114457</v>
      </c>
      <c r="G53" s="47">
        <f t="array" ref="G53">SUM(IF($A$53=BPActRevAccount,IF($D$53=BPActRevProduct,BPActRev1)))</f>
        <v>85000</v>
      </c>
      <c r="H53" s="47">
        <f t="array" ref="H53">SUM(IF($A$53=BPActRevAccount,IF($D$53=BPActRevProduct,BPActRev2)))</f>
        <v>9819</v>
      </c>
      <c r="I53" s="47">
        <f t="array" ref="I53">SUM(IF($A$53=BPActRevAccount,IF($D$53=BPActRevProduct,BPActRev3)))</f>
        <v>9819</v>
      </c>
      <c r="J53" s="47">
        <f t="array" ref="J53">SUM(IF($A$53=BPActRevAccount,IF($D$53=BPActRevProduct,BPActRev4)))</f>
        <v>9819</v>
      </c>
      <c r="K53" s="47">
        <f t="array" ref="K53">SUM(IF($A$53=BPActRevAccount,IF($D$53=BPActRevProduct,BPActRev5)))</f>
        <v>0</v>
      </c>
      <c r="L53" s="47">
        <f t="array" ref="L53">SUM(IF($A$53=BPActRevAccount,IF($D$53=BPActRevProduct,BPActRev6)))</f>
        <v>0</v>
      </c>
      <c r="M53" s="1366">
        <v>0</v>
      </c>
      <c r="N53" s="1366">
        <v>0</v>
      </c>
      <c r="O53" s="1366">
        <v>0</v>
      </c>
      <c r="P53" s="1366">
        <v>0</v>
      </c>
      <c r="Q53" s="1366">
        <v>0</v>
      </c>
      <c r="R53" s="1366">
        <v>0</v>
      </c>
    </row>
    <row r="54" spans="1:18">
      <c r="A54" s="1346">
        <v>454200</v>
      </c>
      <c r="B54" s="18" t="s">
        <v>2034</v>
      </c>
      <c r="D54" s="18" t="s">
        <v>529</v>
      </c>
      <c r="E54" s="18" t="s">
        <v>2229</v>
      </c>
      <c r="F54" s="1347">
        <f t="shared" si="0"/>
        <v>117775</v>
      </c>
      <c r="G54" s="47">
        <f t="array" ref="G54">SUM(IF($A$54=BPActRevAccount,IF($D$54=BPActRevProduct,BPActRev1)))</f>
        <v>0</v>
      </c>
      <c r="H54" s="47">
        <f t="array" ref="H54">SUM(IF($A$54=BPActRevAccount,IF($D$54=BPActRevProduct,BPActRev2)))</f>
        <v>32539</v>
      </c>
      <c r="I54" s="47">
        <f t="array" ref="I54">SUM(IF($A$54=BPActRevAccount,IF($D$54=BPActRevProduct,BPActRev3)))</f>
        <v>0</v>
      </c>
      <c r="J54" s="47">
        <f t="array" ref="J54">SUM(IF($A$54=BPActRevAccount,IF($D$54=BPActRevProduct,BPActRev4)))</f>
        <v>36</v>
      </c>
      <c r="K54" s="47">
        <f t="array" ref="K54">SUM(IF($A$54=BPActRevAccount,IF($D$54=BPActRevProduct,BPActRev5)))</f>
        <v>85</v>
      </c>
      <c r="L54" s="47">
        <f t="array" ref="L54">SUM(IF($A$54=BPActRevAccount,IF($D$54=BPActRevProduct,BPActRev6)))</f>
        <v>113</v>
      </c>
      <c r="M54" s="1366">
        <v>14167</v>
      </c>
      <c r="N54" s="1366">
        <v>14167</v>
      </c>
      <c r="O54" s="1366">
        <v>14167</v>
      </c>
      <c r="P54" s="1366">
        <v>14167</v>
      </c>
      <c r="Q54" s="1366">
        <v>14167</v>
      </c>
      <c r="R54" s="1366">
        <v>14167</v>
      </c>
    </row>
    <row r="55" spans="1:18">
      <c r="A55" s="1346">
        <v>454300</v>
      </c>
      <c r="B55" s="18" t="s">
        <v>2035</v>
      </c>
      <c r="D55" s="18" t="s">
        <v>529</v>
      </c>
      <c r="E55" s="18" t="s">
        <v>2229</v>
      </c>
      <c r="F55" s="1347">
        <f t="shared" si="0"/>
        <v>1155</v>
      </c>
      <c r="G55" s="47">
        <f t="array" ref="G55">SUM(IF($A$55=BPActRevAccount,IF($D$55=BPActRevProduct,BPActRev1)))</f>
        <v>231</v>
      </c>
      <c r="H55" s="47">
        <f t="array" ref="H55">SUM(IF($A$55=BPActRevAccount,IF($D$55=BPActRevProduct,BPActRev2)))</f>
        <v>231</v>
      </c>
      <c r="I55" s="47">
        <f t="array" ref="I55">SUM(IF($A$55=BPActRevAccount,IF($D$55=BPActRevProduct,BPActRev3)))</f>
        <v>231</v>
      </c>
      <c r="J55" s="47">
        <f t="array" ref="J55">SUM(IF($A$55=BPActRevAccount,IF($D$55=BPActRevProduct,BPActRev4)))</f>
        <v>0</v>
      </c>
      <c r="K55" s="47">
        <f t="array" ref="K55">SUM(IF($A$55=BPActRevAccount,IF($D$55=BPActRevProduct,BPActRev5)))</f>
        <v>231</v>
      </c>
      <c r="L55" s="47">
        <f t="array" ref="L55">SUM(IF($A$55=BPActRevAccount,IF($D$55=BPActRevProduct,BPActRev6)))</f>
        <v>231</v>
      </c>
      <c r="M55" s="1366">
        <v>0</v>
      </c>
      <c r="N55" s="1366">
        <v>0</v>
      </c>
      <c r="O55" s="1366">
        <v>0</v>
      </c>
      <c r="P55" s="1366">
        <v>0</v>
      </c>
      <c r="Q55" s="1366">
        <v>0</v>
      </c>
      <c r="R55" s="1366">
        <v>0</v>
      </c>
    </row>
    <row r="56" spans="1:18">
      <c r="A56" s="1346">
        <v>454400</v>
      </c>
      <c r="B56" s="18" t="s">
        <v>2036</v>
      </c>
      <c r="D56" s="18" t="s">
        <v>529</v>
      </c>
      <c r="E56" s="18" t="s">
        <v>2229</v>
      </c>
      <c r="F56" s="1347">
        <f t="shared" si="0"/>
        <v>680342</v>
      </c>
      <c r="G56" s="47">
        <f t="array" ref="G56">SUM(IF($A$56=BPActRevAccount,IF($D$56=BPActRevProduct,BPActRev1)))</f>
        <v>32503</v>
      </c>
      <c r="H56" s="47">
        <f t="array" ref="H56">SUM(IF($A$56=BPActRevAccount,IF($D$56=BPActRevProduct,BPActRev2)))</f>
        <v>80504</v>
      </c>
      <c r="I56" s="47">
        <f t="array" ref="I56">SUM(IF($A$56=BPActRevAccount,IF($D$56=BPActRevProduct,BPActRev3)))</f>
        <v>66175</v>
      </c>
      <c r="J56" s="47">
        <f t="array" ref="J56">SUM(IF($A$56=BPActRevAccount,IF($D$56=BPActRevProduct,BPActRev4)))</f>
        <v>73505</v>
      </c>
      <c r="K56" s="47">
        <f t="array" ref="K56">SUM(IF($A$56=BPActRevAccount,IF($D$56=BPActRevProduct,BPActRev5)))</f>
        <v>73073</v>
      </c>
      <c r="L56" s="47">
        <f t="array" ref="L56">SUM(IF($A$56=BPActRevAccount,IF($D$56=BPActRevProduct,BPActRev6)))</f>
        <v>75582</v>
      </c>
      <c r="M56" s="1366">
        <v>46500</v>
      </c>
      <c r="N56" s="1366">
        <v>46500</v>
      </c>
      <c r="O56" s="1366">
        <v>46500</v>
      </c>
      <c r="P56" s="1366">
        <v>46500</v>
      </c>
      <c r="Q56" s="1366">
        <v>46500</v>
      </c>
      <c r="R56" s="1366">
        <v>46500</v>
      </c>
    </row>
    <row r="57" spans="1:18">
      <c r="A57" s="1346">
        <v>454400</v>
      </c>
      <c r="B57" s="18" t="s">
        <v>2036</v>
      </c>
      <c r="D57" s="18" t="s">
        <v>2428</v>
      </c>
      <c r="E57" s="18" t="s">
        <v>2428</v>
      </c>
      <c r="F57" s="1347">
        <f t="shared" si="0"/>
        <v>250002</v>
      </c>
      <c r="G57" s="47"/>
      <c r="H57" s="47"/>
      <c r="I57" s="47"/>
      <c r="J57" s="47"/>
      <c r="K57" s="47"/>
      <c r="L57" s="47"/>
      <c r="M57" s="1366">
        <v>41667</v>
      </c>
      <c r="N57" s="1366">
        <v>41667</v>
      </c>
      <c r="O57" s="1366">
        <v>41667</v>
      </c>
      <c r="P57" s="1366">
        <v>41667</v>
      </c>
      <c r="Q57" s="1366">
        <v>41667</v>
      </c>
      <c r="R57" s="1366">
        <v>41667</v>
      </c>
    </row>
    <row r="58" spans="1:18">
      <c r="A58" s="1346">
        <v>454601</v>
      </c>
      <c r="B58" s="45" t="s">
        <v>2605</v>
      </c>
      <c r="F58" s="1347">
        <f t="shared" si="0"/>
        <v>0</v>
      </c>
      <c r="G58" s="47"/>
      <c r="H58" s="47"/>
      <c r="I58" s="47"/>
      <c r="J58" s="47"/>
      <c r="K58" s="47"/>
      <c r="L58" s="47"/>
      <c r="M58" s="1366"/>
      <c r="N58" s="1366"/>
      <c r="O58" s="1366"/>
      <c r="P58" s="1366"/>
      <c r="Q58" s="1366"/>
      <c r="R58" s="1366"/>
    </row>
    <row r="59" spans="1:18">
      <c r="A59" s="1346">
        <v>456025</v>
      </c>
      <c r="B59" s="18" t="s">
        <v>2037</v>
      </c>
      <c r="D59" s="18" t="s">
        <v>529</v>
      </c>
      <c r="E59" s="18" t="s">
        <v>2229</v>
      </c>
      <c r="F59" s="1347">
        <f t="shared" si="0"/>
        <v>534671</v>
      </c>
      <c r="G59" s="47">
        <f t="array" ref="G59">SUM(IF($A$59=BPActRevAccount,IF($D$59=BPActRevProduct,BPActRev1)))</f>
        <v>66722</v>
      </c>
      <c r="H59" s="47">
        <f t="array" ref="H59">SUM(IF($A$59=BPActRevAccount,IF($D$59=BPActRevProduct,BPActRev2)))</f>
        <v>172028</v>
      </c>
      <c r="I59" s="47">
        <f t="array" ref="I59">SUM(IF($A$59=BPActRevAccount,IF($D$59=BPActRevProduct,BPActRev3)))</f>
        <v>20831</v>
      </c>
      <c r="J59" s="47">
        <f t="array" ref="J59">SUM(IF($A$59=BPActRevAccount,IF($D$59=BPActRevProduct,BPActRev4)))</f>
        <v>222875</v>
      </c>
      <c r="K59" s="47">
        <f t="array" ref="K59">SUM(IF($A$59=BPActRevAccount,IF($D$59=BPActRevProduct,BPActRev5)))</f>
        <v>20</v>
      </c>
      <c r="L59" s="47">
        <f t="array" ref="L59">SUM(IF($A$59=BPActRevAccount,IF($D$59=BPActRevProduct,BPActRev6)))</f>
        <v>52195</v>
      </c>
      <c r="M59" s="1366">
        <v>0</v>
      </c>
      <c r="N59" s="1366">
        <v>0</v>
      </c>
      <c r="O59" s="1366">
        <v>0</v>
      </c>
      <c r="P59" s="1366">
        <v>0</v>
      </c>
      <c r="Q59" s="1366">
        <v>0</v>
      </c>
      <c r="R59" s="1366">
        <v>0</v>
      </c>
    </row>
    <row r="60" spans="1:18">
      <c r="A60" s="1346">
        <v>456040</v>
      </c>
      <c r="B60" s="18" t="s">
        <v>2038</v>
      </c>
      <c r="D60" s="18" t="s">
        <v>529</v>
      </c>
      <c r="E60" s="18" t="s">
        <v>2229</v>
      </c>
      <c r="F60" s="1347">
        <f t="shared" si="0"/>
        <v>300</v>
      </c>
      <c r="G60" s="47">
        <f t="array" ref="G60">SUM(IF($A$60=BPActRevAccount,IF($D$60=BPActRevProduct,BPActRev1)))</f>
        <v>50</v>
      </c>
      <c r="H60" s="47">
        <f t="array" ref="H60">SUM(IF($A$60=BPActRevAccount,IF($D$60=BPActRevProduct,BPActRev2)))</f>
        <v>50</v>
      </c>
      <c r="I60" s="47">
        <f t="array" ref="I60">SUM(IF($A$60=BPActRevAccount,IF($D$60=BPActRevProduct,BPActRev3)))</f>
        <v>50</v>
      </c>
      <c r="J60" s="47">
        <f t="array" ref="J60">SUM(IF($A$60=BPActRevAccount,IF($D$60=BPActRevProduct,BPActRev4)))</f>
        <v>50</v>
      </c>
      <c r="K60" s="47">
        <f t="array" ref="K60">SUM(IF($A$60=BPActRevAccount,IF($D$60=BPActRevProduct,BPActRev5)))</f>
        <v>50</v>
      </c>
      <c r="L60" s="47">
        <f t="array" ref="L60">SUM(IF($A$60=BPActRevAccount,IF($D$60=BPActRevProduct,BPActRev6)))</f>
        <v>50</v>
      </c>
      <c r="M60" s="1366">
        <v>0</v>
      </c>
      <c r="N60" s="1366">
        <v>0</v>
      </c>
      <c r="O60" s="1366">
        <v>0</v>
      </c>
      <c r="P60" s="1366">
        <v>0</v>
      </c>
      <c r="Q60" s="1366">
        <v>0</v>
      </c>
      <c r="R60" s="1366">
        <v>0</v>
      </c>
    </row>
    <row r="61" spans="1:18">
      <c r="A61" s="1346">
        <v>456075</v>
      </c>
      <c r="B61" s="18" t="s">
        <v>2387</v>
      </c>
      <c r="D61" s="18" t="s">
        <v>529</v>
      </c>
      <c r="E61" s="18" t="s">
        <v>2229</v>
      </c>
      <c r="F61" s="1347">
        <f t="shared" si="0"/>
        <v>0</v>
      </c>
      <c r="G61" s="47">
        <f t="array" ref="G61">SUM(IF($A$61=BPActRevAccount,IF($D$61=BPActRevProduct,BPActRev1)))</f>
        <v>0</v>
      </c>
      <c r="H61" s="47">
        <f t="array" ref="H61">SUM(IF($A$61=BPActRevAccount,IF($D$61=BPActRevProduct,BPActRev2)))</f>
        <v>0</v>
      </c>
      <c r="I61" s="47">
        <f t="array" ref="I61">SUM(IF($A$61=BPActRevAccount,IF($D$61=BPActRevProduct,BPActRev3)))</f>
        <v>0</v>
      </c>
      <c r="J61" s="47">
        <f t="array" ref="J61">SUM(IF($A$61=BPActRevAccount,IF($D$61=BPActRevProduct,BPActRev4)))</f>
        <v>0</v>
      </c>
      <c r="K61" s="47">
        <f t="array" ref="K61">SUM(IF($A$61=BPActRevAccount,IF($D$61=BPActRevProduct,BPActRev5)))</f>
        <v>0</v>
      </c>
      <c r="L61" s="47">
        <f t="array" ref="L61">SUM(IF($A$61=BPActRevAccount,IF($D$61=BPActRevProduct,BPActRev6)))</f>
        <v>0</v>
      </c>
      <c r="M61" s="1366">
        <v>0</v>
      </c>
      <c r="N61" s="1366">
        <v>0</v>
      </c>
      <c r="O61" s="1366">
        <v>0</v>
      </c>
      <c r="P61" s="1366">
        <v>0</v>
      </c>
      <c r="Q61" s="1366">
        <v>0</v>
      </c>
      <c r="R61" s="1366">
        <v>0</v>
      </c>
    </row>
    <row r="62" spans="1:18">
      <c r="A62" s="1346">
        <v>456110</v>
      </c>
      <c r="B62" s="18" t="s">
        <v>2039</v>
      </c>
      <c r="D62" s="18" t="s">
        <v>529</v>
      </c>
      <c r="E62" s="18" t="s">
        <v>2229</v>
      </c>
      <c r="F62" s="1347">
        <f t="shared" si="0"/>
        <v>102595</v>
      </c>
      <c r="G62" s="47">
        <f t="array" ref="G62">SUM(IF($A$62=BPActRevAccount,IF($D$62=BPActRevProduct,BPActRev1)))</f>
        <v>5041</v>
      </c>
      <c r="H62" s="47">
        <f t="array" ref="H62">SUM(IF($A$62=BPActRevAccount,IF($D$62=BPActRevProduct,BPActRev2)))</f>
        <v>5369</v>
      </c>
      <c r="I62" s="47">
        <f t="array" ref="I62">SUM(IF($A$62=BPActRevAccount,IF($D$62=BPActRevProduct,BPActRev3)))</f>
        <v>6684</v>
      </c>
      <c r="J62" s="47">
        <f t="array" ref="J62">SUM(IF($A$62=BPActRevAccount,IF($D$62=BPActRevProduct,BPActRev4)))</f>
        <v>4763</v>
      </c>
      <c r="K62" s="47">
        <f t="array" ref="K62">SUM(IF($A$62=BPActRevAccount,IF($D$62=BPActRevProduct,BPActRev5)))</f>
        <v>3621</v>
      </c>
      <c r="L62" s="47">
        <f t="array" ref="L62">SUM(IF($A$62=BPActRevAccount,IF($D$62=BPActRevProduct,BPActRev6)))</f>
        <v>4619</v>
      </c>
      <c r="M62" s="1366">
        <v>12083</v>
      </c>
      <c r="N62" s="1366">
        <v>12083</v>
      </c>
      <c r="O62" s="1366">
        <v>12083</v>
      </c>
      <c r="P62" s="1366">
        <v>12083</v>
      </c>
      <c r="Q62" s="1366">
        <v>12083</v>
      </c>
      <c r="R62" s="1366">
        <v>12083</v>
      </c>
    </row>
    <row r="63" spans="1:18">
      <c r="A63" s="1346">
        <v>456111</v>
      </c>
      <c r="B63" s="18" t="s">
        <v>2040</v>
      </c>
      <c r="D63" s="18" t="s">
        <v>2238</v>
      </c>
      <c r="E63" s="18" t="s">
        <v>2239</v>
      </c>
      <c r="F63" s="1347">
        <f t="shared" si="0"/>
        <v>1802840</v>
      </c>
      <c r="G63" s="47">
        <f t="array" ref="G63">SUM(IF($A$63=BPActRevAccount,IF($D$63=BPActRevProduct,BPActRev1)))</f>
        <v>304346</v>
      </c>
      <c r="H63" s="47">
        <f t="array" ref="H63">SUM(IF($A$63=BPActRevAccount,IF($D$63=BPActRevProduct,BPActRev2)))</f>
        <v>60201</v>
      </c>
      <c r="I63" s="47">
        <f t="array" ref="I63">SUM(IF($A$63=BPActRevAccount,IF($D$63=BPActRevProduct,BPActRev3)))</f>
        <v>-3379</v>
      </c>
      <c r="J63" s="47">
        <f t="array" ref="J63">SUM(IF($A$63=BPActRevAccount,IF($D$63=BPActRevProduct,BPActRev4)))</f>
        <v>-552</v>
      </c>
      <c r="K63" s="47">
        <f t="array" ref="K63">SUM(IF($A$63=BPActRevAccount,IF($D$63=BPActRevProduct,BPActRev5)))</f>
        <v>-43274</v>
      </c>
      <c r="L63" s="47">
        <f t="array" ref="L63">SUM(IF($A$63=BPActRevAccount,IF($D$63=BPActRevProduct,BPActRev6)))</f>
        <v>121038</v>
      </c>
      <c r="M63" s="1366">
        <v>227410</v>
      </c>
      <c r="N63" s="1366">
        <v>227410</v>
      </c>
      <c r="O63" s="1366">
        <v>227410</v>
      </c>
      <c r="P63" s="1366">
        <v>227410</v>
      </c>
      <c r="Q63" s="1366">
        <v>227410</v>
      </c>
      <c r="R63" s="1366">
        <v>227410</v>
      </c>
    </row>
    <row r="64" spans="1:18">
      <c r="A64" s="1346">
        <v>456610</v>
      </c>
      <c r="B64" s="18" t="s">
        <v>733</v>
      </c>
      <c r="D64" s="18" t="s">
        <v>1498</v>
      </c>
      <c r="E64" s="18" t="s">
        <v>2455</v>
      </c>
      <c r="F64" s="1347">
        <f>SUM(G64:R64)</f>
        <v>15633</v>
      </c>
      <c r="G64" s="47">
        <f t="array" ref="G64">SUM(IF($A$64=BPActRevAccount,IF($D$64=BPActRevProduct,BPActRev1)))</f>
        <v>0</v>
      </c>
      <c r="H64" s="47">
        <f t="array" ref="H64">SUM(IF($A$64=BPActRevAccount,IF($D$64=BPActRevProduct,BPActRev2)))</f>
        <v>15633</v>
      </c>
      <c r="I64" s="47">
        <f t="array" ref="I64">SUM(IF($A$64=BPActRevAccount,IF($D$64=BPActRevProduct,BPActRev3)))</f>
        <v>0</v>
      </c>
      <c r="J64" s="47">
        <f t="array" ref="J64">SUM(IF($A$64=BPActRevAccount,IF($D$64=BPActRevProduct,BPActRev4)))</f>
        <v>0</v>
      </c>
      <c r="K64" s="47">
        <f t="array" ref="K64">SUM(IF($A$64=BPActRevAccount,IF($D$64=BPActRevProduct,BPActRev5)))</f>
        <v>0</v>
      </c>
      <c r="L64" s="47">
        <f t="array" ref="L64">SUM(IF($A$64=BPActRevAccount,IF($D$64=BPActRevProduct,BPActRev6)))</f>
        <v>0</v>
      </c>
      <c r="M64" s="1366">
        <v>0</v>
      </c>
      <c r="N64" s="1366">
        <v>0</v>
      </c>
      <c r="O64" s="1366">
        <v>0</v>
      </c>
      <c r="P64" s="1366">
        <v>0</v>
      </c>
      <c r="Q64" s="1366">
        <v>0</v>
      </c>
      <c r="R64" s="1366">
        <v>0</v>
      </c>
    </row>
    <row r="65" spans="1:18">
      <c r="A65" s="1346">
        <v>456970</v>
      </c>
      <c r="B65" s="18" t="s">
        <v>2041</v>
      </c>
      <c r="D65" s="18" t="s">
        <v>529</v>
      </c>
      <c r="E65" s="18" t="s">
        <v>2229</v>
      </c>
      <c r="F65" s="1347">
        <f t="shared" si="0"/>
        <v>42241</v>
      </c>
      <c r="G65" s="47">
        <f t="array" ref="G65">SUM(IF($A$65=BPActRevAccount,IF($D$65=BPActRevProduct,BPActRev1)))</f>
        <v>4447</v>
      </c>
      <c r="H65" s="47">
        <f t="array" ref="H65">SUM(IF($A$65=BPActRevAccount,IF($D$65=BPActRevProduct,BPActRev2)))</f>
        <v>5764</v>
      </c>
      <c r="I65" s="47">
        <f t="array" ref="I65">SUM(IF($A$65=BPActRevAccount,IF($D$65=BPActRevProduct,BPActRev3)))</f>
        <v>5591</v>
      </c>
      <c r="J65" s="47">
        <f t="array" ref="J65">SUM(IF($A$65=BPActRevAccount,IF($D$65=BPActRevProduct,BPActRev4)))</f>
        <v>4961</v>
      </c>
      <c r="K65" s="47">
        <f t="array" ref="K65">SUM(IF($A$65=BPActRevAccount,IF($D$65=BPActRevProduct,BPActRev5)))</f>
        <v>5195</v>
      </c>
      <c r="L65" s="47">
        <f t="array" ref="L65">SUM(IF($A$65=BPActRevAccount,IF($D$65=BPActRevProduct,BPActRev6)))</f>
        <v>4031</v>
      </c>
      <c r="M65" s="1366">
        <v>2042</v>
      </c>
      <c r="N65" s="1366">
        <v>2042</v>
      </c>
      <c r="O65" s="1366">
        <v>2042</v>
      </c>
      <c r="P65" s="1366">
        <v>2042</v>
      </c>
      <c r="Q65" s="1366">
        <v>2042</v>
      </c>
      <c r="R65" s="1366">
        <v>2042</v>
      </c>
    </row>
    <row r="66" spans="1:18">
      <c r="A66" s="1371">
        <v>457100</v>
      </c>
      <c r="B66" s="18" t="s">
        <v>2542</v>
      </c>
      <c r="C66" s="18" t="s">
        <v>529</v>
      </c>
      <c r="D66" s="18" t="s">
        <v>529</v>
      </c>
      <c r="E66" s="18" t="s">
        <v>2229</v>
      </c>
      <c r="F66" s="1347">
        <f>SUM(G66:R66)</f>
        <v>0</v>
      </c>
      <c r="G66" s="47">
        <f t="array" ref="G66">SUM(IF($A$66=BPActRevAccount,IF($D$66=BPActRevProduct,BPActRev1)))</f>
        <v>0</v>
      </c>
      <c r="H66" s="47">
        <f t="array" ref="H66">SUM(IF($A$66=BPActRevAccount,IF($D$66=BPActRevProduct,BPActRev2)))</f>
        <v>0</v>
      </c>
      <c r="I66" s="47">
        <f t="array" ref="I66">SUM(IF($A$66=BPActRevAccount,IF($D$66=BPActRevProduct,BPActRev3)))</f>
        <v>0</v>
      </c>
      <c r="J66" s="47">
        <f t="array" ref="J66">SUM(IF($A$66=BPActRevAccount,IF($D$66=BPActRevProduct,BPActRev4)))</f>
        <v>0</v>
      </c>
      <c r="K66" s="47">
        <f t="array" ref="K66">SUM(IF($A$66=BPActRevAccount,IF($D$66=BPActRevProduct,BPActRev5)))</f>
        <v>0</v>
      </c>
      <c r="L66" s="47">
        <f t="array" ref="L66">SUM(IF($A$66=BPActRevAccount,IF($D$66=BPActRevProduct,BPActRev6)))</f>
        <v>0</v>
      </c>
      <c r="M66" s="1366">
        <v>0</v>
      </c>
      <c r="N66" s="1366">
        <v>0</v>
      </c>
      <c r="O66" s="1366">
        <v>0</v>
      </c>
      <c r="P66" s="1366">
        <v>0</v>
      </c>
      <c r="Q66" s="1366">
        <v>0</v>
      </c>
      <c r="R66" s="1366">
        <v>0</v>
      </c>
    </row>
    <row r="67" spans="1:18" ht="13.15" customHeight="1">
      <c r="A67" s="1371">
        <v>457105</v>
      </c>
      <c r="B67" s="18" t="s">
        <v>2667</v>
      </c>
      <c r="D67" s="18" t="s">
        <v>529</v>
      </c>
      <c r="E67" s="18" t="s">
        <v>2229</v>
      </c>
      <c r="F67" s="1347">
        <f>SUM(G67:R67)</f>
        <v>94011</v>
      </c>
      <c r="G67" s="47">
        <f t="array" ref="G67">SUM(IF($A$67=BPActRevAccount,IF($D$67=BPActRevProduct,BPActRev1)))</f>
        <v>0</v>
      </c>
      <c r="H67" s="47">
        <f t="array" ref="H67">SUM(IF($A$67=BPActRevAccount,IF($D$67=BPActRevProduct,BPActRev2)))</f>
        <v>0</v>
      </c>
      <c r="I67" s="47">
        <f t="array" ref="I67">SUM(IF($A$67=BPActRevAccount,IF($D$67=BPActRevProduct,BPActRev3)))</f>
        <v>65634</v>
      </c>
      <c r="J67" s="47">
        <f t="array" ref="J67">SUM(IF($A$67=BPActRevAccount,IF($D$67=BPActRevProduct,BPActRev4)))</f>
        <v>13301</v>
      </c>
      <c r="K67" s="47">
        <f t="array" ref="K67">SUM(IF($A$67=BPActRevAccount,IF($D$67=BPActRevProduct,BPActRev5)))</f>
        <v>-2</v>
      </c>
      <c r="L67" s="47">
        <f t="array" ref="L67">SUM(IF($A$67=BPActRevAccount,IF($D$67=BPActRevProduct,BPActRev6)))</f>
        <v>15078</v>
      </c>
      <c r="M67" s="1366"/>
      <c r="N67" s="1366"/>
      <c r="O67" s="1366"/>
      <c r="P67" s="1366"/>
      <c r="Q67" s="1366"/>
      <c r="R67" s="1366"/>
    </row>
    <row r="68" spans="1:18">
      <c r="A68" s="1371">
        <v>457204</v>
      </c>
      <c r="B68" s="18" t="s">
        <v>2545</v>
      </c>
      <c r="C68" s="18" t="s">
        <v>529</v>
      </c>
      <c r="D68" s="18" t="s">
        <v>529</v>
      </c>
      <c r="E68" s="18" t="s">
        <v>2229</v>
      </c>
      <c r="F68" s="1347">
        <f>SUM(G68:R68)</f>
        <v>2036810</v>
      </c>
      <c r="G68" s="47">
        <f t="array" ref="G68">SUM(IF($A$68=BPActRevAccount,IF($D$68=BPActRevProduct,BPActRev1)))</f>
        <v>1100470</v>
      </c>
      <c r="H68" s="47">
        <f t="array" ref="H68">SUM(IF($A$68=BPActRevAccount,IF($D$68=BPActRevProduct,BPActRev2)))</f>
        <v>24057</v>
      </c>
      <c r="I68" s="47">
        <f t="array" ref="I68">SUM(IF($A$68=BPActRevAccount,IF($D$68=BPActRevProduct,BPActRev3)))</f>
        <v>-45057</v>
      </c>
      <c r="J68" s="47">
        <f t="array" ref="J68">SUM(IF($A$68=BPActRevAccount,IF($D$68=BPActRevProduct,BPActRev4)))</f>
        <v>622802</v>
      </c>
      <c r="K68" s="47">
        <f t="array" ref="K68">SUM(IF($A$68=BPActRevAccount,IF($D$68=BPActRevProduct,BPActRev5)))</f>
        <v>177769</v>
      </c>
      <c r="L68" s="47">
        <f t="array" ref="L68">SUM(IF($A$68=BPActRevAccount,IF($D$68=BPActRevProduct,BPActRev6)))</f>
        <v>156769</v>
      </c>
      <c r="M68" s="1366">
        <v>0</v>
      </c>
      <c r="N68" s="1366">
        <v>0</v>
      </c>
      <c r="O68" s="1366">
        <v>0</v>
      </c>
      <c r="P68" s="1366">
        <v>0</v>
      </c>
      <c r="Q68" s="1366">
        <v>0</v>
      </c>
      <c r="R68" s="1366">
        <v>0</v>
      </c>
    </row>
    <row r="69" spans="1:18">
      <c r="F69" s="1347"/>
      <c r="G69" s="1347"/>
      <c r="H69" s="1347"/>
      <c r="I69" s="1347"/>
      <c r="J69" s="1347"/>
      <c r="K69" s="1347"/>
      <c r="L69" s="1347"/>
      <c r="M69" s="1347"/>
      <c r="N69" s="1347"/>
      <c r="O69" s="1347"/>
      <c r="P69" s="1347"/>
      <c r="Q69" s="1347"/>
      <c r="R69" s="1347"/>
    </row>
    <row r="70" spans="1:18">
      <c r="F70" s="1347">
        <f t="shared" ref="F70:R70" si="1">SUM(F12:F68)</f>
        <v>326452338</v>
      </c>
      <c r="G70" s="1347">
        <f t="shared" si="1"/>
        <v>30880645</v>
      </c>
      <c r="H70" s="1347">
        <f t="shared" si="1"/>
        <v>28730753</v>
      </c>
      <c r="I70" s="1347">
        <f t="shared" si="1"/>
        <v>25025715</v>
      </c>
      <c r="J70" s="1347">
        <f t="shared" si="1"/>
        <v>27158951</v>
      </c>
      <c r="K70" s="1347">
        <f t="shared" si="1"/>
        <v>24090861</v>
      </c>
      <c r="L70" s="1347">
        <f t="shared" si="1"/>
        <v>24941038</v>
      </c>
      <c r="M70" s="1347">
        <f t="shared" si="1"/>
        <v>28397227</v>
      </c>
      <c r="N70" s="1347">
        <f t="shared" si="1"/>
        <v>31283803</v>
      </c>
      <c r="O70" s="1347">
        <f t="shared" si="1"/>
        <v>29934902</v>
      </c>
      <c r="P70" s="1347">
        <f t="shared" si="1"/>
        <v>26273315</v>
      </c>
      <c r="Q70" s="1347">
        <f t="shared" si="1"/>
        <v>24995821</v>
      </c>
      <c r="R70" s="1347">
        <f t="shared" si="1"/>
        <v>24739307</v>
      </c>
    </row>
    <row r="72" spans="1:18">
      <c r="G72" s="1347">
        <f>'BASE PERIOD'!F225</f>
        <v>30880645</v>
      </c>
      <c r="H72" s="1347">
        <f>'BASE PERIOD'!G225</f>
        <v>28730753</v>
      </c>
      <c r="I72" s="1347">
        <f>'BASE PERIOD'!H225</f>
        <v>25025715</v>
      </c>
      <c r="J72" s="1347">
        <f>'BASE PERIOD'!I225</f>
        <v>27158951</v>
      </c>
      <c r="K72" s="1347">
        <f>'BASE PERIOD'!J225</f>
        <v>24090861</v>
      </c>
      <c r="L72" s="1347">
        <f>'BASE PERIOD'!K225</f>
        <v>24941038</v>
      </c>
      <c r="M72" s="1347">
        <f>'BASE PERIOD'!L225</f>
        <v>28397227</v>
      </c>
      <c r="N72" s="1347">
        <f>'BASE PERIOD'!M225</f>
        <v>31283803</v>
      </c>
      <c r="O72" s="1347">
        <f>'BASE PERIOD'!N225</f>
        <v>29934902</v>
      </c>
      <c r="P72" s="1347">
        <f>'BASE PERIOD'!O225</f>
        <v>26273315</v>
      </c>
      <c r="Q72" s="1347">
        <f>'BASE PERIOD'!P225</f>
        <v>24995821</v>
      </c>
      <c r="R72" s="1347">
        <f>'BASE PERIOD'!Q225</f>
        <v>24739307</v>
      </c>
    </row>
    <row r="73" spans="1:18">
      <c r="G73" s="1347">
        <f>G72-G70</f>
        <v>0</v>
      </c>
      <c r="H73" s="1347">
        <f t="shared" ref="H73:R73" si="2">H72-H70</f>
        <v>0</v>
      </c>
      <c r="I73" s="1347">
        <f t="shared" si="2"/>
        <v>0</v>
      </c>
      <c r="J73" s="1347">
        <f t="shared" si="2"/>
        <v>0</v>
      </c>
      <c r="K73" s="1347">
        <f t="shared" si="2"/>
        <v>0</v>
      </c>
      <c r="L73" s="1347">
        <f t="shared" si="2"/>
        <v>0</v>
      </c>
      <c r="M73" s="1347">
        <f t="shared" si="2"/>
        <v>0</v>
      </c>
      <c r="N73" s="1347">
        <f t="shared" si="2"/>
        <v>0</v>
      </c>
      <c r="O73" s="1347">
        <f t="shared" si="2"/>
        <v>0</v>
      </c>
      <c r="P73" s="1347">
        <f t="shared" si="2"/>
        <v>0</v>
      </c>
      <c r="Q73" s="1347">
        <f t="shared" si="2"/>
        <v>0</v>
      </c>
      <c r="R73" s="1347">
        <f t="shared" si="2"/>
        <v>0</v>
      </c>
    </row>
  </sheetData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theme="7" tint="-0.249977111117893"/>
  </sheetPr>
  <dimension ref="A1:P138"/>
  <sheetViews>
    <sheetView tabSelected="1" view="pageLayout" topLeftCell="A22" zoomScaleNormal="90" workbookViewId="0">
      <selection activeCell="G1" sqref="G1"/>
    </sheetView>
  </sheetViews>
  <sheetFormatPr defaultColWidth="8" defaultRowHeight="12.75"/>
  <cols>
    <col min="1" max="1" width="25.7109375" style="18" customWidth="1"/>
    <col min="2" max="2" width="21.42578125" style="18" customWidth="1"/>
    <col min="3" max="3" width="8" style="18" customWidth="1"/>
    <col min="4" max="4" width="11.42578125" style="18" customWidth="1"/>
    <col min="5" max="5" width="11.28515625" style="18" customWidth="1"/>
    <col min="6" max="6" width="13.42578125" style="18" customWidth="1"/>
    <col min="7" max="7" width="15.7109375" style="18" customWidth="1"/>
    <col min="8" max="9" width="8" style="18" customWidth="1"/>
    <col min="10" max="10" width="2.140625" style="18" customWidth="1"/>
    <col min="11" max="11" width="15.7109375" style="18" customWidth="1"/>
    <col min="12" max="12" width="4" style="18" customWidth="1"/>
    <col min="13" max="13" width="26.5703125" style="18" customWidth="1"/>
    <col min="14" max="14" width="6.5703125" style="18" customWidth="1"/>
    <col min="15" max="15" width="7.85546875" style="18" customWidth="1"/>
    <col min="16" max="16" width="16.7109375" style="18" customWidth="1"/>
    <col min="17" max="17" width="4.5703125" style="18" customWidth="1"/>
    <col min="18" max="18" width="17.5703125" style="18" customWidth="1"/>
    <col min="19" max="20" width="13.7109375" style="18" customWidth="1"/>
    <col min="21" max="16384" width="8" style="18"/>
  </cols>
  <sheetData>
    <row r="1" spans="1:14">
      <c r="A1" s="229" t="str">
        <f>COMPANY</f>
        <v>DUKE ENERGY KENTUCKY, INC.</v>
      </c>
      <c r="B1" s="397"/>
      <c r="C1" s="397"/>
      <c r="D1" s="397"/>
      <c r="E1" s="397"/>
      <c r="F1" s="397"/>
      <c r="G1" s="397"/>
      <c r="H1" s="1571"/>
      <c r="I1" s="1571"/>
      <c r="J1" s="1571"/>
      <c r="K1" s="1571"/>
      <c r="L1" s="1571"/>
      <c r="M1" s="1571"/>
      <c r="N1" s="1571"/>
    </row>
    <row r="2" spans="1:14">
      <c r="A2" s="229" t="str">
        <f>CASE</f>
        <v>CASE NO. 2017-00321</v>
      </c>
      <c r="B2" s="397"/>
      <c r="C2" s="397"/>
      <c r="D2" s="397"/>
      <c r="E2" s="397"/>
      <c r="F2" s="397"/>
      <c r="G2" s="397"/>
      <c r="H2" s="1571"/>
      <c r="I2" s="1571"/>
      <c r="J2" s="1571"/>
      <c r="K2" s="1571"/>
      <c r="L2" s="1571"/>
      <c r="M2" s="1571"/>
      <c r="N2" s="1571"/>
    </row>
    <row r="3" spans="1:14">
      <c r="A3" s="229" t="s">
        <v>1555</v>
      </c>
      <c r="B3" s="397"/>
      <c r="C3" s="397"/>
      <c r="D3" s="397"/>
      <c r="E3" s="397"/>
      <c r="F3" s="397"/>
      <c r="G3" s="397"/>
      <c r="H3" s="1571"/>
      <c r="I3" s="1571"/>
      <c r="J3" s="1571"/>
      <c r="K3" s="1571"/>
      <c r="L3" s="1571"/>
      <c r="M3" s="1571"/>
      <c r="N3" s="1571"/>
    </row>
    <row r="4" spans="1:14">
      <c r="A4" s="229" t="str">
        <f>PeriodF</f>
        <v>FOR THE TWELVE MONTHS ENDED MARCH 31, 2019</v>
      </c>
      <c r="B4" s="397"/>
      <c r="C4" s="397"/>
      <c r="D4" s="397"/>
      <c r="E4" s="397"/>
      <c r="F4" s="397"/>
      <c r="G4" s="397"/>
      <c r="H4" s="1571"/>
      <c r="I4" s="1571"/>
      <c r="J4" s="1571"/>
      <c r="K4" s="1571"/>
      <c r="L4" s="1571"/>
      <c r="M4" s="1571"/>
      <c r="N4" s="1571"/>
    </row>
    <row r="5" spans="1:14">
      <c r="A5" s="1571"/>
      <c r="B5" s="1571"/>
      <c r="C5" s="1571"/>
      <c r="D5" s="1571"/>
      <c r="E5" s="1571"/>
      <c r="F5" s="1571"/>
      <c r="G5" s="1571"/>
      <c r="H5" s="1571"/>
      <c r="I5" s="1571"/>
      <c r="J5" s="1571"/>
      <c r="K5" s="1571"/>
      <c r="L5" s="1571"/>
      <c r="M5" s="1571"/>
      <c r="N5" s="1571"/>
    </row>
    <row r="6" spans="1:14">
      <c r="A6" s="173" t="str">
        <f>DataF</f>
        <v>DATA:  BASE PERIOD  "X" FORECASTED PERIOD</v>
      </c>
      <c r="B6" s="1571"/>
      <c r="C6" s="1571"/>
      <c r="D6" s="1571"/>
      <c r="E6" s="1571"/>
      <c r="F6" s="396" t="s">
        <v>2260</v>
      </c>
      <c r="G6" s="1571"/>
      <c r="H6" s="1571"/>
      <c r="I6" s="1571"/>
      <c r="J6" s="1571"/>
      <c r="K6" s="1571"/>
      <c r="L6" s="1571"/>
      <c r="M6" s="1571"/>
      <c r="N6" s="1571"/>
    </row>
    <row r="7" spans="1:14">
      <c r="A7" s="173" t="str">
        <f>LOGO!B15</f>
        <v xml:space="preserve">TYPE OF FILING:  "X" ORIGINAL   UPDATED    REVISED  </v>
      </c>
      <c r="B7" s="1571"/>
      <c r="C7" s="1571"/>
      <c r="D7" s="1571"/>
      <c r="E7" s="1571"/>
      <c r="F7" s="396" t="s">
        <v>620</v>
      </c>
      <c r="G7" s="1571"/>
      <c r="H7" s="1571"/>
      <c r="I7" s="1571"/>
      <c r="J7" s="1571"/>
      <c r="K7" s="1571"/>
      <c r="L7" s="1571"/>
      <c r="M7" s="1571"/>
      <c r="N7" s="1571"/>
    </row>
    <row r="8" spans="1:14">
      <c r="A8" s="1581" t="s">
        <v>2642</v>
      </c>
      <c r="B8" s="1571"/>
      <c r="C8" s="1571"/>
      <c r="D8" s="1571"/>
      <c r="E8" s="1571"/>
      <c r="F8" s="396" t="s">
        <v>622</v>
      </c>
      <c r="G8" s="1571"/>
      <c r="H8" s="1571"/>
      <c r="I8" s="1571"/>
      <c r="J8" s="1571"/>
      <c r="K8" s="1571"/>
      <c r="L8" s="1571"/>
      <c r="M8" s="1571"/>
      <c r="N8" s="1571"/>
    </row>
    <row r="9" spans="1:14">
      <c r="A9" s="1571"/>
      <c r="B9" s="1571"/>
      <c r="C9" s="1571"/>
      <c r="D9" s="1571"/>
      <c r="E9" s="1571"/>
      <c r="F9" s="396" t="str">
        <f>_WIT1</f>
        <v>S. E. LAWLER</v>
      </c>
      <c r="G9" s="1571"/>
      <c r="H9" s="1571"/>
      <c r="I9" s="1571"/>
      <c r="J9" s="1571"/>
      <c r="K9" s="1571"/>
      <c r="L9" s="1571"/>
      <c r="M9" s="1571"/>
      <c r="N9" s="1571"/>
    </row>
    <row r="10" spans="1:14">
      <c r="A10" s="180"/>
      <c r="B10" s="180"/>
      <c r="C10" s="180"/>
      <c r="D10" s="180"/>
      <c r="E10" s="180"/>
      <c r="F10" s="180"/>
      <c r="G10" s="180"/>
      <c r="H10" s="1581"/>
      <c r="I10" s="1571"/>
      <c r="J10" s="1571"/>
      <c r="K10" s="1571"/>
      <c r="L10" s="1571"/>
      <c r="M10" s="1571"/>
      <c r="N10" s="1571"/>
    </row>
    <row r="11" spans="1:14">
      <c r="A11" s="638"/>
      <c r="B11" s="638"/>
      <c r="C11" s="638"/>
      <c r="D11" s="638"/>
      <c r="E11" s="638"/>
      <c r="F11" s="638"/>
      <c r="G11" s="638"/>
      <c r="H11" s="1571"/>
      <c r="I11" s="1571"/>
      <c r="J11" s="1571"/>
      <c r="K11" s="1571"/>
      <c r="L11" s="1571"/>
      <c r="M11" s="1571"/>
      <c r="N11" s="1571"/>
    </row>
    <row r="12" spans="1:14">
      <c r="A12" s="1581" t="s">
        <v>1246</v>
      </c>
      <c r="B12" s="1571"/>
      <c r="C12" s="1571"/>
      <c r="D12" s="1571"/>
      <c r="E12" s="1571"/>
      <c r="F12" s="1571"/>
      <c r="G12" s="2741" t="s">
        <v>364</v>
      </c>
      <c r="H12" s="1571"/>
      <c r="I12" s="1571"/>
      <c r="J12" s="1571"/>
      <c r="K12" s="1571"/>
      <c r="L12" s="1571"/>
      <c r="M12" s="1571"/>
      <c r="N12" s="1571"/>
    </row>
    <row r="13" spans="1:14">
      <c r="A13" s="1774"/>
      <c r="B13" s="1774"/>
      <c r="C13" s="1774"/>
      <c r="D13" s="1774"/>
      <c r="E13" s="1774"/>
      <c r="F13" s="1774"/>
      <c r="G13" s="1774"/>
      <c r="H13" s="1581"/>
      <c r="I13" s="1571"/>
      <c r="J13" s="1571"/>
      <c r="K13" s="1571"/>
      <c r="L13" s="1571"/>
      <c r="M13" s="1571"/>
      <c r="N13" s="1571"/>
    </row>
    <row r="14" spans="1:14">
      <c r="A14" s="1571"/>
      <c r="B14" s="1571"/>
      <c r="C14" s="1571"/>
      <c r="D14" s="1571"/>
      <c r="E14" s="1571"/>
      <c r="F14" s="1571"/>
      <c r="G14" s="1571"/>
      <c r="H14" s="1571"/>
      <c r="I14" s="1571"/>
      <c r="J14" s="1571"/>
      <c r="K14" s="1571"/>
      <c r="L14" s="1571"/>
      <c r="M14" s="1571"/>
      <c r="N14" s="1571"/>
    </row>
    <row r="15" spans="1:14">
      <c r="A15" s="1378" t="s">
        <v>1557</v>
      </c>
      <c r="B15" s="1571"/>
      <c r="C15" s="1571"/>
      <c r="D15" s="1571"/>
      <c r="E15" s="1571"/>
      <c r="F15" s="1571"/>
      <c r="G15" s="1571"/>
      <c r="H15" s="1571"/>
      <c r="I15" s="1571"/>
      <c r="J15" s="1571"/>
      <c r="K15" s="1571"/>
      <c r="L15" s="1571"/>
      <c r="M15" s="1571"/>
      <c r="N15" s="1571"/>
    </row>
    <row r="16" spans="1:14">
      <c r="A16" s="1378" t="s">
        <v>1558</v>
      </c>
      <c r="B16" s="1571"/>
      <c r="C16" s="1571"/>
      <c r="D16" s="1571"/>
      <c r="E16" s="1571"/>
      <c r="F16" s="1571"/>
      <c r="G16" s="1571"/>
      <c r="H16" s="1571"/>
      <c r="I16" s="1571"/>
      <c r="J16" s="1571"/>
      <c r="K16" s="1571"/>
      <c r="L16" s="1571"/>
      <c r="M16" s="1571"/>
      <c r="N16" s="1571"/>
    </row>
    <row r="17" spans="1:14">
      <c r="A17" s="1378"/>
      <c r="B17" s="1571"/>
      <c r="C17" s="1571"/>
      <c r="D17" s="1571"/>
      <c r="E17" s="1571"/>
      <c r="F17" s="1571"/>
      <c r="G17" s="1571"/>
      <c r="H17" s="1571"/>
      <c r="I17" s="1571"/>
      <c r="J17" s="1571"/>
      <c r="K17" s="1571"/>
      <c r="L17" s="1571"/>
      <c r="M17" s="1571"/>
      <c r="N17" s="1571"/>
    </row>
    <row r="18" spans="1:14">
      <c r="A18" s="396"/>
      <c r="B18" s="1571"/>
      <c r="C18" s="1571"/>
      <c r="D18" s="1571"/>
      <c r="E18" s="1571"/>
      <c r="F18" s="1571"/>
      <c r="G18" s="1571"/>
      <c r="H18" s="1571"/>
      <c r="I18" s="1571"/>
      <c r="J18" s="1571"/>
      <c r="K18" s="1571"/>
      <c r="L18" s="1571"/>
      <c r="M18" s="1571"/>
      <c r="N18" s="1571"/>
    </row>
    <row r="19" spans="1:14">
      <c r="A19" s="396"/>
      <c r="B19" s="1571"/>
      <c r="C19" s="1571"/>
      <c r="D19" s="1571"/>
      <c r="E19" s="1571"/>
      <c r="F19" s="1571"/>
      <c r="G19" s="1571"/>
      <c r="H19" s="1571"/>
      <c r="I19" s="1571"/>
      <c r="J19" s="1571"/>
      <c r="K19" s="1571"/>
      <c r="L19" s="1571"/>
      <c r="M19" s="1571"/>
      <c r="N19" s="1571"/>
    </row>
    <row r="20" spans="1:14">
      <c r="A20" s="396"/>
      <c r="B20" s="1571"/>
      <c r="C20" s="1571"/>
      <c r="D20" s="1571"/>
      <c r="E20" s="1571"/>
      <c r="F20" s="1571"/>
      <c r="G20" s="1571"/>
      <c r="H20" s="1571"/>
      <c r="I20" s="1571"/>
      <c r="J20" s="1571"/>
      <c r="K20" s="1571"/>
      <c r="L20" s="1571"/>
      <c r="M20" s="1571"/>
      <c r="N20" s="1571"/>
    </row>
    <row r="21" spans="1:14">
      <c r="A21" s="1179" t="s">
        <v>62</v>
      </c>
      <c r="B21" s="1180"/>
      <c r="C21" s="1180"/>
      <c r="D21" s="1180"/>
      <c r="E21" s="1571"/>
      <c r="F21" s="239"/>
      <c r="G21" s="1375">
        <f>-WPC_2!S56</f>
        <v>-9203902</v>
      </c>
      <c r="H21" s="1581"/>
      <c r="I21" s="1571"/>
      <c r="J21" s="1571"/>
      <c r="K21" s="1571"/>
      <c r="L21" s="1571"/>
      <c r="M21" s="1571"/>
      <c r="N21" s="1571"/>
    </row>
    <row r="22" spans="1:14">
      <c r="A22" s="1180"/>
      <c r="B22" s="1180"/>
      <c r="C22" s="1180"/>
      <c r="D22" s="1180"/>
      <c r="E22" s="1571"/>
      <c r="F22" s="1571"/>
      <c r="G22" s="1180"/>
      <c r="H22" s="1571"/>
      <c r="I22" s="1571"/>
      <c r="J22" s="1571"/>
      <c r="K22" s="1571"/>
      <c r="L22" s="1571"/>
      <c r="M22" s="1571"/>
      <c r="N22" s="1571"/>
    </row>
    <row r="23" spans="1:14">
      <c r="A23" s="1179" t="s">
        <v>266</v>
      </c>
      <c r="B23" s="1180"/>
      <c r="C23" s="1180"/>
      <c r="D23" s="1180"/>
      <c r="E23" s="1571"/>
      <c r="F23" s="1571"/>
      <c r="G23" s="1425">
        <f>VLOOKUP(B42,ALLOCTABLE,2)/100</f>
        <v>1</v>
      </c>
      <c r="H23" s="1571"/>
      <c r="I23" s="1571"/>
      <c r="J23" s="1571"/>
      <c r="K23" s="1571"/>
      <c r="L23" s="1571"/>
      <c r="M23" s="1571"/>
      <c r="N23" s="1571"/>
    </row>
    <row r="24" spans="1:14">
      <c r="A24" s="1180"/>
      <c r="B24" s="1180"/>
      <c r="C24" s="1180"/>
      <c r="D24" s="1180"/>
      <c r="E24" s="1571"/>
      <c r="F24" s="1571"/>
      <c r="G24" s="1426"/>
      <c r="H24" s="1571"/>
      <c r="I24" s="1571"/>
      <c r="J24" s="1571"/>
      <c r="K24" s="1571"/>
      <c r="L24" s="1571"/>
      <c r="M24" s="1571"/>
      <c r="N24" s="1571"/>
    </row>
    <row r="25" spans="1:14">
      <c r="A25" s="1180"/>
      <c r="B25" s="1180"/>
      <c r="C25" s="1180"/>
      <c r="D25" s="1180"/>
      <c r="E25" s="1571"/>
      <c r="F25" s="1571"/>
      <c r="G25" s="1180"/>
      <c r="H25" s="1571"/>
      <c r="I25" s="1571"/>
      <c r="J25" s="1571"/>
      <c r="K25" s="1571"/>
      <c r="L25" s="1571"/>
      <c r="M25" s="1571"/>
      <c r="N25" s="1571"/>
    </row>
    <row r="26" spans="1:14" ht="15">
      <c r="A26" s="1179" t="s">
        <v>1236</v>
      </c>
      <c r="B26" s="1180"/>
      <c r="C26" s="1180"/>
      <c r="D26" s="1179" t="s">
        <v>1213</v>
      </c>
      <c r="E26" s="1571"/>
      <c r="F26" s="1571"/>
      <c r="G26" s="1427">
        <f>ROUND(G21*G23,0)</f>
        <v>-9203902</v>
      </c>
      <c r="H26" s="1571"/>
      <c r="I26" s="1571"/>
      <c r="J26" s="1571"/>
      <c r="K26" s="1571"/>
      <c r="L26" s="1571"/>
      <c r="M26" s="1571"/>
      <c r="N26" s="1571"/>
    </row>
    <row r="27" spans="1:14">
      <c r="A27" s="1180"/>
      <c r="B27" s="1180"/>
      <c r="C27" s="1180"/>
      <c r="D27" s="1180"/>
      <c r="E27" s="1571"/>
      <c r="F27" s="239"/>
      <c r="G27" s="1426"/>
      <c r="H27" s="1571"/>
      <c r="I27" s="1571"/>
      <c r="J27" s="1571"/>
      <c r="K27" s="1571"/>
      <c r="L27" s="1571"/>
      <c r="M27" s="1571"/>
      <c r="N27" s="1571"/>
    </row>
    <row r="28" spans="1:14">
      <c r="A28" s="1180"/>
      <c r="B28" s="1180"/>
      <c r="C28" s="1180"/>
      <c r="D28" s="1180"/>
      <c r="E28" s="1571"/>
      <c r="F28" s="1571"/>
      <c r="G28" s="1426"/>
      <c r="H28" s="1571"/>
      <c r="I28" s="1571"/>
      <c r="J28" s="1571"/>
      <c r="K28" s="1571"/>
      <c r="L28" s="1571"/>
      <c r="M28" s="1571"/>
      <c r="N28" s="1571"/>
    </row>
    <row r="29" spans="1:14">
      <c r="A29" s="1179" t="s">
        <v>2738</v>
      </c>
      <c r="B29" s="1180"/>
      <c r="C29" s="1180"/>
      <c r="D29" s="1180"/>
      <c r="E29" s="1571"/>
      <c r="F29" s="1571"/>
      <c r="G29" s="1375">
        <f>-P74</f>
        <v>-8833523</v>
      </c>
      <c r="H29" s="1571"/>
      <c r="I29" s="1571"/>
      <c r="J29" s="1571"/>
      <c r="K29" s="1571"/>
      <c r="L29" s="1571"/>
      <c r="M29" s="1571"/>
      <c r="N29" s="1571"/>
    </row>
    <row r="30" spans="1:14">
      <c r="A30" s="1179" t="s">
        <v>2739</v>
      </c>
      <c r="B30" s="1180"/>
      <c r="C30" s="1180"/>
      <c r="D30" s="1180"/>
      <c r="E30" s="1571"/>
      <c r="F30" s="1571"/>
      <c r="G30" s="1503">
        <f>-P77</f>
        <v>-3838</v>
      </c>
      <c r="H30" s="1571"/>
      <c r="I30" s="1571"/>
      <c r="J30" s="1571"/>
      <c r="K30" s="1571"/>
      <c r="L30" s="1571"/>
      <c r="M30" s="1571"/>
      <c r="N30" s="1571"/>
    </row>
    <row r="31" spans="1:14">
      <c r="A31" s="1179" t="s">
        <v>2740</v>
      </c>
      <c r="B31" s="1180"/>
      <c r="C31" s="1180"/>
      <c r="D31" s="1180"/>
      <c r="E31" s="1571"/>
      <c r="F31" s="1571"/>
      <c r="G31" s="1503">
        <f>-P84</f>
        <v>-106483</v>
      </c>
      <c r="H31" s="1571"/>
      <c r="I31" s="1571"/>
      <c r="J31" s="1571"/>
      <c r="K31" s="1571"/>
      <c r="L31" s="1571"/>
      <c r="M31" s="1571"/>
      <c r="N31" s="1571"/>
    </row>
    <row r="32" spans="1:14" ht="15">
      <c r="A32" s="1179" t="s">
        <v>951</v>
      </c>
      <c r="B32" s="1180"/>
      <c r="C32" s="1180"/>
      <c r="D32" s="1180"/>
      <c r="E32" s="1571"/>
      <c r="F32" s="1571"/>
      <c r="G32" s="1504">
        <f>-P65</f>
        <v>-34680</v>
      </c>
      <c r="H32" s="1571"/>
      <c r="I32" s="1571"/>
      <c r="J32" s="1571"/>
      <c r="K32" s="1571"/>
      <c r="L32" s="1571"/>
      <c r="M32" s="1571"/>
      <c r="N32" s="1571"/>
    </row>
    <row r="33" spans="1:14">
      <c r="A33" s="1179" t="s">
        <v>2745</v>
      </c>
      <c r="B33" s="1180"/>
      <c r="C33" s="1180"/>
      <c r="D33" s="1180"/>
      <c r="E33" s="1571"/>
      <c r="F33" s="1571"/>
      <c r="G33" s="1375">
        <f>SUM(G29:G32)</f>
        <v>-8978524</v>
      </c>
      <c r="H33" s="1571"/>
      <c r="I33" s="1571"/>
      <c r="J33" s="1571"/>
      <c r="K33" s="1571"/>
      <c r="L33" s="1571"/>
      <c r="M33" s="1571"/>
      <c r="N33" s="1571"/>
    </row>
    <row r="34" spans="1:14">
      <c r="A34" s="1180"/>
      <c r="B34" s="1180"/>
      <c r="C34" s="1180"/>
      <c r="D34" s="1180"/>
      <c r="E34" s="1571"/>
      <c r="F34" s="1571"/>
      <c r="G34" s="1180"/>
      <c r="H34" s="1571"/>
      <c r="I34" s="1571"/>
      <c r="J34" s="1571"/>
      <c r="K34" s="1571"/>
      <c r="L34" s="1571"/>
      <c r="M34" s="1571"/>
      <c r="N34" s="1571"/>
    </row>
    <row r="35" spans="1:14">
      <c r="A35" s="1179" t="s">
        <v>266</v>
      </c>
      <c r="B35" s="1180"/>
      <c r="C35" s="1180"/>
      <c r="D35" s="1180"/>
      <c r="E35" s="1571"/>
      <c r="F35" s="1571"/>
      <c r="G35" s="1425">
        <f>VLOOKUP(B42,ALLOCTABLE,2)/100</f>
        <v>1</v>
      </c>
      <c r="H35" s="1571"/>
      <c r="I35" s="1571"/>
      <c r="J35" s="1571"/>
      <c r="K35" s="1571"/>
      <c r="L35" s="1571"/>
      <c r="M35" s="1571"/>
      <c r="N35" s="1571"/>
    </row>
    <row r="36" spans="1:14">
      <c r="A36" s="1180"/>
      <c r="B36" s="1180"/>
      <c r="C36" s="1180"/>
      <c r="D36" s="1180"/>
      <c r="E36" s="1571"/>
      <c r="F36" s="1571"/>
      <c r="G36" s="1426"/>
      <c r="H36" s="1571"/>
      <c r="I36" s="1571"/>
      <c r="J36" s="1571"/>
      <c r="K36" s="1571"/>
      <c r="L36" s="1571"/>
      <c r="M36" s="1571"/>
      <c r="N36" s="1571"/>
    </row>
    <row r="37" spans="1:14">
      <c r="A37" s="1180"/>
      <c r="B37" s="1180"/>
      <c r="C37" s="1180"/>
      <c r="D37" s="1180"/>
      <c r="E37" s="1571"/>
      <c r="F37" s="1571"/>
      <c r="G37" s="1180"/>
      <c r="H37" s="1571"/>
      <c r="I37" s="1571"/>
      <c r="J37" s="1571"/>
      <c r="K37" s="1571"/>
      <c r="L37" s="1571"/>
      <c r="M37" s="1571"/>
      <c r="N37" s="1571"/>
    </row>
    <row r="38" spans="1:14" ht="15">
      <c r="A38" s="1179" t="s">
        <v>1236</v>
      </c>
      <c r="B38" s="1180"/>
      <c r="C38" s="1180"/>
      <c r="D38" s="1179" t="s">
        <v>1213</v>
      </c>
      <c r="E38" s="1178"/>
      <c r="F38" s="1178"/>
      <c r="G38" s="1427">
        <f>ROUND(G33*G35,0)</f>
        <v>-8978524</v>
      </c>
      <c r="H38" s="1571"/>
      <c r="I38" s="1571"/>
      <c r="J38" s="1571"/>
      <c r="K38" s="1571"/>
      <c r="L38" s="1571"/>
      <c r="M38" s="1571"/>
      <c r="N38" s="1571"/>
    </row>
    <row r="39" spans="1:14">
      <c r="A39" s="1180"/>
      <c r="B39" s="1180"/>
      <c r="C39" s="1180"/>
      <c r="D39" s="1180"/>
      <c r="E39" s="1178"/>
      <c r="F39" s="1178"/>
      <c r="G39" s="1426"/>
      <c r="H39" s="1571"/>
      <c r="I39" s="1571"/>
      <c r="J39" s="1571"/>
      <c r="K39" s="1571"/>
      <c r="L39" s="1571"/>
      <c r="M39" s="1571"/>
      <c r="N39" s="1571"/>
    </row>
    <row r="40" spans="1:14">
      <c r="A40" s="637"/>
      <c r="B40" s="1571"/>
      <c r="C40" s="1571"/>
      <c r="D40" s="1571"/>
      <c r="E40" s="1571"/>
      <c r="F40" s="1571"/>
      <c r="G40" s="1571"/>
      <c r="H40" s="1571"/>
      <c r="I40" s="1571"/>
      <c r="J40" s="1571"/>
      <c r="K40" s="1571"/>
      <c r="L40" s="1571"/>
      <c r="M40" s="1571"/>
      <c r="N40" s="1571"/>
    </row>
    <row r="41" spans="1:14">
      <c r="A41" s="637"/>
      <c r="B41" s="1571"/>
      <c r="C41" s="1571"/>
      <c r="D41" s="1571"/>
      <c r="E41" s="1571"/>
      <c r="F41" s="1571"/>
      <c r="G41" s="1571"/>
      <c r="H41" s="1571"/>
      <c r="I41" s="1571"/>
      <c r="J41" s="1571"/>
      <c r="K41" s="1571"/>
      <c r="L41" s="1571"/>
      <c r="M41" s="1571"/>
      <c r="N41" s="1571"/>
    </row>
    <row r="42" spans="1:14">
      <c r="A42" s="1179" t="s">
        <v>1237</v>
      </c>
      <c r="B42" s="2149" t="s">
        <v>593</v>
      </c>
      <c r="C42" s="1571"/>
      <c r="D42" s="2200"/>
      <c r="E42" s="1571"/>
      <c r="F42" s="1571"/>
      <c r="G42" s="1571"/>
      <c r="H42" s="1571"/>
      <c r="I42" s="1571"/>
      <c r="J42" s="1571"/>
      <c r="K42" s="1571"/>
      <c r="L42" s="1571"/>
      <c r="M42" s="1571"/>
      <c r="N42" s="1571"/>
    </row>
    <row r="43" spans="1:14">
      <c r="A43" s="1571"/>
      <c r="B43" s="1571"/>
      <c r="C43" s="1571"/>
      <c r="D43" s="1571"/>
      <c r="E43" s="1571"/>
      <c r="F43" s="1571"/>
      <c r="G43" s="1571"/>
      <c r="H43" s="1571"/>
      <c r="I43" s="1571"/>
      <c r="J43" s="1571"/>
      <c r="K43" s="1571"/>
      <c r="L43" s="1571"/>
      <c r="M43" s="1571"/>
      <c r="N43" s="1571"/>
    </row>
    <row r="44" spans="1:14">
      <c r="A44" s="1571"/>
      <c r="B44" s="1571"/>
      <c r="C44" s="1571"/>
      <c r="D44" s="1571"/>
      <c r="E44" s="1571"/>
      <c r="F44" s="1571"/>
      <c r="G44" s="1571"/>
      <c r="H44" s="1571"/>
      <c r="I44" s="234"/>
      <c r="J44" s="234"/>
      <c r="K44" s="1571"/>
      <c r="L44" s="1571"/>
      <c r="M44" s="1571"/>
      <c r="N44" s="1571"/>
    </row>
    <row r="45" spans="1:14">
      <c r="A45" s="1571"/>
      <c r="B45" s="1571"/>
      <c r="C45" s="1571"/>
      <c r="D45" s="1571"/>
      <c r="E45" s="1571"/>
      <c r="F45" s="1571"/>
      <c r="G45" s="1571"/>
      <c r="H45" s="1571"/>
      <c r="I45" s="234"/>
      <c r="J45" s="234"/>
      <c r="K45" s="1571"/>
      <c r="L45" s="1571"/>
      <c r="M45" s="1571"/>
      <c r="N45" s="1571"/>
    </row>
    <row r="46" spans="1:14">
      <c r="A46" s="1571"/>
      <c r="B46" s="1571"/>
      <c r="C46" s="1571"/>
      <c r="D46" s="1571"/>
      <c r="E46" s="1571"/>
      <c r="F46" s="1571"/>
      <c r="G46" s="1571"/>
      <c r="H46" s="1571"/>
      <c r="I46" s="234"/>
      <c r="J46" s="234"/>
      <c r="K46" s="1571"/>
      <c r="L46" s="1571"/>
      <c r="M46" s="1571"/>
      <c r="N46" s="1571"/>
    </row>
    <row r="47" spans="1:14">
      <c r="A47" s="1571"/>
      <c r="B47" s="1571"/>
      <c r="C47" s="1571"/>
      <c r="D47" s="1571"/>
      <c r="E47" s="1571"/>
      <c r="F47" s="1571"/>
      <c r="G47" s="1571"/>
      <c r="H47" s="1571"/>
      <c r="I47" s="234"/>
      <c r="J47" s="234"/>
      <c r="K47" s="1571"/>
      <c r="L47" s="1571"/>
      <c r="M47" s="1571"/>
      <c r="N47" s="1571"/>
    </row>
    <row r="48" spans="1:14">
      <c r="A48" s="1571"/>
      <c r="B48" s="1571"/>
      <c r="C48" s="1571"/>
      <c r="D48" s="1571"/>
      <c r="E48" s="1571"/>
      <c r="F48" s="1571"/>
      <c r="G48" s="1571"/>
      <c r="H48" s="1571"/>
      <c r="I48" s="234"/>
      <c r="J48" s="234"/>
      <c r="K48" s="1571"/>
      <c r="L48" s="1571"/>
      <c r="M48" s="1571"/>
      <c r="N48" s="1571"/>
    </row>
    <row r="49" spans="1:16">
      <c r="A49" s="1571"/>
      <c r="B49" s="1571"/>
      <c r="C49" s="1571"/>
      <c r="D49" s="1571"/>
      <c r="E49" s="1571"/>
      <c r="F49" s="1571"/>
      <c r="G49" s="1571"/>
      <c r="H49" s="1571"/>
      <c r="I49" s="1429" t="str">
        <f>COMPANY</f>
        <v>DUKE ENERGY KENTUCKY, INC.</v>
      </c>
      <c r="J49" s="529"/>
      <c r="K49" s="529"/>
      <c r="L49" s="529"/>
      <c r="M49" s="529"/>
      <c r="N49" s="529"/>
      <c r="O49" s="1430" t="s">
        <v>2627</v>
      </c>
    </row>
    <row r="50" spans="1:16">
      <c r="A50" s="1571"/>
      <c r="B50" s="1571"/>
      <c r="C50" s="1571"/>
      <c r="D50" s="1571"/>
      <c r="E50" s="1571"/>
      <c r="F50" s="1571"/>
      <c r="G50" s="1571"/>
      <c r="H50" s="1571"/>
      <c r="I50" s="1429" t="str">
        <f>DEPT</f>
        <v>ELECTRIC DEPARTMENT</v>
      </c>
      <c r="J50" s="529"/>
      <c r="K50" s="529"/>
      <c r="L50" s="529"/>
      <c r="M50" s="529"/>
      <c r="N50" s="529"/>
      <c r="O50" s="461" t="s">
        <v>622</v>
      </c>
    </row>
    <row r="51" spans="1:16">
      <c r="A51" s="1571"/>
      <c r="B51" s="1571"/>
      <c r="C51" s="1571"/>
      <c r="D51" s="1571"/>
      <c r="E51" s="1571"/>
      <c r="F51" s="1571"/>
      <c r="G51" s="1571"/>
      <c r="H51" s="1571"/>
      <c r="I51" s="1429" t="str">
        <f>CASE</f>
        <v>CASE NO. 2017-00321</v>
      </c>
      <c r="J51" s="529"/>
      <c r="K51" s="529"/>
      <c r="L51" s="529"/>
      <c r="M51" s="529"/>
      <c r="N51" s="529"/>
      <c r="O51" s="461" t="str">
        <f>_WIT1</f>
        <v>S. E. LAWLER</v>
      </c>
    </row>
    <row r="52" spans="1:16">
      <c r="A52" s="1571"/>
      <c r="B52" s="1571"/>
      <c r="C52" s="1571"/>
      <c r="D52" s="1571"/>
      <c r="E52" s="1571"/>
      <c r="F52" s="1571"/>
      <c r="G52" s="1571"/>
      <c r="H52" s="1571"/>
      <c r="I52" s="461" t="str">
        <f>A3</f>
        <v>ELIMINATE DSM REVENUE &amp; EXPENSE</v>
      </c>
      <c r="J52" s="529"/>
      <c r="K52" s="529"/>
      <c r="L52" s="529"/>
      <c r="M52" s="529"/>
      <c r="N52" s="529"/>
      <c r="O52" s="529"/>
      <c r="P52" s="529"/>
    </row>
    <row r="53" spans="1:16">
      <c r="A53" s="1571"/>
      <c r="B53" s="1571"/>
      <c r="C53" s="1571"/>
      <c r="D53" s="1571"/>
      <c r="E53" s="1571"/>
      <c r="F53" s="1571"/>
      <c r="G53" s="1571"/>
      <c r="H53" s="1571"/>
      <c r="I53" s="1429" t="str">
        <f>PeriodF</f>
        <v>FOR THE TWELVE MONTHS ENDED MARCH 31, 2019</v>
      </c>
      <c r="J53" s="529"/>
      <c r="K53" s="529"/>
      <c r="L53" s="529"/>
      <c r="M53" s="529"/>
      <c r="N53" s="529"/>
      <c r="O53" s="529"/>
      <c r="P53" s="529"/>
    </row>
    <row r="54" spans="1:16">
      <c r="A54" s="1571"/>
      <c r="B54" s="1571"/>
      <c r="C54" s="1571"/>
      <c r="D54" s="1571"/>
      <c r="E54" s="1571"/>
      <c r="F54" s="1571"/>
      <c r="G54" s="1571"/>
      <c r="H54" s="1571"/>
      <c r="I54" s="529"/>
      <c r="J54" s="529"/>
      <c r="K54" s="529"/>
      <c r="L54" s="529"/>
      <c r="M54" s="529"/>
      <c r="N54" s="529"/>
      <c r="O54" s="529"/>
      <c r="P54" s="529"/>
    </row>
    <row r="55" spans="1:16">
      <c r="A55" s="1571"/>
      <c r="B55" s="1571"/>
      <c r="C55" s="1571"/>
      <c r="D55" s="1571"/>
      <c r="E55" s="1571"/>
      <c r="F55" s="1571"/>
      <c r="G55" s="1571"/>
      <c r="H55" s="1571"/>
      <c r="I55" s="529"/>
      <c r="J55" s="529"/>
      <c r="K55" s="529"/>
      <c r="L55" s="529"/>
      <c r="M55" s="1431"/>
      <c r="N55" s="1431"/>
      <c r="O55" s="529"/>
      <c r="P55" s="529"/>
    </row>
    <row r="56" spans="1:16">
      <c r="A56" s="1571"/>
      <c r="B56" s="1571"/>
      <c r="C56" s="1571"/>
      <c r="D56" s="1571"/>
      <c r="E56" s="1571"/>
      <c r="F56" s="1571"/>
      <c r="G56" s="1571"/>
      <c r="H56" s="1571"/>
      <c r="I56" s="532"/>
      <c r="J56" s="532"/>
      <c r="K56" s="532"/>
      <c r="L56" s="532"/>
      <c r="M56" s="2095"/>
      <c r="N56" s="2095"/>
      <c r="O56" s="532"/>
      <c r="P56" s="532"/>
    </row>
    <row r="57" spans="1:16">
      <c r="A57" s="1571"/>
      <c r="B57" s="1571"/>
      <c r="C57" s="1571"/>
      <c r="D57" s="1571"/>
      <c r="E57" s="1571"/>
      <c r="F57" s="1571"/>
      <c r="G57" s="1571"/>
      <c r="H57" s="1571"/>
      <c r="I57" s="1694" t="s">
        <v>1240</v>
      </c>
      <c r="J57" s="1694"/>
      <c r="K57" s="1694"/>
      <c r="L57" s="1694"/>
      <c r="M57" s="1694"/>
      <c r="N57" s="1694"/>
      <c r="O57" s="1694"/>
      <c r="P57" s="1694"/>
    </row>
    <row r="58" spans="1:16">
      <c r="A58" s="1571"/>
      <c r="B58" s="1571"/>
      <c r="C58" s="1571"/>
      <c r="D58" s="1571"/>
      <c r="E58" s="1571"/>
      <c r="F58" s="1571"/>
      <c r="G58" s="1571"/>
      <c r="H58" s="1571"/>
      <c r="I58" s="2096" t="s">
        <v>1241</v>
      </c>
      <c r="J58" s="1694"/>
      <c r="K58" s="2096" t="s">
        <v>2639</v>
      </c>
      <c r="L58" s="1694"/>
      <c r="M58" s="2096" t="s">
        <v>2640</v>
      </c>
      <c r="N58" s="2096"/>
      <c r="O58" s="1694"/>
      <c r="P58" s="2096" t="s">
        <v>646</v>
      </c>
    </row>
    <row r="59" spans="1:16">
      <c r="A59" s="1571"/>
      <c r="B59" s="1571"/>
      <c r="C59" s="1571"/>
      <c r="D59" s="1571"/>
      <c r="E59" s="1571"/>
      <c r="F59" s="1571"/>
      <c r="G59" s="1571"/>
      <c r="H59" s="1571"/>
      <c r="I59" s="234"/>
      <c r="J59" s="234"/>
      <c r="K59" s="1571"/>
      <c r="L59" s="1571"/>
      <c r="M59" s="1571"/>
      <c r="N59" s="1571"/>
    </row>
    <row r="60" spans="1:16">
      <c r="A60" s="1571"/>
      <c r="B60" s="1571"/>
      <c r="C60" s="1571"/>
      <c r="D60" s="1571"/>
      <c r="E60" s="1571"/>
      <c r="F60" s="1571"/>
      <c r="G60" s="1571"/>
      <c r="H60" s="1571"/>
      <c r="I60" s="249">
        <v>1</v>
      </c>
      <c r="J60" s="234"/>
      <c r="K60" s="1502" t="s">
        <v>951</v>
      </c>
      <c r="L60" s="1571"/>
      <c r="M60" s="1571"/>
      <c r="N60" s="1571"/>
    </row>
    <row r="61" spans="1:16">
      <c r="A61" s="1571"/>
      <c r="B61" s="1571"/>
      <c r="C61" s="1571"/>
      <c r="D61" s="1571"/>
      <c r="E61" s="1571"/>
      <c r="F61" s="1571"/>
      <c r="G61" s="1571"/>
      <c r="H61" s="1571"/>
      <c r="I61" s="249">
        <v>2</v>
      </c>
      <c r="J61" s="234"/>
      <c r="K61" s="1571" t="s">
        <v>2628</v>
      </c>
      <c r="M61" s="1571" t="s">
        <v>2741</v>
      </c>
      <c r="P61" s="1730">
        <v>2264</v>
      </c>
    </row>
    <row r="62" spans="1:16">
      <c r="A62" s="1571"/>
      <c r="B62" s="1571"/>
      <c r="C62" s="1571"/>
      <c r="D62" s="1571"/>
      <c r="E62" s="1571"/>
      <c r="F62" s="1571"/>
      <c r="G62" s="1571"/>
      <c r="H62" s="1571"/>
      <c r="I62" s="249">
        <v>3</v>
      </c>
      <c r="J62" s="234"/>
      <c r="K62" s="1571" t="s">
        <v>2629</v>
      </c>
      <c r="M62" s="1571" t="s">
        <v>2630</v>
      </c>
      <c r="P62" s="47">
        <v>1019</v>
      </c>
    </row>
    <row r="63" spans="1:16">
      <c r="A63" s="1571"/>
      <c r="B63" s="1571"/>
      <c r="C63" s="1571"/>
      <c r="D63" s="1571"/>
      <c r="E63" s="1571"/>
      <c r="F63" s="1571"/>
      <c r="G63" s="1571"/>
      <c r="H63" s="1571"/>
      <c r="I63" s="249">
        <v>4</v>
      </c>
      <c r="J63" s="234"/>
      <c r="K63" s="1571" t="s">
        <v>2633</v>
      </c>
      <c r="M63" s="1571" t="s">
        <v>2634</v>
      </c>
      <c r="P63" s="47">
        <v>2398</v>
      </c>
    </row>
    <row r="64" spans="1:16" ht="15">
      <c r="A64" s="1571"/>
      <c r="B64" s="1571"/>
      <c r="C64" s="1571"/>
      <c r="D64" s="1571"/>
      <c r="E64" s="1571"/>
      <c r="F64" s="1571"/>
      <c r="G64" s="1571"/>
      <c r="H64" s="1571"/>
      <c r="I64" s="249">
        <v>5</v>
      </c>
      <c r="J64" s="234"/>
      <c r="K64" s="1571" t="s">
        <v>2637</v>
      </c>
      <c r="M64" s="1571" t="s">
        <v>2638</v>
      </c>
      <c r="P64" s="1729">
        <v>28999</v>
      </c>
    </row>
    <row r="65" spans="1:16" ht="15">
      <c r="A65" s="1571"/>
      <c r="B65" s="1571"/>
      <c r="C65" s="1571"/>
      <c r="D65" s="1571"/>
      <c r="E65" s="1571"/>
      <c r="F65" s="1571"/>
      <c r="G65" s="1571"/>
      <c r="H65" s="1571"/>
      <c r="I65" s="249">
        <v>6</v>
      </c>
      <c r="J65" s="234"/>
      <c r="K65" s="413" t="s">
        <v>2742</v>
      </c>
      <c r="M65" s="1571"/>
      <c r="N65" s="1571"/>
      <c r="P65" s="1587">
        <f>SUM(P61:P64)</f>
        <v>34680</v>
      </c>
    </row>
    <row r="66" spans="1:16">
      <c r="A66" s="1571"/>
      <c r="B66" s="1571"/>
      <c r="C66" s="1571"/>
      <c r="D66" s="1571"/>
      <c r="E66" s="1571"/>
      <c r="F66" s="1571"/>
      <c r="G66" s="1571"/>
      <c r="H66" s="1571"/>
      <c r="I66" s="249">
        <v>7</v>
      </c>
      <c r="J66" s="234"/>
      <c r="K66" s="1571"/>
      <c r="M66" s="1571"/>
      <c r="N66" s="1571"/>
    </row>
    <row r="67" spans="1:16">
      <c r="A67" s="1571"/>
      <c r="B67" s="1571"/>
      <c r="C67" s="1571"/>
      <c r="D67" s="1571"/>
      <c r="E67" s="1571"/>
      <c r="F67" s="1571"/>
      <c r="G67" s="1571"/>
      <c r="H67" s="1571"/>
      <c r="I67" s="249">
        <v>8</v>
      </c>
      <c r="J67" s="234"/>
      <c r="K67" s="1502" t="s">
        <v>2738</v>
      </c>
      <c r="M67" s="1571"/>
      <c r="N67" s="1571"/>
    </row>
    <row r="68" spans="1:16">
      <c r="A68" s="1571"/>
      <c r="B68" s="1571"/>
      <c r="C68" s="1571"/>
      <c r="D68" s="1571"/>
      <c r="E68" s="1571"/>
      <c r="F68" s="1571"/>
      <c r="G68" s="1571"/>
      <c r="H68" s="1571"/>
      <c r="I68" s="249">
        <v>9</v>
      </c>
      <c r="J68" s="234"/>
      <c r="K68" s="1571" t="s">
        <v>2628</v>
      </c>
      <c r="M68" s="1571" t="s">
        <v>2641</v>
      </c>
      <c r="N68" s="1571"/>
      <c r="P68" s="47">
        <v>27202</v>
      </c>
    </row>
    <row r="69" spans="1:16">
      <c r="A69" s="1571"/>
      <c r="B69" s="1571"/>
      <c r="C69" s="1571"/>
      <c r="D69" s="1571"/>
      <c r="E69" s="1571"/>
      <c r="F69" s="1571"/>
      <c r="G69" s="1571"/>
      <c r="H69" s="1571"/>
      <c r="I69" s="249">
        <v>10</v>
      </c>
      <c r="J69" s="234"/>
      <c r="K69" s="1571" t="s">
        <v>2629</v>
      </c>
      <c r="M69" s="1571" t="s">
        <v>2630</v>
      </c>
      <c r="N69" s="1571"/>
      <c r="P69" s="47">
        <v>457061</v>
      </c>
    </row>
    <row r="70" spans="1:16">
      <c r="A70" s="1571"/>
      <c r="B70" s="1571"/>
      <c r="C70" s="1571"/>
      <c r="D70" s="1571"/>
      <c r="E70" s="1571"/>
      <c r="F70" s="1571"/>
      <c r="G70" s="1571"/>
      <c r="H70" s="1571"/>
      <c r="I70" s="249">
        <v>11</v>
      </c>
      <c r="J70" s="234"/>
      <c r="K70" s="1571" t="s">
        <v>2631</v>
      </c>
      <c r="M70" s="1571" t="s">
        <v>2632</v>
      </c>
      <c r="N70" s="1571"/>
      <c r="P70" s="47">
        <v>4149</v>
      </c>
    </row>
    <row r="71" spans="1:16">
      <c r="A71" s="1571"/>
      <c r="B71" s="1571"/>
      <c r="C71" s="1571"/>
      <c r="D71" s="1571"/>
      <c r="E71" s="1571"/>
      <c r="F71" s="1571"/>
      <c r="G71" s="1571"/>
      <c r="H71" s="1571"/>
      <c r="I71" s="249">
        <v>12</v>
      </c>
      <c r="J71" s="234"/>
      <c r="K71" s="1571" t="s">
        <v>2633</v>
      </c>
      <c r="M71" s="1571" t="s">
        <v>2634</v>
      </c>
      <c r="N71" s="1571"/>
      <c r="P71" s="47">
        <v>58950</v>
      </c>
    </row>
    <row r="72" spans="1:16">
      <c r="A72" s="1571"/>
      <c r="B72" s="1571"/>
      <c r="C72" s="1571"/>
      <c r="D72" s="1571"/>
      <c r="E72" s="1571"/>
      <c r="F72" s="1571"/>
      <c r="G72" s="1571"/>
      <c r="H72" s="1571"/>
      <c r="I72" s="249">
        <v>13</v>
      </c>
      <c r="J72" s="234"/>
      <c r="K72" s="1571" t="s">
        <v>2635</v>
      </c>
      <c r="M72" s="1571" t="s">
        <v>2636</v>
      </c>
      <c r="N72" s="1571"/>
      <c r="P72" s="47">
        <v>7236912</v>
      </c>
    </row>
    <row r="73" spans="1:16" ht="15">
      <c r="A73" s="1571"/>
      <c r="B73" s="1571"/>
      <c r="C73" s="1571"/>
      <c r="D73" s="1571"/>
      <c r="E73" s="1571"/>
      <c r="F73" s="1571"/>
      <c r="G73" s="1571"/>
      <c r="H73" s="1571"/>
      <c r="I73" s="249">
        <v>14</v>
      </c>
      <c r="J73" s="234"/>
      <c r="K73" s="1571" t="s">
        <v>2637</v>
      </c>
      <c r="M73" s="1571" t="s">
        <v>2638</v>
      </c>
      <c r="N73" s="1571"/>
      <c r="P73" s="1729">
        <v>1049249</v>
      </c>
    </row>
    <row r="74" spans="1:16" ht="15">
      <c r="A74" s="1571"/>
      <c r="B74" s="1571"/>
      <c r="C74" s="1571"/>
      <c r="D74" s="1571"/>
      <c r="E74" s="1571"/>
      <c r="F74" s="1571"/>
      <c r="G74" s="1571"/>
      <c r="H74" s="1571"/>
      <c r="I74" s="249">
        <v>15</v>
      </c>
      <c r="J74" s="234"/>
      <c r="K74" s="413" t="s">
        <v>2743</v>
      </c>
      <c r="L74" s="1571"/>
      <c r="M74" s="1571"/>
      <c r="N74" s="1571"/>
      <c r="P74" s="1587">
        <f>SUM(P68:P73)</f>
        <v>8833523</v>
      </c>
    </row>
    <row r="75" spans="1:16">
      <c r="A75" s="1571"/>
      <c r="B75" s="1571"/>
      <c r="C75" s="1571"/>
      <c r="D75" s="1571"/>
      <c r="E75" s="1571"/>
      <c r="F75" s="1571"/>
      <c r="G75" s="1571"/>
      <c r="H75" s="1571"/>
      <c r="I75" s="249">
        <v>16</v>
      </c>
      <c r="J75" s="234"/>
      <c r="K75" s="234"/>
      <c r="L75" s="234"/>
      <c r="M75" s="320"/>
      <c r="N75" s="320"/>
      <c r="P75" s="45"/>
    </row>
    <row r="76" spans="1:16">
      <c r="A76" s="1571"/>
      <c r="B76" s="1571"/>
      <c r="C76" s="1571"/>
      <c r="D76" s="1571"/>
      <c r="E76" s="1571"/>
      <c r="F76" s="1571"/>
      <c r="G76" s="1571"/>
      <c r="H76" s="1571"/>
      <c r="I76" s="249">
        <v>17</v>
      </c>
      <c r="J76" s="234"/>
      <c r="K76" s="1502" t="s">
        <v>2739</v>
      </c>
      <c r="L76" s="234"/>
      <c r="M76" s="332"/>
      <c r="N76" s="332"/>
      <c r="P76" s="45"/>
    </row>
    <row r="77" spans="1:16" ht="15">
      <c r="A77" s="1571"/>
      <c r="B77" s="1571"/>
      <c r="C77" s="1571"/>
      <c r="D77" s="1571"/>
      <c r="E77" s="1571"/>
      <c r="F77" s="1571"/>
      <c r="G77" s="1571"/>
      <c r="H77" s="1571"/>
      <c r="I77" s="249">
        <v>18</v>
      </c>
      <c r="J77" s="234"/>
      <c r="K77" s="1571" t="s">
        <v>2637</v>
      </c>
      <c r="M77" s="1571" t="s">
        <v>2638</v>
      </c>
      <c r="P77" s="1587">
        <v>3838</v>
      </c>
    </row>
    <row r="78" spans="1:16">
      <c r="A78" s="1571"/>
      <c r="B78" s="1571"/>
      <c r="C78" s="1571"/>
      <c r="D78" s="1571"/>
      <c r="E78" s="1571"/>
      <c r="F78" s="1571"/>
      <c r="G78" s="1571"/>
      <c r="H78" s="1571"/>
      <c r="I78" s="249">
        <v>19</v>
      </c>
      <c r="J78" s="234"/>
      <c r="K78" s="234"/>
      <c r="L78" s="234"/>
      <c r="M78" s="332"/>
      <c r="N78" s="332"/>
      <c r="P78" s="45"/>
    </row>
    <row r="79" spans="1:16">
      <c r="A79" s="1571"/>
      <c r="B79" s="1571"/>
      <c r="C79" s="1571"/>
      <c r="D79" s="1571"/>
      <c r="E79" s="1571"/>
      <c r="F79" s="1571"/>
      <c r="G79" s="1571"/>
      <c r="H79" s="1571"/>
      <c r="I79" s="249">
        <v>20</v>
      </c>
      <c r="J79" s="234"/>
      <c r="K79" s="1502" t="s">
        <v>2740</v>
      </c>
      <c r="L79" s="234"/>
      <c r="M79" s="332"/>
      <c r="N79" s="332"/>
      <c r="P79" s="45"/>
    </row>
    <row r="80" spans="1:16">
      <c r="A80" s="1571"/>
      <c r="B80" s="1571"/>
      <c r="C80" s="1571"/>
      <c r="D80" s="1571"/>
      <c r="E80" s="1571"/>
      <c r="F80" s="1571"/>
      <c r="G80" s="1571"/>
      <c r="H80" s="1571"/>
      <c r="I80" s="249">
        <v>21</v>
      </c>
      <c r="J80" s="234"/>
      <c r="K80" s="1571" t="s">
        <v>2628</v>
      </c>
      <c r="M80" s="1571" t="s">
        <v>2741</v>
      </c>
      <c r="N80" s="320"/>
      <c r="P80" s="1730">
        <v>7034</v>
      </c>
    </row>
    <row r="81" spans="1:16">
      <c r="A81" s="1571"/>
      <c r="B81" s="1571"/>
      <c r="C81" s="1571"/>
      <c r="D81" s="1571"/>
      <c r="E81" s="1571"/>
      <c r="F81" s="1571"/>
      <c r="G81" s="1571"/>
      <c r="H81" s="1571"/>
      <c r="I81" s="249">
        <v>22</v>
      </c>
      <c r="J81" s="234"/>
      <c r="K81" s="1571" t="s">
        <v>2629</v>
      </c>
      <c r="M81" s="1571" t="s">
        <v>2630</v>
      </c>
      <c r="N81" s="320"/>
      <c r="P81" s="47">
        <v>3168</v>
      </c>
    </row>
    <row r="82" spans="1:16">
      <c r="A82" s="1571"/>
      <c r="B82" s="1571"/>
      <c r="C82" s="1571"/>
      <c r="D82" s="1571"/>
      <c r="E82" s="1571"/>
      <c r="F82" s="1571"/>
      <c r="G82" s="1571"/>
      <c r="H82" s="1571"/>
      <c r="I82" s="249">
        <v>23</v>
      </c>
      <c r="J82" s="234"/>
      <c r="K82" s="1571" t="s">
        <v>2633</v>
      </c>
      <c r="M82" s="1571" t="s">
        <v>2634</v>
      </c>
      <c r="N82" s="332"/>
      <c r="P82" s="47">
        <v>7016</v>
      </c>
    </row>
    <row r="83" spans="1:16" ht="15">
      <c r="A83" s="1571"/>
      <c r="B83" s="1571"/>
      <c r="C83" s="1571"/>
      <c r="D83" s="1571"/>
      <c r="E83" s="1571"/>
      <c r="F83" s="1571"/>
      <c r="G83" s="1571"/>
      <c r="H83" s="1571"/>
      <c r="I83" s="249">
        <v>24</v>
      </c>
      <c r="J83" s="234"/>
      <c r="K83" s="1571" t="s">
        <v>2637</v>
      </c>
      <c r="M83" s="1571" t="s">
        <v>2638</v>
      </c>
      <c r="N83" s="332"/>
      <c r="P83" s="1729">
        <v>89265</v>
      </c>
    </row>
    <row r="84" spans="1:16" ht="15">
      <c r="A84" s="1571"/>
      <c r="B84" s="1571"/>
      <c r="C84" s="1571"/>
      <c r="D84" s="1571"/>
      <c r="E84" s="1571"/>
      <c r="F84" s="1571"/>
      <c r="G84" s="1571"/>
      <c r="H84" s="1571"/>
      <c r="I84" s="249">
        <v>25</v>
      </c>
      <c r="J84" s="234"/>
      <c r="K84" s="234" t="s">
        <v>2744</v>
      </c>
      <c r="L84" s="234"/>
      <c r="M84" s="320"/>
      <c r="N84" s="320"/>
      <c r="P84" s="1587">
        <f>SUM(P80:P83)</f>
        <v>106483</v>
      </c>
    </row>
    <row r="85" spans="1:16">
      <c r="A85" s="1571"/>
      <c r="B85" s="1571"/>
      <c r="C85" s="1571"/>
      <c r="D85" s="1571"/>
      <c r="E85" s="1571"/>
      <c r="F85" s="1571"/>
      <c r="G85" s="1571"/>
      <c r="H85" s="1571"/>
      <c r="I85" s="249">
        <v>26</v>
      </c>
      <c r="J85" s="234"/>
      <c r="K85" s="234"/>
      <c r="L85" s="234"/>
      <c r="M85" s="332"/>
      <c r="N85" s="332"/>
    </row>
    <row r="86" spans="1:16" ht="15">
      <c r="A86" s="1571"/>
      <c r="B86" s="1571"/>
      <c r="C86" s="1571"/>
      <c r="D86" s="1571"/>
      <c r="E86" s="1571"/>
      <c r="F86" s="1571"/>
      <c r="G86" s="1571"/>
      <c r="H86" s="1571"/>
      <c r="I86" s="249">
        <v>27</v>
      </c>
      <c r="J86" s="234"/>
      <c r="K86" s="1571" t="s">
        <v>2746</v>
      </c>
      <c r="L86" s="234"/>
      <c r="M86" s="332"/>
      <c r="N86" s="332"/>
      <c r="P86" s="1587">
        <f>P84+P77+P74+P65</f>
        <v>8978524</v>
      </c>
    </row>
    <row r="87" spans="1:16">
      <c r="A87" s="1571"/>
      <c r="B87" s="1571"/>
      <c r="C87" s="1571"/>
      <c r="D87" s="1571"/>
      <c r="E87" s="1571"/>
      <c r="F87" s="1571"/>
      <c r="G87" s="1571"/>
      <c r="H87" s="1571"/>
      <c r="I87" s="234"/>
      <c r="J87" s="234"/>
      <c r="K87" s="234"/>
      <c r="L87" s="234"/>
      <c r="M87" s="332"/>
      <c r="N87" s="332"/>
    </row>
    <row r="88" spans="1:16">
      <c r="A88" s="1571"/>
      <c r="B88" s="1571"/>
      <c r="C88" s="1571"/>
      <c r="D88" s="1571"/>
      <c r="E88" s="1571"/>
      <c r="F88" s="1571"/>
      <c r="G88" s="1571"/>
      <c r="H88" s="1571"/>
      <c r="I88" s="234"/>
      <c r="J88" s="234"/>
      <c r="K88" s="234"/>
      <c r="L88" s="234"/>
      <c r="M88" s="332"/>
      <c r="N88" s="332"/>
    </row>
    <row r="89" spans="1:16">
      <c r="A89" s="1571"/>
      <c r="B89" s="1571"/>
      <c r="C89" s="1571"/>
      <c r="D89" s="1571"/>
      <c r="E89" s="1571"/>
      <c r="F89" s="1571"/>
      <c r="G89" s="1571"/>
      <c r="H89" s="1571"/>
      <c r="I89" s="234"/>
      <c r="J89" s="234"/>
      <c r="K89" s="234"/>
      <c r="L89" s="234"/>
      <c r="M89" s="332"/>
      <c r="N89" s="332"/>
    </row>
    <row r="90" spans="1:16">
      <c r="A90" s="1571"/>
      <c r="B90" s="1571"/>
      <c r="C90" s="1571"/>
      <c r="D90" s="1571"/>
      <c r="E90" s="1571"/>
      <c r="F90" s="1571"/>
      <c r="G90" s="1571"/>
      <c r="H90" s="1571"/>
      <c r="I90" s="234"/>
      <c r="J90" s="234"/>
      <c r="L90" s="234"/>
      <c r="M90" s="332"/>
      <c r="N90" s="332"/>
    </row>
    <row r="91" spans="1:16">
      <c r="A91" s="1571"/>
      <c r="B91" s="1571"/>
      <c r="C91" s="1571"/>
      <c r="D91" s="1571"/>
      <c r="E91" s="1571"/>
      <c r="F91" s="1571"/>
      <c r="G91" s="1571"/>
      <c r="H91" s="1571"/>
      <c r="I91" s="234"/>
      <c r="J91" s="234"/>
      <c r="K91" s="234"/>
      <c r="L91" s="234"/>
      <c r="M91" s="332"/>
      <c r="N91" s="332"/>
    </row>
    <row r="92" spans="1:16">
      <c r="A92" s="1571"/>
      <c r="B92" s="1571"/>
      <c r="C92" s="1571"/>
      <c r="D92" s="1571"/>
      <c r="E92" s="1571"/>
      <c r="F92" s="1571"/>
      <c r="G92" s="1571"/>
      <c r="H92" s="1571"/>
      <c r="I92" s="234"/>
      <c r="J92" s="234"/>
      <c r="K92" s="234"/>
      <c r="L92" s="234"/>
      <c r="M92" s="332"/>
      <c r="N92" s="332"/>
    </row>
    <row r="93" spans="1:16">
      <c r="A93" s="1571"/>
      <c r="B93" s="1571"/>
      <c r="C93" s="1571"/>
      <c r="D93" s="1571"/>
      <c r="E93" s="1571"/>
      <c r="F93" s="1571"/>
      <c r="G93" s="1571"/>
      <c r="H93" s="1571"/>
      <c r="I93" s="234"/>
      <c r="J93" s="234"/>
      <c r="K93" s="234"/>
      <c r="L93" s="234"/>
      <c r="M93" s="332"/>
      <c r="N93" s="332"/>
    </row>
    <row r="94" spans="1:16">
      <c r="A94" s="1571"/>
      <c r="B94" s="1571"/>
      <c r="C94" s="1571"/>
      <c r="D94" s="1571"/>
      <c r="E94" s="1571"/>
      <c r="F94" s="1571"/>
      <c r="G94" s="1571"/>
      <c r="H94" s="1571"/>
      <c r="I94" s="234"/>
      <c r="J94" s="234"/>
      <c r="K94" s="234"/>
      <c r="L94" s="234"/>
      <c r="M94" s="332"/>
      <c r="N94" s="332"/>
    </row>
    <row r="95" spans="1:16">
      <c r="A95" s="1571"/>
      <c r="B95" s="1571"/>
      <c r="C95" s="1571"/>
      <c r="D95" s="1571"/>
      <c r="E95" s="1571"/>
      <c r="F95" s="1571"/>
      <c r="G95" s="1571"/>
      <c r="H95" s="1571"/>
      <c r="I95" s="234"/>
      <c r="J95" s="234"/>
      <c r="K95" s="234"/>
      <c r="L95" s="234"/>
      <c r="M95" s="332"/>
      <c r="N95" s="332"/>
    </row>
    <row r="96" spans="1:16">
      <c r="A96" s="1571"/>
      <c r="B96" s="1571"/>
      <c r="C96" s="1571"/>
      <c r="D96" s="1571"/>
      <c r="E96" s="1571"/>
      <c r="F96" s="1571"/>
      <c r="G96" s="1571"/>
      <c r="H96" s="1571"/>
      <c r="I96" s="234"/>
      <c r="J96" s="234"/>
      <c r="K96" s="234"/>
      <c r="L96" s="234"/>
      <c r="M96" s="332"/>
      <c r="N96" s="332"/>
    </row>
    <row r="97" spans="1:14">
      <c r="A97" s="1571"/>
      <c r="B97" s="1571"/>
      <c r="C97" s="1571"/>
      <c r="D97" s="1571"/>
      <c r="E97" s="1571"/>
      <c r="F97" s="1571"/>
      <c r="G97" s="1571"/>
      <c r="H97" s="1571"/>
      <c r="I97" s="234"/>
      <c r="J97" s="234"/>
      <c r="K97" s="234"/>
      <c r="L97" s="234"/>
      <c r="M97" s="332"/>
      <c r="N97" s="332"/>
    </row>
    <row r="98" spans="1:14">
      <c r="A98" s="1571"/>
      <c r="B98" s="1571"/>
      <c r="C98" s="1571"/>
      <c r="D98" s="1571"/>
      <c r="E98" s="1571"/>
      <c r="F98" s="1571"/>
      <c r="G98" s="1571"/>
      <c r="H98" s="1571"/>
      <c r="I98" s="234"/>
      <c r="J98" s="234"/>
      <c r="K98" s="234"/>
      <c r="L98" s="234"/>
      <c r="M98" s="332"/>
      <c r="N98" s="332"/>
    </row>
    <row r="99" spans="1:14">
      <c r="A99" s="1571"/>
      <c r="B99" s="1571"/>
      <c r="C99" s="1571"/>
      <c r="D99" s="1571"/>
      <c r="E99" s="1571"/>
      <c r="F99" s="1571"/>
      <c r="G99" s="1571"/>
      <c r="H99" s="1571"/>
      <c r="I99" s="234"/>
      <c r="J99" s="234"/>
      <c r="K99" s="234"/>
      <c r="L99" s="234"/>
      <c r="M99" s="332"/>
      <c r="N99" s="332"/>
    </row>
    <row r="100" spans="1:14">
      <c r="A100" s="1571"/>
      <c r="B100" s="1571"/>
      <c r="C100" s="1571"/>
      <c r="D100" s="1571"/>
      <c r="E100" s="1571"/>
      <c r="F100" s="1571"/>
      <c r="G100" s="1571"/>
      <c r="H100" s="1571"/>
      <c r="I100" s="234"/>
      <c r="J100" s="234"/>
      <c r="K100" s="234"/>
      <c r="L100" s="234"/>
      <c r="M100" s="332"/>
      <c r="N100" s="332"/>
    </row>
    <row r="101" spans="1:14">
      <c r="A101" s="1571"/>
      <c r="B101" s="1571"/>
      <c r="C101" s="1571"/>
      <c r="D101" s="1571"/>
      <c r="E101" s="1571"/>
      <c r="F101" s="1571"/>
      <c r="G101" s="1571"/>
      <c r="H101" s="1571"/>
      <c r="I101" s="234"/>
      <c r="J101" s="234"/>
      <c r="K101" s="234"/>
      <c r="L101" s="234"/>
      <c r="M101" s="332"/>
      <c r="N101" s="332"/>
    </row>
    <row r="102" spans="1:14">
      <c r="A102" s="1571"/>
      <c r="B102" s="1571"/>
      <c r="C102" s="1571"/>
      <c r="D102" s="1571"/>
      <c r="E102" s="1571"/>
      <c r="F102" s="1571"/>
      <c r="G102" s="1571"/>
      <c r="H102" s="1571"/>
      <c r="I102" s="234"/>
      <c r="J102" s="234"/>
      <c r="K102" s="234"/>
      <c r="L102" s="234"/>
      <c r="M102" s="234"/>
      <c r="N102" s="234"/>
    </row>
    <row r="103" spans="1:14">
      <c r="A103" s="1571"/>
      <c r="B103" s="1571"/>
      <c r="C103" s="1571"/>
      <c r="D103" s="1571"/>
      <c r="E103" s="1571"/>
      <c r="F103" s="1571"/>
      <c r="G103" s="1571"/>
      <c r="H103" s="1571"/>
      <c r="I103" s="234"/>
      <c r="J103" s="234"/>
      <c r="K103" s="234"/>
      <c r="L103" s="234"/>
      <c r="M103" s="234"/>
      <c r="N103" s="234"/>
    </row>
    <row r="104" spans="1:14">
      <c r="A104" s="1571"/>
      <c r="B104" s="1571"/>
      <c r="C104" s="1571"/>
      <c r="D104" s="1571"/>
      <c r="E104" s="1571"/>
      <c r="F104" s="1571"/>
      <c r="G104" s="1571"/>
      <c r="H104" s="1571"/>
      <c r="I104" s="234"/>
      <c r="J104" s="234"/>
      <c r="K104" s="234"/>
      <c r="L104" s="234"/>
      <c r="M104" s="234"/>
      <c r="N104" s="234"/>
    </row>
    <row r="105" spans="1:14">
      <c r="A105" s="1571"/>
      <c r="B105" s="1571"/>
      <c r="C105" s="1571"/>
      <c r="D105" s="1571"/>
      <c r="E105" s="1571"/>
      <c r="F105" s="1571"/>
      <c r="G105" s="1571"/>
      <c r="H105" s="1571"/>
      <c r="I105" s="234"/>
      <c r="J105" s="234"/>
      <c r="K105" s="234"/>
      <c r="L105" s="234"/>
      <c r="M105" s="234"/>
      <c r="N105" s="234"/>
    </row>
    <row r="106" spans="1:14">
      <c r="A106" s="1571"/>
      <c r="B106" s="1571"/>
      <c r="C106" s="1571"/>
      <c r="D106" s="1571"/>
      <c r="E106" s="1571"/>
      <c r="F106" s="1571"/>
      <c r="G106" s="1571"/>
      <c r="H106" s="1571"/>
      <c r="I106" s="234"/>
      <c r="J106" s="234"/>
      <c r="K106" s="234"/>
      <c r="L106" s="234"/>
      <c r="M106" s="234"/>
      <c r="N106" s="234"/>
    </row>
    <row r="107" spans="1:14">
      <c r="A107" s="1571"/>
      <c r="B107" s="1571"/>
      <c r="C107" s="1571"/>
      <c r="D107" s="1571"/>
      <c r="E107" s="1571"/>
      <c r="F107" s="1571"/>
      <c r="G107" s="1571"/>
      <c r="H107" s="1571"/>
      <c r="I107" s="234"/>
      <c r="J107" s="234"/>
      <c r="K107" s="234"/>
      <c r="L107" s="234"/>
      <c r="M107" s="234"/>
      <c r="N107" s="234"/>
    </row>
    <row r="108" spans="1:14">
      <c r="A108" s="1571"/>
      <c r="B108" s="1571"/>
      <c r="C108" s="1571"/>
      <c r="D108" s="1571"/>
      <c r="E108" s="1571"/>
      <c r="F108" s="1571"/>
      <c r="G108" s="1571"/>
      <c r="H108" s="1571"/>
      <c r="I108" s="234"/>
      <c r="J108" s="234"/>
      <c r="K108" s="234"/>
      <c r="L108" s="234"/>
      <c r="M108" s="234"/>
      <c r="N108" s="234"/>
    </row>
    <row r="109" spans="1:14">
      <c r="A109" s="1571"/>
      <c r="B109" s="1571"/>
      <c r="C109" s="1571"/>
      <c r="D109" s="1571"/>
      <c r="E109" s="1571"/>
      <c r="F109" s="1571"/>
      <c r="G109" s="1571"/>
      <c r="H109" s="1571"/>
      <c r="I109" s="234"/>
      <c r="J109" s="234"/>
      <c r="K109" s="234"/>
      <c r="L109" s="234"/>
      <c r="M109" s="234"/>
      <c r="N109" s="234"/>
    </row>
    <row r="110" spans="1:14">
      <c r="A110" s="1571"/>
      <c r="B110" s="1571"/>
      <c r="C110" s="1571"/>
      <c r="D110" s="1571"/>
      <c r="E110" s="1571"/>
      <c r="F110" s="1571"/>
      <c r="G110" s="1571"/>
      <c r="H110" s="1571"/>
      <c r="I110" s="234"/>
      <c r="J110" s="234"/>
      <c r="K110" s="234"/>
      <c r="L110" s="234"/>
      <c r="M110" s="234"/>
      <c r="N110" s="234"/>
    </row>
    <row r="111" spans="1:14">
      <c r="A111" s="1571"/>
      <c r="B111" s="1571"/>
      <c r="C111" s="1571"/>
      <c r="D111" s="1571"/>
      <c r="E111" s="1571"/>
      <c r="F111" s="1571"/>
      <c r="G111" s="1571"/>
      <c r="H111" s="1571"/>
      <c r="I111" s="234"/>
      <c r="J111" s="234"/>
      <c r="K111" s="234"/>
      <c r="L111" s="234"/>
      <c r="M111" s="234"/>
      <c r="N111" s="234"/>
    </row>
    <row r="112" spans="1:14">
      <c r="A112" s="1571"/>
      <c r="B112" s="1571"/>
      <c r="C112" s="1571"/>
      <c r="D112" s="1571"/>
      <c r="E112" s="1571"/>
      <c r="F112" s="1571"/>
      <c r="G112" s="1571"/>
      <c r="H112" s="1571"/>
      <c r="I112" s="234"/>
      <c r="J112" s="234"/>
      <c r="K112" s="234"/>
      <c r="L112" s="234"/>
      <c r="M112" s="234"/>
      <c r="N112" s="234"/>
    </row>
    <row r="113" spans="1:14">
      <c r="A113" s="1571"/>
      <c r="B113" s="1571"/>
      <c r="C113" s="1571"/>
      <c r="D113" s="1571"/>
      <c r="E113" s="1571"/>
      <c r="F113" s="1571"/>
      <c r="G113" s="1571"/>
      <c r="H113" s="1571"/>
      <c r="I113" s="234"/>
      <c r="J113" s="234"/>
      <c r="K113" s="234"/>
      <c r="L113" s="234"/>
      <c r="M113" s="234"/>
      <c r="N113" s="234"/>
    </row>
    <row r="114" spans="1:14">
      <c r="A114" s="1571"/>
      <c r="B114" s="1571"/>
      <c r="C114" s="1571"/>
      <c r="D114" s="1571"/>
      <c r="E114" s="1571"/>
      <c r="F114" s="1571"/>
      <c r="G114" s="1571"/>
      <c r="H114" s="1571"/>
      <c r="I114" s="234"/>
      <c r="J114" s="234"/>
      <c r="K114" s="234"/>
      <c r="L114" s="234"/>
      <c r="M114" s="234"/>
      <c r="N114" s="234"/>
    </row>
    <row r="115" spans="1:14">
      <c r="A115" s="1571"/>
      <c r="B115" s="1571"/>
      <c r="C115" s="1571"/>
      <c r="D115" s="1571"/>
      <c r="E115" s="1571"/>
      <c r="F115" s="1571"/>
      <c r="G115" s="1571"/>
      <c r="H115" s="1571"/>
      <c r="I115" s="234"/>
      <c r="J115" s="234"/>
      <c r="K115" s="234"/>
      <c r="L115" s="234"/>
      <c r="M115" s="234"/>
      <c r="N115" s="234"/>
    </row>
    <row r="116" spans="1:14">
      <c r="A116" s="1571"/>
      <c r="B116" s="1571"/>
      <c r="C116" s="1571"/>
      <c r="D116" s="1571"/>
      <c r="E116" s="1571"/>
      <c r="F116" s="1571"/>
      <c r="G116" s="1571"/>
      <c r="H116" s="1571"/>
      <c r="I116" s="234"/>
      <c r="J116" s="234"/>
      <c r="K116" s="234"/>
      <c r="L116" s="234"/>
      <c r="M116" s="234"/>
      <c r="N116" s="234"/>
    </row>
    <row r="117" spans="1:14">
      <c r="A117" s="1571"/>
      <c r="B117" s="1571"/>
      <c r="C117" s="1571"/>
      <c r="D117" s="1571"/>
      <c r="E117" s="1571"/>
      <c r="F117" s="1571"/>
      <c r="G117" s="1571"/>
      <c r="H117" s="1571"/>
      <c r="I117" s="234"/>
      <c r="J117" s="234"/>
      <c r="K117" s="234"/>
      <c r="L117" s="234"/>
      <c r="M117" s="234"/>
      <c r="N117" s="234"/>
    </row>
    <row r="118" spans="1:14">
      <c r="A118" s="1571"/>
      <c r="B118" s="1571"/>
      <c r="C118" s="1571"/>
      <c r="D118" s="1571"/>
      <c r="E118" s="1571"/>
      <c r="F118" s="1571"/>
      <c r="G118" s="1571"/>
      <c r="H118" s="1571"/>
      <c r="I118" s="234"/>
      <c r="J118" s="234"/>
      <c r="K118" s="234"/>
      <c r="L118" s="234"/>
      <c r="M118" s="234"/>
      <c r="N118" s="234"/>
    </row>
    <row r="119" spans="1:14">
      <c r="A119" s="1571"/>
      <c r="B119" s="1571"/>
      <c r="C119" s="1571"/>
      <c r="D119" s="1571"/>
      <c r="E119" s="1571"/>
      <c r="F119" s="1571"/>
      <c r="G119" s="1571"/>
      <c r="H119" s="1571"/>
      <c r="I119" s="234"/>
      <c r="J119" s="234"/>
      <c r="K119" s="234"/>
      <c r="L119" s="234"/>
      <c r="M119" s="234"/>
      <c r="N119" s="234"/>
    </row>
    <row r="120" spans="1:14">
      <c r="A120" s="1571"/>
      <c r="B120" s="1571"/>
      <c r="C120" s="1571"/>
      <c r="D120" s="1571"/>
      <c r="E120" s="1571"/>
      <c r="F120" s="1571"/>
      <c r="G120" s="1571"/>
      <c r="H120" s="1571"/>
      <c r="I120" s="234"/>
      <c r="J120" s="234"/>
      <c r="K120" s="234"/>
      <c r="L120" s="234"/>
      <c r="M120" s="234"/>
      <c r="N120" s="234"/>
    </row>
    <row r="121" spans="1:14">
      <c r="A121" s="1571"/>
      <c r="B121" s="1571"/>
      <c r="C121" s="1571"/>
      <c r="D121" s="1571"/>
      <c r="E121" s="1571"/>
      <c r="F121" s="1571"/>
      <c r="G121" s="1571"/>
      <c r="H121" s="1571"/>
      <c r="I121" s="234"/>
      <c r="J121" s="234"/>
      <c r="K121" s="234"/>
      <c r="L121" s="234"/>
      <c r="M121" s="234"/>
      <c r="N121" s="234"/>
    </row>
    <row r="122" spans="1:14">
      <c r="A122" s="1571"/>
      <c r="B122" s="1571"/>
      <c r="C122" s="1571"/>
      <c r="D122" s="1571"/>
      <c r="E122" s="1571"/>
      <c r="F122" s="1571"/>
      <c r="G122" s="1571"/>
      <c r="H122" s="1571"/>
      <c r="I122" s="234"/>
      <c r="J122" s="234"/>
      <c r="K122" s="234"/>
      <c r="L122" s="234"/>
      <c r="M122" s="234"/>
      <c r="N122" s="234"/>
    </row>
    <row r="123" spans="1:14">
      <c r="A123" s="1571"/>
      <c r="B123" s="1571"/>
      <c r="C123" s="1571"/>
      <c r="D123" s="1571"/>
      <c r="E123" s="1571"/>
      <c r="F123" s="1571"/>
      <c r="G123" s="1571"/>
      <c r="H123" s="1571"/>
      <c r="I123" s="234"/>
      <c r="J123" s="234"/>
      <c r="K123" s="234"/>
      <c r="L123" s="234"/>
      <c r="M123" s="234"/>
      <c r="N123" s="234"/>
    </row>
    <row r="124" spans="1:14">
      <c r="A124" s="1571"/>
      <c r="B124" s="1571"/>
      <c r="C124" s="1571"/>
      <c r="D124" s="1571"/>
      <c r="E124" s="1571"/>
      <c r="F124" s="1571"/>
      <c r="G124" s="1571"/>
      <c r="H124" s="1571"/>
      <c r="I124" s="234"/>
      <c r="J124" s="234"/>
      <c r="K124" s="234"/>
      <c r="L124" s="234"/>
      <c r="M124" s="234"/>
      <c r="N124" s="234"/>
    </row>
    <row r="125" spans="1:14">
      <c r="A125" s="1571"/>
      <c r="B125" s="1571"/>
      <c r="C125" s="1571"/>
      <c r="D125" s="1571"/>
      <c r="E125" s="1571"/>
      <c r="F125" s="1571"/>
      <c r="G125" s="1571"/>
      <c r="H125" s="1571"/>
      <c r="I125" s="234"/>
      <c r="J125" s="234"/>
      <c r="K125" s="234"/>
      <c r="L125" s="234"/>
      <c r="M125" s="234"/>
      <c r="N125" s="234"/>
    </row>
    <row r="126" spans="1:14">
      <c r="A126" s="1571"/>
      <c r="B126" s="1571"/>
      <c r="C126" s="1571"/>
      <c r="D126" s="1571"/>
      <c r="E126" s="1571"/>
      <c r="F126" s="1571"/>
      <c r="G126" s="1571"/>
      <c r="H126" s="1571"/>
      <c r="I126" s="234"/>
      <c r="J126" s="234"/>
      <c r="K126" s="234"/>
      <c r="L126" s="234"/>
      <c r="M126" s="234"/>
      <c r="N126" s="234"/>
    </row>
    <row r="127" spans="1:14">
      <c r="A127" s="1571"/>
      <c r="B127" s="1571"/>
      <c r="C127" s="1571"/>
      <c r="D127" s="1571"/>
      <c r="E127" s="1571"/>
      <c r="F127" s="1571"/>
      <c r="G127" s="1571"/>
      <c r="H127" s="1571"/>
      <c r="I127" s="234"/>
      <c r="J127" s="234"/>
      <c r="K127" s="234"/>
      <c r="L127" s="234"/>
      <c r="M127" s="234"/>
      <c r="N127" s="234"/>
    </row>
    <row r="128" spans="1:14">
      <c r="A128" s="1571"/>
      <c r="B128" s="1571"/>
      <c r="C128" s="1571"/>
      <c r="D128" s="1571"/>
      <c r="E128" s="1571"/>
      <c r="F128" s="1571"/>
      <c r="G128" s="1571"/>
      <c r="H128" s="1571"/>
      <c r="I128" s="234"/>
      <c r="J128" s="234"/>
      <c r="K128" s="1571"/>
      <c r="L128" s="1571"/>
      <c r="M128" s="1571"/>
      <c r="N128" s="1571"/>
    </row>
    <row r="129" spans="1:14">
      <c r="A129" s="1571"/>
      <c r="B129" s="1571"/>
      <c r="C129" s="1571"/>
      <c r="D129" s="1571"/>
      <c r="E129" s="1571"/>
      <c r="F129" s="1571"/>
      <c r="G129" s="1571"/>
      <c r="H129" s="1571"/>
      <c r="I129" s="234"/>
      <c r="J129" s="234"/>
      <c r="K129" s="1571"/>
      <c r="L129" s="1571"/>
      <c r="M129" s="1571"/>
      <c r="N129" s="1571"/>
    </row>
    <row r="130" spans="1:14">
      <c r="A130" s="1571"/>
      <c r="B130" s="1571"/>
      <c r="C130" s="1571"/>
      <c r="D130" s="1571"/>
      <c r="E130" s="1571"/>
      <c r="F130" s="1571"/>
      <c r="G130" s="1571"/>
      <c r="H130" s="1571"/>
      <c r="I130" s="234"/>
      <c r="J130" s="234"/>
      <c r="K130" s="1571"/>
      <c r="L130" s="1571"/>
      <c r="M130" s="1571"/>
      <c r="N130" s="1571"/>
    </row>
    <row r="131" spans="1:14">
      <c r="A131" s="1571"/>
      <c r="B131" s="1571"/>
      <c r="C131" s="1571"/>
      <c r="D131" s="1571"/>
      <c r="E131" s="1571"/>
      <c r="F131" s="1571"/>
      <c r="G131" s="1571"/>
      <c r="H131" s="1571"/>
      <c r="I131" s="234"/>
      <c r="J131" s="234"/>
      <c r="K131" s="1571"/>
      <c r="L131" s="1571"/>
      <c r="M131" s="1571"/>
      <c r="N131" s="1571"/>
    </row>
    <row r="132" spans="1:14">
      <c r="A132" s="1571"/>
      <c r="B132" s="1571"/>
      <c r="C132" s="1571"/>
      <c r="D132" s="1571"/>
      <c r="E132" s="1571"/>
      <c r="F132" s="1571"/>
      <c r="G132" s="1571"/>
      <c r="H132" s="1571"/>
      <c r="I132" s="234"/>
      <c r="J132" s="234"/>
      <c r="K132" s="1571"/>
      <c r="L132" s="1571"/>
      <c r="M132" s="1571"/>
      <c r="N132" s="1571"/>
    </row>
    <row r="133" spans="1:14">
      <c r="A133" s="1571"/>
      <c r="B133" s="1571"/>
      <c r="C133" s="1571"/>
      <c r="D133" s="1571"/>
      <c r="E133" s="1571"/>
      <c r="F133" s="1571"/>
      <c r="G133" s="1571"/>
      <c r="H133" s="1571"/>
      <c r="I133" s="234"/>
      <c r="J133" s="234"/>
      <c r="K133" s="234"/>
      <c r="L133" s="234"/>
      <c r="M133" s="1571"/>
      <c r="N133" s="1571"/>
    </row>
    <row r="134" spans="1:14">
      <c r="A134" s="1571"/>
      <c r="B134" s="1571"/>
      <c r="C134" s="1571"/>
      <c r="D134" s="1571"/>
      <c r="E134" s="1571"/>
      <c r="F134" s="1571"/>
      <c r="G134" s="1571"/>
      <c r="H134" s="1571"/>
      <c r="I134" s="234"/>
      <c r="J134" s="234"/>
      <c r="K134" s="234"/>
      <c r="L134" s="234"/>
      <c r="M134" s="1571"/>
      <c r="N134" s="1571"/>
    </row>
    <row r="135" spans="1:14">
      <c r="A135" s="1571"/>
      <c r="B135" s="1571"/>
      <c r="C135" s="1571"/>
      <c r="D135" s="1571"/>
      <c r="E135" s="1571"/>
      <c r="F135" s="1571"/>
      <c r="G135" s="1571"/>
      <c r="H135" s="1571"/>
      <c r="I135" s="234"/>
      <c r="J135" s="234"/>
      <c r="K135" s="234"/>
      <c r="L135" s="234"/>
      <c r="M135" s="234"/>
      <c r="N135" s="234"/>
    </row>
    <row r="136" spans="1:14">
      <c r="A136" s="1571"/>
      <c r="B136" s="1571"/>
      <c r="C136" s="1571"/>
      <c r="D136" s="1571"/>
      <c r="E136" s="1571"/>
      <c r="F136" s="1571"/>
      <c r="G136" s="1571"/>
      <c r="H136" s="1571"/>
      <c r="I136" s="234"/>
      <c r="J136" s="234"/>
      <c r="K136" s="249"/>
      <c r="L136" s="249"/>
      <c r="M136" s="234"/>
      <c r="N136" s="234"/>
    </row>
    <row r="137" spans="1:14">
      <c r="A137" s="1571"/>
      <c r="B137" s="1571"/>
      <c r="C137" s="1571"/>
      <c r="D137" s="1571"/>
      <c r="E137" s="1571"/>
      <c r="F137" s="1571"/>
      <c r="G137" s="1571"/>
      <c r="H137" s="1571"/>
      <c r="I137" s="234"/>
      <c r="J137" s="234"/>
      <c r="K137" s="410"/>
      <c r="L137" s="410"/>
      <c r="M137" s="410"/>
      <c r="N137" s="410"/>
    </row>
    <row r="138" spans="1:14">
      <c r="A138" s="1571"/>
      <c r="B138" s="1571"/>
      <c r="C138" s="1571"/>
      <c r="D138" s="1571"/>
      <c r="E138" s="1571"/>
      <c r="F138" s="1571"/>
      <c r="G138" s="1571"/>
      <c r="H138" s="1571"/>
      <c r="I138" s="234"/>
      <c r="J138" s="234"/>
      <c r="K138" s="234"/>
      <c r="L138" s="234"/>
      <c r="M138" s="410"/>
      <c r="N138" s="410"/>
    </row>
  </sheetData>
  <phoneticPr fontId="19" type="noConversion"/>
  <pageMargins left="0.75" right="0.75" top="1" bottom="1" header="0.5" footer="0.5"/>
  <pageSetup scale="59" orientation="portrait" verticalDpi="300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theme="7" tint="-0.249977111117893"/>
  </sheetPr>
  <dimension ref="A1:Y128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2" width="16.140625" style="18" customWidth="1"/>
    <col min="3" max="3" width="12.28515625" style="18" customWidth="1"/>
    <col min="4" max="4" width="13.140625" style="18" customWidth="1"/>
    <col min="5" max="5" width="8.85546875" style="18" customWidth="1"/>
    <col min="6" max="6" width="8" style="18" customWidth="1"/>
    <col min="7" max="7" width="17.42578125" style="18" customWidth="1"/>
    <col min="8" max="8" width="17.7109375" style="18" customWidth="1"/>
    <col min="9" max="9" width="5.28515625" style="18" customWidth="1"/>
    <col min="10" max="10" width="8" style="18" customWidth="1"/>
    <col min="11" max="11" width="1.5703125" style="18" customWidth="1"/>
    <col min="12" max="12" width="28" style="18" customWidth="1"/>
    <col min="13" max="13" width="12.28515625" style="18" customWidth="1"/>
    <col min="14" max="14" width="32.85546875" style="18" customWidth="1"/>
    <col min="15" max="15" width="2.7109375" style="18" customWidth="1"/>
    <col min="16" max="16" width="16.42578125" style="18" customWidth="1"/>
    <col min="17" max="17" width="2.85546875" style="18" customWidth="1"/>
    <col min="18" max="18" width="16.140625" style="18" customWidth="1"/>
    <col min="19" max="19" width="5.7109375" style="18" customWidth="1"/>
    <col min="20" max="20" width="8" style="18" customWidth="1"/>
    <col min="21" max="21" width="14.5703125" style="18" customWidth="1"/>
    <col min="22" max="22" width="13.85546875" style="18" customWidth="1"/>
    <col min="23" max="23" width="13.5703125" style="18" customWidth="1"/>
    <col min="24" max="25" width="12.28515625" style="18" customWidth="1"/>
    <col min="26" max="16384" width="8" style="18"/>
  </cols>
  <sheetData>
    <row r="1" spans="1:22">
      <c r="A1" s="2166" t="str">
        <f>LOGO!B5</f>
        <v>DUKE ENERGY KENTUCKY, INC.</v>
      </c>
      <c r="B1" s="2167"/>
      <c r="C1" s="2167"/>
      <c r="D1" s="2167"/>
      <c r="E1" s="2167"/>
      <c r="F1" s="2167"/>
      <c r="G1" s="2167"/>
      <c r="H1" s="2167"/>
      <c r="I1" s="1178"/>
      <c r="J1" s="1178"/>
      <c r="K1" s="1178"/>
      <c r="L1" s="1178"/>
      <c r="M1" s="1178"/>
      <c r="N1" s="1178"/>
      <c r="O1" s="1178"/>
      <c r="P1" s="1178"/>
      <c r="Q1" s="1178"/>
      <c r="R1" s="1178"/>
      <c r="S1" s="1178"/>
      <c r="T1" s="1178"/>
      <c r="U1" s="1178"/>
      <c r="V1" s="1178"/>
    </row>
    <row r="2" spans="1:22">
      <c r="A2" s="2166" t="str">
        <f>LOGO!B6</f>
        <v>CASE NO. 2017-00321</v>
      </c>
      <c r="B2" s="2167"/>
      <c r="C2" s="2167"/>
      <c r="D2" s="2167"/>
      <c r="E2" s="2167"/>
      <c r="F2" s="2167"/>
      <c r="G2" s="2167"/>
      <c r="H2" s="2167"/>
      <c r="I2" s="1178"/>
      <c r="J2" s="1178"/>
      <c r="K2" s="1178"/>
      <c r="L2" s="1178"/>
      <c r="M2" s="1178"/>
      <c r="N2" s="1178"/>
      <c r="O2" s="1178"/>
      <c r="P2" s="1178"/>
      <c r="Q2" s="1178"/>
      <c r="R2" s="1178"/>
      <c r="S2" s="1178"/>
      <c r="T2" s="1178"/>
      <c r="U2" s="1178"/>
      <c r="V2" s="1178"/>
    </row>
    <row r="3" spans="1:22">
      <c r="A3" s="2166" t="s">
        <v>106</v>
      </c>
      <c r="B3" s="2167"/>
      <c r="C3" s="2167"/>
      <c r="D3" s="2167"/>
      <c r="E3" s="2167"/>
      <c r="F3" s="2167"/>
      <c r="G3" s="2167"/>
      <c r="H3" s="2167"/>
      <c r="I3" s="1178"/>
      <c r="J3" s="1178"/>
      <c r="K3" s="1178"/>
      <c r="L3" s="1178"/>
      <c r="M3" s="1178"/>
      <c r="N3" s="1178"/>
      <c r="O3" s="1178"/>
      <c r="P3" s="1178"/>
      <c r="Q3" s="1178"/>
      <c r="R3" s="1178"/>
      <c r="S3" s="1178"/>
      <c r="T3" s="1178"/>
      <c r="U3" s="1178"/>
      <c r="V3" s="1178"/>
    </row>
    <row r="4" spans="1:22">
      <c r="A4" s="2166" t="str">
        <f>LOGO!B8</f>
        <v>FOR THE TWELVE MONTHS ENDED MARCH 31, 2019</v>
      </c>
      <c r="B4" s="2167"/>
      <c r="C4" s="2167"/>
      <c r="D4" s="2167"/>
      <c r="E4" s="2167"/>
      <c r="F4" s="2167"/>
      <c r="G4" s="2167"/>
      <c r="H4" s="2167"/>
      <c r="I4" s="1178"/>
      <c r="J4" s="1178"/>
      <c r="K4" s="1178"/>
      <c r="L4" s="1178"/>
      <c r="M4" s="1178"/>
      <c r="N4" s="1178"/>
      <c r="O4" s="1178"/>
      <c r="P4" s="1178"/>
      <c r="Q4" s="1178"/>
      <c r="R4" s="1178"/>
      <c r="S4" s="1178"/>
      <c r="T4" s="1178"/>
      <c r="U4" s="1178"/>
      <c r="V4" s="1178"/>
    </row>
    <row r="5" spans="1:22">
      <c r="A5" s="1178"/>
      <c r="B5" s="1178"/>
      <c r="C5" s="1178"/>
      <c r="D5" s="1178"/>
      <c r="E5" s="1178"/>
      <c r="F5" s="1178"/>
      <c r="G5" s="1178"/>
      <c r="H5" s="1178"/>
      <c r="I5" s="1178"/>
      <c r="J5" s="1178"/>
      <c r="K5" s="1178"/>
      <c r="L5" s="1178"/>
      <c r="M5" s="1178"/>
      <c r="N5" s="1178"/>
      <c r="O5" s="1178"/>
      <c r="P5" s="1178"/>
      <c r="Q5" s="1178"/>
      <c r="R5" s="1178"/>
      <c r="S5" s="1178"/>
      <c r="T5" s="1178"/>
      <c r="U5" s="1178"/>
      <c r="V5" s="1178"/>
    </row>
    <row r="6" spans="1:22">
      <c r="A6" s="2252" t="str">
        <f>DataF</f>
        <v>DATA:  BASE PERIOD  "X" FORECASTED PERIOD</v>
      </c>
      <c r="B6" s="1178"/>
      <c r="C6" s="1178"/>
      <c r="D6" s="1178"/>
      <c r="E6" s="1178"/>
      <c r="F6" s="1178"/>
      <c r="G6" s="2253" t="s">
        <v>2258</v>
      </c>
      <c r="H6" s="1178"/>
      <c r="I6" s="1178"/>
      <c r="J6" s="1178"/>
      <c r="K6" s="1178"/>
      <c r="L6" s="1178"/>
      <c r="M6" s="1178"/>
      <c r="N6" s="1178"/>
      <c r="O6" s="1178"/>
      <c r="P6" s="1178"/>
      <c r="Q6" s="1178"/>
      <c r="R6" s="1178"/>
      <c r="S6" s="1178"/>
      <c r="T6" s="1178"/>
      <c r="U6" s="1178"/>
      <c r="V6" s="1178"/>
    </row>
    <row r="7" spans="1:22">
      <c r="A7" s="2252" t="str">
        <f>LOGO!B15</f>
        <v xml:space="preserve">TYPE OF FILING:  "X" ORIGINAL   UPDATED    REVISED  </v>
      </c>
      <c r="B7" s="1178"/>
      <c r="C7" s="1178"/>
      <c r="D7" s="1178"/>
      <c r="E7" s="1178"/>
      <c r="F7" s="1178"/>
      <c r="G7" s="2253" t="s">
        <v>235</v>
      </c>
      <c r="H7" s="1178"/>
      <c r="I7" s="1178"/>
      <c r="J7" s="1178"/>
      <c r="K7" s="1178"/>
      <c r="L7" s="1178"/>
      <c r="M7" s="1178"/>
      <c r="N7" s="1178"/>
      <c r="O7" s="1178"/>
      <c r="P7" s="1178"/>
      <c r="Q7" s="1178"/>
      <c r="R7" s="1178"/>
      <c r="S7" s="1178"/>
      <c r="T7" s="1178"/>
      <c r="U7" s="1178"/>
      <c r="V7" s="1178"/>
    </row>
    <row r="8" spans="1:22">
      <c r="A8" s="1496" t="s">
        <v>2259</v>
      </c>
      <c r="B8" s="1178"/>
      <c r="C8" s="1178"/>
      <c r="D8" s="1178"/>
      <c r="E8" s="1178"/>
      <c r="F8" s="1178"/>
      <c r="G8" s="2253" t="s">
        <v>705</v>
      </c>
      <c r="H8" s="1178"/>
      <c r="I8" s="1178"/>
      <c r="J8" s="1178"/>
      <c r="K8" s="1178"/>
      <c r="L8" s="1178"/>
      <c r="M8" s="1178"/>
      <c r="N8" s="1178"/>
      <c r="O8" s="1178"/>
      <c r="P8" s="1178"/>
      <c r="Q8" s="1178"/>
      <c r="R8" s="1178"/>
      <c r="S8" s="1178"/>
      <c r="T8" s="1178"/>
      <c r="U8" s="1178"/>
      <c r="V8" s="1178"/>
    </row>
    <row r="9" spans="1:22">
      <c r="A9" s="1178"/>
      <c r="B9" s="1178"/>
      <c r="C9" s="1178"/>
      <c r="D9" s="1178"/>
      <c r="E9" s="1178"/>
      <c r="F9" s="1178"/>
      <c r="G9" s="1496" t="str">
        <f>"          "&amp;_WIT1</f>
        <v xml:space="preserve">          S. E. LAWLER</v>
      </c>
      <c r="H9" s="1178"/>
      <c r="I9" s="1178"/>
      <c r="J9" s="1178"/>
      <c r="K9" s="1178"/>
      <c r="L9" s="1178"/>
      <c r="M9" s="1178"/>
      <c r="N9" s="1178"/>
      <c r="O9" s="1178"/>
      <c r="P9" s="1178"/>
      <c r="Q9" s="1178"/>
      <c r="R9" s="1178"/>
      <c r="S9" s="1178"/>
      <c r="T9" s="1178"/>
      <c r="U9" s="1178"/>
      <c r="V9" s="1178"/>
    </row>
    <row r="10" spans="1:22">
      <c r="A10" s="2168"/>
      <c r="B10" s="2168"/>
      <c r="C10" s="2168"/>
      <c r="D10" s="2168"/>
      <c r="E10" s="2168"/>
      <c r="F10" s="2168"/>
      <c r="G10" s="2168"/>
      <c r="H10" s="2168"/>
      <c r="I10" s="1178"/>
      <c r="J10" s="1178"/>
      <c r="K10" s="1178"/>
      <c r="L10" s="1178"/>
      <c r="M10" s="1178"/>
      <c r="N10" s="1178"/>
      <c r="O10" s="1178"/>
      <c r="P10" s="1178"/>
      <c r="Q10" s="1178"/>
      <c r="R10" s="1178"/>
      <c r="S10" s="1178"/>
      <c r="T10" s="1178"/>
      <c r="U10" s="1178"/>
      <c r="V10" s="1178"/>
    </row>
    <row r="11" spans="1:22">
      <c r="A11" s="1178"/>
      <c r="B11" s="1178"/>
      <c r="C11" s="1178"/>
      <c r="D11" s="1178"/>
      <c r="E11" s="1178"/>
      <c r="F11" s="1178"/>
      <c r="G11" s="1178"/>
      <c r="H11" s="1178"/>
      <c r="I11" s="1178"/>
      <c r="J11" s="1178"/>
      <c r="K11" s="1178"/>
      <c r="L11" s="1178"/>
      <c r="M11" s="1178"/>
      <c r="N11" s="1178"/>
      <c r="O11" s="1178"/>
      <c r="P11" s="1178"/>
      <c r="Q11" s="1178"/>
      <c r="R11" s="1178"/>
      <c r="S11" s="1178"/>
      <c r="T11" s="1178"/>
      <c r="U11" s="1178"/>
      <c r="V11" s="1178"/>
    </row>
    <row r="12" spans="1:22">
      <c r="A12" s="1496" t="s">
        <v>1246</v>
      </c>
      <c r="B12" s="1178"/>
      <c r="C12" s="1178"/>
      <c r="D12" s="1178"/>
      <c r="E12" s="1178"/>
      <c r="F12" s="1178"/>
      <c r="G12" s="1178"/>
      <c r="H12" s="2169" t="s">
        <v>364</v>
      </c>
      <c r="I12" s="1178"/>
      <c r="J12" s="1178"/>
      <c r="K12" s="1178"/>
      <c r="L12" s="1178"/>
      <c r="M12" s="1178"/>
      <c r="N12" s="1178"/>
      <c r="O12" s="1178"/>
      <c r="P12" s="1178"/>
      <c r="Q12" s="1178"/>
      <c r="R12" s="1178"/>
      <c r="S12" s="1178"/>
      <c r="T12" s="1178"/>
      <c r="U12" s="1178"/>
      <c r="V12" s="1178"/>
    </row>
    <row r="13" spans="1:22">
      <c r="A13" s="2168"/>
      <c r="B13" s="2168"/>
      <c r="C13" s="2168"/>
      <c r="D13" s="2168"/>
      <c r="E13" s="2168"/>
      <c r="F13" s="2168"/>
      <c r="G13" s="2168"/>
      <c r="H13" s="2168"/>
      <c r="I13" s="1178"/>
      <c r="J13" s="1178"/>
      <c r="K13" s="1178"/>
      <c r="L13" s="1178"/>
      <c r="M13" s="1178"/>
      <c r="N13" s="1178"/>
      <c r="O13" s="1178"/>
      <c r="P13" s="1178"/>
      <c r="Q13" s="1178"/>
      <c r="R13" s="1178"/>
      <c r="S13" s="1178"/>
      <c r="T13" s="1178"/>
      <c r="U13" s="1178"/>
      <c r="V13" s="1178"/>
    </row>
    <row r="14" spans="1:22">
      <c r="A14" s="1178"/>
      <c r="B14" s="1178"/>
      <c r="C14" s="1178"/>
      <c r="D14" s="1178"/>
      <c r="E14" s="1178"/>
      <c r="F14" s="1178"/>
      <c r="G14" s="1178"/>
      <c r="H14" s="1178"/>
      <c r="I14" s="1178"/>
      <c r="J14" s="1178"/>
      <c r="K14" s="1178"/>
      <c r="L14" s="1178"/>
      <c r="M14" s="1178"/>
      <c r="N14" s="1178"/>
      <c r="O14" s="1178"/>
      <c r="P14" s="1178"/>
      <c r="Q14" s="1178"/>
      <c r="R14" s="1178"/>
      <c r="S14" s="1178"/>
      <c r="T14" s="1178"/>
      <c r="U14" s="1178"/>
      <c r="V14" s="1178"/>
    </row>
    <row r="15" spans="1:22">
      <c r="A15" s="1581" t="s">
        <v>107</v>
      </c>
      <c r="B15" s="1178"/>
      <c r="C15" s="1178"/>
      <c r="D15" s="1178"/>
      <c r="E15" s="1178"/>
      <c r="F15" s="1178"/>
      <c r="G15" s="1178"/>
      <c r="H15" s="1178"/>
      <c r="I15" s="1178"/>
      <c r="J15" s="1178"/>
      <c r="K15" s="1178"/>
      <c r="L15" s="1178"/>
      <c r="M15" s="1178"/>
      <c r="N15" s="1178"/>
      <c r="O15" s="1178"/>
      <c r="P15" s="1178"/>
      <c r="Q15" s="1178"/>
      <c r="R15" s="1178"/>
      <c r="S15" s="1178"/>
      <c r="T15" s="1178"/>
      <c r="U15" s="1178"/>
      <c r="V15" s="1178"/>
    </row>
    <row r="16" spans="1:22">
      <c r="A16" s="1581" t="s">
        <v>544</v>
      </c>
      <c r="B16" s="1178"/>
      <c r="C16" s="1178"/>
      <c r="D16" s="1178"/>
      <c r="E16" s="1178"/>
      <c r="F16" s="1178"/>
      <c r="G16" s="1178"/>
      <c r="H16" s="1178"/>
      <c r="I16" s="1178"/>
      <c r="J16" s="1178"/>
      <c r="K16" s="1178"/>
      <c r="L16" s="1178"/>
      <c r="M16" s="1178"/>
      <c r="N16" s="1178"/>
      <c r="O16" s="1178"/>
      <c r="P16" s="1178"/>
      <c r="Q16" s="1178"/>
      <c r="R16" s="1178"/>
      <c r="S16" s="1178"/>
      <c r="T16" s="1178"/>
      <c r="U16" s="1178"/>
      <c r="V16" s="1178"/>
    </row>
    <row r="17" spans="1:22">
      <c r="A17" s="1581"/>
      <c r="B17" s="1178"/>
      <c r="C17" s="1178"/>
      <c r="D17" s="1178"/>
      <c r="E17" s="1178"/>
      <c r="F17" s="1178"/>
      <c r="G17" s="1178"/>
      <c r="H17" s="1178"/>
      <c r="I17" s="1178"/>
      <c r="J17" s="1178"/>
      <c r="K17" s="1178"/>
      <c r="L17" s="1178"/>
      <c r="M17" s="1178"/>
      <c r="N17" s="1178"/>
      <c r="O17" s="1178"/>
      <c r="P17" s="1178"/>
      <c r="Q17" s="1178"/>
      <c r="R17" s="1178"/>
      <c r="S17" s="1178"/>
      <c r="T17" s="1178"/>
      <c r="U17" s="1178"/>
      <c r="V17" s="1178"/>
    </row>
    <row r="18" spans="1:22">
      <c r="A18" s="1581"/>
      <c r="B18" s="1178"/>
      <c r="C18" s="1178"/>
      <c r="D18" s="1178"/>
      <c r="E18" s="1178"/>
      <c r="F18" s="1178"/>
      <c r="G18" s="1178"/>
      <c r="H18" s="1178"/>
      <c r="I18" s="1178"/>
      <c r="J18" s="1178"/>
      <c r="K18" s="1178"/>
      <c r="L18" s="1178"/>
      <c r="M18" s="1178"/>
      <c r="N18" s="1178"/>
      <c r="O18" s="1178"/>
      <c r="P18" s="1178"/>
      <c r="Q18" s="1178"/>
      <c r="R18" s="1178"/>
      <c r="S18" s="1178"/>
      <c r="T18" s="1178"/>
      <c r="U18" s="1178"/>
      <c r="V18" s="1178"/>
    </row>
    <row r="19" spans="1:22">
      <c r="A19" s="1496"/>
      <c r="B19" s="1178"/>
      <c r="C19" s="1178"/>
      <c r="D19" s="1178"/>
      <c r="E19" s="1496"/>
      <c r="F19" s="1178"/>
      <c r="G19" s="1178"/>
      <c r="H19" s="2254"/>
      <c r="I19" s="1178"/>
      <c r="J19" s="1178"/>
      <c r="K19" s="1178"/>
      <c r="L19" s="1178"/>
      <c r="M19" s="1178"/>
      <c r="N19" s="1178"/>
      <c r="O19" s="1178"/>
      <c r="P19" s="1178"/>
      <c r="Q19" s="1178"/>
      <c r="R19" s="1178"/>
      <c r="S19" s="1178"/>
      <c r="T19" s="1178"/>
      <c r="U19" s="1178"/>
      <c r="V19" s="1178"/>
    </row>
    <row r="20" spans="1:22">
      <c r="A20" s="1496" t="s">
        <v>424</v>
      </c>
      <c r="B20" s="1178"/>
      <c r="C20" s="1178"/>
      <c r="D20" s="1178"/>
      <c r="E20" s="1496"/>
      <c r="F20" s="1178"/>
      <c r="G20" s="1178"/>
      <c r="H20" s="1375">
        <f>R108</f>
        <v>0</v>
      </c>
      <c r="I20" s="1178"/>
      <c r="J20" s="1178"/>
      <c r="K20" s="1178"/>
      <c r="L20" s="1178"/>
      <c r="M20" s="1178"/>
      <c r="N20" s="1178"/>
      <c r="O20" s="1178"/>
      <c r="P20" s="1178"/>
      <c r="Q20" s="1178"/>
      <c r="R20" s="1178"/>
      <c r="S20" s="1178"/>
      <c r="T20" s="1178"/>
      <c r="U20" s="1178"/>
      <c r="V20" s="1178"/>
    </row>
    <row r="21" spans="1:22">
      <c r="A21" s="1496" t="s">
        <v>780</v>
      </c>
      <c r="B21" s="1178"/>
      <c r="C21" s="1178"/>
      <c r="D21" s="1178"/>
      <c r="E21" s="1496"/>
      <c r="F21" s="1178"/>
      <c r="G21" s="1178"/>
      <c r="H21" s="2255">
        <f t="shared" ref="H21:H27" si="0">R109</f>
        <v>-1777</v>
      </c>
      <c r="I21" s="1178"/>
      <c r="J21" s="1178"/>
      <c r="K21" s="1178"/>
      <c r="L21" s="1178"/>
      <c r="M21" s="1178"/>
      <c r="N21" s="1178"/>
      <c r="O21" s="1178"/>
      <c r="P21" s="1178"/>
      <c r="Q21" s="1178"/>
      <c r="R21" s="1178"/>
      <c r="S21" s="1178"/>
      <c r="T21" s="1178"/>
      <c r="U21" s="1178"/>
      <c r="V21" s="1178"/>
    </row>
    <row r="22" spans="1:22">
      <c r="A22" s="1496" t="s">
        <v>897</v>
      </c>
      <c r="B22" s="1178"/>
      <c r="C22" s="1178"/>
      <c r="D22" s="1178"/>
      <c r="E22" s="1496"/>
      <c r="F22" s="1178"/>
      <c r="G22" s="1178"/>
      <c r="H22" s="1503">
        <f t="shared" si="0"/>
        <v>0</v>
      </c>
      <c r="I22" s="1178"/>
      <c r="J22" s="1178"/>
      <c r="K22" s="1178"/>
      <c r="L22" s="1178"/>
      <c r="M22" s="1178"/>
      <c r="N22" s="1178"/>
      <c r="O22" s="1178"/>
      <c r="P22" s="1178"/>
      <c r="Q22" s="1178"/>
      <c r="R22" s="1178"/>
      <c r="S22" s="1178"/>
      <c r="T22" s="1178"/>
      <c r="U22" s="1178"/>
      <c r="V22" s="1178"/>
    </row>
    <row r="23" spans="1:22">
      <c r="A23" s="1496" t="s">
        <v>172</v>
      </c>
      <c r="B23" s="1178"/>
      <c r="C23" s="1178"/>
      <c r="D23" s="1178"/>
      <c r="E23" s="1496"/>
      <c r="F23" s="1178"/>
      <c r="G23" s="1178"/>
      <c r="H23" s="1503">
        <f t="shared" si="0"/>
        <v>0</v>
      </c>
      <c r="I23" s="1178"/>
      <c r="J23" s="1178"/>
      <c r="K23" s="1178"/>
      <c r="L23" s="1178"/>
      <c r="M23" s="1178"/>
      <c r="N23" s="1178"/>
      <c r="O23" s="1178"/>
      <c r="P23" s="1178"/>
      <c r="Q23" s="1178"/>
      <c r="R23" s="1178"/>
      <c r="S23" s="1178"/>
      <c r="T23" s="1178"/>
      <c r="U23" s="1178"/>
      <c r="V23" s="1178"/>
    </row>
    <row r="24" spans="1:22">
      <c r="A24" s="1496" t="s">
        <v>173</v>
      </c>
      <c r="B24" s="1178"/>
      <c r="C24" s="1178"/>
      <c r="D24" s="1178"/>
      <c r="E24" s="1496"/>
      <c r="F24" s="1178"/>
      <c r="G24" s="1178"/>
      <c r="H24" s="1503">
        <f t="shared" si="0"/>
        <v>-18293</v>
      </c>
      <c r="I24" s="1178"/>
      <c r="J24" s="1178"/>
      <c r="K24" s="1178"/>
      <c r="L24" s="1178"/>
      <c r="M24" s="1178"/>
      <c r="N24" s="1178"/>
      <c r="O24" s="1178"/>
      <c r="P24" s="1178"/>
      <c r="Q24" s="1178"/>
      <c r="R24" s="1178"/>
      <c r="S24" s="1178"/>
      <c r="T24" s="1178"/>
      <c r="U24" s="1178"/>
      <c r="V24" s="1178"/>
    </row>
    <row r="25" spans="1:22">
      <c r="A25" s="1496" t="s">
        <v>174</v>
      </c>
      <c r="B25" s="1178"/>
      <c r="C25" s="1178"/>
      <c r="D25" s="1178"/>
      <c r="E25" s="1496"/>
      <c r="F25" s="1178"/>
      <c r="G25" s="1178"/>
      <c r="H25" s="1503">
        <f t="shared" si="0"/>
        <v>0</v>
      </c>
      <c r="I25" s="1178"/>
      <c r="J25" s="1178"/>
      <c r="K25" s="1178"/>
      <c r="L25" s="1178"/>
      <c r="M25" s="1178"/>
      <c r="N25" s="1178"/>
      <c r="O25" s="1178"/>
      <c r="P25" s="1178"/>
      <c r="Q25" s="1178"/>
      <c r="R25" s="1178"/>
      <c r="S25" s="1178"/>
      <c r="T25" s="1178"/>
      <c r="U25" s="1178"/>
      <c r="V25" s="1178"/>
    </row>
    <row r="26" spans="1:22">
      <c r="A26" s="1496" t="s">
        <v>176</v>
      </c>
      <c r="B26" s="1178"/>
      <c r="C26" s="1178"/>
      <c r="D26" s="1178"/>
      <c r="E26" s="1496"/>
      <c r="F26" s="1178"/>
      <c r="G26" s="1178"/>
      <c r="H26" s="1503">
        <f t="shared" si="0"/>
        <v>-122062</v>
      </c>
      <c r="I26" s="1178"/>
      <c r="J26" s="1178"/>
      <c r="K26" s="1178"/>
      <c r="L26" s="1178"/>
      <c r="M26" s="1178"/>
      <c r="N26" s="1178"/>
      <c r="O26" s="1178"/>
      <c r="P26" s="1178"/>
      <c r="Q26" s="1178"/>
      <c r="R26" s="1178"/>
      <c r="S26" s="1178"/>
      <c r="T26" s="1178"/>
      <c r="U26" s="1178"/>
      <c r="V26" s="1178"/>
    </row>
    <row r="27" spans="1:22">
      <c r="A27" s="1496" t="s">
        <v>951</v>
      </c>
      <c r="B27" s="1178"/>
      <c r="C27" s="1178"/>
      <c r="D27" s="1178"/>
      <c r="E27" s="1496"/>
      <c r="F27" s="1178"/>
      <c r="G27" s="1178"/>
      <c r="H27" s="1503">
        <f t="shared" si="0"/>
        <v>-16879</v>
      </c>
      <c r="I27" s="1178"/>
      <c r="J27" s="1178"/>
      <c r="K27" s="1178"/>
      <c r="L27" s="1178"/>
      <c r="M27" s="1178"/>
      <c r="N27" s="1178"/>
      <c r="O27" s="1178"/>
      <c r="P27" s="1178"/>
      <c r="Q27" s="1178"/>
      <c r="R27" s="1178"/>
      <c r="S27" s="1178"/>
      <c r="T27" s="1178"/>
      <c r="U27" s="1178"/>
      <c r="V27" s="1178"/>
    </row>
    <row r="28" spans="1:22">
      <c r="A28" s="1496" t="s">
        <v>502</v>
      </c>
      <c r="B28" s="1178"/>
      <c r="C28" s="1178"/>
      <c r="D28" s="1178"/>
      <c r="E28" s="1496"/>
      <c r="F28" s="1178"/>
      <c r="G28" s="1178"/>
      <c r="H28" s="2256">
        <f>R116</f>
        <v>-380881</v>
      </c>
      <c r="I28" s="1178"/>
      <c r="J28" s="1178"/>
      <c r="K28" s="1178"/>
      <c r="L28" s="1178"/>
      <c r="M28" s="1178"/>
      <c r="N28" s="1178"/>
      <c r="O28" s="1178"/>
      <c r="P28" s="1178"/>
      <c r="Q28" s="1178"/>
      <c r="R28" s="1178"/>
      <c r="S28" s="1178"/>
      <c r="T28" s="1178"/>
      <c r="U28" s="1178"/>
      <c r="V28" s="1178"/>
    </row>
    <row r="29" spans="1:22">
      <c r="A29" s="1496" t="s">
        <v>295</v>
      </c>
      <c r="B29" s="1178"/>
      <c r="C29" s="1178"/>
      <c r="D29" s="1178"/>
      <c r="E29" s="1496" t="s">
        <v>264</v>
      </c>
      <c r="F29" s="1178"/>
      <c r="G29" s="1178"/>
      <c r="H29" s="1375">
        <f>SUM(H20:H28)</f>
        <v>-539892</v>
      </c>
      <c r="I29" s="1178"/>
      <c r="J29" s="1178"/>
      <c r="K29" s="1178"/>
      <c r="L29" s="1178"/>
      <c r="M29" s="1178"/>
      <c r="N29" s="1178"/>
      <c r="O29" s="1178"/>
      <c r="P29" s="1178"/>
      <c r="Q29" s="1178"/>
      <c r="R29" s="1178"/>
      <c r="S29" s="1178"/>
      <c r="T29" s="1178"/>
      <c r="U29" s="1178"/>
      <c r="V29" s="1178"/>
    </row>
    <row r="30" spans="1:22">
      <c r="A30" s="1178"/>
      <c r="B30" s="1178"/>
      <c r="C30" s="1178"/>
      <c r="D30" s="1178"/>
      <c r="E30" s="1178"/>
      <c r="F30" s="1178"/>
      <c r="G30" s="1178"/>
      <c r="H30" s="2255"/>
      <c r="I30" s="1178"/>
      <c r="J30" s="1178"/>
      <c r="K30" s="1178"/>
      <c r="L30" s="1178"/>
      <c r="M30" s="1178"/>
      <c r="N30" s="1178"/>
      <c r="O30" s="1178"/>
      <c r="P30" s="1178"/>
      <c r="Q30" s="1178"/>
      <c r="R30" s="1178"/>
      <c r="S30" s="1178"/>
      <c r="T30" s="1178"/>
      <c r="U30" s="1178"/>
      <c r="V30" s="1178"/>
    </row>
    <row r="31" spans="1:22">
      <c r="A31" s="1496" t="s">
        <v>266</v>
      </c>
      <c r="B31" s="1178"/>
      <c r="C31" s="1178"/>
      <c r="D31" s="1178"/>
      <c r="E31" s="1178"/>
      <c r="F31" s="1178"/>
      <c r="G31" s="1178"/>
      <c r="H31" s="2257">
        <f>VLOOKUP(C36,ALLOCTABLE,2)/100</f>
        <v>1</v>
      </c>
      <c r="I31" s="1178"/>
      <c r="J31" s="1178"/>
      <c r="K31" s="1178"/>
      <c r="L31" s="1178"/>
      <c r="M31" s="1178"/>
      <c r="N31" s="1178"/>
      <c r="O31" s="1178"/>
      <c r="P31" s="1178"/>
      <c r="Q31" s="1178"/>
      <c r="R31" s="1178"/>
      <c r="S31" s="1178"/>
      <c r="T31" s="1178"/>
      <c r="U31" s="1178"/>
      <c r="V31" s="1178"/>
    </row>
    <row r="32" spans="1:22">
      <c r="A32" s="1178"/>
      <c r="B32" s="1178"/>
      <c r="C32" s="1178"/>
      <c r="D32" s="1178"/>
      <c r="E32" s="1178"/>
      <c r="F32" s="1178"/>
      <c r="G32" s="1178"/>
      <c r="H32" s="1178"/>
      <c r="I32" s="1178"/>
      <c r="J32" s="1178"/>
      <c r="K32" s="1178"/>
      <c r="L32" s="1178"/>
      <c r="M32" s="1178"/>
      <c r="N32" s="1178"/>
      <c r="O32" s="1178"/>
      <c r="P32" s="1178"/>
      <c r="Q32" s="1178"/>
      <c r="R32" s="1178"/>
      <c r="S32" s="1178"/>
      <c r="T32" s="1178"/>
      <c r="U32" s="1178"/>
      <c r="V32" s="1178"/>
    </row>
    <row r="33" spans="1:22" ht="15">
      <c r="A33" s="1496" t="s">
        <v>1236</v>
      </c>
      <c r="B33" s="1178"/>
      <c r="C33" s="1178"/>
      <c r="D33" s="1178"/>
      <c r="E33" s="1178"/>
      <c r="F33" s="1178"/>
      <c r="G33" s="1178"/>
      <c r="H33" s="1381">
        <f>ROUND(H29*H31,0)</f>
        <v>-539892</v>
      </c>
      <c r="I33" s="1178"/>
      <c r="J33" s="1178"/>
      <c r="K33" s="1178"/>
      <c r="L33" s="1178"/>
      <c r="M33" s="1178"/>
      <c r="N33" s="1178"/>
      <c r="O33" s="1178"/>
      <c r="P33" s="1178"/>
      <c r="Q33" s="1178"/>
      <c r="R33" s="1178"/>
      <c r="S33" s="1178"/>
      <c r="T33" s="1178"/>
      <c r="U33" s="1178"/>
      <c r="V33" s="1178"/>
    </row>
    <row r="34" spans="1:22">
      <c r="A34" s="1178"/>
      <c r="B34" s="1178"/>
      <c r="C34" s="1178"/>
      <c r="D34" s="1178"/>
      <c r="E34" s="1178"/>
      <c r="F34" s="1178"/>
      <c r="G34" s="1178"/>
      <c r="H34" s="2258"/>
      <c r="I34" s="1178"/>
      <c r="J34" s="1178"/>
      <c r="K34" s="1178"/>
      <c r="L34" s="1178"/>
      <c r="M34" s="1178"/>
      <c r="N34" s="1178"/>
      <c r="O34" s="1178"/>
      <c r="P34" s="1178"/>
      <c r="Q34" s="1178"/>
      <c r="R34" s="1178"/>
      <c r="S34" s="1178"/>
      <c r="T34" s="1178"/>
      <c r="U34" s="1178"/>
      <c r="V34" s="1178"/>
    </row>
    <row r="35" spans="1:22">
      <c r="A35" s="1178"/>
      <c r="B35" s="1178"/>
      <c r="C35" s="1178"/>
      <c r="D35" s="1178"/>
      <c r="E35" s="1178"/>
      <c r="F35" s="1178"/>
      <c r="G35" s="1178"/>
      <c r="H35" s="1178"/>
      <c r="I35" s="1178"/>
      <c r="J35" s="1178"/>
      <c r="K35" s="1178"/>
      <c r="L35" s="1178"/>
      <c r="M35" s="1178"/>
      <c r="N35" s="1178"/>
      <c r="O35" s="1178"/>
      <c r="P35" s="1178"/>
      <c r="Q35" s="1178"/>
      <c r="R35" s="1178"/>
      <c r="S35" s="1178"/>
      <c r="T35" s="1178"/>
      <c r="U35" s="1178"/>
      <c r="V35" s="1178"/>
    </row>
    <row r="36" spans="1:22">
      <c r="A36" s="1496" t="s">
        <v>1237</v>
      </c>
      <c r="B36" s="1178"/>
      <c r="C36" s="2259" t="s">
        <v>593</v>
      </c>
      <c r="D36" s="1178"/>
      <c r="E36" s="1178"/>
      <c r="F36" s="1178"/>
      <c r="G36" s="1178"/>
      <c r="H36" s="1178"/>
      <c r="I36" s="1178"/>
      <c r="J36" s="1178"/>
      <c r="K36" s="1178"/>
      <c r="L36" s="1178"/>
      <c r="M36" s="1178"/>
      <c r="N36" s="1178"/>
      <c r="O36" s="1178"/>
      <c r="P36" s="1178"/>
      <c r="Q36" s="1178"/>
      <c r="R36" s="1178"/>
      <c r="S36" s="1178"/>
      <c r="T36" s="1178"/>
      <c r="U36" s="1178"/>
      <c r="V36" s="1178"/>
    </row>
    <row r="37" spans="1:22">
      <c r="A37" s="1496"/>
      <c r="B37" s="1178"/>
      <c r="C37" s="1178"/>
      <c r="D37" s="1178"/>
      <c r="E37" s="1178"/>
      <c r="F37" s="1178"/>
      <c r="G37" s="1178"/>
      <c r="H37" s="1178"/>
      <c r="I37" s="1178"/>
      <c r="J37" s="1178"/>
      <c r="K37" s="1178"/>
      <c r="L37" s="1178"/>
      <c r="M37" s="1178"/>
      <c r="N37" s="1178"/>
      <c r="O37" s="1178"/>
      <c r="P37" s="1178"/>
      <c r="Q37" s="1178"/>
      <c r="R37" s="1178"/>
      <c r="S37" s="1178"/>
      <c r="T37" s="1178"/>
      <c r="U37" s="1178"/>
      <c r="V37" s="1178"/>
    </row>
    <row r="38" spans="1:22">
      <c r="A38" s="1178"/>
      <c r="B38" s="1178"/>
      <c r="C38" s="1178"/>
      <c r="D38" s="1178"/>
      <c r="E38" s="1178"/>
      <c r="F38" s="1178"/>
      <c r="G38" s="1178"/>
      <c r="H38" s="2260"/>
      <c r="I38" s="1178"/>
      <c r="J38" s="1178"/>
      <c r="K38" s="1178"/>
      <c r="L38" s="1178"/>
      <c r="M38" s="1178"/>
      <c r="N38" s="1178"/>
      <c r="O38" s="1178"/>
      <c r="P38" s="1178"/>
      <c r="Q38" s="1178"/>
      <c r="R38" s="1178"/>
      <c r="S38" s="1178"/>
      <c r="T38" s="1178"/>
      <c r="U38" s="1178"/>
      <c r="V38" s="1178"/>
    </row>
    <row r="39" spans="1:22">
      <c r="A39" s="1178"/>
      <c r="B39" s="1178"/>
      <c r="C39" s="1178"/>
      <c r="D39" s="1178"/>
      <c r="E39" s="1178"/>
      <c r="F39" s="1178"/>
      <c r="G39" s="1178"/>
      <c r="H39" s="2261"/>
      <c r="I39" s="1178"/>
      <c r="J39" s="1178"/>
      <c r="K39" s="1178"/>
      <c r="L39" s="1178"/>
      <c r="M39" s="1178"/>
      <c r="N39" s="1178"/>
      <c r="O39" s="1178"/>
      <c r="P39" s="1178"/>
      <c r="Q39" s="1178"/>
      <c r="R39" s="1178"/>
      <c r="S39" s="1178"/>
      <c r="T39" s="1178"/>
      <c r="U39" s="1178"/>
      <c r="V39" s="1178"/>
    </row>
    <row r="40" spans="1:22">
      <c r="A40" s="1178"/>
      <c r="B40" s="1178"/>
      <c r="C40" s="1178"/>
      <c r="D40" s="1178"/>
      <c r="E40" s="1178"/>
      <c r="F40" s="1178"/>
      <c r="G40" s="1178"/>
      <c r="H40" s="2262"/>
      <c r="I40" s="1178"/>
      <c r="J40" s="1178"/>
      <c r="K40" s="1178"/>
      <c r="L40" s="1178"/>
      <c r="M40" s="1178"/>
      <c r="N40" s="1178"/>
      <c r="O40" s="1178"/>
      <c r="P40" s="1178"/>
      <c r="Q40" s="1178"/>
      <c r="R40" s="1178"/>
      <c r="S40" s="1178"/>
      <c r="T40" s="1178"/>
      <c r="U40" s="1178"/>
      <c r="V40" s="1178"/>
    </row>
    <row r="41" spans="1:22">
      <c r="A41" s="1178"/>
      <c r="B41" s="1178"/>
      <c r="C41" s="1178"/>
      <c r="D41" s="1178"/>
      <c r="E41" s="1178"/>
      <c r="F41" s="1178"/>
      <c r="G41" s="1178"/>
      <c r="H41" s="1178"/>
      <c r="I41" s="1178"/>
      <c r="J41" s="1178"/>
      <c r="K41" s="1178"/>
      <c r="L41" s="1178"/>
      <c r="M41" s="1178"/>
      <c r="N41" s="1178"/>
      <c r="O41" s="1178"/>
      <c r="P41" s="1178"/>
      <c r="Q41" s="1178"/>
      <c r="R41" s="1178"/>
      <c r="S41" s="1178"/>
      <c r="T41" s="1178"/>
      <c r="U41" s="1178"/>
      <c r="V41" s="1178"/>
    </row>
    <row r="42" spans="1:22">
      <c r="A42" s="1178"/>
      <c r="B42" s="1178"/>
      <c r="C42" s="1178"/>
      <c r="D42" s="1178"/>
      <c r="E42" s="1178"/>
      <c r="F42" s="1178"/>
      <c r="G42" s="1178"/>
      <c r="H42" s="1178"/>
      <c r="I42" s="1178"/>
      <c r="J42" s="1629" t="str">
        <f>COMPANY</f>
        <v>DUKE ENERGY KENTUCKY, INC.</v>
      </c>
      <c r="K42" s="530"/>
      <c r="L42" s="530"/>
      <c r="M42" s="530"/>
      <c r="N42" s="530"/>
      <c r="O42" s="530"/>
      <c r="P42" s="1629" t="s">
        <v>1532</v>
      </c>
      <c r="Q42" s="530"/>
      <c r="R42" s="1178"/>
      <c r="S42" s="1178"/>
      <c r="T42" s="1178"/>
      <c r="U42" s="1178"/>
      <c r="V42" s="1178"/>
    </row>
    <row r="43" spans="1:22">
      <c r="A43" s="1178"/>
      <c r="B43" s="1178"/>
      <c r="C43" s="1178"/>
      <c r="D43" s="1178"/>
      <c r="E43" s="1178"/>
      <c r="F43" s="1178"/>
      <c r="G43" s="1178"/>
      <c r="H43" s="1178"/>
      <c r="I43" s="1178"/>
      <c r="J43" s="1629" t="str">
        <f>DEPT</f>
        <v>ELECTRIC DEPARTMENT</v>
      </c>
      <c r="K43" s="530"/>
      <c r="L43" s="530"/>
      <c r="M43" s="530"/>
      <c r="N43" s="530"/>
      <c r="O43" s="530"/>
      <c r="P43" s="1629" t="s">
        <v>1239</v>
      </c>
      <c r="Q43" s="530"/>
      <c r="R43" s="1178"/>
      <c r="S43" s="1178"/>
      <c r="T43" s="1178"/>
      <c r="U43" s="1178"/>
      <c r="V43" s="1178"/>
    </row>
    <row r="44" spans="1:22">
      <c r="A44" s="1178"/>
      <c r="B44" s="1178"/>
      <c r="C44" s="1178"/>
      <c r="D44" s="1178"/>
      <c r="E44" s="1178"/>
      <c r="F44" s="1178"/>
      <c r="G44" s="1178"/>
      <c r="H44" s="1178"/>
      <c r="I44" s="1178"/>
      <c r="J44" s="1629" t="str">
        <f>CASE</f>
        <v>CASE NO. 2017-00321</v>
      </c>
      <c r="K44" s="530"/>
      <c r="L44" s="530"/>
      <c r="M44" s="530"/>
      <c r="N44" s="530"/>
      <c r="O44" s="530"/>
      <c r="P44" s="530" t="str">
        <f>_WIT1</f>
        <v>S. E. LAWLER</v>
      </c>
      <c r="Q44" s="530"/>
      <c r="R44" s="1178"/>
      <c r="S44" s="1178"/>
      <c r="T44" s="1178"/>
      <c r="U44" s="1178"/>
      <c r="V44" s="1178"/>
    </row>
    <row r="45" spans="1:22">
      <c r="A45" s="1178"/>
      <c r="B45" s="1178"/>
      <c r="C45" s="1178"/>
      <c r="D45" s="1178"/>
      <c r="E45" s="1178"/>
      <c r="F45" s="1178"/>
      <c r="G45" s="1178"/>
      <c r="H45" s="1178"/>
      <c r="I45" s="1178"/>
      <c r="J45" s="1629" t="str">
        <f>A3</f>
        <v>ELIMINATE MISCELLANEOUS EXPENSES</v>
      </c>
      <c r="K45" s="530"/>
      <c r="L45" s="530"/>
      <c r="M45" s="530"/>
      <c r="N45" s="530"/>
      <c r="O45" s="530"/>
      <c r="P45" s="2107"/>
      <c r="Q45" s="530"/>
      <c r="R45" s="1178"/>
      <c r="S45" s="1178"/>
      <c r="T45" s="1178"/>
      <c r="U45" s="1178"/>
      <c r="V45" s="1178"/>
    </row>
    <row r="46" spans="1:22">
      <c r="A46" s="1178"/>
      <c r="B46" s="1178"/>
      <c r="C46" s="1178"/>
      <c r="D46" s="1178"/>
      <c r="E46" s="1178"/>
      <c r="F46" s="1178"/>
      <c r="G46" s="1178"/>
      <c r="H46" s="1178"/>
      <c r="I46" s="1178"/>
      <c r="J46" s="1629"/>
      <c r="K46" s="530"/>
      <c r="L46" s="530"/>
      <c r="M46" s="530"/>
      <c r="N46" s="530"/>
      <c r="O46" s="530"/>
      <c r="P46" s="530"/>
      <c r="Q46" s="530"/>
      <c r="R46" s="1178"/>
      <c r="S46" s="1178"/>
      <c r="T46" s="1178"/>
      <c r="U46" s="1178"/>
      <c r="V46" s="1178"/>
    </row>
    <row r="47" spans="1:22">
      <c r="A47" s="1178"/>
      <c r="B47" s="1178"/>
      <c r="C47" s="1178"/>
      <c r="D47" s="1178"/>
      <c r="E47" s="1178"/>
      <c r="F47" s="1178"/>
      <c r="G47" s="1178"/>
      <c r="H47" s="1178"/>
      <c r="I47" s="1178"/>
      <c r="J47" s="1178"/>
      <c r="K47" s="1178"/>
      <c r="L47" s="1178"/>
      <c r="M47" s="1178"/>
      <c r="N47" s="1178"/>
      <c r="O47" s="1178"/>
      <c r="P47" s="1178"/>
      <c r="Q47" s="1178"/>
      <c r="R47" s="1178"/>
      <c r="S47" s="1178"/>
      <c r="T47" s="1178"/>
      <c r="U47" s="1178"/>
      <c r="V47" s="1178"/>
    </row>
    <row r="48" spans="1:22">
      <c r="A48" s="1178"/>
      <c r="B48" s="1178"/>
      <c r="C48" s="1178"/>
      <c r="D48" s="1178"/>
      <c r="E48" s="1178"/>
      <c r="F48" s="1178"/>
      <c r="G48" s="1178"/>
      <c r="H48" s="1178"/>
      <c r="I48" s="1178"/>
      <c r="J48" s="1178"/>
      <c r="K48" s="1178"/>
      <c r="L48" s="1178"/>
      <c r="M48" s="1178"/>
      <c r="N48" s="1178"/>
      <c r="O48" s="1178"/>
      <c r="P48" s="1178"/>
      <c r="Q48" s="1178"/>
      <c r="R48" s="1178"/>
      <c r="S48" s="1178"/>
      <c r="T48" s="1178"/>
      <c r="U48" s="1178"/>
      <c r="V48" s="1178"/>
    </row>
    <row r="49" spans="1:25">
      <c r="A49" s="1178"/>
      <c r="B49" s="1178"/>
      <c r="C49" s="1178"/>
      <c r="D49" s="1178"/>
      <c r="E49" s="1178"/>
      <c r="F49" s="1178"/>
      <c r="G49" s="1178"/>
      <c r="H49" s="1178"/>
      <c r="I49" s="1178"/>
      <c r="J49" s="1423" t="s">
        <v>1240</v>
      </c>
      <c r="K49" s="1423"/>
      <c r="L49" s="1423"/>
      <c r="M49" s="1423"/>
      <c r="N49" s="1423"/>
      <c r="O49" s="1423"/>
      <c r="P49" s="1423" t="s">
        <v>626</v>
      </c>
      <c r="Q49" s="1423"/>
      <c r="R49" s="1423"/>
      <c r="S49" s="1423"/>
      <c r="T49" s="1423"/>
      <c r="U49" s="1423"/>
      <c r="V49" s="1423"/>
      <c r="W49" s="52" t="s">
        <v>1588</v>
      </c>
      <c r="X49" s="52" t="s">
        <v>3034</v>
      </c>
    </row>
    <row r="50" spans="1:25">
      <c r="A50" s="1178"/>
      <c r="B50" s="1178"/>
      <c r="C50" s="1178"/>
      <c r="D50" s="1178"/>
      <c r="E50" s="1178"/>
      <c r="F50" s="1178"/>
      <c r="G50" s="1178"/>
      <c r="H50" s="1178"/>
      <c r="I50" s="1178"/>
      <c r="J50" s="1424" t="s">
        <v>1241</v>
      </c>
      <c r="K50" s="1424"/>
      <c r="L50" s="430" t="s">
        <v>2625</v>
      </c>
      <c r="M50" s="1844" t="s">
        <v>1118</v>
      </c>
      <c r="N50" s="1844" t="s">
        <v>1119</v>
      </c>
      <c r="O50" s="1424"/>
      <c r="P50" s="1424" t="s">
        <v>1120</v>
      </c>
      <c r="Q50" s="1424"/>
      <c r="R50" s="1424" t="s">
        <v>1242</v>
      </c>
      <c r="S50" s="1424"/>
      <c r="T50" s="1424"/>
      <c r="U50" s="1424"/>
      <c r="V50" s="430" t="s">
        <v>2961</v>
      </c>
      <c r="W50" s="430" t="s">
        <v>3032</v>
      </c>
      <c r="X50" s="430" t="s">
        <v>3033</v>
      </c>
      <c r="Y50" s="430" t="s">
        <v>3035</v>
      </c>
    </row>
    <row r="51" spans="1:25">
      <c r="A51" s="1178"/>
      <c r="B51" s="1178"/>
      <c r="C51" s="1178"/>
      <c r="D51" s="1178"/>
      <c r="E51" s="1178"/>
      <c r="F51" s="1178"/>
      <c r="G51" s="1178"/>
      <c r="H51" s="1178"/>
      <c r="I51" s="1178"/>
      <c r="J51" s="1424"/>
      <c r="K51" s="1424"/>
      <c r="L51" s="1755"/>
      <c r="M51" s="1844"/>
      <c r="N51" s="2263"/>
      <c r="O51" s="1424"/>
      <c r="P51" s="1424"/>
      <c r="Q51" s="1424"/>
      <c r="R51" s="1424"/>
      <c r="S51" s="1424"/>
      <c r="T51" s="1424"/>
      <c r="U51" s="1424"/>
      <c r="V51" s="1601" t="s">
        <v>365</v>
      </c>
      <c r="W51" s="1601" t="s">
        <v>318</v>
      </c>
      <c r="X51" s="1601" t="s">
        <v>319</v>
      </c>
      <c r="Y51" s="1601" t="s">
        <v>3036</v>
      </c>
    </row>
    <row r="52" spans="1:25">
      <c r="A52" s="1178"/>
      <c r="B52" s="1178"/>
      <c r="C52" s="1178"/>
      <c r="D52" s="1178"/>
      <c r="E52" s="1178"/>
      <c r="F52" s="1178"/>
      <c r="G52" s="1178"/>
      <c r="H52" s="1178"/>
      <c r="I52" s="1178"/>
      <c r="J52" s="1423">
        <v>1</v>
      </c>
      <c r="K52" s="1178"/>
      <c r="L52" s="2264" t="s">
        <v>2617</v>
      </c>
      <c r="M52" s="2265">
        <v>913001</v>
      </c>
      <c r="N52" s="55" t="str">
        <f t="shared" ref="N52:N86" si="1">VLOOKUP(M52,FPERIOD,2,FALSE)</f>
        <v>Advertising Expense</v>
      </c>
      <c r="O52" s="1178"/>
      <c r="P52" s="1690">
        <v>793</v>
      </c>
      <c r="Q52" s="2266"/>
      <c r="R52" s="2266">
        <f>-P52</f>
        <v>-793</v>
      </c>
      <c r="S52" s="2260"/>
      <c r="T52" s="1178" t="s">
        <v>714</v>
      </c>
      <c r="U52" s="2260"/>
      <c r="V52" s="2267">
        <v>584</v>
      </c>
      <c r="W52" s="2267">
        <v>190</v>
      </c>
      <c r="X52" s="2266">
        <f t="shared" ref="X52:X95" si="2">ROUND(W52*1.1,0)</f>
        <v>209</v>
      </c>
      <c r="Y52" s="1347">
        <f t="shared" ref="Y52:Y95" si="3">X52+V52</f>
        <v>793</v>
      </c>
    </row>
    <row r="53" spans="1:25">
      <c r="A53" s="1178"/>
      <c r="B53" s="1178"/>
      <c r="C53" s="1178"/>
      <c r="D53" s="1178"/>
      <c r="E53" s="1178"/>
      <c r="F53" s="1178"/>
      <c r="G53" s="1178"/>
      <c r="H53" s="1178"/>
      <c r="I53" s="1178"/>
      <c r="J53" s="1423">
        <v>2</v>
      </c>
      <c r="K53" s="1178"/>
      <c r="L53" s="2264" t="s">
        <v>2617</v>
      </c>
      <c r="M53" s="2265">
        <v>920000</v>
      </c>
      <c r="N53" s="55" t="str">
        <f t="shared" si="1"/>
        <v>A &amp; G Salaries</v>
      </c>
      <c r="O53" s="1178"/>
      <c r="P53" s="1690">
        <v>20714</v>
      </c>
      <c r="Q53" s="2266"/>
      <c r="R53" s="2266">
        <f>-P53</f>
        <v>-20714</v>
      </c>
      <c r="S53" s="2260"/>
      <c r="T53" s="1178" t="s">
        <v>711</v>
      </c>
      <c r="U53" s="2260"/>
      <c r="V53" s="2267">
        <v>15246</v>
      </c>
      <c r="W53" s="2267">
        <v>4971</v>
      </c>
      <c r="X53" s="2266">
        <f t="shared" si="2"/>
        <v>5468</v>
      </c>
      <c r="Y53" s="1347">
        <f t="shared" si="3"/>
        <v>20714</v>
      </c>
    </row>
    <row r="54" spans="1:25">
      <c r="A54" s="1178"/>
      <c r="B54" s="1178"/>
      <c r="C54" s="1178"/>
      <c r="D54" s="1178"/>
      <c r="E54" s="1178"/>
      <c r="F54" s="1178"/>
      <c r="G54" s="1178"/>
      <c r="H54" s="1178"/>
      <c r="I54" s="1178"/>
      <c r="J54" s="1423">
        <v>3</v>
      </c>
      <c r="K54" s="1178"/>
      <c r="L54" s="2264" t="s">
        <v>2617</v>
      </c>
      <c r="M54" s="2265">
        <v>921100</v>
      </c>
      <c r="N54" s="55" t="str">
        <f t="shared" si="1"/>
        <v>Employee Expenses</v>
      </c>
      <c r="O54" s="1178"/>
      <c r="P54" s="1690">
        <v>606</v>
      </c>
      <c r="Q54" s="2266"/>
      <c r="R54" s="2266">
        <f>-P54</f>
        <v>-606</v>
      </c>
      <c r="S54" s="2260"/>
      <c r="T54" s="1178" t="s">
        <v>711</v>
      </c>
      <c r="U54" s="2260"/>
      <c r="V54" s="2267">
        <v>450</v>
      </c>
      <c r="W54" s="2267">
        <v>142</v>
      </c>
      <c r="X54" s="2266">
        <f t="shared" si="2"/>
        <v>156</v>
      </c>
      <c r="Y54" s="1347">
        <f t="shared" si="3"/>
        <v>606</v>
      </c>
    </row>
    <row r="55" spans="1:25">
      <c r="A55" s="1178"/>
      <c r="B55" s="1178"/>
      <c r="C55" s="1178"/>
      <c r="D55" s="1178"/>
      <c r="E55" s="1178"/>
      <c r="F55" s="1178"/>
      <c r="G55" s="1178"/>
      <c r="H55" s="1178"/>
      <c r="I55" s="1178"/>
      <c r="J55" s="1423">
        <v>4</v>
      </c>
      <c r="K55" s="1178"/>
      <c r="L55" s="2264" t="s">
        <v>2617</v>
      </c>
      <c r="M55" s="2265">
        <v>921200</v>
      </c>
      <c r="N55" s="55" t="str">
        <f t="shared" si="1"/>
        <v>Office Expenses</v>
      </c>
      <c r="O55" s="1178"/>
      <c r="P55" s="1690">
        <v>113176</v>
      </c>
      <c r="Q55" s="2266"/>
      <c r="R55" s="2266">
        <f t="shared" ref="R55:R62" si="4">-P55</f>
        <v>-113176</v>
      </c>
      <c r="S55" s="2266"/>
      <c r="T55" s="1178" t="s">
        <v>711</v>
      </c>
      <c r="U55" s="2260"/>
      <c r="V55" s="2267">
        <v>82298</v>
      </c>
      <c r="W55" s="2267">
        <v>28071</v>
      </c>
      <c r="X55" s="2266">
        <f t="shared" si="2"/>
        <v>30878</v>
      </c>
      <c r="Y55" s="1347">
        <f t="shared" si="3"/>
        <v>113176</v>
      </c>
    </row>
    <row r="56" spans="1:25">
      <c r="A56" s="1178"/>
      <c r="B56" s="1178"/>
      <c r="C56" s="1178"/>
      <c r="D56" s="1178"/>
      <c r="E56" s="1178"/>
      <c r="F56" s="1178"/>
      <c r="G56" s="1178"/>
      <c r="H56" s="1178"/>
      <c r="I56" s="1178"/>
      <c r="J56" s="1423">
        <v>5</v>
      </c>
      <c r="K56" s="1178"/>
      <c r="L56" s="2264" t="s">
        <v>2617</v>
      </c>
      <c r="M56" s="2265">
        <v>921400</v>
      </c>
      <c r="N56" s="55" t="str">
        <f t="shared" si="1"/>
        <v>Computer Services Expenses</v>
      </c>
      <c r="O56" s="1178"/>
      <c r="P56" s="1690">
        <v>53</v>
      </c>
      <c r="Q56" s="2266"/>
      <c r="R56" s="2266">
        <f>-P56</f>
        <v>-53</v>
      </c>
      <c r="S56" s="2266"/>
      <c r="T56" s="1178" t="s">
        <v>711</v>
      </c>
      <c r="U56" s="2260"/>
      <c r="V56" s="2267">
        <v>17</v>
      </c>
      <c r="W56" s="2267">
        <v>33</v>
      </c>
      <c r="X56" s="2266">
        <f t="shared" si="2"/>
        <v>36</v>
      </c>
      <c r="Y56" s="1347">
        <f t="shared" si="3"/>
        <v>53</v>
      </c>
    </row>
    <row r="57" spans="1:25">
      <c r="A57" s="1178"/>
      <c r="B57" s="1178"/>
      <c r="C57" s="1178"/>
      <c r="D57" s="1178"/>
      <c r="E57" s="1178"/>
      <c r="F57" s="1178"/>
      <c r="G57" s="1178"/>
      <c r="H57" s="1178"/>
      <c r="I57" s="1178"/>
      <c r="J57" s="1423">
        <v>6</v>
      </c>
      <c r="K57" s="1178"/>
      <c r="L57" s="2264" t="s">
        <v>2617</v>
      </c>
      <c r="M57" s="2265">
        <v>923000</v>
      </c>
      <c r="N57" s="55" t="str">
        <f t="shared" si="1"/>
        <v>Outside Services Employed</v>
      </c>
      <c r="O57" s="1178"/>
      <c r="P57" s="1690">
        <v>1594</v>
      </c>
      <c r="Q57" s="2266"/>
      <c r="R57" s="2266">
        <f t="shared" si="4"/>
        <v>-1594</v>
      </c>
      <c r="S57" s="2266"/>
      <c r="T57" s="1178" t="s">
        <v>711</v>
      </c>
      <c r="U57" s="2260"/>
      <c r="V57" s="2267">
        <v>1161</v>
      </c>
      <c r="W57" s="2267">
        <v>394</v>
      </c>
      <c r="X57" s="2266">
        <f t="shared" si="2"/>
        <v>433</v>
      </c>
      <c r="Y57" s="1347">
        <f t="shared" si="3"/>
        <v>1594</v>
      </c>
    </row>
    <row r="58" spans="1:25">
      <c r="A58" s="1178"/>
      <c r="B58" s="1178"/>
      <c r="C58" s="1178"/>
      <c r="D58" s="1178"/>
      <c r="E58" s="1178"/>
      <c r="F58" s="1178"/>
      <c r="G58" s="1178"/>
      <c r="H58" s="1178"/>
      <c r="I58" s="1178"/>
      <c r="J58" s="1423">
        <v>7</v>
      </c>
      <c r="K58" s="1178"/>
      <c r="L58" s="2264" t="s">
        <v>2617</v>
      </c>
      <c r="M58" s="2265">
        <v>926600</v>
      </c>
      <c r="N58" s="55" t="str">
        <f t="shared" si="1"/>
        <v>Employee Benefits-Transferred</v>
      </c>
      <c r="O58" s="1178"/>
      <c r="P58" s="1690">
        <v>7270</v>
      </c>
      <c r="Q58" s="2266"/>
      <c r="R58" s="2266">
        <f t="shared" si="4"/>
        <v>-7270</v>
      </c>
      <c r="S58" s="2266"/>
      <c r="T58" s="1178" t="s">
        <v>711</v>
      </c>
      <c r="U58" s="2260"/>
      <c r="V58" s="2267">
        <v>5354</v>
      </c>
      <c r="W58" s="2267">
        <v>1742</v>
      </c>
      <c r="X58" s="2266">
        <f t="shared" si="2"/>
        <v>1916</v>
      </c>
      <c r="Y58" s="1347">
        <f t="shared" si="3"/>
        <v>7270</v>
      </c>
    </row>
    <row r="59" spans="1:25">
      <c r="A59" s="1178"/>
      <c r="B59" s="1178"/>
      <c r="C59" s="1178"/>
      <c r="D59" s="1178"/>
      <c r="E59" s="1178"/>
      <c r="F59" s="1178"/>
      <c r="G59" s="1178"/>
      <c r="H59" s="1178"/>
      <c r="I59" s="1178"/>
      <c r="J59" s="1423">
        <v>8</v>
      </c>
      <c r="K59" s="1178"/>
      <c r="L59" s="2264" t="s">
        <v>2617</v>
      </c>
      <c r="M59" s="2265">
        <v>408960</v>
      </c>
      <c r="N59" s="55" t="str">
        <f>VLOOKUP(M59,FPERIOD,2,FALSE)</f>
        <v>Allocated Payroll Taxes</v>
      </c>
      <c r="O59" s="1178"/>
      <c r="P59" s="1690">
        <v>2346</v>
      </c>
      <c r="Q59" s="2266"/>
      <c r="R59" s="2266">
        <f>-P59</f>
        <v>-2346</v>
      </c>
      <c r="S59" s="2266"/>
      <c r="T59" s="1178" t="s">
        <v>1188</v>
      </c>
      <c r="U59" s="2260"/>
      <c r="V59" s="2267">
        <v>1728</v>
      </c>
      <c r="W59" s="2267">
        <v>562</v>
      </c>
      <c r="X59" s="2266">
        <f t="shared" si="2"/>
        <v>618</v>
      </c>
      <c r="Y59" s="1347">
        <f t="shared" si="3"/>
        <v>2346</v>
      </c>
    </row>
    <row r="60" spans="1:25">
      <c r="A60" s="1178"/>
      <c r="B60" s="1178"/>
      <c r="C60" s="1178"/>
      <c r="D60" s="1178"/>
      <c r="E60" s="1178"/>
      <c r="F60" s="1178"/>
      <c r="G60" s="1178"/>
      <c r="H60" s="1178"/>
      <c r="I60" s="1178"/>
      <c r="J60" s="1423">
        <v>9</v>
      </c>
      <c r="K60" s="1178"/>
      <c r="L60" s="2264" t="s">
        <v>3203</v>
      </c>
      <c r="M60" s="2265">
        <v>913001</v>
      </c>
      <c r="N60" s="55" t="str">
        <f t="shared" ref="N60:N61" si="5">VLOOKUP(M60,FPERIOD,2,FALSE)</f>
        <v>Advertising Expense</v>
      </c>
      <c r="O60" s="1178"/>
      <c r="P60" s="1690">
        <v>398</v>
      </c>
      <c r="Q60" s="2266"/>
      <c r="R60" s="2266">
        <f t="shared" ref="R60:R61" si="6">-P60</f>
        <v>-398</v>
      </c>
      <c r="S60" s="2260"/>
      <c r="T60" s="1178" t="s">
        <v>714</v>
      </c>
      <c r="U60" s="2260"/>
      <c r="V60" s="2267">
        <v>293</v>
      </c>
      <c r="W60" s="2267">
        <v>95.17</v>
      </c>
      <c r="X60" s="2266">
        <f t="shared" ref="X60:X61" si="7">ROUND(W60*1.1,0)</f>
        <v>105</v>
      </c>
      <c r="Y60" s="1347">
        <f t="shared" ref="Y60:Y61" si="8">X60+V60</f>
        <v>398</v>
      </c>
    </row>
    <row r="61" spans="1:25">
      <c r="A61" s="1178"/>
      <c r="B61" s="1178"/>
      <c r="C61" s="1178"/>
      <c r="D61" s="1178"/>
      <c r="E61" s="1178"/>
      <c r="F61" s="1178"/>
      <c r="G61" s="1178"/>
      <c r="H61" s="1178"/>
      <c r="I61" s="1178"/>
      <c r="J61" s="1423">
        <v>10</v>
      </c>
      <c r="K61" s="1178"/>
      <c r="L61" s="2264" t="s">
        <v>3204</v>
      </c>
      <c r="M61" s="2265">
        <v>913001</v>
      </c>
      <c r="N61" s="55" t="str">
        <f t="shared" si="5"/>
        <v>Advertising Expense</v>
      </c>
      <c r="O61" s="1178"/>
      <c r="P61" s="1690">
        <f>711-45</f>
        <v>666</v>
      </c>
      <c r="Q61" s="2266"/>
      <c r="R61" s="2266">
        <f t="shared" si="6"/>
        <v>-666</v>
      </c>
      <c r="S61" s="2260"/>
      <c r="T61" s="1178" t="s">
        <v>714</v>
      </c>
      <c r="U61" s="2260"/>
      <c r="V61" s="2267">
        <f>522</f>
        <v>522</v>
      </c>
      <c r="W61" s="2267">
        <f>170+2</f>
        <v>172</v>
      </c>
      <c r="X61" s="2266">
        <f t="shared" si="7"/>
        <v>189</v>
      </c>
      <c r="Y61" s="1347">
        <f t="shared" si="8"/>
        <v>711</v>
      </c>
    </row>
    <row r="62" spans="1:25">
      <c r="A62" s="1178"/>
      <c r="B62" s="1178"/>
      <c r="C62" s="1178"/>
      <c r="D62" s="1178"/>
      <c r="E62" s="1178"/>
      <c r="F62" s="1178"/>
      <c r="G62" s="1178"/>
      <c r="H62" s="1178"/>
      <c r="I62" s="1178"/>
      <c r="J62" s="1423">
        <v>11</v>
      </c>
      <c r="K62" s="1178"/>
      <c r="L62" s="2264" t="s">
        <v>2618</v>
      </c>
      <c r="M62" s="2265">
        <v>903000</v>
      </c>
      <c r="N62" s="55" t="str">
        <f t="shared" si="1"/>
        <v>Cust Records &amp; Collection Exp</v>
      </c>
      <c r="O62" s="1178"/>
      <c r="P62" s="1690">
        <v>18116</v>
      </c>
      <c r="Q62" s="2266"/>
      <c r="R62" s="2266">
        <f t="shared" si="4"/>
        <v>-18116</v>
      </c>
      <c r="S62" s="2266"/>
      <c r="T62" s="1178" t="s">
        <v>421</v>
      </c>
      <c r="U62" s="2260"/>
      <c r="V62" s="2267">
        <v>13190</v>
      </c>
      <c r="W62" s="2267">
        <v>4478</v>
      </c>
      <c r="X62" s="2266">
        <f t="shared" si="2"/>
        <v>4926</v>
      </c>
      <c r="Y62" s="1347">
        <f t="shared" si="3"/>
        <v>18116</v>
      </c>
    </row>
    <row r="63" spans="1:25">
      <c r="A63" s="1178"/>
      <c r="B63" s="1178"/>
      <c r="C63" s="1178"/>
      <c r="D63" s="1178"/>
      <c r="E63" s="1178"/>
      <c r="F63" s="1178"/>
      <c r="G63" s="1178"/>
      <c r="H63" s="1178"/>
      <c r="I63" s="1178"/>
      <c r="J63" s="1423">
        <v>12</v>
      </c>
      <c r="K63" s="1178"/>
      <c r="L63" s="2264" t="s">
        <v>2618</v>
      </c>
      <c r="M63" s="2265">
        <v>903100</v>
      </c>
      <c r="N63" s="55" t="str">
        <f t="shared" si="1"/>
        <v>Cust Contracts &amp; Orders-Local</v>
      </c>
      <c r="O63" s="1178"/>
      <c r="P63" s="1690">
        <v>66</v>
      </c>
      <c r="Q63" s="2266"/>
      <c r="R63" s="2266">
        <f>-P63</f>
        <v>-66</v>
      </c>
      <c r="S63" s="2266"/>
      <c r="T63" s="1178" t="s">
        <v>421</v>
      </c>
      <c r="U63" s="2260"/>
      <c r="V63" s="2267">
        <v>45</v>
      </c>
      <c r="W63" s="2267">
        <v>19</v>
      </c>
      <c r="X63" s="2266">
        <f t="shared" si="2"/>
        <v>21</v>
      </c>
      <c r="Y63" s="1347">
        <f t="shared" si="3"/>
        <v>66</v>
      </c>
    </row>
    <row r="64" spans="1:25">
      <c r="A64" s="1178"/>
      <c r="B64" s="1178"/>
      <c r="C64" s="1178"/>
      <c r="D64" s="1178"/>
      <c r="E64" s="1178"/>
      <c r="F64" s="1178"/>
      <c r="G64" s="1178"/>
      <c r="H64" s="1178"/>
      <c r="I64" s="1178"/>
      <c r="J64" s="1423">
        <v>13</v>
      </c>
      <c r="K64" s="1178"/>
      <c r="L64" s="2264" t="s">
        <v>2618</v>
      </c>
      <c r="M64" s="2265">
        <v>903200</v>
      </c>
      <c r="N64" s="55" t="str">
        <f t="shared" si="1"/>
        <v>Cust Billing &amp; Acct</v>
      </c>
      <c r="O64" s="1178"/>
      <c r="P64" s="1690">
        <v>62</v>
      </c>
      <c r="Q64" s="2266"/>
      <c r="R64" s="2266">
        <f>-P64</f>
        <v>-62</v>
      </c>
      <c r="S64" s="2266"/>
      <c r="T64" s="1178" t="s">
        <v>421</v>
      </c>
      <c r="U64" s="2260"/>
      <c r="V64" s="2267">
        <v>45</v>
      </c>
      <c r="W64" s="2267">
        <v>15</v>
      </c>
      <c r="X64" s="2266">
        <f t="shared" si="2"/>
        <v>17</v>
      </c>
      <c r="Y64" s="1347">
        <f t="shared" si="3"/>
        <v>62</v>
      </c>
    </row>
    <row r="65" spans="1:25">
      <c r="A65" s="1178"/>
      <c r="B65" s="1178"/>
      <c r="C65" s="1178"/>
      <c r="D65" s="1178"/>
      <c r="E65" s="1178"/>
      <c r="F65" s="1178"/>
      <c r="G65" s="1178"/>
      <c r="H65" s="1178"/>
      <c r="I65" s="1178"/>
      <c r="J65" s="1423">
        <v>14</v>
      </c>
      <c r="K65" s="1178"/>
      <c r="L65" s="2264" t="s">
        <v>2618</v>
      </c>
      <c r="M65" s="2265">
        <v>903300</v>
      </c>
      <c r="N65" s="55" t="str">
        <f t="shared" si="1"/>
        <v>Cust Collecting-Local</v>
      </c>
      <c r="O65" s="1178"/>
      <c r="P65" s="1690">
        <v>49</v>
      </c>
      <c r="Q65" s="2266"/>
      <c r="R65" s="2266">
        <f>-P65</f>
        <v>-49</v>
      </c>
      <c r="S65" s="2266"/>
      <c r="T65" s="1178" t="s">
        <v>421</v>
      </c>
      <c r="U65" s="2260"/>
      <c r="V65" s="2267">
        <v>36</v>
      </c>
      <c r="W65" s="2267">
        <v>12</v>
      </c>
      <c r="X65" s="2266">
        <f t="shared" si="2"/>
        <v>13</v>
      </c>
      <c r="Y65" s="1347">
        <f t="shared" si="3"/>
        <v>49</v>
      </c>
    </row>
    <row r="66" spans="1:25">
      <c r="A66" s="1178"/>
      <c r="B66" s="1178"/>
      <c r="C66" s="1178"/>
      <c r="D66" s="1178"/>
      <c r="E66" s="1178"/>
      <c r="F66" s="1178"/>
      <c r="G66" s="1178"/>
      <c r="H66" s="1178"/>
      <c r="I66" s="1178"/>
      <c r="J66" s="1423">
        <v>15</v>
      </c>
      <c r="K66" s="1178"/>
      <c r="L66" s="2264" t="s">
        <v>2618</v>
      </c>
      <c r="M66" s="2265">
        <v>926600</v>
      </c>
      <c r="N66" s="55" t="str">
        <f t="shared" si="1"/>
        <v>Employee Benefits-Transferred</v>
      </c>
      <c r="O66" s="1178"/>
      <c r="P66" s="1690">
        <v>3620</v>
      </c>
      <c r="Q66" s="2266"/>
      <c r="R66" s="2266">
        <f>-P66</f>
        <v>-3620</v>
      </c>
      <c r="S66" s="2266"/>
      <c r="T66" s="1178" t="s">
        <v>711</v>
      </c>
      <c r="U66" s="2260"/>
      <c r="V66" s="2267">
        <v>2632</v>
      </c>
      <c r="W66" s="2267">
        <v>898</v>
      </c>
      <c r="X66" s="2266">
        <f t="shared" si="2"/>
        <v>988</v>
      </c>
      <c r="Y66" s="1347">
        <f t="shared" si="3"/>
        <v>3620</v>
      </c>
    </row>
    <row r="67" spans="1:25">
      <c r="A67" s="1178"/>
      <c r="B67" s="1178"/>
      <c r="C67" s="1178"/>
      <c r="D67" s="1178"/>
      <c r="E67" s="1178"/>
      <c r="F67" s="1178"/>
      <c r="G67" s="1178"/>
      <c r="H67" s="1178"/>
      <c r="I67" s="1178"/>
      <c r="J67" s="1423">
        <v>16</v>
      </c>
      <c r="K67" s="1178"/>
      <c r="L67" s="2264" t="s">
        <v>2618</v>
      </c>
      <c r="M67" s="2265">
        <v>408960</v>
      </c>
      <c r="N67" s="55" t="str">
        <f t="shared" si="1"/>
        <v>Allocated Payroll Taxes</v>
      </c>
      <c r="O67" s="1178"/>
      <c r="P67" s="1690">
        <v>1168</v>
      </c>
      <c r="Q67" s="2266"/>
      <c r="R67" s="2266">
        <f>-P67</f>
        <v>-1168</v>
      </c>
      <c r="S67" s="2266"/>
      <c r="T67" s="1178" t="s">
        <v>1188</v>
      </c>
      <c r="U67" s="2260"/>
      <c r="V67" s="2267">
        <v>847</v>
      </c>
      <c r="W67" s="2267">
        <v>292</v>
      </c>
      <c r="X67" s="2266">
        <f t="shared" si="2"/>
        <v>321</v>
      </c>
      <c r="Y67" s="1347">
        <f t="shared" si="3"/>
        <v>1168</v>
      </c>
    </row>
    <row r="68" spans="1:25">
      <c r="A68" s="1178"/>
      <c r="B68" s="1178"/>
      <c r="C68" s="1178"/>
      <c r="D68" s="1178"/>
      <c r="E68" s="1178"/>
      <c r="F68" s="1178"/>
      <c r="G68" s="1178"/>
      <c r="H68" s="1178"/>
      <c r="I68" s="1178"/>
      <c r="J68" s="1423">
        <v>17</v>
      </c>
      <c r="K68" s="1178"/>
      <c r="L68" s="2264" t="s">
        <v>2619</v>
      </c>
      <c r="M68" s="2265">
        <v>920000</v>
      </c>
      <c r="N68" s="55" t="str">
        <f t="shared" si="1"/>
        <v>A &amp; G Salaries</v>
      </c>
      <c r="O68" s="1178"/>
      <c r="P68" s="1690">
        <v>2778</v>
      </c>
      <c r="Q68" s="2266"/>
      <c r="R68" s="2266">
        <f t="shared" ref="R68:R98" si="9">-P68</f>
        <v>-2778</v>
      </c>
      <c r="S68" s="2266"/>
      <c r="T68" s="1178" t="s">
        <v>711</v>
      </c>
      <c r="U68" s="2260"/>
      <c r="V68" s="2267">
        <v>2052</v>
      </c>
      <c r="W68" s="2267">
        <v>660</v>
      </c>
      <c r="X68" s="2266">
        <f t="shared" si="2"/>
        <v>726</v>
      </c>
      <c r="Y68" s="1347">
        <f t="shared" si="3"/>
        <v>2778</v>
      </c>
    </row>
    <row r="69" spans="1:25">
      <c r="A69" s="1178"/>
      <c r="B69" s="1178"/>
      <c r="C69" s="1178"/>
      <c r="D69" s="1178"/>
      <c r="E69" s="1178"/>
      <c r="F69" s="1178"/>
      <c r="G69" s="1178"/>
      <c r="H69" s="1178"/>
      <c r="I69" s="1178"/>
      <c r="J69" s="1423">
        <v>18</v>
      </c>
      <c r="K69" s="1178"/>
      <c r="L69" s="2264" t="s">
        <v>2619</v>
      </c>
      <c r="M69" s="2265">
        <v>921100</v>
      </c>
      <c r="N69" s="55" t="str">
        <f t="shared" si="1"/>
        <v>Employee Expenses</v>
      </c>
      <c r="O69" s="1178"/>
      <c r="P69" s="1690">
        <v>339</v>
      </c>
      <c r="Q69" s="2266"/>
      <c r="R69" s="2266">
        <f t="shared" si="9"/>
        <v>-339</v>
      </c>
      <c r="S69" s="2266"/>
      <c r="T69" s="1178" t="s">
        <v>711</v>
      </c>
      <c r="U69" s="2260"/>
      <c r="V69" s="2267">
        <v>245</v>
      </c>
      <c r="W69" s="2267">
        <v>85</v>
      </c>
      <c r="X69" s="2266">
        <f t="shared" si="2"/>
        <v>94</v>
      </c>
      <c r="Y69" s="1347">
        <f t="shared" si="3"/>
        <v>339</v>
      </c>
    </row>
    <row r="70" spans="1:25">
      <c r="A70" s="1178"/>
      <c r="B70" s="1178"/>
      <c r="C70" s="1178"/>
      <c r="D70" s="1178"/>
      <c r="E70" s="1178"/>
      <c r="F70" s="1178"/>
      <c r="G70" s="1178"/>
      <c r="H70" s="1178"/>
      <c r="I70" s="1178"/>
      <c r="J70" s="1423">
        <v>19</v>
      </c>
      <c r="K70" s="1178"/>
      <c r="L70" s="2264" t="s">
        <v>2619</v>
      </c>
      <c r="M70" s="2265">
        <v>921200</v>
      </c>
      <c r="N70" s="55" t="str">
        <f t="shared" si="1"/>
        <v>Office Expenses</v>
      </c>
      <c r="O70" s="1178"/>
      <c r="P70" s="1690">
        <v>225</v>
      </c>
      <c r="Q70" s="2266"/>
      <c r="R70" s="2266">
        <f t="shared" si="9"/>
        <v>-225</v>
      </c>
      <c r="S70" s="2266"/>
      <c r="T70" s="1178" t="s">
        <v>711</v>
      </c>
      <c r="U70" s="2260"/>
      <c r="V70" s="2267">
        <v>175</v>
      </c>
      <c r="W70" s="2267">
        <v>45</v>
      </c>
      <c r="X70" s="2266">
        <f t="shared" si="2"/>
        <v>50</v>
      </c>
      <c r="Y70" s="1347">
        <f t="shared" si="3"/>
        <v>225</v>
      </c>
    </row>
    <row r="71" spans="1:25">
      <c r="A71" s="1178"/>
      <c r="B71" s="1178"/>
      <c r="C71" s="1178"/>
      <c r="D71" s="1178"/>
      <c r="E71" s="1178"/>
      <c r="F71" s="1178"/>
      <c r="G71" s="1178"/>
      <c r="H71" s="1178"/>
      <c r="I71" s="1178"/>
      <c r="J71" s="1423">
        <v>20</v>
      </c>
      <c r="K71" s="1178"/>
      <c r="L71" s="2264" t="s">
        <v>2619</v>
      </c>
      <c r="M71" s="2265">
        <v>923000</v>
      </c>
      <c r="N71" s="55" t="str">
        <f t="shared" si="1"/>
        <v>Outside Services Employed</v>
      </c>
      <c r="O71" s="1178"/>
      <c r="P71" s="1690">
        <v>4141</v>
      </c>
      <c r="Q71" s="2266"/>
      <c r="R71" s="2266">
        <f t="shared" si="9"/>
        <v>-4141</v>
      </c>
      <c r="S71" s="2266"/>
      <c r="T71" s="1178" t="s">
        <v>711</v>
      </c>
      <c r="U71" s="2260"/>
      <c r="V71" s="2267">
        <v>2146</v>
      </c>
      <c r="W71" s="2267">
        <v>1814</v>
      </c>
      <c r="X71" s="2266">
        <f t="shared" si="2"/>
        <v>1995</v>
      </c>
      <c r="Y71" s="1347">
        <f t="shared" si="3"/>
        <v>4141</v>
      </c>
    </row>
    <row r="72" spans="1:25">
      <c r="A72" s="1178"/>
      <c r="B72" s="1178"/>
      <c r="C72" s="1178"/>
      <c r="D72" s="1178"/>
      <c r="E72" s="1178"/>
      <c r="F72" s="1178"/>
      <c r="G72" s="1178"/>
      <c r="H72" s="1178"/>
      <c r="I72" s="1178"/>
      <c r="J72" s="1423">
        <v>21</v>
      </c>
      <c r="K72" s="1178"/>
      <c r="L72" s="2264" t="s">
        <v>2619</v>
      </c>
      <c r="M72" s="2265">
        <v>926600</v>
      </c>
      <c r="N72" s="55" t="str">
        <f t="shared" si="1"/>
        <v>Employee Benefits-Transferred</v>
      </c>
      <c r="O72" s="1178"/>
      <c r="P72" s="1690">
        <v>551</v>
      </c>
      <c r="Q72" s="2266"/>
      <c r="R72" s="2266">
        <f t="shared" si="9"/>
        <v>-551</v>
      </c>
      <c r="S72" s="2266"/>
      <c r="T72" s="1178" t="s">
        <v>711</v>
      </c>
      <c r="U72" s="2260"/>
      <c r="V72" s="2267">
        <v>405</v>
      </c>
      <c r="W72" s="2267">
        <v>133</v>
      </c>
      <c r="X72" s="2266">
        <f t="shared" si="2"/>
        <v>146</v>
      </c>
      <c r="Y72" s="1347">
        <f t="shared" si="3"/>
        <v>551</v>
      </c>
    </row>
    <row r="73" spans="1:25">
      <c r="A73" s="1178"/>
      <c r="B73" s="1178"/>
      <c r="C73" s="1178"/>
      <c r="D73" s="1178"/>
      <c r="E73" s="1178"/>
      <c r="F73" s="1178"/>
      <c r="G73" s="1178"/>
      <c r="H73" s="1178"/>
      <c r="I73" s="1178"/>
      <c r="J73" s="1423">
        <v>22</v>
      </c>
      <c r="K73" s="1178"/>
      <c r="L73" s="2264" t="s">
        <v>2619</v>
      </c>
      <c r="M73" s="2265">
        <v>408960</v>
      </c>
      <c r="N73" s="55" t="str">
        <f t="shared" si="1"/>
        <v>Allocated Payroll Taxes</v>
      </c>
      <c r="O73" s="1178"/>
      <c r="P73" s="1690">
        <v>178</v>
      </c>
      <c r="Q73" s="2266"/>
      <c r="R73" s="2266">
        <f t="shared" si="9"/>
        <v>-178</v>
      </c>
      <c r="S73" s="2266"/>
      <c r="T73" s="1178" t="s">
        <v>1188</v>
      </c>
      <c r="U73" s="2260"/>
      <c r="V73" s="2267">
        <v>135</v>
      </c>
      <c r="W73" s="2267">
        <v>39</v>
      </c>
      <c r="X73" s="2266">
        <f t="shared" si="2"/>
        <v>43</v>
      </c>
      <c r="Y73" s="1347">
        <f t="shared" si="3"/>
        <v>178</v>
      </c>
    </row>
    <row r="74" spans="1:25">
      <c r="A74" s="1178"/>
      <c r="B74" s="1178"/>
      <c r="C74" s="1178"/>
      <c r="D74" s="1178"/>
      <c r="E74" s="1178"/>
      <c r="F74" s="1178"/>
      <c r="G74" s="1178"/>
      <c r="H74" s="1178"/>
      <c r="I74" s="1178"/>
      <c r="J74" s="1423">
        <v>23</v>
      </c>
      <c r="K74" s="1178"/>
      <c r="L74" s="2264" t="s">
        <v>2620</v>
      </c>
      <c r="M74" s="2265">
        <v>920000</v>
      </c>
      <c r="N74" s="55" t="str">
        <f t="shared" si="1"/>
        <v>A &amp; G Salaries</v>
      </c>
      <c r="O74" s="1178"/>
      <c r="P74" s="1690">
        <v>7857</v>
      </c>
      <c r="Q74" s="2266"/>
      <c r="R74" s="2266">
        <f t="shared" si="9"/>
        <v>-7857</v>
      </c>
      <c r="S74" s="2266"/>
      <c r="T74" s="1178" t="s">
        <v>711</v>
      </c>
      <c r="U74" s="2260"/>
      <c r="V74" s="2267">
        <v>5796</v>
      </c>
      <c r="W74" s="2267">
        <v>1874</v>
      </c>
      <c r="X74" s="2266">
        <f t="shared" si="2"/>
        <v>2061</v>
      </c>
      <c r="Y74" s="1347">
        <f t="shared" si="3"/>
        <v>7857</v>
      </c>
    </row>
    <row r="75" spans="1:25">
      <c r="A75" s="1178"/>
      <c r="B75" s="1178"/>
      <c r="C75" s="1178"/>
      <c r="D75" s="1178"/>
      <c r="E75" s="1178"/>
      <c r="F75" s="1178"/>
      <c r="G75" s="1178"/>
      <c r="H75" s="1178"/>
      <c r="I75" s="1178"/>
      <c r="J75" s="1423">
        <v>24</v>
      </c>
      <c r="K75" s="1178"/>
      <c r="L75" s="2264" t="s">
        <v>2620</v>
      </c>
      <c r="M75" s="2265">
        <v>921100</v>
      </c>
      <c r="N75" s="55" t="str">
        <f t="shared" si="1"/>
        <v>Employee Expenses</v>
      </c>
      <c r="O75" s="1178"/>
      <c r="P75" s="1690">
        <v>1229</v>
      </c>
      <c r="Q75" s="2266"/>
      <c r="R75" s="2266">
        <f t="shared" si="9"/>
        <v>-1229</v>
      </c>
      <c r="S75" s="2266"/>
      <c r="T75" s="1178" t="s">
        <v>711</v>
      </c>
      <c r="U75" s="2260"/>
      <c r="V75" s="2267">
        <v>900</v>
      </c>
      <c r="W75" s="2267">
        <v>299</v>
      </c>
      <c r="X75" s="2266">
        <f t="shared" si="2"/>
        <v>329</v>
      </c>
      <c r="Y75" s="1347">
        <f t="shared" si="3"/>
        <v>1229</v>
      </c>
    </row>
    <row r="76" spans="1:25">
      <c r="A76" s="1178"/>
      <c r="B76" s="1178"/>
      <c r="C76" s="1178"/>
      <c r="D76" s="1178"/>
      <c r="E76" s="1178"/>
      <c r="F76" s="1178"/>
      <c r="G76" s="1178"/>
      <c r="H76" s="1178"/>
      <c r="I76" s="1178"/>
      <c r="J76" s="1423">
        <v>25</v>
      </c>
      <c r="K76" s="1178"/>
      <c r="L76" s="2264" t="s">
        <v>2620</v>
      </c>
      <c r="M76" s="2265">
        <v>921200</v>
      </c>
      <c r="N76" s="55" t="str">
        <f t="shared" si="1"/>
        <v>Office Expenses</v>
      </c>
      <c r="O76" s="1178"/>
      <c r="P76" s="1690">
        <v>3119</v>
      </c>
      <c r="Q76" s="2266"/>
      <c r="R76" s="2266">
        <f t="shared" si="9"/>
        <v>-3119</v>
      </c>
      <c r="S76" s="2266"/>
      <c r="T76" s="1178" t="s">
        <v>711</v>
      </c>
      <c r="U76" s="2260"/>
      <c r="V76" s="2267">
        <v>2286</v>
      </c>
      <c r="W76" s="2267">
        <v>757</v>
      </c>
      <c r="X76" s="2266">
        <f t="shared" si="2"/>
        <v>833</v>
      </c>
      <c r="Y76" s="1347">
        <f t="shared" si="3"/>
        <v>3119</v>
      </c>
    </row>
    <row r="77" spans="1:25">
      <c r="A77" s="1178"/>
      <c r="B77" s="1178"/>
      <c r="C77" s="1178"/>
      <c r="D77" s="1178"/>
      <c r="E77" s="1178"/>
      <c r="F77" s="1178"/>
      <c r="G77" s="1178"/>
      <c r="H77" s="1178"/>
      <c r="I77" s="1178"/>
      <c r="J77" s="1423">
        <v>26</v>
      </c>
      <c r="K77" s="1178"/>
      <c r="L77" s="2264" t="s">
        <v>2620</v>
      </c>
      <c r="M77" s="2265">
        <v>923000</v>
      </c>
      <c r="N77" s="55" t="str">
        <f t="shared" si="1"/>
        <v>Outside Services Employed</v>
      </c>
      <c r="O77" s="1178"/>
      <c r="P77" s="1690">
        <v>902</v>
      </c>
      <c r="Q77" s="2266"/>
      <c r="R77" s="2266">
        <f t="shared" si="9"/>
        <v>-902</v>
      </c>
      <c r="S77" s="2266"/>
      <c r="T77" s="1178" t="s">
        <v>711</v>
      </c>
      <c r="U77" s="2260"/>
      <c r="V77" s="2267">
        <v>657</v>
      </c>
      <c r="W77" s="2267">
        <v>223</v>
      </c>
      <c r="X77" s="2266">
        <f t="shared" si="2"/>
        <v>245</v>
      </c>
      <c r="Y77" s="1347">
        <f t="shared" si="3"/>
        <v>902</v>
      </c>
    </row>
    <row r="78" spans="1:25">
      <c r="A78" s="1178"/>
      <c r="B78" s="1178"/>
      <c r="C78" s="1178"/>
      <c r="D78" s="1178"/>
      <c r="E78" s="1178"/>
      <c r="F78" s="1178"/>
      <c r="G78" s="1178"/>
      <c r="H78" s="1178"/>
      <c r="I78" s="1178"/>
      <c r="J78" s="1423">
        <v>27</v>
      </c>
      <c r="K78" s="1178"/>
      <c r="L78" s="2264" t="s">
        <v>2620</v>
      </c>
      <c r="M78" s="2265">
        <v>926600</v>
      </c>
      <c r="N78" s="55" t="str">
        <f t="shared" si="1"/>
        <v>Employee Benefits-Transferred</v>
      </c>
      <c r="O78" s="1178"/>
      <c r="P78" s="1690">
        <v>1559</v>
      </c>
      <c r="Q78" s="2266"/>
      <c r="R78" s="2266">
        <f t="shared" si="9"/>
        <v>-1559</v>
      </c>
      <c r="S78" s="2266"/>
      <c r="T78" s="1178" t="s">
        <v>711</v>
      </c>
      <c r="U78" s="2260"/>
      <c r="V78" s="2267">
        <v>1152</v>
      </c>
      <c r="W78" s="2267">
        <v>370</v>
      </c>
      <c r="X78" s="2266">
        <f t="shared" si="2"/>
        <v>407</v>
      </c>
      <c r="Y78" s="1347">
        <f t="shared" si="3"/>
        <v>1559</v>
      </c>
    </row>
    <row r="79" spans="1:25">
      <c r="A79" s="1178"/>
      <c r="B79" s="1178"/>
      <c r="C79" s="1178"/>
      <c r="D79" s="1178"/>
      <c r="E79" s="1178"/>
      <c r="F79" s="1178"/>
      <c r="G79" s="1178"/>
      <c r="H79" s="1178"/>
      <c r="I79" s="1178"/>
      <c r="J79" s="1423">
        <v>28</v>
      </c>
      <c r="K79" s="1178"/>
      <c r="L79" s="2264" t="s">
        <v>2620</v>
      </c>
      <c r="M79" s="2265">
        <v>408960</v>
      </c>
      <c r="N79" s="55" t="str">
        <f t="shared" si="1"/>
        <v>Allocated Payroll Taxes</v>
      </c>
      <c r="O79" s="1178"/>
      <c r="P79" s="1690">
        <v>503</v>
      </c>
      <c r="Q79" s="2266"/>
      <c r="R79" s="2266">
        <f t="shared" si="9"/>
        <v>-503</v>
      </c>
      <c r="S79" s="2266"/>
      <c r="T79" s="1178" t="s">
        <v>1188</v>
      </c>
      <c r="U79" s="2260"/>
      <c r="V79" s="2267">
        <v>369</v>
      </c>
      <c r="W79" s="2267">
        <v>122</v>
      </c>
      <c r="X79" s="2266">
        <f t="shared" si="2"/>
        <v>134</v>
      </c>
      <c r="Y79" s="1347">
        <f t="shared" si="3"/>
        <v>503</v>
      </c>
    </row>
    <row r="80" spans="1:25">
      <c r="A80" s="1178"/>
      <c r="B80" s="1178"/>
      <c r="C80" s="1178"/>
      <c r="D80" s="1178"/>
      <c r="E80" s="1178"/>
      <c r="F80" s="1178"/>
      <c r="G80" s="1178"/>
      <c r="H80" s="1178"/>
      <c r="I80" s="1178"/>
      <c r="J80" s="1423">
        <v>29</v>
      </c>
      <c r="K80" s="1178"/>
      <c r="L80" s="2264" t="s">
        <v>2621</v>
      </c>
      <c r="M80" s="2265">
        <v>912000</v>
      </c>
      <c r="N80" s="55" t="str">
        <f t="shared" si="1"/>
        <v>Demonstrating &amp; Selling Exp</v>
      </c>
      <c r="O80" s="1178"/>
      <c r="P80" s="1690">
        <v>318</v>
      </c>
      <c r="Q80" s="2266"/>
      <c r="R80" s="2266">
        <f t="shared" si="9"/>
        <v>-318</v>
      </c>
      <c r="S80" s="2266"/>
      <c r="T80" s="1178" t="s">
        <v>714</v>
      </c>
      <c r="U80" s="2260"/>
      <c r="V80" s="2267">
        <v>318</v>
      </c>
      <c r="W80" s="2267">
        <v>0</v>
      </c>
      <c r="X80" s="2266">
        <f t="shared" si="2"/>
        <v>0</v>
      </c>
      <c r="Y80" s="1347">
        <f t="shared" si="3"/>
        <v>318</v>
      </c>
    </row>
    <row r="81" spans="1:25">
      <c r="A81" s="1178"/>
      <c r="B81" s="1178"/>
      <c r="C81" s="1178"/>
      <c r="D81" s="1178"/>
      <c r="E81" s="1178"/>
      <c r="F81" s="1178"/>
      <c r="G81" s="1178"/>
      <c r="H81" s="1178"/>
      <c r="I81" s="1178"/>
      <c r="J81" s="1423">
        <v>30</v>
      </c>
      <c r="K81" s="1178"/>
      <c r="L81" s="2264" t="s">
        <v>2621</v>
      </c>
      <c r="M81" s="2265">
        <v>921100</v>
      </c>
      <c r="N81" s="55" t="str">
        <f t="shared" si="1"/>
        <v>Employee Expenses</v>
      </c>
      <c r="O81" s="1178"/>
      <c r="P81" s="1690">
        <v>2255</v>
      </c>
      <c r="Q81" s="2266"/>
      <c r="R81" s="2266">
        <f t="shared" si="9"/>
        <v>-2255</v>
      </c>
      <c r="S81" s="2266"/>
      <c r="T81" s="1178" t="s">
        <v>711</v>
      </c>
      <c r="U81" s="2260"/>
      <c r="V81" s="2267">
        <v>1647</v>
      </c>
      <c r="W81" s="2267">
        <v>553</v>
      </c>
      <c r="X81" s="2266">
        <f t="shared" si="2"/>
        <v>608</v>
      </c>
      <c r="Y81" s="1347">
        <f t="shared" si="3"/>
        <v>2255</v>
      </c>
    </row>
    <row r="82" spans="1:25">
      <c r="A82" s="1178"/>
      <c r="B82" s="1178"/>
      <c r="C82" s="1178"/>
      <c r="D82" s="1178"/>
      <c r="E82" s="1178"/>
      <c r="F82" s="1178"/>
      <c r="G82" s="1178"/>
      <c r="H82" s="1178"/>
      <c r="I82" s="1178"/>
      <c r="J82" s="1423">
        <v>31</v>
      </c>
      <c r="K82" s="1178"/>
      <c r="L82" s="2264" t="s">
        <v>2621</v>
      </c>
      <c r="M82" s="2265">
        <v>921200</v>
      </c>
      <c r="N82" s="55" t="str">
        <f t="shared" si="1"/>
        <v>Office Expenses</v>
      </c>
      <c r="O82" s="1178"/>
      <c r="P82" s="1690">
        <v>1284</v>
      </c>
      <c r="Q82" s="2266"/>
      <c r="R82" s="2266">
        <f t="shared" si="9"/>
        <v>-1284</v>
      </c>
      <c r="S82" s="2266"/>
      <c r="T82" s="1178" t="s">
        <v>711</v>
      </c>
      <c r="U82" s="2260"/>
      <c r="V82" s="2267">
        <v>1120</v>
      </c>
      <c r="W82" s="2267">
        <v>149</v>
      </c>
      <c r="X82" s="2266">
        <f t="shared" si="2"/>
        <v>164</v>
      </c>
      <c r="Y82" s="1347">
        <f t="shared" si="3"/>
        <v>1284</v>
      </c>
    </row>
    <row r="83" spans="1:25">
      <c r="A83" s="1178"/>
      <c r="B83" s="1178"/>
      <c r="C83" s="1178"/>
      <c r="D83" s="1178"/>
      <c r="E83" s="1178"/>
      <c r="F83" s="1178"/>
      <c r="G83" s="1178"/>
      <c r="H83" s="1178"/>
      <c r="I83" s="1178"/>
      <c r="J83" s="1423">
        <v>32</v>
      </c>
      <c r="K83" s="1178"/>
      <c r="L83" s="2264" t="s">
        <v>2621</v>
      </c>
      <c r="M83" s="2265">
        <v>923000</v>
      </c>
      <c r="N83" s="55" t="str">
        <f t="shared" si="1"/>
        <v>Outside Services Employed</v>
      </c>
      <c r="O83" s="1178"/>
      <c r="P83" s="1690">
        <v>1597</v>
      </c>
      <c r="Q83" s="2266"/>
      <c r="R83" s="2266">
        <f t="shared" si="9"/>
        <v>-1597</v>
      </c>
      <c r="S83" s="2266"/>
      <c r="T83" s="1178" t="s">
        <v>711</v>
      </c>
      <c r="U83" s="2260"/>
      <c r="V83" s="2267">
        <v>1096</v>
      </c>
      <c r="W83" s="2267">
        <v>455</v>
      </c>
      <c r="X83" s="2266">
        <f t="shared" si="2"/>
        <v>501</v>
      </c>
      <c r="Y83" s="1347">
        <f t="shared" si="3"/>
        <v>1597</v>
      </c>
    </row>
    <row r="84" spans="1:25">
      <c r="A84" s="1178"/>
      <c r="B84" s="1178"/>
      <c r="C84" s="1178"/>
      <c r="D84" s="1178"/>
      <c r="E84" s="1178"/>
      <c r="F84" s="1178"/>
      <c r="G84" s="1178"/>
      <c r="H84" s="1178"/>
      <c r="I84" s="1178"/>
      <c r="J84" s="1423">
        <v>33</v>
      </c>
      <c r="K84" s="1178"/>
      <c r="L84" s="2264" t="s">
        <v>2621</v>
      </c>
      <c r="M84" s="2265">
        <v>930230</v>
      </c>
      <c r="N84" s="55" t="str">
        <f t="shared" si="1"/>
        <v>Dues To Various Organizations</v>
      </c>
      <c r="O84" s="1178"/>
      <c r="P84" s="1690">
        <v>3473</v>
      </c>
      <c r="Q84" s="2266"/>
      <c r="R84" s="2266">
        <f t="shared" si="9"/>
        <v>-3473</v>
      </c>
      <c r="S84" s="2266"/>
      <c r="T84" s="1178" t="s">
        <v>711</v>
      </c>
      <c r="U84" s="2260"/>
      <c r="V84" s="2267">
        <v>3316</v>
      </c>
      <c r="W84" s="2267">
        <v>143</v>
      </c>
      <c r="X84" s="2266">
        <f t="shared" si="2"/>
        <v>157</v>
      </c>
      <c r="Y84" s="1347">
        <f t="shared" si="3"/>
        <v>3473</v>
      </c>
    </row>
    <row r="85" spans="1:25">
      <c r="A85" s="1178"/>
      <c r="B85" s="1178"/>
      <c r="C85" s="1178"/>
      <c r="D85" s="1178"/>
      <c r="E85" s="1178"/>
      <c r="F85" s="1178"/>
      <c r="G85" s="1178"/>
      <c r="H85" s="1178"/>
      <c r="I85" s="1178"/>
      <c r="J85" s="1423">
        <v>34</v>
      </c>
      <c r="K85" s="1178"/>
      <c r="L85" s="2264" t="s">
        <v>2622</v>
      </c>
      <c r="M85" s="2265">
        <v>912000</v>
      </c>
      <c r="N85" s="55" t="str">
        <f t="shared" si="1"/>
        <v>Demonstrating &amp; Selling Exp</v>
      </c>
      <c r="O85" s="1178"/>
      <c r="P85" s="1690">
        <v>119887</v>
      </c>
      <c r="Q85" s="2266"/>
      <c r="R85" s="2266">
        <f t="shared" si="9"/>
        <v>-119887</v>
      </c>
      <c r="S85" s="2266"/>
      <c r="T85" s="1178" t="s">
        <v>714</v>
      </c>
      <c r="U85" s="2260"/>
      <c r="V85" s="2267">
        <v>87957</v>
      </c>
      <c r="W85" s="2267">
        <v>29027</v>
      </c>
      <c r="X85" s="2266">
        <f t="shared" si="2"/>
        <v>31930</v>
      </c>
      <c r="Y85" s="1347">
        <f t="shared" si="3"/>
        <v>119887</v>
      </c>
    </row>
    <row r="86" spans="1:25">
      <c r="A86" s="1178"/>
      <c r="B86" s="1178"/>
      <c r="C86" s="1178"/>
      <c r="D86" s="1178"/>
      <c r="E86" s="1178"/>
      <c r="F86" s="1178"/>
      <c r="G86" s="1178"/>
      <c r="H86" s="1178"/>
      <c r="I86" s="1178"/>
      <c r="J86" s="1423">
        <v>35</v>
      </c>
      <c r="K86" s="1178"/>
      <c r="L86" s="2264" t="s">
        <v>2622</v>
      </c>
      <c r="M86" s="2265">
        <v>920000</v>
      </c>
      <c r="N86" s="55" t="str">
        <f t="shared" si="1"/>
        <v>A &amp; G Salaries</v>
      </c>
      <c r="O86" s="1178"/>
      <c r="P86" s="1690">
        <v>124191</v>
      </c>
      <c r="Q86" s="2266"/>
      <c r="R86" s="2266">
        <f t="shared" si="9"/>
        <v>-124191</v>
      </c>
      <c r="S86" s="2266"/>
      <c r="T86" s="1178" t="s">
        <v>711</v>
      </c>
      <c r="U86" s="2260"/>
      <c r="V86" s="2267">
        <v>91431</v>
      </c>
      <c r="W86" s="2267">
        <v>29782</v>
      </c>
      <c r="X86" s="2266">
        <f t="shared" si="2"/>
        <v>32760</v>
      </c>
      <c r="Y86" s="1347">
        <f t="shared" si="3"/>
        <v>124191</v>
      </c>
    </row>
    <row r="87" spans="1:25">
      <c r="A87" s="1178"/>
      <c r="B87" s="1178"/>
      <c r="C87" s="1178"/>
      <c r="D87" s="1178"/>
      <c r="E87" s="1178"/>
      <c r="F87" s="1178"/>
      <c r="G87" s="1178"/>
      <c r="H87" s="1178"/>
      <c r="I87" s="1178"/>
      <c r="J87" s="1423">
        <v>36</v>
      </c>
      <c r="K87" s="1178"/>
      <c r="L87" s="2264" t="s">
        <v>2622</v>
      </c>
      <c r="M87" s="2265">
        <v>921100</v>
      </c>
      <c r="N87" s="55" t="str">
        <f t="shared" ref="N87:N95" si="10">VLOOKUP(M87,FPERIOD,2,FALSE)</f>
        <v>Employee Expenses</v>
      </c>
      <c r="O87" s="1178"/>
      <c r="P87" s="1690">
        <v>1205</v>
      </c>
      <c r="Q87" s="2266"/>
      <c r="R87" s="2266">
        <f t="shared" si="9"/>
        <v>-1205</v>
      </c>
      <c r="S87" s="2266"/>
      <c r="T87" s="1178" t="s">
        <v>711</v>
      </c>
      <c r="U87" s="2260"/>
      <c r="V87" s="2267">
        <v>882</v>
      </c>
      <c r="W87" s="2267">
        <v>294</v>
      </c>
      <c r="X87" s="2266">
        <f t="shared" si="2"/>
        <v>323</v>
      </c>
      <c r="Y87" s="1347">
        <f t="shared" si="3"/>
        <v>1205</v>
      </c>
    </row>
    <row r="88" spans="1:25">
      <c r="A88" s="1178"/>
      <c r="B88" s="1178"/>
      <c r="C88" s="1178"/>
      <c r="D88" s="1178"/>
      <c r="E88" s="1178"/>
      <c r="F88" s="1178"/>
      <c r="G88" s="1178"/>
      <c r="H88" s="1178"/>
      <c r="I88" s="1178"/>
      <c r="J88" s="1423">
        <v>37</v>
      </c>
      <c r="K88" s="1178"/>
      <c r="L88" s="2264" t="s">
        <v>2622</v>
      </c>
      <c r="M88" s="2265">
        <v>921540</v>
      </c>
      <c r="N88" s="55" t="str">
        <f t="shared" si="10"/>
        <v>Computer Rent (Go Only)</v>
      </c>
      <c r="O88" s="1178"/>
      <c r="P88" s="1690">
        <v>792</v>
      </c>
      <c r="Q88" s="2266"/>
      <c r="R88" s="2266">
        <f t="shared" si="9"/>
        <v>-792</v>
      </c>
      <c r="S88" s="2266"/>
      <c r="T88" s="1178" t="s">
        <v>711</v>
      </c>
      <c r="U88" s="2260"/>
      <c r="V88" s="2267">
        <v>792</v>
      </c>
      <c r="W88" s="2267">
        <v>0</v>
      </c>
      <c r="X88" s="2266">
        <f t="shared" si="2"/>
        <v>0</v>
      </c>
      <c r="Y88" s="1347">
        <f t="shared" si="3"/>
        <v>792</v>
      </c>
    </row>
    <row r="89" spans="1:25">
      <c r="A89" s="1178"/>
      <c r="B89" s="1178"/>
      <c r="C89" s="1178"/>
      <c r="D89" s="1178"/>
      <c r="E89" s="1178"/>
      <c r="F89" s="1178"/>
      <c r="G89" s="1178"/>
      <c r="H89" s="1178"/>
      <c r="I89" s="1178"/>
      <c r="J89" s="1423">
        <v>38</v>
      </c>
      <c r="K89" s="1178"/>
      <c r="L89" s="2264" t="s">
        <v>2622</v>
      </c>
      <c r="M89" s="2265">
        <v>921980</v>
      </c>
      <c r="N89" s="55" t="str">
        <f t="shared" si="10"/>
        <v>Office Supplies &amp; Expenses</v>
      </c>
      <c r="O89" s="1178"/>
      <c r="P89" s="1690">
        <v>100</v>
      </c>
      <c r="Q89" s="2266"/>
      <c r="R89" s="2266">
        <f t="shared" si="9"/>
        <v>-100</v>
      </c>
      <c r="S89" s="2266"/>
      <c r="T89" s="1178" t="s">
        <v>711</v>
      </c>
      <c r="U89" s="2260"/>
      <c r="V89" s="2267">
        <v>72</v>
      </c>
      <c r="W89" s="2267">
        <v>25</v>
      </c>
      <c r="X89" s="2266">
        <f t="shared" si="2"/>
        <v>28</v>
      </c>
      <c r="Y89" s="1347">
        <f t="shared" si="3"/>
        <v>100</v>
      </c>
    </row>
    <row r="90" spans="1:25">
      <c r="A90" s="1178"/>
      <c r="B90" s="1178"/>
      <c r="C90" s="1178"/>
      <c r="D90" s="1178"/>
      <c r="E90" s="1178"/>
      <c r="F90" s="1178"/>
      <c r="G90" s="1178"/>
      <c r="H90" s="1178"/>
      <c r="I90" s="1178"/>
      <c r="J90" s="1423">
        <v>39</v>
      </c>
      <c r="K90" s="1178"/>
      <c r="L90" s="2264" t="s">
        <v>2622</v>
      </c>
      <c r="M90" s="2265">
        <v>926600</v>
      </c>
      <c r="N90" s="55" t="str">
        <f t="shared" si="10"/>
        <v>Employee Benefits-Transferred</v>
      </c>
      <c r="O90" s="1178"/>
      <c r="P90" s="1690">
        <v>34894</v>
      </c>
      <c r="Q90" s="2266"/>
      <c r="R90" s="2266">
        <f t="shared" si="9"/>
        <v>-34894</v>
      </c>
      <c r="S90" s="2266"/>
      <c r="T90" s="1178" t="s">
        <v>711</v>
      </c>
      <c r="U90" s="2260"/>
      <c r="V90" s="2267">
        <v>25686</v>
      </c>
      <c r="W90" s="2267">
        <v>8371</v>
      </c>
      <c r="X90" s="2266">
        <f t="shared" si="2"/>
        <v>9208</v>
      </c>
      <c r="Y90" s="1347">
        <f t="shared" si="3"/>
        <v>34894</v>
      </c>
    </row>
    <row r="91" spans="1:25">
      <c r="A91" s="1178"/>
      <c r="B91" s="1178"/>
      <c r="C91" s="1178"/>
      <c r="D91" s="1178"/>
      <c r="E91" s="1178"/>
      <c r="F91" s="1178"/>
      <c r="G91" s="1178"/>
      <c r="H91" s="1178"/>
      <c r="I91" s="1178"/>
      <c r="J91" s="1423">
        <v>40</v>
      </c>
      <c r="K91" s="1178"/>
      <c r="L91" s="2264" t="s">
        <v>2622</v>
      </c>
      <c r="M91" s="2265">
        <v>930230</v>
      </c>
      <c r="N91" s="55" t="str">
        <f t="shared" si="10"/>
        <v>Dues To Various Organizations</v>
      </c>
      <c r="O91" s="1178"/>
      <c r="P91" s="1690">
        <v>14686</v>
      </c>
      <c r="Q91" s="2266"/>
      <c r="R91" s="2266">
        <f t="shared" si="9"/>
        <v>-14686</v>
      </c>
      <c r="S91" s="2266"/>
      <c r="T91" s="1178" t="s">
        <v>711</v>
      </c>
      <c r="U91" s="2260"/>
      <c r="V91" s="2267">
        <v>10746</v>
      </c>
      <c r="W91" s="2267">
        <v>3582</v>
      </c>
      <c r="X91" s="2266">
        <f t="shared" si="2"/>
        <v>3940</v>
      </c>
      <c r="Y91" s="1347">
        <f t="shared" si="3"/>
        <v>14686</v>
      </c>
    </row>
    <row r="92" spans="1:25">
      <c r="A92" s="1178"/>
      <c r="B92" s="1178"/>
      <c r="C92" s="1178"/>
      <c r="D92" s="1178"/>
      <c r="E92" s="1178"/>
      <c r="F92" s="1178"/>
      <c r="G92" s="1178"/>
      <c r="H92" s="1178"/>
      <c r="I92" s="1178"/>
      <c r="J92" s="1423">
        <v>41</v>
      </c>
      <c r="K92" s="1178"/>
      <c r="L92" s="2264" t="s">
        <v>2622</v>
      </c>
      <c r="M92" s="2265">
        <v>408960</v>
      </c>
      <c r="N92" s="55" t="str">
        <f>VLOOKUP(M92,FPERIOD,2,FALSE)</f>
        <v>Allocated Payroll Taxes</v>
      </c>
      <c r="O92" s="1178"/>
      <c r="P92" s="1690">
        <v>11259</v>
      </c>
      <c r="Q92" s="2266"/>
      <c r="R92" s="2266">
        <f>-P92</f>
        <v>-11259</v>
      </c>
      <c r="S92" s="2266"/>
      <c r="T92" s="1178" t="s">
        <v>1188</v>
      </c>
      <c r="U92" s="2260"/>
      <c r="V92" s="2267">
        <v>8289</v>
      </c>
      <c r="W92" s="2267">
        <v>2700</v>
      </c>
      <c r="X92" s="2266">
        <f t="shared" si="2"/>
        <v>2970</v>
      </c>
      <c r="Y92" s="1347">
        <f t="shared" si="3"/>
        <v>11259</v>
      </c>
    </row>
    <row r="93" spans="1:25">
      <c r="A93" s="1178"/>
      <c r="B93" s="1178"/>
      <c r="C93" s="1178"/>
      <c r="D93" s="1178"/>
      <c r="E93" s="1178"/>
      <c r="F93" s="1178"/>
      <c r="G93" s="1178"/>
      <c r="H93" s="1178"/>
      <c r="I93" s="1178"/>
      <c r="J93" s="1423">
        <v>42</v>
      </c>
      <c r="K93" s="1178"/>
      <c r="L93" s="2264" t="s">
        <v>2623</v>
      </c>
      <c r="M93" s="2265">
        <v>920000</v>
      </c>
      <c r="N93" s="55" t="str">
        <f t="shared" si="10"/>
        <v>A &amp; G Salaries</v>
      </c>
      <c r="O93" s="1178"/>
      <c r="P93" s="1690">
        <v>22254</v>
      </c>
      <c r="Q93" s="2266"/>
      <c r="R93" s="2266">
        <f t="shared" si="9"/>
        <v>-22254</v>
      </c>
      <c r="S93" s="2266"/>
      <c r="T93" s="1178" t="s">
        <v>711</v>
      </c>
      <c r="U93" s="2260"/>
      <c r="V93" s="2267">
        <v>16380</v>
      </c>
      <c r="W93" s="2267">
        <v>5340</v>
      </c>
      <c r="X93" s="2266">
        <f t="shared" si="2"/>
        <v>5874</v>
      </c>
      <c r="Y93" s="1347">
        <f t="shared" si="3"/>
        <v>22254</v>
      </c>
    </row>
    <row r="94" spans="1:25">
      <c r="A94" s="1178"/>
      <c r="B94" s="1178"/>
      <c r="C94" s="1178"/>
      <c r="D94" s="1178"/>
      <c r="E94" s="1178"/>
      <c r="F94" s="1178"/>
      <c r="G94" s="1178"/>
      <c r="H94" s="1178"/>
      <c r="I94" s="1178"/>
      <c r="J94" s="1423">
        <v>43</v>
      </c>
      <c r="K94" s="1178"/>
      <c r="L94" s="2264" t="s">
        <v>2623</v>
      </c>
      <c r="M94" s="2265">
        <v>926600</v>
      </c>
      <c r="N94" s="55" t="str">
        <f t="shared" si="10"/>
        <v>Employee Benefits-Transferred</v>
      </c>
      <c r="O94" s="1178"/>
      <c r="P94" s="1690">
        <v>4417</v>
      </c>
      <c r="Q94" s="2266"/>
      <c r="R94" s="2266">
        <f t="shared" si="9"/>
        <v>-4417</v>
      </c>
      <c r="S94" s="2266"/>
      <c r="T94" s="1178" t="s">
        <v>711</v>
      </c>
      <c r="U94" s="2260"/>
      <c r="V94" s="2267">
        <v>3249</v>
      </c>
      <c r="W94" s="2267">
        <v>1062</v>
      </c>
      <c r="X94" s="2266">
        <f t="shared" si="2"/>
        <v>1168</v>
      </c>
      <c r="Y94" s="1347">
        <f t="shared" si="3"/>
        <v>4417</v>
      </c>
    </row>
    <row r="95" spans="1:25">
      <c r="A95" s="1178"/>
      <c r="B95" s="1178"/>
      <c r="C95" s="1178"/>
      <c r="D95" s="1178"/>
      <c r="E95" s="1178"/>
      <c r="F95" s="1178"/>
      <c r="G95" s="1178"/>
      <c r="H95" s="1178"/>
      <c r="I95" s="1178"/>
      <c r="J95" s="1423">
        <v>44</v>
      </c>
      <c r="K95" s="1178"/>
      <c r="L95" s="2264" t="s">
        <v>2623</v>
      </c>
      <c r="M95" s="2265">
        <v>408960</v>
      </c>
      <c r="N95" s="55" t="str">
        <f t="shared" si="10"/>
        <v>Allocated Payroll Taxes</v>
      </c>
      <c r="O95" s="1178"/>
      <c r="P95" s="1690">
        <v>1425</v>
      </c>
      <c r="Q95" s="2266"/>
      <c r="R95" s="2266">
        <f t="shared" si="9"/>
        <v>-1425</v>
      </c>
      <c r="S95" s="2266"/>
      <c r="T95" s="1178" t="s">
        <v>1188</v>
      </c>
      <c r="U95" s="2260"/>
      <c r="V95" s="2268">
        <v>1053</v>
      </c>
      <c r="W95" s="2268">
        <v>338</v>
      </c>
      <c r="X95" s="2269">
        <f t="shared" si="2"/>
        <v>372</v>
      </c>
      <c r="Y95" s="1756">
        <f t="shared" si="3"/>
        <v>1425</v>
      </c>
    </row>
    <row r="96" spans="1:25">
      <c r="A96" s="1178"/>
      <c r="B96" s="1178"/>
      <c r="C96" s="1178"/>
      <c r="D96" s="1178"/>
      <c r="E96" s="1178"/>
      <c r="F96" s="1178"/>
      <c r="G96" s="1178"/>
      <c r="H96" s="1178"/>
      <c r="I96" s="1178"/>
      <c r="J96" s="1423">
        <v>45</v>
      </c>
      <c r="K96" s="1178"/>
      <c r="L96" s="2270" t="s">
        <v>3266</v>
      </c>
      <c r="M96" s="2265">
        <v>500000</v>
      </c>
      <c r="N96" s="55" t="s">
        <v>2042</v>
      </c>
      <c r="O96" s="1178"/>
      <c r="P96" s="1690">
        <v>1577</v>
      </c>
      <c r="Q96" s="2266"/>
      <c r="R96" s="2266">
        <f t="shared" si="9"/>
        <v>-1577</v>
      </c>
      <c r="S96" s="2266"/>
      <c r="T96" s="1178" t="s">
        <v>2624</v>
      </c>
      <c r="U96" s="2260"/>
      <c r="V96" s="2271"/>
      <c r="W96" s="2271"/>
      <c r="X96" s="2272"/>
      <c r="Y96" s="1754"/>
    </row>
    <row r="97" spans="1:25">
      <c r="A97" s="1178"/>
      <c r="B97" s="1178"/>
      <c r="C97" s="1178"/>
      <c r="D97" s="1178"/>
      <c r="E97" s="1178"/>
      <c r="F97" s="1178"/>
      <c r="G97" s="1178"/>
      <c r="H97" s="1178"/>
      <c r="I97" s="1178"/>
      <c r="J97" s="1423">
        <v>46</v>
      </c>
      <c r="K97" s="1178"/>
      <c r="L97" s="2270" t="s">
        <v>3266</v>
      </c>
      <c r="M97" s="2265">
        <v>501150</v>
      </c>
      <c r="N97" s="55" t="s">
        <v>2044</v>
      </c>
      <c r="O97" s="1178"/>
      <c r="P97" s="1690">
        <v>72</v>
      </c>
      <c r="Q97" s="2266"/>
      <c r="R97" s="2266">
        <f t="shared" si="9"/>
        <v>-72</v>
      </c>
      <c r="S97" s="2266"/>
      <c r="T97" s="1178" t="s">
        <v>2624</v>
      </c>
      <c r="U97" s="2260"/>
      <c r="V97" s="2271"/>
      <c r="W97" s="2271"/>
      <c r="X97" s="2272"/>
      <c r="Y97" s="1754"/>
    </row>
    <row r="98" spans="1:25">
      <c r="A98" s="1178"/>
      <c r="B98" s="1178"/>
      <c r="C98" s="1178"/>
      <c r="D98" s="1178"/>
      <c r="E98" s="1178"/>
      <c r="F98" s="1178"/>
      <c r="G98" s="1178"/>
      <c r="H98" s="1178"/>
      <c r="I98" s="1178"/>
      <c r="J98" s="1423">
        <v>47</v>
      </c>
      <c r="K98" s="1178"/>
      <c r="L98" s="2270" t="s">
        <v>3266</v>
      </c>
      <c r="M98" s="2265">
        <v>506000</v>
      </c>
      <c r="N98" s="55" t="s">
        <v>2052</v>
      </c>
      <c r="O98" s="1178"/>
      <c r="P98" s="1690">
        <v>128</v>
      </c>
      <c r="Q98" s="2266"/>
      <c r="R98" s="2266">
        <f t="shared" si="9"/>
        <v>-128</v>
      </c>
      <c r="S98" s="2266"/>
      <c r="T98" s="1178" t="s">
        <v>2624</v>
      </c>
      <c r="U98" s="2260"/>
      <c r="V98" s="2271"/>
      <c r="W98" s="2271"/>
      <c r="X98" s="2272"/>
      <c r="Y98" s="1754"/>
    </row>
    <row r="99" spans="1:25">
      <c r="A99" s="1178"/>
      <c r="B99" s="1178"/>
      <c r="C99" s="1178"/>
      <c r="D99" s="1178"/>
      <c r="E99" s="1178"/>
      <c r="F99" s="1178"/>
      <c r="G99" s="1178"/>
      <c r="H99" s="1178"/>
      <c r="I99" s="1178"/>
      <c r="J99" s="1423">
        <v>48</v>
      </c>
      <c r="K99" s="1178"/>
      <c r="L99" s="1178"/>
      <c r="M99" s="1178"/>
      <c r="N99" s="358"/>
      <c r="O99" s="1178"/>
      <c r="P99" s="2273"/>
      <c r="Q99" s="1178"/>
      <c r="R99" s="2273"/>
      <c r="S99" s="1178"/>
      <c r="T99" s="1178"/>
      <c r="U99" s="1178"/>
      <c r="V99" s="1178"/>
      <c r="W99" s="1178"/>
      <c r="X99" s="1178"/>
      <c r="Y99" s="1178"/>
    </row>
    <row r="100" spans="1:25" ht="13.5" thickBot="1">
      <c r="A100" s="1178"/>
      <c r="B100" s="1178"/>
      <c r="C100" s="1178"/>
      <c r="D100" s="1178"/>
      <c r="E100" s="1178"/>
      <c r="F100" s="1178"/>
      <c r="G100" s="1178"/>
      <c r="H100" s="1178"/>
      <c r="I100" s="1178"/>
      <c r="J100" s="1423">
        <v>49</v>
      </c>
      <c r="K100" s="1178"/>
      <c r="L100" s="1178"/>
      <c r="M100" s="1178"/>
      <c r="N100" s="2274" t="s">
        <v>545</v>
      </c>
      <c r="O100" s="1178"/>
      <c r="P100" s="2275">
        <f>SUM(P52:P98)</f>
        <v>539892</v>
      </c>
      <c r="Q100" s="1178"/>
      <c r="R100" s="2275">
        <f>SUM(R52:R98)</f>
        <v>-539892</v>
      </c>
      <c r="S100" s="1732"/>
      <c r="T100" s="1178"/>
      <c r="U100" s="1178"/>
      <c r="V100" s="2275">
        <f>SUM(V52:V95)</f>
        <v>394800</v>
      </c>
      <c r="W100" s="2275">
        <f>SUM(W52:W95)</f>
        <v>130328.17</v>
      </c>
      <c r="X100" s="2275">
        <f>SUM(X52:X95)</f>
        <v>143360</v>
      </c>
      <c r="Y100" s="2275">
        <f>SUM(Y52:Y95)</f>
        <v>538160</v>
      </c>
    </row>
    <row r="101" spans="1:25" ht="13.5" thickTop="1">
      <c r="A101" s="1178"/>
      <c r="B101" s="1178"/>
      <c r="C101" s="1178"/>
      <c r="D101" s="1178"/>
      <c r="E101" s="1178"/>
      <c r="F101" s="1178"/>
      <c r="G101" s="1178"/>
      <c r="H101" s="1178"/>
      <c r="I101" s="1178"/>
      <c r="J101" s="1423"/>
      <c r="K101" s="1178"/>
      <c r="L101" s="1178"/>
      <c r="M101" s="1178"/>
      <c r="N101" s="1178"/>
      <c r="O101" s="1178"/>
      <c r="P101" s="1178"/>
      <c r="Q101" s="1178"/>
      <c r="R101" s="1178"/>
      <c r="S101" s="1178"/>
      <c r="T101" s="1178"/>
      <c r="U101" s="1178"/>
      <c r="V101" s="1178"/>
    </row>
    <row r="102" spans="1:25">
      <c r="A102" s="1178"/>
      <c r="B102" s="1178"/>
      <c r="C102" s="1178"/>
      <c r="D102" s="1178"/>
      <c r="E102" s="1178"/>
      <c r="F102" s="1178"/>
      <c r="G102" s="1178"/>
      <c r="H102" s="1178"/>
      <c r="I102" s="1178"/>
      <c r="J102" s="1178"/>
      <c r="K102" s="1178"/>
      <c r="L102" s="1178"/>
      <c r="M102" s="1178"/>
      <c r="N102" s="1178"/>
      <c r="O102" s="1178"/>
      <c r="P102" s="1178"/>
      <c r="Q102" s="1178"/>
      <c r="R102" s="1178"/>
      <c r="S102" s="1178"/>
      <c r="T102" s="1178"/>
      <c r="U102" s="1178"/>
      <c r="V102" s="1178"/>
    </row>
    <row r="103" spans="1:25">
      <c r="A103" s="1178"/>
      <c r="B103" s="1178"/>
      <c r="C103" s="1178"/>
      <c r="D103" s="1178"/>
      <c r="E103" s="1178"/>
      <c r="F103" s="1178"/>
      <c r="G103" s="1178"/>
      <c r="H103" s="1178"/>
      <c r="I103" s="1178"/>
      <c r="J103" s="1178"/>
      <c r="K103" s="1178"/>
      <c r="L103" s="1178"/>
      <c r="M103" s="1178"/>
      <c r="N103" s="1178"/>
      <c r="O103" s="1178"/>
      <c r="P103" s="1178"/>
      <c r="Q103" s="1178"/>
      <c r="R103" s="1423" t="s">
        <v>1244</v>
      </c>
      <c r="S103" s="1423"/>
      <c r="T103" s="1178"/>
      <c r="U103" s="1178"/>
      <c r="V103" s="1178"/>
    </row>
    <row r="104" spans="1:25">
      <c r="A104" s="1178"/>
      <c r="B104" s="1178"/>
      <c r="C104" s="1178"/>
      <c r="D104" s="1178"/>
      <c r="E104" s="1178"/>
      <c r="F104" s="1178"/>
      <c r="G104" s="1178"/>
      <c r="H104" s="1178"/>
      <c r="I104" s="1178"/>
      <c r="J104" s="1178"/>
      <c r="K104" s="1178"/>
      <c r="L104" s="1178"/>
      <c r="M104" s="1178"/>
      <c r="N104" s="1178"/>
      <c r="O104" s="1178"/>
      <c r="P104" s="1178"/>
      <c r="Q104" s="1178"/>
      <c r="R104" s="1178"/>
      <c r="S104" s="1178"/>
      <c r="T104" s="1178"/>
      <c r="U104" s="1178"/>
      <c r="V104" s="1178"/>
    </row>
    <row r="105" spans="1:25">
      <c r="A105" s="1178"/>
      <c r="B105" s="1178"/>
      <c r="C105" s="1178"/>
      <c r="D105" s="1178"/>
      <c r="E105" s="1178"/>
      <c r="F105" s="1178"/>
      <c r="G105" s="1178"/>
      <c r="H105" s="1178"/>
      <c r="I105" s="1178"/>
      <c r="J105" s="1178"/>
      <c r="K105" s="1178"/>
      <c r="L105" s="1178"/>
      <c r="M105" s="1178"/>
      <c r="N105" s="1178"/>
      <c r="O105" s="1178"/>
      <c r="P105" s="1178"/>
      <c r="Q105" s="1178"/>
      <c r="R105" s="1178"/>
      <c r="S105" s="1178"/>
      <c r="T105" s="1178"/>
      <c r="U105" s="1178"/>
      <c r="V105" s="1178"/>
    </row>
    <row r="106" spans="1:25">
      <c r="A106" s="1178"/>
      <c r="B106" s="1178"/>
      <c r="C106" s="1178"/>
      <c r="D106" s="1178"/>
      <c r="E106" s="1178"/>
      <c r="F106" s="1178"/>
      <c r="G106" s="1178"/>
      <c r="H106" s="1178"/>
      <c r="I106" s="1178"/>
      <c r="J106" s="1178"/>
      <c r="K106" s="1178"/>
      <c r="L106" s="1178"/>
      <c r="M106" s="1178"/>
      <c r="N106" s="1178"/>
      <c r="O106" s="1178"/>
      <c r="P106" s="1178"/>
      <c r="Q106" s="1178"/>
      <c r="R106" s="1178"/>
      <c r="S106" s="1178"/>
      <c r="T106" s="1178"/>
      <c r="U106" s="1178"/>
      <c r="V106" s="1178"/>
    </row>
    <row r="107" spans="1:25">
      <c r="A107" s="1178"/>
      <c r="B107" s="1178"/>
      <c r="C107" s="1178"/>
      <c r="D107" s="1178"/>
      <c r="E107" s="1178"/>
      <c r="F107" s="1178"/>
      <c r="G107" s="1178"/>
      <c r="H107" s="1178"/>
      <c r="I107" s="1178"/>
      <c r="J107" s="1178"/>
      <c r="K107" s="1178"/>
      <c r="L107" s="1178"/>
      <c r="M107" s="1178"/>
      <c r="N107" s="1178"/>
      <c r="O107" s="1178"/>
      <c r="P107" s="1178"/>
      <c r="Q107" s="1178"/>
      <c r="R107" s="1178"/>
      <c r="S107" s="1178"/>
      <c r="T107" s="1178"/>
      <c r="U107" s="1178"/>
      <c r="V107" s="1178"/>
    </row>
    <row r="108" spans="1:25">
      <c r="A108" s="1178"/>
      <c r="B108" s="1178"/>
      <c r="C108" s="1178"/>
      <c r="D108" s="1178"/>
      <c r="E108" s="1178"/>
      <c r="F108" s="1178"/>
      <c r="G108" s="1178"/>
      <c r="H108" s="1178"/>
      <c r="I108" s="1178"/>
      <c r="J108" s="1178"/>
      <c r="K108" s="1178"/>
      <c r="L108" s="1178"/>
      <c r="M108" s="1178"/>
      <c r="N108" s="1178"/>
      <c r="O108" s="1178"/>
      <c r="P108" s="1178" t="s">
        <v>422</v>
      </c>
      <c r="Q108" s="1178"/>
      <c r="R108" s="2266">
        <f t="shared" ref="R108:R116" si="11">SUMIF($T$52:$T$98,P108,$R$52:$R$98)</f>
        <v>0</v>
      </c>
      <c r="S108" s="1178"/>
      <c r="T108" s="1178"/>
      <c r="U108" s="1178"/>
      <c r="V108" s="1178"/>
    </row>
    <row r="109" spans="1:25">
      <c r="A109" s="1178"/>
      <c r="B109" s="1178"/>
      <c r="C109" s="1178"/>
      <c r="D109" s="1178"/>
      <c r="E109" s="1178"/>
      <c r="F109" s="1178"/>
      <c r="G109" s="1178"/>
      <c r="H109" s="1178"/>
      <c r="I109" s="1178"/>
      <c r="J109" s="1178"/>
      <c r="K109" s="1178"/>
      <c r="L109" s="1178"/>
      <c r="M109" s="1178"/>
      <c r="N109" s="1178"/>
      <c r="O109" s="1178"/>
      <c r="P109" s="1178" t="s">
        <v>2624</v>
      </c>
      <c r="Q109" s="1178"/>
      <c r="R109" s="2266">
        <f t="shared" si="11"/>
        <v>-1777</v>
      </c>
      <c r="S109" s="1178"/>
      <c r="T109" s="1178"/>
      <c r="U109" s="1178"/>
      <c r="V109" s="1178"/>
    </row>
    <row r="110" spans="1:25">
      <c r="A110" s="1178"/>
      <c r="B110" s="1178"/>
      <c r="C110" s="1178"/>
      <c r="D110" s="1178"/>
      <c r="E110" s="1178"/>
      <c r="F110" s="1178"/>
      <c r="G110" s="1178"/>
      <c r="H110" s="1178"/>
      <c r="I110" s="1178"/>
      <c r="J110" s="1178"/>
      <c r="K110" s="1178"/>
      <c r="L110" s="1178"/>
      <c r="M110" s="1178"/>
      <c r="N110" s="1178"/>
      <c r="O110" s="1178"/>
      <c r="P110" s="1178" t="s">
        <v>423</v>
      </c>
      <c r="Q110" s="1178"/>
      <c r="R110" s="2266">
        <f t="shared" si="11"/>
        <v>0</v>
      </c>
      <c r="S110" s="1178"/>
      <c r="T110" s="1178"/>
      <c r="U110" s="1178"/>
      <c r="V110" s="1178"/>
    </row>
    <row r="111" spans="1:25">
      <c r="A111" s="1178"/>
      <c r="B111" s="1178"/>
      <c r="C111" s="1178"/>
      <c r="D111" s="1178"/>
      <c r="E111" s="1178"/>
      <c r="F111" s="1178"/>
      <c r="G111" s="1178"/>
      <c r="H111" s="1178"/>
      <c r="I111" s="1178"/>
      <c r="J111" s="1178"/>
      <c r="K111" s="1178"/>
      <c r="L111" s="1178"/>
      <c r="M111" s="1178"/>
      <c r="N111" s="1178"/>
      <c r="O111" s="1178"/>
      <c r="P111" s="1178" t="s">
        <v>712</v>
      </c>
      <c r="Q111" s="1178"/>
      <c r="R111" s="2266">
        <f t="shared" si="11"/>
        <v>0</v>
      </c>
      <c r="S111" s="2266"/>
      <c r="T111" s="1178"/>
      <c r="U111" s="1178"/>
      <c r="V111" s="1178"/>
    </row>
    <row r="112" spans="1:25">
      <c r="A112" s="1178"/>
      <c r="B112" s="1178"/>
      <c r="C112" s="1178"/>
      <c r="D112" s="1178"/>
      <c r="E112" s="1178"/>
      <c r="F112" s="1178"/>
      <c r="G112" s="1178"/>
      <c r="H112" s="1178"/>
      <c r="I112" s="1178"/>
      <c r="J112" s="1178"/>
      <c r="K112" s="1178"/>
      <c r="L112" s="1178"/>
      <c r="M112" s="1178"/>
      <c r="N112" s="1178"/>
      <c r="O112" s="1178"/>
      <c r="P112" s="1178" t="s">
        <v>421</v>
      </c>
      <c r="Q112" s="1178"/>
      <c r="R112" s="2266">
        <f t="shared" si="11"/>
        <v>-18293</v>
      </c>
      <c r="S112" s="2266"/>
      <c r="T112" s="1178"/>
      <c r="U112" s="1178"/>
      <c r="V112" s="1178"/>
    </row>
    <row r="113" spans="1:22">
      <c r="A113" s="1178"/>
      <c r="B113" s="1178"/>
      <c r="C113" s="1178"/>
      <c r="D113" s="1178"/>
      <c r="E113" s="1178"/>
      <c r="F113" s="1178"/>
      <c r="G113" s="1178"/>
      <c r="H113" s="1178"/>
      <c r="I113" s="1178"/>
      <c r="J113" s="1178"/>
      <c r="K113" s="1178"/>
      <c r="L113" s="1178"/>
      <c r="M113" s="1178"/>
      <c r="N113" s="1178"/>
      <c r="O113" s="1178"/>
      <c r="P113" s="1178" t="s">
        <v>713</v>
      </c>
      <c r="Q113" s="1178"/>
      <c r="R113" s="2266">
        <f t="shared" si="11"/>
        <v>0</v>
      </c>
      <c r="S113" s="2266"/>
      <c r="T113" s="1178"/>
      <c r="U113" s="1178"/>
      <c r="V113" s="1178"/>
    </row>
    <row r="114" spans="1:22">
      <c r="A114" s="1178"/>
      <c r="B114" s="1178"/>
      <c r="C114" s="1178"/>
      <c r="D114" s="1178"/>
      <c r="E114" s="1178"/>
      <c r="F114" s="1178"/>
      <c r="G114" s="1178"/>
      <c r="H114" s="1178"/>
      <c r="I114" s="1178"/>
      <c r="J114" s="1178"/>
      <c r="K114" s="1178"/>
      <c r="L114" s="1178"/>
      <c r="M114" s="1178"/>
      <c r="N114" s="1178"/>
      <c r="O114" s="1178"/>
      <c r="P114" s="1178" t="s">
        <v>714</v>
      </c>
      <c r="Q114" s="1178"/>
      <c r="R114" s="2266">
        <f t="shared" si="11"/>
        <v>-122062</v>
      </c>
      <c r="S114" s="2266"/>
      <c r="T114" s="1178"/>
      <c r="U114" s="1178"/>
      <c r="V114" s="1178"/>
    </row>
    <row r="115" spans="1:22">
      <c r="A115" s="1178"/>
      <c r="B115" s="1178"/>
      <c r="C115" s="1178"/>
      <c r="D115" s="1178"/>
      <c r="E115" s="1178"/>
      <c r="F115" s="1178"/>
      <c r="G115" s="1178"/>
      <c r="H115" s="1178"/>
      <c r="I115" s="1178"/>
      <c r="J115" s="1178"/>
      <c r="K115" s="1178"/>
      <c r="L115" s="1178"/>
      <c r="M115" s="1178"/>
      <c r="N115" s="1178"/>
      <c r="O115" s="1178"/>
      <c r="P115" s="1178" t="s">
        <v>1188</v>
      </c>
      <c r="Q115" s="1178"/>
      <c r="R115" s="2266">
        <f t="shared" si="11"/>
        <v>-16879</v>
      </c>
      <c r="S115" s="2266"/>
      <c r="T115" s="1178"/>
      <c r="U115" s="1178"/>
      <c r="V115" s="1178"/>
    </row>
    <row r="116" spans="1:22">
      <c r="A116" s="1178"/>
      <c r="B116" s="1178"/>
      <c r="C116" s="1178"/>
      <c r="D116" s="1178"/>
      <c r="E116" s="1178"/>
      <c r="F116" s="1178"/>
      <c r="G116" s="1178"/>
      <c r="H116" s="1178"/>
      <c r="I116" s="1178"/>
      <c r="J116" s="1178"/>
      <c r="K116" s="1178"/>
      <c r="L116" s="1178"/>
      <c r="M116" s="1178"/>
      <c r="N116" s="1178"/>
      <c r="O116" s="1178"/>
      <c r="P116" s="1178" t="s">
        <v>711</v>
      </c>
      <c r="Q116" s="1178"/>
      <c r="R116" s="2266">
        <f t="shared" si="11"/>
        <v>-380881</v>
      </c>
      <c r="S116" s="2266"/>
      <c r="T116" s="1178"/>
      <c r="U116" s="1178"/>
      <c r="V116" s="1178"/>
    </row>
    <row r="117" spans="1:22">
      <c r="A117" s="1178"/>
      <c r="B117" s="1178"/>
      <c r="C117" s="1178"/>
      <c r="D117" s="1178"/>
      <c r="E117" s="1178"/>
      <c r="F117" s="1178"/>
      <c r="G117" s="1178"/>
      <c r="H117" s="1178"/>
      <c r="I117" s="1178"/>
      <c r="J117" s="1178"/>
      <c r="K117" s="1178"/>
      <c r="L117" s="1178"/>
      <c r="M117" s="1178"/>
      <c r="N117" s="1178"/>
      <c r="O117" s="1178"/>
      <c r="P117" s="1178"/>
      <c r="Q117" s="1178"/>
      <c r="R117" s="2266">
        <f>SUM(R108:R116)</f>
        <v>-539892</v>
      </c>
      <c r="S117" s="2266"/>
      <c r="T117" s="1178"/>
      <c r="U117" s="1178"/>
      <c r="V117" s="1178"/>
    </row>
    <row r="118" spans="1:22">
      <c r="A118" s="1178"/>
      <c r="B118" s="1178"/>
      <c r="C118" s="1178"/>
      <c r="D118" s="1178"/>
      <c r="E118" s="1178"/>
      <c r="F118" s="1178"/>
      <c r="G118" s="1178"/>
      <c r="H118" s="1178"/>
      <c r="I118" s="1178"/>
      <c r="J118" s="1178"/>
      <c r="K118" s="1178"/>
      <c r="L118" s="1178"/>
      <c r="M118" s="1178"/>
      <c r="N118" s="1178"/>
      <c r="O118" s="1178"/>
      <c r="P118" s="1178"/>
      <c r="Q118" s="1178"/>
      <c r="R118" s="1178"/>
      <c r="S118" s="1178"/>
      <c r="T118" s="1178"/>
      <c r="U118" s="1178"/>
      <c r="V118" s="1178"/>
    </row>
    <row r="119" spans="1:22">
      <c r="A119" s="1178"/>
      <c r="B119" s="1178"/>
      <c r="C119" s="1178"/>
      <c r="D119" s="1178"/>
      <c r="E119" s="1178"/>
      <c r="F119" s="1178"/>
      <c r="G119" s="1178"/>
      <c r="H119" s="1178"/>
      <c r="I119" s="1178"/>
      <c r="J119" s="1178"/>
      <c r="K119" s="1178"/>
      <c r="L119" s="1178"/>
      <c r="M119" s="1178"/>
      <c r="N119" s="1178"/>
      <c r="O119" s="1178"/>
      <c r="P119" s="1178"/>
      <c r="Q119" s="1178"/>
      <c r="R119" s="1178"/>
      <c r="S119" s="1178"/>
      <c r="T119" s="1178"/>
      <c r="U119" s="1178"/>
      <c r="V119" s="1178"/>
    </row>
    <row r="120" spans="1:22">
      <c r="A120" s="1178"/>
      <c r="B120" s="1178"/>
      <c r="C120" s="1178"/>
      <c r="D120" s="1178"/>
      <c r="E120" s="1178"/>
      <c r="F120" s="1178"/>
      <c r="G120" s="1178"/>
      <c r="H120" s="1178"/>
      <c r="I120" s="1178"/>
      <c r="J120" s="1178"/>
      <c r="K120" s="1178"/>
      <c r="L120" s="1178"/>
      <c r="M120" s="1178"/>
      <c r="N120" s="1178"/>
      <c r="O120" s="1178"/>
      <c r="P120" s="1178"/>
      <c r="Q120" s="1178"/>
      <c r="R120" s="1178"/>
      <c r="S120" s="1178"/>
      <c r="T120" s="1178"/>
      <c r="U120" s="1178"/>
      <c r="V120" s="1178"/>
    </row>
    <row r="121" spans="1:22">
      <c r="A121" s="1178"/>
      <c r="B121" s="1178"/>
      <c r="C121" s="1178"/>
      <c r="D121" s="1178"/>
      <c r="E121" s="1178"/>
      <c r="F121" s="1178"/>
      <c r="G121" s="1178"/>
      <c r="H121" s="1178"/>
      <c r="I121" s="1178"/>
      <c r="J121" s="1178"/>
      <c r="K121" s="1178"/>
      <c r="L121" s="1178"/>
      <c r="M121" s="1178"/>
      <c r="N121" s="1178"/>
      <c r="O121" s="1178"/>
      <c r="P121" s="1178"/>
      <c r="Q121" s="1178"/>
      <c r="R121" s="1178"/>
      <c r="S121" s="1178"/>
      <c r="T121" s="1178"/>
      <c r="U121" s="1178"/>
      <c r="V121" s="1178"/>
    </row>
    <row r="122" spans="1:22">
      <c r="A122" s="1178"/>
      <c r="B122" s="1178"/>
      <c r="C122" s="1178"/>
      <c r="D122" s="1178"/>
      <c r="E122" s="1178"/>
      <c r="F122" s="1178"/>
      <c r="G122" s="1178"/>
      <c r="H122" s="1178"/>
      <c r="I122" s="1178"/>
      <c r="J122" s="1178"/>
      <c r="K122" s="1178"/>
      <c r="L122" s="1178"/>
      <c r="M122" s="1178"/>
      <c r="N122" s="1178"/>
      <c r="O122" s="1178"/>
      <c r="P122" s="1178"/>
      <c r="Q122" s="1178"/>
      <c r="R122" s="1178"/>
      <c r="S122" s="1178"/>
      <c r="T122" s="1178"/>
      <c r="U122" s="1178"/>
      <c r="V122" s="1178"/>
    </row>
    <row r="123" spans="1:22">
      <c r="A123" s="1178"/>
      <c r="B123" s="1178"/>
      <c r="C123" s="1178"/>
      <c r="D123" s="1178"/>
      <c r="E123" s="1178"/>
      <c r="F123" s="1178"/>
      <c r="G123" s="1178"/>
      <c r="H123" s="1178"/>
      <c r="I123" s="1178"/>
      <c r="J123" s="1178"/>
      <c r="K123" s="1178"/>
      <c r="L123" s="1178"/>
      <c r="M123" s="1178"/>
      <c r="N123" s="1178"/>
      <c r="O123" s="1178"/>
      <c r="P123" s="1178"/>
      <c r="Q123" s="1178"/>
      <c r="R123" s="1178"/>
      <c r="S123" s="1178"/>
      <c r="T123" s="1178"/>
      <c r="U123" s="1178"/>
      <c r="V123" s="1178"/>
    </row>
    <row r="124" spans="1:22">
      <c r="A124" s="1178"/>
      <c r="B124" s="1178"/>
      <c r="C124" s="1178"/>
      <c r="D124" s="1178"/>
      <c r="E124" s="1178"/>
      <c r="F124" s="1178"/>
      <c r="G124" s="1178"/>
      <c r="H124" s="1178"/>
      <c r="I124" s="1377"/>
      <c r="J124" s="1377"/>
      <c r="K124" s="1377"/>
      <c r="L124" s="1377"/>
      <c r="M124" s="1377"/>
      <c r="N124" s="1377"/>
      <c r="O124" s="1377"/>
      <c r="P124" s="1377"/>
      <c r="Q124" s="1377"/>
      <c r="R124" s="1377"/>
      <c r="S124" s="1377"/>
      <c r="T124" s="1377"/>
      <c r="U124" s="1377"/>
      <c r="V124" s="1377"/>
    </row>
    <row r="125" spans="1:22">
      <c r="A125" s="1178"/>
      <c r="B125" s="1178"/>
      <c r="C125" s="1178"/>
      <c r="D125" s="1178"/>
      <c r="E125" s="1178"/>
      <c r="F125" s="1178"/>
      <c r="G125" s="1178"/>
      <c r="H125" s="1178"/>
      <c r="I125" s="1377"/>
      <c r="J125" s="1377"/>
      <c r="K125" s="1377"/>
      <c r="L125" s="1377"/>
      <c r="M125" s="1377"/>
      <c r="N125" s="1377"/>
      <c r="O125" s="1377"/>
      <c r="P125" s="1377"/>
      <c r="Q125" s="1377"/>
      <c r="R125" s="1377"/>
      <c r="S125" s="1377"/>
      <c r="T125" s="1377"/>
      <c r="U125" s="1377"/>
      <c r="V125" s="1377"/>
    </row>
    <row r="126" spans="1:22">
      <c r="A126" s="1178"/>
      <c r="B126" s="1178"/>
      <c r="C126" s="1178"/>
      <c r="D126" s="1178"/>
      <c r="E126" s="1178"/>
      <c r="F126" s="1178"/>
      <c r="G126" s="1178"/>
      <c r="H126" s="1178"/>
      <c r="I126" s="1377"/>
      <c r="J126" s="1377"/>
      <c r="K126" s="1377"/>
      <c r="L126" s="1377"/>
      <c r="M126" s="1377"/>
      <c r="N126" s="1377"/>
      <c r="O126" s="1377"/>
      <c r="P126" s="1377"/>
      <c r="Q126" s="1377"/>
      <c r="R126" s="1377"/>
      <c r="S126" s="1377"/>
      <c r="T126" s="1377"/>
      <c r="U126" s="1377"/>
      <c r="V126" s="1377"/>
    </row>
    <row r="127" spans="1:22">
      <c r="A127" s="1178"/>
      <c r="B127" s="1178"/>
      <c r="C127" s="1178"/>
      <c r="D127" s="1178"/>
      <c r="E127" s="1178"/>
      <c r="F127" s="1178"/>
      <c r="G127" s="1178"/>
      <c r="H127" s="1178"/>
      <c r="I127" s="1377"/>
      <c r="J127" s="1377"/>
      <c r="K127" s="1377"/>
      <c r="L127" s="1377"/>
      <c r="M127" s="1377"/>
      <c r="N127" s="1377"/>
      <c r="O127" s="1377"/>
      <c r="P127" s="1377"/>
      <c r="Q127" s="1377"/>
      <c r="R127" s="1377"/>
      <c r="S127" s="1377"/>
      <c r="T127" s="1377"/>
      <c r="U127" s="1377"/>
      <c r="V127" s="1377"/>
    </row>
    <row r="128" spans="1:22">
      <c r="A128" s="1178"/>
      <c r="B128" s="1178"/>
      <c r="C128" s="1178"/>
      <c r="D128" s="1178"/>
      <c r="E128" s="1178"/>
      <c r="F128" s="1178"/>
      <c r="G128" s="1178"/>
      <c r="H128" s="1178"/>
      <c r="I128" s="1377"/>
      <c r="J128" s="1377"/>
      <c r="K128" s="1377"/>
      <c r="L128" s="1377"/>
      <c r="M128" s="1377"/>
      <c r="N128" s="1377"/>
      <c r="O128" s="1377"/>
      <c r="P128" s="1377"/>
      <c r="Q128" s="1377"/>
      <c r="R128" s="1377"/>
      <c r="S128" s="1377"/>
      <c r="T128" s="1377"/>
      <c r="U128" s="1377"/>
      <c r="V128" s="1377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theme="7" tint="-0.249977111117893"/>
  </sheetPr>
  <dimension ref="A1:AB60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9.28515625" style="18" customWidth="1"/>
    <col min="2" max="2" width="19.140625" style="18" customWidth="1"/>
    <col min="3" max="8" width="9.28515625" style="18" customWidth="1"/>
    <col min="9" max="9" width="12.5703125" style="18" customWidth="1"/>
    <col min="10" max="10" width="16.42578125" style="18" customWidth="1"/>
    <col min="11" max="11" width="7.42578125" style="18" customWidth="1"/>
    <col min="12" max="12" width="1.28515625" style="18" customWidth="1"/>
    <col min="13" max="13" width="49.42578125" style="18" customWidth="1"/>
    <col min="14" max="14" width="2.140625" style="18" customWidth="1"/>
    <col min="15" max="15" width="15.28515625" style="18" customWidth="1"/>
    <col min="16" max="16" width="1.42578125" style="18" customWidth="1"/>
    <col min="17" max="17" width="17.42578125" style="18" customWidth="1"/>
    <col min="18" max="18" width="12.5703125" style="18" customWidth="1"/>
    <col min="19" max="20" width="8" style="18" customWidth="1"/>
    <col min="21" max="21" width="14.85546875" style="18" customWidth="1"/>
    <col min="22" max="22" width="13" style="18" customWidth="1"/>
    <col min="23" max="23" width="14.5703125" style="18" customWidth="1"/>
    <col min="24" max="25" width="13" style="18" customWidth="1"/>
    <col min="26" max="26" width="14.28515625" style="18" customWidth="1"/>
    <col min="27" max="16384" width="8" style="18"/>
  </cols>
  <sheetData>
    <row r="1" spans="1:28">
      <c r="A1" s="2211" t="str">
        <f>COMPANY</f>
        <v>DUKE ENERGY KENTUCKY, INC.</v>
      </c>
      <c r="B1" s="2212"/>
      <c r="C1" s="2212"/>
      <c r="D1" s="2212"/>
      <c r="E1" s="2212"/>
      <c r="F1" s="2212"/>
      <c r="G1" s="2212"/>
      <c r="H1" s="2212"/>
      <c r="I1" s="2212"/>
      <c r="J1" s="2212"/>
      <c r="K1" s="2174"/>
      <c r="L1" s="2174"/>
      <c r="M1" s="2174"/>
      <c r="N1" s="2174"/>
      <c r="O1" s="2174"/>
      <c r="P1" s="2174"/>
      <c r="Q1" s="2174"/>
      <c r="R1" s="2174"/>
      <c r="S1" s="2174"/>
      <c r="T1" s="2174"/>
      <c r="U1" s="2174"/>
      <c r="V1" s="2174"/>
      <c r="W1" s="2174"/>
      <c r="X1" s="2174"/>
      <c r="Y1" s="2174"/>
      <c r="Z1" s="2174"/>
      <c r="AA1" s="2174"/>
      <c r="AB1" s="2174"/>
    </row>
    <row r="2" spans="1:28">
      <c r="A2" s="2211" t="str">
        <f>CASE</f>
        <v>CASE NO. 2017-00321</v>
      </c>
      <c r="B2" s="2212"/>
      <c r="C2" s="2212"/>
      <c r="D2" s="2212"/>
      <c r="E2" s="2212"/>
      <c r="F2" s="2212"/>
      <c r="G2" s="2212"/>
      <c r="H2" s="2212"/>
      <c r="I2" s="2212"/>
      <c r="J2" s="2212"/>
      <c r="K2" s="2174"/>
      <c r="L2" s="2174"/>
      <c r="M2" s="2174"/>
      <c r="N2" s="2174"/>
      <c r="O2" s="2174"/>
      <c r="P2" s="2174"/>
      <c r="Q2" s="2174"/>
      <c r="R2" s="2174"/>
      <c r="S2" s="2174"/>
      <c r="T2" s="2174"/>
      <c r="U2" s="2174"/>
      <c r="V2" s="2174"/>
      <c r="W2" s="2174"/>
      <c r="X2" s="2174"/>
      <c r="Y2" s="2174"/>
      <c r="Z2" s="2174"/>
      <c r="AA2" s="2174"/>
      <c r="AB2" s="2174"/>
    </row>
    <row r="3" spans="1:28">
      <c r="A3" s="2213" t="s">
        <v>1814</v>
      </c>
      <c r="B3" s="2212"/>
      <c r="C3" s="2212"/>
      <c r="D3" s="2212"/>
      <c r="E3" s="2212"/>
      <c r="F3" s="2212"/>
      <c r="G3" s="2212"/>
      <c r="H3" s="2212"/>
      <c r="I3" s="2212"/>
      <c r="J3" s="2212"/>
      <c r="K3" s="2174"/>
      <c r="L3" s="2174"/>
      <c r="M3" s="2174"/>
      <c r="N3" s="2174"/>
      <c r="O3" s="2174"/>
      <c r="P3" s="2174"/>
      <c r="Q3" s="2174"/>
      <c r="R3" s="2174"/>
      <c r="S3" s="2174"/>
      <c r="T3" s="2174"/>
      <c r="U3" s="2174"/>
      <c r="V3" s="2174"/>
      <c r="W3" s="2174"/>
      <c r="X3" s="2174"/>
      <c r="Y3" s="2174"/>
      <c r="Z3" s="2174"/>
      <c r="AA3" s="2174"/>
      <c r="AB3" s="2174"/>
    </row>
    <row r="4" spans="1:28">
      <c r="A4" s="2211" t="str">
        <f>PeriodF</f>
        <v>FOR THE TWELVE MONTHS ENDED MARCH 31, 2019</v>
      </c>
      <c r="B4" s="2212"/>
      <c r="C4" s="2212"/>
      <c r="D4" s="2212"/>
      <c r="E4" s="2212"/>
      <c r="F4" s="2212"/>
      <c r="G4" s="2212"/>
      <c r="H4" s="2212"/>
      <c r="I4" s="2212"/>
      <c r="J4" s="2212"/>
      <c r="K4" s="2174"/>
      <c r="L4" s="2174"/>
      <c r="M4" s="2174"/>
      <c r="N4" s="2174"/>
      <c r="O4" s="2174"/>
      <c r="P4" s="2174"/>
      <c r="Q4" s="2174"/>
      <c r="R4" s="2174"/>
      <c r="S4" s="2174"/>
      <c r="T4" s="2174"/>
      <c r="U4" s="2174"/>
      <c r="V4" s="2174"/>
      <c r="W4" s="2174"/>
      <c r="X4" s="2174"/>
      <c r="Y4" s="2174"/>
      <c r="Z4" s="2174"/>
      <c r="AA4" s="2174"/>
      <c r="AB4" s="2174"/>
    </row>
    <row r="5" spans="1:28">
      <c r="A5" s="2174"/>
      <c r="B5" s="2174"/>
      <c r="C5" s="2174"/>
      <c r="D5" s="2174"/>
      <c r="E5" s="2174"/>
      <c r="F5" s="2174"/>
      <c r="G5" s="2174"/>
      <c r="H5" s="2174"/>
      <c r="I5" s="2174"/>
      <c r="J5" s="2174"/>
      <c r="K5" s="2174"/>
      <c r="L5" s="2174"/>
      <c r="M5" s="2174"/>
      <c r="N5" s="2174"/>
      <c r="O5" s="2174"/>
      <c r="P5" s="2174"/>
      <c r="Q5" s="2174"/>
      <c r="R5" s="2174"/>
      <c r="S5" s="2174"/>
      <c r="T5" s="2174"/>
      <c r="U5" s="2174"/>
      <c r="V5" s="2174"/>
      <c r="W5" s="2174"/>
      <c r="X5" s="2174"/>
      <c r="Y5" s="2174"/>
      <c r="Z5" s="2174"/>
      <c r="AA5" s="2174"/>
      <c r="AB5" s="2174"/>
    </row>
    <row r="6" spans="1:28">
      <c r="A6" s="2173" t="str">
        <f>DataF</f>
        <v>DATA:  BASE PERIOD  "X" FORECASTED PERIOD</v>
      </c>
      <c r="B6" s="2174"/>
      <c r="C6" s="2174"/>
      <c r="D6" s="2174"/>
      <c r="E6" s="2174"/>
      <c r="F6" s="2174"/>
      <c r="G6" s="2174"/>
      <c r="H6" s="2174"/>
      <c r="I6" s="1626" t="s">
        <v>1313</v>
      </c>
      <c r="J6" s="2174"/>
      <c r="K6" s="2174"/>
      <c r="L6" s="2174"/>
      <c r="M6" s="2174"/>
      <c r="N6" s="2174"/>
      <c r="O6" s="2174"/>
      <c r="P6" s="2174"/>
      <c r="Q6" s="2174"/>
      <c r="R6" s="2174"/>
      <c r="S6" s="2174"/>
      <c r="T6" s="2174"/>
      <c r="U6" s="2174"/>
      <c r="V6" s="2174"/>
      <c r="W6" s="2174"/>
      <c r="X6" s="2174"/>
      <c r="Y6" s="2174"/>
      <c r="Z6" s="2174"/>
      <c r="AA6" s="2174"/>
      <c r="AB6" s="2174"/>
    </row>
    <row r="7" spans="1:28">
      <c r="A7" s="2173" t="str">
        <f>Type</f>
        <v xml:space="preserve">TYPE OF FILING:  "X" ORIGINAL   UPDATED    REVISED  </v>
      </c>
      <c r="B7" s="2174"/>
      <c r="C7" s="2174"/>
      <c r="D7" s="2174"/>
      <c r="E7" s="2174"/>
      <c r="F7" s="2174"/>
      <c r="G7" s="2174"/>
      <c r="H7" s="2174"/>
      <c r="I7" s="1626" t="s">
        <v>620</v>
      </c>
      <c r="J7" s="2174"/>
      <c r="K7" s="2174"/>
      <c r="L7" s="2174"/>
      <c r="M7" s="2174"/>
      <c r="N7" s="2174"/>
      <c r="O7" s="2174"/>
      <c r="P7" s="2174"/>
      <c r="Q7" s="2174"/>
      <c r="R7" s="2174"/>
      <c r="S7" s="2174"/>
      <c r="T7" s="2174"/>
      <c r="U7" s="2174"/>
      <c r="V7" s="2174"/>
      <c r="W7" s="2174"/>
      <c r="X7" s="2174"/>
      <c r="Y7" s="2174"/>
      <c r="Z7" s="2174"/>
      <c r="AA7" s="2174"/>
      <c r="AB7" s="2174"/>
    </row>
    <row r="8" spans="1:28">
      <c r="A8" s="1626" t="s">
        <v>2255</v>
      </c>
      <c r="B8" s="2174"/>
      <c r="C8" s="2174"/>
      <c r="D8" s="2174"/>
      <c r="E8" s="2174"/>
      <c r="F8" s="2174"/>
      <c r="G8" s="2174"/>
      <c r="H8" s="2174"/>
      <c r="I8" s="1626" t="s">
        <v>622</v>
      </c>
      <c r="J8" s="2174"/>
      <c r="K8" s="2174"/>
      <c r="L8" s="2174"/>
      <c r="M8" s="2174"/>
      <c r="N8" s="2174"/>
      <c r="O8" s="2174"/>
      <c r="P8" s="2174"/>
      <c r="Q8" s="2174"/>
      <c r="R8" s="2174"/>
      <c r="S8" s="2174"/>
      <c r="T8" s="2174"/>
      <c r="U8" s="2174"/>
      <c r="V8" s="2174"/>
      <c r="W8" s="2174"/>
      <c r="X8" s="2174"/>
      <c r="Y8" s="2174"/>
      <c r="Z8" s="2174"/>
      <c r="AA8" s="2174"/>
      <c r="AB8" s="2174"/>
    </row>
    <row r="9" spans="1:28">
      <c r="A9" s="2174"/>
      <c r="B9" s="2174"/>
      <c r="C9" s="2174"/>
      <c r="D9" s="2174"/>
      <c r="E9" s="2174"/>
      <c r="F9" s="2174"/>
      <c r="G9" s="2174"/>
      <c r="H9" s="2174"/>
      <c r="I9" s="1626" t="str">
        <f>_WIT7</f>
        <v>R. H. PRATT / C. S. LEE</v>
      </c>
      <c r="J9" s="2174"/>
      <c r="K9" s="2174"/>
      <c r="L9" s="2174"/>
      <c r="M9" s="2174"/>
      <c r="N9" s="2174"/>
      <c r="O9" s="2174"/>
      <c r="P9" s="2174"/>
      <c r="Q9" s="2174"/>
      <c r="R9" s="2174"/>
      <c r="S9" s="2174"/>
      <c r="T9" s="2174"/>
      <c r="U9" s="2174"/>
      <c r="V9" s="2174"/>
      <c r="W9" s="2174"/>
      <c r="X9" s="2174"/>
      <c r="Y9" s="2174"/>
      <c r="Z9" s="2174"/>
      <c r="AA9" s="2174"/>
      <c r="AB9" s="2174"/>
    </row>
    <row r="10" spans="1:28">
      <c r="A10" s="2214"/>
      <c r="B10" s="2214"/>
      <c r="C10" s="2214"/>
      <c r="D10" s="2214"/>
      <c r="E10" s="2214"/>
      <c r="F10" s="2214"/>
      <c r="G10" s="2214"/>
      <c r="H10" s="2214"/>
      <c r="I10" s="2214"/>
      <c r="J10" s="2214"/>
      <c r="K10" s="1626"/>
      <c r="L10" s="2174"/>
      <c r="M10" s="2174"/>
      <c r="N10" s="2174"/>
      <c r="O10" s="2174"/>
      <c r="P10" s="2174"/>
      <c r="Q10" s="2174"/>
      <c r="R10" s="2174"/>
      <c r="S10" s="2174"/>
      <c r="T10" s="2174"/>
      <c r="U10" s="2174"/>
      <c r="V10" s="2174"/>
      <c r="W10" s="2174"/>
      <c r="X10" s="2174"/>
      <c r="Y10" s="2174"/>
      <c r="Z10" s="2174"/>
      <c r="AA10" s="2174"/>
      <c r="AB10" s="2174"/>
    </row>
    <row r="11" spans="1:28">
      <c r="A11" s="2174"/>
      <c r="B11" s="2174"/>
      <c r="C11" s="2174"/>
      <c r="D11" s="2174"/>
      <c r="E11" s="2174"/>
      <c r="F11" s="2174"/>
      <c r="G11" s="2174"/>
      <c r="H11" s="2174"/>
      <c r="I11" s="2174"/>
      <c r="J11" s="2174"/>
      <c r="K11" s="2174"/>
      <c r="L11" s="2174"/>
      <c r="M11" s="2174"/>
      <c r="N11" s="2174"/>
      <c r="O11" s="2174"/>
      <c r="P11" s="2174"/>
      <c r="Q11" s="2174"/>
      <c r="R11" s="2174"/>
      <c r="S11" s="2174"/>
      <c r="T11" s="2174"/>
      <c r="U11" s="2174"/>
      <c r="V11" s="2174"/>
      <c r="W11" s="2174"/>
      <c r="X11" s="2174"/>
      <c r="Y11" s="2174"/>
      <c r="Z11" s="2174"/>
      <c r="AA11" s="2174"/>
      <c r="AB11" s="2174"/>
    </row>
    <row r="12" spans="1:28">
      <c r="A12" s="1626" t="s">
        <v>1246</v>
      </c>
      <c r="B12" s="2174"/>
      <c r="C12" s="2174"/>
      <c r="D12" s="2174"/>
      <c r="E12" s="2174"/>
      <c r="F12" s="2174"/>
      <c r="G12" s="2174"/>
      <c r="H12" s="2174"/>
      <c r="I12" s="2174"/>
      <c r="J12" s="2215" t="s">
        <v>364</v>
      </c>
      <c r="K12" s="2174"/>
      <c r="L12" s="2174"/>
      <c r="M12" s="2174"/>
      <c r="N12" s="2174"/>
      <c r="O12" s="2174"/>
      <c r="P12" s="2174"/>
      <c r="Q12" s="2174"/>
      <c r="R12" s="2174"/>
      <c r="S12" s="2174"/>
      <c r="T12" s="2174"/>
      <c r="U12" s="2174"/>
      <c r="V12" s="2174"/>
      <c r="W12" s="2174"/>
      <c r="X12" s="2174"/>
      <c r="Y12" s="2174"/>
      <c r="Z12" s="2174"/>
      <c r="AA12" s="2174"/>
      <c r="AB12" s="2174"/>
    </row>
    <row r="13" spans="1:28">
      <c r="A13" s="2214"/>
      <c r="B13" s="2214"/>
      <c r="C13" s="2214"/>
      <c r="D13" s="2214"/>
      <c r="E13" s="2214"/>
      <c r="F13" s="2214"/>
      <c r="G13" s="2214"/>
      <c r="H13" s="2214"/>
      <c r="I13" s="2214"/>
      <c r="J13" s="2214"/>
      <c r="K13" s="1626"/>
      <c r="L13" s="2174"/>
      <c r="M13" s="2174"/>
      <c r="N13" s="2174"/>
      <c r="O13" s="2174"/>
      <c r="P13" s="2174"/>
      <c r="Q13" s="2174"/>
      <c r="R13" s="2174"/>
      <c r="S13" s="2174"/>
      <c r="T13" s="2174"/>
      <c r="U13" s="2174"/>
      <c r="V13" s="2174"/>
      <c r="W13" s="2174"/>
      <c r="X13" s="2174"/>
      <c r="Y13" s="2174"/>
      <c r="Z13" s="2174"/>
      <c r="AA13" s="2174"/>
      <c r="AB13" s="2174"/>
    </row>
    <row r="14" spans="1:28">
      <c r="A14" s="2174"/>
      <c r="B14" s="2174"/>
      <c r="C14" s="2174"/>
      <c r="D14" s="2174"/>
      <c r="E14" s="2174"/>
      <c r="F14" s="2174"/>
      <c r="G14" s="2174"/>
      <c r="H14" s="2174"/>
      <c r="I14" s="2174"/>
      <c r="J14" s="2216"/>
      <c r="K14" s="2174"/>
      <c r="L14" s="2174"/>
      <c r="M14" s="2174"/>
      <c r="N14" s="2174"/>
      <c r="O14" s="2174"/>
      <c r="P14" s="2174"/>
      <c r="Q14" s="2174"/>
      <c r="R14" s="2174"/>
      <c r="S14" s="2174"/>
      <c r="T14" s="2174"/>
      <c r="U14" s="2174"/>
      <c r="V14" s="2174"/>
      <c r="W14" s="2174"/>
      <c r="X14" s="2174"/>
      <c r="Y14" s="2174"/>
      <c r="Z14" s="2174"/>
      <c r="AA14" s="2174"/>
      <c r="AB14" s="2174"/>
    </row>
    <row r="15" spans="1:28">
      <c r="A15" s="1626" t="s">
        <v>856</v>
      </c>
      <c r="B15" s="2174"/>
      <c r="C15" s="2174"/>
      <c r="D15" s="2174"/>
      <c r="E15" s="2174"/>
      <c r="F15" s="2174"/>
      <c r="G15" s="2174"/>
      <c r="H15" s="2174"/>
      <c r="I15" s="2174"/>
      <c r="J15" s="2174"/>
      <c r="K15" s="2174"/>
      <c r="L15" s="2174"/>
      <c r="M15" s="2174"/>
      <c r="N15" s="2174"/>
      <c r="O15" s="2174"/>
      <c r="P15" s="2174"/>
      <c r="Q15" s="2174"/>
      <c r="R15" s="2174"/>
      <c r="S15" s="2174"/>
      <c r="T15" s="2174"/>
      <c r="U15" s="2174"/>
      <c r="V15" s="2174"/>
      <c r="W15" s="2174"/>
      <c r="X15" s="2174"/>
      <c r="Y15" s="2174"/>
      <c r="Z15" s="2174"/>
      <c r="AA15" s="2174"/>
      <c r="AB15" s="2174"/>
    </row>
    <row r="16" spans="1:28">
      <c r="A16" s="1626" t="s">
        <v>1767</v>
      </c>
      <c r="B16" s="2174"/>
      <c r="C16" s="2174"/>
      <c r="D16" s="2174"/>
      <c r="E16" s="2174"/>
      <c r="F16" s="2174"/>
      <c r="G16" s="2174"/>
      <c r="H16" s="2174"/>
      <c r="I16" s="2174"/>
      <c r="J16" s="2174"/>
      <c r="K16" s="2174"/>
      <c r="L16" s="2174"/>
      <c r="M16" s="2174"/>
      <c r="N16" s="2174"/>
      <c r="O16" s="2174"/>
      <c r="P16" s="2174"/>
      <c r="Q16" s="2174"/>
      <c r="R16" s="2174"/>
      <c r="S16" s="2174"/>
      <c r="T16" s="2174"/>
      <c r="U16" s="2174"/>
      <c r="V16" s="2174"/>
      <c r="W16" s="2174"/>
      <c r="X16" s="2174"/>
      <c r="Y16" s="2174"/>
      <c r="Z16" s="2174"/>
      <c r="AA16" s="2174"/>
      <c r="AB16" s="2174"/>
    </row>
    <row r="17" spans="1:28">
      <c r="A17" s="1626" t="str">
        <f>"based on 13 month average plant at "&amp;PROPER(Testyear)&amp;"."</f>
        <v>based on 13 month average plant at March 31, 2019.</v>
      </c>
      <c r="B17" s="2174"/>
      <c r="C17" s="2174"/>
      <c r="D17" s="2174"/>
      <c r="E17" s="2174"/>
      <c r="F17" s="2174"/>
      <c r="G17" s="2174"/>
      <c r="H17" s="2174"/>
      <c r="I17" s="2174"/>
      <c r="J17" s="2174"/>
      <c r="K17" s="2174"/>
      <c r="L17" s="2174"/>
      <c r="M17" s="2174"/>
      <c r="N17" s="2174"/>
      <c r="O17" s="2174"/>
      <c r="P17" s="2174"/>
      <c r="Q17" s="2174"/>
      <c r="R17" s="2174"/>
      <c r="S17" s="2174"/>
      <c r="T17" s="2174"/>
      <c r="U17" s="2174"/>
      <c r="V17" s="2174"/>
      <c r="W17" s="2174"/>
      <c r="X17" s="2174"/>
      <c r="Y17" s="2174"/>
      <c r="Z17" s="2174"/>
      <c r="AA17" s="2174"/>
      <c r="AB17" s="2174"/>
    </row>
    <row r="18" spans="1:28">
      <c r="A18" s="2174"/>
      <c r="B18" s="2174"/>
      <c r="C18" s="2174"/>
      <c r="D18" s="2174"/>
      <c r="E18" s="2174"/>
      <c r="F18" s="2174"/>
      <c r="G18" s="2174"/>
      <c r="H18" s="2174"/>
      <c r="I18" s="2174"/>
      <c r="J18" s="2217"/>
      <c r="K18" s="2174"/>
      <c r="L18" s="2174"/>
      <c r="M18" s="2174"/>
      <c r="N18" s="2174"/>
      <c r="O18" s="2174"/>
      <c r="P18" s="2174"/>
      <c r="Q18" s="2174"/>
      <c r="R18" s="2174"/>
      <c r="S18" s="2174"/>
      <c r="T18" s="2174"/>
      <c r="U18" s="2174"/>
      <c r="V18" s="2174"/>
      <c r="W18" s="2174"/>
      <c r="X18" s="2174"/>
      <c r="Y18" s="2174"/>
      <c r="Z18" s="2174"/>
      <c r="AA18" s="2174"/>
      <c r="AB18" s="2174"/>
    </row>
    <row r="19" spans="1:28">
      <c r="A19" s="2174"/>
      <c r="B19" s="2174"/>
      <c r="C19" s="2174"/>
      <c r="D19" s="2174"/>
      <c r="E19" s="2174"/>
      <c r="F19" s="2174"/>
      <c r="G19" s="2174"/>
      <c r="H19" s="2174"/>
      <c r="I19" s="2174"/>
      <c r="J19" s="2217"/>
      <c r="K19" s="2174"/>
      <c r="L19" s="2174"/>
      <c r="M19" s="2174"/>
      <c r="N19" s="2174"/>
      <c r="O19" s="2174"/>
      <c r="P19" s="2174"/>
      <c r="Q19" s="2174"/>
      <c r="R19" s="2174"/>
      <c r="S19" s="2174"/>
      <c r="T19" s="2174"/>
      <c r="U19" s="2174"/>
      <c r="V19" s="2174"/>
      <c r="W19" s="2174"/>
      <c r="X19" s="2174"/>
      <c r="Y19" s="2174"/>
      <c r="Z19" s="2174"/>
      <c r="AA19" s="2174"/>
      <c r="AB19" s="2174"/>
    </row>
    <row r="20" spans="1:28">
      <c r="A20" s="2174"/>
      <c r="B20" s="2174"/>
      <c r="C20" s="2174"/>
      <c r="D20" s="2174"/>
      <c r="E20" s="2174"/>
      <c r="F20" s="2174"/>
      <c r="G20" s="2174"/>
      <c r="H20" s="2174"/>
      <c r="I20" s="2174"/>
      <c r="J20" s="2217"/>
      <c r="K20" s="2174"/>
      <c r="L20" s="2174"/>
      <c r="M20" s="2174"/>
      <c r="N20" s="2174"/>
      <c r="O20" s="2174"/>
      <c r="P20" s="2174"/>
      <c r="Q20" s="2174"/>
      <c r="R20" s="2174"/>
      <c r="S20" s="2174"/>
      <c r="T20" s="2174"/>
      <c r="U20" s="2174"/>
      <c r="V20" s="2174"/>
      <c r="W20" s="2174"/>
      <c r="X20" s="2174"/>
      <c r="Y20" s="2174"/>
      <c r="Z20" s="2174"/>
      <c r="AA20" s="2174"/>
      <c r="AB20" s="2174"/>
    </row>
    <row r="21" spans="1:28">
      <c r="A21" s="1626" t="s">
        <v>1929</v>
      </c>
      <c r="B21" s="2174"/>
      <c r="C21" s="2174"/>
      <c r="D21" s="2174"/>
      <c r="E21" s="2174"/>
      <c r="F21" s="2174"/>
      <c r="G21" s="2174"/>
      <c r="H21" s="2174"/>
      <c r="I21" s="2218"/>
      <c r="J21" s="1375">
        <f ca="1">Q51</f>
        <v>5936434</v>
      </c>
      <c r="K21" s="2174"/>
      <c r="L21" s="2174"/>
      <c r="M21" s="2174"/>
      <c r="N21" s="2174"/>
      <c r="O21" s="2174"/>
      <c r="P21" s="2174"/>
      <c r="Q21" s="2174"/>
      <c r="R21" s="2174"/>
      <c r="S21" s="2174"/>
      <c r="T21" s="2174"/>
      <c r="U21" s="2174"/>
      <c r="V21" s="2174"/>
      <c r="W21" s="2174"/>
      <c r="X21" s="2174"/>
      <c r="Y21" s="2174"/>
      <c r="Z21" s="2174"/>
      <c r="AA21" s="2174"/>
      <c r="AB21" s="2174"/>
    </row>
    <row r="22" spans="1:28">
      <c r="A22" s="2174"/>
      <c r="B22" s="2174"/>
      <c r="C22" s="2174"/>
      <c r="D22" s="2174"/>
      <c r="E22" s="2174"/>
      <c r="F22" s="2174"/>
      <c r="G22" s="2174"/>
      <c r="H22" s="2174"/>
      <c r="I22" s="2174"/>
      <c r="J22" s="2219"/>
      <c r="K22" s="2174"/>
      <c r="L22" s="2174"/>
      <c r="M22" s="2174"/>
      <c r="N22" s="2174"/>
      <c r="O22" s="2174"/>
      <c r="P22" s="2174"/>
      <c r="Q22" s="2174"/>
      <c r="R22" s="2174"/>
      <c r="S22" s="2174"/>
      <c r="T22" s="2174"/>
      <c r="U22" s="2174"/>
      <c r="V22" s="2174"/>
      <c r="W22" s="2174"/>
      <c r="X22" s="2174"/>
      <c r="Y22" s="2174"/>
      <c r="Z22" s="2174"/>
      <c r="AA22" s="2174"/>
      <c r="AB22" s="2174"/>
    </row>
    <row r="23" spans="1:28">
      <c r="A23" s="2174"/>
      <c r="B23" s="2174"/>
      <c r="C23" s="2174"/>
      <c r="D23" s="2174"/>
      <c r="E23" s="2174"/>
      <c r="F23" s="2174"/>
      <c r="G23" s="2174"/>
      <c r="H23" s="2174"/>
      <c r="I23" s="2174"/>
      <c r="J23" s="2174"/>
      <c r="K23" s="2174"/>
      <c r="L23" s="2174"/>
      <c r="M23" s="2174"/>
      <c r="N23" s="2174"/>
      <c r="O23" s="2174"/>
      <c r="P23" s="2174"/>
      <c r="Q23" s="2174"/>
      <c r="R23" s="2174"/>
      <c r="S23" s="2174"/>
      <c r="T23" s="2174"/>
      <c r="U23" s="2174"/>
      <c r="V23" s="2174"/>
      <c r="W23" s="2174"/>
      <c r="X23" s="2174"/>
      <c r="Y23" s="2174"/>
      <c r="Z23" s="2174"/>
      <c r="AA23" s="2174"/>
      <c r="AB23" s="2174"/>
    </row>
    <row r="24" spans="1:28">
      <c r="A24" s="1626" t="s">
        <v>266</v>
      </c>
      <c r="B24" s="2174"/>
      <c r="C24" s="2174"/>
      <c r="D24" s="2174"/>
      <c r="E24" s="2174"/>
      <c r="F24" s="2174"/>
      <c r="G24" s="2174"/>
      <c r="H24" s="2174"/>
      <c r="I24" s="2174"/>
      <c r="J24" s="2220">
        <f>VLOOKUP(C30,ALLOCTABLE,2)/100</f>
        <v>1</v>
      </c>
      <c r="K24" s="2174"/>
      <c r="L24" s="2174"/>
      <c r="M24" s="2174"/>
      <c r="N24" s="2174"/>
      <c r="O24" s="2174"/>
      <c r="P24" s="2174"/>
      <c r="Q24" s="2174"/>
      <c r="R24" s="2174"/>
      <c r="S24" s="2174"/>
      <c r="T24" s="2174"/>
      <c r="U24" s="2174"/>
      <c r="V24" s="2174"/>
      <c r="W24" s="2174"/>
      <c r="X24" s="2174"/>
      <c r="Y24" s="2174"/>
      <c r="Z24" s="2174"/>
      <c r="AA24" s="2174"/>
      <c r="AB24" s="2174"/>
    </row>
    <row r="25" spans="1:28">
      <c r="A25" s="2174"/>
      <c r="B25" s="2174"/>
      <c r="C25" s="2174"/>
      <c r="D25" s="2174"/>
      <c r="E25" s="2174"/>
      <c r="F25" s="2174"/>
      <c r="G25" s="2174"/>
      <c r="H25" s="2174"/>
      <c r="I25" s="2174"/>
      <c r="J25" s="2218"/>
      <c r="K25" s="2174"/>
      <c r="L25" s="2174"/>
      <c r="M25" s="2174"/>
      <c r="N25" s="2174"/>
      <c r="O25" s="2174"/>
      <c r="P25" s="2174"/>
      <c r="Q25" s="2174"/>
      <c r="R25" s="2174"/>
      <c r="S25" s="2174"/>
      <c r="T25" s="2174"/>
      <c r="U25" s="2174"/>
      <c r="V25" s="2174"/>
      <c r="W25" s="2174"/>
      <c r="X25" s="2174"/>
      <c r="Y25" s="2174"/>
      <c r="Z25" s="2174"/>
      <c r="AA25" s="2174"/>
      <c r="AB25" s="2174"/>
    </row>
    <row r="26" spans="1:28">
      <c r="A26" s="2174"/>
      <c r="B26" s="2174"/>
      <c r="C26" s="2174"/>
      <c r="D26" s="2174"/>
      <c r="E26" s="2174"/>
      <c r="F26" s="2174"/>
      <c r="G26" s="2174"/>
      <c r="H26" s="2174"/>
      <c r="I26" s="2174"/>
      <c r="J26" s="2174"/>
      <c r="K26" s="2174"/>
      <c r="L26" s="2174"/>
      <c r="M26" s="2174"/>
      <c r="N26" s="2174"/>
      <c r="O26" s="2174"/>
      <c r="P26" s="2174"/>
      <c r="Q26" s="2174"/>
      <c r="R26" s="2174"/>
      <c r="S26" s="2174"/>
      <c r="T26" s="2174"/>
      <c r="U26" s="2174"/>
      <c r="V26" s="2174"/>
      <c r="W26" s="2174"/>
      <c r="X26" s="2174"/>
      <c r="Y26" s="2174"/>
      <c r="Z26" s="2174"/>
      <c r="AA26" s="2174"/>
      <c r="AB26" s="2174"/>
    </row>
    <row r="27" spans="1:28" ht="15">
      <c r="A27" s="1626" t="s">
        <v>1236</v>
      </c>
      <c r="B27" s="2174"/>
      <c r="C27" s="2174"/>
      <c r="D27" s="2174"/>
      <c r="E27" s="2174"/>
      <c r="F27" s="2221" t="s">
        <v>471</v>
      </c>
      <c r="G27" s="2174"/>
      <c r="H27" s="2174"/>
      <c r="I27" s="2218"/>
      <c r="J27" s="1427">
        <f ca="1">ROUND(J21*J24,0)</f>
        <v>5936434</v>
      </c>
      <c r="K27" s="2174"/>
      <c r="L27" s="2174"/>
      <c r="M27" s="2174"/>
      <c r="N27" s="2174"/>
      <c r="O27" s="2174"/>
      <c r="P27" s="2174"/>
      <c r="Q27" s="2174"/>
      <c r="R27" s="2174"/>
      <c r="S27" s="2174"/>
      <c r="T27" s="2174"/>
      <c r="U27" s="2174"/>
      <c r="V27" s="2174"/>
      <c r="W27" s="2174"/>
      <c r="X27" s="2174"/>
      <c r="Y27" s="2174"/>
      <c r="Z27" s="2174"/>
      <c r="AA27" s="2174"/>
      <c r="AB27" s="2174"/>
    </row>
    <row r="28" spans="1:28">
      <c r="A28" s="2174"/>
      <c r="B28" s="2174"/>
      <c r="C28" s="2174"/>
      <c r="D28" s="2174"/>
      <c r="E28" s="2174"/>
      <c r="F28" s="2174"/>
      <c r="G28" s="2174"/>
      <c r="H28" s="2174"/>
      <c r="I28" s="2174"/>
      <c r="J28" s="2219"/>
      <c r="K28" s="2174"/>
      <c r="L28" s="2174"/>
      <c r="M28" s="2174"/>
      <c r="N28" s="2174"/>
      <c r="O28" s="2174"/>
      <c r="P28" s="2174"/>
      <c r="Q28" s="2174"/>
      <c r="R28" s="2174"/>
      <c r="S28" s="2174"/>
      <c r="T28" s="2174"/>
      <c r="U28" s="2174"/>
      <c r="V28" s="2174"/>
      <c r="W28" s="2174"/>
      <c r="X28" s="2174"/>
      <c r="Y28" s="2174"/>
      <c r="Z28" s="2174"/>
      <c r="AA28" s="2174"/>
      <c r="AB28" s="2174"/>
    </row>
    <row r="29" spans="1:28">
      <c r="A29" s="1626"/>
      <c r="B29" s="2174"/>
      <c r="C29" s="2174"/>
      <c r="D29" s="2174"/>
      <c r="E29" s="2174"/>
      <c r="F29" s="2174"/>
      <c r="G29" s="2174"/>
      <c r="H29" s="2174"/>
      <c r="I29" s="2174"/>
      <c r="J29" s="2174"/>
      <c r="K29" s="2174"/>
      <c r="L29" s="2174"/>
      <c r="M29" s="2174"/>
      <c r="N29" s="2174"/>
      <c r="O29" s="2174"/>
      <c r="P29" s="2174"/>
      <c r="Q29" s="2174"/>
      <c r="R29" s="2174"/>
      <c r="S29" s="2174"/>
      <c r="T29" s="2174"/>
      <c r="U29" s="2174"/>
      <c r="V29" s="2174"/>
      <c r="W29" s="2174"/>
      <c r="X29" s="2174"/>
      <c r="Y29" s="2174"/>
      <c r="Z29" s="2174"/>
      <c r="AA29" s="2174"/>
      <c r="AB29" s="2174"/>
    </row>
    <row r="30" spans="1:28">
      <c r="A30" s="1626" t="s">
        <v>1237</v>
      </c>
      <c r="B30" s="2174"/>
      <c r="C30" s="2222" t="s">
        <v>593</v>
      </c>
      <c r="E30" s="2174"/>
      <c r="F30" s="2174"/>
      <c r="G30" s="2174"/>
      <c r="H30" s="2174"/>
      <c r="I30" s="2174"/>
      <c r="J30" s="2174"/>
      <c r="K30" s="2174"/>
      <c r="L30" s="2174"/>
      <c r="M30" s="2174"/>
      <c r="N30" s="2174"/>
      <c r="O30" s="2174"/>
      <c r="P30" s="2174"/>
      <c r="Q30" s="2174"/>
      <c r="R30" s="2174"/>
      <c r="S30" s="2174"/>
      <c r="T30" s="2174"/>
      <c r="U30" s="2174"/>
      <c r="V30" s="2174"/>
      <c r="W30" s="2174"/>
      <c r="X30" s="2174"/>
      <c r="Y30" s="2174"/>
      <c r="Z30" s="2174"/>
      <c r="AA30" s="2174"/>
      <c r="AB30" s="2174"/>
    </row>
    <row r="31" spans="1:28">
      <c r="A31" s="2174"/>
      <c r="B31" s="2174"/>
      <c r="C31" s="2174"/>
      <c r="D31" s="2174"/>
      <c r="E31" s="2174"/>
      <c r="F31" s="2174"/>
      <c r="G31" s="2174"/>
      <c r="H31" s="2174"/>
      <c r="I31" s="2174"/>
      <c r="J31" s="2174"/>
      <c r="K31" s="2174"/>
      <c r="L31" s="2174"/>
      <c r="M31" s="2174"/>
      <c r="N31" s="2174"/>
      <c r="O31" s="2174"/>
      <c r="P31" s="2174"/>
      <c r="Q31" s="2174"/>
      <c r="R31" s="2174"/>
      <c r="S31" s="2174"/>
      <c r="T31" s="2174"/>
      <c r="U31" s="2174"/>
      <c r="V31" s="2174"/>
      <c r="W31" s="2174"/>
      <c r="X31" s="2174"/>
      <c r="Y31" s="2174"/>
      <c r="Z31" s="2174"/>
      <c r="AA31" s="2174"/>
      <c r="AB31" s="2174"/>
    </row>
    <row r="32" spans="1:28">
      <c r="A32" s="2174"/>
      <c r="B32" s="2174"/>
      <c r="C32" s="2174"/>
      <c r="D32" s="2174"/>
      <c r="E32" s="2174"/>
      <c r="F32" s="2174"/>
      <c r="G32" s="2174"/>
      <c r="H32" s="2174"/>
      <c r="I32" s="2174"/>
      <c r="J32" s="2174"/>
      <c r="K32" s="2174"/>
      <c r="L32" s="2174"/>
      <c r="M32" s="2174"/>
      <c r="N32" s="2174"/>
      <c r="O32" s="2174"/>
      <c r="P32" s="2174"/>
      <c r="Q32" s="2174"/>
      <c r="R32" s="2174"/>
      <c r="S32" s="2174"/>
      <c r="T32" s="2174"/>
      <c r="U32" s="2174"/>
      <c r="V32" s="2174"/>
      <c r="W32" s="2174"/>
      <c r="X32" s="2174"/>
      <c r="Y32" s="2174"/>
      <c r="Z32" s="2174"/>
      <c r="AA32" s="2174"/>
      <c r="AB32" s="2174"/>
    </row>
    <row r="33" spans="1:28">
      <c r="A33" s="2174"/>
      <c r="B33" s="2174"/>
      <c r="C33" s="2174"/>
      <c r="D33" s="2174"/>
      <c r="E33" s="2174"/>
      <c r="F33" s="2174"/>
      <c r="G33" s="2174"/>
      <c r="H33" s="2174"/>
      <c r="I33" s="2174"/>
      <c r="J33" s="2174"/>
      <c r="K33" s="2174"/>
      <c r="L33" s="2174"/>
      <c r="M33" s="2174"/>
      <c r="N33" s="2174"/>
      <c r="O33" s="2174"/>
      <c r="P33" s="2174"/>
      <c r="Q33" s="2174"/>
      <c r="R33" s="2174"/>
      <c r="S33" s="2174"/>
      <c r="T33" s="2174"/>
      <c r="U33" s="2174"/>
      <c r="V33" s="2174"/>
      <c r="W33" s="2174"/>
      <c r="X33" s="2174"/>
      <c r="Y33" s="2174"/>
      <c r="Z33" s="2174"/>
      <c r="AA33" s="2174"/>
      <c r="AB33" s="2174"/>
    </row>
    <row r="34" spans="1:28">
      <c r="A34" s="2174"/>
      <c r="B34" s="2174"/>
      <c r="C34" s="2174"/>
      <c r="D34" s="2174"/>
      <c r="E34" s="2174"/>
      <c r="F34" s="2174"/>
      <c r="G34" s="2174"/>
      <c r="H34" s="2174"/>
      <c r="I34" s="2174"/>
      <c r="J34" s="2174"/>
      <c r="K34" s="2173" t="str">
        <f>COMPANY</f>
        <v>DUKE ENERGY KENTUCKY, INC.</v>
      </c>
      <c r="L34" s="2174"/>
      <c r="M34" s="2174"/>
      <c r="N34" s="2174"/>
      <c r="O34" s="2174"/>
      <c r="P34" s="2174"/>
      <c r="Q34" s="1626" t="s">
        <v>2256</v>
      </c>
      <c r="R34" s="2174"/>
      <c r="S34" s="2174"/>
      <c r="T34" s="2174"/>
      <c r="U34" s="2174"/>
      <c r="V34" s="2174"/>
      <c r="W34" s="2174"/>
      <c r="X34" s="2174"/>
      <c r="Y34" s="2174"/>
      <c r="Z34" s="2174"/>
      <c r="AA34" s="2174"/>
      <c r="AB34" s="2174"/>
    </row>
    <row r="35" spans="1:28">
      <c r="A35" s="2174"/>
      <c r="B35" s="2174"/>
      <c r="C35" s="2174"/>
      <c r="D35" s="2174"/>
      <c r="E35" s="2174"/>
      <c r="F35" s="2174"/>
      <c r="G35" s="2174"/>
      <c r="H35" s="2174"/>
      <c r="I35" s="2174"/>
      <c r="J35" s="2174"/>
      <c r="K35" s="2173" t="str">
        <f>DEPT</f>
        <v>ELECTRIC DEPARTMENT</v>
      </c>
      <c r="L35" s="2174"/>
      <c r="M35" s="2174"/>
      <c r="N35" s="2174"/>
      <c r="O35" s="2174"/>
      <c r="P35" s="2174"/>
      <c r="Q35" s="1626" t="s">
        <v>622</v>
      </c>
      <c r="R35" s="2174"/>
      <c r="S35" s="2174"/>
      <c r="T35" s="2174"/>
      <c r="U35" s="2174"/>
      <c r="V35" s="2174"/>
      <c r="W35" s="2174"/>
      <c r="X35" s="2174"/>
      <c r="Y35" s="2174"/>
      <c r="Z35" s="2174"/>
      <c r="AA35" s="2174"/>
      <c r="AB35" s="2174"/>
    </row>
    <row r="36" spans="1:28">
      <c r="A36" s="2174"/>
      <c r="B36" s="2174"/>
      <c r="C36" s="2174"/>
      <c r="D36" s="2174"/>
      <c r="E36" s="2174"/>
      <c r="F36" s="2174"/>
      <c r="G36" s="2174"/>
      <c r="H36" s="2174"/>
      <c r="I36" s="2174"/>
      <c r="J36" s="2174"/>
      <c r="K36" s="2173" t="str">
        <f>CASE</f>
        <v>CASE NO. 2017-00321</v>
      </c>
      <c r="L36" s="2174"/>
      <c r="M36" s="2174"/>
      <c r="N36" s="2174"/>
      <c r="O36" s="2174"/>
      <c r="P36" s="2174"/>
      <c r="Q36" s="1626" t="str">
        <f>_WIT7</f>
        <v>R. H. PRATT / C. S. LEE</v>
      </c>
      <c r="R36" s="2174"/>
      <c r="S36" s="2174"/>
      <c r="T36" s="2174"/>
      <c r="U36" s="2174"/>
      <c r="V36" s="2174"/>
      <c r="W36" s="2174"/>
      <c r="X36" s="2174"/>
      <c r="Y36" s="2174"/>
      <c r="Z36" s="2174"/>
      <c r="AA36" s="2174"/>
      <c r="AB36" s="2174"/>
    </row>
    <row r="37" spans="1:28">
      <c r="A37" s="2174"/>
      <c r="B37" s="2174"/>
      <c r="C37" s="2174"/>
      <c r="D37" s="2174"/>
      <c r="E37" s="2174"/>
      <c r="F37" s="2174"/>
      <c r="G37" s="2174"/>
      <c r="H37" s="2174"/>
      <c r="I37" s="2174"/>
      <c r="J37" s="2174"/>
      <c r="K37" s="1626" t="s">
        <v>1526</v>
      </c>
      <c r="L37" s="2174"/>
      <c r="M37" s="2174"/>
      <c r="N37" s="2174"/>
      <c r="O37" s="2174"/>
      <c r="P37" s="2174"/>
      <c r="Q37" s="2174"/>
      <c r="R37" s="2174"/>
      <c r="S37" s="2174"/>
      <c r="T37" s="2174"/>
      <c r="U37" s="2174"/>
      <c r="V37" s="2174"/>
      <c r="W37" s="2174"/>
      <c r="X37" s="2174"/>
      <c r="Y37" s="2174"/>
      <c r="Z37" s="2174"/>
      <c r="AA37" s="2174"/>
      <c r="AB37" s="2174"/>
    </row>
    <row r="38" spans="1:28">
      <c r="A38" s="2174"/>
      <c r="B38" s="2174"/>
      <c r="C38" s="2174"/>
      <c r="D38" s="2174"/>
      <c r="E38" s="2174"/>
      <c r="F38" s="2174"/>
      <c r="G38" s="2174"/>
      <c r="H38" s="2174"/>
      <c r="I38" s="2174"/>
      <c r="J38" s="2174"/>
      <c r="K38" s="2173" t="str">
        <f>"THIRTEEN MONTHS ENDED "&amp;Testyear</f>
        <v>THIRTEEN MONTHS ENDED MARCH 31, 2019</v>
      </c>
      <c r="L38" s="2174"/>
      <c r="M38" s="2174"/>
      <c r="N38" s="2174"/>
      <c r="O38" s="2174"/>
      <c r="P38" s="2174"/>
      <c r="Q38" s="2174"/>
      <c r="R38" s="2174"/>
      <c r="S38" s="2174"/>
      <c r="T38" s="2174"/>
      <c r="U38" s="2174"/>
      <c r="V38" s="2174"/>
      <c r="W38" s="2174"/>
      <c r="X38" s="2174"/>
      <c r="Y38" s="2174"/>
      <c r="Z38" s="2174"/>
      <c r="AA38" s="2174"/>
      <c r="AB38" s="2174"/>
    </row>
    <row r="39" spans="1:28">
      <c r="A39" s="2174"/>
      <c r="B39" s="2174"/>
      <c r="C39" s="2174"/>
      <c r="D39" s="2174"/>
      <c r="E39" s="2174"/>
      <c r="F39" s="2174"/>
      <c r="G39" s="2174"/>
      <c r="H39" s="2174"/>
      <c r="I39" s="2174"/>
      <c r="J39" s="2174"/>
      <c r="K39" s="2174"/>
      <c r="L39" s="2174"/>
      <c r="M39" s="2174"/>
      <c r="N39" s="2174"/>
      <c r="O39" s="2174"/>
      <c r="P39" s="2174"/>
      <c r="Q39" s="2223"/>
      <c r="R39" s="2174"/>
      <c r="S39" s="2174"/>
      <c r="T39" s="2174"/>
      <c r="U39" s="2174"/>
      <c r="V39" s="2174"/>
      <c r="W39" s="2174"/>
      <c r="X39" s="2174"/>
      <c r="Y39" s="2174"/>
      <c r="Z39" s="2174"/>
      <c r="AA39" s="2174"/>
      <c r="AB39" s="2174"/>
    </row>
    <row r="40" spans="1:28">
      <c r="A40" s="2174"/>
      <c r="B40" s="2174"/>
      <c r="C40" s="2174"/>
      <c r="D40" s="2174"/>
      <c r="E40" s="2174"/>
      <c r="F40" s="2174"/>
      <c r="G40" s="2174"/>
      <c r="H40" s="2174"/>
      <c r="I40" s="2174"/>
      <c r="J40" s="2174"/>
      <c r="K40" s="2174"/>
      <c r="L40" s="2174"/>
      <c r="M40" s="2174"/>
      <c r="N40" s="2174"/>
      <c r="O40" s="2174"/>
      <c r="P40" s="2174"/>
      <c r="Q40" s="2174"/>
      <c r="R40" s="2174"/>
      <c r="S40" s="2174"/>
      <c r="T40" s="2174"/>
      <c r="U40" s="2174"/>
      <c r="V40" s="2174"/>
      <c r="W40" s="2174"/>
      <c r="X40" s="2174"/>
      <c r="Y40" s="2174"/>
      <c r="Z40" s="2174"/>
      <c r="AA40" s="2174"/>
      <c r="AB40" s="2174"/>
    </row>
    <row r="41" spans="1:28">
      <c r="A41" s="2174"/>
      <c r="B41" s="2174"/>
      <c r="C41" s="2174"/>
      <c r="D41" s="2174"/>
      <c r="E41" s="2174"/>
      <c r="F41" s="2174"/>
      <c r="G41" s="2174"/>
      <c r="H41" s="2174"/>
      <c r="I41" s="2174"/>
      <c r="J41" s="2174"/>
      <c r="K41" s="2174"/>
      <c r="L41" s="2174"/>
      <c r="M41" s="2174"/>
      <c r="N41" s="2174"/>
      <c r="O41" s="2215" t="s">
        <v>3188</v>
      </c>
      <c r="P41" s="2174"/>
      <c r="Q41" s="2174"/>
      <c r="R41" s="2174"/>
      <c r="S41" s="2174"/>
      <c r="T41" s="2174"/>
      <c r="U41" s="2174"/>
      <c r="V41" s="2174"/>
      <c r="W41" s="2174"/>
      <c r="X41" s="2174"/>
      <c r="Y41" s="2174"/>
      <c r="Z41" s="2174"/>
      <c r="AA41" s="2174"/>
      <c r="AB41" s="2174"/>
    </row>
    <row r="42" spans="1:28">
      <c r="A42" s="2174"/>
      <c r="B42" s="2174"/>
      <c r="C42" s="2174"/>
      <c r="D42" s="2174"/>
      <c r="E42" s="2174"/>
      <c r="F42" s="2174"/>
      <c r="G42" s="2174"/>
      <c r="H42" s="2174"/>
      <c r="I42" s="2174"/>
      <c r="J42" s="2174"/>
      <c r="K42" s="2215" t="s">
        <v>1240</v>
      </c>
      <c r="L42" s="2174"/>
      <c r="M42" s="2174"/>
      <c r="N42" s="2174"/>
      <c r="O42" s="2215" t="s">
        <v>3189</v>
      </c>
      <c r="P42" s="2174"/>
      <c r="Q42" s="2174"/>
      <c r="R42" s="2174"/>
      <c r="S42" s="2174"/>
      <c r="T42" s="2174"/>
      <c r="U42" s="2174"/>
      <c r="V42" s="2174"/>
      <c r="W42" s="2174"/>
      <c r="X42" s="2174"/>
      <c r="Y42" s="2174"/>
      <c r="Z42" s="2174"/>
      <c r="AA42" s="2174"/>
      <c r="AB42" s="2174"/>
    </row>
    <row r="43" spans="1:28">
      <c r="A43" s="2174"/>
      <c r="B43" s="2174"/>
      <c r="C43" s="2174"/>
      <c r="D43" s="2174"/>
      <c r="E43" s="2174"/>
      <c r="F43" s="2174"/>
      <c r="G43" s="2174"/>
      <c r="H43" s="2174"/>
      <c r="I43" s="2174"/>
      <c r="J43" s="2174"/>
      <c r="K43" s="2224" t="s">
        <v>1241</v>
      </c>
      <c r="L43" s="2174"/>
      <c r="M43" s="2225" t="s">
        <v>3187</v>
      </c>
      <c r="N43" s="2174"/>
      <c r="O43" s="2224" t="s">
        <v>1749</v>
      </c>
      <c r="P43" s="2174"/>
      <c r="Q43" s="2224" t="s">
        <v>646</v>
      </c>
      <c r="R43" s="2174"/>
      <c r="S43" s="2174"/>
      <c r="T43" s="2174"/>
      <c r="U43" s="2226" t="s">
        <v>422</v>
      </c>
      <c r="V43" s="2227" t="s">
        <v>166</v>
      </c>
      <c r="W43" s="2227" t="s">
        <v>167</v>
      </c>
      <c r="X43" s="2227" t="s">
        <v>169</v>
      </c>
      <c r="Y43" s="2227" t="s">
        <v>168</v>
      </c>
      <c r="Z43" s="2228" t="s">
        <v>1929</v>
      </c>
      <c r="AA43" s="2174"/>
      <c r="AB43" s="2174"/>
    </row>
    <row r="44" spans="1:28">
      <c r="A44" s="2174"/>
      <c r="B44" s="2174"/>
      <c r="C44" s="2174"/>
      <c r="D44" s="2174"/>
      <c r="E44" s="2174"/>
      <c r="F44" s="2174"/>
      <c r="G44" s="2174"/>
      <c r="H44" s="2174"/>
      <c r="I44" s="2174"/>
      <c r="J44" s="2174"/>
      <c r="K44" s="2215"/>
      <c r="L44" s="2174"/>
      <c r="M44" s="2215"/>
      <c r="N44" s="1626"/>
      <c r="O44" s="2215"/>
      <c r="P44" s="2174"/>
      <c r="Q44" s="2229" t="s">
        <v>1150</v>
      </c>
      <c r="R44" s="2174"/>
      <c r="S44" s="2174"/>
      <c r="T44" s="2174"/>
      <c r="U44" s="2230"/>
      <c r="V44" s="2231"/>
      <c r="W44" s="2231"/>
      <c r="X44" s="2231"/>
      <c r="Y44" s="2231"/>
      <c r="Z44" s="2232"/>
      <c r="AA44" s="2174"/>
      <c r="AB44" s="2174"/>
    </row>
    <row r="45" spans="1:28">
      <c r="A45" s="2174"/>
      <c r="B45" s="2174"/>
      <c r="C45" s="2174"/>
      <c r="D45" s="2174"/>
      <c r="E45" s="2174"/>
      <c r="F45" s="2174"/>
      <c r="G45" s="2174"/>
      <c r="H45" s="2174"/>
      <c r="I45" s="2174"/>
      <c r="J45" s="2174"/>
      <c r="K45" s="2215"/>
      <c r="L45" s="2174"/>
      <c r="M45" s="2174"/>
      <c r="N45" s="2174"/>
      <c r="O45" s="2233"/>
      <c r="P45" s="2234"/>
      <c r="Q45" s="2235"/>
      <c r="R45" s="2174"/>
      <c r="S45" s="2174"/>
      <c r="T45" s="2174"/>
      <c r="U45" s="2230"/>
      <c r="V45" s="2231"/>
      <c r="W45" s="2231"/>
      <c r="X45" s="2231"/>
      <c r="Y45" s="2231"/>
      <c r="Z45" s="2232"/>
      <c r="AA45" s="2174"/>
      <c r="AB45" s="2174"/>
    </row>
    <row r="46" spans="1:28">
      <c r="A46" s="2174"/>
      <c r="B46" s="2174"/>
      <c r="C46" s="2174"/>
      <c r="D46" s="2174"/>
      <c r="E46" s="2174"/>
      <c r="F46" s="2174"/>
      <c r="G46" s="2174"/>
      <c r="H46" s="2174"/>
      <c r="I46" s="2174"/>
      <c r="J46" s="2174"/>
      <c r="K46" s="2215">
        <v>1</v>
      </c>
      <c r="L46" s="2236"/>
      <c r="M46" s="1626" t="s">
        <v>1527</v>
      </c>
      <c r="N46" s="2174"/>
      <c r="O46" s="2215" t="s">
        <v>1528</v>
      </c>
      <c r="P46" s="2174"/>
      <c r="Q46" s="1627">
        <f>ROUND('SCH B-3.2 - Proposed'!L307,0)</f>
        <v>50478696</v>
      </c>
      <c r="R46" s="2174"/>
      <c r="S46" s="2174"/>
      <c r="T46" s="2174"/>
      <c r="U46" s="2237">
        <f>ROUND(('SCH B-3.2 - Proposed'!L44+'SCH B-3.2 - Proposed'!L91),0)</f>
        <v>31631617</v>
      </c>
      <c r="V46" s="2238">
        <f>ROUND('SCH B-3.2 - Proposed'!L138,0)</f>
        <v>1829174</v>
      </c>
      <c r="W46" s="2238">
        <f>ROUND('SCH B-3.2 - Proposed'!L196,0)</f>
        <v>14391125</v>
      </c>
      <c r="X46" s="2238">
        <f>ROUND('SCH B-3.2 - Proposed'!L245,0)</f>
        <v>2845247</v>
      </c>
      <c r="Y46" s="2238">
        <f>ROUND('SCH B-3.2 - Proposed'!L304,0)</f>
        <v>-218467</v>
      </c>
      <c r="Z46" s="2239">
        <f>SUM(U46:Y46)</f>
        <v>50478696</v>
      </c>
      <c r="AA46" s="2174"/>
      <c r="AB46" s="2174"/>
    </row>
    <row r="47" spans="1:28">
      <c r="A47" s="2174"/>
      <c r="B47" s="2174"/>
      <c r="C47" s="2174"/>
      <c r="D47" s="2174"/>
      <c r="E47" s="2174"/>
      <c r="F47" s="2174"/>
      <c r="G47" s="2174"/>
      <c r="H47" s="2174"/>
      <c r="I47" s="2174"/>
      <c r="J47" s="2174"/>
      <c r="K47" s="2215"/>
      <c r="L47" s="2236"/>
      <c r="M47" s="1626"/>
      <c r="N47" s="2174"/>
      <c r="O47" s="2240"/>
      <c r="P47" s="2234"/>
      <c r="Q47" s="1184"/>
      <c r="R47" s="2174"/>
      <c r="S47" s="2174"/>
      <c r="T47" s="2174"/>
      <c r="U47" s="2237"/>
      <c r="V47" s="2238"/>
      <c r="W47" s="2238"/>
      <c r="X47" s="2238"/>
      <c r="Y47" s="2238"/>
      <c r="Z47" s="2239"/>
      <c r="AA47" s="2174"/>
      <c r="AB47" s="2174"/>
    </row>
    <row r="48" spans="1:28">
      <c r="A48" s="2174"/>
      <c r="B48" s="2174"/>
      <c r="C48" s="2174"/>
      <c r="D48" s="2174"/>
      <c r="E48" s="2174"/>
      <c r="F48" s="2174"/>
      <c r="G48" s="2174"/>
      <c r="H48" s="2174"/>
      <c r="I48" s="2174"/>
      <c r="J48" s="2174"/>
      <c r="K48" s="2215">
        <v>2</v>
      </c>
      <c r="L48" s="2236"/>
      <c r="M48" s="1626" t="s">
        <v>1529</v>
      </c>
      <c r="N48" s="2174"/>
      <c r="O48" s="2215" t="s">
        <v>1530</v>
      </c>
      <c r="P48" s="2234"/>
      <c r="Q48" s="2241">
        <f ca="1">'SCH_C2.1 - Forecasted Period'!J291</f>
        <v>44542262</v>
      </c>
      <c r="R48" s="2217"/>
      <c r="S48" s="2174"/>
      <c r="T48" s="2174"/>
      <c r="U48" s="2242">
        <f>10628770+15029455+12</f>
        <v>25658237</v>
      </c>
      <c r="V48" s="2243">
        <v>1353444</v>
      </c>
      <c r="W48" s="2243">
        <f>53319+12026427</f>
        <v>12079746</v>
      </c>
      <c r="X48" s="2243">
        <f>2454315+1255723+595729+23155+1121913</f>
        <v>5450835</v>
      </c>
      <c r="Y48" s="2243">
        <v>0</v>
      </c>
      <c r="Z48" s="2244">
        <f>SUM(U48:Y48)</f>
        <v>44542262</v>
      </c>
      <c r="AA48" s="2174"/>
      <c r="AB48" s="2174"/>
    </row>
    <row r="49" spans="1:28">
      <c r="A49" s="2174"/>
      <c r="B49" s="2174"/>
      <c r="C49" s="2174"/>
      <c r="D49" s="2174"/>
      <c r="E49" s="2174"/>
      <c r="F49" s="2174"/>
      <c r="G49" s="2174"/>
      <c r="H49" s="2174"/>
      <c r="I49" s="2174"/>
      <c r="J49" s="2174"/>
      <c r="K49" s="2215"/>
      <c r="L49" s="2236"/>
      <c r="M49" s="2236"/>
      <c r="N49" s="2174"/>
      <c r="O49" s="2174"/>
      <c r="P49" s="2174"/>
      <c r="Q49" s="2219"/>
      <c r="R49" s="2174"/>
      <c r="S49" s="2174"/>
      <c r="T49" s="2174"/>
      <c r="U49" s="2230"/>
      <c r="V49" s="2231"/>
      <c r="W49" s="2231"/>
      <c r="X49" s="2231"/>
      <c r="Y49" s="2231"/>
      <c r="Z49" s="2232"/>
      <c r="AA49" s="2174"/>
      <c r="AB49" s="2174"/>
    </row>
    <row r="50" spans="1:28">
      <c r="A50" s="2174"/>
      <c r="B50" s="2174"/>
      <c r="C50" s="2174"/>
      <c r="D50" s="2174"/>
      <c r="E50" s="2174"/>
      <c r="F50" s="2174"/>
      <c r="G50" s="2174"/>
      <c r="H50" s="2174"/>
      <c r="I50" s="2174"/>
      <c r="J50" s="2174"/>
      <c r="K50" s="2215"/>
      <c r="L50" s="2236"/>
      <c r="M50" s="2236"/>
      <c r="N50" s="2174"/>
      <c r="O50" s="2174"/>
      <c r="P50" s="2174"/>
      <c r="Q50" s="2174"/>
      <c r="R50" s="2174"/>
      <c r="S50" s="2174"/>
      <c r="T50" s="2174"/>
      <c r="U50" s="2230"/>
      <c r="V50" s="2231"/>
      <c r="W50" s="2231"/>
      <c r="X50" s="2231"/>
      <c r="Y50" s="2231"/>
      <c r="Z50" s="2232"/>
      <c r="AA50" s="2174"/>
      <c r="AB50" s="2174"/>
    </row>
    <row r="51" spans="1:28">
      <c r="A51" s="2174"/>
      <c r="B51" s="2174"/>
      <c r="C51" s="2174"/>
      <c r="D51" s="2174"/>
      <c r="E51" s="2174"/>
      <c r="F51" s="2174"/>
      <c r="G51" s="2174"/>
      <c r="H51" s="2174"/>
      <c r="I51" s="2174"/>
      <c r="J51" s="2174"/>
      <c r="K51" s="2215">
        <v>3</v>
      </c>
      <c r="L51" s="2236"/>
      <c r="M51" s="1626" t="s">
        <v>1531</v>
      </c>
      <c r="N51" s="2174"/>
      <c r="O51" s="2174"/>
      <c r="P51" s="2245"/>
      <c r="Q51" s="2246">
        <f ca="1">Q46-Q48</f>
        <v>5936434</v>
      </c>
      <c r="R51" s="1626" t="s">
        <v>2257</v>
      </c>
      <c r="S51" s="2174"/>
      <c r="T51" s="2174"/>
      <c r="U51" s="2247">
        <f>U46-U48</f>
        <v>5973380</v>
      </c>
      <c r="V51" s="2248">
        <f>V46-V48</f>
        <v>475730</v>
      </c>
      <c r="W51" s="2248">
        <f>W46-W48</f>
        <v>2311379</v>
      </c>
      <c r="X51" s="2248">
        <f>X46-X48</f>
        <v>-2605588</v>
      </c>
      <c r="Y51" s="2248">
        <f>Y46-Y48</f>
        <v>-218467</v>
      </c>
      <c r="Z51" s="2249">
        <f>SUM(U51:Y51)</f>
        <v>5936434</v>
      </c>
      <c r="AA51" s="2174"/>
      <c r="AB51" s="2174"/>
    </row>
    <row r="52" spans="1:28">
      <c r="A52" s="2174"/>
      <c r="B52" s="2174"/>
      <c r="C52" s="2174"/>
      <c r="D52" s="2174"/>
      <c r="E52" s="2174"/>
      <c r="F52" s="2174"/>
      <c r="G52" s="2174"/>
      <c r="H52" s="2174"/>
      <c r="I52" s="2174"/>
      <c r="J52" s="2174"/>
      <c r="K52" s="2215"/>
      <c r="L52" s="2236"/>
      <c r="M52" s="1626"/>
      <c r="N52" s="2174"/>
      <c r="O52" s="2174"/>
      <c r="P52" s="2245"/>
      <c r="Q52" s="2246"/>
      <c r="R52" s="2250" t="s">
        <v>790</v>
      </c>
      <c r="S52" s="2174"/>
      <c r="T52" s="2174"/>
      <c r="U52" s="2174"/>
      <c r="V52" s="2174"/>
      <c r="W52" s="2174"/>
      <c r="X52" s="2174"/>
      <c r="Y52" s="2174"/>
      <c r="Z52" s="2174"/>
      <c r="AA52" s="2174"/>
      <c r="AB52" s="2174"/>
    </row>
    <row r="53" spans="1:28">
      <c r="A53" s="2174"/>
      <c r="B53" s="2174"/>
      <c r="C53" s="2174"/>
      <c r="D53" s="2174"/>
      <c r="E53" s="2174"/>
      <c r="F53" s="2174"/>
      <c r="G53" s="2174"/>
      <c r="H53" s="2174"/>
      <c r="I53" s="2174"/>
      <c r="J53" s="2174"/>
      <c r="K53" s="2173"/>
      <c r="L53" s="2236"/>
      <c r="M53" s="2236"/>
      <c r="N53" s="2174"/>
      <c r="O53" s="2174"/>
      <c r="P53" s="2174"/>
      <c r="Q53" s="2219"/>
      <c r="R53" s="2250" t="s">
        <v>3190</v>
      </c>
      <c r="S53" s="2174"/>
      <c r="T53" s="2174"/>
      <c r="U53" s="2174"/>
      <c r="V53" s="2174"/>
      <c r="W53" s="2174"/>
      <c r="X53" s="2174"/>
      <c r="Y53" s="2174"/>
      <c r="Z53" s="2174"/>
      <c r="AA53" s="2174"/>
      <c r="AB53" s="2174"/>
    </row>
    <row r="54" spans="1:28">
      <c r="A54" s="2174"/>
      <c r="B54" s="2174"/>
      <c r="C54" s="2174"/>
      <c r="D54" s="2174"/>
      <c r="E54" s="2174"/>
      <c r="F54" s="2174"/>
      <c r="G54" s="2174"/>
      <c r="H54" s="2174"/>
      <c r="I54" s="2174"/>
      <c r="J54" s="2174"/>
      <c r="K54" s="1626"/>
      <c r="L54" s="2174"/>
      <c r="M54" s="2174"/>
      <c r="N54" s="2174"/>
      <c r="O54" s="2174"/>
      <c r="P54" s="2174"/>
      <c r="Q54" s="2217"/>
      <c r="R54" s="2174"/>
      <c r="S54" s="2174"/>
      <c r="T54" s="2174"/>
      <c r="U54" s="2174"/>
      <c r="V54" s="2174"/>
      <c r="W54" s="2174"/>
      <c r="X54" s="2174"/>
      <c r="Y54" s="2174"/>
      <c r="Z54" s="2174"/>
      <c r="AA54" s="2174"/>
      <c r="AB54" s="2174"/>
    </row>
    <row r="55" spans="1:28">
      <c r="A55" s="2174"/>
      <c r="B55" s="2174"/>
      <c r="C55" s="2174"/>
      <c r="D55" s="2174"/>
      <c r="E55" s="2174"/>
      <c r="F55" s="2174"/>
      <c r="G55" s="2174"/>
      <c r="H55" s="2174"/>
      <c r="I55" s="2174"/>
      <c r="J55" s="2174"/>
      <c r="K55" s="2174"/>
      <c r="L55" s="2174"/>
      <c r="M55" s="2174"/>
      <c r="N55" s="2174"/>
      <c r="O55" s="2174"/>
      <c r="P55" s="2174"/>
      <c r="Q55" s="2174"/>
      <c r="R55" s="2174"/>
      <c r="S55" s="2174"/>
      <c r="T55" s="2174"/>
      <c r="U55" s="2174"/>
      <c r="V55" s="2174"/>
      <c r="W55" s="2174"/>
      <c r="X55" s="2174"/>
      <c r="Y55" s="2174"/>
      <c r="Z55" s="2174"/>
      <c r="AA55" s="2174"/>
      <c r="AB55" s="2174"/>
    </row>
    <row r="56" spans="1:28">
      <c r="A56" s="2174"/>
      <c r="B56" s="2174"/>
      <c r="C56" s="2174"/>
      <c r="D56" s="2174"/>
      <c r="E56" s="2174"/>
      <c r="F56" s="2174"/>
      <c r="G56" s="2174"/>
      <c r="H56" s="2174"/>
      <c r="I56" s="2174"/>
      <c r="J56" s="2174"/>
      <c r="K56" s="2174"/>
      <c r="L56" s="2174"/>
      <c r="M56" s="2174"/>
      <c r="N56" s="2174"/>
      <c r="O56" s="2174"/>
      <c r="P56" s="2174"/>
      <c r="Q56" s="2174"/>
      <c r="R56" s="2174"/>
      <c r="S56" s="2174"/>
      <c r="T56" s="2174"/>
      <c r="U56" s="2174"/>
      <c r="V56" s="2174"/>
      <c r="W56" s="2174"/>
      <c r="X56" s="2174"/>
      <c r="Y56" s="2174"/>
      <c r="Z56" s="2174"/>
      <c r="AA56" s="2174"/>
      <c r="AB56" s="2174"/>
    </row>
    <row r="57" spans="1:28">
      <c r="A57" s="2174"/>
      <c r="B57" s="2174"/>
      <c r="C57" s="2174"/>
      <c r="D57" s="2174"/>
      <c r="E57" s="2174"/>
      <c r="F57" s="2174"/>
      <c r="G57" s="2174"/>
      <c r="H57" s="2174"/>
      <c r="I57" s="2174"/>
      <c r="J57" s="2174"/>
      <c r="K57" s="2174"/>
      <c r="L57" s="2174"/>
      <c r="M57" s="2174"/>
      <c r="N57" s="2174"/>
      <c r="O57" s="2174"/>
      <c r="P57" s="2174"/>
      <c r="Q57" s="2174"/>
      <c r="R57" s="2174"/>
      <c r="S57" s="2174"/>
      <c r="T57" s="2174"/>
      <c r="U57" s="2174"/>
      <c r="V57" s="2174"/>
      <c r="W57" s="2174"/>
      <c r="X57" s="2174"/>
      <c r="Y57" s="2174"/>
      <c r="Z57" s="2174"/>
      <c r="AA57" s="2174"/>
      <c r="AB57" s="2174"/>
    </row>
    <row r="58" spans="1:28">
      <c r="A58" s="2174"/>
      <c r="B58" s="2174"/>
      <c r="C58" s="2174"/>
      <c r="D58" s="2174"/>
      <c r="E58" s="2174"/>
      <c r="F58" s="2174"/>
      <c r="G58" s="2174"/>
      <c r="H58" s="2174"/>
      <c r="I58" s="2174"/>
      <c r="J58" s="2174"/>
      <c r="K58" s="2174"/>
      <c r="L58" s="2174"/>
      <c r="M58" s="2174"/>
      <c r="N58" s="2174"/>
      <c r="O58" s="2174"/>
      <c r="P58" s="2174"/>
      <c r="Q58" s="2174"/>
      <c r="R58" s="2174"/>
      <c r="S58" s="2174"/>
      <c r="T58" s="2174"/>
      <c r="U58" s="2174"/>
      <c r="V58" s="2174"/>
      <c r="W58" s="2174"/>
      <c r="X58" s="2174"/>
      <c r="Y58" s="2174"/>
      <c r="Z58" s="2174"/>
      <c r="AA58" s="2174"/>
      <c r="AB58" s="2174"/>
    </row>
    <row r="59" spans="1:28">
      <c r="A59" s="2174"/>
      <c r="B59" s="2174"/>
      <c r="C59" s="2174"/>
      <c r="D59" s="2174"/>
      <c r="E59" s="2174"/>
      <c r="F59" s="2174"/>
      <c r="G59" s="2174"/>
      <c r="H59" s="2174"/>
      <c r="I59" s="2174"/>
      <c r="J59" s="2174"/>
      <c r="K59" s="2174"/>
      <c r="L59" s="2174"/>
      <c r="M59" s="2251"/>
      <c r="N59" s="2174"/>
      <c r="O59" s="2174"/>
      <c r="P59" s="2174"/>
      <c r="Q59" s="2174"/>
      <c r="R59" s="2174"/>
      <c r="S59" s="2174"/>
      <c r="T59" s="2174"/>
      <c r="U59" s="2174"/>
      <c r="V59" s="2174"/>
      <c r="W59" s="2174"/>
      <c r="X59" s="2174"/>
      <c r="Y59" s="2174"/>
      <c r="Z59" s="2174"/>
      <c r="AA59" s="2174"/>
      <c r="AB59" s="2174"/>
    </row>
    <row r="60" spans="1:28">
      <c r="A60" s="2174"/>
      <c r="B60" s="2174"/>
      <c r="C60" s="2174"/>
      <c r="D60" s="2174"/>
      <c r="E60" s="2174"/>
      <c r="F60" s="2174"/>
      <c r="G60" s="2174"/>
      <c r="H60" s="2174"/>
      <c r="I60" s="2174"/>
      <c r="J60" s="2174"/>
      <c r="K60" s="2174"/>
      <c r="L60" s="2174"/>
      <c r="M60" s="2174"/>
      <c r="N60" s="2174"/>
      <c r="O60" s="2174"/>
      <c r="P60" s="2174"/>
      <c r="Q60" s="2174"/>
      <c r="R60" s="2174"/>
      <c r="S60" s="2174"/>
      <c r="T60" s="2174"/>
      <c r="U60" s="2174"/>
      <c r="V60" s="2174"/>
      <c r="W60" s="2174"/>
      <c r="X60" s="2174"/>
      <c r="Y60" s="2174"/>
      <c r="Z60" s="2174"/>
      <c r="AA60" s="2174"/>
      <c r="AB60" s="2174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tabColor theme="7" tint="-0.249977111117893"/>
  </sheetPr>
  <dimension ref="A1:O114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8" style="18" customWidth="1"/>
    <col min="2" max="2" width="25.140625" style="18" customWidth="1"/>
    <col min="3" max="3" width="8" style="18" customWidth="1"/>
    <col min="4" max="4" width="10.42578125" style="18" customWidth="1"/>
    <col min="5" max="7" width="8" style="18" customWidth="1"/>
    <col min="8" max="8" width="12.42578125" style="18" customWidth="1"/>
    <col min="9" max="9" width="10" style="18" customWidth="1"/>
    <col min="10" max="10" width="18.42578125" style="18" customWidth="1"/>
    <col min="11" max="14" width="8" style="18" customWidth="1"/>
    <col min="15" max="15" width="2.42578125" style="18" customWidth="1"/>
    <col min="16" max="16" width="42.140625" style="18" customWidth="1"/>
    <col min="17" max="17" width="3.85546875" style="18" customWidth="1"/>
    <col min="18" max="18" width="13.7109375" style="18" customWidth="1"/>
    <col min="19" max="19" width="1.85546875" style="18" customWidth="1"/>
    <col min="20" max="20" width="18.140625" style="18" customWidth="1"/>
    <col min="21" max="21" width="2.28515625" style="18" customWidth="1"/>
    <col min="22" max="22" width="16.42578125" style="18" customWidth="1"/>
    <col min="23" max="16384" width="8" style="18"/>
  </cols>
  <sheetData>
    <row r="1" spans="1:15">
      <c r="A1" s="2087" t="str">
        <f>LOGO!B5</f>
        <v>DUKE ENERGY KENTUCKY, INC.</v>
      </c>
      <c r="B1" s="2195"/>
      <c r="C1" s="2195"/>
      <c r="D1" s="2195"/>
      <c r="E1" s="2195"/>
      <c r="F1" s="2195"/>
      <c r="G1" s="2195"/>
      <c r="H1" s="2195"/>
      <c r="I1" s="2195"/>
      <c r="J1" s="2195"/>
      <c r="K1" s="1180"/>
      <c r="L1" s="1180"/>
      <c r="M1" s="1180"/>
      <c r="N1" s="1180"/>
      <c r="O1" s="1180"/>
    </row>
    <row r="2" spans="1:15">
      <c r="A2" s="2087" t="str">
        <f>LOGO!B6</f>
        <v>CASE NO. 2017-00321</v>
      </c>
      <c r="B2" s="2195"/>
      <c r="C2" s="2195"/>
      <c r="D2" s="2195"/>
      <c r="E2" s="2195"/>
      <c r="F2" s="2195"/>
      <c r="G2" s="2195"/>
      <c r="H2" s="2195"/>
      <c r="I2" s="2195"/>
      <c r="J2" s="2195"/>
      <c r="K2" s="1180"/>
      <c r="L2" s="1180"/>
      <c r="M2" s="1180"/>
      <c r="N2" s="1180"/>
      <c r="O2" s="1180"/>
    </row>
    <row r="3" spans="1:15">
      <c r="A3" s="2166" t="s">
        <v>1314</v>
      </c>
      <c r="B3" s="2195"/>
      <c r="C3" s="2195"/>
      <c r="D3" s="2195"/>
      <c r="E3" s="2195"/>
      <c r="F3" s="2195"/>
      <c r="G3" s="2195"/>
      <c r="H3" s="2195"/>
      <c r="I3" s="2195"/>
      <c r="J3" s="2195"/>
      <c r="K3" s="1180"/>
      <c r="L3" s="1180"/>
      <c r="M3" s="1180"/>
      <c r="N3" s="1180"/>
      <c r="O3" s="1180"/>
    </row>
    <row r="4" spans="1:15">
      <c r="A4" s="2087" t="str">
        <f>LOGO!B8</f>
        <v>FOR THE TWELVE MONTHS ENDED MARCH 31, 2019</v>
      </c>
      <c r="B4" s="2195"/>
      <c r="C4" s="2195"/>
      <c r="D4" s="2195"/>
      <c r="E4" s="2195"/>
      <c r="F4" s="2195"/>
      <c r="G4" s="2195"/>
      <c r="H4" s="2195"/>
      <c r="I4" s="2195"/>
      <c r="J4" s="2195"/>
      <c r="K4" s="1180"/>
      <c r="L4" s="1180"/>
      <c r="M4" s="1180"/>
      <c r="N4" s="1180"/>
      <c r="O4" s="1180"/>
    </row>
    <row r="5" spans="1:15">
      <c r="A5" s="1180"/>
      <c r="B5" s="1180"/>
      <c r="C5" s="1180"/>
      <c r="D5" s="1180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</row>
    <row r="6" spans="1:15">
      <c r="A6" s="2206" t="str">
        <f>DataF</f>
        <v>DATA:  BASE PERIOD  "X" FORECASTED PERIOD</v>
      </c>
      <c r="B6" s="1180"/>
      <c r="C6" s="1180"/>
      <c r="D6" s="1180"/>
      <c r="E6" s="1180"/>
      <c r="F6" s="1180"/>
      <c r="G6" s="1180"/>
      <c r="H6" s="1180"/>
      <c r="I6" s="2196" t="s">
        <v>1301</v>
      </c>
      <c r="J6" s="1180"/>
      <c r="K6" s="1180"/>
      <c r="L6" s="1180"/>
      <c r="M6" s="1180"/>
      <c r="N6" s="1180"/>
      <c r="O6" s="1180"/>
    </row>
    <row r="7" spans="1:15">
      <c r="A7" s="2206" t="str">
        <f>LOGO!B15</f>
        <v xml:space="preserve">TYPE OF FILING:  "X" ORIGINAL   UPDATED    REVISED  </v>
      </c>
      <c r="B7" s="1180"/>
      <c r="C7" s="1180"/>
      <c r="D7" s="1180"/>
      <c r="E7" s="1180"/>
      <c r="F7" s="1180"/>
      <c r="G7" s="1180"/>
      <c r="H7" s="1180"/>
      <c r="I7" s="1179" t="s">
        <v>620</v>
      </c>
      <c r="J7" s="1180"/>
      <c r="K7" s="1180"/>
      <c r="L7" s="1180"/>
      <c r="M7" s="1180"/>
      <c r="N7" s="1180"/>
      <c r="O7" s="1180"/>
    </row>
    <row r="8" spans="1:15">
      <c r="A8" s="1179" t="s">
        <v>313</v>
      </c>
      <c r="B8" s="1180"/>
      <c r="C8" s="1180"/>
      <c r="D8" s="1180"/>
      <c r="E8" s="1180"/>
      <c r="F8" s="1180"/>
      <c r="G8" s="1180"/>
      <c r="H8" s="1180"/>
      <c r="I8" s="1179" t="s">
        <v>622</v>
      </c>
      <c r="J8" s="1180"/>
      <c r="K8" s="1180"/>
      <c r="L8" s="1180"/>
      <c r="M8" s="1180"/>
      <c r="N8" s="1180"/>
      <c r="O8" s="1180"/>
    </row>
    <row r="9" spans="1:15">
      <c r="A9" s="1180"/>
      <c r="B9" s="1180"/>
      <c r="C9" s="1180"/>
      <c r="D9" s="1180"/>
      <c r="E9" s="1180"/>
      <c r="F9" s="1180"/>
      <c r="G9" s="1180"/>
      <c r="H9" s="1180"/>
      <c r="I9" s="1179" t="str">
        <f>_WIT1</f>
        <v>S. E. LAWLER</v>
      </c>
      <c r="J9" s="1180"/>
      <c r="K9" s="1180"/>
      <c r="L9" s="1180"/>
      <c r="M9" s="1180"/>
      <c r="N9" s="1180"/>
      <c r="O9" s="1180"/>
    </row>
    <row r="10" spans="1:15">
      <c r="A10" s="2197"/>
      <c r="B10" s="2197"/>
      <c r="C10" s="2197"/>
      <c r="D10" s="2197"/>
      <c r="E10" s="2197"/>
      <c r="F10" s="2197"/>
      <c r="G10" s="2197"/>
      <c r="H10" s="2197"/>
      <c r="I10" s="2197"/>
      <c r="J10" s="2197"/>
      <c r="K10" s="1179"/>
      <c r="L10" s="1179"/>
      <c r="M10" s="1179"/>
      <c r="N10" s="1180"/>
      <c r="O10" s="1180"/>
    </row>
    <row r="11" spans="1:15">
      <c r="A11" s="1180"/>
      <c r="B11" s="1180"/>
      <c r="C11" s="1180"/>
      <c r="D11" s="1180"/>
      <c r="E11" s="1180"/>
      <c r="F11" s="1180"/>
      <c r="G11" s="1180"/>
      <c r="H11" s="1180"/>
      <c r="I11" s="1180"/>
      <c r="J11" s="1180"/>
      <c r="K11" s="1180"/>
      <c r="L11" s="1180"/>
      <c r="M11" s="1180"/>
      <c r="N11" s="1180"/>
      <c r="O11" s="1180"/>
    </row>
    <row r="12" spans="1:15">
      <c r="A12" s="1179" t="s">
        <v>1246</v>
      </c>
      <c r="B12" s="1180"/>
      <c r="C12" s="1180"/>
      <c r="D12" s="1180"/>
      <c r="E12" s="1180"/>
      <c r="F12" s="1180"/>
      <c r="G12" s="1180"/>
      <c r="H12" s="1180"/>
      <c r="I12" s="1180"/>
      <c r="J12" s="2198" t="s">
        <v>364</v>
      </c>
      <c r="K12" s="1180"/>
      <c r="L12" s="1180"/>
      <c r="M12" s="1180"/>
      <c r="N12" s="1180"/>
      <c r="O12" s="1180"/>
    </row>
    <row r="13" spans="1:15">
      <c r="A13" s="2197"/>
      <c r="B13" s="2197"/>
      <c r="C13" s="2197"/>
      <c r="D13" s="2197"/>
      <c r="E13" s="2197"/>
      <c r="F13" s="2197"/>
      <c r="G13" s="2197"/>
      <c r="H13" s="2197"/>
      <c r="I13" s="2197"/>
      <c r="J13" s="2197"/>
      <c r="K13" s="1179"/>
      <c r="L13" s="1179"/>
      <c r="M13" s="1179"/>
      <c r="N13" s="1180"/>
      <c r="O13" s="1180"/>
    </row>
    <row r="14" spans="1:15">
      <c r="A14" s="1180"/>
      <c r="B14" s="1180"/>
      <c r="C14" s="1180"/>
      <c r="D14" s="1180"/>
      <c r="E14" s="1180"/>
      <c r="F14" s="1180"/>
      <c r="G14" s="1180"/>
      <c r="H14" s="1180"/>
      <c r="I14" s="1180"/>
      <c r="J14" s="2199"/>
      <c r="K14" s="1180"/>
      <c r="L14" s="1180"/>
      <c r="M14" s="1180"/>
      <c r="N14" s="1180"/>
      <c r="O14" s="1180"/>
    </row>
    <row r="15" spans="1:15">
      <c r="A15" s="1581" t="s">
        <v>311</v>
      </c>
      <c r="B15" s="1180"/>
      <c r="C15" s="1180"/>
      <c r="D15" s="1180"/>
      <c r="E15" s="1180"/>
      <c r="F15" s="1180"/>
      <c r="G15" s="1180"/>
      <c r="H15" s="1180"/>
      <c r="I15" s="1180"/>
      <c r="J15" s="1180"/>
      <c r="K15" s="1180"/>
      <c r="L15" s="1180"/>
      <c r="M15" s="1180"/>
      <c r="N15" s="1180"/>
      <c r="O15" s="1180"/>
    </row>
    <row r="16" spans="1:15">
      <c r="A16" s="1581"/>
      <c r="B16" s="1180"/>
      <c r="C16" s="1180"/>
      <c r="D16" s="1180"/>
      <c r="E16" s="1180"/>
      <c r="F16" s="1180"/>
      <c r="G16" s="1180"/>
      <c r="H16" s="1180"/>
      <c r="I16" s="1180"/>
      <c r="J16" s="1180"/>
      <c r="K16" s="1180"/>
      <c r="L16" s="1180"/>
      <c r="M16" s="1180"/>
      <c r="N16" s="1180"/>
      <c r="O16" s="1180"/>
    </row>
    <row r="17" spans="1:15">
      <c r="A17" s="1179"/>
      <c r="B17" s="1180"/>
      <c r="C17" s="1180"/>
      <c r="D17" s="1180"/>
      <c r="E17" s="1180"/>
      <c r="F17" s="1180"/>
      <c r="G17" s="1180"/>
      <c r="H17" s="1180"/>
      <c r="I17" s="1180"/>
      <c r="J17" s="1180"/>
      <c r="K17" s="1180"/>
      <c r="L17" s="1180"/>
      <c r="M17" s="1180"/>
      <c r="N17" s="1180"/>
      <c r="O17" s="1180"/>
    </row>
    <row r="18" spans="1:15">
      <c r="A18" s="1179"/>
      <c r="B18" s="1180"/>
      <c r="C18" s="1180"/>
      <c r="D18" s="1180"/>
      <c r="E18" s="1180"/>
      <c r="F18" s="1180"/>
      <c r="G18" s="1180"/>
      <c r="H18" s="2170"/>
      <c r="I18" s="1180"/>
      <c r="J18" s="1180"/>
      <c r="K18" s="1180"/>
      <c r="L18" s="1180"/>
      <c r="M18" s="1180"/>
      <c r="N18" s="1180"/>
      <c r="O18" s="1180"/>
    </row>
    <row r="19" spans="1:15">
      <c r="A19" s="1180"/>
      <c r="B19" s="1180"/>
      <c r="C19" s="1180"/>
      <c r="D19" s="1180"/>
      <c r="E19" s="1180"/>
      <c r="F19" s="1180"/>
      <c r="G19" s="1180"/>
      <c r="H19" s="1180"/>
      <c r="I19" s="1180"/>
      <c r="J19" s="1180"/>
      <c r="K19" s="1180"/>
      <c r="L19" s="1180"/>
      <c r="M19" s="1180"/>
      <c r="N19" s="1180"/>
      <c r="O19" s="1180"/>
    </row>
    <row r="20" spans="1:15">
      <c r="A20" s="1179" t="s">
        <v>312</v>
      </c>
      <c r="B20" s="1180"/>
      <c r="C20" s="1180"/>
      <c r="D20" s="1180"/>
      <c r="E20" s="1180"/>
      <c r="F20" s="1180"/>
      <c r="G20" s="1180"/>
      <c r="H20" s="1180"/>
      <c r="I20" s="1426"/>
      <c r="J20" s="1732">
        <f>-WPC_2!O53</f>
        <v>3258473</v>
      </c>
      <c r="K20" s="1180"/>
      <c r="L20" s="1180"/>
      <c r="M20" s="1180"/>
      <c r="N20" s="1180"/>
      <c r="O20" s="1180"/>
    </row>
    <row r="21" spans="1:15">
      <c r="A21" s="1180"/>
      <c r="B21" s="1180"/>
      <c r="C21" s="1180"/>
      <c r="D21" s="1180"/>
      <c r="E21" s="1180"/>
      <c r="F21" s="1180"/>
      <c r="G21" s="1180"/>
      <c r="H21" s="1180"/>
      <c r="I21" s="1180"/>
      <c r="J21" s="1180"/>
      <c r="K21" s="1180"/>
      <c r="L21" s="1180"/>
      <c r="M21" s="1180"/>
      <c r="N21" s="1180"/>
      <c r="O21" s="1180"/>
    </row>
    <row r="22" spans="1:15">
      <c r="A22" s="1179" t="s">
        <v>266</v>
      </c>
      <c r="B22" s="1180"/>
      <c r="C22" s="1180"/>
      <c r="D22" s="1180"/>
      <c r="E22" s="1180"/>
      <c r="F22" s="1180"/>
      <c r="G22" s="1180"/>
      <c r="H22" s="1180"/>
      <c r="I22" s="1180"/>
      <c r="J22" s="1425">
        <f>VLOOKUP(C29,ALLOCTABLE,2)/100</f>
        <v>1</v>
      </c>
      <c r="K22" s="1180"/>
      <c r="L22" s="1180"/>
      <c r="M22" s="1180"/>
      <c r="N22" s="1180"/>
      <c r="O22" s="1180"/>
    </row>
    <row r="23" spans="1:15">
      <c r="A23" s="1180"/>
      <c r="B23" s="1180"/>
      <c r="C23" s="1180"/>
      <c r="D23" s="1180"/>
      <c r="E23" s="1180"/>
      <c r="F23" s="1180"/>
      <c r="G23" s="1180"/>
      <c r="H23" s="1180"/>
      <c r="I23" s="1180"/>
      <c r="J23" s="1426"/>
      <c r="K23" s="1180"/>
      <c r="L23" s="1180"/>
      <c r="M23" s="1180"/>
      <c r="N23" s="1180"/>
      <c r="O23" s="1180"/>
    </row>
    <row r="24" spans="1:15">
      <c r="A24" s="1180"/>
      <c r="B24" s="1180"/>
      <c r="C24" s="1180"/>
      <c r="D24" s="1180"/>
      <c r="E24" s="1180"/>
      <c r="F24" s="1180"/>
      <c r="G24" s="1180"/>
      <c r="H24" s="1180"/>
      <c r="I24" s="1180"/>
      <c r="J24" s="1180"/>
      <c r="K24" s="1180"/>
      <c r="L24" s="1180"/>
      <c r="M24" s="1180"/>
      <c r="N24" s="1180"/>
      <c r="O24" s="1180"/>
    </row>
    <row r="25" spans="1:15" ht="15">
      <c r="A25" s="1179" t="s">
        <v>1236</v>
      </c>
      <c r="B25" s="1180"/>
      <c r="C25" s="1180"/>
      <c r="D25" s="1180"/>
      <c r="E25" s="1180"/>
      <c r="F25" s="1179" t="s">
        <v>1213</v>
      </c>
      <c r="G25" s="1180"/>
      <c r="H25" s="1180"/>
      <c r="I25" s="1426"/>
      <c r="J25" s="1427">
        <f>ROUND(J20*J22,0)</f>
        <v>3258473</v>
      </c>
      <c r="K25" s="1180"/>
      <c r="L25" s="1180"/>
      <c r="M25" s="1180"/>
      <c r="N25" s="1180"/>
      <c r="O25" s="1180"/>
    </row>
    <row r="26" spans="1:15">
      <c r="A26" s="1180"/>
      <c r="B26" s="1180"/>
      <c r="C26" s="1180"/>
      <c r="D26" s="1180"/>
      <c r="E26" s="1180"/>
      <c r="F26" s="1180"/>
      <c r="G26" s="1180"/>
      <c r="H26" s="1180"/>
      <c r="I26" s="1180"/>
      <c r="J26" s="1426"/>
      <c r="K26" s="1180"/>
      <c r="L26" s="1180"/>
      <c r="M26" s="1180"/>
      <c r="N26" s="1180"/>
      <c r="O26" s="1180"/>
    </row>
    <row r="27" spans="1:15">
      <c r="A27" s="1180"/>
      <c r="B27" s="1180"/>
      <c r="C27" s="1180"/>
      <c r="D27" s="1180"/>
      <c r="E27" s="1180"/>
      <c r="F27" s="1180"/>
      <c r="G27" s="1180"/>
      <c r="H27" s="1180"/>
      <c r="I27" s="1180"/>
      <c r="J27" s="1426"/>
      <c r="K27" s="1180"/>
      <c r="L27" s="1180"/>
      <c r="M27" s="1180"/>
      <c r="N27" s="1180"/>
      <c r="O27" s="1180"/>
    </row>
    <row r="28" spans="1:15">
      <c r="A28" s="1180"/>
      <c r="B28" s="1180"/>
      <c r="C28" s="1180"/>
      <c r="D28" s="1180"/>
      <c r="E28" s="1180"/>
      <c r="F28" s="1180"/>
      <c r="G28" s="1180"/>
      <c r="H28" s="1180"/>
      <c r="I28" s="1180"/>
      <c r="J28" s="1180"/>
      <c r="K28" s="1180"/>
      <c r="L28" s="1180"/>
      <c r="M28" s="1180"/>
      <c r="N28" s="1180"/>
      <c r="O28" s="1180"/>
    </row>
    <row r="29" spans="1:15">
      <c r="A29" s="1179" t="s">
        <v>1237</v>
      </c>
      <c r="B29" s="1180"/>
      <c r="C29" s="2149" t="s">
        <v>593</v>
      </c>
      <c r="E29" s="1180"/>
      <c r="F29" s="1180"/>
      <c r="G29" s="1180"/>
      <c r="H29" s="1180"/>
      <c r="I29" s="1180"/>
      <c r="J29" s="1180"/>
      <c r="K29" s="1180"/>
      <c r="L29" s="1180"/>
      <c r="M29" s="1180"/>
      <c r="N29" s="1180"/>
      <c r="O29" s="1180"/>
    </row>
    <row r="30" spans="1:15">
      <c r="A30" s="1179"/>
      <c r="B30" s="1180"/>
      <c r="C30" s="1180"/>
      <c r="D30" s="1180"/>
      <c r="E30" s="1180"/>
      <c r="F30" s="1180"/>
      <c r="G30" s="1180"/>
      <c r="H30" s="1180"/>
      <c r="I30" s="1180"/>
      <c r="J30" s="1180"/>
      <c r="K30" s="1180"/>
      <c r="L30" s="1180"/>
      <c r="M30" s="1180"/>
      <c r="N30" s="1180"/>
      <c r="O30" s="1180"/>
    </row>
    <row r="31" spans="1:15">
      <c r="A31" s="1179"/>
      <c r="B31" s="1180"/>
      <c r="C31" s="1180"/>
      <c r="D31" s="1180"/>
      <c r="E31" s="1180"/>
      <c r="F31" s="1180"/>
      <c r="G31" s="1180"/>
      <c r="H31" s="1180"/>
      <c r="I31" s="1180"/>
      <c r="J31" s="1180"/>
      <c r="K31" s="1180"/>
      <c r="L31" s="1180"/>
      <c r="M31" s="1180"/>
      <c r="N31" s="1180"/>
      <c r="O31" s="1180"/>
    </row>
    <row r="32" spans="1:15">
      <c r="A32" s="1179"/>
      <c r="B32" s="1180"/>
      <c r="C32" s="1180"/>
      <c r="D32" s="1180"/>
      <c r="E32" s="1180"/>
      <c r="F32" s="1180"/>
      <c r="G32" s="1180"/>
      <c r="H32" s="1180"/>
      <c r="I32" s="1180"/>
      <c r="J32" s="1180"/>
      <c r="K32" s="1180"/>
      <c r="L32" s="1180"/>
      <c r="M32" s="1180"/>
      <c r="N32" s="1180"/>
      <c r="O32" s="1180"/>
    </row>
    <row r="33" spans="1:15">
      <c r="A33" s="1179"/>
      <c r="B33" s="1180"/>
      <c r="C33" s="1180"/>
      <c r="D33" s="1180"/>
      <c r="E33" s="1180"/>
      <c r="F33" s="1180"/>
      <c r="G33" s="1180"/>
      <c r="H33" s="1180"/>
      <c r="I33" s="1180"/>
      <c r="J33" s="1180"/>
      <c r="K33" s="1180"/>
      <c r="L33" s="234"/>
      <c r="M33" s="1180"/>
      <c r="N33" s="1180"/>
      <c r="O33" s="1180"/>
    </row>
    <row r="34" spans="1:15">
      <c r="A34" s="1179"/>
      <c r="B34" s="1180"/>
      <c r="C34" s="1180"/>
      <c r="D34" s="1180"/>
      <c r="E34" s="1180"/>
      <c r="F34" s="1180"/>
      <c r="G34" s="1180"/>
      <c r="H34" s="1180"/>
      <c r="I34" s="1180"/>
      <c r="J34" s="1180"/>
      <c r="K34" s="1180"/>
      <c r="L34" s="234"/>
      <c r="M34" s="1180"/>
      <c r="N34" s="1180"/>
      <c r="O34" s="1180"/>
    </row>
    <row r="35" spans="1:15">
      <c r="A35" s="1179"/>
      <c r="B35" s="1180"/>
      <c r="C35" s="1180"/>
      <c r="D35" s="1180"/>
      <c r="E35" s="1180"/>
      <c r="F35" s="1180"/>
      <c r="G35" s="1180"/>
      <c r="H35" s="1180"/>
      <c r="I35" s="1180"/>
      <c r="J35" s="1180"/>
      <c r="K35" s="1180"/>
      <c r="L35" s="234"/>
      <c r="M35" s="1180"/>
      <c r="N35" s="1180"/>
      <c r="O35" s="1180"/>
    </row>
    <row r="36" spans="1:15">
      <c r="A36" s="1179"/>
      <c r="B36" s="1180"/>
      <c r="C36" s="1180"/>
      <c r="D36" s="1180"/>
      <c r="E36" s="1180"/>
      <c r="F36" s="1180"/>
      <c r="G36" s="1180"/>
      <c r="H36" s="1180"/>
      <c r="I36" s="1180"/>
      <c r="J36" s="1180"/>
      <c r="K36" s="1180"/>
      <c r="L36" s="234"/>
      <c r="M36" s="1180"/>
      <c r="N36" s="1180"/>
      <c r="O36" s="1180"/>
    </row>
    <row r="37" spans="1:15">
      <c r="A37" s="1179"/>
      <c r="B37" s="1180"/>
      <c r="C37" s="1180"/>
      <c r="D37" s="1180"/>
      <c r="E37" s="1180"/>
      <c r="F37" s="1180"/>
      <c r="G37" s="1180"/>
      <c r="H37" s="1180"/>
      <c r="I37" s="1180"/>
      <c r="J37" s="1180"/>
      <c r="K37" s="1180"/>
      <c r="L37" s="234"/>
      <c r="M37" s="1180"/>
      <c r="N37" s="1180"/>
      <c r="O37" s="1180"/>
    </row>
    <row r="38" spans="1:15">
      <c r="A38" s="1179"/>
      <c r="B38" s="1180"/>
      <c r="C38" s="1180"/>
      <c r="D38" s="1180"/>
      <c r="E38" s="1180"/>
      <c r="F38" s="1180"/>
      <c r="G38" s="1180"/>
      <c r="H38" s="1180"/>
      <c r="I38" s="1180"/>
      <c r="J38" s="1180"/>
      <c r="K38" s="1180"/>
      <c r="L38" s="234"/>
      <c r="M38" s="1180"/>
      <c r="N38" s="1180"/>
      <c r="O38" s="1180"/>
    </row>
    <row r="39" spans="1:15">
      <c r="A39" s="1179"/>
      <c r="B39" s="1180"/>
      <c r="C39" s="1180"/>
      <c r="D39" s="1180"/>
      <c r="E39" s="1180"/>
      <c r="F39" s="1180"/>
      <c r="G39" s="1180"/>
      <c r="H39" s="1180"/>
      <c r="I39" s="1180"/>
      <c r="J39" s="1180"/>
      <c r="K39" s="1180"/>
      <c r="L39" s="234"/>
      <c r="M39" s="1180"/>
      <c r="N39" s="1180"/>
      <c r="O39" s="1180"/>
    </row>
    <row r="40" spans="1:15">
      <c r="A40" s="1179"/>
      <c r="B40" s="1180"/>
      <c r="C40" s="1180"/>
      <c r="D40" s="1180"/>
      <c r="E40" s="1180"/>
      <c r="F40" s="1180"/>
      <c r="G40" s="1180"/>
      <c r="H40" s="1180"/>
      <c r="I40" s="1180"/>
      <c r="J40" s="1180"/>
      <c r="K40" s="1180"/>
      <c r="L40" s="234"/>
      <c r="M40" s="1180"/>
      <c r="N40" s="1180"/>
      <c r="O40" s="1180"/>
    </row>
    <row r="41" spans="1:15">
      <c r="A41" s="1179"/>
      <c r="B41" s="1180"/>
      <c r="C41" s="1180"/>
      <c r="D41" s="1180"/>
      <c r="E41" s="1180"/>
      <c r="F41" s="1180"/>
      <c r="G41" s="1180"/>
      <c r="H41" s="1180"/>
      <c r="I41" s="1180"/>
      <c r="J41" s="1180"/>
      <c r="K41" s="1180"/>
      <c r="L41" s="234"/>
      <c r="M41" s="1180"/>
      <c r="N41" s="1180"/>
      <c r="O41" s="1180"/>
    </row>
    <row r="42" spans="1:15">
      <c r="A42" s="1179"/>
      <c r="B42" s="1180"/>
      <c r="C42" s="1180"/>
      <c r="D42" s="1180"/>
      <c r="E42" s="1180"/>
      <c r="F42" s="1180"/>
      <c r="G42" s="1180"/>
      <c r="H42" s="1180"/>
      <c r="I42" s="1180"/>
      <c r="J42" s="1180"/>
      <c r="K42" s="1180"/>
      <c r="L42" s="234"/>
      <c r="M42" s="1180"/>
      <c r="N42" s="1180"/>
      <c r="O42" s="1180"/>
    </row>
    <row r="43" spans="1:15">
      <c r="A43" s="1179"/>
      <c r="B43" s="1180"/>
      <c r="C43" s="1180"/>
      <c r="D43" s="1180"/>
      <c r="E43" s="1180"/>
      <c r="F43" s="1180"/>
      <c r="G43" s="1180"/>
      <c r="H43" s="1180"/>
      <c r="I43" s="1180"/>
      <c r="J43" s="1180"/>
      <c r="K43" s="1180"/>
      <c r="L43" s="234"/>
      <c r="M43" s="1180"/>
      <c r="N43" s="1180"/>
      <c r="O43" s="1180"/>
    </row>
    <row r="44" spans="1:15">
      <c r="A44" s="1179"/>
      <c r="B44" s="1180"/>
      <c r="C44" s="1180"/>
      <c r="D44" s="1180"/>
      <c r="E44" s="1180"/>
      <c r="F44" s="1180"/>
      <c r="G44" s="1180"/>
      <c r="H44" s="1180"/>
      <c r="I44" s="1180"/>
      <c r="J44" s="1180"/>
      <c r="K44" s="1180"/>
      <c r="L44" s="234"/>
      <c r="M44" s="1180"/>
      <c r="N44" s="1180"/>
      <c r="O44" s="1180"/>
    </row>
    <row r="45" spans="1:15">
      <c r="A45" s="1179"/>
      <c r="B45" s="1180"/>
      <c r="C45" s="1180"/>
      <c r="D45" s="1180"/>
      <c r="E45" s="1180"/>
      <c r="F45" s="1180"/>
      <c r="G45" s="1180"/>
      <c r="H45" s="1180"/>
      <c r="I45" s="1180"/>
      <c r="J45" s="1180"/>
      <c r="K45" s="1180"/>
      <c r="L45" s="234"/>
      <c r="M45" s="1180"/>
      <c r="N45" s="1180"/>
      <c r="O45" s="1180"/>
    </row>
    <row r="46" spans="1:15">
      <c r="A46" s="1179"/>
      <c r="B46" s="1180"/>
      <c r="C46" s="1180"/>
      <c r="D46" s="1180"/>
      <c r="E46" s="1180"/>
      <c r="F46" s="1180"/>
      <c r="G46" s="1180"/>
      <c r="H46" s="1180"/>
      <c r="I46" s="1180"/>
      <c r="J46" s="1180"/>
      <c r="K46" s="1180"/>
      <c r="L46" s="234"/>
      <c r="M46" s="1180"/>
      <c r="N46" s="1180"/>
      <c r="O46" s="1180"/>
    </row>
    <row r="47" spans="1:15">
      <c r="A47" s="1179"/>
      <c r="B47" s="1180"/>
      <c r="C47" s="1180"/>
      <c r="D47" s="1180"/>
      <c r="E47" s="1180"/>
      <c r="F47" s="1180"/>
      <c r="G47" s="1180"/>
      <c r="H47" s="1180"/>
      <c r="I47" s="1180"/>
      <c r="J47" s="1180"/>
      <c r="K47" s="1180"/>
      <c r="L47" s="234"/>
      <c r="M47" s="1180"/>
      <c r="N47" s="1180"/>
      <c r="O47" s="1180"/>
    </row>
    <row r="48" spans="1:15">
      <c r="A48" s="1179"/>
      <c r="B48" s="1180"/>
      <c r="C48" s="1180"/>
      <c r="D48" s="1180"/>
      <c r="E48" s="1180"/>
      <c r="F48" s="1180"/>
      <c r="G48" s="1180"/>
      <c r="H48" s="1180"/>
      <c r="I48" s="1180"/>
      <c r="J48" s="1180"/>
      <c r="K48" s="1180"/>
      <c r="L48" s="234"/>
      <c r="M48" s="1180"/>
      <c r="N48" s="1180"/>
      <c r="O48" s="1180"/>
    </row>
    <row r="49" spans="1:15">
      <c r="A49" s="1179"/>
      <c r="B49" s="1180"/>
      <c r="C49" s="1180"/>
      <c r="D49" s="1180"/>
      <c r="E49" s="1180"/>
      <c r="F49" s="1180"/>
      <c r="G49" s="1180"/>
      <c r="H49" s="1180"/>
      <c r="I49" s="1180"/>
      <c r="J49" s="1180"/>
      <c r="K49" s="1180"/>
      <c r="L49" s="234"/>
      <c r="M49" s="1180"/>
      <c r="N49" s="1180"/>
      <c r="O49" s="1180"/>
    </row>
    <row r="50" spans="1:15">
      <c r="A50" s="1179"/>
      <c r="B50" s="1180"/>
      <c r="C50" s="1180"/>
      <c r="D50" s="1180"/>
      <c r="E50" s="1180"/>
      <c r="F50" s="1180"/>
      <c r="G50" s="1180"/>
      <c r="H50" s="1180"/>
      <c r="I50" s="1180"/>
      <c r="J50" s="1180"/>
      <c r="K50" s="1180"/>
      <c r="L50" s="234"/>
      <c r="M50" s="1180"/>
      <c r="N50" s="1180"/>
      <c r="O50" s="1180"/>
    </row>
    <row r="51" spans="1:15">
      <c r="A51" s="1179"/>
      <c r="B51" s="1180"/>
      <c r="C51" s="1180"/>
      <c r="D51" s="1180"/>
      <c r="E51" s="1180"/>
      <c r="F51" s="1180"/>
      <c r="G51" s="1180"/>
      <c r="H51" s="1180"/>
      <c r="I51" s="1180"/>
      <c r="J51" s="1180"/>
      <c r="K51" s="1180"/>
      <c r="L51" s="234"/>
      <c r="M51" s="1180"/>
      <c r="N51" s="1180"/>
      <c r="O51" s="1180"/>
    </row>
    <row r="52" spans="1:15">
      <c r="A52" s="1179"/>
      <c r="B52" s="1180"/>
      <c r="C52" s="1180"/>
      <c r="D52" s="1180"/>
      <c r="E52" s="1180"/>
      <c r="F52" s="1180"/>
      <c r="G52" s="1180"/>
      <c r="H52" s="1180"/>
      <c r="I52" s="1180"/>
      <c r="J52" s="1180"/>
      <c r="K52" s="1180"/>
      <c r="L52" s="234"/>
      <c r="M52" s="1180"/>
      <c r="N52" s="1180"/>
      <c r="O52" s="1180"/>
    </row>
    <row r="53" spans="1:15">
      <c r="A53" s="1179"/>
      <c r="B53" s="1180"/>
      <c r="C53" s="1180"/>
      <c r="D53" s="1180"/>
      <c r="E53" s="1180"/>
      <c r="F53" s="1180"/>
      <c r="G53" s="1180"/>
      <c r="H53" s="1180"/>
      <c r="I53" s="1180"/>
      <c r="J53" s="1180"/>
      <c r="K53" s="1180"/>
      <c r="L53" s="234"/>
      <c r="M53" s="1180"/>
      <c r="N53" s="1180"/>
      <c r="O53" s="1180"/>
    </row>
    <row r="54" spans="1:15">
      <c r="A54" s="1179"/>
      <c r="B54" s="1180"/>
      <c r="C54" s="1180"/>
      <c r="D54" s="1180"/>
      <c r="E54" s="1180"/>
      <c r="F54" s="1180"/>
      <c r="G54" s="1180"/>
      <c r="H54" s="1180"/>
      <c r="I54" s="1180"/>
      <c r="J54" s="1180"/>
      <c r="K54" s="1180"/>
      <c r="L54" s="234"/>
      <c r="M54" s="1180"/>
      <c r="N54" s="1180"/>
      <c r="O54" s="1180"/>
    </row>
    <row r="55" spans="1:15">
      <c r="A55" s="1179"/>
      <c r="B55" s="1180"/>
      <c r="C55" s="1180"/>
      <c r="D55" s="1180"/>
      <c r="E55" s="1180"/>
      <c r="F55" s="1180"/>
      <c r="G55" s="1180"/>
      <c r="H55" s="1180"/>
      <c r="I55" s="1180"/>
      <c r="J55" s="1180"/>
      <c r="K55" s="1180"/>
      <c r="L55" s="234"/>
      <c r="M55" s="1180"/>
      <c r="N55" s="1180"/>
      <c r="O55" s="1180"/>
    </row>
    <row r="56" spans="1:15">
      <c r="A56" s="1179"/>
      <c r="B56" s="1180"/>
      <c r="C56" s="1180"/>
      <c r="D56" s="1180"/>
      <c r="E56" s="1180"/>
      <c r="F56" s="1180"/>
      <c r="G56" s="1180"/>
      <c r="H56" s="1180"/>
      <c r="I56" s="1180"/>
      <c r="J56" s="1180"/>
      <c r="K56" s="1180"/>
      <c r="L56" s="234"/>
      <c r="M56" s="1180"/>
      <c r="N56" s="1180"/>
      <c r="O56" s="1180"/>
    </row>
    <row r="57" spans="1:15">
      <c r="A57" s="1179"/>
      <c r="B57" s="1180"/>
      <c r="C57" s="1180"/>
      <c r="D57" s="1180"/>
      <c r="E57" s="1180"/>
      <c r="F57" s="1180"/>
      <c r="G57" s="1180"/>
      <c r="H57" s="1180"/>
      <c r="I57" s="1180"/>
      <c r="J57" s="1180"/>
      <c r="K57" s="1180"/>
      <c r="L57" s="234"/>
      <c r="M57" s="1180"/>
      <c r="N57" s="1180"/>
      <c r="O57" s="1180"/>
    </row>
    <row r="58" spans="1:15">
      <c r="A58" s="1179"/>
      <c r="B58" s="1180"/>
      <c r="C58" s="1180"/>
      <c r="D58" s="1180"/>
      <c r="E58" s="1180"/>
      <c r="F58" s="1180"/>
      <c r="G58" s="1180"/>
      <c r="H58" s="1180"/>
      <c r="I58" s="1180"/>
      <c r="J58" s="1180"/>
      <c r="K58" s="1180"/>
      <c r="L58" s="234"/>
      <c r="M58" s="1180"/>
      <c r="N58" s="1180"/>
      <c r="O58" s="1180"/>
    </row>
    <row r="59" spans="1:15">
      <c r="A59" s="1179"/>
      <c r="B59" s="1180"/>
      <c r="C59" s="1180"/>
      <c r="D59" s="1180"/>
      <c r="E59" s="1180"/>
      <c r="F59" s="1180"/>
      <c r="G59" s="1180"/>
      <c r="H59" s="1180"/>
      <c r="I59" s="1180"/>
      <c r="J59" s="1180"/>
      <c r="K59" s="1180"/>
      <c r="L59" s="234"/>
      <c r="M59" s="1180"/>
      <c r="N59" s="1180"/>
      <c r="O59" s="1180"/>
    </row>
    <row r="60" spans="1:15">
      <c r="A60" s="1179"/>
      <c r="B60" s="1180"/>
      <c r="C60" s="1180"/>
      <c r="D60" s="1180"/>
      <c r="E60" s="1180"/>
      <c r="F60" s="1180"/>
      <c r="G60" s="1180"/>
      <c r="H60" s="1180"/>
      <c r="I60" s="1180"/>
      <c r="J60" s="1180"/>
      <c r="K60" s="1180"/>
      <c r="L60" s="234"/>
      <c r="M60" s="1180"/>
      <c r="N60" s="1180"/>
      <c r="O60" s="1180"/>
    </row>
    <row r="61" spans="1:15">
      <c r="A61" s="1179"/>
      <c r="B61" s="1180"/>
      <c r="C61" s="1180"/>
      <c r="D61" s="1180"/>
      <c r="E61" s="1180"/>
      <c r="F61" s="1180"/>
      <c r="G61" s="1180"/>
      <c r="H61" s="1180"/>
      <c r="I61" s="1180"/>
      <c r="J61" s="1180"/>
      <c r="K61" s="1180"/>
      <c r="L61" s="234"/>
      <c r="M61" s="1180"/>
      <c r="N61" s="1180"/>
      <c r="O61" s="1180"/>
    </row>
    <row r="62" spans="1:15">
      <c r="A62" s="1179"/>
      <c r="B62" s="1180"/>
      <c r="C62" s="1180"/>
      <c r="D62" s="1180"/>
      <c r="E62" s="1180"/>
      <c r="F62" s="1180"/>
      <c r="G62" s="1180"/>
      <c r="H62" s="1180"/>
      <c r="I62" s="1180"/>
      <c r="J62" s="1180"/>
      <c r="K62" s="1180"/>
      <c r="L62" s="234"/>
      <c r="M62" s="1180"/>
      <c r="N62" s="1180"/>
      <c r="O62" s="1180"/>
    </row>
    <row r="63" spans="1:15">
      <c r="A63" s="1179"/>
      <c r="B63" s="1180"/>
      <c r="C63" s="1180"/>
      <c r="D63" s="1180"/>
      <c r="E63" s="1180"/>
      <c r="F63" s="1180"/>
      <c r="G63" s="1180"/>
      <c r="H63" s="1180"/>
      <c r="I63" s="1180"/>
      <c r="J63" s="1180"/>
      <c r="K63" s="1180"/>
      <c r="L63" s="234"/>
      <c r="M63" s="1180"/>
      <c r="N63" s="1180"/>
      <c r="O63" s="1180"/>
    </row>
    <row r="64" spans="1:15">
      <c r="A64" s="1179"/>
      <c r="B64" s="1180"/>
      <c r="C64" s="1180"/>
      <c r="D64" s="1180"/>
      <c r="E64" s="1180"/>
      <c r="F64" s="1180"/>
      <c r="G64" s="1180"/>
      <c r="H64" s="1180"/>
      <c r="I64" s="1180"/>
      <c r="J64" s="1180"/>
      <c r="K64" s="1180"/>
      <c r="L64" s="234"/>
      <c r="M64" s="1180"/>
      <c r="N64" s="1180"/>
      <c r="O64" s="1180"/>
    </row>
    <row r="65" spans="1:15">
      <c r="A65" s="1179"/>
      <c r="B65" s="1180"/>
      <c r="C65" s="1180"/>
      <c r="D65" s="1180"/>
      <c r="E65" s="1180"/>
      <c r="F65" s="1180"/>
      <c r="G65" s="1180"/>
      <c r="H65" s="1180"/>
      <c r="I65" s="1180"/>
      <c r="J65" s="1180"/>
      <c r="K65" s="1180"/>
      <c r="L65" s="234"/>
      <c r="M65" s="1180"/>
      <c r="N65" s="1180"/>
      <c r="O65" s="1180"/>
    </row>
    <row r="66" spans="1:15">
      <c r="A66" s="1179"/>
      <c r="B66" s="1180"/>
      <c r="C66" s="1180"/>
      <c r="D66" s="1180"/>
      <c r="E66" s="1180"/>
      <c r="F66" s="1180"/>
      <c r="G66" s="1180"/>
      <c r="H66" s="1180"/>
      <c r="I66" s="1180"/>
      <c r="J66" s="1180"/>
      <c r="K66" s="1180"/>
      <c r="L66" s="234"/>
      <c r="M66" s="1180"/>
      <c r="N66" s="1180"/>
      <c r="O66" s="1180"/>
    </row>
    <row r="67" spans="1:15">
      <c r="A67" s="1179"/>
      <c r="B67" s="1180"/>
      <c r="C67" s="1180"/>
      <c r="D67" s="1180"/>
      <c r="E67" s="1180"/>
      <c r="F67" s="1180"/>
      <c r="G67" s="1180"/>
      <c r="H67" s="1180"/>
      <c r="I67" s="1180"/>
      <c r="J67" s="1180"/>
      <c r="K67" s="1180"/>
      <c r="L67" s="234"/>
      <c r="M67" s="1180"/>
      <c r="N67" s="1180"/>
      <c r="O67" s="1180"/>
    </row>
    <row r="68" spans="1:15">
      <c r="A68" s="1179"/>
      <c r="B68" s="1180"/>
      <c r="C68" s="1180"/>
      <c r="D68" s="1180"/>
      <c r="E68" s="1180"/>
      <c r="F68" s="1180"/>
      <c r="G68" s="1180"/>
      <c r="H68" s="1180"/>
      <c r="I68" s="1180"/>
      <c r="J68" s="1180"/>
      <c r="K68" s="1180"/>
      <c r="L68" s="234"/>
      <c r="M68" s="1180"/>
      <c r="N68" s="1180"/>
      <c r="O68" s="1180"/>
    </row>
    <row r="69" spans="1:15">
      <c r="A69" s="1179"/>
      <c r="B69" s="1180"/>
      <c r="C69" s="1180"/>
      <c r="D69" s="1180"/>
      <c r="E69" s="1180"/>
      <c r="F69" s="1180"/>
      <c r="G69" s="1180"/>
      <c r="H69" s="1180"/>
      <c r="I69" s="1180"/>
      <c r="J69" s="1180"/>
      <c r="K69" s="1180"/>
      <c r="L69" s="234"/>
      <c r="M69" s="1180"/>
      <c r="N69" s="1180"/>
      <c r="O69" s="1180"/>
    </row>
    <row r="70" spans="1:15">
      <c r="A70" s="1179"/>
      <c r="B70" s="1180"/>
      <c r="C70" s="1180"/>
      <c r="D70" s="1180"/>
      <c r="E70" s="1180"/>
      <c r="F70" s="1180"/>
      <c r="G70" s="1180"/>
      <c r="H70" s="1180"/>
      <c r="I70" s="1180"/>
      <c r="J70" s="1180"/>
      <c r="K70" s="1180"/>
      <c r="L70" s="234"/>
      <c r="M70" s="1180"/>
      <c r="N70" s="1180"/>
      <c r="O70" s="1180"/>
    </row>
    <row r="71" spans="1:15">
      <c r="A71" s="1179"/>
      <c r="B71" s="1180"/>
      <c r="C71" s="1180"/>
      <c r="D71" s="1180"/>
      <c r="E71" s="1180"/>
      <c r="F71" s="1180"/>
      <c r="G71" s="1180"/>
      <c r="H71" s="1180"/>
      <c r="I71" s="1180"/>
      <c r="J71" s="1180"/>
      <c r="K71" s="1180"/>
      <c r="L71" s="234"/>
      <c r="M71" s="1180"/>
      <c r="N71" s="1180"/>
      <c r="O71" s="1180"/>
    </row>
    <row r="72" spans="1:15">
      <c r="A72" s="1179"/>
      <c r="B72" s="1180"/>
      <c r="C72" s="1180"/>
      <c r="D72" s="1180"/>
      <c r="E72" s="1180"/>
      <c r="F72" s="1180"/>
      <c r="G72" s="1180"/>
      <c r="H72" s="1180"/>
      <c r="I72" s="1180"/>
      <c r="J72" s="1180"/>
      <c r="K72" s="1180"/>
      <c r="L72" s="234"/>
      <c r="M72" s="1180"/>
      <c r="N72" s="1180"/>
      <c r="O72" s="1180"/>
    </row>
    <row r="73" spans="1:15">
      <c r="A73" s="1179"/>
      <c r="B73" s="1180"/>
      <c r="C73" s="1180"/>
      <c r="D73" s="1180"/>
      <c r="E73" s="1180"/>
      <c r="F73" s="1180"/>
      <c r="G73" s="1180"/>
      <c r="H73" s="1180"/>
      <c r="I73" s="1180"/>
      <c r="J73" s="1180"/>
      <c r="K73" s="1180"/>
      <c r="L73" s="234"/>
      <c r="M73" s="1180"/>
      <c r="N73" s="1180"/>
      <c r="O73" s="1180"/>
    </row>
    <row r="74" spans="1:15">
      <c r="A74" s="1179"/>
      <c r="B74" s="1180"/>
      <c r="C74" s="1180"/>
      <c r="D74" s="1180"/>
      <c r="E74" s="1180"/>
      <c r="F74" s="1180"/>
      <c r="G74" s="1180"/>
      <c r="H74" s="1180"/>
      <c r="I74" s="1180"/>
      <c r="J74" s="1180"/>
      <c r="K74" s="1180"/>
      <c r="L74" s="234"/>
      <c r="M74" s="1180"/>
      <c r="N74" s="1180"/>
      <c r="O74" s="1180"/>
    </row>
    <row r="75" spans="1:15">
      <c r="A75" s="1179"/>
      <c r="B75" s="1180"/>
      <c r="C75" s="1180"/>
      <c r="D75" s="1180"/>
      <c r="E75" s="1180"/>
      <c r="F75" s="1180"/>
      <c r="G75" s="1180"/>
      <c r="H75" s="1180"/>
      <c r="I75" s="1180"/>
      <c r="J75" s="1180"/>
      <c r="K75" s="1180"/>
      <c r="L75" s="234"/>
      <c r="M75" s="1180"/>
      <c r="N75" s="1180"/>
      <c r="O75" s="1180"/>
    </row>
    <row r="76" spans="1:15">
      <c r="A76" s="1179"/>
      <c r="B76" s="1180"/>
      <c r="C76" s="1180"/>
      <c r="D76" s="1180"/>
      <c r="E76" s="1180"/>
      <c r="F76" s="1180"/>
      <c r="G76" s="1180"/>
      <c r="H76" s="1180"/>
      <c r="I76" s="1180"/>
      <c r="J76" s="1180"/>
      <c r="K76" s="1180"/>
      <c r="L76" s="234"/>
      <c r="M76" s="1180"/>
      <c r="N76" s="1180"/>
      <c r="O76" s="1180"/>
    </row>
    <row r="77" spans="1:15">
      <c r="A77" s="1179"/>
      <c r="B77" s="1180"/>
      <c r="C77" s="1180"/>
      <c r="D77" s="1180"/>
      <c r="E77" s="1180"/>
      <c r="F77" s="1180"/>
      <c r="G77" s="1180"/>
      <c r="H77" s="1180"/>
      <c r="I77" s="1180"/>
      <c r="J77" s="1180"/>
      <c r="K77" s="1180"/>
      <c r="L77" s="234"/>
      <c r="M77" s="1180"/>
      <c r="N77" s="1180"/>
      <c r="O77" s="1180"/>
    </row>
    <row r="78" spans="1:15">
      <c r="A78" s="1179"/>
      <c r="B78" s="1180"/>
      <c r="C78" s="1180"/>
      <c r="D78" s="1180"/>
      <c r="E78" s="1180"/>
      <c r="F78" s="1180"/>
      <c r="G78" s="1180"/>
      <c r="H78" s="1180"/>
      <c r="I78" s="1180"/>
      <c r="J78" s="1180"/>
      <c r="K78" s="1180"/>
      <c r="L78" s="234"/>
      <c r="M78" s="1180"/>
      <c r="N78" s="1180"/>
      <c r="O78" s="1180"/>
    </row>
    <row r="79" spans="1:15">
      <c r="A79" s="1179"/>
      <c r="B79" s="1180"/>
      <c r="C79" s="1180"/>
      <c r="D79" s="1180"/>
      <c r="E79" s="1180"/>
      <c r="F79" s="1180"/>
      <c r="G79" s="1180"/>
      <c r="H79" s="1180"/>
      <c r="I79" s="1180"/>
      <c r="J79" s="1180"/>
      <c r="K79" s="1180"/>
      <c r="L79" s="234"/>
      <c r="M79" s="1180"/>
      <c r="N79" s="1180"/>
      <c r="O79" s="1180"/>
    </row>
    <row r="80" spans="1:15">
      <c r="A80" s="1179"/>
      <c r="B80" s="1180"/>
      <c r="C80" s="1180"/>
      <c r="D80" s="1180"/>
      <c r="E80" s="1180"/>
      <c r="F80" s="1180"/>
      <c r="G80" s="1180"/>
      <c r="H80" s="1180"/>
      <c r="I80" s="1180"/>
      <c r="J80" s="1180"/>
      <c r="K80" s="1180"/>
      <c r="L80" s="234"/>
      <c r="M80" s="1180"/>
      <c r="N80" s="1180"/>
      <c r="O80" s="1180"/>
    </row>
    <row r="81" spans="1:15">
      <c r="A81" s="1179"/>
      <c r="B81" s="1180"/>
      <c r="C81" s="1180"/>
      <c r="D81" s="1180"/>
      <c r="E81" s="1180"/>
      <c r="F81" s="1180"/>
      <c r="G81" s="1180"/>
      <c r="H81" s="1180"/>
      <c r="I81" s="1180"/>
      <c r="J81" s="1180"/>
      <c r="K81" s="1180"/>
      <c r="L81" s="234"/>
      <c r="M81" s="1180"/>
      <c r="N81" s="1180"/>
      <c r="O81" s="1180"/>
    </row>
    <row r="82" spans="1:15">
      <c r="A82" s="1179"/>
      <c r="B82" s="1180"/>
      <c r="C82" s="1180"/>
      <c r="D82" s="1180"/>
      <c r="E82" s="1180"/>
      <c r="F82" s="1180"/>
      <c r="G82" s="1180"/>
      <c r="H82" s="1180"/>
      <c r="I82" s="1180"/>
      <c r="J82" s="1180"/>
      <c r="K82" s="1180"/>
      <c r="L82" s="234"/>
      <c r="M82" s="1180"/>
      <c r="N82" s="1180"/>
      <c r="O82" s="1180"/>
    </row>
    <row r="83" spans="1:15">
      <c r="A83" s="1179"/>
      <c r="B83" s="1180"/>
      <c r="C83" s="1180"/>
      <c r="D83" s="1180"/>
      <c r="E83" s="1180"/>
      <c r="F83" s="1180"/>
      <c r="G83" s="1180"/>
      <c r="H83" s="1180"/>
      <c r="I83" s="1180"/>
      <c r="J83" s="1180"/>
      <c r="K83" s="1180"/>
      <c r="L83" s="234"/>
      <c r="M83" s="1180"/>
      <c r="N83" s="1180"/>
      <c r="O83" s="1180"/>
    </row>
    <row r="84" spans="1:15">
      <c r="A84" s="1179"/>
      <c r="B84" s="1180"/>
      <c r="C84" s="1180"/>
      <c r="D84" s="1180"/>
      <c r="E84" s="1180"/>
      <c r="F84" s="1180"/>
      <c r="G84" s="1180"/>
      <c r="H84" s="1180"/>
      <c r="I84" s="1180"/>
      <c r="J84" s="1180"/>
      <c r="K84" s="1180"/>
      <c r="L84" s="234"/>
      <c r="M84" s="1180"/>
      <c r="N84" s="1180"/>
      <c r="O84" s="1180"/>
    </row>
    <row r="85" spans="1:15">
      <c r="A85" s="1179"/>
      <c r="B85" s="1180"/>
      <c r="C85" s="1180"/>
      <c r="D85" s="1180"/>
      <c r="E85" s="1180"/>
      <c r="F85" s="1180"/>
      <c r="G85" s="1180"/>
      <c r="H85" s="1180"/>
      <c r="I85" s="1180"/>
      <c r="J85" s="1180"/>
      <c r="K85" s="1180"/>
      <c r="L85" s="234"/>
      <c r="M85" s="1180"/>
      <c r="N85" s="1180"/>
      <c r="O85" s="1180"/>
    </row>
    <row r="86" spans="1:15">
      <c r="A86" s="1179"/>
      <c r="B86" s="1180"/>
      <c r="C86" s="1180"/>
      <c r="D86" s="1180"/>
      <c r="E86" s="1180"/>
      <c r="F86" s="1180"/>
      <c r="G86" s="1180"/>
      <c r="H86" s="1180"/>
      <c r="I86" s="1180"/>
      <c r="J86" s="1180"/>
      <c r="K86" s="1180"/>
      <c r="L86" s="234"/>
      <c r="M86" s="1180"/>
      <c r="N86" s="1180"/>
      <c r="O86" s="1180"/>
    </row>
    <row r="87" spans="1:15">
      <c r="A87" s="1179"/>
      <c r="B87" s="1180"/>
      <c r="C87" s="1180"/>
      <c r="D87" s="1180"/>
      <c r="E87" s="1180"/>
      <c r="F87" s="1180"/>
      <c r="G87" s="1180"/>
      <c r="H87" s="1180"/>
      <c r="I87" s="1180"/>
      <c r="J87" s="1180"/>
      <c r="K87" s="1180"/>
      <c r="L87" s="234"/>
      <c r="M87" s="1180"/>
      <c r="N87" s="1180"/>
      <c r="O87" s="1180"/>
    </row>
    <row r="88" spans="1:15">
      <c r="A88" s="1179"/>
      <c r="B88" s="1180"/>
      <c r="C88" s="1180"/>
      <c r="D88" s="1180"/>
      <c r="E88" s="1180"/>
      <c r="F88" s="1180"/>
      <c r="G88" s="1180"/>
      <c r="H88" s="1180"/>
      <c r="I88" s="1180"/>
      <c r="J88" s="1180"/>
      <c r="K88" s="1180"/>
      <c r="L88" s="234"/>
      <c r="M88" s="1180"/>
      <c r="N88" s="1180"/>
      <c r="O88" s="1180"/>
    </row>
    <row r="89" spans="1:15">
      <c r="A89" s="1179"/>
      <c r="B89" s="1180"/>
      <c r="C89" s="1180"/>
      <c r="D89" s="1180"/>
      <c r="E89" s="1180"/>
      <c r="F89" s="1180"/>
      <c r="G89" s="1180"/>
      <c r="H89" s="1180"/>
      <c r="I89" s="1180"/>
      <c r="J89" s="1180"/>
      <c r="K89" s="1180"/>
      <c r="L89" s="234"/>
      <c r="M89" s="1180"/>
      <c r="N89" s="1180"/>
      <c r="O89" s="1180"/>
    </row>
    <row r="90" spans="1:15">
      <c r="A90" s="1179"/>
      <c r="B90" s="1180"/>
      <c r="C90" s="1180"/>
      <c r="D90" s="1180"/>
      <c r="E90" s="1180"/>
      <c r="F90" s="1180"/>
      <c r="G90" s="1180"/>
      <c r="H90" s="1180"/>
      <c r="I90" s="1180"/>
      <c r="J90" s="1180"/>
      <c r="K90" s="1180"/>
      <c r="L90" s="234"/>
      <c r="M90" s="1180"/>
      <c r="N90" s="1180"/>
      <c r="O90" s="1180"/>
    </row>
    <row r="91" spans="1:15">
      <c r="A91" s="1179"/>
      <c r="B91" s="1180"/>
      <c r="C91" s="1180"/>
      <c r="D91" s="1180"/>
      <c r="E91" s="1180"/>
      <c r="F91" s="1180"/>
      <c r="G91" s="1180"/>
      <c r="H91" s="1180"/>
      <c r="I91" s="1180"/>
      <c r="J91" s="1180"/>
      <c r="K91" s="1180"/>
      <c r="L91" s="234"/>
      <c r="M91" s="1180"/>
      <c r="N91" s="1180"/>
      <c r="O91" s="1180"/>
    </row>
    <row r="92" spans="1:15">
      <c r="A92" s="1179"/>
      <c r="B92" s="1180"/>
      <c r="C92" s="1180"/>
      <c r="D92" s="1180"/>
      <c r="E92" s="1180"/>
      <c r="F92" s="1180"/>
      <c r="G92" s="1180"/>
      <c r="H92" s="1180"/>
      <c r="I92" s="1180"/>
      <c r="J92" s="1180"/>
      <c r="K92" s="1180"/>
      <c r="L92" s="234"/>
      <c r="M92" s="1180"/>
      <c r="N92" s="1180"/>
      <c r="O92" s="1180"/>
    </row>
    <row r="93" spans="1:15">
      <c r="A93" s="1179"/>
      <c r="B93" s="1180"/>
      <c r="C93" s="1180"/>
      <c r="D93" s="1180"/>
      <c r="E93" s="1180"/>
      <c r="F93" s="1180"/>
      <c r="G93" s="1180"/>
      <c r="H93" s="1180"/>
      <c r="I93" s="1180"/>
      <c r="J93" s="1180"/>
      <c r="K93" s="1180"/>
      <c r="L93" s="234"/>
      <c r="M93" s="1180"/>
      <c r="N93" s="1180"/>
      <c r="O93" s="1180"/>
    </row>
    <row r="94" spans="1:15">
      <c r="A94" s="1179"/>
      <c r="B94" s="1180"/>
      <c r="C94" s="1180"/>
      <c r="D94" s="1180"/>
      <c r="E94" s="1180"/>
      <c r="F94" s="1180"/>
      <c r="G94" s="1180"/>
      <c r="H94" s="1180"/>
      <c r="I94" s="1180"/>
      <c r="J94" s="1180"/>
      <c r="K94" s="1180"/>
      <c r="L94" s="234"/>
      <c r="M94" s="1180"/>
      <c r="N94" s="1180"/>
      <c r="O94" s="1180"/>
    </row>
    <row r="95" spans="1:15">
      <c r="A95" s="1179"/>
      <c r="B95" s="1180"/>
      <c r="C95" s="1180"/>
      <c r="D95" s="1180"/>
      <c r="E95" s="1180"/>
      <c r="F95" s="1180"/>
      <c r="G95" s="1180"/>
      <c r="H95" s="1180"/>
      <c r="I95" s="1180"/>
      <c r="J95" s="1180"/>
      <c r="K95" s="1180"/>
      <c r="L95" s="234"/>
      <c r="M95" s="1180"/>
      <c r="N95" s="1180"/>
      <c r="O95" s="1180"/>
    </row>
    <row r="96" spans="1:15">
      <c r="A96" s="1179"/>
      <c r="B96" s="1180"/>
      <c r="C96" s="1180"/>
      <c r="D96" s="1180"/>
      <c r="E96" s="1180"/>
      <c r="F96" s="1180"/>
      <c r="G96" s="1180"/>
      <c r="H96" s="1180"/>
      <c r="I96" s="1180"/>
      <c r="J96" s="1180"/>
      <c r="K96" s="1180"/>
      <c r="L96" s="234"/>
      <c r="M96" s="1180"/>
      <c r="N96" s="1180"/>
      <c r="O96" s="1180"/>
    </row>
    <row r="97" spans="1:15">
      <c r="A97" s="1179"/>
      <c r="B97" s="1180"/>
      <c r="C97" s="1180"/>
      <c r="D97" s="1180"/>
      <c r="E97" s="1180"/>
      <c r="F97" s="1180"/>
      <c r="G97" s="1180"/>
      <c r="H97" s="1180"/>
      <c r="I97" s="1180"/>
      <c r="J97" s="1180"/>
      <c r="K97" s="1180"/>
      <c r="L97" s="234"/>
      <c r="M97" s="1180"/>
      <c r="N97" s="1180"/>
      <c r="O97" s="1180"/>
    </row>
    <row r="98" spans="1:15">
      <c r="A98" s="1179"/>
      <c r="B98" s="1180"/>
      <c r="C98" s="1180"/>
      <c r="D98" s="1180"/>
      <c r="E98" s="1180"/>
      <c r="F98" s="1180"/>
      <c r="G98" s="1180"/>
      <c r="H98" s="1180"/>
      <c r="I98" s="1180"/>
      <c r="J98" s="1180"/>
      <c r="K98" s="1180"/>
      <c r="L98" s="234"/>
      <c r="M98" s="1180"/>
      <c r="N98" s="1180"/>
      <c r="O98" s="1180"/>
    </row>
    <row r="99" spans="1:15">
      <c r="A99" s="1179"/>
      <c r="B99" s="1180"/>
      <c r="C99" s="1180"/>
      <c r="D99" s="1180"/>
      <c r="E99" s="1180"/>
      <c r="F99" s="1180"/>
      <c r="G99" s="1180"/>
      <c r="H99" s="1180"/>
      <c r="I99" s="1180"/>
      <c r="J99" s="1180"/>
      <c r="K99" s="1180"/>
      <c r="L99" s="1180"/>
      <c r="M99" s="1180"/>
      <c r="N99" s="1180"/>
      <c r="O99" s="1180"/>
    </row>
    <row r="100" spans="1:15">
      <c r="A100" s="1179"/>
      <c r="B100" s="1180"/>
      <c r="C100" s="1180"/>
      <c r="D100" s="1180"/>
      <c r="E100" s="1180"/>
      <c r="F100" s="1180"/>
      <c r="G100" s="1180"/>
      <c r="H100" s="1180"/>
      <c r="I100" s="1180"/>
      <c r="J100" s="1180"/>
      <c r="K100" s="1180"/>
      <c r="L100" s="1180"/>
      <c r="M100" s="1180"/>
      <c r="N100" s="1180"/>
      <c r="O100" s="1180"/>
    </row>
    <row r="101" spans="1:15">
      <c r="A101" s="1179"/>
      <c r="B101" s="1180"/>
      <c r="C101" s="1180"/>
      <c r="D101" s="1180"/>
      <c r="E101" s="1180"/>
      <c r="F101" s="1180"/>
      <c r="G101" s="1180"/>
      <c r="H101" s="1180"/>
      <c r="I101" s="1180"/>
      <c r="J101" s="1180"/>
      <c r="K101" s="1180"/>
      <c r="L101" s="1180"/>
      <c r="M101" s="1180"/>
      <c r="N101" s="1180"/>
      <c r="O101" s="1180"/>
    </row>
    <row r="102" spans="1:15">
      <c r="A102" s="1179"/>
      <c r="B102" s="1180"/>
      <c r="C102" s="1180"/>
      <c r="D102" s="1180"/>
      <c r="E102" s="1180"/>
      <c r="F102" s="1180"/>
      <c r="G102" s="1180"/>
      <c r="H102" s="1180"/>
      <c r="I102" s="1180"/>
      <c r="J102" s="1180"/>
      <c r="K102" s="1180"/>
      <c r="L102" s="1180"/>
      <c r="M102" s="1180"/>
      <c r="N102" s="1180"/>
      <c r="O102" s="1180"/>
    </row>
    <row r="103" spans="1:15">
      <c r="A103" s="1180"/>
      <c r="B103" s="1180"/>
      <c r="C103" s="1180"/>
      <c r="D103" s="1180"/>
      <c r="E103" s="1180"/>
      <c r="F103" s="1180"/>
      <c r="G103" s="1180"/>
      <c r="H103" s="1180"/>
      <c r="I103" s="1180"/>
      <c r="J103" s="1180"/>
      <c r="K103" s="1180"/>
      <c r="L103" s="1180"/>
      <c r="M103" s="1180"/>
      <c r="N103" s="2207"/>
      <c r="O103" s="2208"/>
    </row>
    <row r="104" spans="1:15">
      <c r="A104" s="1180"/>
      <c r="B104" s="1180"/>
      <c r="C104" s="1180"/>
      <c r="D104" s="1180"/>
      <c r="E104" s="1180"/>
      <c r="F104" s="1180"/>
      <c r="G104" s="1180"/>
      <c r="H104" s="1180"/>
      <c r="I104" s="1180"/>
      <c r="J104" s="1180"/>
      <c r="K104" s="1180"/>
      <c r="L104" s="1180"/>
      <c r="M104" s="1180"/>
      <c r="N104" s="2207"/>
      <c r="O104" s="2208"/>
    </row>
    <row r="105" spans="1:15">
      <c r="A105" s="1180"/>
      <c r="B105" s="1180"/>
      <c r="C105" s="1180"/>
      <c r="D105" s="1180"/>
      <c r="E105" s="1180"/>
      <c r="F105" s="1180"/>
      <c r="G105" s="1180"/>
      <c r="H105" s="1180"/>
      <c r="I105" s="1180"/>
      <c r="J105" s="1180"/>
      <c r="K105" s="1180"/>
      <c r="L105" s="1180"/>
      <c r="M105" s="1180"/>
      <c r="N105" s="2207"/>
      <c r="O105" s="2208"/>
    </row>
    <row r="106" spans="1:15">
      <c r="A106" s="1180"/>
      <c r="B106" s="1180"/>
      <c r="C106" s="1180"/>
      <c r="D106" s="1180"/>
      <c r="E106" s="1180"/>
      <c r="F106" s="1180"/>
      <c r="G106" s="1180"/>
      <c r="H106" s="1180"/>
      <c r="I106" s="1180"/>
      <c r="J106" s="1180"/>
      <c r="K106" s="1180"/>
      <c r="L106" s="1180"/>
      <c r="M106" s="1180"/>
      <c r="N106" s="2207"/>
      <c r="O106" s="2208"/>
    </row>
    <row r="107" spans="1:15">
      <c r="A107" s="1180"/>
      <c r="B107" s="1180"/>
      <c r="C107" s="1180"/>
      <c r="D107" s="1180"/>
      <c r="E107" s="1180"/>
      <c r="F107" s="1180"/>
      <c r="G107" s="1180"/>
      <c r="H107" s="1180"/>
      <c r="I107" s="1180"/>
      <c r="J107" s="1180"/>
      <c r="K107" s="1180"/>
      <c r="L107" s="1180"/>
      <c r="M107" s="1180"/>
      <c r="N107" s="2207"/>
      <c r="O107" s="2208"/>
    </row>
    <row r="108" spans="1:15">
      <c r="A108" s="1180"/>
      <c r="B108" s="1180"/>
      <c r="C108" s="1180"/>
      <c r="D108" s="1180"/>
      <c r="E108" s="1180"/>
      <c r="F108" s="1180"/>
      <c r="G108" s="1180"/>
      <c r="H108" s="1180"/>
      <c r="I108" s="1180"/>
      <c r="J108" s="1180"/>
      <c r="K108" s="1180"/>
      <c r="L108" s="1180"/>
      <c r="M108" s="1180"/>
      <c r="N108" s="1377"/>
      <c r="O108" s="1377"/>
    </row>
    <row r="109" spans="1:15">
      <c r="A109" s="1180"/>
      <c r="B109" s="1180"/>
      <c r="C109" s="1180"/>
      <c r="D109" s="1180"/>
      <c r="E109" s="1180"/>
      <c r="F109" s="1180"/>
      <c r="G109" s="1180"/>
      <c r="H109" s="1180"/>
      <c r="I109" s="1180"/>
      <c r="J109" s="1180"/>
      <c r="K109" s="1180"/>
      <c r="L109" s="1180"/>
      <c r="M109" s="1180"/>
      <c r="N109" s="1377"/>
      <c r="O109" s="1377"/>
    </row>
    <row r="110" spans="1:15">
      <c r="A110" s="1180"/>
      <c r="B110" s="1180"/>
      <c r="C110" s="1180"/>
      <c r="D110" s="1180"/>
      <c r="E110" s="1180"/>
      <c r="F110" s="1180"/>
      <c r="G110" s="1180"/>
      <c r="H110" s="1180"/>
      <c r="I110" s="1180"/>
      <c r="J110" s="1180"/>
      <c r="K110" s="1180"/>
      <c r="L110" s="1180"/>
      <c r="M110" s="1180"/>
      <c r="N110" s="2209"/>
      <c r="O110" s="2209"/>
    </row>
    <row r="111" spans="1:15">
      <c r="A111" s="1180"/>
      <c r="B111" s="1180"/>
      <c r="C111" s="1180"/>
      <c r="D111" s="1180"/>
      <c r="E111" s="1180"/>
      <c r="F111" s="1180"/>
      <c r="G111" s="1180"/>
      <c r="H111" s="1180"/>
      <c r="I111" s="1180"/>
      <c r="J111" s="1180"/>
      <c r="K111" s="1180"/>
      <c r="L111" s="1180"/>
      <c r="M111" s="1180"/>
      <c r="N111" s="2210"/>
      <c r="O111" s="2210"/>
    </row>
    <row r="112" spans="1:15">
      <c r="A112" s="1180"/>
      <c r="B112" s="1180"/>
      <c r="C112" s="1180"/>
      <c r="D112" s="1180"/>
      <c r="E112" s="1180"/>
      <c r="F112" s="1180"/>
      <c r="G112" s="1180"/>
      <c r="H112" s="1180"/>
      <c r="I112" s="1180"/>
      <c r="J112" s="1180"/>
      <c r="K112" s="1180"/>
      <c r="L112" s="1180"/>
      <c r="M112" s="1180"/>
      <c r="N112" s="1377"/>
      <c r="O112" s="1377"/>
    </row>
    <row r="113" spans="1:15">
      <c r="A113" s="1180"/>
      <c r="B113" s="1180"/>
      <c r="C113" s="1180"/>
      <c r="D113" s="1180"/>
      <c r="E113" s="1180"/>
      <c r="F113" s="1180"/>
      <c r="G113" s="1180"/>
      <c r="H113" s="1180"/>
      <c r="I113" s="1180"/>
      <c r="J113" s="1180"/>
      <c r="K113" s="1180"/>
      <c r="L113" s="1180"/>
      <c r="M113" s="1180"/>
      <c r="N113" s="2209"/>
      <c r="O113" s="1377"/>
    </row>
    <row r="114" spans="1:15">
      <c r="A114" s="1180"/>
      <c r="B114" s="1180"/>
      <c r="C114" s="1180"/>
      <c r="D114" s="1180"/>
      <c r="E114" s="1180"/>
      <c r="F114" s="1180"/>
      <c r="G114" s="1180"/>
      <c r="H114" s="1180"/>
      <c r="I114" s="1180"/>
      <c r="J114" s="1180"/>
      <c r="K114" s="1180"/>
      <c r="L114" s="1180"/>
      <c r="M114" s="1180"/>
      <c r="N114" s="2209"/>
      <c r="O114" s="1377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7" tint="-0.249977111117893"/>
  </sheetPr>
  <dimension ref="A1:W76"/>
  <sheetViews>
    <sheetView tabSelected="1" view="pageLayout" zoomScaleNormal="90" workbookViewId="0">
      <selection activeCell="G1" sqref="G1"/>
    </sheetView>
  </sheetViews>
  <sheetFormatPr defaultColWidth="8.85546875" defaultRowHeight="12.75"/>
  <cols>
    <col min="1" max="1" width="20.28515625" style="18" customWidth="1"/>
    <col min="2" max="9" width="8.85546875" style="18"/>
    <col min="10" max="10" width="14.7109375" style="18" customWidth="1"/>
    <col min="11" max="11" width="8.85546875" style="18"/>
    <col min="12" max="12" width="6" style="18" customWidth="1"/>
    <col min="13" max="13" width="2" style="18" customWidth="1"/>
    <col min="14" max="14" width="52.7109375" style="18" customWidth="1"/>
    <col min="15" max="15" width="12.28515625" style="18" customWidth="1"/>
    <col min="16" max="16" width="11.28515625" style="18" customWidth="1"/>
    <col min="17" max="17" width="14.28515625" style="18" customWidth="1"/>
    <col min="18" max="23" width="14.140625" style="18" customWidth="1"/>
    <col min="24" max="16384" width="8.85546875" style="18"/>
  </cols>
  <sheetData>
    <row r="1" spans="1:10">
      <c r="A1" s="2087" t="str">
        <f>COMPANY</f>
        <v>DUKE ENERGY KENTUCKY, INC.</v>
      </c>
      <c r="B1" s="2195"/>
      <c r="C1" s="2195"/>
      <c r="D1" s="2195"/>
      <c r="E1" s="2195"/>
      <c r="F1" s="2195"/>
      <c r="G1" s="2195"/>
      <c r="H1" s="2195"/>
      <c r="I1" s="2195"/>
      <c r="J1" s="2195"/>
    </row>
    <row r="2" spans="1:10">
      <c r="A2" s="2087" t="str">
        <f>CASE</f>
        <v>CASE NO. 2017-00321</v>
      </c>
      <c r="B2" s="2195"/>
      <c r="C2" s="2195"/>
      <c r="D2" s="2195"/>
      <c r="E2" s="2195"/>
      <c r="F2" s="2195"/>
      <c r="G2" s="2195"/>
      <c r="H2" s="2195"/>
      <c r="I2" s="2195"/>
      <c r="J2" s="2195"/>
    </row>
    <row r="3" spans="1:10">
      <c r="A3" s="229" t="s">
        <v>3159</v>
      </c>
      <c r="B3" s="2195"/>
      <c r="C3" s="2195"/>
      <c r="D3" s="2195"/>
      <c r="E3" s="2195"/>
      <c r="F3" s="2195"/>
      <c r="G3" s="2195"/>
      <c r="H3" s="2195"/>
      <c r="I3" s="2195"/>
      <c r="J3" s="2195"/>
    </row>
    <row r="4" spans="1:10">
      <c r="A4" s="229" t="str">
        <f>PeriodF</f>
        <v>FOR THE TWELVE MONTHS ENDED MARCH 31, 2019</v>
      </c>
      <c r="B4" s="2195"/>
      <c r="C4" s="2195"/>
      <c r="D4" s="2195"/>
      <c r="E4" s="2195"/>
      <c r="F4" s="2195"/>
      <c r="G4" s="2195"/>
      <c r="H4" s="2195"/>
      <c r="I4" s="2195"/>
      <c r="J4" s="2195"/>
    </row>
    <row r="5" spans="1:10">
      <c r="A5" s="1571"/>
      <c r="B5" s="1180"/>
      <c r="C5" s="1180"/>
      <c r="D5" s="1180"/>
      <c r="E5" s="1180"/>
      <c r="F5" s="1180"/>
      <c r="G5" s="1180"/>
      <c r="H5" s="1180"/>
      <c r="I5" s="1180"/>
      <c r="J5" s="1180"/>
    </row>
    <row r="6" spans="1:10">
      <c r="A6" s="1446" t="str">
        <f>DataF</f>
        <v>DATA:  BASE PERIOD  "X" FORECASTED PERIOD</v>
      </c>
      <c r="B6" s="1180"/>
      <c r="C6" s="1180"/>
      <c r="D6" s="1180"/>
      <c r="E6" s="1180"/>
      <c r="F6" s="1180"/>
      <c r="G6" s="1180"/>
      <c r="H6" s="1180"/>
      <c r="I6" s="2196" t="s">
        <v>1234</v>
      </c>
      <c r="J6" s="1180"/>
    </row>
    <row r="7" spans="1:10">
      <c r="A7" s="1446" t="str">
        <f>Type</f>
        <v xml:space="preserve">TYPE OF FILING:  "X" ORIGINAL   UPDATED    REVISED  </v>
      </c>
      <c r="B7" s="1180"/>
      <c r="C7" s="1180"/>
      <c r="D7" s="1180"/>
      <c r="E7" s="1180"/>
      <c r="F7" s="1180"/>
      <c r="G7" s="1180"/>
      <c r="H7" s="1180"/>
      <c r="I7" s="1179" t="s">
        <v>620</v>
      </c>
      <c r="J7" s="1180"/>
    </row>
    <row r="8" spans="1:10">
      <c r="A8" s="461" t="s">
        <v>3045</v>
      </c>
      <c r="B8" s="1180"/>
      <c r="C8" s="1180"/>
      <c r="D8" s="1180"/>
      <c r="E8" s="1180"/>
      <c r="F8" s="1180"/>
      <c r="G8" s="1180"/>
      <c r="H8" s="1180"/>
      <c r="I8" s="1179" t="s">
        <v>622</v>
      </c>
      <c r="J8" s="1180"/>
    </row>
    <row r="9" spans="1:10">
      <c r="A9" s="529"/>
      <c r="B9" s="1180"/>
      <c r="C9" s="1180"/>
      <c r="D9" s="1180"/>
      <c r="E9" s="1180"/>
      <c r="F9" s="1180"/>
      <c r="G9" s="1180"/>
      <c r="H9" s="1180"/>
      <c r="I9" s="1179" t="str">
        <f>_WIT1</f>
        <v>S. E. LAWLER</v>
      </c>
      <c r="J9" s="1180"/>
    </row>
    <row r="10" spans="1:10">
      <c r="A10" s="1447"/>
      <c r="B10" s="2197"/>
      <c r="C10" s="2197"/>
      <c r="D10" s="2197"/>
      <c r="E10" s="2197"/>
      <c r="F10" s="2197"/>
      <c r="G10" s="2197"/>
      <c r="H10" s="2197"/>
      <c r="I10" s="2197"/>
      <c r="J10" s="2197"/>
    </row>
    <row r="11" spans="1:10">
      <c r="A11" s="1448"/>
      <c r="B11" s="1180"/>
      <c r="C11" s="1180"/>
      <c r="D11" s="1180"/>
      <c r="E11" s="1180"/>
      <c r="F11" s="1180"/>
      <c r="G11" s="1180"/>
      <c r="H11" s="1180"/>
      <c r="I11" s="1180"/>
      <c r="J11" s="1180"/>
    </row>
    <row r="12" spans="1:10">
      <c r="A12" s="1430" t="s">
        <v>1246</v>
      </c>
      <c r="B12" s="1180"/>
      <c r="C12" s="1180"/>
      <c r="D12" s="1180"/>
      <c r="E12" s="1180"/>
      <c r="F12" s="1180"/>
      <c r="G12" s="1180"/>
      <c r="H12" s="1180"/>
      <c r="I12" s="1180"/>
      <c r="J12" s="2198" t="s">
        <v>364</v>
      </c>
    </row>
    <row r="13" spans="1:10">
      <c r="A13" s="1447"/>
      <c r="B13" s="2197"/>
      <c r="C13" s="2197"/>
      <c r="D13" s="2197"/>
      <c r="E13" s="2197"/>
      <c r="F13" s="2197"/>
      <c r="G13" s="2197"/>
      <c r="H13" s="2197"/>
      <c r="I13" s="2197"/>
      <c r="J13" s="2197"/>
    </row>
    <row r="14" spans="1:10">
      <c r="A14" s="1448"/>
      <c r="B14" s="1180"/>
      <c r="C14" s="1180"/>
      <c r="D14" s="1180"/>
      <c r="E14" s="1180"/>
      <c r="F14" s="1180"/>
      <c r="G14" s="1180"/>
      <c r="H14" s="1180"/>
      <c r="I14" s="1180"/>
      <c r="J14" s="2199"/>
    </row>
    <row r="15" spans="1:10">
      <c r="A15" s="1378" t="s">
        <v>3191</v>
      </c>
      <c r="B15" s="1180"/>
      <c r="C15" s="1180"/>
      <c r="D15" s="1180"/>
      <c r="E15" s="1180"/>
      <c r="F15" s="1180"/>
      <c r="G15" s="1180"/>
      <c r="H15" s="1180"/>
      <c r="I15" s="1180"/>
      <c r="J15" s="1180"/>
    </row>
    <row r="16" spans="1:10">
      <c r="A16" s="337" t="s">
        <v>3192</v>
      </c>
      <c r="B16" s="1180"/>
      <c r="C16" s="1180"/>
      <c r="D16" s="1180"/>
      <c r="E16" s="1180"/>
      <c r="F16" s="1180"/>
      <c r="G16" s="1180"/>
      <c r="H16" s="1180"/>
      <c r="I16" s="1180"/>
      <c r="J16" s="1180"/>
    </row>
    <row r="17" spans="1:10">
      <c r="A17" s="1179"/>
      <c r="B17" s="1180"/>
      <c r="C17" s="1180"/>
      <c r="D17" s="1180"/>
      <c r="E17" s="1180"/>
      <c r="F17" s="1180"/>
      <c r="G17" s="1180"/>
      <c r="H17" s="1180"/>
      <c r="I17" s="1180"/>
      <c r="J17" s="1180"/>
    </row>
    <row r="18" spans="1:10">
      <c r="A18" s="1180"/>
      <c r="B18" s="1180"/>
      <c r="C18" s="1180"/>
      <c r="G18" s="1180"/>
      <c r="H18" s="1571"/>
      <c r="I18" s="1571"/>
      <c r="J18" s="1426"/>
    </row>
    <row r="19" spans="1:10">
      <c r="A19" s="1179" t="s">
        <v>173</v>
      </c>
      <c r="B19" s="1180"/>
      <c r="C19" s="1180"/>
      <c r="G19" s="1180"/>
      <c r="H19" s="1571"/>
      <c r="I19" s="1571"/>
      <c r="J19" s="1483">
        <f>-R74</f>
        <v>-2321137</v>
      </c>
    </row>
    <row r="20" spans="1:10" ht="15">
      <c r="A20" s="1179"/>
      <c r="B20" s="1180"/>
      <c r="C20" s="1180"/>
      <c r="G20" s="1180"/>
      <c r="H20" s="1571"/>
      <c r="I20" s="1571"/>
      <c r="J20" s="1374"/>
    </row>
    <row r="21" spans="1:10">
      <c r="A21" s="1179" t="s">
        <v>266</v>
      </c>
      <c r="B21" s="1180"/>
      <c r="C21" s="1180"/>
      <c r="G21" s="1180"/>
      <c r="H21" s="1571"/>
      <c r="I21" s="1571"/>
      <c r="J21" s="1425">
        <f>VLOOKUP(B30,ALLOCTABLE,2)/100</f>
        <v>1</v>
      </c>
    </row>
    <row r="22" spans="1:10">
      <c r="A22" s="1180"/>
      <c r="B22" s="1180"/>
      <c r="C22" s="1180"/>
      <c r="G22" s="1180"/>
      <c r="H22" s="1571"/>
      <c r="I22" s="1571"/>
      <c r="J22" s="1426"/>
    </row>
    <row r="23" spans="1:10">
      <c r="A23" s="1180"/>
      <c r="B23" s="1180"/>
      <c r="C23" s="1180"/>
      <c r="G23" s="1180"/>
      <c r="H23" s="1571"/>
      <c r="I23" s="1571"/>
      <c r="J23" s="1180"/>
    </row>
    <row r="24" spans="1:10" ht="15">
      <c r="A24" s="1179" t="s">
        <v>1236</v>
      </c>
      <c r="B24" s="1180"/>
      <c r="C24" s="1180"/>
      <c r="G24" s="1179" t="s">
        <v>1213</v>
      </c>
      <c r="H24" s="1571"/>
      <c r="I24" s="1571"/>
      <c r="J24" s="1427">
        <f>ROUND(J19*J21,0)</f>
        <v>-2321137</v>
      </c>
    </row>
    <row r="25" spans="1:10">
      <c r="A25" s="1179"/>
      <c r="B25" s="1180"/>
      <c r="C25" s="1180"/>
      <c r="G25" s="1180"/>
      <c r="H25" s="1571"/>
      <c r="I25" s="1571"/>
      <c r="J25" s="1487"/>
    </row>
    <row r="26" spans="1:10">
      <c r="A26" s="1179"/>
      <c r="B26" s="1180"/>
      <c r="C26" s="1180"/>
      <c r="G26" s="1180"/>
      <c r="H26" s="1571"/>
      <c r="I26" s="1571"/>
      <c r="J26" s="1487"/>
    </row>
    <row r="27" spans="1:10">
      <c r="A27" s="1180"/>
      <c r="B27" s="1180"/>
      <c r="C27" s="1180"/>
      <c r="D27" s="1180"/>
      <c r="E27" s="1178"/>
      <c r="F27" s="1178"/>
      <c r="G27" s="1426"/>
    </row>
    <row r="28" spans="1:10">
      <c r="A28" s="637"/>
      <c r="B28" s="1571"/>
      <c r="C28" s="1571"/>
      <c r="D28" s="1571"/>
      <c r="E28" s="1571"/>
      <c r="F28" s="1571"/>
      <c r="G28" s="1571"/>
    </row>
    <row r="29" spans="1:10">
      <c r="A29" s="637"/>
      <c r="B29" s="1571"/>
      <c r="C29" s="1571"/>
      <c r="D29" s="1571"/>
      <c r="E29" s="1571"/>
      <c r="F29" s="1571"/>
      <c r="G29" s="1571"/>
    </row>
    <row r="30" spans="1:10">
      <c r="A30" s="1179" t="s">
        <v>1237</v>
      </c>
      <c r="B30" s="2149" t="s">
        <v>593</v>
      </c>
      <c r="C30" s="1571"/>
      <c r="D30" s="2200"/>
      <c r="E30" s="1571"/>
      <c r="F30" s="1571"/>
      <c r="G30" s="1571"/>
    </row>
    <row r="37" spans="12:23">
      <c r="L37" s="18" t="str">
        <f>COMPANY</f>
        <v>DUKE ENERGY KENTUCKY, INC.</v>
      </c>
      <c r="V37" s="45" t="s">
        <v>3044</v>
      </c>
    </row>
    <row r="38" spans="12:23">
      <c r="L38" s="18" t="str">
        <f>DEPT</f>
        <v>ELECTRIC DEPARTMENT</v>
      </c>
      <c r="V38" s="461" t="s">
        <v>622</v>
      </c>
    </row>
    <row r="39" spans="12:23">
      <c r="L39" s="18" t="str">
        <f>CASE</f>
        <v>CASE NO. 2017-00321</v>
      </c>
      <c r="V39" s="18" t="str">
        <f>_WIT1</f>
        <v>S. E. LAWLER</v>
      </c>
    </row>
    <row r="40" spans="12:23">
      <c r="L40" s="18" t="str">
        <f>A3</f>
        <v>AMI BENEFIT LEVELIZATION</v>
      </c>
    </row>
    <row r="41" spans="12:23">
      <c r="L41" s="529"/>
      <c r="M41" s="529"/>
      <c r="N41" s="529"/>
    </row>
    <row r="42" spans="12:23">
      <c r="L42" s="529"/>
      <c r="M42" s="529"/>
      <c r="N42" s="529"/>
    </row>
    <row r="43" spans="12:23">
      <c r="L43" s="529"/>
      <c r="M43" s="529"/>
      <c r="N43" s="529"/>
    </row>
    <row r="44" spans="12:23">
      <c r="L44" s="1432" t="s">
        <v>2648</v>
      </c>
      <c r="M44" s="529"/>
      <c r="N44" s="1432"/>
      <c r="O44" s="2201" t="s">
        <v>3073</v>
      </c>
      <c r="P44" s="2202"/>
      <c r="Q44" s="2203" t="s">
        <v>3061</v>
      </c>
      <c r="R44" s="2203" t="s">
        <v>3062</v>
      </c>
      <c r="S44" s="2203" t="s">
        <v>3063</v>
      </c>
      <c r="T44" s="2203" t="s">
        <v>3064</v>
      </c>
      <c r="U44" s="2203" t="s">
        <v>3065</v>
      </c>
      <c r="V44" s="2203" t="s">
        <v>3066</v>
      </c>
      <c r="W44" s="2203" t="s">
        <v>3067</v>
      </c>
    </row>
    <row r="45" spans="12:23">
      <c r="L45" s="1434" t="s">
        <v>1241</v>
      </c>
      <c r="M45" s="1435"/>
      <c r="N45" s="1434" t="s">
        <v>1119</v>
      </c>
      <c r="O45" s="2203" t="s">
        <v>3074</v>
      </c>
      <c r="P45" s="2203" t="s">
        <v>3075</v>
      </c>
      <c r="Q45" s="2204">
        <v>2017</v>
      </c>
      <c r="R45" s="2204">
        <v>2018</v>
      </c>
      <c r="S45" s="2204">
        <v>2019</v>
      </c>
      <c r="T45" s="2204">
        <v>2020</v>
      </c>
      <c r="U45" s="2204">
        <v>2021</v>
      </c>
      <c r="V45" s="2204">
        <v>2022</v>
      </c>
      <c r="W45" s="2204">
        <v>2023</v>
      </c>
    </row>
    <row r="46" spans="12:23">
      <c r="L46" s="529"/>
      <c r="M46" s="529"/>
      <c r="N46" s="529"/>
    </row>
    <row r="47" spans="12:23">
      <c r="L47" s="529"/>
      <c r="M47" s="529"/>
      <c r="N47" s="529"/>
    </row>
    <row r="48" spans="12:23">
      <c r="L48" s="1606">
        <v>1</v>
      </c>
      <c r="M48" s="529"/>
      <c r="N48" s="1755" t="s">
        <v>3056</v>
      </c>
    </row>
    <row r="49" spans="12:23" ht="40.15" customHeight="1">
      <c r="L49" s="1606">
        <v>2</v>
      </c>
      <c r="M49" s="529"/>
      <c r="N49" s="1620" t="s">
        <v>3057</v>
      </c>
      <c r="O49" s="1612">
        <v>1</v>
      </c>
      <c r="P49" s="1612">
        <v>0</v>
      </c>
      <c r="Q49" s="1683">
        <v>0</v>
      </c>
      <c r="R49" s="1683">
        <v>773281</v>
      </c>
      <c r="S49" s="1683">
        <v>2398603</v>
      </c>
      <c r="T49" s="1683">
        <v>2410596</v>
      </c>
      <c r="U49" s="1683">
        <v>2422649</v>
      </c>
      <c r="V49" s="1683">
        <v>2434762</v>
      </c>
      <c r="W49" s="1683">
        <v>2446936</v>
      </c>
    </row>
    <row r="50" spans="12:23">
      <c r="L50" s="1606">
        <v>3</v>
      </c>
      <c r="M50" s="529"/>
      <c r="N50" s="45" t="s">
        <v>3216</v>
      </c>
      <c r="O50" s="1612">
        <v>1</v>
      </c>
      <c r="P50" s="1612">
        <v>0</v>
      </c>
      <c r="Q50" s="1683">
        <v>0</v>
      </c>
      <c r="R50" s="1684">
        <f>ROUND(R49*-0.2318,0)</f>
        <v>-179247</v>
      </c>
      <c r="S50" s="1684">
        <f t="shared" ref="S50:W50" si="0">ROUND(S49*-0.2318,0)</f>
        <v>-555996</v>
      </c>
      <c r="T50" s="1684">
        <f t="shared" si="0"/>
        <v>-558776</v>
      </c>
      <c r="U50" s="1684">
        <f t="shared" si="0"/>
        <v>-561570</v>
      </c>
      <c r="V50" s="1684">
        <f t="shared" si="0"/>
        <v>-564378</v>
      </c>
      <c r="W50" s="1684">
        <f t="shared" si="0"/>
        <v>-567200</v>
      </c>
    </row>
    <row r="51" spans="12:23">
      <c r="L51" s="1606">
        <v>4</v>
      </c>
      <c r="M51" s="529"/>
      <c r="O51" s="1669"/>
      <c r="P51" s="1669"/>
    </row>
    <row r="52" spans="12:23">
      <c r="L52" s="1606">
        <v>5</v>
      </c>
      <c r="M52" s="529"/>
      <c r="N52" s="1603" t="s">
        <v>3046</v>
      </c>
      <c r="O52" s="1613"/>
      <c r="P52" s="1613"/>
    </row>
    <row r="53" spans="12:23" ht="17.45" customHeight="1">
      <c r="L53" s="1606">
        <v>6</v>
      </c>
      <c r="M53" s="529"/>
      <c r="N53" s="1604" t="s">
        <v>3047</v>
      </c>
      <c r="O53" s="1612">
        <v>0.67</v>
      </c>
      <c r="P53" s="1612">
        <v>0.33</v>
      </c>
      <c r="Q53" s="1611">
        <v>0</v>
      </c>
      <c r="R53" s="1611">
        <v>205954</v>
      </c>
      <c r="S53" s="1611">
        <v>518751</v>
      </c>
      <c r="T53" s="1611">
        <v>790437</v>
      </c>
      <c r="U53" s="1611">
        <v>1068549</v>
      </c>
      <c r="V53" s="1611">
        <v>1196592</v>
      </c>
      <c r="W53" s="1611">
        <v>1226506</v>
      </c>
    </row>
    <row r="54" spans="12:23" ht="28.15" customHeight="1">
      <c r="L54" s="1606">
        <v>7</v>
      </c>
      <c r="M54" s="529"/>
      <c r="N54" s="1604" t="s">
        <v>3048</v>
      </c>
      <c r="O54" s="1612">
        <v>1</v>
      </c>
      <c r="P54" s="1612">
        <v>0</v>
      </c>
      <c r="Q54" s="1611">
        <v>0</v>
      </c>
      <c r="R54" s="1611">
        <v>125072</v>
      </c>
      <c r="S54" s="1611">
        <v>455264</v>
      </c>
      <c r="T54" s="1611">
        <v>693469</v>
      </c>
      <c r="U54" s="1611">
        <v>735002</v>
      </c>
      <c r="V54" s="1611">
        <v>751898</v>
      </c>
      <c r="W54" s="1611">
        <v>768795</v>
      </c>
    </row>
    <row r="55" spans="12:23" ht="18.600000000000001" customHeight="1">
      <c r="L55" s="1606">
        <v>8</v>
      </c>
      <c r="M55" s="529"/>
      <c r="N55" s="1609" t="s">
        <v>3049</v>
      </c>
      <c r="O55" s="1612">
        <v>1</v>
      </c>
      <c r="P55" s="1612">
        <v>0</v>
      </c>
      <c r="Q55" s="1611">
        <v>103030</v>
      </c>
      <c r="R55" s="1611">
        <v>317621</v>
      </c>
      <c r="S55" s="1611">
        <v>211212</v>
      </c>
      <c r="T55" s="1611">
        <v>0</v>
      </c>
      <c r="U55" s="1611">
        <v>0</v>
      </c>
      <c r="V55" s="1611">
        <v>0</v>
      </c>
      <c r="W55" s="1611">
        <v>0</v>
      </c>
    </row>
    <row r="56" spans="12:23">
      <c r="L56" s="1606">
        <v>9</v>
      </c>
      <c r="M56" s="529"/>
      <c r="N56" s="1604"/>
      <c r="O56" s="1613"/>
      <c r="P56" s="1613"/>
      <c r="Q56" s="1613"/>
      <c r="R56" s="1613"/>
      <c r="S56" s="1613"/>
      <c r="T56" s="1613"/>
      <c r="U56" s="1613"/>
      <c r="V56" s="1614"/>
      <c r="W56" s="1614"/>
    </row>
    <row r="57" spans="12:23" ht="15" customHeight="1">
      <c r="L57" s="1606">
        <v>10</v>
      </c>
      <c r="M57" s="529"/>
      <c r="N57" s="1605" t="s">
        <v>3050</v>
      </c>
    </row>
    <row r="58" spans="12:23" ht="17.45" customHeight="1">
      <c r="L58" s="1606">
        <v>11</v>
      </c>
      <c r="M58" s="529"/>
      <c r="N58" s="1604" t="s">
        <v>3051</v>
      </c>
      <c r="O58" s="1613"/>
      <c r="P58" s="1613"/>
      <c r="Q58" s="1611">
        <v>0</v>
      </c>
      <c r="R58" s="1611">
        <v>6304</v>
      </c>
      <c r="S58" s="1611">
        <v>25680</v>
      </c>
      <c r="T58" s="1611">
        <v>39212</v>
      </c>
      <c r="U58" s="1611">
        <v>40135</v>
      </c>
      <c r="V58" s="1611">
        <v>41058</v>
      </c>
      <c r="W58" s="1611">
        <v>41980</v>
      </c>
    </row>
    <row r="59" spans="12:23" ht="16.899999999999999" customHeight="1">
      <c r="L59" s="1606">
        <v>12</v>
      </c>
      <c r="M59" s="529"/>
      <c r="N59" s="1604" t="s">
        <v>3052</v>
      </c>
      <c r="O59" s="1612">
        <v>1</v>
      </c>
      <c r="P59" s="1612">
        <v>0</v>
      </c>
      <c r="Q59" s="1611">
        <v>0</v>
      </c>
      <c r="R59" s="1611">
        <v>6625</v>
      </c>
      <c r="S59" s="1611">
        <v>26985</v>
      </c>
      <c r="T59" s="1611">
        <v>41206</v>
      </c>
      <c r="U59" s="1611">
        <v>42175</v>
      </c>
      <c r="V59" s="1611">
        <v>43145</v>
      </c>
      <c r="W59" s="1611">
        <v>44114</v>
      </c>
    </row>
    <row r="60" spans="12:23" ht="18.600000000000001" customHeight="1">
      <c r="L60" s="1606">
        <v>13</v>
      </c>
      <c r="M60" s="529"/>
      <c r="N60" s="1604" t="s">
        <v>3053</v>
      </c>
      <c r="O60" s="1612">
        <v>1</v>
      </c>
      <c r="P60" s="1612">
        <v>0</v>
      </c>
      <c r="Q60" s="1611">
        <v>0</v>
      </c>
      <c r="R60" s="1611">
        <v>0</v>
      </c>
      <c r="S60" s="1611">
        <v>16398</v>
      </c>
      <c r="T60" s="1611">
        <v>33186</v>
      </c>
      <c r="U60" s="1611">
        <v>33967</v>
      </c>
      <c r="V60" s="1611">
        <v>34748</v>
      </c>
      <c r="W60" s="1611">
        <v>35529</v>
      </c>
    </row>
    <row r="61" spans="12:23" ht="19.149999999999999" customHeight="1">
      <c r="L61" s="1606">
        <v>14</v>
      </c>
      <c r="M61" s="529"/>
      <c r="N61" s="1604" t="s">
        <v>3054</v>
      </c>
      <c r="O61" s="1612">
        <v>0.75</v>
      </c>
      <c r="P61" s="1612">
        <v>0.25</v>
      </c>
      <c r="Q61" s="1611">
        <v>0</v>
      </c>
      <c r="R61" s="1611">
        <v>0</v>
      </c>
      <c r="S61" s="1611">
        <v>68114</v>
      </c>
      <c r="T61" s="1611">
        <v>137851</v>
      </c>
      <c r="U61" s="1611">
        <v>141094</v>
      </c>
      <c r="V61" s="1611">
        <v>144338</v>
      </c>
      <c r="W61" s="1611">
        <v>147581</v>
      </c>
    </row>
    <row r="62" spans="12:23" ht="15" customHeight="1">
      <c r="L62" s="1606">
        <v>15</v>
      </c>
      <c r="M62" s="529"/>
      <c r="N62" s="1604" t="s">
        <v>3055</v>
      </c>
      <c r="O62" s="1612">
        <v>0.75</v>
      </c>
      <c r="P62" s="1612">
        <v>0.25</v>
      </c>
      <c r="Q62" s="1611">
        <v>0</v>
      </c>
      <c r="R62" s="1611">
        <v>11927</v>
      </c>
      <c r="S62" s="1611">
        <v>48583</v>
      </c>
      <c r="T62" s="1611">
        <v>74186</v>
      </c>
      <c r="U62" s="1611">
        <v>75931</v>
      </c>
      <c r="V62" s="1611">
        <v>77677</v>
      </c>
      <c r="W62" s="1611">
        <v>79422</v>
      </c>
    </row>
    <row r="63" spans="12:23" ht="13.5" thickBot="1">
      <c r="L63" s="1606">
        <v>16</v>
      </c>
      <c r="M63" s="529"/>
      <c r="N63" s="1430" t="s">
        <v>3059</v>
      </c>
      <c r="O63" s="529"/>
      <c r="P63" s="529"/>
      <c r="Q63" s="1615">
        <f>SUM(Q49:Q62)</f>
        <v>103030</v>
      </c>
      <c r="R63" s="1615">
        <f t="shared" ref="R63:W63" si="1">SUM(R49:R62)</f>
        <v>1267537</v>
      </c>
      <c r="S63" s="1615">
        <f t="shared" si="1"/>
        <v>3213594</v>
      </c>
      <c r="T63" s="1615">
        <f t="shared" si="1"/>
        <v>3661367</v>
      </c>
      <c r="U63" s="1615">
        <f t="shared" si="1"/>
        <v>3997932</v>
      </c>
      <c r="V63" s="1615">
        <f t="shared" si="1"/>
        <v>4159840</v>
      </c>
      <c r="W63" s="1615">
        <f t="shared" si="1"/>
        <v>4223663</v>
      </c>
    </row>
    <row r="64" spans="12:23" ht="13.5" thickTop="1">
      <c r="L64" s="1606">
        <v>17</v>
      </c>
      <c r="M64" s="529"/>
      <c r="N64" s="1441"/>
      <c r="O64" s="529"/>
      <c r="P64" s="529"/>
      <c r="Q64" s="529"/>
      <c r="W64" s="461"/>
    </row>
    <row r="65" spans="12:23">
      <c r="L65" s="1606">
        <v>18</v>
      </c>
      <c r="M65" s="529"/>
      <c r="N65" s="2205" t="s">
        <v>3069</v>
      </c>
      <c r="O65" s="529"/>
      <c r="P65" s="529"/>
      <c r="Q65" s="529"/>
      <c r="R65" s="1608">
        <f>R63</f>
        <v>1267537</v>
      </c>
      <c r="S65" s="1608">
        <f>ROUND(S63/(1+$O$70)^(S45-2018),0)</f>
        <v>3001956</v>
      </c>
      <c r="T65" s="1608">
        <f>ROUND(T63/(1+$O$70)^(T45-2018),0)</f>
        <v>3194993</v>
      </c>
      <c r="U65" s="1608">
        <f>ROUND(U63/(1+$O$70)^(U45-2018),0)</f>
        <v>3258933</v>
      </c>
      <c r="V65" s="1608">
        <f>ROUND(V63/(1+$O$70)^(V45-2018),0)</f>
        <v>3167597</v>
      </c>
      <c r="W65" s="461"/>
    </row>
    <row r="66" spans="12:23">
      <c r="L66" s="1606">
        <v>19</v>
      </c>
      <c r="M66" s="529"/>
      <c r="N66" s="2205" t="s">
        <v>3156</v>
      </c>
      <c r="O66" s="529"/>
      <c r="P66" s="529"/>
      <c r="Q66" s="529"/>
      <c r="R66" s="1610">
        <f>SUM(R65:V65)</f>
        <v>13891016</v>
      </c>
      <c r="S66" s="529"/>
      <c r="T66" s="529"/>
      <c r="U66" s="529"/>
      <c r="V66" s="461"/>
      <c r="W66" s="461"/>
    </row>
    <row r="67" spans="12:23">
      <c r="L67" s="1606">
        <v>20</v>
      </c>
      <c r="M67" s="529"/>
      <c r="N67" s="2205" t="s">
        <v>3070</v>
      </c>
      <c r="O67" s="529"/>
      <c r="P67" s="529"/>
      <c r="R67" s="1610">
        <f>ROUND(PMT(O70,5,-R66)/(1+O70),0)</f>
        <v>3169011</v>
      </c>
      <c r="S67" s="1610">
        <f>$R$67</f>
        <v>3169011</v>
      </c>
      <c r="T67" s="1610">
        <f>$R$67</f>
        <v>3169011</v>
      </c>
      <c r="U67" s="1610">
        <f>$R$67</f>
        <v>3169011</v>
      </c>
      <c r="V67" s="1610">
        <f>$R$67</f>
        <v>3169011</v>
      </c>
      <c r="W67" s="461"/>
    </row>
    <row r="68" spans="12:23">
      <c r="L68" s="1606">
        <v>21</v>
      </c>
      <c r="M68" s="529"/>
      <c r="N68" s="2205" t="s">
        <v>3071</v>
      </c>
      <c r="Q68" s="529"/>
      <c r="R68" s="1610">
        <f>R67</f>
        <v>3169011</v>
      </c>
      <c r="S68" s="1610">
        <f>ROUND(S67/(1+$O$70)^(S45-2018),0)</f>
        <v>2960309</v>
      </c>
      <c r="T68" s="1610">
        <f>ROUND(T67/(1+$O$70)^(T45-2018),0)</f>
        <v>2765352</v>
      </c>
      <c r="U68" s="1610">
        <f>ROUND(U67/(1+$O$70)^(U45-2018),0)</f>
        <v>2583234</v>
      </c>
      <c r="V68" s="1610">
        <f>ROUND(V67/(1+$O$70)^(V45-2018),0)</f>
        <v>2413110</v>
      </c>
      <c r="W68" s="461"/>
    </row>
    <row r="69" spans="12:23">
      <c r="L69" s="1606">
        <v>22</v>
      </c>
      <c r="M69" s="529"/>
      <c r="N69" s="45"/>
      <c r="O69" s="529"/>
      <c r="P69" s="529"/>
      <c r="Q69" s="529"/>
      <c r="R69" s="529"/>
      <c r="S69" s="529"/>
      <c r="T69" s="529"/>
      <c r="U69" s="529"/>
      <c r="V69" s="461"/>
      <c r="W69" s="461"/>
    </row>
    <row r="70" spans="12:23">
      <c r="L70" s="1606">
        <v>23</v>
      </c>
      <c r="M70" s="529"/>
      <c r="N70" s="529" t="s">
        <v>3068</v>
      </c>
      <c r="O70" s="1607">
        <v>7.0499999999999993E-2</v>
      </c>
      <c r="P70" s="529"/>
      <c r="Q70" s="529"/>
      <c r="R70" s="529"/>
      <c r="S70" s="529"/>
      <c r="T70" s="529"/>
      <c r="U70" s="529"/>
      <c r="V70" s="461"/>
      <c r="W70" s="461"/>
    </row>
    <row r="71" spans="12:23">
      <c r="L71" s="1606">
        <v>24</v>
      </c>
      <c r="M71" s="529"/>
      <c r="N71" s="45"/>
      <c r="O71" s="529"/>
      <c r="P71" s="529"/>
      <c r="W71" s="461"/>
    </row>
    <row r="72" spans="12:23">
      <c r="L72" s="1606">
        <v>25</v>
      </c>
      <c r="M72" s="529"/>
      <c r="N72" s="45" t="s">
        <v>3070</v>
      </c>
      <c r="R72" s="1610">
        <f>R67</f>
        <v>3169011</v>
      </c>
    </row>
    <row r="73" spans="12:23">
      <c r="L73" s="1606">
        <v>26</v>
      </c>
      <c r="M73" s="529"/>
      <c r="N73" s="45" t="s">
        <v>3108</v>
      </c>
      <c r="R73" s="1610">
        <f>ROUND(SUM(R53:R62)/12*9,0)+ROUND(SUM(S53:S62)/12*3,0)</f>
        <v>847874</v>
      </c>
    </row>
    <row r="74" spans="12:23" ht="13.5" thickBot="1">
      <c r="L74" s="1606">
        <v>27</v>
      </c>
      <c r="M74" s="529"/>
      <c r="N74" s="45" t="s">
        <v>1242</v>
      </c>
      <c r="R74" s="1615">
        <f>R72-R73</f>
        <v>2321137</v>
      </c>
    </row>
    <row r="75" spans="12:23" ht="13.5" thickTop="1">
      <c r="L75" s="1429"/>
      <c r="M75" s="529"/>
      <c r="N75" s="529"/>
    </row>
    <row r="76" spans="12:23">
      <c r="L76" s="1429"/>
      <c r="M76" s="529"/>
      <c r="N76" s="529" t="s">
        <v>3058</v>
      </c>
    </row>
  </sheetData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7" tint="-0.249977111117893"/>
  </sheetPr>
  <dimension ref="A1:S49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34.42578125" style="18" customWidth="1"/>
    <col min="2" max="2" width="9.42578125" style="18" customWidth="1"/>
    <col min="3" max="3" width="26.5703125" style="18" customWidth="1"/>
    <col min="4" max="7" width="8" style="18" customWidth="1"/>
    <col min="8" max="8" width="17.7109375" style="18" customWidth="1"/>
    <col min="9" max="9" width="8" style="18" customWidth="1"/>
    <col min="10" max="10" width="6.140625" style="18" customWidth="1"/>
    <col min="11" max="11" width="7.140625" style="18" customWidth="1"/>
    <col min="12" max="12" width="2.140625" style="18" customWidth="1"/>
    <col min="13" max="13" width="28.28515625" style="18" customWidth="1"/>
    <col min="14" max="14" width="1.85546875" style="18" customWidth="1"/>
    <col min="15" max="15" width="11.85546875" style="18" customWidth="1"/>
    <col min="16" max="16" width="4.42578125" style="18" customWidth="1"/>
    <col min="17" max="17" width="6.140625" style="18" customWidth="1"/>
    <col min="18" max="18" width="19.7109375" style="18" customWidth="1"/>
    <col min="19" max="19" width="2.140625" style="18" customWidth="1"/>
    <col min="20" max="20" width="13.7109375" style="18" customWidth="1"/>
    <col min="21" max="16384" width="8" style="18"/>
  </cols>
  <sheetData>
    <row r="1" spans="1:19">
      <c r="A1" s="2087" t="str">
        <f>LOGO!B5</f>
        <v>DUKE ENERGY KENTUCKY, INC.</v>
      </c>
      <c r="B1" s="1445"/>
      <c r="C1" s="1445"/>
      <c r="D1" s="1444"/>
      <c r="E1" s="1444"/>
      <c r="F1" s="1444"/>
      <c r="G1" s="1444"/>
      <c r="H1" s="1444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</row>
    <row r="2" spans="1:19">
      <c r="A2" s="2087" t="str">
        <f>LOGO!B6</f>
        <v>CASE NO. 2017-00321</v>
      </c>
      <c r="B2" s="1445"/>
      <c r="C2" s="1445"/>
      <c r="D2" s="1444"/>
      <c r="E2" s="1444"/>
      <c r="F2" s="1444"/>
      <c r="G2" s="1444"/>
      <c r="H2" s="1444"/>
      <c r="I2" s="529"/>
      <c r="J2" s="529"/>
      <c r="K2" s="529"/>
      <c r="L2" s="529"/>
      <c r="M2" s="529"/>
      <c r="N2" s="529"/>
      <c r="O2" s="529"/>
      <c r="P2" s="529"/>
      <c r="Q2" s="529"/>
      <c r="R2" s="529"/>
      <c r="S2" s="529"/>
    </row>
    <row r="3" spans="1:19">
      <c r="A3" s="229" t="s">
        <v>2700</v>
      </c>
      <c r="B3" s="1443"/>
      <c r="C3" s="1443"/>
      <c r="D3" s="1444"/>
      <c r="E3" s="1444"/>
      <c r="F3" s="1444"/>
      <c r="G3" s="1444"/>
      <c r="H3" s="1444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</row>
    <row r="4" spans="1:19">
      <c r="A4" s="229" t="str">
        <f>PeriodF</f>
        <v>FOR THE TWELVE MONTHS ENDED MARCH 31, 2019</v>
      </c>
      <c r="B4" s="1445"/>
      <c r="C4" s="1445"/>
      <c r="D4" s="1444"/>
      <c r="E4" s="1444"/>
      <c r="F4" s="1444"/>
      <c r="G4" s="1444"/>
      <c r="H4" s="1444"/>
      <c r="I4" s="529"/>
      <c r="J4" s="529"/>
      <c r="K4" s="529"/>
      <c r="L4" s="529"/>
      <c r="M4" s="529"/>
      <c r="N4" s="529"/>
      <c r="O4" s="529"/>
      <c r="P4" s="529"/>
      <c r="Q4" s="529"/>
      <c r="R4" s="529"/>
      <c r="S4" s="529"/>
    </row>
    <row r="5" spans="1:19">
      <c r="A5" s="1571"/>
      <c r="B5" s="529"/>
      <c r="C5" s="529"/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</row>
    <row r="6" spans="1:19">
      <c r="A6" s="173" t="str">
        <f>DataF</f>
        <v>DATA:  BASE PERIOD  "X" FORECASTED PERIOD</v>
      </c>
      <c r="B6" s="1446"/>
      <c r="C6" s="1446"/>
      <c r="D6" s="529"/>
      <c r="E6" s="529"/>
      <c r="F6" s="461" t="s">
        <v>1565</v>
      </c>
      <c r="G6" s="529"/>
      <c r="H6" s="529"/>
      <c r="I6" s="529"/>
      <c r="J6" s="529"/>
      <c r="K6" s="529"/>
      <c r="L6" s="529"/>
      <c r="M6" s="529"/>
      <c r="N6" s="529"/>
      <c r="O6" s="529"/>
      <c r="P6" s="529"/>
      <c r="Q6" s="529"/>
      <c r="R6" s="529"/>
      <c r="S6" s="529"/>
    </row>
    <row r="7" spans="1:19">
      <c r="A7" s="173" t="str">
        <f>Type</f>
        <v xml:space="preserve">TYPE OF FILING:  "X" ORIGINAL   UPDATED    REVISED  </v>
      </c>
      <c r="B7" s="1446"/>
      <c r="C7" s="1446"/>
      <c r="D7" s="529"/>
      <c r="E7" s="529"/>
      <c r="F7" s="461" t="s">
        <v>620</v>
      </c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529"/>
      <c r="R7" s="529"/>
      <c r="S7" s="529"/>
    </row>
    <row r="8" spans="1:19">
      <c r="A8" s="1581" t="s">
        <v>2701</v>
      </c>
      <c r="B8" s="461"/>
      <c r="C8" s="461"/>
      <c r="D8" s="529"/>
      <c r="E8" s="529"/>
      <c r="F8" s="461" t="s">
        <v>622</v>
      </c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529"/>
    </row>
    <row r="9" spans="1:19">
      <c r="A9" s="1571"/>
      <c r="B9" s="529"/>
      <c r="C9" s="529"/>
      <c r="D9" s="529"/>
      <c r="E9" s="529"/>
      <c r="F9" s="461" t="str">
        <f>_WIT1</f>
        <v>S. E. LAWLER</v>
      </c>
      <c r="G9" s="529"/>
      <c r="H9" s="529"/>
      <c r="I9" s="529"/>
      <c r="J9" s="529"/>
      <c r="K9" s="529"/>
      <c r="L9" s="529"/>
      <c r="M9" s="529"/>
      <c r="N9" s="529"/>
      <c r="O9" s="529"/>
      <c r="P9" s="529"/>
      <c r="Q9" s="529"/>
      <c r="R9" s="529"/>
      <c r="S9" s="529"/>
    </row>
    <row r="10" spans="1:19">
      <c r="A10" s="180"/>
      <c r="B10" s="1447"/>
      <c r="C10" s="1447"/>
      <c r="D10" s="1447"/>
      <c r="E10" s="1447"/>
      <c r="F10" s="1447"/>
      <c r="G10" s="1447"/>
      <c r="H10" s="1447"/>
      <c r="I10" s="2088"/>
      <c r="J10" s="529"/>
      <c r="K10" s="529"/>
      <c r="L10" s="529"/>
      <c r="M10" s="529"/>
      <c r="N10" s="529"/>
      <c r="O10" s="529"/>
      <c r="P10" s="529"/>
      <c r="Q10" s="529"/>
      <c r="R10" s="529"/>
      <c r="S10" s="529"/>
    </row>
    <row r="11" spans="1:19">
      <c r="A11" s="638"/>
      <c r="B11" s="2089"/>
      <c r="C11" s="2089"/>
      <c r="D11" s="2089"/>
      <c r="E11" s="2089"/>
      <c r="F11" s="2089"/>
      <c r="G11" s="2089"/>
      <c r="H11" s="2089"/>
      <c r="I11" s="1475"/>
      <c r="J11" s="529"/>
      <c r="K11" s="529"/>
      <c r="L11" s="529"/>
      <c r="M11" s="529"/>
      <c r="N11" s="529"/>
      <c r="O11" s="529"/>
      <c r="P11" s="529"/>
      <c r="Q11" s="529"/>
      <c r="R11" s="529"/>
      <c r="S11" s="529"/>
    </row>
    <row r="12" spans="1:19">
      <c r="A12" s="1581" t="s">
        <v>1246</v>
      </c>
      <c r="B12" s="1432"/>
      <c r="C12" s="1432"/>
      <c r="D12" s="529"/>
      <c r="E12" s="529"/>
      <c r="F12" s="529"/>
      <c r="G12" s="529"/>
      <c r="H12" s="1432" t="s">
        <v>364</v>
      </c>
      <c r="I12" s="1475"/>
      <c r="J12" s="529"/>
      <c r="K12" s="529"/>
      <c r="L12" s="529"/>
      <c r="M12" s="529"/>
      <c r="N12" s="529"/>
      <c r="O12" s="529"/>
      <c r="P12" s="529"/>
      <c r="Q12" s="529"/>
      <c r="R12" s="529"/>
      <c r="S12" s="529"/>
    </row>
    <row r="13" spans="1:19">
      <c r="A13" s="1774"/>
      <c r="B13" s="1447"/>
      <c r="C13" s="1447"/>
      <c r="D13" s="1447"/>
      <c r="E13" s="1447"/>
      <c r="F13" s="1447"/>
      <c r="G13" s="1447"/>
      <c r="H13" s="1447"/>
      <c r="I13" s="2088"/>
      <c r="J13" s="529"/>
      <c r="K13" s="529"/>
      <c r="L13" s="529"/>
      <c r="M13" s="529"/>
      <c r="N13" s="529"/>
      <c r="O13" s="529"/>
      <c r="P13" s="529"/>
      <c r="Q13" s="529"/>
      <c r="R13" s="529"/>
      <c r="S13" s="529"/>
    </row>
    <row r="14" spans="1:19">
      <c r="A14" s="1571"/>
      <c r="B14" s="2089"/>
      <c r="C14" s="2089"/>
      <c r="D14" s="2089"/>
      <c r="E14" s="2089"/>
      <c r="F14" s="2089"/>
      <c r="G14" s="2089"/>
      <c r="H14" s="2090"/>
      <c r="I14" s="1475"/>
      <c r="J14" s="529"/>
      <c r="K14" s="529"/>
      <c r="L14" s="529"/>
      <c r="M14" s="529"/>
      <c r="N14" s="529"/>
      <c r="O14" s="529"/>
      <c r="P14" s="529"/>
      <c r="Q14" s="529"/>
      <c r="R14" s="529"/>
      <c r="S14" s="529"/>
    </row>
    <row r="15" spans="1:19">
      <c r="A15" s="337" t="s">
        <v>2703</v>
      </c>
      <c r="B15" s="1180"/>
      <c r="C15" s="1180"/>
      <c r="D15" s="1180"/>
      <c r="E15" s="1180"/>
      <c r="F15" s="1180"/>
      <c r="G15" s="1180"/>
      <c r="H15" s="1180"/>
      <c r="I15" s="1180"/>
      <c r="J15" s="1180"/>
      <c r="K15" s="1180"/>
      <c r="L15" s="1180"/>
      <c r="M15" s="1180"/>
      <c r="N15" s="1180"/>
      <c r="O15" s="1180"/>
      <c r="P15" s="1180"/>
      <c r="Q15" s="1180"/>
      <c r="R15" s="1180"/>
      <c r="S15" s="529"/>
    </row>
    <row r="16" spans="1:19">
      <c r="A16" s="337"/>
      <c r="B16" s="1180"/>
      <c r="C16" s="1180"/>
      <c r="D16" s="1180"/>
      <c r="E16" s="1180"/>
      <c r="F16" s="1180"/>
      <c r="G16" s="1180"/>
      <c r="H16" s="1180"/>
      <c r="I16" s="1180"/>
      <c r="J16" s="1180"/>
      <c r="K16" s="1180"/>
      <c r="L16" s="1180"/>
      <c r="M16" s="1180"/>
      <c r="N16" s="1180"/>
      <c r="O16" s="1180"/>
      <c r="P16" s="1180"/>
      <c r="Q16" s="1180"/>
      <c r="R16" s="1180"/>
      <c r="S16" s="529"/>
    </row>
    <row r="17" spans="1:19">
      <c r="A17" s="1179"/>
      <c r="B17" s="1180"/>
      <c r="C17" s="1180"/>
      <c r="D17" s="1180"/>
      <c r="E17" s="1180"/>
      <c r="F17" s="1180"/>
      <c r="G17" s="2170"/>
      <c r="H17" s="1180"/>
      <c r="I17" s="1180"/>
      <c r="J17" s="1180"/>
      <c r="K17" s="1180"/>
      <c r="L17" s="1180"/>
      <c r="M17" s="1180"/>
      <c r="N17" s="1180"/>
      <c r="O17" s="1180"/>
      <c r="P17" s="1180"/>
      <c r="Q17" s="1180"/>
      <c r="R17" s="1180"/>
      <c r="S17" s="529"/>
    </row>
    <row r="18" spans="1:19">
      <c r="A18" s="1180"/>
      <c r="B18" s="1180"/>
      <c r="C18" s="1180"/>
      <c r="D18" s="1180"/>
      <c r="E18" s="1180"/>
      <c r="F18" s="1180"/>
      <c r="G18" s="1180"/>
      <c r="H18" s="1180"/>
      <c r="I18" s="1180"/>
      <c r="J18" s="1180"/>
      <c r="K18" s="1180"/>
      <c r="L18" s="1180"/>
      <c r="M18" s="1180"/>
      <c r="N18" s="1180"/>
      <c r="O18" s="1180"/>
      <c r="P18" s="1180"/>
      <c r="Q18" s="1180"/>
      <c r="R18" s="1180"/>
      <c r="S18" s="529"/>
    </row>
    <row r="19" spans="1:19">
      <c r="A19" s="1496" t="s">
        <v>2704</v>
      </c>
      <c r="B19" s="1180"/>
      <c r="C19" s="1180"/>
      <c r="D19" s="1180"/>
      <c r="E19" s="1180"/>
      <c r="F19" s="1180"/>
      <c r="G19" s="1180"/>
      <c r="H19" s="1497">
        <f>-R47</f>
        <v>-237780</v>
      </c>
      <c r="J19" s="1180"/>
      <c r="K19" s="1180"/>
      <c r="L19" s="1180"/>
      <c r="M19" s="1180"/>
      <c r="N19" s="1180"/>
      <c r="O19" s="1180"/>
      <c r="P19" s="1180"/>
      <c r="Q19" s="1180"/>
      <c r="R19" s="1180"/>
      <c r="S19" s="529"/>
    </row>
    <row r="20" spans="1:19">
      <c r="A20" s="1180"/>
      <c r="B20" s="1180"/>
      <c r="C20" s="1180"/>
      <c r="D20" s="1180"/>
      <c r="E20" s="1180"/>
      <c r="F20" s="1180"/>
      <c r="G20" s="1180"/>
      <c r="H20" s="1180"/>
      <c r="J20" s="1180"/>
      <c r="K20" s="1629"/>
      <c r="L20" s="530"/>
      <c r="M20" s="2106"/>
      <c r="N20" s="2106"/>
      <c r="O20" s="530"/>
      <c r="P20" s="1178"/>
      <c r="Q20" s="1178"/>
      <c r="R20" s="1178"/>
      <c r="S20" s="2135"/>
    </row>
    <row r="21" spans="1:19">
      <c r="A21" s="1179" t="s">
        <v>266</v>
      </c>
      <c r="B21" s="1180"/>
      <c r="C21" s="1180"/>
      <c r="D21" s="1180"/>
      <c r="E21" s="1180"/>
      <c r="F21" s="1180"/>
      <c r="G21" s="1180"/>
      <c r="H21" s="1425">
        <f>VLOOKUP(B28,ALLOCTABLE,2)/100</f>
        <v>1</v>
      </c>
      <c r="J21" s="1180"/>
      <c r="K21" s="1629"/>
      <c r="L21" s="530"/>
      <c r="M21" s="1629"/>
      <c r="N21" s="1629"/>
      <c r="O21" s="530"/>
      <c r="P21" s="1178"/>
      <c r="Q21" s="1178"/>
      <c r="R21" s="1178"/>
      <c r="S21" s="2135"/>
    </row>
    <row r="22" spans="1:19">
      <c r="A22" s="1180"/>
      <c r="B22" s="1180"/>
      <c r="C22" s="1180"/>
      <c r="D22" s="1180"/>
      <c r="E22" s="1180"/>
      <c r="F22" s="1180"/>
      <c r="G22" s="1180"/>
      <c r="H22" s="1426"/>
      <c r="J22" s="1180"/>
      <c r="K22" s="1629"/>
      <c r="L22" s="530"/>
      <c r="M22" s="530"/>
      <c r="N22" s="530"/>
      <c r="O22" s="530"/>
      <c r="P22" s="1178"/>
      <c r="Q22" s="1178"/>
      <c r="R22" s="1178"/>
      <c r="S22" s="2135"/>
    </row>
    <row r="23" spans="1:19">
      <c r="A23" s="1180"/>
      <c r="B23" s="1180"/>
      <c r="C23" s="1180"/>
      <c r="D23" s="1180"/>
      <c r="E23" s="1180"/>
      <c r="F23" s="1180"/>
      <c r="G23" s="1180"/>
      <c r="H23" s="1180"/>
      <c r="J23" s="1180"/>
      <c r="K23" s="2106"/>
      <c r="L23" s="530"/>
      <c r="M23" s="2107"/>
      <c r="N23" s="2107"/>
      <c r="O23" s="530"/>
      <c r="P23" s="1178"/>
      <c r="Q23" s="1178"/>
      <c r="R23" s="1178"/>
      <c r="S23" s="2135"/>
    </row>
    <row r="24" spans="1:19" ht="15">
      <c r="A24" s="1179" t="s">
        <v>1236</v>
      </c>
      <c r="B24" s="1180"/>
      <c r="C24" s="1180"/>
      <c r="D24" s="1179" t="s">
        <v>1213</v>
      </c>
      <c r="F24" s="1180"/>
      <c r="G24" s="1180"/>
      <c r="H24" s="1427">
        <f>ROUND(H19*H21,0)</f>
        <v>-237780</v>
      </c>
      <c r="S24" s="2135"/>
    </row>
    <row r="25" spans="1:19">
      <c r="A25" s="1180"/>
      <c r="B25" s="1180"/>
      <c r="C25" s="1180"/>
      <c r="D25" s="1180"/>
      <c r="E25" s="1180"/>
      <c r="F25" s="1180"/>
      <c r="G25" s="1180"/>
      <c r="H25" s="1180"/>
      <c r="I25" s="1426"/>
      <c r="S25" s="2135"/>
    </row>
    <row r="26" spans="1:19">
      <c r="A26" s="1180"/>
      <c r="B26" s="1180"/>
      <c r="C26" s="1180"/>
      <c r="D26" s="1180"/>
      <c r="E26" s="1180"/>
      <c r="F26" s="1180"/>
      <c r="G26" s="1180"/>
      <c r="H26" s="1180"/>
      <c r="I26" s="1180"/>
      <c r="S26" s="2135"/>
    </row>
    <row r="27" spans="1:19">
      <c r="A27" s="1180"/>
      <c r="B27" s="1180"/>
      <c r="C27" s="1180"/>
      <c r="D27" s="1180"/>
      <c r="E27" s="1180"/>
      <c r="F27" s="1180"/>
      <c r="G27" s="1180"/>
      <c r="H27" s="1180"/>
      <c r="I27" s="1180"/>
      <c r="S27" s="2135"/>
    </row>
    <row r="28" spans="1:19">
      <c r="A28" s="1179" t="s">
        <v>1237</v>
      </c>
      <c r="B28" s="2149" t="s">
        <v>593</v>
      </c>
      <c r="C28" s="1180"/>
      <c r="D28" s="1180"/>
      <c r="E28" s="1180"/>
      <c r="F28" s="1180"/>
      <c r="G28" s="1180"/>
      <c r="H28" s="1180"/>
      <c r="I28" s="1180"/>
      <c r="S28" s="2135"/>
    </row>
    <row r="29" spans="1:19">
      <c r="S29" s="2135"/>
    </row>
    <row r="30" spans="1:19">
      <c r="S30" s="2135"/>
    </row>
    <row r="31" spans="1:19">
      <c r="S31" s="1165"/>
    </row>
    <row r="32" spans="1:19">
      <c r="S32" s="1475"/>
    </row>
    <row r="33" spans="11:19">
      <c r="S33" s="1475"/>
    </row>
    <row r="34" spans="11:19">
      <c r="K34" s="1429" t="str">
        <f>COMPANY</f>
        <v>DUKE ENERGY KENTUCKY, INC.</v>
      </c>
      <c r="L34" s="529"/>
      <c r="M34" s="529"/>
      <c r="N34" s="529"/>
      <c r="O34" s="529"/>
      <c r="P34" s="529"/>
      <c r="Q34" s="1430" t="s">
        <v>2702</v>
      </c>
      <c r="S34" s="1475"/>
    </row>
    <row r="35" spans="11:19">
      <c r="K35" s="1429" t="str">
        <f>DEPT</f>
        <v>ELECTRIC DEPARTMENT</v>
      </c>
      <c r="L35" s="529"/>
      <c r="M35" s="529"/>
      <c r="N35" s="529"/>
      <c r="O35" s="529"/>
      <c r="P35" s="529"/>
      <c r="Q35" s="461" t="s">
        <v>622</v>
      </c>
      <c r="S35" s="1475"/>
    </row>
    <row r="36" spans="11:19">
      <c r="K36" s="1429" t="str">
        <f>CASE</f>
        <v>CASE NO. 2017-00321</v>
      </c>
      <c r="L36" s="529"/>
      <c r="M36" s="529"/>
      <c r="N36" s="529"/>
      <c r="O36" s="529"/>
      <c r="P36" s="529"/>
      <c r="Q36" s="461" t="str">
        <f>_WIT1</f>
        <v>S. E. LAWLER</v>
      </c>
      <c r="S36" s="1475"/>
    </row>
    <row r="37" spans="11:19">
      <c r="K37" s="461" t="str">
        <f>A3</f>
        <v>ELIMINATE MERGER CTA EXPENSE</v>
      </c>
      <c r="L37" s="529"/>
      <c r="M37" s="529"/>
      <c r="N37" s="529"/>
      <c r="O37" s="529"/>
      <c r="P37" s="529"/>
      <c r="Q37" s="529"/>
      <c r="R37" s="529"/>
      <c r="S37" s="1475"/>
    </row>
    <row r="38" spans="11:19">
      <c r="K38" s="529"/>
      <c r="L38" s="529"/>
      <c r="M38" s="529"/>
      <c r="N38" s="529"/>
      <c r="O38" s="529"/>
      <c r="P38" s="529"/>
      <c r="Q38" s="529"/>
      <c r="R38" s="529"/>
      <c r="S38" s="1475"/>
    </row>
    <row r="39" spans="11:19">
      <c r="K39" s="529"/>
      <c r="L39" s="529"/>
      <c r="M39" s="529"/>
      <c r="N39" s="529"/>
      <c r="O39" s="1431"/>
      <c r="P39" s="529"/>
      <c r="Q39" s="529"/>
      <c r="R39" s="529"/>
      <c r="S39" s="1475"/>
    </row>
    <row r="40" spans="11:19">
      <c r="K40" s="529"/>
      <c r="L40" s="529"/>
      <c r="M40" s="529"/>
      <c r="N40" s="529"/>
      <c r="O40" s="1431"/>
      <c r="P40" s="529"/>
      <c r="Q40" s="529"/>
      <c r="R40" s="529"/>
      <c r="S40" s="1475"/>
    </row>
    <row r="41" spans="11:19">
      <c r="K41" s="1432" t="s">
        <v>2648</v>
      </c>
      <c r="L41" s="529"/>
      <c r="M41" s="529"/>
      <c r="N41" s="529"/>
      <c r="O41" s="1431"/>
      <c r="P41" s="1433"/>
      <c r="Q41" s="529"/>
      <c r="R41" s="532"/>
    </row>
    <row r="42" spans="11:19">
      <c r="K42" s="1434" t="s">
        <v>1241</v>
      </c>
      <c r="L42" s="1435"/>
      <c r="M42" s="1434" t="s">
        <v>1119</v>
      </c>
      <c r="N42" s="1434"/>
      <c r="O42" s="1625" t="s">
        <v>1118</v>
      </c>
      <c r="P42" s="1434"/>
      <c r="Q42" s="1434"/>
      <c r="R42" s="1434" t="s">
        <v>646</v>
      </c>
    </row>
    <row r="43" spans="11:19">
      <c r="K43" s="529"/>
      <c r="L43" s="529"/>
      <c r="M43" s="529"/>
      <c r="N43" s="529"/>
      <c r="O43" s="1431"/>
      <c r="P43" s="1431"/>
      <c r="Q43" s="1438"/>
      <c r="R43" s="1438"/>
    </row>
    <row r="45" spans="11:19" ht="15">
      <c r="K45" s="1346">
        <v>1</v>
      </c>
      <c r="M45" s="45" t="s">
        <v>3207</v>
      </c>
      <c r="N45" s="45"/>
      <c r="O45" s="52">
        <v>920000</v>
      </c>
      <c r="P45" s="45"/>
      <c r="Q45" s="45"/>
      <c r="R45" s="1731">
        <v>237780</v>
      </c>
    </row>
    <row r="46" spans="11:19">
      <c r="K46" s="1346">
        <v>2</v>
      </c>
      <c r="O46" s="1670"/>
      <c r="R46" s="1669"/>
    </row>
    <row r="47" spans="11:19" ht="15">
      <c r="K47" s="1346">
        <v>3</v>
      </c>
      <c r="M47" s="1496" t="s">
        <v>2705</v>
      </c>
      <c r="N47" s="1496"/>
      <c r="O47" s="1670"/>
      <c r="R47" s="1498">
        <f>SUM(R45:R46)</f>
        <v>237780</v>
      </c>
    </row>
    <row r="48" spans="11:19">
      <c r="K48" s="1346"/>
    </row>
    <row r="49" spans="11:11">
      <c r="K49" s="1346"/>
    </row>
  </sheetData>
  <phoneticPr fontId="43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theme="7" tint="-0.249977111117893"/>
  </sheetPr>
  <dimension ref="A1:Z73"/>
  <sheetViews>
    <sheetView tabSelected="1" view="pageLayout" topLeftCell="K52" zoomScaleNormal="90" workbookViewId="0">
      <selection activeCell="G1" sqref="G1"/>
    </sheetView>
  </sheetViews>
  <sheetFormatPr defaultColWidth="8.7109375" defaultRowHeight="12.75"/>
  <cols>
    <col min="1" max="1" width="37.28515625" style="2150" customWidth="1"/>
    <col min="2" max="4" width="10.7109375" style="2150" customWidth="1"/>
    <col min="5" max="5" width="9.7109375" style="2150" customWidth="1"/>
    <col min="6" max="6" width="20.42578125" style="2150" customWidth="1"/>
    <col min="7" max="7" width="8.7109375" style="2150"/>
    <col min="8" max="8" width="6.5703125" style="2150" customWidth="1"/>
    <col min="9" max="9" width="8.7109375" style="2150"/>
    <col min="10" max="10" width="79.42578125" style="2150" bestFit="1" customWidth="1"/>
    <col min="11" max="12" width="12.42578125" style="2150" bestFit="1" customWidth="1"/>
    <col min="13" max="13" width="13.28515625" style="2150" bestFit="1" customWidth="1"/>
    <col min="14" max="15" width="11.5703125" style="2150" bestFit="1" customWidth="1"/>
    <col min="16" max="16" width="11.42578125" style="2150" bestFit="1" customWidth="1"/>
    <col min="17" max="17" width="5.28515625" style="2150" customWidth="1"/>
    <col min="18" max="18" width="8.7109375" style="2150"/>
    <col min="19" max="19" width="4" style="2150" customWidth="1"/>
    <col min="20" max="20" width="8.7109375" style="2150"/>
    <col min="21" max="21" width="3.5703125" style="2150" customWidth="1"/>
    <col min="22" max="22" width="11.5703125" style="2150" customWidth="1"/>
    <col min="23" max="23" width="7.28515625" style="2150" customWidth="1"/>
    <col min="24" max="24" width="14.5703125" style="2150" customWidth="1"/>
    <col min="25" max="16384" width="8.7109375" style="2150"/>
  </cols>
  <sheetData>
    <row r="1" spans="1:7">
      <c r="A1" s="2179" t="str">
        <f>COMPANY</f>
        <v>DUKE ENERGY KENTUCKY, INC.</v>
      </c>
      <c r="B1" s="2180"/>
      <c r="C1" s="2180"/>
      <c r="D1" s="2180"/>
      <c r="E1" s="2180"/>
      <c r="F1" s="2180"/>
      <c r="G1" s="2181"/>
    </row>
    <row r="2" spans="1:7">
      <c r="A2" s="2179" t="str">
        <f>CASE</f>
        <v>CASE NO. 2017-00321</v>
      </c>
      <c r="B2" s="2180"/>
      <c r="C2" s="2180"/>
      <c r="D2" s="2180"/>
      <c r="E2" s="2180"/>
      <c r="F2" s="2180"/>
      <c r="G2" s="2181"/>
    </row>
    <row r="3" spans="1:7">
      <c r="A3" s="1726" t="s">
        <v>3127</v>
      </c>
      <c r="B3" s="2180"/>
      <c r="C3" s="2180"/>
      <c r="D3" s="2180"/>
      <c r="E3" s="2180"/>
      <c r="F3" s="2180"/>
      <c r="G3" s="2181"/>
    </row>
    <row r="4" spans="1:7">
      <c r="A4" s="2166" t="str">
        <f>PeriodF</f>
        <v>FOR THE TWELVE MONTHS ENDED MARCH 31, 2019</v>
      </c>
      <c r="B4" s="2180"/>
      <c r="C4" s="2180"/>
      <c r="D4" s="2180"/>
      <c r="E4" s="2180"/>
      <c r="F4" s="2180"/>
      <c r="G4" s="2181"/>
    </row>
    <row r="5" spans="1:7">
      <c r="A5" s="2181"/>
      <c r="B5" s="2181"/>
      <c r="C5" s="2181"/>
      <c r="D5" s="2181"/>
      <c r="E5" s="2181"/>
      <c r="F5" s="2181"/>
      <c r="G5" s="2181"/>
    </row>
    <row r="6" spans="1:7">
      <c r="A6" s="2182" t="str">
        <f>Data</f>
        <v>DATA: "X" BASE PERIOD   FORECASTED PERIOD</v>
      </c>
      <c r="B6" s="2181"/>
      <c r="C6" s="2181"/>
      <c r="D6" s="2181"/>
      <c r="E6" s="2182" t="s">
        <v>848</v>
      </c>
      <c r="F6" s="2175"/>
      <c r="G6" s="2181"/>
    </row>
    <row r="7" spans="1:7">
      <c r="A7" s="2182" t="str">
        <f>Type</f>
        <v xml:space="preserve">TYPE OF FILING:  "X" ORIGINAL   UPDATED    REVISED  </v>
      </c>
      <c r="B7" s="2181"/>
      <c r="C7" s="2181"/>
      <c r="D7" s="2181"/>
      <c r="E7" s="2182" t="s">
        <v>620</v>
      </c>
      <c r="F7" s="2175"/>
      <c r="G7" s="2181"/>
    </row>
    <row r="8" spans="1:7">
      <c r="A8" s="2182" t="s">
        <v>3133</v>
      </c>
      <c r="B8" s="2181"/>
      <c r="C8" s="2181"/>
      <c r="D8" s="2181"/>
      <c r="E8" s="2182" t="s">
        <v>622</v>
      </c>
      <c r="F8" s="2175"/>
      <c r="G8" s="2181"/>
    </row>
    <row r="9" spans="1:7">
      <c r="A9" s="2181"/>
      <c r="B9" s="2181"/>
      <c r="C9" s="2181"/>
      <c r="D9" s="2181"/>
      <c r="E9" s="2181" t="str">
        <f>_WIT10</f>
        <v>R. H. PRATT</v>
      </c>
      <c r="F9" s="2175"/>
      <c r="G9" s="2181"/>
    </row>
    <row r="10" spans="1:7">
      <c r="A10" s="2183"/>
      <c r="B10" s="2183"/>
      <c r="C10" s="2183"/>
      <c r="D10" s="2183"/>
      <c r="E10" s="2183"/>
      <c r="F10" s="2183"/>
      <c r="G10" s="2182"/>
    </row>
    <row r="11" spans="1:7">
      <c r="A11" s="2181"/>
      <c r="B11" s="2181"/>
      <c r="C11" s="2181"/>
      <c r="D11" s="2181"/>
      <c r="E11" s="2181"/>
      <c r="F11" s="2181"/>
      <c r="G11" s="2181"/>
    </row>
    <row r="12" spans="1:7">
      <c r="A12" s="2182" t="s">
        <v>1246</v>
      </c>
      <c r="B12" s="2181"/>
      <c r="C12" s="2181"/>
      <c r="D12" s="2181"/>
      <c r="E12" s="2181"/>
      <c r="F12" s="2184" t="s">
        <v>364</v>
      </c>
      <c r="G12" s="2181"/>
    </row>
    <row r="13" spans="1:7">
      <c r="A13" s="2183"/>
      <c r="B13" s="2183"/>
      <c r="C13" s="2183"/>
      <c r="D13" s="2183"/>
      <c r="E13" s="2183"/>
      <c r="F13" s="2183"/>
      <c r="G13" s="2182"/>
    </row>
    <row r="14" spans="1:7">
      <c r="A14" s="2181"/>
      <c r="B14" s="2181"/>
      <c r="C14" s="2181"/>
      <c r="D14" s="2181"/>
      <c r="E14" s="2181"/>
      <c r="F14" s="2185"/>
      <c r="G14" s="2181"/>
    </row>
    <row r="15" spans="1:7">
      <c r="A15" s="1378" t="s">
        <v>3208</v>
      </c>
      <c r="B15" s="529"/>
      <c r="C15" s="529"/>
      <c r="D15" s="529"/>
      <c r="E15" s="529"/>
      <c r="F15" s="529"/>
      <c r="G15" s="529"/>
    </row>
    <row r="16" spans="1:7">
      <c r="A16" s="1450"/>
      <c r="B16" s="529"/>
      <c r="C16" s="529"/>
      <c r="D16" s="529"/>
      <c r="E16" s="529"/>
      <c r="F16" s="529"/>
      <c r="G16" s="1475"/>
    </row>
    <row r="17" spans="1:15">
      <c r="A17" s="1450"/>
      <c r="B17" s="529"/>
      <c r="C17" s="529"/>
      <c r="D17" s="529"/>
      <c r="E17" s="529"/>
      <c r="F17" s="529"/>
      <c r="G17" s="1475"/>
    </row>
    <row r="18" spans="1:15">
      <c r="A18" s="1430" t="s">
        <v>3214</v>
      </c>
      <c r="B18" s="1430"/>
      <c r="C18" s="1430"/>
      <c r="D18" s="529"/>
      <c r="E18" s="529"/>
      <c r="F18" s="2186">
        <f>P52</f>
        <v>774947.4</v>
      </c>
      <c r="G18" s="529"/>
      <c r="H18" s="529"/>
      <c r="I18" s="529"/>
      <c r="J18" s="529"/>
      <c r="K18" s="529"/>
      <c r="L18" s="529"/>
      <c r="M18" s="529"/>
      <c r="N18" s="529"/>
    </row>
    <row r="19" spans="1:15">
      <c r="A19" s="1450"/>
      <c r="B19" s="1450"/>
      <c r="C19" s="1450"/>
      <c r="D19" s="529"/>
      <c r="E19" s="529"/>
      <c r="F19" s="529"/>
      <c r="G19" s="529"/>
      <c r="H19" s="529"/>
      <c r="I19" s="529"/>
      <c r="J19" s="529"/>
      <c r="K19" s="529"/>
      <c r="L19" s="529"/>
      <c r="M19" s="529"/>
      <c r="N19" s="529"/>
    </row>
    <row r="20" spans="1:15">
      <c r="A20" s="1430" t="s">
        <v>266</v>
      </c>
      <c r="B20" s="1430"/>
      <c r="C20" s="1430"/>
      <c r="D20" s="529"/>
      <c r="E20" s="529"/>
      <c r="F20" s="1451">
        <f>VLOOKUP(B26,ALLOCTABLE,2,FALSE)/100</f>
        <v>1</v>
      </c>
      <c r="G20" s="529"/>
      <c r="H20" s="529"/>
      <c r="I20" s="529"/>
      <c r="J20" s="529"/>
      <c r="K20" s="529"/>
      <c r="L20" s="529"/>
      <c r="M20" s="529"/>
      <c r="N20" s="529"/>
    </row>
    <row r="21" spans="1:15">
      <c r="A21" s="1450"/>
      <c r="B21" s="1450"/>
      <c r="C21" s="1450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529"/>
    </row>
    <row r="22" spans="1:15" ht="15">
      <c r="A22" s="1430" t="s">
        <v>1236</v>
      </c>
      <c r="B22" s="1430"/>
      <c r="C22" s="1430"/>
      <c r="D22" s="529"/>
      <c r="E22" s="1432"/>
      <c r="F22" s="1427">
        <f>ROUND(F18*F20,0)</f>
        <v>774947</v>
      </c>
      <c r="G22" s="529"/>
      <c r="H22" s="529"/>
      <c r="I22" s="529"/>
      <c r="J22" s="529"/>
      <c r="K22" s="529"/>
      <c r="L22" s="529"/>
      <c r="M22" s="529"/>
      <c r="N22" s="529"/>
    </row>
    <row r="23" spans="1:15">
      <c r="A23" s="1430"/>
      <c r="B23" s="1430"/>
      <c r="C23" s="1430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529"/>
    </row>
    <row r="24" spans="1:15">
      <c r="A24" s="1430"/>
      <c r="B24" s="1430"/>
      <c r="C24" s="1430"/>
      <c r="D24" s="529"/>
      <c r="E24" s="529"/>
      <c r="F24" s="529"/>
      <c r="G24" s="529"/>
      <c r="H24" s="529"/>
      <c r="I24" s="529"/>
      <c r="J24" s="529"/>
      <c r="K24" s="529"/>
      <c r="L24" s="529"/>
      <c r="M24" s="529"/>
      <c r="N24" s="529"/>
    </row>
    <row r="25" spans="1:15">
      <c r="A25" s="1450"/>
      <c r="B25" s="1450"/>
      <c r="C25" s="1450"/>
      <c r="D25" s="529"/>
      <c r="E25" s="529"/>
      <c r="F25" s="529"/>
      <c r="G25" s="529"/>
      <c r="H25" s="529"/>
      <c r="I25" s="529"/>
      <c r="J25" s="529"/>
      <c r="K25" s="529"/>
      <c r="L25" s="529"/>
      <c r="M25" s="529"/>
      <c r="N25" s="529"/>
    </row>
    <row r="26" spans="1:15">
      <c r="A26" s="2092" t="s">
        <v>1237</v>
      </c>
      <c r="B26" s="2093" t="s">
        <v>593</v>
      </c>
      <c r="C26" s="2092"/>
      <c r="D26" s="2094"/>
      <c r="E26" s="529"/>
      <c r="F26" s="529"/>
      <c r="G26" s="529"/>
      <c r="H26" s="529"/>
      <c r="I26" s="529"/>
      <c r="J26" s="529"/>
      <c r="K26" s="529"/>
      <c r="L26" s="529"/>
      <c r="M26" s="529"/>
      <c r="N26" s="529"/>
    </row>
    <row r="27" spans="1:15">
      <c r="A27" s="1450"/>
      <c r="B27" s="1450"/>
      <c r="C27" s="1450"/>
      <c r="D27" s="529"/>
      <c r="E27" s="529"/>
      <c r="F27" s="529"/>
      <c r="G27" s="529"/>
      <c r="H27" s="529"/>
      <c r="I27" s="529"/>
      <c r="J27" s="529"/>
      <c r="K27" s="529"/>
      <c r="L27" s="529"/>
      <c r="M27" s="529"/>
      <c r="N27" s="529"/>
    </row>
    <row r="28" spans="1:15">
      <c r="A28" s="1450"/>
      <c r="B28" s="1450"/>
      <c r="C28" s="1450"/>
      <c r="D28" s="529"/>
      <c r="E28" s="529"/>
      <c r="F28" s="529"/>
      <c r="G28" s="529"/>
      <c r="H28" s="529"/>
      <c r="I28" s="529"/>
      <c r="J28" s="529"/>
      <c r="K28" s="529"/>
      <c r="L28" s="529"/>
      <c r="M28" s="529"/>
      <c r="N28" s="529"/>
    </row>
    <row r="29" spans="1:15">
      <c r="A29" s="1450"/>
      <c r="B29" s="1450"/>
      <c r="C29" s="1450"/>
      <c r="D29" s="529"/>
      <c r="E29" s="529"/>
      <c r="F29" s="529"/>
      <c r="G29" s="529"/>
      <c r="H29" s="1629" t="s">
        <v>1387</v>
      </c>
      <c r="I29" s="530"/>
      <c r="J29" s="530"/>
      <c r="K29" s="530"/>
      <c r="L29" s="530"/>
      <c r="O29" s="2106" t="s">
        <v>3123</v>
      </c>
    </row>
    <row r="30" spans="1:15">
      <c r="A30" s="1450"/>
      <c r="B30" s="1450"/>
      <c r="C30" s="1450"/>
      <c r="D30" s="529"/>
      <c r="E30" s="529"/>
      <c r="F30" s="529"/>
      <c r="G30" s="529"/>
      <c r="H30" s="1629" t="s">
        <v>695</v>
      </c>
      <c r="I30" s="530"/>
      <c r="J30" s="530"/>
      <c r="K30" s="530"/>
      <c r="L30" s="530"/>
      <c r="O30" s="1629" t="s">
        <v>1239</v>
      </c>
    </row>
    <row r="31" spans="1:15">
      <c r="A31" s="1450"/>
      <c r="B31" s="1450"/>
      <c r="C31" s="1450"/>
      <c r="D31" s="529"/>
      <c r="E31" s="529"/>
      <c r="F31" s="529"/>
      <c r="G31" s="529"/>
      <c r="H31" s="1629" t="str">
        <f>CASE</f>
        <v>CASE NO. 2017-00321</v>
      </c>
      <c r="I31" s="530"/>
      <c r="J31" s="530"/>
      <c r="K31" s="530"/>
      <c r="L31" s="530"/>
      <c r="O31" s="530" t="str">
        <f>_WIT10</f>
        <v>R. H. PRATT</v>
      </c>
    </row>
    <row r="32" spans="1:15">
      <c r="A32" s="1450"/>
      <c r="B32" s="1450"/>
      <c r="C32" s="1450"/>
      <c r="D32" s="529"/>
      <c r="E32" s="529"/>
      <c r="F32" s="529"/>
      <c r="G32" s="529"/>
      <c r="H32" s="2151" t="str">
        <f>A3</f>
        <v>ANNUALIZATION OF PJM CHARGES AND CREDITS</v>
      </c>
      <c r="I32" s="530"/>
      <c r="J32" s="530"/>
      <c r="K32" s="530"/>
      <c r="L32" s="530"/>
      <c r="M32" s="2107"/>
      <c r="N32" s="529"/>
    </row>
    <row r="33" spans="1:17">
      <c r="A33" s="1450"/>
      <c r="B33" s="1450"/>
      <c r="C33" s="1450"/>
      <c r="D33" s="529"/>
      <c r="E33" s="529"/>
      <c r="F33" s="529"/>
      <c r="G33" s="529"/>
      <c r="H33" s="1475"/>
      <c r="I33" s="1475"/>
      <c r="J33" s="1475"/>
      <c r="K33" s="1475"/>
      <c r="L33" s="1475"/>
      <c r="M33" s="1475"/>
      <c r="N33" s="1475"/>
    </row>
    <row r="34" spans="1:17">
      <c r="A34" s="1450"/>
      <c r="B34" s="1450"/>
      <c r="C34" s="1450"/>
      <c r="D34" s="529"/>
      <c r="E34" s="529"/>
      <c r="F34" s="529"/>
      <c r="G34" s="529"/>
      <c r="H34" s="1475"/>
      <c r="I34" s="1694" t="s">
        <v>3128</v>
      </c>
      <c r="J34" s="1475"/>
      <c r="K34" s="1475"/>
      <c r="L34" s="1475"/>
      <c r="M34" s="1475"/>
      <c r="N34" s="1475"/>
    </row>
    <row r="35" spans="1:17">
      <c r="A35" s="1450"/>
      <c r="B35" s="1450"/>
      <c r="C35" s="1450"/>
      <c r="D35" s="529"/>
      <c r="E35" s="529"/>
      <c r="F35" s="529"/>
      <c r="G35" s="529"/>
      <c r="H35" s="1423" t="s">
        <v>1240</v>
      </c>
      <c r="I35" s="1423" t="s">
        <v>3129</v>
      </c>
      <c r="J35" s="1423"/>
      <c r="K35" s="1475"/>
      <c r="L35" s="1475"/>
      <c r="M35" s="1423"/>
      <c r="N35" s="1475"/>
    </row>
    <row r="36" spans="1:17" ht="15">
      <c r="A36" s="1450"/>
      <c r="B36" s="1450"/>
      <c r="C36" s="1450"/>
      <c r="D36" s="529"/>
      <c r="E36" s="529"/>
      <c r="F36" s="529"/>
      <c r="G36" s="529"/>
      <c r="H36" s="1424" t="s">
        <v>1241</v>
      </c>
      <c r="I36" s="1424" t="s">
        <v>3130</v>
      </c>
      <c r="J36" s="1844" t="s">
        <v>1119</v>
      </c>
      <c r="K36" s="2152" t="s">
        <v>3121</v>
      </c>
      <c r="L36" s="2152" t="s">
        <v>3122</v>
      </c>
      <c r="M36" s="2152" t="s">
        <v>2538</v>
      </c>
      <c r="N36" s="2152" t="s">
        <v>2537</v>
      </c>
      <c r="O36" s="2152" t="s">
        <v>2536</v>
      </c>
      <c r="P36" s="2187"/>
      <c r="Q36" s="2188"/>
    </row>
    <row r="37" spans="1:17" ht="15">
      <c r="A37" s="1450"/>
      <c r="B37" s="1450"/>
      <c r="C37" s="1450"/>
      <c r="D37" s="529"/>
      <c r="E37" s="529"/>
      <c r="F37" s="529"/>
      <c r="G37" s="529"/>
      <c r="H37" s="1475"/>
      <c r="I37" s="1475"/>
      <c r="J37" s="1475"/>
      <c r="P37" s="2187"/>
      <c r="Q37" s="2188"/>
    </row>
    <row r="38" spans="1:17">
      <c r="A38" s="529"/>
      <c r="B38" s="529"/>
      <c r="C38" s="529"/>
      <c r="D38" s="529"/>
      <c r="E38" s="529"/>
      <c r="F38" s="529"/>
      <c r="G38" s="529"/>
      <c r="H38" s="1694">
        <v>1</v>
      </c>
      <c r="I38" s="52">
        <v>1340</v>
      </c>
      <c r="J38" s="18" t="s">
        <v>3113</v>
      </c>
      <c r="K38" s="1470">
        <v>1097490</v>
      </c>
      <c r="L38" s="2189">
        <v>1068240</v>
      </c>
      <c r="M38" s="2189">
        <v>1481982</v>
      </c>
      <c r="N38" s="2189">
        <v>993490</v>
      </c>
      <c r="O38" s="2189">
        <v>486889</v>
      </c>
      <c r="P38" s="2157"/>
      <c r="Q38" s="2157"/>
    </row>
    <row r="39" spans="1:17">
      <c r="A39" s="529"/>
      <c r="B39" s="529"/>
      <c r="C39" s="529"/>
      <c r="D39" s="529"/>
      <c r="E39" s="529"/>
      <c r="F39" s="529"/>
      <c r="G39" s="529"/>
      <c r="H39" s="1694">
        <f>H38+1</f>
        <v>2</v>
      </c>
      <c r="I39" s="52">
        <v>1360</v>
      </c>
      <c r="J39" s="18" t="s">
        <v>3114</v>
      </c>
      <c r="K39" s="1366">
        <v>13824</v>
      </c>
      <c r="L39" s="1674">
        <v>73642</v>
      </c>
      <c r="M39" s="1674">
        <v>623337</v>
      </c>
      <c r="N39" s="1674">
        <v>248340</v>
      </c>
      <c r="O39" s="1674">
        <v>265476</v>
      </c>
      <c r="P39" s="2157"/>
      <c r="Q39" s="2157"/>
    </row>
    <row r="40" spans="1:17">
      <c r="A40" s="529"/>
      <c r="B40" s="529"/>
      <c r="C40" s="529"/>
      <c r="D40" s="529"/>
      <c r="E40" s="529"/>
      <c r="F40" s="529"/>
      <c r="G40" s="529"/>
      <c r="H40" s="1694">
        <f t="shared" ref="H40:H52" si="0">H39+1</f>
        <v>3</v>
      </c>
      <c r="I40" s="52">
        <v>1377</v>
      </c>
      <c r="J40" s="18" t="s">
        <v>3115</v>
      </c>
      <c r="K40" s="1468">
        <v>817</v>
      </c>
      <c r="L40" s="1674">
        <v>2176</v>
      </c>
      <c r="M40" s="1674">
        <v>587</v>
      </c>
      <c r="N40" s="1674">
        <v>136</v>
      </c>
      <c r="O40" s="1674">
        <v>0</v>
      </c>
      <c r="P40" s="2157"/>
      <c r="Q40" s="2157"/>
    </row>
    <row r="41" spans="1:17">
      <c r="A41" s="532"/>
      <c r="B41" s="532"/>
      <c r="C41" s="532"/>
      <c r="D41" s="532"/>
      <c r="E41" s="532"/>
      <c r="F41" s="532"/>
      <c r="G41" s="532"/>
      <c r="H41" s="1694">
        <f t="shared" si="0"/>
        <v>4</v>
      </c>
      <c r="I41" s="52">
        <v>1378</v>
      </c>
      <c r="J41" s="18" t="s">
        <v>3116</v>
      </c>
      <c r="K41" s="1468">
        <v>0</v>
      </c>
      <c r="L41" s="1674">
        <v>1063668</v>
      </c>
      <c r="M41" s="1674">
        <v>-125115</v>
      </c>
      <c r="N41" s="1674">
        <v>8641</v>
      </c>
      <c r="O41" s="1674">
        <v>1407</v>
      </c>
      <c r="P41" s="2157"/>
      <c r="Q41" s="2157"/>
    </row>
    <row r="42" spans="1:17">
      <c r="A42" s="532"/>
      <c r="B42" s="532"/>
      <c r="C42" s="532"/>
      <c r="D42" s="532"/>
      <c r="E42" s="532"/>
      <c r="F42" s="532"/>
      <c r="G42" s="532"/>
      <c r="H42" s="1694">
        <f t="shared" si="0"/>
        <v>5</v>
      </c>
      <c r="I42" s="52">
        <v>1460</v>
      </c>
      <c r="J42" s="18" t="s">
        <v>3117</v>
      </c>
      <c r="K42" s="1468">
        <v>1098</v>
      </c>
      <c r="L42" s="1674">
        <v>4356</v>
      </c>
      <c r="M42" s="1674">
        <v>1974</v>
      </c>
      <c r="N42" s="1674">
        <v>-29348</v>
      </c>
      <c r="O42" s="1674">
        <v>-9692</v>
      </c>
      <c r="P42" s="2157"/>
      <c r="Q42" s="2157"/>
    </row>
    <row r="43" spans="1:17">
      <c r="A43" s="18"/>
      <c r="B43" s="18"/>
      <c r="C43" s="18"/>
      <c r="D43" s="18"/>
      <c r="E43" s="18"/>
      <c r="F43" s="18"/>
      <c r="G43" s="18"/>
      <c r="H43" s="1694">
        <f t="shared" si="0"/>
        <v>6</v>
      </c>
      <c r="I43" s="52">
        <v>1470</v>
      </c>
      <c r="J43" s="18" t="s">
        <v>3118</v>
      </c>
      <c r="K43" s="1366">
        <v>-12</v>
      </c>
      <c r="L43" s="1674">
        <v>105</v>
      </c>
      <c r="M43" s="1674">
        <v>457</v>
      </c>
      <c r="N43" s="1674">
        <v>-10321</v>
      </c>
      <c r="O43" s="1674">
        <v>-2360</v>
      </c>
      <c r="P43" s="2157"/>
      <c r="Q43" s="2157"/>
    </row>
    <row r="44" spans="1:17">
      <c r="A44" s="18"/>
      <c r="B44" s="18"/>
      <c r="C44" s="18"/>
      <c r="D44" s="18"/>
      <c r="E44" s="18"/>
      <c r="F44" s="18"/>
      <c r="G44" s="18"/>
      <c r="H44" s="1694">
        <f t="shared" si="0"/>
        <v>7</v>
      </c>
      <c r="I44" s="52">
        <v>1480</v>
      </c>
      <c r="J44" s="18" t="s">
        <v>3119</v>
      </c>
      <c r="K44" s="1366">
        <v>1</v>
      </c>
      <c r="L44" s="1674">
        <v>2</v>
      </c>
      <c r="M44" s="1674">
        <v>0</v>
      </c>
      <c r="N44" s="1674">
        <v>-49</v>
      </c>
      <c r="O44" s="1674">
        <v>-5</v>
      </c>
      <c r="P44" s="2157"/>
      <c r="Q44" s="2157"/>
    </row>
    <row r="45" spans="1:17">
      <c r="A45" s="18"/>
      <c r="B45" s="18"/>
      <c r="C45" s="18"/>
      <c r="D45" s="18"/>
      <c r="E45" s="18"/>
      <c r="F45" s="18"/>
      <c r="G45" s="18"/>
      <c r="H45" s="1694">
        <f t="shared" si="0"/>
        <v>8</v>
      </c>
      <c r="I45" s="52">
        <v>1490</v>
      </c>
      <c r="J45" s="18" t="s">
        <v>3120</v>
      </c>
      <c r="K45" s="1366">
        <v>0</v>
      </c>
      <c r="L45" s="1674">
        <v>1595</v>
      </c>
      <c r="M45" s="1674">
        <v>175</v>
      </c>
      <c r="N45" s="1674">
        <v>-14789</v>
      </c>
      <c r="O45" s="1674">
        <v>176</v>
      </c>
      <c r="P45" s="2157"/>
      <c r="Q45" s="2157"/>
    </row>
    <row r="46" spans="1:17">
      <c r="A46" s="18"/>
      <c r="B46" s="18"/>
      <c r="C46" s="18"/>
      <c r="D46" s="18"/>
      <c r="E46" s="18"/>
      <c r="F46" s="18"/>
      <c r="G46" s="18"/>
      <c r="H46" s="1694">
        <f t="shared" si="0"/>
        <v>9</v>
      </c>
      <c r="I46" s="52">
        <v>2340</v>
      </c>
      <c r="J46" s="18" t="s">
        <v>3113</v>
      </c>
      <c r="K46" s="1366">
        <v>-293805</v>
      </c>
      <c r="L46" s="1674">
        <v>-320413</v>
      </c>
      <c r="M46" s="1674">
        <v>-1518781</v>
      </c>
      <c r="N46" s="1674">
        <v>-155801</v>
      </c>
      <c r="O46" s="1674">
        <v>-74528</v>
      </c>
      <c r="P46" s="2157"/>
      <c r="Q46" s="2157"/>
    </row>
    <row r="47" spans="1:17">
      <c r="A47" s="18"/>
      <c r="B47" s="18"/>
      <c r="C47" s="18"/>
      <c r="D47" s="18"/>
      <c r="E47" s="18"/>
      <c r="F47" s="18"/>
      <c r="G47" s="18"/>
      <c r="H47" s="1694">
        <f t="shared" si="0"/>
        <v>10</v>
      </c>
      <c r="I47" s="52">
        <v>2360</v>
      </c>
      <c r="J47" s="18" t="s">
        <v>3114</v>
      </c>
      <c r="K47" s="2190">
        <v>-1323</v>
      </c>
      <c r="L47" s="2191">
        <v>-37772</v>
      </c>
      <c r="M47" s="2191">
        <v>-1309511</v>
      </c>
      <c r="N47" s="2191">
        <v>368401</v>
      </c>
      <c r="O47" s="2191">
        <v>-144878</v>
      </c>
      <c r="P47" s="2157"/>
      <c r="Q47" s="2157"/>
    </row>
    <row r="48" spans="1:17">
      <c r="A48" s="2175"/>
      <c r="B48" s="2175"/>
      <c r="C48" s="2175"/>
      <c r="D48" s="2175"/>
      <c r="E48" s="2175"/>
      <c r="F48" s="2175"/>
      <c r="G48" s="2175"/>
      <c r="H48" s="1694">
        <f t="shared" si="0"/>
        <v>11</v>
      </c>
      <c r="J48" s="2155" t="s">
        <v>1929</v>
      </c>
      <c r="K48" s="2156">
        <f>SUM(K38:K47)</f>
        <v>818090</v>
      </c>
      <c r="L48" s="2156">
        <f t="shared" ref="L48:O48" si="1">SUM(L38:L47)</f>
        <v>1855599</v>
      </c>
      <c r="M48" s="2156">
        <f t="shared" si="1"/>
        <v>-844895</v>
      </c>
      <c r="N48" s="2156">
        <f t="shared" si="1"/>
        <v>1408700</v>
      </c>
      <c r="O48" s="2156">
        <f t="shared" si="1"/>
        <v>522485</v>
      </c>
      <c r="P48" s="2157"/>
      <c r="Q48" s="2157"/>
    </row>
    <row r="49" spans="1:26">
      <c r="A49" s="2175"/>
      <c r="B49" s="2175"/>
      <c r="C49" s="2175"/>
      <c r="D49" s="2175"/>
      <c r="E49" s="2175"/>
      <c r="F49" s="2175"/>
      <c r="G49" s="2175"/>
      <c r="H49" s="1694">
        <f t="shared" si="0"/>
        <v>12</v>
      </c>
      <c r="K49" s="2157"/>
      <c r="L49" s="2158"/>
      <c r="M49" s="2157"/>
      <c r="N49" s="2157"/>
      <c r="O49" s="2157"/>
      <c r="P49" s="2157"/>
      <c r="Q49" s="2157"/>
    </row>
    <row r="50" spans="1:26">
      <c r="H50" s="1694">
        <f t="shared" si="0"/>
        <v>13</v>
      </c>
      <c r="J50" s="2192" t="s">
        <v>3126</v>
      </c>
      <c r="K50" s="2153">
        <f>$X$67</f>
        <v>0.95099999999999996</v>
      </c>
      <c r="L50" s="2153">
        <f>$X$68</f>
        <v>0.96499999999999997</v>
      </c>
      <c r="M50" s="2153">
        <f>$X$69</f>
        <v>0.97299999999999998</v>
      </c>
      <c r="N50" s="2153">
        <f>$X$70</f>
        <v>0.98</v>
      </c>
      <c r="O50" s="2153">
        <f>$X$71</f>
        <v>1</v>
      </c>
    </row>
    <row r="51" spans="1:26">
      <c r="H51" s="1694">
        <f t="shared" si="0"/>
        <v>14</v>
      </c>
      <c r="J51" s="2192"/>
      <c r="K51" s="2153"/>
      <c r="L51" s="2153"/>
      <c r="M51" s="2153"/>
      <c r="N51" s="2153"/>
      <c r="O51" s="2153"/>
    </row>
    <row r="52" spans="1:26" ht="13.5" thickBot="1">
      <c r="H52" s="1694">
        <f t="shared" si="0"/>
        <v>15</v>
      </c>
      <c r="J52" s="2193" t="s">
        <v>3213</v>
      </c>
      <c r="K52" s="2194">
        <f>ROUND(K48/K50,0)</f>
        <v>860242</v>
      </c>
      <c r="L52" s="2194">
        <f t="shared" ref="L52:O52" si="2">ROUND(L48/L50,0)</f>
        <v>1922901</v>
      </c>
      <c r="M52" s="2194">
        <f t="shared" si="2"/>
        <v>-868340</v>
      </c>
      <c r="N52" s="2194">
        <f t="shared" si="2"/>
        <v>1437449</v>
      </c>
      <c r="O52" s="2194">
        <f t="shared" si="2"/>
        <v>522485</v>
      </c>
      <c r="P52" s="2194">
        <f>AVERAGE(K52:O52)</f>
        <v>774947.4</v>
      </c>
      <c r="Q52" s="2157"/>
    </row>
    <row r="53" spans="1:26" ht="13.5" thickTop="1">
      <c r="I53" s="2164"/>
      <c r="J53" s="2164"/>
      <c r="K53" s="1468"/>
      <c r="L53" s="1674"/>
      <c r="M53" s="1674"/>
      <c r="N53" s="1674"/>
      <c r="O53" s="1674"/>
    </row>
    <row r="54" spans="1:26">
      <c r="I54" s="2164"/>
      <c r="J54" s="2164"/>
      <c r="K54" s="1468"/>
      <c r="L54" s="1674"/>
      <c r="M54" s="1674"/>
      <c r="N54" s="1674"/>
      <c r="O54" s="1674"/>
    </row>
    <row r="55" spans="1:26">
      <c r="I55" s="2164"/>
      <c r="J55" s="2164"/>
      <c r="K55" s="1468"/>
      <c r="L55" s="1674"/>
      <c r="M55" s="1674"/>
      <c r="N55" s="1674"/>
      <c r="O55" s="1674"/>
    </row>
    <row r="56" spans="1:26">
      <c r="R56" s="2124" t="str">
        <f>COMPANY</f>
        <v>DUKE ENERGY KENTUCKY, INC.</v>
      </c>
      <c r="S56" s="1288"/>
      <c r="T56" s="1288"/>
      <c r="U56" s="1288"/>
      <c r="V56" s="1288"/>
      <c r="W56" s="1288"/>
      <c r="Y56" s="2124" t="s">
        <v>3125</v>
      </c>
      <c r="Z56" s="1178"/>
    </row>
    <row r="57" spans="1:26">
      <c r="R57" s="2124" t="str">
        <f>DEPT</f>
        <v>ELECTRIC DEPARTMENT</v>
      </c>
      <c r="S57" s="1288"/>
      <c r="T57" s="1288"/>
      <c r="U57" s="1288"/>
      <c r="V57" s="1288"/>
      <c r="W57" s="1288"/>
      <c r="Y57" s="2124" t="s">
        <v>1239</v>
      </c>
      <c r="Z57" s="1178"/>
    </row>
    <row r="58" spans="1:26">
      <c r="R58" s="2124" t="str">
        <f>CASE</f>
        <v>CASE NO. 2017-00321</v>
      </c>
      <c r="S58" s="1288"/>
      <c r="T58" s="1288"/>
      <c r="U58" s="1288"/>
      <c r="V58" s="1288"/>
      <c r="W58" s="1288"/>
      <c r="Y58" s="1288" t="str">
        <f>_WIT10</f>
        <v>R. H. PRATT</v>
      </c>
      <c r="Z58" s="1178"/>
    </row>
    <row r="59" spans="1:26">
      <c r="R59" s="2124" t="s">
        <v>2275</v>
      </c>
      <c r="S59" s="1288"/>
      <c r="T59" s="1288"/>
      <c r="U59" s="1288"/>
      <c r="V59" s="1288"/>
      <c r="W59" s="1288"/>
      <c r="X59" s="1288"/>
      <c r="Y59" s="1288"/>
      <c r="Z59" s="1288"/>
    </row>
    <row r="60" spans="1:26">
      <c r="R60" s="2124" t="s">
        <v>2276</v>
      </c>
      <c r="S60" s="1288"/>
      <c r="T60" s="1288"/>
      <c r="U60" s="1288"/>
      <c r="V60" s="1288"/>
      <c r="W60" s="1288"/>
      <c r="X60" s="1288"/>
      <c r="Y60" s="1288"/>
      <c r="Z60" s="1288"/>
    </row>
    <row r="61" spans="1:26">
      <c r="R61" s="1629" t="s">
        <v>2675</v>
      </c>
      <c r="S61" s="1288"/>
      <c r="T61" s="1288"/>
      <c r="U61" s="1288"/>
      <c r="V61" s="1288"/>
      <c r="W61" s="1288"/>
      <c r="X61" s="1288"/>
      <c r="Y61" s="1288"/>
      <c r="Z61" s="1288"/>
    </row>
    <row r="62" spans="1:26">
      <c r="R62" s="2124"/>
      <c r="S62" s="1288"/>
      <c r="T62" s="1288"/>
      <c r="U62" s="1288"/>
      <c r="V62" s="1288"/>
      <c r="W62" s="1288"/>
      <c r="X62" s="1288"/>
      <c r="Y62" s="1288"/>
      <c r="Z62" s="1288"/>
    </row>
    <row r="63" spans="1:26">
      <c r="R63" s="1288"/>
      <c r="S63" s="1288"/>
      <c r="T63" s="1288"/>
      <c r="U63" s="1288"/>
      <c r="V63" s="1290" t="s">
        <v>2277</v>
      </c>
      <c r="W63" s="1288"/>
      <c r="X63" s="1290" t="s">
        <v>2272</v>
      </c>
      <c r="Y63" s="1290"/>
      <c r="Z63" s="1288"/>
    </row>
    <row r="64" spans="1:26">
      <c r="R64" s="1182" t="s">
        <v>1240</v>
      </c>
      <c r="S64" s="1288"/>
      <c r="T64" s="1288"/>
      <c r="U64" s="1288"/>
      <c r="V64" s="1290" t="s">
        <v>2278</v>
      </c>
      <c r="W64" s="1288"/>
      <c r="X64" s="1290" t="s">
        <v>2626</v>
      </c>
      <c r="Y64" s="1290"/>
      <c r="Z64" s="1288"/>
    </row>
    <row r="65" spans="18:26">
      <c r="R65" s="1183" t="s">
        <v>1241</v>
      </c>
      <c r="S65" s="2128"/>
      <c r="T65" s="2129" t="s">
        <v>2273</v>
      </c>
      <c r="U65" s="2128"/>
      <c r="V65" s="2129" t="s">
        <v>2279</v>
      </c>
      <c r="W65" s="2128"/>
      <c r="X65" s="2130" t="str">
        <f>"Col. 2 / "&amp;TEXT( V71,"###.0")</f>
        <v>Col. 2 / 241.4</v>
      </c>
      <c r="Y65" s="2130"/>
      <c r="Z65" s="1288"/>
    </row>
    <row r="66" spans="18:26">
      <c r="R66" s="1183"/>
      <c r="S66" s="2128"/>
      <c r="T66" s="2129"/>
      <c r="U66" s="2128"/>
      <c r="V66" s="2129"/>
      <c r="W66" s="2128"/>
      <c r="X66" s="2130"/>
      <c r="Y66" s="530"/>
      <c r="Z66" s="530"/>
    </row>
    <row r="67" spans="18:26">
      <c r="R67" s="1182">
        <v>1</v>
      </c>
      <c r="S67" s="2128"/>
      <c r="T67" s="1287">
        <v>2012</v>
      </c>
      <c r="U67" s="1288"/>
      <c r="V67" s="1289">
        <v>229.6</v>
      </c>
      <c r="W67" s="2131"/>
      <c r="X67" s="2132">
        <f>ROUND(V67/$V$71,3)</f>
        <v>0.95099999999999996</v>
      </c>
      <c r="Y67" s="530"/>
      <c r="Z67" s="530"/>
    </row>
    <row r="68" spans="18:26">
      <c r="R68" s="1290">
        <f>R67+1</f>
        <v>2</v>
      </c>
      <c r="S68" s="1288"/>
      <c r="T68" s="1287">
        <v>2013</v>
      </c>
      <c r="U68" s="1288"/>
      <c r="V68" s="1289">
        <v>233</v>
      </c>
      <c r="W68" s="2131"/>
      <c r="X68" s="2132">
        <f>ROUND(V68/$V$71,3)</f>
        <v>0.96499999999999997</v>
      </c>
      <c r="Y68" s="1629"/>
      <c r="Z68" s="530"/>
    </row>
    <row r="69" spans="18:26">
      <c r="R69" s="1290">
        <f t="shared" ref="R69:R71" si="3">R68+1</f>
        <v>3</v>
      </c>
      <c r="S69" s="1288"/>
      <c r="T69" s="1287">
        <v>2014</v>
      </c>
      <c r="U69" s="1288"/>
      <c r="V69" s="1289">
        <v>234.8</v>
      </c>
      <c r="W69" s="2131"/>
      <c r="X69" s="2132">
        <f t="shared" ref="X69:X71" si="4">ROUND(V69/$V$71,3)</f>
        <v>0.97299999999999998</v>
      </c>
      <c r="Y69" s="1629"/>
      <c r="Z69" s="1629" t="s">
        <v>3124</v>
      </c>
    </row>
    <row r="70" spans="18:26">
      <c r="R70" s="1290">
        <f t="shared" si="3"/>
        <v>4</v>
      </c>
      <c r="S70" s="1288"/>
      <c r="T70" s="1287">
        <v>2015</v>
      </c>
      <c r="U70" s="1288"/>
      <c r="V70" s="1289">
        <v>236.5</v>
      </c>
      <c r="W70" s="2131"/>
      <c r="X70" s="2132">
        <f t="shared" si="4"/>
        <v>0.98</v>
      </c>
      <c r="Y70" s="1629"/>
    </row>
    <row r="71" spans="18:26">
      <c r="R71" s="1290">
        <f t="shared" si="3"/>
        <v>5</v>
      </c>
      <c r="S71" s="1288"/>
      <c r="T71" s="1287">
        <v>2016</v>
      </c>
      <c r="U71" s="1290"/>
      <c r="V71" s="1289">
        <v>241.4</v>
      </c>
      <c r="W71" s="2131"/>
      <c r="X71" s="2132">
        <f t="shared" si="4"/>
        <v>1</v>
      </c>
      <c r="Y71" s="1629"/>
      <c r="Z71" s="530"/>
    </row>
    <row r="72" spans="18:26">
      <c r="R72" s="18"/>
      <c r="S72" s="18"/>
      <c r="T72" s="18"/>
      <c r="U72" s="18"/>
      <c r="V72" s="18"/>
      <c r="W72" s="18"/>
      <c r="X72" s="18"/>
      <c r="Y72" s="18"/>
      <c r="Z72" s="18"/>
    </row>
    <row r="73" spans="18:26">
      <c r="R73" s="1629" t="s">
        <v>2382</v>
      </c>
      <c r="S73" s="18"/>
      <c r="T73" s="18"/>
      <c r="U73" s="18"/>
      <c r="V73" s="18"/>
      <c r="W73" s="18"/>
      <c r="X73" s="18"/>
      <c r="Y73" s="18"/>
      <c r="Z73" s="18"/>
    </row>
  </sheetData>
  <phoneticPr fontId="43" type="noConversion"/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theme="7" tint="-0.249977111117893"/>
  </sheetPr>
  <dimension ref="A1:Z58"/>
  <sheetViews>
    <sheetView tabSelected="1" view="pageLayout" topLeftCell="E25" zoomScaleNormal="90" workbookViewId="0">
      <selection activeCell="G1" sqref="G1"/>
    </sheetView>
  </sheetViews>
  <sheetFormatPr defaultColWidth="8" defaultRowHeight="12.75"/>
  <cols>
    <col min="1" max="2" width="16.140625" style="18" customWidth="1"/>
    <col min="3" max="3" width="12.28515625" style="18" customWidth="1"/>
    <col min="4" max="4" width="14.85546875" style="18" customWidth="1"/>
    <col min="5" max="5" width="19.140625" style="18" customWidth="1"/>
    <col min="6" max="6" width="6.7109375" style="18" customWidth="1"/>
    <col min="7" max="7" width="11" style="18" customWidth="1"/>
    <col min="8" max="8" width="17.7109375" style="18" customWidth="1"/>
    <col min="9" max="9" width="5.28515625" style="18" customWidth="1"/>
    <col min="10" max="10" width="8" style="18" customWidth="1"/>
    <col min="11" max="11" width="6.85546875" style="18" customWidth="1"/>
    <col min="12" max="12" width="2" style="18" customWidth="1"/>
    <col min="13" max="13" width="11.28515625" style="18" customWidth="1"/>
    <col min="14" max="14" width="1.7109375" style="18" customWidth="1"/>
    <col min="15" max="15" width="13.7109375" style="18" customWidth="1"/>
    <col min="16" max="16" width="2.28515625" style="18" customWidth="1"/>
    <col min="17" max="17" width="19.140625" style="18" customWidth="1"/>
    <col min="18" max="18" width="1.5703125" style="18" customWidth="1"/>
    <col min="19" max="19" width="13.28515625" style="18" customWidth="1"/>
    <col min="20" max="20" width="1.28515625" style="18" customWidth="1"/>
    <col min="21" max="21" width="14.5703125" style="18" customWidth="1"/>
    <col min="22" max="16384" width="8" style="18"/>
  </cols>
  <sheetData>
    <row r="1" spans="1:21">
      <c r="A1" s="2166" t="str">
        <f>COMPANY</f>
        <v>DUKE ENERGY KENTUCKY, INC.</v>
      </c>
      <c r="B1" s="2167"/>
      <c r="C1" s="2167"/>
      <c r="D1" s="2167"/>
      <c r="E1" s="2167"/>
      <c r="F1" s="2167"/>
      <c r="G1" s="2167"/>
      <c r="H1" s="2167"/>
      <c r="I1" s="1178"/>
      <c r="J1" s="1178"/>
      <c r="K1" s="1178"/>
      <c r="L1" s="1178"/>
      <c r="M1" s="1178"/>
      <c r="N1" s="1178"/>
      <c r="O1" s="1178"/>
      <c r="P1" s="1178"/>
      <c r="Q1" s="1178"/>
      <c r="R1" s="1178"/>
      <c r="S1" s="1178"/>
      <c r="T1" s="1178"/>
      <c r="U1" s="1178"/>
    </row>
    <row r="2" spans="1:21">
      <c r="A2" s="2166" t="str">
        <f>CASE</f>
        <v>CASE NO. 2017-00321</v>
      </c>
      <c r="B2" s="2167"/>
      <c r="C2" s="2167"/>
      <c r="D2" s="2167"/>
      <c r="E2" s="2167"/>
      <c r="F2" s="2167"/>
      <c r="G2" s="2167"/>
      <c r="H2" s="2167"/>
      <c r="I2" s="1178"/>
      <c r="J2" s="1178"/>
      <c r="K2" s="1178"/>
      <c r="L2" s="1178"/>
      <c r="M2" s="1178"/>
      <c r="N2" s="1178"/>
      <c r="O2" s="1178"/>
      <c r="P2" s="1178"/>
      <c r="Q2" s="1178"/>
      <c r="R2" s="1178"/>
      <c r="S2" s="1178"/>
      <c r="T2" s="1178"/>
      <c r="U2" s="1178"/>
    </row>
    <row r="3" spans="1:21">
      <c r="A3" s="229" t="s">
        <v>2736</v>
      </c>
      <c r="B3" s="2167"/>
      <c r="C3" s="2167"/>
      <c r="D3" s="2167"/>
      <c r="E3" s="2167"/>
      <c r="F3" s="2167"/>
      <c r="G3" s="2167"/>
      <c r="H3" s="2167"/>
      <c r="I3" s="1178"/>
      <c r="J3" s="1178"/>
      <c r="K3" s="1178"/>
      <c r="L3" s="1178"/>
      <c r="M3" s="1178"/>
      <c r="N3" s="1178"/>
      <c r="O3" s="1178"/>
      <c r="P3" s="1178"/>
      <c r="Q3" s="1178"/>
      <c r="R3" s="1178"/>
      <c r="S3" s="1178"/>
      <c r="T3" s="1178"/>
      <c r="U3" s="1178"/>
    </row>
    <row r="4" spans="1:21">
      <c r="A4" s="229" t="str">
        <f>PeriodF</f>
        <v>FOR THE TWELVE MONTHS ENDED MARCH 31, 2019</v>
      </c>
      <c r="B4" s="2167"/>
      <c r="C4" s="2167"/>
      <c r="D4" s="2167"/>
      <c r="E4" s="2167"/>
      <c r="F4" s="2167"/>
      <c r="G4" s="2167"/>
      <c r="H4" s="2167"/>
      <c r="I4" s="1178"/>
      <c r="J4" s="1178"/>
      <c r="K4" s="1178"/>
      <c r="L4" s="1178"/>
      <c r="M4" s="1178"/>
      <c r="N4" s="1178"/>
      <c r="O4" s="1178"/>
      <c r="P4" s="1178"/>
      <c r="Q4" s="1178"/>
      <c r="R4" s="1178"/>
      <c r="S4" s="1178"/>
      <c r="T4" s="1178"/>
      <c r="U4" s="1178"/>
    </row>
    <row r="5" spans="1:21">
      <c r="A5" s="1571"/>
      <c r="B5" s="1178"/>
      <c r="C5" s="1178"/>
      <c r="D5" s="1178"/>
      <c r="E5" s="1178"/>
      <c r="F5" s="1178"/>
      <c r="G5" s="1178"/>
      <c r="H5" s="1178"/>
      <c r="I5" s="1178"/>
      <c r="J5" s="1178"/>
      <c r="K5" s="1178"/>
      <c r="L5" s="1178"/>
      <c r="M5" s="1178"/>
      <c r="N5" s="1178"/>
      <c r="O5" s="1178"/>
      <c r="P5" s="1178"/>
      <c r="Q5" s="1178"/>
      <c r="R5" s="1178"/>
      <c r="S5" s="1178"/>
      <c r="T5" s="1178"/>
      <c r="U5" s="1178"/>
    </row>
    <row r="6" spans="1:21">
      <c r="A6" s="173" t="str">
        <f>DataF</f>
        <v>DATA:  BASE PERIOD  "X" FORECASTED PERIOD</v>
      </c>
      <c r="B6" s="1178"/>
      <c r="C6" s="1178"/>
      <c r="D6" s="1178"/>
      <c r="E6" s="1178"/>
      <c r="F6" s="1178"/>
      <c r="G6" s="1496" t="s">
        <v>1208</v>
      </c>
      <c r="H6" s="1178"/>
      <c r="I6" s="1178"/>
      <c r="J6" s="1178"/>
      <c r="K6" s="1178"/>
      <c r="L6" s="1178"/>
      <c r="M6" s="1178"/>
      <c r="N6" s="1178"/>
      <c r="O6" s="1178"/>
      <c r="P6" s="1178"/>
      <c r="Q6" s="1178"/>
      <c r="R6" s="1178"/>
      <c r="S6" s="1178"/>
      <c r="T6" s="1178"/>
      <c r="U6" s="1178"/>
    </row>
    <row r="7" spans="1:21">
      <c r="A7" s="173" t="str">
        <f>Type</f>
        <v xml:space="preserve">TYPE OF FILING:  "X" ORIGINAL   UPDATED    REVISED  </v>
      </c>
      <c r="B7" s="1178"/>
      <c r="C7" s="1178"/>
      <c r="D7" s="1178"/>
      <c r="E7" s="1178"/>
      <c r="F7" s="1178"/>
      <c r="G7" s="1496" t="s">
        <v>620</v>
      </c>
      <c r="H7" s="1178"/>
      <c r="I7" s="1178"/>
      <c r="J7" s="1178"/>
      <c r="K7" s="1178"/>
      <c r="L7" s="1178"/>
      <c r="M7" s="1178"/>
      <c r="N7" s="1178"/>
      <c r="O7" s="1178"/>
      <c r="P7" s="1178"/>
      <c r="Q7" s="1178"/>
      <c r="R7" s="1178"/>
      <c r="S7" s="1178"/>
      <c r="T7" s="1178"/>
      <c r="U7" s="1178"/>
    </row>
    <row r="8" spans="1:21">
      <c r="A8" s="1581" t="s">
        <v>3081</v>
      </c>
      <c r="B8" s="1178"/>
      <c r="C8" s="1178"/>
      <c r="D8" s="1178"/>
      <c r="E8" s="1178"/>
      <c r="F8" s="1178"/>
      <c r="G8" s="1496" t="s">
        <v>622</v>
      </c>
      <c r="H8" s="1178"/>
      <c r="I8" s="1178"/>
      <c r="J8" s="1178"/>
      <c r="K8" s="1178"/>
      <c r="L8" s="1178"/>
      <c r="M8" s="1178"/>
      <c r="N8" s="1178"/>
      <c r="O8" s="1178"/>
      <c r="P8" s="1178"/>
      <c r="Q8" s="1178"/>
      <c r="R8" s="1178"/>
      <c r="S8" s="1178"/>
      <c r="T8" s="1178"/>
      <c r="U8" s="1178"/>
    </row>
    <row r="9" spans="1:21">
      <c r="A9" s="1571"/>
      <c r="B9" s="1178"/>
      <c r="C9" s="1178"/>
      <c r="D9" s="1178"/>
      <c r="E9" s="1178"/>
      <c r="F9" s="1178"/>
      <c r="G9" s="1496" t="str">
        <f>_WIT1</f>
        <v>S. E. LAWLER</v>
      </c>
      <c r="H9" s="1178"/>
      <c r="I9" s="1178"/>
      <c r="J9" s="1178"/>
      <c r="K9" s="1178"/>
      <c r="L9" s="1178"/>
      <c r="M9" s="1178"/>
      <c r="N9" s="1178"/>
      <c r="O9" s="1178"/>
      <c r="P9" s="1178"/>
      <c r="Q9" s="1178"/>
      <c r="R9" s="1178"/>
      <c r="S9" s="1178"/>
      <c r="T9" s="1178"/>
      <c r="U9" s="1178"/>
    </row>
    <row r="10" spans="1:21">
      <c r="A10" s="180"/>
      <c r="B10" s="2168"/>
      <c r="C10" s="2168"/>
      <c r="D10" s="2168"/>
      <c r="E10" s="2168"/>
      <c r="F10" s="2168"/>
      <c r="G10" s="2168"/>
      <c r="H10" s="2168"/>
      <c r="I10" s="1178"/>
      <c r="J10" s="1178"/>
      <c r="K10" s="1178"/>
      <c r="L10" s="1178"/>
      <c r="M10" s="1178"/>
      <c r="N10" s="1178"/>
      <c r="O10" s="1178"/>
      <c r="P10" s="1178"/>
      <c r="Q10" s="1178"/>
      <c r="R10" s="1178"/>
      <c r="S10" s="1178"/>
      <c r="T10" s="1178"/>
      <c r="U10" s="1178"/>
    </row>
    <row r="11" spans="1:21">
      <c r="A11" s="638"/>
      <c r="B11" s="1178"/>
      <c r="C11" s="1178"/>
      <c r="D11" s="1178"/>
      <c r="E11" s="1178"/>
      <c r="F11" s="1178"/>
      <c r="G11" s="1178"/>
      <c r="H11" s="1178"/>
      <c r="I11" s="1178"/>
      <c r="J11" s="1178"/>
      <c r="K11" s="1178"/>
      <c r="L11" s="1178"/>
      <c r="M11" s="1178"/>
      <c r="N11" s="1178"/>
      <c r="O11" s="1178"/>
      <c r="P11" s="1178"/>
      <c r="Q11" s="1178"/>
      <c r="R11" s="1178"/>
      <c r="S11" s="1178"/>
      <c r="T11" s="1178"/>
      <c r="U11" s="1178"/>
    </row>
    <row r="12" spans="1:21">
      <c r="A12" s="1581" t="s">
        <v>1246</v>
      </c>
      <c r="B12" s="1178"/>
      <c r="C12" s="1178"/>
      <c r="D12" s="1178"/>
      <c r="E12" s="1178"/>
      <c r="F12" s="1178"/>
      <c r="G12" s="1178"/>
      <c r="H12" s="2169" t="s">
        <v>364</v>
      </c>
      <c r="I12" s="1178"/>
      <c r="J12" s="1178"/>
      <c r="K12" s="1178"/>
      <c r="L12" s="1178"/>
      <c r="M12" s="1178"/>
      <c r="N12" s="1178"/>
      <c r="O12" s="1178"/>
      <c r="P12" s="1178"/>
      <c r="Q12" s="1178"/>
      <c r="R12" s="1178"/>
      <c r="S12" s="1178"/>
      <c r="T12" s="1178"/>
      <c r="U12" s="1178"/>
    </row>
    <row r="13" spans="1:21">
      <c r="A13" s="1774"/>
      <c r="B13" s="2168"/>
      <c r="C13" s="2168"/>
      <c r="D13" s="2168"/>
      <c r="E13" s="2168"/>
      <c r="F13" s="2168"/>
      <c r="G13" s="2168"/>
      <c r="H13" s="2168"/>
      <c r="I13" s="1178"/>
      <c r="J13" s="1178"/>
      <c r="K13" s="1178"/>
      <c r="L13" s="1178"/>
      <c r="M13" s="1178"/>
      <c r="N13" s="1178"/>
      <c r="O13" s="1178"/>
      <c r="P13" s="1178"/>
      <c r="Q13" s="1178"/>
      <c r="R13" s="1178"/>
      <c r="S13" s="1178"/>
      <c r="T13" s="1178"/>
      <c r="U13" s="1178"/>
    </row>
    <row r="14" spans="1:21">
      <c r="A14" s="1571"/>
      <c r="B14" s="1178"/>
      <c r="C14" s="1178"/>
      <c r="D14" s="1178"/>
      <c r="E14" s="1178"/>
      <c r="F14" s="1178"/>
      <c r="G14" s="1178"/>
      <c r="H14" s="1178"/>
      <c r="I14" s="1178"/>
      <c r="J14" s="1178"/>
      <c r="K14" s="1178"/>
      <c r="L14" s="1178"/>
      <c r="M14" s="1178"/>
      <c r="N14" s="1178"/>
      <c r="O14" s="1178"/>
      <c r="P14" s="1178"/>
      <c r="Q14" s="1178"/>
      <c r="R14" s="1178"/>
      <c r="S14" s="1178"/>
      <c r="T14" s="1178"/>
      <c r="U14" s="1178"/>
    </row>
    <row r="15" spans="1:21">
      <c r="A15" s="1581" t="s">
        <v>3193</v>
      </c>
      <c r="B15" s="1180"/>
      <c r="C15" s="1180"/>
      <c r="D15" s="1180"/>
      <c r="E15" s="1180"/>
      <c r="F15" s="1180"/>
      <c r="G15" s="1180"/>
      <c r="H15" s="1180"/>
      <c r="I15" s="1180"/>
      <c r="J15" s="1178"/>
      <c r="K15" s="1178"/>
      <c r="L15" s="1178"/>
      <c r="M15" s="1178"/>
      <c r="N15" s="1178"/>
      <c r="O15" s="1178"/>
      <c r="P15" s="1178"/>
      <c r="Q15" s="1178"/>
      <c r="R15" s="1178"/>
      <c r="S15" s="1178"/>
      <c r="T15" s="1178"/>
      <c r="U15" s="1178"/>
    </row>
    <row r="16" spans="1:21">
      <c r="A16" s="1581" t="s">
        <v>3194</v>
      </c>
      <c r="B16" s="1180"/>
      <c r="C16" s="1180"/>
      <c r="D16" s="1180"/>
      <c r="E16" s="1180"/>
      <c r="F16" s="1180"/>
      <c r="G16" s="1180"/>
      <c r="H16" s="1180"/>
      <c r="I16" s="1180"/>
      <c r="J16" s="1178"/>
      <c r="K16" s="1178"/>
      <c r="L16" s="1178"/>
      <c r="M16" s="1178"/>
      <c r="N16" s="1178"/>
      <c r="O16" s="1178"/>
      <c r="P16" s="1178"/>
      <c r="Q16" s="1178"/>
      <c r="R16" s="1178"/>
      <c r="S16" s="1178"/>
      <c r="T16" s="1178"/>
      <c r="U16" s="1178"/>
    </row>
    <row r="17" spans="1:21">
      <c r="A17" s="1179"/>
      <c r="B17" s="1180"/>
      <c r="C17" s="1180"/>
      <c r="D17" s="1180"/>
      <c r="E17" s="1180"/>
      <c r="F17" s="1180"/>
      <c r="G17" s="1180"/>
      <c r="H17" s="1180"/>
      <c r="I17" s="1180"/>
      <c r="J17" s="1178"/>
      <c r="K17" s="1178"/>
      <c r="L17" s="1178"/>
      <c r="M17" s="1178"/>
      <c r="N17" s="1178"/>
      <c r="O17" s="1178"/>
      <c r="P17" s="1178"/>
      <c r="Q17" s="1178"/>
      <c r="R17" s="1178"/>
      <c r="S17" s="1178"/>
      <c r="T17" s="1178"/>
      <c r="U17" s="1178"/>
    </row>
    <row r="18" spans="1:21">
      <c r="A18" s="1179"/>
      <c r="B18" s="1180"/>
      <c r="C18" s="1180"/>
      <c r="D18" s="1180"/>
      <c r="E18" s="1180"/>
      <c r="F18" s="1180"/>
      <c r="G18" s="2170"/>
      <c r="H18" s="1180"/>
      <c r="I18" s="1180"/>
      <c r="J18" s="1178"/>
      <c r="K18" s="1178"/>
      <c r="L18" s="1178"/>
      <c r="M18" s="1178"/>
      <c r="N18" s="1178"/>
      <c r="O18" s="1178"/>
      <c r="P18" s="1178"/>
      <c r="Q18" s="1178"/>
      <c r="R18" s="1178"/>
      <c r="S18" s="1178"/>
      <c r="T18" s="1178"/>
      <c r="U18" s="1178"/>
    </row>
    <row r="19" spans="1:21">
      <c r="A19" s="1180"/>
      <c r="B19" s="1180"/>
      <c r="C19" s="1180"/>
      <c r="D19" s="1180"/>
      <c r="E19" s="1180"/>
      <c r="F19" s="1180"/>
      <c r="G19" s="1180"/>
      <c r="H19" s="1180"/>
      <c r="I19" s="1180"/>
      <c r="J19" s="1178"/>
      <c r="K19" s="1178"/>
      <c r="L19" s="1178"/>
      <c r="M19" s="1178"/>
      <c r="N19" s="1178"/>
      <c r="O19" s="1178"/>
      <c r="P19" s="1178"/>
      <c r="Q19" s="1178"/>
      <c r="R19" s="1178"/>
      <c r="S19" s="1178"/>
      <c r="T19" s="1178"/>
      <c r="U19" s="1178"/>
    </row>
    <row r="20" spans="1:21">
      <c r="A20" s="1179" t="s">
        <v>2737</v>
      </c>
      <c r="B20" s="1180"/>
      <c r="C20" s="1180"/>
      <c r="D20" s="1180"/>
      <c r="E20" s="1180"/>
      <c r="F20" s="1180"/>
      <c r="G20" s="1180"/>
      <c r="H20" s="1738">
        <v>122230</v>
      </c>
      <c r="J20" s="1178"/>
      <c r="K20" s="1178"/>
      <c r="L20" s="1178"/>
      <c r="M20" s="1178"/>
      <c r="N20" s="1178"/>
      <c r="O20" s="1178"/>
      <c r="P20" s="1178"/>
      <c r="Q20" s="1178"/>
      <c r="R20" s="1178"/>
      <c r="S20" s="1178"/>
      <c r="T20" s="1178"/>
      <c r="U20" s="1178"/>
    </row>
    <row r="21" spans="1:21">
      <c r="A21" s="1180"/>
      <c r="B21" s="1180"/>
      <c r="C21" s="1180"/>
      <c r="D21" s="1180"/>
      <c r="E21" s="1180"/>
      <c r="F21" s="1180"/>
      <c r="G21" s="1180"/>
      <c r="H21" s="1180"/>
      <c r="J21" s="1178"/>
      <c r="K21" s="1178"/>
      <c r="L21" s="1178"/>
      <c r="M21" s="1178"/>
      <c r="N21" s="1178"/>
      <c r="O21" s="1178"/>
      <c r="P21" s="1178"/>
      <c r="Q21" s="1178"/>
      <c r="R21" s="1178"/>
      <c r="S21" s="1178"/>
      <c r="T21" s="1178"/>
      <c r="U21" s="1178"/>
    </row>
    <row r="22" spans="1:21">
      <c r="A22" s="1179" t="s">
        <v>266</v>
      </c>
      <c r="B22" s="1180"/>
      <c r="C22" s="1180"/>
      <c r="D22" s="1180"/>
      <c r="E22" s="1180"/>
      <c r="F22" s="1180"/>
      <c r="G22" s="1180"/>
      <c r="H22" s="1425">
        <f>VLOOKUP(C29,ALLOCTABLE,2)/100</f>
        <v>1</v>
      </c>
      <c r="J22" s="1178"/>
      <c r="K22" s="1178"/>
      <c r="L22" s="1178"/>
      <c r="M22" s="1178"/>
      <c r="N22" s="1178"/>
      <c r="O22" s="1178"/>
      <c r="P22" s="1178"/>
      <c r="Q22" s="1178"/>
      <c r="R22" s="1178"/>
      <c r="S22" s="1178"/>
      <c r="T22" s="1178"/>
      <c r="U22" s="1178"/>
    </row>
    <row r="23" spans="1:21">
      <c r="A23" s="1180"/>
      <c r="B23" s="1180"/>
      <c r="C23" s="1180"/>
      <c r="D23" s="1180"/>
      <c r="E23" s="1180"/>
      <c r="F23" s="1180"/>
      <c r="G23" s="1180"/>
      <c r="H23" s="1426"/>
    </row>
    <row r="24" spans="1:21">
      <c r="A24" s="1180"/>
      <c r="B24" s="1180"/>
      <c r="C24" s="1180"/>
      <c r="D24" s="1180"/>
      <c r="E24" s="1180"/>
      <c r="F24" s="1180"/>
      <c r="G24" s="1180"/>
      <c r="H24" s="1180"/>
      <c r="K24" s="1747"/>
      <c r="L24" s="45"/>
    </row>
    <row r="25" spans="1:21" ht="15">
      <c r="A25" s="1179" t="s">
        <v>1236</v>
      </c>
      <c r="B25" s="1180"/>
      <c r="C25" s="1180"/>
      <c r="D25" s="1180"/>
      <c r="E25" s="1179" t="s">
        <v>1213</v>
      </c>
      <c r="G25" s="1180"/>
      <c r="H25" s="1427">
        <f>ROUND(H20*H22,0)</f>
        <v>122230</v>
      </c>
    </row>
    <row r="26" spans="1:21">
      <c r="A26" s="1180"/>
      <c r="B26" s="1180"/>
      <c r="C26" s="1180"/>
      <c r="D26" s="1180"/>
      <c r="E26" s="1180"/>
      <c r="F26" s="1180"/>
      <c r="G26" s="1180"/>
      <c r="H26" s="1180"/>
      <c r="I26" s="1426"/>
      <c r="K26" s="2171"/>
    </row>
    <row r="27" spans="1:21">
      <c r="A27" s="1180"/>
      <c r="B27" s="1180"/>
      <c r="C27" s="1180"/>
      <c r="D27" s="1180"/>
      <c r="E27" s="1180"/>
      <c r="F27" s="1180"/>
      <c r="G27" s="1180"/>
      <c r="H27" s="1180"/>
      <c r="I27" s="1426"/>
      <c r="M27" s="1747"/>
      <c r="N27" s="45"/>
    </row>
    <row r="28" spans="1:21">
      <c r="A28" s="1180"/>
      <c r="B28" s="1180"/>
      <c r="C28" s="1180"/>
      <c r="D28" s="1180"/>
      <c r="E28" s="1180"/>
      <c r="F28" s="1180"/>
      <c r="G28" s="1180"/>
      <c r="H28" s="1180"/>
      <c r="I28" s="1180"/>
      <c r="M28" s="1747"/>
      <c r="N28" s="2172"/>
    </row>
    <row r="29" spans="1:21">
      <c r="A29" s="1179" t="s">
        <v>1237</v>
      </c>
      <c r="B29" s="1180"/>
      <c r="C29" s="2149" t="s">
        <v>593</v>
      </c>
      <c r="E29" s="1180"/>
      <c r="F29" s="1180"/>
      <c r="G29" s="1180"/>
      <c r="H29" s="1180"/>
      <c r="I29" s="1180"/>
    </row>
    <row r="36" spans="11:26">
      <c r="K36" s="2173" t="str">
        <f>COMPANY</f>
        <v>DUKE ENERGY KENTUCKY, INC.</v>
      </c>
      <c r="L36" s="2174"/>
      <c r="M36" s="2174"/>
      <c r="N36" s="2174"/>
      <c r="O36" s="2174"/>
      <c r="P36" s="2174"/>
      <c r="Q36" s="1180"/>
      <c r="R36" s="1180"/>
      <c r="S36" s="1626" t="s">
        <v>3076</v>
      </c>
      <c r="T36" s="1626"/>
      <c r="U36" s="2175"/>
      <c r="V36" s="2150"/>
      <c r="W36" s="2175"/>
      <c r="Y36" s="1626"/>
      <c r="Z36" s="2150"/>
    </row>
    <row r="37" spans="11:26">
      <c r="K37" s="2173" t="str">
        <f>DEPT</f>
        <v>ELECTRIC DEPARTMENT</v>
      </c>
      <c r="L37" s="2174"/>
      <c r="M37" s="2174"/>
      <c r="N37" s="2174"/>
      <c r="O37" s="2174"/>
      <c r="P37" s="2174"/>
      <c r="Q37" s="1180"/>
      <c r="R37" s="1180"/>
      <c r="S37" s="1626" t="s">
        <v>622</v>
      </c>
      <c r="T37" s="1626"/>
      <c r="U37" s="2175"/>
      <c r="V37" s="2150"/>
      <c r="W37" s="2175"/>
      <c r="Y37" s="1626"/>
      <c r="Z37" s="2150"/>
    </row>
    <row r="38" spans="11:26">
      <c r="K38" s="2173" t="str">
        <f>CASE</f>
        <v>CASE NO. 2017-00321</v>
      </c>
      <c r="L38" s="2174"/>
      <c r="M38" s="2174"/>
      <c r="N38" s="2174"/>
      <c r="O38" s="2174"/>
      <c r="P38" s="2174"/>
      <c r="Q38" s="1180"/>
      <c r="R38" s="1180"/>
      <c r="S38" s="1626" t="str">
        <f>_WIT1</f>
        <v>S. E. LAWLER</v>
      </c>
      <c r="T38" s="1626"/>
      <c r="U38" s="2175"/>
      <c r="V38" s="2150"/>
      <c r="W38" s="2175"/>
      <c r="Y38" s="1626"/>
      <c r="Z38" s="2150"/>
    </row>
    <row r="39" spans="11:26">
      <c r="K39" s="1626" t="str">
        <f>A3</f>
        <v>FIXED BILL PREMIUM</v>
      </c>
      <c r="L39" s="2174"/>
      <c r="M39" s="2174"/>
      <c r="N39" s="2174"/>
      <c r="O39" s="2174"/>
      <c r="P39" s="2174"/>
      <c r="Q39" s="1180"/>
      <c r="R39" s="1180"/>
      <c r="S39" s="1180"/>
      <c r="T39" s="1180"/>
      <c r="U39" s="2175"/>
      <c r="V39" s="2175"/>
      <c r="W39" s="2175"/>
      <c r="X39" s="2150"/>
      <c r="Y39" s="2150"/>
      <c r="Z39" s="2150"/>
    </row>
    <row r="40" spans="11:26">
      <c r="K40" s="1626"/>
      <c r="L40" s="2174"/>
      <c r="M40" s="2174"/>
      <c r="N40" s="2174"/>
      <c r="O40" s="2174"/>
      <c r="P40" s="2174"/>
      <c r="Q40" s="1180"/>
      <c r="R40" s="1180"/>
      <c r="S40" s="1180"/>
      <c r="T40" s="1180"/>
      <c r="U40" s="2175"/>
      <c r="V40" s="2175"/>
      <c r="W40" s="2175"/>
      <c r="X40" s="2150"/>
      <c r="Y40" s="2150"/>
      <c r="Z40" s="2150"/>
    </row>
    <row r="41" spans="11:26">
      <c r="K41" s="1626"/>
      <c r="L41" s="2174"/>
      <c r="M41" s="2174"/>
      <c r="N41" s="2174"/>
      <c r="O41" s="2174"/>
      <c r="P41" s="2174"/>
      <c r="Q41" s="1180"/>
      <c r="R41" s="1180"/>
      <c r="S41" s="1180"/>
      <c r="T41" s="1180"/>
      <c r="U41" s="2175"/>
      <c r="V41" s="2175"/>
      <c r="W41" s="2175"/>
      <c r="X41" s="2150"/>
      <c r="Y41" s="2150"/>
      <c r="Z41" s="2150"/>
    </row>
    <row r="42" spans="11:26">
      <c r="K42" s="1626"/>
      <c r="L42" s="2174"/>
      <c r="M42" s="2174"/>
      <c r="N42" s="2174"/>
      <c r="O42" s="2174"/>
      <c r="P42" s="2174"/>
      <c r="Q42" s="1180"/>
      <c r="R42" s="1180"/>
      <c r="S42" s="1180"/>
      <c r="T42" s="1180"/>
      <c r="U42" s="2175"/>
      <c r="V42" s="2175"/>
      <c r="W42" s="2175"/>
      <c r="X42" s="2150"/>
      <c r="Y42" s="2150"/>
      <c r="Z42" s="2150"/>
    </row>
    <row r="44" spans="11:26">
      <c r="S44" s="52" t="s">
        <v>3079</v>
      </c>
      <c r="T44" s="52"/>
      <c r="U44" s="1346" t="s">
        <v>626</v>
      </c>
    </row>
    <row r="45" spans="11:26">
      <c r="K45" s="52" t="s">
        <v>1240</v>
      </c>
      <c r="O45" s="52" t="s">
        <v>1193</v>
      </c>
      <c r="Q45" s="52" t="s">
        <v>3078</v>
      </c>
      <c r="R45" s="52"/>
      <c r="S45" s="52" t="s">
        <v>626</v>
      </c>
      <c r="T45" s="52"/>
      <c r="U45" s="1346" t="s">
        <v>1120</v>
      </c>
    </row>
    <row r="46" spans="11:26">
      <c r="K46" s="430" t="s">
        <v>1241</v>
      </c>
      <c r="L46" s="430"/>
      <c r="M46" s="430" t="s">
        <v>2273</v>
      </c>
      <c r="N46" s="430"/>
      <c r="O46" s="430" t="s">
        <v>3077</v>
      </c>
      <c r="P46" s="430"/>
      <c r="Q46" s="430" t="s">
        <v>3209</v>
      </c>
      <c r="R46" s="430"/>
      <c r="S46" s="430" t="s">
        <v>1120</v>
      </c>
      <c r="T46" s="430"/>
      <c r="U46" s="430" t="s">
        <v>3210</v>
      </c>
      <c r="V46" s="430"/>
      <c r="W46" s="430"/>
      <c r="X46" s="430"/>
      <c r="Y46" s="430"/>
    </row>
    <row r="48" spans="11:26">
      <c r="K48" s="1346">
        <v>1</v>
      </c>
      <c r="M48" s="1346">
        <v>2018</v>
      </c>
      <c r="O48" s="2176">
        <v>0.01</v>
      </c>
      <c r="Q48" s="1610">
        <v>97784</v>
      </c>
      <c r="R48" s="1610"/>
      <c r="S48" s="1346">
        <v>9</v>
      </c>
      <c r="T48" s="1346"/>
      <c r="U48" s="1610">
        <f>ROUND(Q48/12*S48,0)</f>
        <v>73338</v>
      </c>
    </row>
    <row r="49" spans="11:21">
      <c r="K49" s="1346"/>
      <c r="M49" s="1346"/>
      <c r="O49" s="2176"/>
      <c r="Q49" s="1610"/>
      <c r="R49" s="1610"/>
      <c r="S49" s="1346"/>
      <c r="T49" s="1346"/>
      <c r="U49" s="1610"/>
    </row>
    <row r="50" spans="11:21">
      <c r="K50" s="1346">
        <v>2</v>
      </c>
      <c r="M50" s="1346">
        <v>2019</v>
      </c>
      <c r="O50" s="2176">
        <v>0.02</v>
      </c>
      <c r="Q50" s="1610">
        <v>195569</v>
      </c>
      <c r="R50" s="1610"/>
      <c r="S50" s="1346">
        <v>3</v>
      </c>
      <c r="T50" s="1346"/>
      <c r="U50" s="2177">
        <f>ROUND(Q50/12*S50,0)</f>
        <v>48892</v>
      </c>
    </row>
    <row r="51" spans="11:21">
      <c r="K51" s="1346"/>
      <c r="M51" s="1346"/>
      <c r="U51" s="1610"/>
    </row>
    <row r="52" spans="11:21" ht="13.5" thickBot="1">
      <c r="K52" s="1346">
        <v>3</v>
      </c>
      <c r="M52" s="51" t="s">
        <v>3080</v>
      </c>
      <c r="U52" s="2178">
        <f>SUM(U48:U50)</f>
        <v>122230</v>
      </c>
    </row>
    <row r="53" spans="11:21" ht="13.5" thickTop="1">
      <c r="K53" s="1346"/>
      <c r="M53" s="1346"/>
    </row>
    <row r="54" spans="11:21">
      <c r="K54" s="1346"/>
      <c r="M54" s="1346"/>
    </row>
    <row r="55" spans="11:21">
      <c r="K55" s="1346"/>
      <c r="M55" s="1346"/>
    </row>
    <row r="56" spans="11:21">
      <c r="K56" s="1346"/>
    </row>
    <row r="57" spans="11:21">
      <c r="K57" s="1346"/>
    </row>
    <row r="58" spans="11:21">
      <c r="K58" s="1346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tabColor theme="7" tint="-0.249977111117893"/>
  </sheetPr>
  <dimension ref="A1:AC158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21.85546875" style="1383" customWidth="1"/>
    <col min="2" max="2" width="9.42578125" style="1383" customWidth="1"/>
    <col min="3" max="3" width="26.5703125" style="1383" customWidth="1"/>
    <col min="4" max="4" width="11.5703125" style="1383" customWidth="1"/>
    <col min="5" max="6" width="8" style="1383" customWidth="1"/>
    <col min="7" max="7" width="12.7109375" style="1383" customWidth="1"/>
    <col min="8" max="8" width="17.7109375" style="1383" customWidth="1"/>
    <col min="9" max="9" width="1.28515625" style="1383" customWidth="1"/>
    <col min="10" max="10" width="6" style="1383" customWidth="1"/>
    <col min="11" max="11" width="1.5703125" style="1383" customWidth="1"/>
    <col min="12" max="12" width="11" style="1383" customWidth="1"/>
    <col min="13" max="13" width="1.5703125" style="1383" customWidth="1"/>
    <col min="14" max="14" width="27.28515625" style="1383" customWidth="1"/>
    <col min="15" max="15" width="2.5703125" style="1383" customWidth="1"/>
    <col min="16" max="16" width="14.7109375" style="1383" customWidth="1"/>
    <col min="17" max="17" width="10.7109375" style="1383" customWidth="1"/>
    <col min="18" max="18" width="16.28515625" style="1383" customWidth="1"/>
    <col min="19" max="20" width="8" style="1383"/>
    <col min="21" max="21" width="5.28515625" style="1383" customWidth="1"/>
    <col min="22" max="22" width="12.28515625" style="1383" customWidth="1"/>
    <col min="23" max="23" width="4.7109375" style="1383" customWidth="1"/>
    <col min="24" max="24" width="11.7109375" style="1383" customWidth="1"/>
    <col min="25" max="25" width="4.42578125" style="1383" customWidth="1"/>
    <col min="26" max="26" width="17.7109375" style="1383" customWidth="1"/>
    <col min="27" max="16384" width="8" style="1383"/>
  </cols>
  <sheetData>
    <row r="1" spans="1:8">
      <c r="A1" s="2087" t="str">
        <f>LOGO!B5</f>
        <v>DUKE ENERGY KENTUCKY, INC.</v>
      </c>
      <c r="B1" s="1445"/>
      <c r="C1" s="1445"/>
      <c r="D1" s="1444"/>
      <c r="E1" s="1444"/>
      <c r="F1" s="1444"/>
      <c r="G1" s="1444"/>
      <c r="H1" s="1444"/>
    </row>
    <row r="2" spans="1:8">
      <c r="A2" s="2087" t="str">
        <f>LOGO!B6</f>
        <v>CASE NO. 2017-00321</v>
      </c>
      <c r="B2" s="1445"/>
      <c r="C2" s="1445"/>
      <c r="D2" s="1444"/>
      <c r="E2" s="1444"/>
      <c r="F2" s="1444"/>
      <c r="G2" s="1444"/>
      <c r="H2" s="1444"/>
    </row>
    <row r="3" spans="1:8">
      <c r="A3" s="1726" t="s">
        <v>3258</v>
      </c>
      <c r="B3" s="1443"/>
      <c r="C3" s="1443"/>
      <c r="D3" s="1444"/>
      <c r="E3" s="1444"/>
      <c r="F3" s="1444"/>
      <c r="G3" s="1444"/>
      <c r="H3" s="1444"/>
    </row>
    <row r="4" spans="1:8">
      <c r="A4" s="1445" t="str">
        <f>PeriodF</f>
        <v>FOR THE TWELVE MONTHS ENDED MARCH 31, 2019</v>
      </c>
      <c r="B4" s="1445"/>
      <c r="C4" s="1445"/>
      <c r="D4" s="1444"/>
      <c r="E4" s="1444"/>
      <c r="F4" s="1444"/>
      <c r="G4" s="1444"/>
      <c r="H4" s="1444"/>
    </row>
    <row r="5" spans="1:8">
      <c r="A5" s="529"/>
      <c r="B5" s="529"/>
      <c r="C5" s="529"/>
      <c r="D5" s="529"/>
      <c r="E5" s="529"/>
      <c r="F5" s="529"/>
      <c r="G5" s="529"/>
      <c r="H5" s="529"/>
    </row>
    <row r="6" spans="1:8">
      <c r="A6" s="1446" t="str">
        <f>DataF</f>
        <v>DATA:  BASE PERIOD  "X" FORECASTED PERIOD</v>
      </c>
      <c r="B6" s="1446"/>
      <c r="C6" s="1446"/>
      <c r="D6" s="529"/>
      <c r="E6" s="529"/>
      <c r="G6" s="461" t="s">
        <v>331</v>
      </c>
      <c r="H6" s="529"/>
    </row>
    <row r="7" spans="1:8">
      <c r="A7" s="1446" t="str">
        <f>Type</f>
        <v xml:space="preserve">TYPE OF FILING:  "X" ORIGINAL   UPDATED    REVISED  </v>
      </c>
      <c r="B7" s="1446"/>
      <c r="C7" s="1446"/>
      <c r="D7" s="529"/>
      <c r="E7" s="529"/>
      <c r="G7" s="461" t="s">
        <v>620</v>
      </c>
      <c r="H7" s="529"/>
    </row>
    <row r="8" spans="1:8">
      <c r="A8" s="461" t="s">
        <v>3263</v>
      </c>
      <c r="B8" s="461"/>
      <c r="C8" s="461"/>
      <c r="D8" s="529"/>
      <c r="E8" s="529"/>
      <c r="G8" s="461" t="s">
        <v>622</v>
      </c>
      <c r="H8" s="529"/>
    </row>
    <row r="9" spans="1:8">
      <c r="A9" s="529"/>
      <c r="B9" s="529"/>
      <c r="C9" s="529"/>
      <c r="D9" s="529"/>
      <c r="E9" s="529"/>
      <c r="G9" s="396" t="str">
        <f>_WIT10</f>
        <v>R. H. PRATT</v>
      </c>
      <c r="H9" s="529"/>
    </row>
    <row r="10" spans="1:8">
      <c r="A10" s="1447"/>
      <c r="B10" s="1447"/>
      <c r="C10" s="1447"/>
      <c r="D10" s="1447"/>
      <c r="E10" s="1447"/>
      <c r="F10" s="1447"/>
      <c r="G10" s="1447"/>
      <c r="H10" s="1447"/>
    </row>
    <row r="11" spans="1:8">
      <c r="A11" s="1448"/>
      <c r="B11" s="1448"/>
      <c r="C11" s="1448"/>
      <c r="D11" s="1448"/>
      <c r="E11" s="1448"/>
      <c r="F11" s="1448"/>
      <c r="G11" s="1448"/>
      <c r="H11" s="1448"/>
    </row>
    <row r="12" spans="1:8">
      <c r="A12" s="1443" t="s">
        <v>1246</v>
      </c>
      <c r="B12" s="1432"/>
      <c r="C12" s="1432"/>
      <c r="D12" s="529"/>
      <c r="E12" s="529"/>
      <c r="F12" s="529"/>
      <c r="G12" s="529"/>
      <c r="H12" s="1432" t="s">
        <v>364</v>
      </c>
    </row>
    <row r="13" spans="1:8">
      <c r="A13" s="1447"/>
      <c r="B13" s="1447"/>
      <c r="C13" s="1447"/>
      <c r="D13" s="1447"/>
      <c r="E13" s="1447"/>
      <c r="F13" s="1447"/>
      <c r="G13" s="1447"/>
      <c r="H13" s="1447"/>
    </row>
    <row r="14" spans="1:8">
      <c r="A14" s="1448"/>
      <c r="B14" s="1448"/>
      <c r="C14" s="1448"/>
      <c r="D14" s="1448"/>
      <c r="E14" s="1448"/>
      <c r="F14" s="1448"/>
      <c r="G14" s="1448"/>
      <c r="H14" s="1449"/>
    </row>
    <row r="15" spans="1:8">
      <c r="A15" s="1378" t="s">
        <v>3262</v>
      </c>
      <c r="B15" s="529"/>
      <c r="C15" s="529"/>
      <c r="D15" s="529"/>
      <c r="E15" s="529"/>
      <c r="F15" s="529"/>
      <c r="G15" s="529"/>
      <c r="H15" s="529"/>
    </row>
    <row r="16" spans="1:8">
      <c r="A16" s="1430" t="s">
        <v>3251</v>
      </c>
      <c r="B16" s="529"/>
      <c r="C16" s="529"/>
      <c r="D16" s="529"/>
      <c r="E16" s="529"/>
      <c r="F16" s="529"/>
      <c r="G16" s="529"/>
      <c r="H16" s="1475"/>
    </row>
    <row r="17" spans="1:8">
      <c r="A17" s="1450"/>
      <c r="B17" s="529"/>
      <c r="C17" s="529"/>
      <c r="D17" s="529"/>
      <c r="E17" s="529"/>
      <c r="F17" s="529"/>
      <c r="G17" s="529"/>
      <c r="H17" s="1475"/>
    </row>
    <row r="18" spans="1:8">
      <c r="A18" s="1450"/>
      <c r="B18" s="529"/>
      <c r="C18" s="529"/>
      <c r="D18" s="529"/>
      <c r="E18" s="529"/>
      <c r="F18" s="529"/>
      <c r="G18" s="529"/>
      <c r="H18" s="1475"/>
    </row>
    <row r="19" spans="1:8">
      <c r="A19" s="1450"/>
      <c r="B19" s="529"/>
      <c r="C19" s="529"/>
      <c r="D19" s="529"/>
      <c r="E19" s="529"/>
      <c r="F19" s="529"/>
      <c r="G19" s="529"/>
      <c r="H19" s="535"/>
    </row>
    <row r="20" spans="1:8">
      <c r="A20" s="1179" t="s">
        <v>3259</v>
      </c>
      <c r="B20" s="1180"/>
      <c r="C20" s="1180"/>
      <c r="D20" s="1180"/>
      <c r="E20" s="1180"/>
      <c r="F20" s="1180"/>
      <c r="G20" s="1180"/>
      <c r="H20" s="1732">
        <f>R56</f>
        <v>4777142.6000000006</v>
      </c>
    </row>
    <row r="21" spans="1:8">
      <c r="A21" s="1180"/>
      <c r="B21" s="1180"/>
      <c r="C21" s="1180"/>
      <c r="D21" s="1180"/>
      <c r="E21" s="1180"/>
      <c r="F21" s="1180"/>
      <c r="G21" s="1180"/>
      <c r="H21" s="1180"/>
    </row>
    <row r="22" spans="1:8">
      <c r="A22" s="1179" t="s">
        <v>266</v>
      </c>
      <c r="B22" s="1180"/>
      <c r="C22" s="1180"/>
      <c r="D22" s="1180"/>
      <c r="E22" s="1180"/>
      <c r="F22" s="1180"/>
      <c r="G22" s="1180"/>
      <c r="H22" s="1425">
        <f>VLOOKUP(C29,ALLOCTABLE,2)/100</f>
        <v>1</v>
      </c>
    </row>
    <row r="23" spans="1:8">
      <c r="A23" s="1180"/>
      <c r="B23" s="1180"/>
      <c r="C23" s="1180"/>
      <c r="D23" s="1180"/>
      <c r="E23" s="1180"/>
      <c r="F23" s="1180"/>
      <c r="G23" s="1180"/>
      <c r="H23" s="1426"/>
    </row>
    <row r="24" spans="1:8">
      <c r="A24" s="1180"/>
      <c r="B24" s="1180"/>
      <c r="C24" s="1180"/>
      <c r="D24" s="1180"/>
      <c r="E24" s="1180"/>
      <c r="F24" s="1180"/>
      <c r="G24" s="1180"/>
      <c r="H24" s="1180"/>
    </row>
    <row r="25" spans="1:8" ht="15">
      <c r="A25" s="1179" t="s">
        <v>1236</v>
      </c>
      <c r="B25" s="1180"/>
      <c r="C25" s="1180"/>
      <c r="D25" s="1180"/>
      <c r="E25" s="1179" t="s">
        <v>1213</v>
      </c>
      <c r="F25" s="18"/>
      <c r="G25" s="1180"/>
      <c r="H25" s="1427">
        <f>ROUND(H20*H22,0)</f>
        <v>4777143</v>
      </c>
    </row>
    <row r="26" spans="1:8">
      <c r="A26" s="1180"/>
      <c r="B26" s="1180"/>
      <c r="C26" s="1180"/>
      <c r="D26" s="1180"/>
      <c r="E26" s="1180"/>
      <c r="F26" s="1180"/>
      <c r="G26" s="1180"/>
      <c r="H26" s="1180"/>
    </row>
    <row r="27" spans="1:8">
      <c r="A27" s="1180"/>
      <c r="B27" s="1180"/>
      <c r="C27" s="1180"/>
      <c r="D27" s="1180"/>
      <c r="E27" s="1180"/>
      <c r="F27" s="1180"/>
      <c r="G27" s="1180"/>
      <c r="H27" s="1180"/>
    </row>
    <row r="28" spans="1:8">
      <c r="A28" s="1180"/>
      <c r="B28" s="1180"/>
      <c r="C28" s="1180"/>
      <c r="D28" s="1180"/>
      <c r="E28" s="1180"/>
      <c r="F28" s="1180"/>
      <c r="G28" s="1180"/>
      <c r="H28" s="1180"/>
    </row>
    <row r="29" spans="1:8">
      <c r="A29" s="1179" t="s">
        <v>1237</v>
      </c>
      <c r="B29" s="1180"/>
      <c r="C29" s="2149" t="s">
        <v>593</v>
      </c>
      <c r="D29" s="18"/>
      <c r="E29" s="1180"/>
      <c r="F29" s="1180"/>
      <c r="G29" s="1180"/>
      <c r="H29" s="1180"/>
    </row>
    <row r="30" spans="1:8">
      <c r="A30" s="1474"/>
      <c r="B30" s="1474"/>
      <c r="C30" s="1474"/>
      <c r="D30" s="1475"/>
      <c r="E30" s="1475"/>
      <c r="F30" s="1475"/>
      <c r="G30" s="1475"/>
      <c r="H30" s="1475"/>
    </row>
    <row r="31" spans="1:8">
      <c r="A31" s="1476"/>
      <c r="B31" s="1476"/>
      <c r="C31" s="1476"/>
      <c r="D31" s="1475"/>
      <c r="E31" s="1475"/>
      <c r="F31" s="1475"/>
      <c r="G31" s="1475"/>
      <c r="H31" s="1475"/>
    </row>
    <row r="32" spans="1:8">
      <c r="A32" s="1477"/>
      <c r="B32" s="1478"/>
      <c r="C32" s="1477"/>
      <c r="D32" s="1479"/>
      <c r="E32" s="1475"/>
      <c r="F32" s="1475"/>
      <c r="G32" s="1475"/>
      <c r="H32" s="1475"/>
    </row>
    <row r="33" spans="1:29">
      <c r="A33" s="1450"/>
      <c r="B33" s="1450"/>
      <c r="C33" s="1450"/>
      <c r="D33" s="529"/>
      <c r="E33" s="529"/>
      <c r="F33" s="529"/>
      <c r="G33" s="529"/>
      <c r="H33" s="529"/>
    </row>
    <row r="34" spans="1:29">
      <c r="A34" s="1450"/>
      <c r="B34" s="1450"/>
      <c r="C34" s="1450"/>
      <c r="D34" s="529"/>
      <c r="E34" s="529"/>
      <c r="F34" s="529"/>
      <c r="G34" s="529"/>
      <c r="H34" s="529"/>
    </row>
    <row r="35" spans="1:29">
      <c r="A35" s="1450"/>
      <c r="B35" s="1450"/>
      <c r="C35" s="1450"/>
      <c r="D35" s="529"/>
      <c r="E35" s="529"/>
      <c r="F35" s="529"/>
      <c r="G35" s="529"/>
      <c r="H35" s="529"/>
      <c r="J35" s="1629" t="s">
        <v>1387</v>
      </c>
      <c r="K35" s="1629"/>
      <c r="L35" s="1629"/>
      <c r="M35" s="1629"/>
      <c r="N35" s="530"/>
      <c r="O35" s="530"/>
      <c r="P35" s="530"/>
      <c r="Q35" s="2106" t="s">
        <v>3252</v>
      </c>
      <c r="R35" s="2150"/>
      <c r="S35" s="2150"/>
      <c r="T35" s="2150"/>
      <c r="U35" s="2150"/>
      <c r="V35" s="2150"/>
      <c r="W35" s="2150"/>
      <c r="X35" s="2150"/>
      <c r="Y35" s="2150"/>
      <c r="Z35" s="2150"/>
      <c r="AA35" s="2150"/>
      <c r="AB35" s="2150"/>
      <c r="AC35" s="2150"/>
    </row>
    <row r="36" spans="1:29">
      <c r="A36" s="1450"/>
      <c r="B36" s="1450"/>
      <c r="C36" s="1450"/>
      <c r="D36" s="529"/>
      <c r="E36" s="529"/>
      <c r="F36" s="529"/>
      <c r="G36" s="529"/>
      <c r="H36" s="529"/>
      <c r="J36" s="1629" t="s">
        <v>695</v>
      </c>
      <c r="K36" s="1629"/>
      <c r="L36" s="1629"/>
      <c r="M36" s="1629"/>
      <c r="N36" s="530"/>
      <c r="O36" s="530"/>
      <c r="P36" s="530"/>
      <c r="Q36" s="1629" t="s">
        <v>1239</v>
      </c>
      <c r="R36" s="2150"/>
      <c r="S36" s="2150"/>
      <c r="T36" s="2150"/>
      <c r="U36" s="2150"/>
      <c r="V36" s="2150"/>
      <c r="W36" s="2150"/>
      <c r="X36" s="2150"/>
      <c r="Y36" s="2150"/>
      <c r="Z36" s="2150"/>
      <c r="AA36" s="2150"/>
      <c r="AB36" s="2150"/>
      <c r="AC36" s="2150"/>
    </row>
    <row r="37" spans="1:29">
      <c r="A37" s="1450"/>
      <c r="B37" s="1450"/>
      <c r="C37" s="1450"/>
      <c r="D37" s="529"/>
      <c r="E37" s="529"/>
      <c r="F37" s="529"/>
      <c r="G37" s="529"/>
      <c r="H37" s="529"/>
      <c r="I37" s="529"/>
      <c r="J37" s="1629" t="str">
        <f>CASE</f>
        <v>CASE NO. 2017-00321</v>
      </c>
      <c r="K37" s="1629"/>
      <c r="L37" s="1629"/>
      <c r="M37" s="1629"/>
      <c r="N37" s="530"/>
      <c r="O37" s="530"/>
      <c r="P37" s="530"/>
      <c r="Q37" s="530" t="str">
        <f>_WIT10</f>
        <v>R. H. PRATT</v>
      </c>
      <c r="R37" s="2150"/>
      <c r="S37" s="2150"/>
      <c r="T37" s="2150"/>
      <c r="U37" s="2150"/>
      <c r="V37" s="2150"/>
      <c r="W37" s="2150"/>
      <c r="X37" s="2150"/>
      <c r="Y37" s="2150"/>
      <c r="Z37" s="2150"/>
      <c r="AA37" s="2150"/>
      <c r="AB37" s="2150"/>
      <c r="AC37" s="2150"/>
    </row>
    <row r="38" spans="1:29">
      <c r="A38" s="1450"/>
      <c r="B38" s="1450"/>
      <c r="C38" s="1450"/>
      <c r="D38" s="529"/>
      <c r="E38" s="529"/>
      <c r="F38" s="529"/>
      <c r="G38" s="529"/>
      <c r="H38" s="529"/>
      <c r="I38" s="529"/>
      <c r="J38" s="2151" t="str">
        <f>A3</f>
        <v>ANNUALIZE EAST BEND MAINTENANCE EXPENSE</v>
      </c>
      <c r="K38" s="2151"/>
      <c r="L38" s="2151"/>
      <c r="M38" s="2151"/>
      <c r="N38" s="530"/>
      <c r="O38" s="530"/>
      <c r="P38" s="530"/>
      <c r="Q38" s="530"/>
      <c r="R38" s="2107"/>
      <c r="S38" s="529"/>
      <c r="T38" s="2150"/>
      <c r="U38" s="2150"/>
      <c r="V38" s="2150"/>
      <c r="W38" s="2150"/>
      <c r="X38" s="2150"/>
      <c r="Y38" s="2150"/>
      <c r="Z38" s="2150"/>
      <c r="AA38" s="2150"/>
      <c r="AB38" s="2150"/>
      <c r="AC38" s="2150"/>
    </row>
    <row r="39" spans="1:29">
      <c r="A39" s="1450"/>
      <c r="B39" s="1450"/>
      <c r="C39" s="1450"/>
      <c r="D39" s="529"/>
      <c r="E39" s="529"/>
      <c r="F39" s="529"/>
      <c r="G39" s="529"/>
      <c r="H39" s="529"/>
      <c r="I39" s="529"/>
      <c r="J39" s="1475"/>
      <c r="K39" s="1475"/>
      <c r="L39" s="1475"/>
      <c r="M39" s="1475"/>
      <c r="N39" s="1475"/>
      <c r="O39" s="1475"/>
      <c r="P39" s="1475"/>
      <c r="Q39" s="1475"/>
      <c r="R39" s="1475"/>
      <c r="S39" s="1475"/>
      <c r="T39" s="2150"/>
      <c r="U39" s="2150"/>
      <c r="V39" s="2150"/>
      <c r="W39" s="2150"/>
      <c r="X39" s="2150"/>
      <c r="Y39" s="2150"/>
      <c r="Z39" s="2150"/>
      <c r="AA39" s="2150"/>
      <c r="AB39" s="2150"/>
      <c r="AC39" s="2150"/>
    </row>
    <row r="40" spans="1:29">
      <c r="A40" s="1450"/>
      <c r="B40" s="1450"/>
      <c r="C40" s="1450"/>
      <c r="D40" s="529"/>
      <c r="E40" s="529"/>
      <c r="F40" s="529"/>
      <c r="G40" s="529"/>
      <c r="H40" s="529"/>
      <c r="I40" s="529"/>
      <c r="J40" s="1475"/>
      <c r="K40" s="1475"/>
      <c r="L40" s="1475"/>
      <c r="M40" s="1475"/>
      <c r="N40" s="1475"/>
      <c r="O40" s="1475"/>
      <c r="P40" s="1475"/>
      <c r="Q40" s="2112" t="s">
        <v>2272</v>
      </c>
      <c r="R40" s="1475"/>
      <c r="S40" s="1475"/>
      <c r="T40" s="2150"/>
      <c r="U40" s="2150"/>
      <c r="V40" s="2150"/>
      <c r="W40" s="2150"/>
      <c r="X40" s="2150"/>
      <c r="Y40" s="2150"/>
      <c r="Z40" s="2150"/>
      <c r="AA40" s="2150"/>
      <c r="AB40" s="2150"/>
      <c r="AC40" s="2150"/>
    </row>
    <row r="41" spans="1:29">
      <c r="A41" s="1450"/>
      <c r="B41" s="1450"/>
      <c r="C41" s="1450"/>
      <c r="D41" s="529"/>
      <c r="E41" s="529"/>
      <c r="F41" s="529"/>
      <c r="G41" s="529"/>
      <c r="H41" s="529"/>
      <c r="I41" s="529"/>
      <c r="J41" s="1423" t="s">
        <v>1240</v>
      </c>
      <c r="K41" s="1423"/>
      <c r="L41" s="1423"/>
      <c r="M41" s="1423"/>
      <c r="N41" s="1423"/>
      <c r="O41" s="1423"/>
      <c r="P41" s="1475"/>
      <c r="Q41" s="2113" t="s">
        <v>2676</v>
      </c>
      <c r="R41" s="1423"/>
      <c r="S41" s="1475"/>
      <c r="T41" s="2150"/>
      <c r="U41" s="2150"/>
      <c r="V41" s="2150"/>
      <c r="W41" s="2150"/>
      <c r="X41" s="2150"/>
      <c r="Y41" s="2150"/>
      <c r="Z41" s="2150"/>
      <c r="AA41" s="2150"/>
      <c r="AB41" s="2150"/>
      <c r="AC41" s="2150"/>
    </row>
    <row r="42" spans="1:29">
      <c r="A42" s="1450"/>
      <c r="B42" s="1450"/>
      <c r="C42" s="1450"/>
      <c r="D42" s="529"/>
      <c r="E42" s="529"/>
      <c r="F42" s="529"/>
      <c r="G42" s="529"/>
      <c r="H42" s="529"/>
      <c r="I42" s="529"/>
      <c r="J42" s="1424" t="s">
        <v>1241</v>
      </c>
      <c r="K42" s="1424"/>
      <c r="L42" s="1424" t="s">
        <v>2273</v>
      </c>
      <c r="M42" s="1424"/>
      <c r="N42" s="1844" t="s">
        <v>1119</v>
      </c>
      <c r="O42" s="1844"/>
      <c r="P42" s="2152" t="s">
        <v>1929</v>
      </c>
      <c r="Q42" s="2096" t="s">
        <v>2274</v>
      </c>
      <c r="R42" s="2096" t="s">
        <v>1929</v>
      </c>
      <c r="S42" s="2152"/>
      <c r="T42" s="2150"/>
      <c r="U42" s="2150"/>
      <c r="V42" s="2150"/>
      <c r="W42" s="2150"/>
      <c r="X42" s="2150"/>
      <c r="Y42" s="2150"/>
      <c r="Z42" s="2150"/>
      <c r="AA42" s="2150"/>
      <c r="AB42" s="2150"/>
      <c r="AC42" s="2150"/>
    </row>
    <row r="43" spans="1:29">
      <c r="A43" s="1450"/>
      <c r="B43" s="1450"/>
      <c r="C43" s="1450"/>
      <c r="D43" s="529"/>
      <c r="E43" s="529"/>
      <c r="F43" s="529"/>
      <c r="G43" s="529"/>
      <c r="H43" s="529"/>
      <c r="I43" s="529"/>
      <c r="J43" s="1475"/>
      <c r="K43" s="1475"/>
      <c r="L43" s="1475"/>
      <c r="M43" s="1475"/>
      <c r="N43" s="1475"/>
      <c r="O43" s="1475"/>
      <c r="P43" s="2150"/>
      <c r="Q43" s="2150"/>
      <c r="R43" s="1732"/>
      <c r="S43" s="2150"/>
      <c r="T43" s="2150"/>
      <c r="U43" s="2150"/>
      <c r="V43" s="2150"/>
      <c r="W43" s="2150"/>
      <c r="X43" s="2150"/>
      <c r="Y43" s="2150"/>
      <c r="Z43" s="2150"/>
      <c r="AA43" s="2150"/>
      <c r="AB43" s="2150"/>
      <c r="AC43" s="2150"/>
    </row>
    <row r="44" spans="1:29">
      <c r="A44" s="529"/>
      <c r="B44" s="529"/>
      <c r="C44" s="529"/>
      <c r="D44" s="529"/>
      <c r="E44" s="529"/>
      <c r="F44" s="529"/>
      <c r="G44" s="529"/>
      <c r="H44" s="529"/>
      <c r="I44" s="1432"/>
      <c r="J44" s="1694">
        <v>1</v>
      </c>
      <c r="K44" s="1694"/>
      <c r="L44" s="1694">
        <v>2012</v>
      </c>
      <c r="M44" s="1694"/>
      <c r="N44" s="45" t="s">
        <v>3255</v>
      </c>
      <c r="O44" s="45"/>
      <c r="P44" s="1470">
        <v>9764581</v>
      </c>
      <c r="Q44" s="2153">
        <f>Z69</f>
        <v>0.95099999999999996</v>
      </c>
      <c r="R44" s="2114">
        <f t="shared" ref="R44:R48" si="0">ROUND(P44/Q44,0)</f>
        <v>10267698</v>
      </c>
      <c r="S44" s="2150"/>
      <c r="T44" s="2150"/>
      <c r="U44" s="2150"/>
      <c r="V44" s="2150"/>
      <c r="W44" s="2150"/>
      <c r="X44" s="2150"/>
      <c r="Y44" s="2150"/>
      <c r="Z44" s="2150"/>
      <c r="AA44" s="2150"/>
      <c r="AB44" s="2150"/>
      <c r="AC44" s="2150"/>
    </row>
    <row r="45" spans="1:29">
      <c r="A45" s="529"/>
      <c r="B45" s="529"/>
      <c r="C45" s="529"/>
      <c r="D45" s="529"/>
      <c r="E45" s="529"/>
      <c r="F45" s="529"/>
      <c r="G45" s="529"/>
      <c r="H45" s="529"/>
      <c r="I45" s="529"/>
      <c r="J45" s="1694">
        <v>2</v>
      </c>
      <c r="K45" s="1694"/>
      <c r="L45" s="1694">
        <v>2013</v>
      </c>
      <c r="M45" s="1694"/>
      <c r="N45" s="45" t="s">
        <v>3255</v>
      </c>
      <c r="O45" s="45"/>
      <c r="P45" s="1366">
        <v>7960726</v>
      </c>
      <c r="Q45" s="2153">
        <f t="shared" ref="Q45:Q48" si="1">Z70</f>
        <v>0.96499999999999997</v>
      </c>
      <c r="R45" s="1469">
        <f t="shared" si="0"/>
        <v>8249457</v>
      </c>
      <c r="S45" s="2150"/>
      <c r="T45" s="2150"/>
      <c r="U45" s="2150"/>
      <c r="V45" s="2150"/>
      <c r="W45" s="2150"/>
      <c r="X45" s="2150"/>
      <c r="Y45" s="2150"/>
      <c r="Z45" s="2150"/>
      <c r="AA45" s="2150"/>
      <c r="AB45" s="2150"/>
      <c r="AC45" s="2150"/>
    </row>
    <row r="46" spans="1:29">
      <c r="A46" s="529"/>
      <c r="B46" s="529"/>
      <c r="C46" s="529"/>
      <c r="D46" s="529"/>
      <c r="E46" s="529"/>
      <c r="F46" s="529"/>
      <c r="G46" s="529"/>
      <c r="H46" s="529"/>
      <c r="I46" s="1432"/>
      <c r="J46" s="1694">
        <v>3</v>
      </c>
      <c r="K46" s="1694"/>
      <c r="L46" s="1694">
        <v>2014</v>
      </c>
      <c r="M46" s="1694"/>
      <c r="N46" s="45" t="s">
        <v>3255</v>
      </c>
      <c r="O46" s="45"/>
      <c r="P46" s="1468">
        <v>10486664</v>
      </c>
      <c r="Q46" s="2153">
        <f t="shared" si="1"/>
        <v>0.97299999999999998</v>
      </c>
      <c r="R46" s="1469">
        <f t="shared" si="0"/>
        <v>10777661</v>
      </c>
      <c r="S46" s="2150"/>
      <c r="T46" s="2150"/>
      <c r="U46" s="2150"/>
      <c r="V46" s="2150"/>
      <c r="W46" s="2150"/>
      <c r="X46" s="2150"/>
      <c r="Y46" s="2150"/>
      <c r="Z46" s="2150"/>
      <c r="AA46" s="2150"/>
      <c r="AB46" s="2150"/>
      <c r="AC46" s="2150"/>
    </row>
    <row r="47" spans="1:29">
      <c r="A47" s="532"/>
      <c r="B47" s="532"/>
      <c r="C47" s="532"/>
      <c r="D47" s="532"/>
      <c r="E47" s="532"/>
      <c r="F47" s="532"/>
      <c r="G47" s="532"/>
      <c r="H47" s="532"/>
      <c r="I47" s="529"/>
      <c r="J47" s="1694">
        <v>4</v>
      </c>
      <c r="K47" s="1694"/>
      <c r="L47" s="1694">
        <v>2015</v>
      </c>
      <c r="M47" s="1694"/>
      <c r="N47" s="45" t="s">
        <v>3255</v>
      </c>
      <c r="O47" s="45"/>
      <c r="P47" s="1468">
        <v>11256655</v>
      </c>
      <c r="Q47" s="2153">
        <f t="shared" si="1"/>
        <v>0.98</v>
      </c>
      <c r="R47" s="1469">
        <f t="shared" si="0"/>
        <v>11486383</v>
      </c>
      <c r="S47" s="2150"/>
      <c r="T47" s="2150"/>
      <c r="U47" s="2150"/>
      <c r="V47" s="2150"/>
      <c r="W47" s="2150"/>
      <c r="X47" s="2150"/>
      <c r="Y47" s="2150"/>
      <c r="Z47" s="2150"/>
      <c r="AA47" s="2150"/>
      <c r="AB47" s="2150"/>
      <c r="AC47" s="2150"/>
    </row>
    <row r="48" spans="1:29">
      <c r="A48" s="529"/>
      <c r="B48" s="529"/>
      <c r="C48" s="529"/>
      <c r="D48" s="529"/>
      <c r="E48" s="529"/>
      <c r="F48" s="529"/>
      <c r="G48" s="529"/>
      <c r="H48" s="529"/>
      <c r="I48" s="1432"/>
      <c r="J48" s="1694">
        <v>5</v>
      </c>
      <c r="K48" s="1694"/>
      <c r="L48" s="1694">
        <v>2016</v>
      </c>
      <c r="M48" s="1694"/>
      <c r="N48" s="45" t="s">
        <v>3255</v>
      </c>
      <c r="O48" s="45"/>
      <c r="P48" s="1468">
        <v>10981713</v>
      </c>
      <c r="Q48" s="2153">
        <f t="shared" si="1"/>
        <v>1</v>
      </c>
      <c r="R48" s="1469">
        <f t="shared" si="0"/>
        <v>10981713</v>
      </c>
      <c r="S48" s="2150"/>
      <c r="T48" s="2150"/>
      <c r="U48" s="2150"/>
      <c r="V48" s="2150"/>
      <c r="W48" s="2150"/>
      <c r="X48" s="2150"/>
      <c r="Y48" s="2150"/>
      <c r="Z48" s="2150"/>
      <c r="AA48" s="2150"/>
      <c r="AB48" s="2150"/>
      <c r="AC48" s="2150"/>
    </row>
    <row r="49" spans="1:29">
      <c r="A49" s="529"/>
      <c r="B49" s="529"/>
      <c r="C49" s="529"/>
      <c r="D49" s="529"/>
      <c r="E49" s="529"/>
      <c r="F49" s="529"/>
      <c r="G49" s="529"/>
      <c r="H49" s="529"/>
      <c r="I49" s="1432"/>
      <c r="J49" s="1694">
        <v>6</v>
      </c>
      <c r="K49" s="1694"/>
      <c r="L49" s="1694"/>
      <c r="M49" s="1694"/>
      <c r="N49" s="45"/>
      <c r="O49" s="45"/>
      <c r="P49" s="1468"/>
      <c r="Q49" s="1674"/>
      <c r="R49" s="1674"/>
      <c r="S49" s="2150"/>
      <c r="T49" s="2150"/>
      <c r="U49" s="2150"/>
      <c r="V49" s="2150"/>
      <c r="W49" s="2150"/>
      <c r="X49" s="2150"/>
      <c r="Y49" s="2150"/>
      <c r="Z49" s="2150"/>
      <c r="AA49" s="2150"/>
      <c r="AB49" s="2150"/>
      <c r="AC49" s="2150"/>
    </row>
    <row r="50" spans="1:29">
      <c r="A50" s="529"/>
      <c r="B50" s="529"/>
      <c r="C50" s="529"/>
      <c r="D50" s="529"/>
      <c r="E50" s="529"/>
      <c r="F50" s="529"/>
      <c r="G50" s="529"/>
      <c r="H50" s="529"/>
      <c r="I50" s="1432"/>
      <c r="J50" s="1694">
        <v>7</v>
      </c>
      <c r="K50" s="1694"/>
      <c r="L50" s="1694"/>
      <c r="M50" s="1694"/>
      <c r="N50" s="2154" t="s">
        <v>3256</v>
      </c>
      <c r="O50" s="2155"/>
      <c r="P50" s="2117">
        <f>AVERAGE(P44:P48)</f>
        <v>10090067.800000001</v>
      </c>
      <c r="Q50" s="2156"/>
      <c r="R50" s="2664">
        <f>AVERAGE(R44:R48)</f>
        <v>10352582.4</v>
      </c>
      <c r="S50" s="2156"/>
      <c r="T50" s="2150"/>
      <c r="U50" s="2150"/>
      <c r="V50" s="2150"/>
      <c r="W50" s="2150"/>
      <c r="X50" s="2150"/>
      <c r="Y50" s="2150"/>
      <c r="Z50" s="2150"/>
      <c r="AA50" s="2150"/>
      <c r="AB50" s="2150"/>
      <c r="AC50" s="2150"/>
    </row>
    <row r="51" spans="1:29">
      <c r="A51" s="529"/>
      <c r="B51" s="529"/>
      <c r="C51" s="529"/>
      <c r="D51" s="529"/>
      <c r="E51" s="529"/>
      <c r="F51" s="529"/>
      <c r="G51" s="529"/>
      <c r="H51" s="529"/>
      <c r="I51" s="529"/>
      <c r="J51" s="1694">
        <v>8</v>
      </c>
      <c r="K51" s="1694"/>
      <c r="L51" s="1694"/>
      <c r="M51" s="1694"/>
      <c r="N51" s="2150"/>
      <c r="O51" s="2150"/>
      <c r="P51" s="2157"/>
      <c r="Q51" s="2158"/>
      <c r="R51" s="2157"/>
      <c r="S51" s="2157"/>
      <c r="T51" s="2150"/>
      <c r="U51" s="2150"/>
      <c r="V51" s="2150"/>
      <c r="W51" s="2150"/>
      <c r="X51" s="2150"/>
      <c r="Y51" s="2150"/>
      <c r="Z51" s="2150"/>
      <c r="AA51" s="2150"/>
      <c r="AB51" s="2150"/>
      <c r="AC51" s="2150"/>
    </row>
    <row r="52" spans="1:29">
      <c r="A52" s="529"/>
      <c r="B52" s="529"/>
      <c r="C52" s="529"/>
      <c r="D52" s="529"/>
      <c r="E52" s="529"/>
      <c r="F52" s="529"/>
      <c r="G52" s="529"/>
      <c r="H52" s="529"/>
      <c r="I52" s="529"/>
      <c r="J52" s="1694">
        <v>9</v>
      </c>
      <c r="K52" s="1694"/>
      <c r="L52" s="1694"/>
      <c r="M52" s="1694"/>
      <c r="N52" s="2159" t="s">
        <v>3257</v>
      </c>
      <c r="O52" s="2160"/>
      <c r="P52" s="2161"/>
      <c r="Q52" s="2161"/>
      <c r="R52" s="2162">
        <f>R50</f>
        <v>10352582.4</v>
      </c>
      <c r="S52" s="2161"/>
      <c r="T52" s="2150"/>
      <c r="U52" s="2150"/>
      <c r="V52" s="2150"/>
      <c r="W52" s="2150"/>
      <c r="X52" s="2150"/>
      <c r="Y52" s="2150"/>
      <c r="Z52" s="2150"/>
      <c r="AA52" s="2150"/>
      <c r="AB52" s="2150"/>
      <c r="AC52" s="2150"/>
    </row>
    <row r="53" spans="1:29">
      <c r="A53" s="529"/>
      <c r="B53" s="529"/>
      <c r="C53" s="529"/>
      <c r="D53" s="529"/>
      <c r="E53" s="529"/>
      <c r="F53" s="529"/>
      <c r="G53" s="529"/>
      <c r="H53" s="529"/>
      <c r="I53" s="529"/>
      <c r="J53" s="1694">
        <v>10</v>
      </c>
      <c r="K53" s="1694"/>
      <c r="L53" s="1694"/>
      <c r="M53" s="1694"/>
      <c r="N53" s="2160"/>
      <c r="O53" s="2160"/>
      <c r="P53" s="2161"/>
      <c r="Q53" s="2161"/>
      <c r="R53" s="2161"/>
      <c r="S53" s="2161"/>
      <c r="T53" s="2150"/>
      <c r="U53" s="2150"/>
      <c r="V53" s="2150"/>
      <c r="W53" s="2150"/>
      <c r="X53" s="2150"/>
      <c r="Y53" s="2150"/>
      <c r="Z53" s="2150"/>
      <c r="AA53" s="2150"/>
      <c r="AB53" s="2150"/>
      <c r="AC53" s="2150"/>
    </row>
    <row r="54" spans="1:29">
      <c r="A54" s="529"/>
      <c r="B54" s="529"/>
      <c r="C54" s="529"/>
      <c r="D54" s="529"/>
      <c r="E54" s="529"/>
      <c r="F54" s="529"/>
      <c r="G54" s="529"/>
      <c r="H54" s="529"/>
      <c r="I54" s="529"/>
      <c r="J54" s="1694">
        <v>11</v>
      </c>
      <c r="K54" s="1694"/>
      <c r="L54" s="1694"/>
      <c r="M54" s="1694"/>
      <c r="N54" s="2159" t="s">
        <v>3260</v>
      </c>
      <c r="O54" s="2159"/>
      <c r="P54" s="2162"/>
      <c r="Q54" s="2162"/>
      <c r="R54" s="2163">
        <v>5575439.7999999998</v>
      </c>
      <c r="S54" s="2162"/>
      <c r="T54" s="2150"/>
      <c r="U54" s="2150"/>
      <c r="V54" s="2150"/>
      <c r="W54" s="2150"/>
      <c r="X54" s="2150"/>
      <c r="Y54" s="2150"/>
      <c r="Z54" s="2150"/>
      <c r="AA54" s="2150"/>
      <c r="AB54" s="2150"/>
      <c r="AC54" s="2150"/>
    </row>
    <row r="55" spans="1:29">
      <c r="A55" s="529"/>
      <c r="B55" s="529"/>
      <c r="C55" s="529"/>
      <c r="D55" s="529"/>
      <c r="E55" s="529"/>
      <c r="F55" s="529"/>
      <c r="G55" s="529"/>
      <c r="H55" s="529"/>
      <c r="I55" s="529"/>
      <c r="J55" s="1694">
        <v>12</v>
      </c>
      <c r="K55" s="2150"/>
      <c r="L55" s="2150"/>
      <c r="M55" s="2150"/>
      <c r="N55" s="2164"/>
      <c r="O55" s="2164"/>
      <c r="P55" s="1468"/>
      <c r="Q55" s="1674"/>
      <c r="R55" s="1674"/>
      <c r="S55" s="1674"/>
      <c r="T55" s="2150"/>
      <c r="U55" s="2150"/>
      <c r="V55" s="2150"/>
      <c r="W55" s="2150"/>
      <c r="X55" s="2150"/>
      <c r="Y55" s="2150"/>
      <c r="Z55" s="2150"/>
      <c r="AA55" s="2150"/>
      <c r="AB55" s="2150"/>
      <c r="AC55" s="2150"/>
    </row>
    <row r="56" spans="1:29" ht="13.5" thickBot="1">
      <c r="A56" s="529"/>
      <c r="B56" s="529"/>
      <c r="C56" s="529"/>
      <c r="D56" s="529"/>
      <c r="E56" s="529"/>
      <c r="F56" s="529"/>
      <c r="G56" s="529"/>
      <c r="H56" s="529"/>
      <c r="J56" s="1694">
        <v>13</v>
      </c>
      <c r="K56" s="2150"/>
      <c r="L56" s="2150"/>
      <c r="M56" s="2150"/>
      <c r="N56" s="2165" t="s">
        <v>3261</v>
      </c>
      <c r="O56" s="2164"/>
      <c r="P56" s="1468"/>
      <c r="Q56" s="1674"/>
      <c r="R56" s="2123">
        <f>R52-R54</f>
        <v>4777142.6000000006</v>
      </c>
      <c r="S56" s="1674"/>
      <c r="T56" s="2150"/>
      <c r="U56" s="2150"/>
      <c r="V56" s="2150"/>
      <c r="W56" s="2150"/>
      <c r="X56" s="2150"/>
      <c r="Y56" s="2150"/>
      <c r="Z56" s="2150"/>
      <c r="AA56" s="2150"/>
      <c r="AB56" s="2150"/>
      <c r="AC56" s="2150"/>
    </row>
    <row r="57" spans="1:29" ht="13.5" thickTop="1">
      <c r="A57" s="529"/>
      <c r="B57" s="529"/>
      <c r="C57" s="529"/>
      <c r="D57" s="529"/>
      <c r="E57" s="529"/>
      <c r="F57" s="529"/>
      <c r="G57" s="529"/>
      <c r="H57" s="529"/>
      <c r="J57" s="2150"/>
      <c r="K57" s="2150"/>
      <c r="L57" s="2150"/>
      <c r="M57" s="2150"/>
      <c r="N57" s="2164"/>
      <c r="O57" s="2164"/>
      <c r="P57" s="1468"/>
      <c r="Q57" s="1674"/>
      <c r="R57" s="1674"/>
      <c r="S57" s="1674"/>
      <c r="T57" s="2150"/>
      <c r="U57" s="2150"/>
      <c r="V57" s="2150"/>
      <c r="W57" s="2150"/>
      <c r="X57" s="2150"/>
      <c r="Y57" s="2150"/>
      <c r="Z57" s="2150"/>
      <c r="AA57" s="2150"/>
      <c r="AB57" s="2150"/>
      <c r="AC57" s="2150"/>
    </row>
    <row r="58" spans="1:29">
      <c r="A58" s="529"/>
      <c r="B58" s="529"/>
      <c r="C58" s="529"/>
      <c r="D58" s="529"/>
      <c r="E58" s="529"/>
      <c r="F58" s="529"/>
      <c r="G58" s="529"/>
      <c r="H58" s="529"/>
      <c r="J58" s="2150"/>
      <c r="K58" s="2150"/>
      <c r="L58" s="2150"/>
      <c r="M58" s="2150"/>
      <c r="N58" s="2150"/>
      <c r="O58" s="2150"/>
      <c r="P58" s="2150"/>
      <c r="Q58" s="2150"/>
      <c r="R58" s="2150"/>
      <c r="S58" s="2150"/>
      <c r="T58" s="2124" t="str">
        <f>COMPANY</f>
        <v>DUKE ENERGY KENTUCKY, INC.</v>
      </c>
      <c r="U58" s="1288"/>
      <c r="V58" s="1288"/>
      <c r="W58" s="1288"/>
      <c r="X58" s="1288"/>
      <c r="Y58" s="1288"/>
      <c r="Z58" s="2150"/>
      <c r="AA58" s="2124" t="s">
        <v>3253</v>
      </c>
      <c r="AB58" s="1178"/>
      <c r="AC58" s="2150"/>
    </row>
    <row r="59" spans="1:29">
      <c r="A59" s="529"/>
      <c r="B59" s="529"/>
      <c r="C59" s="529"/>
      <c r="D59" s="529"/>
      <c r="E59" s="529"/>
      <c r="F59" s="529"/>
      <c r="G59" s="529"/>
      <c r="H59" s="529"/>
      <c r="J59" s="2150"/>
      <c r="K59" s="2150"/>
      <c r="L59" s="2150"/>
      <c r="M59" s="2150"/>
      <c r="N59" s="2150"/>
      <c r="O59" s="2150"/>
      <c r="P59" s="2150"/>
      <c r="Q59" s="2150"/>
      <c r="R59" s="2150"/>
      <c r="S59" s="2150"/>
      <c r="T59" s="2124" t="str">
        <f>DEPT</f>
        <v>ELECTRIC DEPARTMENT</v>
      </c>
      <c r="U59" s="1288"/>
      <c r="V59" s="1288"/>
      <c r="W59" s="1288"/>
      <c r="X59" s="1288"/>
      <c r="Y59" s="1288"/>
      <c r="Z59" s="2150"/>
      <c r="AA59" s="2124" t="s">
        <v>1239</v>
      </c>
      <c r="AB59" s="1178"/>
      <c r="AC59" s="2150"/>
    </row>
    <row r="60" spans="1:29">
      <c r="A60" s="529"/>
      <c r="B60" s="529"/>
      <c r="C60" s="529"/>
      <c r="D60" s="529"/>
      <c r="E60" s="529"/>
      <c r="F60" s="529"/>
      <c r="G60" s="529"/>
      <c r="H60" s="529"/>
      <c r="J60" s="2150"/>
      <c r="K60" s="2150"/>
      <c r="L60" s="2150"/>
      <c r="M60" s="2150"/>
      <c r="N60" s="2150"/>
      <c r="O60" s="2150"/>
      <c r="P60" s="2150"/>
      <c r="Q60" s="2150"/>
      <c r="R60" s="2150"/>
      <c r="S60" s="2150"/>
      <c r="T60" s="2124" t="str">
        <f>CASE</f>
        <v>CASE NO. 2017-00321</v>
      </c>
      <c r="U60" s="1288"/>
      <c r="V60" s="1288"/>
      <c r="W60" s="1288"/>
      <c r="X60" s="1288"/>
      <c r="Y60" s="1288"/>
      <c r="Z60" s="2150"/>
      <c r="AA60" s="1288" t="str">
        <f>_WIT10</f>
        <v>R. H. PRATT</v>
      </c>
      <c r="AB60" s="1178"/>
      <c r="AC60" s="2150"/>
    </row>
    <row r="61" spans="1:29">
      <c r="A61" s="529"/>
      <c r="B61" s="529"/>
      <c r="C61" s="529"/>
      <c r="D61" s="529"/>
      <c r="E61" s="529"/>
      <c r="F61" s="529"/>
      <c r="G61" s="529"/>
      <c r="H61" s="529"/>
      <c r="J61" s="2150"/>
      <c r="K61" s="2150"/>
      <c r="L61" s="2150"/>
      <c r="M61" s="2150"/>
      <c r="N61" s="2150"/>
      <c r="O61" s="2150"/>
      <c r="P61" s="2150"/>
      <c r="Q61" s="2150"/>
      <c r="R61" s="2150"/>
      <c r="S61" s="2150"/>
      <c r="T61" s="2124" t="s">
        <v>2275</v>
      </c>
      <c r="U61" s="1288"/>
      <c r="V61" s="1288"/>
      <c r="W61" s="1288"/>
      <c r="X61" s="1288"/>
      <c r="Y61" s="1288"/>
      <c r="Z61" s="1288"/>
      <c r="AA61" s="1288"/>
      <c r="AB61" s="1288"/>
      <c r="AC61" s="2150"/>
    </row>
    <row r="62" spans="1:29">
      <c r="A62" s="529"/>
      <c r="B62" s="529"/>
      <c r="C62" s="529"/>
      <c r="D62" s="529"/>
      <c r="E62" s="529"/>
      <c r="F62" s="529"/>
      <c r="G62" s="529"/>
      <c r="H62" s="529"/>
      <c r="J62" s="2150"/>
      <c r="K62" s="2150"/>
      <c r="L62" s="2150"/>
      <c r="M62" s="2150"/>
      <c r="N62" s="2150"/>
      <c r="O62" s="2150"/>
      <c r="P62" s="2150"/>
      <c r="Q62" s="2150"/>
      <c r="R62" s="2150"/>
      <c r="S62" s="2150"/>
      <c r="T62" s="2124" t="s">
        <v>2276</v>
      </c>
      <c r="U62" s="1288"/>
      <c r="V62" s="1288"/>
      <c r="W62" s="1288"/>
      <c r="X62" s="1288"/>
      <c r="Y62" s="1288"/>
      <c r="Z62" s="1288"/>
      <c r="AA62" s="1288"/>
      <c r="AB62" s="1288"/>
      <c r="AC62" s="2150"/>
    </row>
    <row r="63" spans="1:29">
      <c r="A63" s="529"/>
      <c r="B63" s="529"/>
      <c r="C63" s="529"/>
      <c r="D63" s="529"/>
      <c r="E63" s="529"/>
      <c r="F63" s="529"/>
      <c r="G63" s="529"/>
      <c r="H63" s="529"/>
      <c r="J63" s="2150"/>
      <c r="K63" s="2150"/>
      <c r="L63" s="2150"/>
      <c r="M63" s="2150"/>
      <c r="N63" s="2150"/>
      <c r="O63" s="2150"/>
      <c r="P63" s="2150"/>
      <c r="Q63" s="2150"/>
      <c r="R63" s="2150"/>
      <c r="S63" s="2150"/>
      <c r="T63" s="1629" t="s">
        <v>2675</v>
      </c>
      <c r="U63" s="1288"/>
      <c r="V63" s="1288"/>
      <c r="W63" s="1288"/>
      <c r="X63" s="1288"/>
      <c r="Y63" s="1288"/>
      <c r="Z63" s="1288"/>
      <c r="AA63" s="1288"/>
      <c r="AB63" s="1288"/>
      <c r="AC63" s="2150"/>
    </row>
    <row r="64" spans="1:29">
      <c r="A64" s="529"/>
      <c r="B64" s="529"/>
      <c r="C64" s="529"/>
      <c r="D64" s="529"/>
      <c r="E64" s="529"/>
      <c r="F64" s="529"/>
      <c r="G64" s="529"/>
      <c r="H64" s="529"/>
      <c r="J64" s="2150"/>
      <c r="K64" s="2150"/>
      <c r="L64" s="2150"/>
      <c r="M64" s="2150"/>
      <c r="N64" s="2150"/>
      <c r="O64" s="2150"/>
      <c r="P64" s="2150"/>
      <c r="Q64" s="2150"/>
      <c r="R64" s="2150"/>
      <c r="S64" s="2150"/>
      <c r="T64" s="2124"/>
      <c r="U64" s="1288"/>
      <c r="V64" s="1288"/>
      <c r="W64" s="1288"/>
      <c r="X64" s="1288"/>
      <c r="Y64" s="1288"/>
      <c r="Z64" s="1288"/>
      <c r="AA64" s="1288"/>
      <c r="AB64" s="1288"/>
      <c r="AC64" s="2150"/>
    </row>
    <row r="65" spans="1:29">
      <c r="A65" s="529"/>
      <c r="B65" s="529"/>
      <c r="C65" s="529"/>
      <c r="D65" s="529"/>
      <c r="E65" s="529"/>
      <c r="F65" s="529"/>
      <c r="G65" s="529"/>
      <c r="H65" s="529"/>
      <c r="J65" s="2150"/>
      <c r="K65" s="2150"/>
      <c r="L65" s="2150"/>
      <c r="M65" s="2150"/>
      <c r="N65" s="2150"/>
      <c r="O65" s="2150"/>
      <c r="P65" s="2150"/>
      <c r="Q65" s="2150"/>
      <c r="R65" s="2150"/>
      <c r="S65" s="2150"/>
      <c r="T65" s="1288"/>
      <c r="U65" s="1288"/>
      <c r="V65" s="1288"/>
      <c r="W65" s="1288"/>
      <c r="X65" s="1290" t="s">
        <v>2277</v>
      </c>
      <c r="Y65" s="1288"/>
      <c r="Z65" s="1290" t="s">
        <v>2272</v>
      </c>
      <c r="AA65" s="1290"/>
      <c r="AB65" s="1288"/>
      <c r="AC65" s="2150"/>
    </row>
    <row r="66" spans="1:29">
      <c r="A66" s="529"/>
      <c r="B66" s="529"/>
      <c r="C66" s="529"/>
      <c r="D66" s="529"/>
      <c r="E66" s="529"/>
      <c r="F66" s="529"/>
      <c r="G66" s="529"/>
      <c r="H66" s="529"/>
      <c r="J66" s="2150"/>
      <c r="K66" s="2150"/>
      <c r="L66" s="2150"/>
      <c r="M66" s="2150"/>
      <c r="N66" s="2150"/>
      <c r="O66" s="2150"/>
      <c r="P66" s="2150"/>
      <c r="Q66" s="2150"/>
      <c r="R66" s="2150"/>
      <c r="S66" s="2150"/>
      <c r="T66" s="1182" t="s">
        <v>1240</v>
      </c>
      <c r="U66" s="1288"/>
      <c r="V66" s="1288"/>
      <c r="W66" s="1288"/>
      <c r="X66" s="1290" t="s">
        <v>2278</v>
      </c>
      <c r="Y66" s="1288"/>
      <c r="Z66" s="1290" t="s">
        <v>2626</v>
      </c>
      <c r="AA66" s="1290"/>
      <c r="AB66" s="1288"/>
      <c r="AC66" s="2150"/>
    </row>
    <row r="67" spans="1:29">
      <c r="A67" s="529"/>
      <c r="B67" s="529"/>
      <c r="C67" s="529"/>
      <c r="D67" s="529"/>
      <c r="E67" s="529"/>
      <c r="F67" s="529"/>
      <c r="G67" s="529"/>
      <c r="H67" s="529"/>
      <c r="J67" s="2150"/>
      <c r="K67" s="2150"/>
      <c r="L67" s="2150"/>
      <c r="M67" s="2150"/>
      <c r="N67" s="2150"/>
      <c r="O67" s="2150"/>
      <c r="P67" s="2150"/>
      <c r="Q67" s="2150"/>
      <c r="R67" s="2150"/>
      <c r="S67" s="2150"/>
      <c r="T67" s="1183" t="s">
        <v>1241</v>
      </c>
      <c r="U67" s="2128"/>
      <c r="V67" s="2129" t="s">
        <v>2273</v>
      </c>
      <c r="W67" s="2128"/>
      <c r="X67" s="2129" t="s">
        <v>2279</v>
      </c>
      <c r="Y67" s="2128"/>
      <c r="Z67" s="2130" t="str">
        <f>"Col. 2 / "&amp;TEXT( X73,"###.0")</f>
        <v>Col. 2 / 241.4</v>
      </c>
      <c r="AA67" s="2130"/>
      <c r="AB67" s="1288"/>
      <c r="AC67" s="2150"/>
    </row>
    <row r="68" spans="1:29">
      <c r="A68" s="529"/>
      <c r="B68" s="529"/>
      <c r="C68" s="529"/>
      <c r="D68" s="529"/>
      <c r="E68" s="529"/>
      <c r="F68" s="529"/>
      <c r="G68" s="529"/>
      <c r="H68" s="529"/>
      <c r="J68" s="2150"/>
      <c r="K68" s="2150"/>
      <c r="L68" s="2150"/>
      <c r="M68" s="2150"/>
      <c r="N68" s="2150"/>
      <c r="O68" s="2150"/>
      <c r="P68" s="2150"/>
      <c r="Q68" s="2150"/>
      <c r="R68" s="2150"/>
      <c r="S68" s="2150"/>
      <c r="T68" s="1183"/>
      <c r="U68" s="2128"/>
      <c r="V68" s="2129"/>
      <c r="W68" s="2128"/>
      <c r="X68" s="2129"/>
      <c r="Y68" s="2128"/>
      <c r="Z68" s="2130"/>
      <c r="AA68" s="530"/>
      <c r="AB68" s="530"/>
      <c r="AC68" s="2150"/>
    </row>
    <row r="69" spans="1:29">
      <c r="A69" s="529"/>
      <c r="B69" s="529"/>
      <c r="C69" s="529"/>
      <c r="D69" s="529"/>
      <c r="E69" s="529"/>
      <c r="F69" s="529"/>
      <c r="G69" s="529"/>
      <c r="H69" s="529"/>
      <c r="J69" s="2150"/>
      <c r="K69" s="2150"/>
      <c r="L69" s="2150"/>
      <c r="M69" s="2150"/>
      <c r="N69" s="2150"/>
      <c r="O69" s="2150"/>
      <c r="P69" s="2150"/>
      <c r="Q69" s="2150"/>
      <c r="R69" s="2150"/>
      <c r="S69" s="2150"/>
      <c r="T69" s="1182">
        <v>1</v>
      </c>
      <c r="U69" s="2128"/>
      <c r="V69" s="1287">
        <v>2012</v>
      </c>
      <c r="W69" s="1288"/>
      <c r="X69" s="1289">
        <v>229.6</v>
      </c>
      <c r="Y69" s="2131"/>
      <c r="Z69" s="2132">
        <f>ROUND(X69/$X$73,3)</f>
        <v>0.95099999999999996</v>
      </c>
      <c r="AA69" s="530"/>
      <c r="AB69" s="530"/>
      <c r="AC69" s="2150"/>
    </row>
    <row r="70" spans="1:29">
      <c r="A70" s="529"/>
      <c r="B70" s="529"/>
      <c r="C70" s="529"/>
      <c r="D70" s="529"/>
      <c r="E70" s="529"/>
      <c r="F70" s="529"/>
      <c r="G70" s="529"/>
      <c r="H70" s="529"/>
      <c r="J70" s="2150"/>
      <c r="K70" s="2150"/>
      <c r="L70" s="2150"/>
      <c r="M70" s="2150"/>
      <c r="N70" s="2150"/>
      <c r="O70" s="2150"/>
      <c r="P70" s="2150"/>
      <c r="Q70" s="2150"/>
      <c r="R70" s="2150"/>
      <c r="S70" s="2150"/>
      <c r="T70" s="1290">
        <f>T69+1</f>
        <v>2</v>
      </c>
      <c r="U70" s="1288"/>
      <c r="V70" s="1287">
        <v>2013</v>
      </c>
      <c r="W70" s="1288"/>
      <c r="X70" s="1289">
        <v>233</v>
      </c>
      <c r="Y70" s="2131"/>
      <c r="Z70" s="2132">
        <f t="shared" ref="Z70:Z73" si="2">ROUND(X70/$X$73,3)</f>
        <v>0.96499999999999997</v>
      </c>
      <c r="AA70" s="1629"/>
      <c r="AB70" s="530"/>
      <c r="AC70" s="2150"/>
    </row>
    <row r="71" spans="1:29">
      <c r="A71" s="529"/>
      <c r="B71" s="529"/>
      <c r="C71" s="529"/>
      <c r="D71" s="529"/>
      <c r="E71" s="529"/>
      <c r="F71" s="529"/>
      <c r="G71" s="529"/>
      <c r="H71" s="529"/>
      <c r="J71" s="2150"/>
      <c r="K71" s="2150"/>
      <c r="L71" s="2150"/>
      <c r="M71" s="2150"/>
      <c r="N71" s="2150"/>
      <c r="O71" s="2150"/>
      <c r="P71" s="2150"/>
      <c r="Q71" s="2150"/>
      <c r="R71" s="2150"/>
      <c r="S71" s="2150"/>
      <c r="T71" s="1290">
        <f t="shared" ref="T71:T73" si="3">T70+1</f>
        <v>3</v>
      </c>
      <c r="U71" s="1288"/>
      <c r="V71" s="1287">
        <v>2014</v>
      </c>
      <c r="W71" s="1288"/>
      <c r="X71" s="1289">
        <v>234.8</v>
      </c>
      <c r="Y71" s="2131"/>
      <c r="Z71" s="2132">
        <f t="shared" si="2"/>
        <v>0.97299999999999998</v>
      </c>
      <c r="AA71" s="1629"/>
      <c r="AB71" s="1629" t="s">
        <v>3254</v>
      </c>
      <c r="AC71" s="2150"/>
    </row>
    <row r="72" spans="1:29">
      <c r="A72" s="529"/>
      <c r="B72" s="529"/>
      <c r="C72" s="529"/>
      <c r="D72" s="529"/>
      <c r="E72" s="529"/>
      <c r="F72" s="529"/>
      <c r="G72" s="529"/>
      <c r="H72" s="529"/>
      <c r="J72" s="2150"/>
      <c r="K72" s="2150"/>
      <c r="L72" s="2150"/>
      <c r="M72" s="2150"/>
      <c r="N72" s="2150"/>
      <c r="O72" s="2150"/>
      <c r="P72" s="2150"/>
      <c r="Q72" s="2150"/>
      <c r="R72" s="2150"/>
      <c r="S72" s="2150"/>
      <c r="T72" s="1290">
        <f t="shared" si="3"/>
        <v>4</v>
      </c>
      <c r="U72" s="1288"/>
      <c r="V72" s="1287">
        <v>2015</v>
      </c>
      <c r="W72" s="1288"/>
      <c r="X72" s="1289">
        <v>236.5</v>
      </c>
      <c r="Y72" s="2131"/>
      <c r="Z72" s="2132">
        <f t="shared" si="2"/>
        <v>0.98</v>
      </c>
      <c r="AA72" s="1629"/>
      <c r="AB72" s="2150"/>
      <c r="AC72" s="2150"/>
    </row>
    <row r="73" spans="1:29">
      <c r="A73" s="529"/>
      <c r="B73" s="529"/>
      <c r="C73" s="529"/>
      <c r="D73" s="529"/>
      <c r="E73" s="529"/>
      <c r="F73" s="529"/>
      <c r="G73" s="529"/>
      <c r="H73" s="529"/>
      <c r="J73" s="2150"/>
      <c r="K73" s="2150"/>
      <c r="L73" s="2150"/>
      <c r="M73" s="2150"/>
      <c r="N73" s="2150"/>
      <c r="O73" s="2150"/>
      <c r="P73" s="2150"/>
      <c r="Q73" s="2150"/>
      <c r="R73" s="2150"/>
      <c r="S73" s="2150"/>
      <c r="T73" s="1290">
        <f t="shared" si="3"/>
        <v>5</v>
      </c>
      <c r="U73" s="1288"/>
      <c r="V73" s="1287">
        <v>2016</v>
      </c>
      <c r="W73" s="1290"/>
      <c r="X73" s="1289">
        <v>241.4</v>
      </c>
      <c r="Y73" s="2131"/>
      <c r="Z73" s="2132">
        <f t="shared" si="2"/>
        <v>1</v>
      </c>
      <c r="AA73" s="1629"/>
      <c r="AB73" s="530"/>
      <c r="AC73" s="2150"/>
    </row>
    <row r="74" spans="1:29">
      <c r="A74" s="529"/>
      <c r="B74" s="529"/>
      <c r="C74" s="529"/>
      <c r="D74" s="529"/>
      <c r="E74" s="529"/>
      <c r="F74" s="529"/>
      <c r="G74" s="529"/>
      <c r="H74" s="529"/>
      <c r="J74" s="2150"/>
      <c r="K74" s="2150"/>
      <c r="L74" s="2150"/>
      <c r="M74" s="2150"/>
      <c r="N74" s="2150"/>
      <c r="O74" s="2150"/>
      <c r="P74" s="2150"/>
      <c r="Q74" s="2150"/>
      <c r="R74" s="2150"/>
      <c r="S74" s="2150"/>
      <c r="T74" s="18"/>
      <c r="U74" s="18"/>
      <c r="V74" s="18"/>
      <c r="W74" s="18"/>
      <c r="X74" s="18"/>
      <c r="Y74" s="18"/>
      <c r="Z74" s="18"/>
      <c r="AA74" s="18"/>
      <c r="AB74" s="18"/>
      <c r="AC74" s="2150"/>
    </row>
    <row r="75" spans="1:29">
      <c r="A75" s="529"/>
      <c r="B75" s="529"/>
      <c r="C75" s="529"/>
      <c r="D75" s="529"/>
      <c r="E75" s="529"/>
      <c r="F75" s="529"/>
      <c r="G75" s="529"/>
      <c r="H75" s="529"/>
      <c r="J75" s="2150"/>
      <c r="K75" s="2150"/>
      <c r="L75" s="2150"/>
      <c r="M75" s="2150"/>
      <c r="N75" s="2150"/>
      <c r="O75" s="2150"/>
      <c r="P75" s="2150"/>
      <c r="Q75" s="2150"/>
      <c r="R75" s="2150"/>
      <c r="S75" s="2150"/>
      <c r="T75" s="1629" t="s">
        <v>2382</v>
      </c>
      <c r="U75" s="18"/>
      <c r="V75" s="18"/>
      <c r="W75" s="18"/>
      <c r="X75" s="18"/>
      <c r="Y75" s="18"/>
      <c r="Z75" s="18"/>
      <c r="AA75" s="18"/>
      <c r="AB75" s="18"/>
      <c r="AC75" s="2150"/>
    </row>
    <row r="76" spans="1:29">
      <c r="A76" s="529"/>
      <c r="B76" s="529"/>
      <c r="C76" s="529"/>
      <c r="D76" s="529"/>
      <c r="E76" s="529"/>
      <c r="F76" s="529"/>
      <c r="G76" s="529"/>
      <c r="H76" s="529"/>
    </row>
    <row r="77" spans="1:29">
      <c r="A77" s="529"/>
      <c r="B77" s="529"/>
      <c r="C77" s="529"/>
      <c r="D77" s="529"/>
      <c r="E77" s="529"/>
      <c r="F77" s="529"/>
      <c r="G77" s="529"/>
      <c r="H77" s="529"/>
    </row>
    <row r="78" spans="1:29">
      <c r="A78" s="529"/>
      <c r="B78" s="529"/>
      <c r="C78" s="529"/>
      <c r="D78" s="529"/>
      <c r="E78" s="529"/>
      <c r="F78" s="529"/>
      <c r="G78" s="529"/>
      <c r="H78" s="529"/>
    </row>
    <row r="79" spans="1:29">
      <c r="A79" s="529"/>
      <c r="B79" s="529"/>
      <c r="C79" s="529"/>
      <c r="D79" s="529"/>
      <c r="E79" s="529"/>
      <c r="F79" s="529"/>
      <c r="G79" s="529"/>
      <c r="H79" s="529"/>
    </row>
    <row r="80" spans="1:29">
      <c r="A80" s="529"/>
      <c r="B80" s="529"/>
      <c r="C80" s="529"/>
      <c r="D80" s="529"/>
      <c r="E80" s="529"/>
      <c r="F80" s="529"/>
      <c r="G80" s="529"/>
      <c r="H80" s="529"/>
    </row>
    <row r="81" spans="1:8">
      <c r="A81" s="529"/>
      <c r="B81" s="529"/>
      <c r="C81" s="529"/>
      <c r="D81" s="529"/>
      <c r="E81" s="529"/>
      <c r="F81" s="529"/>
      <c r="G81" s="529"/>
      <c r="H81" s="529"/>
    </row>
    <row r="82" spans="1:8">
      <c r="A82" s="529"/>
      <c r="B82" s="529"/>
      <c r="C82" s="529"/>
      <c r="D82" s="529"/>
      <c r="E82" s="529"/>
      <c r="F82" s="529"/>
      <c r="G82" s="529"/>
      <c r="H82" s="529"/>
    </row>
    <row r="83" spans="1:8">
      <c r="A83" s="529"/>
      <c r="B83" s="529"/>
      <c r="C83" s="529"/>
      <c r="D83" s="529"/>
      <c r="E83" s="529"/>
      <c r="F83" s="529"/>
      <c r="G83" s="529"/>
      <c r="H83" s="529"/>
    </row>
    <row r="84" spans="1:8">
      <c r="A84" s="529"/>
      <c r="B84" s="529"/>
      <c r="C84" s="529"/>
      <c r="D84" s="529"/>
      <c r="E84" s="529"/>
      <c r="F84" s="529"/>
      <c r="G84" s="529"/>
      <c r="H84" s="529"/>
    </row>
    <row r="85" spans="1:8">
      <c r="A85" s="529"/>
      <c r="B85" s="529"/>
      <c r="C85" s="529"/>
      <c r="D85" s="529"/>
      <c r="E85" s="529"/>
      <c r="F85" s="529"/>
      <c r="G85" s="529"/>
      <c r="H85" s="529"/>
    </row>
    <row r="86" spans="1:8">
      <c r="A86" s="529"/>
      <c r="B86" s="529"/>
      <c r="C86" s="529"/>
      <c r="D86" s="529"/>
      <c r="E86" s="529"/>
      <c r="F86" s="529"/>
      <c r="G86" s="529"/>
      <c r="H86" s="529"/>
    </row>
    <row r="87" spans="1:8">
      <c r="A87" s="529"/>
      <c r="B87" s="529"/>
      <c r="C87" s="529"/>
      <c r="D87" s="529"/>
      <c r="E87" s="529"/>
      <c r="F87" s="529"/>
      <c r="G87" s="529"/>
      <c r="H87" s="529"/>
    </row>
    <row r="88" spans="1:8">
      <c r="A88" s="529"/>
      <c r="B88" s="529"/>
      <c r="C88" s="529"/>
      <c r="D88" s="529"/>
      <c r="E88" s="529"/>
      <c r="F88" s="529"/>
      <c r="G88" s="529"/>
      <c r="H88" s="529"/>
    </row>
    <row r="89" spans="1:8">
      <c r="A89" s="529"/>
      <c r="B89" s="529"/>
      <c r="C89" s="529"/>
      <c r="D89" s="529"/>
      <c r="E89" s="529"/>
      <c r="F89" s="529"/>
      <c r="G89" s="529"/>
      <c r="H89" s="529"/>
    </row>
    <row r="90" spans="1:8">
      <c r="A90" s="529"/>
      <c r="B90" s="529"/>
      <c r="C90" s="529"/>
      <c r="D90" s="529"/>
      <c r="E90" s="529"/>
      <c r="F90" s="529"/>
      <c r="G90" s="529"/>
      <c r="H90" s="529"/>
    </row>
    <row r="91" spans="1:8">
      <c r="A91" s="529"/>
      <c r="B91" s="529"/>
      <c r="C91" s="529"/>
      <c r="D91" s="529"/>
      <c r="E91" s="529"/>
      <c r="F91" s="529"/>
      <c r="G91" s="529"/>
      <c r="H91" s="529"/>
    </row>
    <row r="92" spans="1:8">
      <c r="A92" s="529"/>
      <c r="B92" s="529"/>
      <c r="C92" s="529"/>
      <c r="D92" s="529"/>
      <c r="E92" s="529"/>
      <c r="F92" s="529"/>
      <c r="G92" s="529"/>
      <c r="H92" s="529"/>
    </row>
    <row r="93" spans="1:8">
      <c r="A93" s="529"/>
      <c r="B93" s="529"/>
      <c r="C93" s="529"/>
      <c r="D93" s="529"/>
      <c r="E93" s="529"/>
      <c r="F93" s="529"/>
      <c r="G93" s="529"/>
      <c r="H93" s="529"/>
    </row>
    <row r="94" spans="1:8">
      <c r="A94" s="529"/>
      <c r="B94" s="529"/>
      <c r="C94" s="529"/>
      <c r="D94" s="529"/>
      <c r="E94" s="529"/>
      <c r="F94" s="529"/>
      <c r="G94" s="529"/>
      <c r="H94" s="529"/>
    </row>
    <row r="95" spans="1:8">
      <c r="A95" s="529"/>
      <c r="B95" s="529"/>
      <c r="C95" s="529"/>
      <c r="D95" s="529"/>
      <c r="E95" s="529"/>
      <c r="F95" s="529"/>
      <c r="G95" s="529"/>
      <c r="H95" s="529"/>
    </row>
    <row r="96" spans="1:8">
      <c r="A96" s="529"/>
      <c r="B96" s="529"/>
      <c r="C96" s="529"/>
      <c r="D96" s="529"/>
      <c r="E96" s="529"/>
      <c r="F96" s="529"/>
      <c r="G96" s="529"/>
      <c r="H96" s="529"/>
    </row>
    <row r="97" spans="1:8">
      <c r="A97" s="529"/>
      <c r="B97" s="529"/>
      <c r="C97" s="529"/>
      <c r="D97" s="529"/>
      <c r="E97" s="529"/>
      <c r="F97" s="529"/>
      <c r="G97" s="529"/>
      <c r="H97" s="529"/>
    </row>
    <row r="98" spans="1:8">
      <c r="A98" s="529"/>
      <c r="B98" s="529"/>
      <c r="C98" s="529"/>
      <c r="D98" s="529"/>
      <c r="E98" s="529"/>
      <c r="F98" s="529"/>
      <c r="G98" s="529"/>
      <c r="H98" s="529"/>
    </row>
    <row r="99" spans="1:8">
      <c r="A99" s="529"/>
      <c r="B99" s="529"/>
      <c r="C99" s="529"/>
      <c r="D99" s="529"/>
      <c r="E99" s="529"/>
      <c r="F99" s="529"/>
      <c r="G99" s="529"/>
      <c r="H99" s="529"/>
    </row>
    <row r="100" spans="1:8">
      <c r="A100" s="529"/>
      <c r="B100" s="529"/>
      <c r="C100" s="529"/>
      <c r="D100" s="529"/>
      <c r="E100" s="529"/>
      <c r="F100" s="529"/>
      <c r="G100" s="529"/>
      <c r="H100" s="529"/>
    </row>
    <row r="101" spans="1:8">
      <c r="A101" s="529"/>
      <c r="B101" s="529"/>
      <c r="C101" s="529"/>
      <c r="D101" s="529"/>
      <c r="E101" s="529"/>
      <c r="F101" s="529"/>
      <c r="G101" s="529"/>
      <c r="H101" s="529"/>
    </row>
    <row r="102" spans="1:8">
      <c r="A102" s="529"/>
      <c r="B102" s="529"/>
      <c r="C102" s="529"/>
      <c r="D102" s="529"/>
      <c r="E102" s="529"/>
      <c r="F102" s="529"/>
      <c r="G102" s="529"/>
      <c r="H102" s="529"/>
    </row>
    <row r="103" spans="1:8">
      <c r="A103" s="529"/>
      <c r="B103" s="529"/>
      <c r="C103" s="529"/>
      <c r="D103" s="529"/>
      <c r="E103" s="529"/>
      <c r="F103" s="529"/>
      <c r="G103" s="529"/>
      <c r="H103" s="529"/>
    </row>
    <row r="104" spans="1:8">
      <c r="A104" s="529"/>
      <c r="B104" s="529"/>
      <c r="C104" s="529"/>
      <c r="D104" s="529"/>
      <c r="E104" s="529"/>
      <c r="F104" s="529"/>
      <c r="G104" s="529"/>
      <c r="H104" s="529"/>
    </row>
    <row r="105" spans="1:8">
      <c r="A105" s="529"/>
      <c r="B105" s="529"/>
      <c r="C105" s="529"/>
      <c r="D105" s="529"/>
      <c r="E105" s="529"/>
      <c r="F105" s="529"/>
      <c r="G105" s="529"/>
      <c r="H105" s="529"/>
    </row>
    <row r="106" spans="1:8">
      <c r="A106" s="529"/>
      <c r="B106" s="529"/>
      <c r="C106" s="529"/>
      <c r="D106" s="529"/>
      <c r="E106" s="529"/>
      <c r="F106" s="529"/>
      <c r="G106" s="529"/>
      <c r="H106" s="529"/>
    </row>
    <row r="107" spans="1:8">
      <c r="A107" s="529"/>
      <c r="B107" s="529"/>
      <c r="C107" s="529"/>
      <c r="D107" s="529"/>
      <c r="E107" s="529"/>
      <c r="F107" s="529"/>
      <c r="G107" s="529"/>
      <c r="H107" s="529"/>
    </row>
    <row r="108" spans="1:8">
      <c r="A108" s="529"/>
      <c r="B108" s="529"/>
      <c r="C108" s="529"/>
      <c r="D108" s="529"/>
      <c r="E108" s="529"/>
      <c r="F108" s="529"/>
      <c r="G108" s="529"/>
      <c r="H108" s="529"/>
    </row>
    <row r="109" spans="1:8">
      <c r="A109" s="529"/>
      <c r="B109" s="529"/>
      <c r="C109" s="529"/>
      <c r="D109" s="529"/>
      <c r="E109" s="529"/>
      <c r="F109" s="529"/>
      <c r="G109" s="529"/>
      <c r="H109" s="529"/>
    </row>
    <row r="110" spans="1:8">
      <c r="A110" s="529"/>
      <c r="B110" s="529"/>
      <c r="C110" s="529"/>
      <c r="D110" s="529"/>
      <c r="E110" s="529"/>
      <c r="F110" s="529"/>
      <c r="G110" s="529"/>
      <c r="H110" s="529"/>
    </row>
    <row r="111" spans="1:8">
      <c r="A111" s="529"/>
      <c r="B111" s="529"/>
      <c r="C111" s="529"/>
      <c r="D111" s="529"/>
      <c r="E111" s="529"/>
      <c r="F111" s="529"/>
      <c r="G111" s="529"/>
      <c r="H111" s="529"/>
    </row>
    <row r="112" spans="1:8">
      <c r="A112" s="529"/>
      <c r="B112" s="529"/>
      <c r="C112" s="529"/>
      <c r="D112" s="529"/>
      <c r="E112" s="529"/>
      <c r="F112" s="529"/>
      <c r="G112" s="529"/>
      <c r="H112" s="529"/>
    </row>
    <row r="113" spans="1:8">
      <c r="A113" s="529"/>
      <c r="B113" s="529"/>
      <c r="C113" s="529"/>
      <c r="D113" s="529"/>
      <c r="E113" s="529"/>
      <c r="F113" s="529"/>
      <c r="G113" s="529"/>
      <c r="H113" s="529"/>
    </row>
    <row r="114" spans="1:8">
      <c r="A114" s="529"/>
      <c r="B114" s="529"/>
      <c r="C114" s="529"/>
      <c r="D114" s="529"/>
      <c r="E114" s="529"/>
      <c r="F114" s="529"/>
      <c r="G114" s="529"/>
      <c r="H114" s="529"/>
    </row>
    <row r="115" spans="1:8">
      <c r="A115" s="529"/>
      <c r="B115" s="529"/>
      <c r="C115" s="529"/>
      <c r="D115" s="529"/>
      <c r="E115" s="529"/>
      <c r="F115" s="529"/>
      <c r="G115" s="529"/>
      <c r="H115" s="529"/>
    </row>
    <row r="116" spans="1:8">
      <c r="A116" s="529"/>
      <c r="B116" s="529"/>
      <c r="C116" s="529"/>
      <c r="D116" s="529"/>
      <c r="E116" s="529"/>
      <c r="F116" s="529"/>
      <c r="G116" s="529"/>
      <c r="H116" s="529"/>
    </row>
    <row r="117" spans="1:8">
      <c r="A117" s="529"/>
      <c r="B117" s="529"/>
      <c r="C117" s="529"/>
      <c r="D117" s="529"/>
      <c r="E117" s="529"/>
      <c r="F117" s="529"/>
      <c r="G117" s="529"/>
      <c r="H117" s="529"/>
    </row>
    <row r="118" spans="1:8">
      <c r="A118" s="529"/>
      <c r="B118" s="529"/>
      <c r="C118" s="529"/>
      <c r="D118" s="529"/>
      <c r="E118" s="529"/>
      <c r="F118" s="529"/>
      <c r="G118" s="529"/>
      <c r="H118" s="529"/>
    </row>
    <row r="119" spans="1:8">
      <c r="A119" s="529"/>
      <c r="B119" s="529"/>
      <c r="C119" s="529"/>
      <c r="D119" s="529"/>
      <c r="E119" s="529"/>
      <c r="F119" s="529"/>
      <c r="G119" s="529"/>
      <c r="H119" s="529"/>
    </row>
    <row r="120" spans="1:8">
      <c r="A120" s="529"/>
      <c r="B120" s="529"/>
      <c r="C120" s="529"/>
      <c r="D120" s="529"/>
      <c r="E120" s="529"/>
      <c r="F120" s="529"/>
      <c r="G120" s="529"/>
      <c r="H120" s="529"/>
    </row>
    <row r="121" spans="1:8">
      <c r="A121" s="529"/>
      <c r="B121" s="529"/>
      <c r="C121" s="529"/>
      <c r="D121" s="529"/>
      <c r="E121" s="529"/>
      <c r="F121" s="529"/>
      <c r="G121" s="529"/>
      <c r="H121" s="529"/>
    </row>
    <row r="122" spans="1:8">
      <c r="A122" s="529"/>
      <c r="B122" s="529"/>
      <c r="C122" s="529"/>
      <c r="D122" s="529"/>
      <c r="E122" s="529"/>
      <c r="F122" s="529"/>
      <c r="G122" s="529"/>
      <c r="H122" s="529"/>
    </row>
    <row r="123" spans="1:8">
      <c r="A123" s="529"/>
      <c r="B123" s="529"/>
      <c r="C123" s="529"/>
      <c r="D123" s="529"/>
      <c r="E123" s="529"/>
      <c r="F123" s="529"/>
      <c r="G123" s="529"/>
      <c r="H123" s="529"/>
    </row>
    <row r="124" spans="1:8">
      <c r="A124" s="529"/>
      <c r="B124" s="529"/>
      <c r="C124" s="529"/>
      <c r="D124" s="529"/>
      <c r="E124" s="529"/>
      <c r="F124" s="529"/>
      <c r="G124" s="529"/>
      <c r="H124" s="529"/>
    </row>
    <row r="125" spans="1:8">
      <c r="A125" s="529"/>
      <c r="B125" s="529"/>
      <c r="C125" s="529"/>
      <c r="D125" s="529"/>
      <c r="E125" s="529"/>
      <c r="F125" s="529"/>
      <c r="G125" s="529"/>
      <c r="H125" s="529"/>
    </row>
    <row r="126" spans="1:8">
      <c r="A126" s="529"/>
      <c r="B126" s="529"/>
      <c r="C126" s="529"/>
      <c r="D126" s="529"/>
      <c r="E126" s="529"/>
      <c r="F126" s="529"/>
      <c r="G126" s="529"/>
      <c r="H126" s="529"/>
    </row>
    <row r="127" spans="1:8">
      <c r="A127" s="529"/>
      <c r="B127" s="529"/>
      <c r="C127" s="529"/>
      <c r="D127" s="529"/>
      <c r="E127" s="529"/>
      <c r="F127" s="529"/>
      <c r="G127" s="529"/>
      <c r="H127" s="529"/>
    </row>
    <row r="128" spans="1:8">
      <c r="A128" s="529"/>
      <c r="B128" s="529"/>
      <c r="C128" s="529"/>
      <c r="D128" s="529"/>
      <c r="E128" s="529"/>
      <c r="F128" s="529"/>
      <c r="G128" s="529"/>
      <c r="H128" s="529"/>
    </row>
    <row r="129" spans="1:8">
      <c r="A129" s="529"/>
      <c r="B129" s="529"/>
      <c r="C129" s="529"/>
      <c r="D129" s="529"/>
      <c r="E129" s="529"/>
      <c r="F129" s="529"/>
      <c r="G129" s="529"/>
      <c r="H129" s="529"/>
    </row>
    <row r="130" spans="1:8">
      <c r="A130" s="529"/>
      <c r="B130" s="529"/>
      <c r="C130" s="529"/>
      <c r="D130" s="529"/>
      <c r="E130" s="529"/>
      <c r="F130" s="529"/>
      <c r="G130" s="529"/>
      <c r="H130" s="529"/>
    </row>
    <row r="131" spans="1:8">
      <c r="A131" s="529"/>
      <c r="B131" s="529"/>
      <c r="C131" s="529"/>
      <c r="D131" s="529"/>
      <c r="E131" s="529"/>
      <c r="F131" s="529"/>
      <c r="G131" s="529"/>
      <c r="H131" s="529"/>
    </row>
    <row r="132" spans="1:8">
      <c r="A132" s="529"/>
      <c r="B132" s="529"/>
      <c r="C132" s="529"/>
      <c r="D132" s="529"/>
      <c r="E132" s="529"/>
      <c r="F132" s="529"/>
      <c r="G132" s="529"/>
      <c r="H132" s="529"/>
    </row>
    <row r="133" spans="1:8">
      <c r="A133" s="529"/>
      <c r="B133" s="529"/>
      <c r="C133" s="529"/>
      <c r="D133" s="529"/>
      <c r="E133" s="529"/>
      <c r="F133" s="529"/>
      <c r="G133" s="529"/>
      <c r="H133" s="529"/>
    </row>
    <row r="134" spans="1:8">
      <c r="A134" s="529"/>
      <c r="B134" s="529"/>
      <c r="C134" s="529"/>
      <c r="D134" s="529"/>
      <c r="E134" s="529"/>
      <c r="F134" s="529"/>
      <c r="G134" s="529"/>
      <c r="H134" s="529"/>
    </row>
    <row r="135" spans="1:8">
      <c r="A135" s="529"/>
      <c r="B135" s="529"/>
      <c r="C135" s="529"/>
      <c r="D135" s="529"/>
      <c r="E135" s="529"/>
      <c r="F135" s="529"/>
      <c r="G135" s="529"/>
      <c r="H135" s="529"/>
    </row>
    <row r="136" spans="1:8">
      <c r="A136" s="529"/>
      <c r="B136" s="529"/>
      <c r="C136" s="529"/>
      <c r="D136" s="529"/>
      <c r="E136" s="529"/>
      <c r="F136" s="529"/>
      <c r="G136" s="529"/>
      <c r="H136" s="529"/>
    </row>
    <row r="137" spans="1:8">
      <c r="A137" s="529"/>
      <c r="B137" s="529"/>
      <c r="C137" s="529"/>
      <c r="D137" s="529"/>
      <c r="E137" s="529"/>
      <c r="F137" s="529"/>
      <c r="G137" s="529"/>
      <c r="H137" s="529"/>
    </row>
    <row r="138" spans="1:8">
      <c r="A138" s="529"/>
      <c r="B138" s="529"/>
      <c r="C138" s="529"/>
      <c r="D138" s="529"/>
      <c r="E138" s="529"/>
      <c r="F138" s="529"/>
      <c r="G138" s="529"/>
      <c r="H138" s="529"/>
    </row>
    <row r="139" spans="1:8">
      <c r="A139" s="529"/>
      <c r="B139" s="529"/>
      <c r="C139" s="529"/>
      <c r="D139" s="529"/>
      <c r="E139" s="529"/>
      <c r="F139" s="529"/>
      <c r="G139" s="529"/>
      <c r="H139" s="529"/>
    </row>
    <row r="140" spans="1:8">
      <c r="A140" s="529"/>
      <c r="B140" s="529"/>
      <c r="C140" s="529"/>
      <c r="D140" s="529"/>
      <c r="E140" s="529"/>
      <c r="F140" s="529"/>
      <c r="G140" s="529"/>
      <c r="H140" s="529"/>
    </row>
    <row r="141" spans="1:8">
      <c r="A141" s="529"/>
      <c r="B141" s="529"/>
      <c r="C141" s="529"/>
      <c r="D141" s="529"/>
      <c r="E141" s="529"/>
      <c r="F141" s="529"/>
      <c r="G141" s="529"/>
      <c r="H141" s="529"/>
    </row>
    <row r="142" spans="1:8">
      <c r="A142" s="529"/>
      <c r="B142" s="529"/>
      <c r="C142" s="529"/>
      <c r="D142" s="529"/>
      <c r="E142" s="529"/>
      <c r="F142" s="529"/>
      <c r="G142" s="529"/>
      <c r="H142" s="529"/>
    </row>
    <row r="143" spans="1:8">
      <c r="A143" s="529"/>
      <c r="B143" s="529"/>
      <c r="C143" s="529"/>
      <c r="D143" s="529"/>
      <c r="E143" s="529"/>
      <c r="F143" s="529"/>
      <c r="G143" s="529"/>
      <c r="H143" s="529"/>
    </row>
    <row r="144" spans="1:8">
      <c r="A144" s="529"/>
      <c r="B144" s="529"/>
      <c r="C144" s="529"/>
      <c r="D144" s="529"/>
      <c r="E144" s="529"/>
      <c r="F144" s="529"/>
      <c r="G144" s="529"/>
      <c r="H144" s="529"/>
    </row>
    <row r="145" spans="1:8">
      <c r="A145" s="529"/>
      <c r="B145" s="529"/>
      <c r="C145" s="529"/>
      <c r="D145" s="529"/>
      <c r="E145" s="529"/>
      <c r="F145" s="529"/>
      <c r="G145" s="529"/>
      <c r="H145" s="529"/>
    </row>
    <row r="146" spans="1:8">
      <c r="A146" s="529"/>
      <c r="B146" s="529"/>
      <c r="C146" s="529"/>
      <c r="D146" s="529"/>
      <c r="E146" s="529"/>
      <c r="F146" s="529"/>
      <c r="G146" s="529"/>
      <c r="H146" s="529"/>
    </row>
    <row r="147" spans="1:8">
      <c r="A147" s="529"/>
      <c r="B147" s="529"/>
      <c r="C147" s="529"/>
      <c r="D147" s="529"/>
      <c r="E147" s="529"/>
      <c r="F147" s="529"/>
      <c r="G147" s="529"/>
      <c r="H147" s="529"/>
    </row>
    <row r="148" spans="1:8">
      <c r="A148" s="529"/>
      <c r="B148" s="529"/>
      <c r="C148" s="529"/>
      <c r="D148" s="529"/>
      <c r="E148" s="529"/>
      <c r="F148" s="529"/>
      <c r="G148" s="529"/>
      <c r="H148" s="529"/>
    </row>
    <row r="149" spans="1:8">
      <c r="A149" s="529"/>
      <c r="B149" s="529"/>
      <c r="C149" s="529"/>
      <c r="D149" s="529"/>
      <c r="E149" s="529"/>
      <c r="F149" s="529"/>
      <c r="G149" s="529"/>
      <c r="H149" s="529"/>
    </row>
    <row r="150" spans="1:8">
      <c r="A150" s="529"/>
      <c r="B150" s="529"/>
      <c r="C150" s="529"/>
      <c r="D150" s="529"/>
      <c r="E150" s="529"/>
      <c r="F150" s="529"/>
      <c r="G150" s="529"/>
      <c r="H150" s="529"/>
    </row>
    <row r="151" spans="1:8">
      <c r="A151" s="529"/>
      <c r="B151" s="529"/>
      <c r="C151" s="529"/>
      <c r="D151" s="529"/>
      <c r="E151" s="529"/>
      <c r="F151" s="529"/>
      <c r="G151" s="529"/>
      <c r="H151" s="529"/>
    </row>
    <row r="152" spans="1:8">
      <c r="A152" s="529"/>
      <c r="B152" s="529"/>
      <c r="C152" s="529"/>
      <c r="D152" s="529"/>
      <c r="E152" s="529"/>
      <c r="F152" s="529"/>
      <c r="G152" s="529"/>
      <c r="H152" s="529"/>
    </row>
    <row r="153" spans="1:8">
      <c r="A153" s="529"/>
      <c r="B153" s="529"/>
      <c r="C153" s="529"/>
      <c r="D153" s="529"/>
      <c r="E153" s="529"/>
      <c r="F153" s="529"/>
      <c r="G153" s="529"/>
      <c r="H153" s="529"/>
    </row>
    <row r="154" spans="1:8">
      <c r="A154" s="529"/>
      <c r="B154" s="529"/>
      <c r="C154" s="529"/>
      <c r="D154" s="529"/>
      <c r="E154" s="529"/>
      <c r="F154" s="529"/>
      <c r="G154" s="529"/>
      <c r="H154" s="529"/>
    </row>
    <row r="155" spans="1:8">
      <c r="A155" s="529"/>
      <c r="B155" s="529"/>
      <c r="C155" s="529"/>
      <c r="D155" s="529"/>
      <c r="E155" s="529"/>
      <c r="F155" s="529"/>
      <c r="G155" s="529"/>
      <c r="H155" s="529"/>
    </row>
    <row r="156" spans="1:8">
      <c r="A156" s="529"/>
      <c r="B156" s="529"/>
      <c r="C156" s="529"/>
      <c r="D156" s="529"/>
      <c r="E156" s="529"/>
      <c r="F156" s="529"/>
      <c r="G156" s="529"/>
      <c r="H156" s="529"/>
    </row>
    <row r="157" spans="1:8">
      <c r="A157" s="529"/>
      <c r="B157" s="529"/>
      <c r="C157" s="529"/>
      <c r="D157" s="529"/>
      <c r="E157" s="529"/>
      <c r="F157" s="529"/>
      <c r="G157" s="529"/>
      <c r="H157" s="529"/>
    </row>
    <row r="158" spans="1:8">
      <c r="A158" s="529"/>
      <c r="B158" s="529"/>
      <c r="C158" s="529"/>
      <c r="D158" s="529"/>
      <c r="E158" s="529"/>
      <c r="F158" s="529"/>
      <c r="G158" s="529"/>
      <c r="H158" s="529"/>
    </row>
  </sheetData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tabColor theme="7" tint="-0.249977111117893"/>
  </sheetPr>
  <dimension ref="A1:R65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34.42578125" style="1383" customWidth="1"/>
    <col min="2" max="2" width="9.42578125" style="1383" customWidth="1"/>
    <col min="3" max="3" width="15.140625" style="1383" customWidth="1"/>
    <col min="4" max="4" width="11.5703125" style="1383" customWidth="1"/>
    <col min="5" max="6" width="8" style="1383" customWidth="1"/>
    <col min="7" max="7" width="15.85546875" style="1383" customWidth="1"/>
    <col min="8" max="8" width="3.7109375" style="1383" customWidth="1"/>
    <col min="9" max="9" width="6.140625" style="1383" customWidth="1"/>
    <col min="10" max="10" width="1.7109375" style="1383" customWidth="1"/>
    <col min="11" max="11" width="12" style="1383" customWidth="1"/>
    <col min="12" max="12" width="2.28515625" style="1383" customWidth="1"/>
    <col min="13" max="13" width="48.140625" style="1383" customWidth="1"/>
    <col min="14" max="14" width="1.7109375" style="1383" customWidth="1"/>
    <col min="15" max="15" width="12.85546875" style="1383" customWidth="1"/>
    <col min="16" max="16" width="12.140625" style="1383" customWidth="1"/>
    <col min="17" max="17" width="10.7109375" style="1383" customWidth="1"/>
    <col min="18" max="18" width="15.5703125" style="1383" customWidth="1"/>
    <col min="19" max="19" width="8" style="1383"/>
    <col min="20" max="20" width="13.28515625" style="1383" bestFit="1" customWidth="1"/>
    <col min="21" max="16384" width="8" style="1383"/>
  </cols>
  <sheetData>
    <row r="1" spans="1:17">
      <c r="A1" s="2087" t="str">
        <f>LOGO!B5</f>
        <v>DUKE ENERGY KENTUCKY, INC.</v>
      </c>
      <c r="B1" s="1445"/>
      <c r="C1" s="1445"/>
      <c r="D1" s="1444"/>
      <c r="E1" s="1444"/>
      <c r="F1" s="1444"/>
      <c r="G1" s="1444"/>
      <c r="H1" s="529"/>
      <c r="I1" s="529"/>
      <c r="J1" s="529"/>
      <c r="K1" s="529"/>
      <c r="L1" s="529"/>
      <c r="M1" s="529"/>
      <c r="N1" s="529"/>
      <c r="O1" s="529"/>
      <c r="P1" s="529"/>
      <c r="Q1" s="529"/>
    </row>
    <row r="2" spans="1:17">
      <c r="A2" s="2087" t="str">
        <f>LOGO!B6</f>
        <v>CASE NO. 2017-00321</v>
      </c>
      <c r="B2" s="1445"/>
      <c r="C2" s="1445"/>
      <c r="D2" s="1444"/>
      <c r="E2" s="1444"/>
      <c r="F2" s="1444"/>
      <c r="G2" s="1444"/>
      <c r="H2" s="529"/>
      <c r="I2" s="529"/>
      <c r="J2" s="529"/>
      <c r="K2" s="529"/>
      <c r="L2" s="529"/>
      <c r="M2" s="529"/>
      <c r="N2" s="529"/>
      <c r="O2" s="529"/>
      <c r="P2" s="529"/>
      <c r="Q2" s="529"/>
    </row>
    <row r="3" spans="1:17">
      <c r="A3" s="1443" t="s">
        <v>2647</v>
      </c>
      <c r="B3" s="1444"/>
      <c r="C3" s="1444"/>
      <c r="D3" s="1444"/>
      <c r="E3" s="1444"/>
      <c r="F3" s="1444"/>
      <c r="G3" s="1444"/>
      <c r="H3" s="529"/>
      <c r="I3" s="529"/>
      <c r="J3" s="529"/>
      <c r="K3" s="529"/>
      <c r="L3" s="529"/>
      <c r="M3" s="529"/>
      <c r="N3" s="529"/>
      <c r="O3" s="529"/>
      <c r="P3" s="529"/>
      <c r="Q3" s="529"/>
    </row>
    <row r="4" spans="1:17">
      <c r="A4" s="1445" t="str">
        <f>PeriodF</f>
        <v>FOR THE TWELVE MONTHS ENDED MARCH 31, 2019</v>
      </c>
      <c r="B4" s="1444"/>
      <c r="C4" s="1444"/>
      <c r="D4" s="1444"/>
      <c r="E4" s="1444"/>
      <c r="F4" s="1444"/>
      <c r="G4" s="1444"/>
      <c r="H4" s="529"/>
      <c r="I4" s="529"/>
      <c r="J4" s="529"/>
      <c r="K4" s="529"/>
      <c r="L4" s="529"/>
      <c r="M4" s="529"/>
      <c r="N4" s="529"/>
      <c r="O4" s="529"/>
      <c r="P4" s="529"/>
      <c r="Q4" s="529"/>
    </row>
    <row r="5" spans="1:17">
      <c r="A5" s="529"/>
      <c r="B5" s="529"/>
      <c r="C5" s="529"/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</row>
    <row r="6" spans="1:17">
      <c r="A6" s="1446" t="str">
        <f>DataF</f>
        <v>DATA:  BASE PERIOD  "X" FORECASTED PERIOD</v>
      </c>
      <c r="B6" s="529"/>
      <c r="C6" s="529"/>
      <c r="D6" s="529"/>
      <c r="E6" s="529"/>
      <c r="F6" s="461" t="s">
        <v>160</v>
      </c>
      <c r="G6" s="529"/>
      <c r="H6" s="529"/>
      <c r="I6" s="529"/>
      <c r="J6" s="529"/>
      <c r="K6" s="529"/>
      <c r="L6" s="529"/>
      <c r="M6" s="529"/>
      <c r="N6" s="529"/>
      <c r="O6" s="529"/>
      <c r="P6" s="529"/>
      <c r="Q6" s="529"/>
    </row>
    <row r="7" spans="1:17">
      <c r="A7" s="1446" t="str">
        <f>Type</f>
        <v xml:space="preserve">TYPE OF FILING:  "X" ORIGINAL   UPDATED    REVISED  </v>
      </c>
      <c r="B7" s="529"/>
      <c r="C7" s="529"/>
      <c r="D7" s="529"/>
      <c r="E7" s="529"/>
      <c r="F7" s="461" t="s">
        <v>620</v>
      </c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529"/>
    </row>
    <row r="8" spans="1:17">
      <c r="A8" s="461" t="s">
        <v>2661</v>
      </c>
      <c r="B8" s="529"/>
      <c r="C8" s="529"/>
      <c r="D8" s="529"/>
      <c r="E8" s="529"/>
      <c r="F8" s="461" t="s">
        <v>622</v>
      </c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</row>
    <row r="9" spans="1:17">
      <c r="A9" s="529"/>
      <c r="B9" s="529"/>
      <c r="C9" s="529"/>
      <c r="D9" s="529"/>
      <c r="E9" s="529"/>
      <c r="F9" s="461" t="str">
        <f>_WIT1</f>
        <v>S. E. LAWLER</v>
      </c>
      <c r="G9" s="529"/>
      <c r="H9" s="529"/>
      <c r="I9" s="529"/>
      <c r="J9" s="529"/>
      <c r="K9" s="529"/>
      <c r="L9" s="529"/>
      <c r="M9" s="529"/>
      <c r="N9" s="529"/>
      <c r="O9" s="529"/>
      <c r="P9" s="529"/>
      <c r="Q9" s="529"/>
    </row>
    <row r="10" spans="1:17">
      <c r="A10" s="1447"/>
      <c r="B10" s="1447"/>
      <c r="C10" s="1447"/>
      <c r="D10" s="1447"/>
      <c r="E10" s="1447"/>
      <c r="F10" s="1447"/>
      <c r="G10" s="1447"/>
      <c r="H10" s="529"/>
      <c r="I10" s="529"/>
      <c r="J10" s="529"/>
      <c r="K10" s="529"/>
      <c r="L10" s="529"/>
      <c r="M10" s="529"/>
      <c r="N10" s="529"/>
      <c r="O10" s="529"/>
      <c r="P10" s="529"/>
      <c r="Q10" s="529"/>
    </row>
    <row r="11" spans="1:17">
      <c r="A11" s="1448"/>
      <c r="B11" s="1448"/>
      <c r="C11" s="1448"/>
      <c r="D11" s="1448"/>
      <c r="E11" s="1448"/>
      <c r="F11" s="1448"/>
      <c r="G11" s="1448"/>
      <c r="H11" s="529"/>
      <c r="I11" s="529"/>
      <c r="J11" s="529"/>
      <c r="K11" s="529"/>
      <c r="L11" s="529"/>
      <c r="M11" s="529"/>
      <c r="N11" s="529"/>
      <c r="O11" s="529"/>
      <c r="P11" s="529"/>
      <c r="Q11" s="529"/>
    </row>
    <row r="12" spans="1:17">
      <c r="A12" s="1443" t="s">
        <v>1246</v>
      </c>
      <c r="B12" s="1443"/>
      <c r="C12" s="1443"/>
      <c r="D12" s="529"/>
      <c r="E12" s="529"/>
      <c r="F12" s="529"/>
      <c r="G12" s="1432" t="s">
        <v>364</v>
      </c>
      <c r="H12" s="529"/>
      <c r="I12" s="529"/>
      <c r="J12" s="529"/>
      <c r="K12" s="529"/>
      <c r="L12" s="529"/>
      <c r="M12" s="529"/>
      <c r="N12" s="529"/>
      <c r="O12" s="529"/>
      <c r="P12" s="529"/>
      <c r="Q12" s="529"/>
    </row>
    <row r="13" spans="1:17">
      <c r="A13" s="1447"/>
      <c r="B13" s="1447"/>
      <c r="C13" s="1447"/>
      <c r="D13" s="1447"/>
      <c r="E13" s="1447"/>
      <c r="F13" s="1447"/>
      <c r="G13" s="1447"/>
      <c r="H13" s="529"/>
      <c r="I13" s="529"/>
      <c r="J13" s="529"/>
      <c r="K13" s="529"/>
      <c r="L13" s="529"/>
      <c r="M13" s="529"/>
      <c r="N13" s="529"/>
      <c r="O13" s="529"/>
      <c r="P13" s="529"/>
      <c r="Q13" s="529"/>
    </row>
    <row r="14" spans="1:17">
      <c r="A14" s="1448"/>
      <c r="B14" s="1448"/>
      <c r="C14" s="1448"/>
      <c r="D14" s="1448"/>
      <c r="E14" s="1448"/>
      <c r="F14" s="1448"/>
      <c r="G14" s="1449"/>
      <c r="H14" s="529"/>
      <c r="I14" s="529"/>
      <c r="J14" s="529"/>
      <c r="K14" s="529"/>
      <c r="L14" s="529"/>
      <c r="M14" s="529"/>
      <c r="N14" s="529"/>
      <c r="O14" s="529"/>
      <c r="P14" s="529"/>
      <c r="Q14" s="529"/>
    </row>
    <row r="15" spans="1:17">
      <c r="A15" s="1430" t="s">
        <v>2659</v>
      </c>
      <c r="B15" s="529"/>
      <c r="C15" s="529"/>
      <c r="D15" s="529"/>
      <c r="E15" s="529"/>
      <c r="F15" s="529"/>
      <c r="G15" s="529"/>
      <c r="H15" s="529"/>
      <c r="I15" s="529"/>
      <c r="J15" s="529"/>
      <c r="K15" s="529"/>
      <c r="L15" s="529"/>
      <c r="M15" s="529"/>
      <c r="N15" s="529"/>
      <c r="O15" s="529"/>
      <c r="P15" s="529"/>
      <c r="Q15" s="529"/>
    </row>
    <row r="16" spans="1:17">
      <c r="A16" s="1430" t="s">
        <v>2660</v>
      </c>
      <c r="B16" s="529"/>
      <c r="C16" s="529"/>
      <c r="D16" s="529"/>
      <c r="E16" s="529"/>
      <c r="F16" s="529"/>
      <c r="G16" s="529"/>
      <c r="H16" s="529"/>
      <c r="I16" s="529"/>
      <c r="J16" s="529"/>
      <c r="K16" s="529"/>
      <c r="L16" s="529"/>
      <c r="M16" s="529"/>
      <c r="N16" s="529"/>
      <c r="O16" s="529"/>
      <c r="P16" s="529"/>
      <c r="Q16" s="529"/>
    </row>
    <row r="17" spans="1:17">
      <c r="A17" s="1450"/>
      <c r="B17" s="529"/>
      <c r="C17" s="529"/>
      <c r="D17" s="529"/>
      <c r="E17" s="529"/>
      <c r="F17" s="529"/>
      <c r="G17" s="529"/>
      <c r="H17" s="529"/>
      <c r="I17" s="529"/>
      <c r="J17" s="529"/>
      <c r="K17" s="529"/>
      <c r="L17" s="529"/>
      <c r="M17" s="529"/>
      <c r="N17" s="529"/>
      <c r="O17" s="529"/>
      <c r="P17" s="529"/>
      <c r="Q17" s="529"/>
    </row>
    <row r="18" spans="1:17">
      <c r="A18" s="1450"/>
      <c r="B18" s="529"/>
      <c r="C18" s="529"/>
      <c r="D18" s="529"/>
      <c r="E18" s="529"/>
      <c r="F18" s="529"/>
      <c r="G18" s="529"/>
      <c r="H18" s="529"/>
      <c r="I18" s="529"/>
      <c r="J18" s="529"/>
      <c r="K18" s="529"/>
      <c r="L18" s="529"/>
      <c r="M18" s="529"/>
      <c r="N18" s="529"/>
      <c r="O18" s="529"/>
      <c r="P18" s="529"/>
      <c r="Q18" s="529"/>
    </row>
    <row r="19" spans="1:17">
      <c r="A19" s="1450"/>
      <c r="B19" s="529"/>
      <c r="C19" s="529"/>
      <c r="D19" s="529"/>
      <c r="E19" s="529"/>
      <c r="F19" s="529"/>
      <c r="G19" s="529"/>
      <c r="H19" s="1475"/>
      <c r="I19" s="529"/>
      <c r="J19" s="529"/>
      <c r="K19" s="529"/>
      <c r="L19" s="529"/>
      <c r="M19" s="529"/>
      <c r="N19" s="529"/>
      <c r="O19" s="529"/>
      <c r="P19" s="529"/>
      <c r="Q19" s="529"/>
    </row>
    <row r="20" spans="1:17">
      <c r="A20" s="1430" t="s">
        <v>1187</v>
      </c>
      <c r="B20" s="529"/>
      <c r="C20" s="529"/>
      <c r="D20" s="529"/>
      <c r="E20" s="529"/>
      <c r="F20" s="529"/>
      <c r="G20" s="531">
        <f>R56</f>
        <v>6247623</v>
      </c>
      <c r="H20" s="535"/>
      <c r="I20" s="529"/>
      <c r="J20" s="529"/>
      <c r="K20" s="529"/>
      <c r="L20" s="529"/>
      <c r="M20" s="529"/>
      <c r="N20" s="529"/>
      <c r="O20" s="529"/>
      <c r="P20" s="529"/>
      <c r="Q20" s="529"/>
    </row>
    <row r="21" spans="1:17">
      <c r="A21" s="1450"/>
      <c r="B21" s="529"/>
      <c r="C21" s="529"/>
      <c r="D21" s="529"/>
      <c r="E21" s="529"/>
      <c r="F21" s="529"/>
      <c r="G21" s="529"/>
      <c r="H21" s="535"/>
      <c r="I21" s="529"/>
      <c r="J21" s="529"/>
      <c r="K21" s="529"/>
      <c r="L21" s="529"/>
      <c r="M21" s="529"/>
      <c r="N21" s="529"/>
      <c r="O21" s="529"/>
      <c r="P21" s="529"/>
      <c r="Q21" s="529"/>
    </row>
    <row r="22" spans="1:17">
      <c r="A22" s="1430" t="s">
        <v>266</v>
      </c>
      <c r="B22" s="529"/>
      <c r="C22" s="529"/>
      <c r="D22" s="529"/>
      <c r="E22" s="529"/>
      <c r="F22" s="529"/>
      <c r="G22" s="1451">
        <f>VLOOKUP(B28,ALLOCTABLE,2)/100</f>
        <v>1</v>
      </c>
      <c r="H22" s="2145"/>
      <c r="I22" s="529"/>
      <c r="J22" s="529"/>
      <c r="K22" s="529"/>
      <c r="L22" s="529"/>
      <c r="M22" s="529"/>
      <c r="N22" s="529"/>
      <c r="O22" s="529"/>
      <c r="P22" s="529"/>
      <c r="Q22" s="529"/>
    </row>
    <row r="23" spans="1:17">
      <c r="A23" s="1450"/>
      <c r="B23" s="529"/>
      <c r="C23" s="529"/>
      <c r="D23" s="529"/>
      <c r="E23" s="529"/>
      <c r="F23" s="529"/>
      <c r="G23" s="529"/>
      <c r="H23" s="1475"/>
      <c r="I23" s="529"/>
      <c r="J23" s="529"/>
      <c r="K23" s="529"/>
      <c r="L23" s="529"/>
      <c r="M23" s="529"/>
      <c r="N23" s="529"/>
      <c r="O23" s="529"/>
      <c r="P23" s="529"/>
      <c r="Q23" s="529"/>
    </row>
    <row r="24" spans="1:17" ht="15">
      <c r="A24" s="1430" t="s">
        <v>1236</v>
      </c>
      <c r="B24" s="529"/>
      <c r="C24" s="529"/>
      <c r="D24" s="1432" t="s">
        <v>709</v>
      </c>
      <c r="E24" s="529"/>
      <c r="F24" s="529"/>
      <c r="G24" s="1427">
        <f>ROUND(G20*G22,0)</f>
        <v>6247623</v>
      </c>
      <c r="H24" s="2146"/>
      <c r="I24" s="529"/>
      <c r="J24" s="529"/>
      <c r="K24" s="529"/>
      <c r="L24" s="529"/>
      <c r="M24" s="529"/>
      <c r="N24" s="529"/>
      <c r="O24" s="529"/>
      <c r="P24" s="529"/>
      <c r="Q24" s="529"/>
    </row>
    <row r="25" spans="1:17" ht="15">
      <c r="A25" s="1430"/>
      <c r="B25" s="529"/>
      <c r="C25" s="529"/>
      <c r="D25" s="529"/>
      <c r="E25" s="529"/>
      <c r="F25" s="529"/>
      <c r="G25" s="529"/>
      <c r="H25" s="2146"/>
      <c r="I25" s="529"/>
      <c r="J25" s="529"/>
      <c r="K25" s="529"/>
      <c r="L25" s="529"/>
      <c r="M25" s="529"/>
      <c r="N25" s="529"/>
      <c r="O25" s="529"/>
      <c r="P25" s="529"/>
      <c r="Q25" s="529"/>
    </row>
    <row r="26" spans="1:17">
      <c r="A26" s="1450"/>
      <c r="B26" s="529"/>
      <c r="C26" s="529"/>
      <c r="D26" s="529"/>
      <c r="E26" s="529"/>
      <c r="F26" s="529"/>
      <c r="G26" s="529"/>
      <c r="H26" s="535"/>
      <c r="I26" s="529"/>
      <c r="J26" s="529"/>
      <c r="K26" s="529"/>
      <c r="L26" s="529"/>
      <c r="M26" s="529"/>
      <c r="N26" s="529"/>
      <c r="O26" s="529"/>
      <c r="P26" s="529"/>
      <c r="Q26" s="529"/>
    </row>
    <row r="27" spans="1:17">
      <c r="A27" s="1450"/>
      <c r="B27" s="529"/>
      <c r="C27" s="529"/>
      <c r="D27" s="529"/>
      <c r="E27" s="529"/>
      <c r="F27" s="529"/>
      <c r="G27" s="529"/>
      <c r="H27" s="535"/>
      <c r="I27" s="529"/>
      <c r="J27" s="529"/>
      <c r="K27" s="529"/>
      <c r="L27" s="529"/>
      <c r="M27" s="529"/>
      <c r="N27" s="529"/>
      <c r="O27" s="529"/>
      <c r="P27" s="529"/>
      <c r="Q27" s="529"/>
    </row>
    <row r="28" spans="1:17">
      <c r="A28" s="1453" t="s">
        <v>1237</v>
      </c>
      <c r="B28" s="1454" t="s">
        <v>593</v>
      </c>
      <c r="C28" s="1446"/>
      <c r="D28" s="529"/>
      <c r="E28" s="529"/>
      <c r="F28" s="529"/>
      <c r="G28" s="529"/>
      <c r="H28" s="2145"/>
      <c r="I28" s="529"/>
      <c r="J28" s="529"/>
      <c r="K28" s="529"/>
      <c r="L28" s="529"/>
      <c r="M28" s="529"/>
      <c r="N28" s="529"/>
      <c r="O28" s="529"/>
      <c r="P28" s="529"/>
      <c r="Q28" s="529"/>
    </row>
    <row r="29" spans="1:17">
      <c r="A29" s="1476"/>
      <c r="B29" s="1476"/>
      <c r="C29" s="1476"/>
      <c r="D29" s="1475"/>
      <c r="E29" s="1475"/>
      <c r="F29" s="1475"/>
      <c r="G29" s="1475"/>
      <c r="H29" s="1475"/>
      <c r="I29" s="529"/>
      <c r="J29" s="529"/>
      <c r="K29" s="529"/>
      <c r="L29" s="529"/>
      <c r="M29" s="529"/>
      <c r="N29" s="529"/>
      <c r="O29" s="529"/>
      <c r="P29" s="529"/>
      <c r="Q29" s="529"/>
    </row>
    <row r="30" spans="1:17" ht="15">
      <c r="A30" s="1474"/>
      <c r="B30" s="1474"/>
      <c r="C30" s="1474"/>
      <c r="D30" s="1475"/>
      <c r="E30" s="533"/>
      <c r="F30" s="1475"/>
      <c r="G30" s="2147"/>
      <c r="H30" s="2146"/>
      <c r="I30" s="529"/>
      <c r="J30" s="529"/>
      <c r="K30" s="529"/>
      <c r="L30" s="529"/>
      <c r="M30" s="529"/>
      <c r="N30" s="529"/>
      <c r="O30" s="529"/>
      <c r="P30" s="529"/>
      <c r="Q30" s="529"/>
    </row>
    <row r="31" spans="1:17" ht="15">
      <c r="A31" s="1474"/>
      <c r="B31" s="1474"/>
      <c r="C31" s="1474"/>
      <c r="D31" s="1475"/>
      <c r="E31" s="533"/>
      <c r="F31" s="1475"/>
      <c r="G31" s="2147"/>
      <c r="H31" s="2146"/>
      <c r="I31" s="529"/>
      <c r="J31" s="529"/>
      <c r="K31" s="529"/>
      <c r="L31" s="529"/>
      <c r="M31" s="529"/>
      <c r="N31" s="529"/>
      <c r="O31" s="529"/>
      <c r="P31" s="529"/>
      <c r="Q31" s="529"/>
    </row>
    <row r="32" spans="1:17">
      <c r="A32" s="1475"/>
      <c r="B32" s="1476"/>
      <c r="C32" s="1476"/>
      <c r="D32" s="1475"/>
      <c r="E32" s="1475"/>
      <c r="F32" s="1475"/>
      <c r="G32" s="1475"/>
      <c r="H32" s="535"/>
      <c r="I32" s="529"/>
      <c r="J32" s="529"/>
      <c r="K32" s="529"/>
      <c r="L32" s="529"/>
      <c r="M32" s="529"/>
      <c r="N32" s="529"/>
      <c r="O32" s="529"/>
      <c r="P32" s="529"/>
      <c r="Q32" s="529"/>
    </row>
    <row r="33" spans="1:18">
      <c r="A33" s="1475"/>
      <c r="B33" s="1476"/>
      <c r="C33" s="1476"/>
      <c r="D33" s="1475"/>
      <c r="E33" s="1475"/>
      <c r="F33" s="1475"/>
      <c r="G33" s="1475"/>
      <c r="H33" s="535"/>
      <c r="I33" s="529"/>
      <c r="J33" s="529"/>
      <c r="K33" s="529"/>
      <c r="L33" s="529"/>
      <c r="M33" s="529"/>
      <c r="N33" s="529"/>
      <c r="O33" s="529"/>
      <c r="P33" s="529"/>
      <c r="Q33" s="529"/>
    </row>
    <row r="34" spans="1:18">
      <c r="A34" s="1474"/>
      <c r="B34" s="1474"/>
      <c r="C34" s="1474"/>
      <c r="D34" s="1475"/>
      <c r="E34" s="1475"/>
      <c r="F34" s="1475"/>
      <c r="G34" s="1475"/>
      <c r="H34" s="2145"/>
      <c r="I34" s="529"/>
      <c r="J34" s="529"/>
      <c r="K34" s="529"/>
      <c r="L34" s="529"/>
      <c r="M34" s="529"/>
      <c r="N34" s="529"/>
      <c r="O34" s="529"/>
      <c r="P34" s="529"/>
      <c r="Q34" s="529"/>
    </row>
    <row r="35" spans="1:18">
      <c r="A35" s="1476"/>
      <c r="B35" s="1476"/>
      <c r="C35" s="1476"/>
      <c r="D35" s="1475"/>
      <c r="E35" s="1475"/>
      <c r="F35" s="1475"/>
      <c r="G35" s="1475"/>
      <c r="H35" s="1475"/>
      <c r="I35" s="529"/>
      <c r="J35" s="529"/>
      <c r="K35" s="529"/>
      <c r="L35" s="529"/>
      <c r="M35" s="529"/>
      <c r="N35" s="529"/>
      <c r="O35" s="529"/>
      <c r="P35" s="529"/>
      <c r="Q35" s="529"/>
    </row>
    <row r="36" spans="1:18" ht="15">
      <c r="A36" s="1474"/>
      <c r="B36" s="1474"/>
      <c r="C36" s="1474"/>
      <c r="D36" s="1475"/>
      <c r="E36" s="533"/>
      <c r="F36" s="1475"/>
      <c r="G36" s="2148"/>
      <c r="H36" s="2146"/>
      <c r="I36" s="529"/>
      <c r="J36" s="529"/>
      <c r="K36" s="529"/>
      <c r="L36" s="529"/>
      <c r="M36" s="529"/>
      <c r="N36" s="529"/>
      <c r="O36" s="529"/>
      <c r="P36" s="529"/>
      <c r="Q36" s="529"/>
    </row>
    <row r="37" spans="1:18" ht="15">
      <c r="A37" s="1474"/>
      <c r="B37" s="1474"/>
      <c r="C37" s="1474"/>
      <c r="D37" s="1475"/>
      <c r="E37" s="533"/>
      <c r="F37" s="1475"/>
      <c r="G37" s="2147"/>
      <c r="H37" s="2146"/>
      <c r="I37" s="1429" t="str">
        <f>COMPANY</f>
        <v>DUKE ENERGY KENTUCKY, INC.</v>
      </c>
      <c r="J37" s="529"/>
      <c r="K37" s="529"/>
      <c r="L37" s="529"/>
      <c r="M37" s="529"/>
      <c r="N37" s="529"/>
      <c r="O37" s="529"/>
      <c r="Q37" s="1430" t="s">
        <v>2662</v>
      </c>
      <c r="R37" s="530"/>
    </row>
    <row r="38" spans="1:18">
      <c r="A38" s="1475"/>
      <c r="B38" s="1476"/>
      <c r="C38" s="1476"/>
      <c r="D38" s="1475"/>
      <c r="E38" s="1475"/>
      <c r="F38" s="1475"/>
      <c r="G38" s="1475"/>
      <c r="H38" s="535"/>
      <c r="I38" s="1429" t="str">
        <f>DEPT</f>
        <v>ELECTRIC DEPARTMENT</v>
      </c>
      <c r="J38" s="529"/>
      <c r="K38" s="529"/>
      <c r="L38" s="529"/>
      <c r="M38" s="529"/>
      <c r="N38" s="529"/>
      <c r="O38" s="529"/>
      <c r="Q38" s="461" t="s">
        <v>622</v>
      </c>
      <c r="R38" s="530"/>
    </row>
    <row r="39" spans="1:18">
      <c r="A39" s="1475"/>
      <c r="B39" s="1476"/>
      <c r="C39" s="1476"/>
      <c r="D39" s="1475"/>
      <c r="E39" s="1475"/>
      <c r="F39" s="1475"/>
      <c r="G39" s="1475"/>
      <c r="H39" s="535"/>
      <c r="I39" s="1429" t="str">
        <f>CASE</f>
        <v>CASE NO. 2017-00321</v>
      </c>
      <c r="J39" s="529"/>
      <c r="K39" s="529"/>
      <c r="L39" s="529"/>
      <c r="M39" s="529"/>
      <c r="N39" s="529"/>
      <c r="O39" s="529"/>
      <c r="Q39" s="461" t="str">
        <f>_WIT1</f>
        <v>S. E. LAWLER</v>
      </c>
      <c r="R39" s="530"/>
    </row>
    <row r="40" spans="1:18">
      <c r="A40" s="1474"/>
      <c r="B40" s="1474"/>
      <c r="C40" s="1474"/>
      <c r="D40" s="1475"/>
      <c r="E40" s="1475"/>
      <c r="F40" s="1475"/>
      <c r="G40" s="1475"/>
      <c r="H40" s="2145"/>
      <c r="I40" s="461" t="str">
        <f>A3</f>
        <v>AMORTIZATION OF DEFERRED EXPENSES</v>
      </c>
      <c r="J40" s="529"/>
      <c r="K40" s="529"/>
      <c r="L40" s="529"/>
      <c r="M40" s="529"/>
      <c r="N40" s="529"/>
      <c r="O40" s="529"/>
      <c r="P40" s="529"/>
      <c r="Q40" s="529"/>
      <c r="R40" s="529"/>
    </row>
    <row r="41" spans="1:18">
      <c r="A41" s="1476"/>
      <c r="B41" s="1476"/>
      <c r="C41" s="1476"/>
      <c r="D41" s="1475"/>
      <c r="E41" s="1475"/>
      <c r="F41" s="1475"/>
      <c r="G41" s="1475"/>
      <c r="H41" s="1475"/>
      <c r="I41" s="529"/>
      <c r="J41" s="529"/>
      <c r="K41" s="529"/>
      <c r="L41" s="529"/>
      <c r="M41" s="529"/>
      <c r="N41" s="529"/>
      <c r="O41" s="529"/>
      <c r="P41" s="529"/>
      <c r="Q41" s="529"/>
      <c r="R41" s="529"/>
    </row>
    <row r="42" spans="1:18" ht="15">
      <c r="A42" s="1474"/>
      <c r="B42" s="1474"/>
      <c r="C42" s="1474"/>
      <c r="D42" s="1475"/>
      <c r="E42" s="533"/>
      <c r="F42" s="1475"/>
      <c r="G42" s="2147"/>
      <c r="H42" s="2146"/>
      <c r="I42" s="529"/>
      <c r="J42" s="529"/>
      <c r="K42" s="529"/>
      <c r="L42" s="529"/>
      <c r="M42" s="529"/>
      <c r="N42" s="1431"/>
      <c r="O42" s="529"/>
      <c r="P42" s="529"/>
      <c r="Q42" s="529"/>
      <c r="R42" s="529"/>
    </row>
    <row r="43" spans="1:18">
      <c r="A43" s="1474"/>
      <c r="B43" s="1474"/>
      <c r="C43" s="1474"/>
      <c r="D43" s="1475"/>
      <c r="E43" s="1475"/>
      <c r="F43" s="1475"/>
      <c r="G43" s="1475"/>
      <c r="H43" s="1475"/>
      <c r="I43" s="529"/>
      <c r="J43" s="529"/>
      <c r="K43" s="529"/>
      <c r="L43" s="529"/>
      <c r="M43" s="529"/>
      <c r="N43" s="1431"/>
      <c r="O43" s="529"/>
      <c r="P43" s="529"/>
      <c r="Q43" s="529"/>
      <c r="R43" s="529"/>
    </row>
    <row r="44" spans="1:18">
      <c r="A44" s="1476"/>
      <c r="B44" s="1476"/>
      <c r="C44" s="1476"/>
      <c r="D44" s="1475"/>
      <c r="E44" s="1475"/>
      <c r="F44" s="1475"/>
      <c r="G44" s="1475"/>
      <c r="H44" s="1475"/>
      <c r="I44" s="1432" t="s">
        <v>2648</v>
      </c>
      <c r="J44" s="529"/>
      <c r="K44" s="1432" t="s">
        <v>1118</v>
      </c>
      <c r="L44" s="1432"/>
      <c r="M44" s="529"/>
      <c r="N44" s="1431"/>
      <c r="O44" s="1433"/>
      <c r="P44" s="529"/>
      <c r="Q44" s="532" t="s">
        <v>516</v>
      </c>
      <c r="R44" s="532" t="s">
        <v>801</v>
      </c>
    </row>
    <row r="45" spans="1:18">
      <c r="A45" s="1477"/>
      <c r="B45" s="1478"/>
      <c r="C45" s="1477"/>
      <c r="D45" s="1479"/>
      <c r="E45" s="1475"/>
      <c r="F45" s="1475"/>
      <c r="G45" s="1475"/>
      <c r="H45" s="1475"/>
      <c r="I45" s="1434" t="s">
        <v>1241</v>
      </c>
      <c r="J45" s="1435"/>
      <c r="K45" s="1434" t="s">
        <v>359</v>
      </c>
      <c r="L45" s="1434"/>
      <c r="M45" s="1434" t="s">
        <v>1119</v>
      </c>
      <c r="N45" s="1436"/>
      <c r="O45" s="1434" t="s">
        <v>1749</v>
      </c>
      <c r="P45" s="1434" t="s">
        <v>2649</v>
      </c>
      <c r="Q45" s="1434" t="s">
        <v>1120</v>
      </c>
      <c r="R45" s="1437" t="s">
        <v>2650</v>
      </c>
    </row>
    <row r="46" spans="1:18">
      <c r="A46" s="1450"/>
      <c r="B46" s="1450"/>
      <c r="C46" s="1450"/>
      <c r="D46" s="529"/>
      <c r="E46" s="529"/>
      <c r="F46" s="529"/>
      <c r="G46" s="529"/>
      <c r="H46" s="529"/>
      <c r="I46" s="529"/>
      <c r="J46" s="529"/>
      <c r="K46" s="529"/>
      <c r="L46" s="529"/>
      <c r="M46" s="529"/>
      <c r="N46" s="1431"/>
      <c r="O46" s="1431"/>
      <c r="P46" s="1438" t="s">
        <v>1150</v>
      </c>
      <c r="Q46" s="1438"/>
      <c r="R46" s="1438" t="s">
        <v>1150</v>
      </c>
    </row>
    <row r="47" spans="1:18">
      <c r="A47" s="1450"/>
      <c r="B47" s="1450"/>
      <c r="C47" s="1450"/>
      <c r="D47" s="529"/>
      <c r="E47" s="529"/>
      <c r="F47" s="529"/>
      <c r="G47" s="529"/>
      <c r="H47" s="529"/>
      <c r="I47" s="529"/>
      <c r="J47" s="529"/>
      <c r="K47" s="529"/>
      <c r="L47" s="529"/>
      <c r="M47" s="529"/>
      <c r="N47" s="529"/>
      <c r="O47" s="529"/>
      <c r="P47" s="529"/>
      <c r="Q47" s="529"/>
      <c r="R47" s="529"/>
    </row>
    <row r="48" spans="1:18">
      <c r="A48" s="1450"/>
      <c r="B48" s="1450"/>
      <c r="C48" s="1450"/>
      <c r="D48" s="529"/>
      <c r="E48" s="529"/>
      <c r="F48" s="529"/>
      <c r="G48" s="529"/>
      <c r="H48" s="529"/>
      <c r="I48" s="1432">
        <v>1</v>
      </c>
      <c r="J48" s="529"/>
      <c r="K48" s="532">
        <v>182700</v>
      </c>
      <c r="L48" s="532"/>
      <c r="M48" s="461" t="s">
        <v>2651</v>
      </c>
      <c r="N48" s="529"/>
      <c r="O48" s="1432" t="s">
        <v>303</v>
      </c>
      <c r="P48" s="534">
        <v>4912800</v>
      </c>
      <c r="Q48" s="1439">
        <v>5</v>
      </c>
      <c r="R48" s="535">
        <f>ROUND(P48/Q48,0)</f>
        <v>982560</v>
      </c>
    </row>
    <row r="49" spans="1:18">
      <c r="A49" s="1450"/>
      <c r="B49" s="1450"/>
      <c r="C49" s="1450"/>
      <c r="D49" s="529"/>
      <c r="E49" s="529"/>
      <c r="F49" s="529"/>
      <c r="G49" s="529"/>
      <c r="H49" s="529"/>
      <c r="I49" s="1432">
        <v>2</v>
      </c>
      <c r="J49" s="529"/>
      <c r="K49" s="532"/>
      <c r="L49" s="532"/>
      <c r="M49" s="461"/>
      <c r="N49" s="529"/>
      <c r="O49" s="1432"/>
      <c r="P49" s="534"/>
      <c r="Q49" s="1439"/>
      <c r="R49" s="535"/>
    </row>
    <row r="50" spans="1:18">
      <c r="A50" s="1450"/>
      <c r="B50" s="1450"/>
      <c r="C50" s="1450"/>
      <c r="D50" s="529"/>
      <c r="E50" s="529"/>
      <c r="F50" s="529"/>
      <c r="G50" s="529"/>
      <c r="H50" s="529"/>
      <c r="I50" s="1432">
        <v>3</v>
      </c>
      <c r="J50" s="529"/>
      <c r="K50" s="532">
        <v>182366</v>
      </c>
      <c r="L50" s="532"/>
      <c r="M50" s="461" t="s">
        <v>2652</v>
      </c>
      <c r="N50" s="529"/>
      <c r="O50" s="192" t="s">
        <v>944</v>
      </c>
      <c r="P50" s="534">
        <v>2000000</v>
      </c>
      <c r="Q50" s="1439">
        <v>5</v>
      </c>
      <c r="R50" s="535">
        <f>ROUND(P50/Q50,0)</f>
        <v>400000</v>
      </c>
    </row>
    <row r="51" spans="1:18">
      <c r="A51" s="1450"/>
      <c r="B51" s="1450"/>
      <c r="C51" s="1450"/>
      <c r="D51" s="529"/>
      <c r="E51" s="529"/>
      <c r="F51" s="529"/>
      <c r="G51" s="529"/>
      <c r="H51" s="529"/>
      <c r="I51" s="1432">
        <v>4</v>
      </c>
      <c r="J51" s="529"/>
      <c r="K51" s="532"/>
      <c r="L51" s="532"/>
      <c r="M51" s="461"/>
      <c r="N51" s="529"/>
      <c r="O51" s="192"/>
      <c r="P51" s="534"/>
      <c r="Q51" s="1439"/>
      <c r="R51" s="535"/>
    </row>
    <row r="52" spans="1:18">
      <c r="A52" s="1450"/>
      <c r="B52" s="1450"/>
      <c r="C52" s="1450"/>
      <c r="D52" s="529"/>
      <c r="E52" s="529"/>
      <c r="F52" s="529"/>
      <c r="G52" s="529"/>
      <c r="H52" s="529"/>
      <c r="I52" s="1432">
        <v>5</v>
      </c>
      <c r="J52" s="529"/>
      <c r="K52" s="532">
        <v>182050</v>
      </c>
      <c r="L52" s="532"/>
      <c r="M52" s="461" t="s">
        <v>2653</v>
      </c>
      <c r="N52" s="529"/>
      <c r="O52" s="1432" t="s">
        <v>3267</v>
      </c>
      <c r="P52" s="534">
        <f>39162337</f>
        <v>39162337</v>
      </c>
      <c r="Q52" s="1439">
        <v>10</v>
      </c>
      <c r="R52" s="535">
        <f>ROUND(PMT(('SCH_J1 - Forecast'!K18/12),120,-P52)*12,0)</f>
        <v>4812457</v>
      </c>
    </row>
    <row r="53" spans="1:18">
      <c r="A53" s="529"/>
      <c r="B53" s="529"/>
      <c r="C53" s="529"/>
      <c r="D53" s="529"/>
      <c r="E53" s="529"/>
      <c r="F53" s="529"/>
      <c r="G53" s="529"/>
      <c r="H53" s="529"/>
      <c r="I53" s="1432">
        <v>6</v>
      </c>
      <c r="J53" s="529"/>
      <c r="K53" s="532"/>
      <c r="L53" s="532"/>
      <c r="M53" s="461"/>
      <c r="N53" s="529"/>
      <c r="O53" s="1432"/>
      <c r="P53" s="534"/>
      <c r="Q53" s="1439"/>
      <c r="R53" s="535"/>
    </row>
    <row r="54" spans="1:18">
      <c r="A54" s="529"/>
      <c r="B54" s="529"/>
      <c r="C54" s="529"/>
      <c r="D54" s="529"/>
      <c r="E54" s="529"/>
      <c r="F54" s="529"/>
      <c r="G54" s="529"/>
      <c r="H54" s="529"/>
      <c r="I54" s="1432">
        <v>7</v>
      </c>
      <c r="J54" s="529"/>
      <c r="K54" s="532">
        <v>182714</v>
      </c>
      <c r="L54" s="532"/>
      <c r="M54" s="461" t="s">
        <v>2964</v>
      </c>
      <c r="N54" s="529"/>
      <c r="O54" s="1432" t="s">
        <v>300</v>
      </c>
      <c r="P54" s="534">
        <v>263029</v>
      </c>
      <c r="Q54" s="1439">
        <v>5</v>
      </c>
      <c r="R54" s="535">
        <f>ROUND(P54/Q54,0)</f>
        <v>52606</v>
      </c>
    </row>
    <row r="55" spans="1:18">
      <c r="A55" s="529"/>
      <c r="B55" s="529"/>
      <c r="C55" s="529"/>
      <c r="D55" s="529"/>
      <c r="E55" s="529"/>
      <c r="F55" s="529"/>
      <c r="G55" s="529"/>
      <c r="H55" s="529"/>
      <c r="I55" s="1432">
        <v>8</v>
      </c>
      <c r="J55" s="529"/>
      <c r="K55" s="532"/>
      <c r="L55" s="532"/>
      <c r="M55" s="461"/>
      <c r="N55" s="529"/>
      <c r="O55" s="1432"/>
      <c r="P55" s="534"/>
      <c r="Q55" s="1439"/>
      <c r="R55" s="535"/>
    </row>
    <row r="56" spans="1:18" ht="13.5" thickBot="1">
      <c r="A56" s="529"/>
      <c r="B56" s="529"/>
      <c r="C56" s="529"/>
      <c r="D56" s="529"/>
      <c r="E56" s="529"/>
      <c r="F56" s="529"/>
      <c r="G56" s="529"/>
      <c r="H56" s="529"/>
      <c r="I56" s="1432">
        <v>9</v>
      </c>
      <c r="J56" s="529"/>
      <c r="K56" s="529"/>
      <c r="L56" s="529"/>
      <c r="M56" s="461" t="s">
        <v>2654</v>
      </c>
      <c r="N56" s="529"/>
      <c r="O56" s="461"/>
      <c r="P56" s="1440">
        <f>SUM(P48:P54)</f>
        <v>46338166</v>
      </c>
      <c r="Q56" s="535"/>
      <c r="R56" s="1440">
        <f>SUM(R48:R55)</f>
        <v>6247623</v>
      </c>
    </row>
    <row r="57" spans="1:18" ht="13.5" thickTop="1">
      <c r="A57" s="529"/>
      <c r="B57" s="529"/>
      <c r="C57" s="529"/>
      <c r="D57" s="529"/>
      <c r="E57" s="529"/>
      <c r="F57" s="529"/>
      <c r="G57" s="529"/>
      <c r="H57" s="529"/>
      <c r="I57" s="1429"/>
      <c r="J57" s="529"/>
      <c r="K57" s="529"/>
      <c r="L57" s="529"/>
      <c r="M57" s="461"/>
      <c r="N57" s="529"/>
      <c r="O57" s="461"/>
      <c r="P57" s="535"/>
      <c r="Q57" s="535"/>
      <c r="R57" s="529"/>
    </row>
    <row r="58" spans="1:18">
      <c r="A58" s="529"/>
      <c r="B58" s="529"/>
      <c r="C58" s="529"/>
      <c r="D58" s="529"/>
      <c r="E58" s="529"/>
      <c r="F58" s="529"/>
      <c r="G58" s="529"/>
      <c r="H58" s="529"/>
      <c r="I58" s="1429"/>
      <c r="J58" s="529"/>
      <c r="K58" s="529"/>
      <c r="L58" s="529"/>
      <c r="M58" s="461"/>
      <c r="N58" s="529"/>
      <c r="O58" s="461"/>
      <c r="P58" s="535"/>
      <c r="Q58" s="535"/>
      <c r="R58" s="529"/>
    </row>
    <row r="59" spans="1:18">
      <c r="A59" s="529"/>
      <c r="B59" s="529"/>
      <c r="C59" s="529"/>
      <c r="D59" s="529"/>
      <c r="E59" s="529"/>
      <c r="F59" s="529"/>
      <c r="G59" s="529"/>
      <c r="H59" s="529"/>
      <c r="I59" s="1429"/>
      <c r="J59" s="529"/>
      <c r="K59" s="461" t="s">
        <v>2655</v>
      </c>
      <c r="L59" s="461"/>
      <c r="M59" s="461"/>
      <c r="N59" s="529"/>
      <c r="O59" s="461"/>
      <c r="P59" s="529"/>
      <c r="Q59" s="529"/>
      <c r="R59" s="529"/>
    </row>
    <row r="60" spans="1:18">
      <c r="A60" s="529"/>
      <c r="B60" s="529"/>
      <c r="C60" s="529"/>
      <c r="D60" s="529"/>
      <c r="E60" s="529"/>
      <c r="F60" s="529"/>
      <c r="G60" s="529"/>
      <c r="H60" s="529"/>
      <c r="I60" s="1429"/>
      <c r="J60" s="529"/>
      <c r="K60" s="529" t="s">
        <v>2663</v>
      </c>
      <c r="L60" s="529"/>
      <c r="M60" s="461"/>
      <c r="N60" s="529"/>
      <c r="O60" s="461"/>
      <c r="P60" s="535"/>
      <c r="Q60" s="535"/>
      <c r="R60" s="529"/>
    </row>
    <row r="61" spans="1:18">
      <c r="A61" s="529"/>
      <c r="B61" s="529"/>
      <c r="C61" s="529"/>
      <c r="D61" s="529"/>
      <c r="E61" s="529"/>
      <c r="F61" s="529"/>
      <c r="G61" s="529"/>
      <c r="H61" s="529"/>
      <c r="I61" s="1429"/>
      <c r="J61" s="529"/>
      <c r="K61" s="529" t="s">
        <v>2656</v>
      </c>
      <c r="L61" s="529"/>
      <c r="M61" s="1441"/>
      <c r="N61" s="529"/>
      <c r="O61" s="529"/>
      <c r="P61" s="1442"/>
      <c r="Q61" s="1442"/>
      <c r="R61" s="529"/>
    </row>
    <row r="62" spans="1:18">
      <c r="I62" s="1429"/>
      <c r="J62" s="529"/>
      <c r="K62" s="529" t="s">
        <v>2657</v>
      </c>
      <c r="L62" s="529"/>
      <c r="M62" s="1441"/>
      <c r="N62" s="529"/>
      <c r="O62" s="529"/>
      <c r="P62" s="529"/>
      <c r="Q62" s="529"/>
      <c r="R62" s="1431"/>
    </row>
    <row r="63" spans="1:18">
      <c r="I63" s="461"/>
      <c r="J63" s="529"/>
      <c r="K63" s="529" t="s">
        <v>2658</v>
      </c>
      <c r="L63" s="529"/>
      <c r="M63" s="1441"/>
      <c r="N63" s="529"/>
      <c r="O63" s="529"/>
      <c r="P63" s="529"/>
      <c r="Q63" s="529"/>
      <c r="R63" s="529"/>
    </row>
    <row r="64" spans="1:18">
      <c r="K64" s="1383" t="s">
        <v>3268</v>
      </c>
    </row>
    <row r="65" spans="11:11">
      <c r="K65" s="529" t="s">
        <v>3250</v>
      </c>
    </row>
  </sheetData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tabColor rgb="FF00FF00"/>
  </sheetPr>
  <dimension ref="A1:J67"/>
  <sheetViews>
    <sheetView tabSelected="1" view="pageLayout" zoomScaleNormal="80" workbookViewId="0">
      <selection activeCell="G1" sqref="G1"/>
    </sheetView>
  </sheetViews>
  <sheetFormatPr defaultColWidth="8.85546875" defaultRowHeight="12.75"/>
  <cols>
    <col min="1" max="1" width="10.7109375" style="18" customWidth="1"/>
    <col min="2" max="2" width="29.85546875" style="18" customWidth="1"/>
    <col min="3" max="3" width="24.42578125" style="18" customWidth="1"/>
    <col min="4" max="4" width="31.28515625" style="18" customWidth="1"/>
    <col min="5" max="11" width="15.7109375" style="18" customWidth="1"/>
    <col min="12" max="16384" width="8.85546875" style="18"/>
  </cols>
  <sheetData>
    <row r="1" spans="1:10" ht="13.5" thickBot="1">
      <c r="A1" s="2784" t="s">
        <v>2440</v>
      </c>
      <c r="B1" s="2784" t="s">
        <v>2441</v>
      </c>
      <c r="C1" s="2784" t="s">
        <v>2453</v>
      </c>
      <c r="D1" s="2784" t="s">
        <v>2454</v>
      </c>
      <c r="E1" s="1547">
        <f>LOGO!I7</f>
        <v>42735</v>
      </c>
      <c r="F1" s="1547">
        <f>LOGO!I8</f>
        <v>42766</v>
      </c>
      <c r="G1" s="1547">
        <f>LOGO!I9</f>
        <v>42794</v>
      </c>
      <c r="H1" s="1547">
        <f>LOGO!I10</f>
        <v>42825</v>
      </c>
      <c r="I1" s="1547">
        <f>LOGO!I11</f>
        <v>42855</v>
      </c>
      <c r="J1" s="1547">
        <f>LOGO!I12</f>
        <v>42886</v>
      </c>
    </row>
    <row r="2" spans="1:10">
      <c r="A2" s="2784">
        <v>440000</v>
      </c>
      <c r="B2" s="2784" t="s">
        <v>947</v>
      </c>
      <c r="C2" s="2784" t="s">
        <v>2211</v>
      </c>
      <c r="D2" s="2784" t="s">
        <v>2212</v>
      </c>
      <c r="E2" s="2769">
        <v>7093348</v>
      </c>
      <c r="F2" s="2745">
        <v>8427342</v>
      </c>
      <c r="G2" s="2745">
        <v>6597780</v>
      </c>
      <c r="H2" s="2745">
        <v>6012250</v>
      </c>
      <c r="I2" s="2745">
        <v>5331415</v>
      </c>
      <c r="J2" s="2745">
        <v>5150601</v>
      </c>
    </row>
    <row r="3" spans="1:10">
      <c r="A3" s="2785">
        <v>440000</v>
      </c>
      <c r="B3" s="2785" t="s">
        <v>947</v>
      </c>
      <c r="C3" s="2784" t="s">
        <v>2213</v>
      </c>
      <c r="D3" s="2784" t="s">
        <v>2214</v>
      </c>
      <c r="E3" s="2769">
        <v>3677306</v>
      </c>
      <c r="F3" s="2745">
        <v>4433371</v>
      </c>
      <c r="G3" s="2745">
        <v>3402539</v>
      </c>
      <c r="H3" s="2745">
        <v>3069717</v>
      </c>
      <c r="I3" s="2745">
        <v>2686524</v>
      </c>
      <c r="J3" s="2745">
        <v>2588234</v>
      </c>
    </row>
    <row r="4" spans="1:10">
      <c r="A4" s="2785">
        <v>440000</v>
      </c>
      <c r="B4" s="2785" t="s">
        <v>947</v>
      </c>
      <c r="C4" s="2784" t="s">
        <v>2215</v>
      </c>
      <c r="D4" s="2784" t="s">
        <v>2216</v>
      </c>
      <c r="E4" s="2769">
        <v>899172</v>
      </c>
      <c r="F4" s="2745">
        <v>1084950</v>
      </c>
      <c r="G4" s="2745">
        <v>857605</v>
      </c>
      <c r="H4" s="2745">
        <v>773465</v>
      </c>
      <c r="I4" s="2745">
        <v>734455</v>
      </c>
      <c r="J4" s="2745">
        <v>706329</v>
      </c>
    </row>
    <row r="5" spans="1:10">
      <c r="A5" s="2785">
        <v>440000</v>
      </c>
      <c r="B5" s="2785" t="s">
        <v>947</v>
      </c>
      <c r="C5" s="2784" t="s">
        <v>2217</v>
      </c>
      <c r="D5" s="2784" t="s">
        <v>2218</v>
      </c>
      <c r="E5" s="2769">
        <v>-750364</v>
      </c>
      <c r="F5" s="2745">
        <v>-884134</v>
      </c>
      <c r="G5" s="2745">
        <v>-586923</v>
      </c>
      <c r="H5" s="2745">
        <v>-609415</v>
      </c>
      <c r="I5" s="2745">
        <v>-696576</v>
      </c>
      <c r="J5" s="2745">
        <v>-801494</v>
      </c>
    </row>
    <row r="6" spans="1:10">
      <c r="A6" s="2785">
        <v>440000</v>
      </c>
      <c r="B6" s="2785" t="s">
        <v>947</v>
      </c>
      <c r="C6" s="2784" t="s">
        <v>2219</v>
      </c>
      <c r="D6" s="2784" t="s">
        <v>2220</v>
      </c>
      <c r="E6" s="2769">
        <v>-154829</v>
      </c>
      <c r="F6" s="2745">
        <v>-186883</v>
      </c>
      <c r="G6" s="2745">
        <v>-143052</v>
      </c>
      <c r="H6" s="2745">
        <v>-160744</v>
      </c>
      <c r="I6" s="2745">
        <v>-140723</v>
      </c>
      <c r="J6" s="2745">
        <v>-135356</v>
      </c>
    </row>
    <row r="7" spans="1:10">
      <c r="A7" s="2784">
        <v>440990</v>
      </c>
      <c r="B7" s="2784" t="s">
        <v>2021</v>
      </c>
      <c r="C7" s="2784" t="s">
        <v>2221</v>
      </c>
      <c r="D7" s="2784" t="s">
        <v>2222</v>
      </c>
      <c r="E7" s="2769">
        <v>1212394</v>
      </c>
      <c r="F7" s="2745">
        <v>-1263731</v>
      </c>
      <c r="G7" s="2745">
        <v>-836672</v>
      </c>
      <c r="H7" s="2745">
        <v>-528078</v>
      </c>
      <c r="I7" s="2745">
        <v>-339258</v>
      </c>
      <c r="J7" s="2745">
        <v>784453</v>
      </c>
    </row>
    <row r="8" spans="1:10">
      <c r="A8" s="2784">
        <v>442100</v>
      </c>
      <c r="B8" s="2784" t="s">
        <v>2022</v>
      </c>
      <c r="C8" s="2784" t="s">
        <v>2211</v>
      </c>
      <c r="D8" s="2784" t="s">
        <v>2212</v>
      </c>
      <c r="E8" s="2769">
        <v>5982285</v>
      </c>
      <c r="F8" s="2745">
        <v>6101430</v>
      </c>
      <c r="G8" s="2745">
        <v>5724302</v>
      </c>
      <c r="H8" s="2745">
        <v>5656628</v>
      </c>
      <c r="I8" s="2745">
        <v>5642383</v>
      </c>
      <c r="J8" s="2745">
        <v>5710289</v>
      </c>
    </row>
    <row r="9" spans="1:10">
      <c r="A9" s="2785">
        <v>442100</v>
      </c>
      <c r="B9" s="2785" t="s">
        <v>2022</v>
      </c>
      <c r="C9" s="2784" t="s">
        <v>2213</v>
      </c>
      <c r="D9" s="2784" t="s">
        <v>2214</v>
      </c>
      <c r="E9" s="2769">
        <v>3604659</v>
      </c>
      <c r="F9" s="2745">
        <v>3662188</v>
      </c>
      <c r="G9" s="2745">
        <v>3305795</v>
      </c>
      <c r="H9" s="2745">
        <v>3246319</v>
      </c>
      <c r="I9" s="2745">
        <v>3273734</v>
      </c>
      <c r="J9" s="2745">
        <v>3344724</v>
      </c>
    </row>
    <row r="10" spans="1:10">
      <c r="A10" s="2785">
        <v>442100</v>
      </c>
      <c r="B10" s="2785" t="s">
        <v>2022</v>
      </c>
      <c r="C10" s="2784" t="s">
        <v>2215</v>
      </c>
      <c r="D10" s="2784" t="s">
        <v>2216</v>
      </c>
      <c r="E10" s="2769">
        <v>343586</v>
      </c>
      <c r="F10" s="2745">
        <v>349320</v>
      </c>
      <c r="G10" s="2745">
        <v>318513</v>
      </c>
      <c r="H10" s="2745">
        <v>310217</v>
      </c>
      <c r="I10" s="2745">
        <v>289750</v>
      </c>
      <c r="J10" s="2745">
        <v>295277</v>
      </c>
    </row>
    <row r="11" spans="1:10">
      <c r="A11" s="2785">
        <v>442100</v>
      </c>
      <c r="B11" s="2785" t="s">
        <v>2022</v>
      </c>
      <c r="C11" s="2784" t="s">
        <v>2217</v>
      </c>
      <c r="D11" s="2784" t="s">
        <v>2218</v>
      </c>
      <c r="E11" s="2769">
        <v>-734229</v>
      </c>
      <c r="F11" s="2745">
        <v>-729349</v>
      </c>
      <c r="G11" s="2745">
        <v>-572122</v>
      </c>
      <c r="H11" s="2745">
        <v>-644370</v>
      </c>
      <c r="I11" s="2745">
        <v>-847186</v>
      </c>
      <c r="J11" s="2745">
        <v>-1037055</v>
      </c>
    </row>
    <row r="12" spans="1:10">
      <c r="A12" s="2785">
        <v>442100</v>
      </c>
      <c r="B12" s="2785" t="s">
        <v>2022</v>
      </c>
      <c r="C12" s="2784" t="s">
        <v>2219</v>
      </c>
      <c r="D12" s="2784" t="s">
        <v>2220</v>
      </c>
      <c r="E12" s="2769">
        <v>-151524</v>
      </c>
      <c r="F12" s="2745">
        <v>-154193</v>
      </c>
      <c r="G12" s="2745">
        <v>-139199</v>
      </c>
      <c r="H12" s="2745">
        <v>-169994</v>
      </c>
      <c r="I12" s="2745">
        <v>-171356</v>
      </c>
      <c r="J12" s="2745">
        <v>-175342</v>
      </c>
    </row>
    <row r="13" spans="1:10">
      <c r="A13" s="2784">
        <v>442190</v>
      </c>
      <c r="B13" s="2784" t="s">
        <v>2023</v>
      </c>
      <c r="C13" s="2784" t="s">
        <v>2221</v>
      </c>
      <c r="D13" s="2784" t="s">
        <v>2222</v>
      </c>
      <c r="E13" s="2769">
        <v>-134486</v>
      </c>
      <c r="F13" s="2745">
        <v>-235686</v>
      </c>
      <c r="G13" s="2745">
        <v>-289852</v>
      </c>
      <c r="H13" s="2745">
        <v>106074</v>
      </c>
      <c r="I13" s="2745">
        <v>-21272</v>
      </c>
      <c r="J13" s="2745">
        <v>223617</v>
      </c>
    </row>
    <row r="14" spans="1:10">
      <c r="A14" s="2784">
        <v>442200</v>
      </c>
      <c r="B14" s="2784" t="s">
        <v>2024</v>
      </c>
      <c r="C14" s="2784" t="s">
        <v>2211</v>
      </c>
      <c r="D14" s="2784" t="s">
        <v>2212</v>
      </c>
      <c r="E14" s="2769">
        <v>2523241</v>
      </c>
      <c r="F14" s="2745">
        <v>2442454</v>
      </c>
      <c r="G14" s="2745">
        <v>2426914</v>
      </c>
      <c r="H14" s="2745">
        <v>2439069</v>
      </c>
      <c r="I14" s="2745">
        <v>2473764</v>
      </c>
      <c r="J14" s="2745">
        <v>2555379</v>
      </c>
    </row>
    <row r="15" spans="1:10">
      <c r="A15" s="2785">
        <v>442200</v>
      </c>
      <c r="B15" s="2785" t="s">
        <v>2024</v>
      </c>
      <c r="C15" s="2784" t="s">
        <v>2213</v>
      </c>
      <c r="D15" s="2784" t="s">
        <v>2214</v>
      </c>
      <c r="E15" s="2769">
        <v>1996008</v>
      </c>
      <c r="F15" s="2745">
        <v>1844696</v>
      </c>
      <c r="G15" s="2745">
        <v>1844642</v>
      </c>
      <c r="H15" s="2745">
        <v>1801964</v>
      </c>
      <c r="I15" s="2745">
        <v>1856644</v>
      </c>
      <c r="J15" s="2745">
        <v>1932761</v>
      </c>
    </row>
    <row r="16" spans="1:10">
      <c r="A16" s="2785">
        <v>442200</v>
      </c>
      <c r="B16" s="2785" t="s">
        <v>2024</v>
      </c>
      <c r="C16" s="2784" t="s">
        <v>2215</v>
      </c>
      <c r="D16" s="2784" t="s">
        <v>2216</v>
      </c>
      <c r="E16" s="2769">
        <v>146100</v>
      </c>
      <c r="F16" s="2745">
        <v>136041</v>
      </c>
      <c r="G16" s="2745">
        <v>137528</v>
      </c>
      <c r="H16" s="2745">
        <v>133386</v>
      </c>
      <c r="I16" s="2745">
        <v>128403</v>
      </c>
      <c r="J16" s="2745">
        <v>132522</v>
      </c>
    </row>
    <row r="17" spans="1:10">
      <c r="A17" s="2785">
        <v>442200</v>
      </c>
      <c r="B17" s="2785" t="s">
        <v>2024</v>
      </c>
      <c r="C17" s="2784" t="s">
        <v>2217</v>
      </c>
      <c r="D17" s="2784" t="s">
        <v>2218</v>
      </c>
      <c r="E17" s="2769">
        <v>-398464</v>
      </c>
      <c r="F17" s="2745">
        <v>-360517</v>
      </c>
      <c r="G17" s="2745">
        <v>-311505</v>
      </c>
      <c r="H17" s="2745">
        <v>-351977</v>
      </c>
      <c r="I17" s="2745">
        <v>-473997</v>
      </c>
      <c r="J17" s="2745">
        <v>-590393</v>
      </c>
    </row>
    <row r="18" spans="1:10">
      <c r="A18" s="2785">
        <v>442200</v>
      </c>
      <c r="B18" s="2785" t="s">
        <v>2024</v>
      </c>
      <c r="C18" s="2784" t="s">
        <v>2219</v>
      </c>
      <c r="D18" s="2784" t="s">
        <v>2220</v>
      </c>
      <c r="E18" s="2769">
        <v>-83839</v>
      </c>
      <c r="F18" s="2745">
        <v>-77491</v>
      </c>
      <c r="G18" s="2745">
        <v>-77482</v>
      </c>
      <c r="H18" s="2745">
        <v>-94265</v>
      </c>
      <c r="I18" s="2745">
        <v>-97127</v>
      </c>
      <c r="J18" s="2745">
        <v>-101113</v>
      </c>
    </row>
    <row r="19" spans="1:10">
      <c r="A19" s="2784">
        <v>442290</v>
      </c>
      <c r="B19" s="2784" t="s">
        <v>2025</v>
      </c>
      <c r="C19" s="2784" t="s">
        <v>2221</v>
      </c>
      <c r="D19" s="2784" t="s">
        <v>2222</v>
      </c>
      <c r="E19" s="2769">
        <v>-153749</v>
      </c>
      <c r="F19" s="2745">
        <v>15961</v>
      </c>
      <c r="G19" s="2745">
        <v>-218848</v>
      </c>
      <c r="H19" s="2745">
        <v>136596</v>
      </c>
      <c r="I19" s="2745">
        <v>-102759</v>
      </c>
      <c r="J19" s="2745">
        <v>162141</v>
      </c>
    </row>
    <row r="20" spans="1:10">
      <c r="A20" s="2784">
        <v>444000</v>
      </c>
      <c r="B20" s="2784" t="s">
        <v>2026</v>
      </c>
      <c r="C20" s="2784" t="s">
        <v>2211</v>
      </c>
      <c r="D20" s="2784" t="s">
        <v>2212</v>
      </c>
      <c r="E20" s="2769">
        <v>106926</v>
      </c>
      <c r="F20" s="2745">
        <v>87710</v>
      </c>
      <c r="G20" s="2745">
        <v>105330</v>
      </c>
      <c r="H20" s="2745">
        <v>104032</v>
      </c>
      <c r="I20" s="2745">
        <v>104585</v>
      </c>
      <c r="J20" s="2745">
        <v>103785</v>
      </c>
    </row>
    <row r="21" spans="1:10">
      <c r="A21" s="2785">
        <v>444000</v>
      </c>
      <c r="B21" s="2785" t="s">
        <v>2026</v>
      </c>
      <c r="C21" s="2784" t="s">
        <v>2213</v>
      </c>
      <c r="D21" s="2784" t="s">
        <v>2214</v>
      </c>
      <c r="E21" s="2769">
        <v>38253</v>
      </c>
      <c r="F21" s="2745">
        <v>37418</v>
      </c>
      <c r="G21" s="2745">
        <v>37369</v>
      </c>
      <c r="H21" s="2745">
        <v>36007</v>
      </c>
      <c r="I21" s="2745">
        <v>36699</v>
      </c>
      <c r="J21" s="2745">
        <v>36136</v>
      </c>
    </row>
    <row r="22" spans="1:10">
      <c r="A22" s="2785">
        <v>444000</v>
      </c>
      <c r="B22" s="2785" t="s">
        <v>2026</v>
      </c>
      <c r="C22" s="2784" t="s">
        <v>2215</v>
      </c>
      <c r="D22" s="2784" t="s">
        <v>2216</v>
      </c>
      <c r="E22" s="2769">
        <v>448</v>
      </c>
      <c r="F22" s="2745">
        <v>423</v>
      </c>
      <c r="G22" s="2745">
        <v>373</v>
      </c>
      <c r="H22" s="2745">
        <v>273</v>
      </c>
      <c r="I22" s="2745">
        <v>286</v>
      </c>
      <c r="J22" s="2745">
        <v>260</v>
      </c>
    </row>
    <row r="23" spans="1:10">
      <c r="A23" s="2785">
        <v>444000</v>
      </c>
      <c r="B23" s="2785" t="s">
        <v>2026</v>
      </c>
      <c r="C23" s="2784" t="s">
        <v>2217</v>
      </c>
      <c r="D23" s="2784" t="s">
        <v>2218</v>
      </c>
      <c r="E23" s="2769">
        <v>-7787</v>
      </c>
      <c r="F23" s="2745">
        <v>-7442</v>
      </c>
      <c r="G23" s="2745">
        <v>-6481</v>
      </c>
      <c r="H23" s="2745">
        <v>-7143</v>
      </c>
      <c r="I23" s="2745">
        <v>-9506</v>
      </c>
      <c r="J23" s="2745">
        <v>-11195</v>
      </c>
    </row>
    <row r="24" spans="1:10">
      <c r="A24" s="2785">
        <v>444000</v>
      </c>
      <c r="B24" s="2785" t="s">
        <v>2026</v>
      </c>
      <c r="C24" s="2784" t="s">
        <v>2219</v>
      </c>
      <c r="D24" s="2784" t="s">
        <v>2220</v>
      </c>
      <c r="E24" s="2769">
        <v>-1603</v>
      </c>
      <c r="F24" s="2745">
        <v>-1569</v>
      </c>
      <c r="G24" s="2745">
        <v>-1567</v>
      </c>
      <c r="H24" s="2745">
        <v>-1879</v>
      </c>
      <c r="I24" s="2745">
        <v>-1915</v>
      </c>
      <c r="J24" s="2745">
        <v>-1886</v>
      </c>
    </row>
    <row r="25" spans="1:10">
      <c r="A25" s="2784">
        <v>445000</v>
      </c>
      <c r="B25" s="2784" t="s">
        <v>2027</v>
      </c>
      <c r="C25" s="2784" t="s">
        <v>2211</v>
      </c>
      <c r="D25" s="2784" t="s">
        <v>2212</v>
      </c>
      <c r="E25" s="2769">
        <v>1117691</v>
      </c>
      <c r="F25" s="2745">
        <v>1113876</v>
      </c>
      <c r="G25" s="2745">
        <v>1034096</v>
      </c>
      <c r="H25" s="2745">
        <v>1107687</v>
      </c>
      <c r="I25" s="2745">
        <v>1042014</v>
      </c>
      <c r="J25" s="2745">
        <v>1085006</v>
      </c>
    </row>
    <row r="26" spans="1:10">
      <c r="A26" s="2785">
        <v>445000</v>
      </c>
      <c r="B26" s="2785" t="s">
        <v>2027</v>
      </c>
      <c r="C26" s="2784" t="s">
        <v>2213</v>
      </c>
      <c r="D26" s="2784" t="s">
        <v>2214</v>
      </c>
      <c r="E26" s="2769">
        <v>707669</v>
      </c>
      <c r="F26" s="2745">
        <v>716058</v>
      </c>
      <c r="G26" s="2745">
        <v>622983</v>
      </c>
      <c r="H26" s="2745">
        <v>646954</v>
      </c>
      <c r="I26" s="2745">
        <v>622060</v>
      </c>
      <c r="J26" s="2745">
        <v>665147</v>
      </c>
    </row>
    <row r="27" spans="1:10">
      <c r="A27" s="2785">
        <v>445000</v>
      </c>
      <c r="B27" s="2785" t="s">
        <v>2027</v>
      </c>
      <c r="C27" s="2784" t="s">
        <v>2215</v>
      </c>
      <c r="D27" s="2784" t="s">
        <v>2216</v>
      </c>
      <c r="E27" s="2769">
        <v>56705</v>
      </c>
      <c r="F27" s="2745">
        <v>57121</v>
      </c>
      <c r="G27" s="2745">
        <v>50448</v>
      </c>
      <c r="H27" s="2745">
        <v>52430</v>
      </c>
      <c r="I27" s="2745">
        <v>46442</v>
      </c>
      <c r="J27" s="2745">
        <v>50452</v>
      </c>
    </row>
    <row r="28" spans="1:10">
      <c r="A28" s="2785">
        <v>445000</v>
      </c>
      <c r="B28" s="2785" t="s">
        <v>2027</v>
      </c>
      <c r="C28" s="2784" t="s">
        <v>2217</v>
      </c>
      <c r="D28" s="2784" t="s">
        <v>2218</v>
      </c>
      <c r="E28" s="2769">
        <v>-143158</v>
      </c>
      <c r="F28" s="2745">
        <v>-141833</v>
      </c>
      <c r="G28" s="2745">
        <v>-107225</v>
      </c>
      <c r="H28" s="2745">
        <v>-127474</v>
      </c>
      <c r="I28" s="2745">
        <v>-160621</v>
      </c>
      <c r="J28" s="2745">
        <v>-205394</v>
      </c>
    </row>
    <row r="29" spans="1:10">
      <c r="A29" s="2785">
        <v>445000</v>
      </c>
      <c r="B29" s="2785" t="s">
        <v>2027</v>
      </c>
      <c r="C29" s="2784" t="s">
        <v>2219</v>
      </c>
      <c r="D29" s="2784" t="s">
        <v>2220</v>
      </c>
      <c r="E29" s="2769">
        <v>-29555</v>
      </c>
      <c r="F29" s="2745">
        <v>-29975</v>
      </c>
      <c r="G29" s="2745">
        <v>-26128</v>
      </c>
      <c r="H29" s="2745">
        <v>-33548</v>
      </c>
      <c r="I29" s="2745">
        <v>-32466</v>
      </c>
      <c r="J29" s="2745">
        <v>-34716</v>
      </c>
    </row>
    <row r="30" spans="1:10">
      <c r="A30" s="2784">
        <v>445090</v>
      </c>
      <c r="B30" s="2784" t="s">
        <v>2028</v>
      </c>
      <c r="C30" s="2784" t="s">
        <v>2221</v>
      </c>
      <c r="D30" s="2784" t="s">
        <v>2222</v>
      </c>
      <c r="E30" s="2769">
        <v>-61084</v>
      </c>
      <c r="F30" s="2745">
        <v>-10057</v>
      </c>
      <c r="G30" s="2745">
        <v>-114799</v>
      </c>
      <c r="H30" s="2745">
        <v>44432</v>
      </c>
      <c r="I30" s="2745">
        <v>-50026</v>
      </c>
      <c r="J30" s="2745">
        <v>63810</v>
      </c>
    </row>
    <row r="31" spans="1:10">
      <c r="A31" s="2784">
        <v>447150</v>
      </c>
      <c r="B31" s="2784" t="s">
        <v>2029</v>
      </c>
      <c r="C31" s="2784" t="s">
        <v>2223</v>
      </c>
      <c r="D31" s="2784" t="s">
        <v>2223</v>
      </c>
      <c r="E31" s="2769">
        <v>-3505</v>
      </c>
      <c r="F31" s="2745">
        <v>-3505</v>
      </c>
      <c r="G31" s="2745">
        <v>-3166</v>
      </c>
      <c r="H31" s="2745">
        <v>-3505</v>
      </c>
      <c r="I31" s="2745">
        <v>-3392</v>
      </c>
      <c r="J31" s="2745">
        <v>-3505</v>
      </c>
    </row>
    <row r="32" spans="1:10">
      <c r="A32" s="2785">
        <v>447150</v>
      </c>
      <c r="B32" s="2785" t="s">
        <v>2029</v>
      </c>
      <c r="C32" s="2784" t="s">
        <v>2224</v>
      </c>
      <c r="D32" s="2784" t="s">
        <v>2225</v>
      </c>
      <c r="E32" s="2769">
        <v>77244</v>
      </c>
      <c r="F32" s="2745">
        <v>145522</v>
      </c>
      <c r="G32" s="2745">
        <v>295430</v>
      </c>
      <c r="H32" s="2745">
        <v>-236044</v>
      </c>
      <c r="I32" s="2745">
        <v>65282</v>
      </c>
      <c r="J32" s="2745">
        <v>113906</v>
      </c>
    </row>
    <row r="33" spans="1:10">
      <c r="A33" s="2785">
        <v>447150</v>
      </c>
      <c r="B33" s="2785" t="s">
        <v>2029</v>
      </c>
      <c r="C33" s="2784" t="s">
        <v>2226</v>
      </c>
      <c r="D33" s="2784" t="s">
        <v>2227</v>
      </c>
      <c r="E33" s="2769">
        <v>1855906</v>
      </c>
      <c r="F33" s="2745"/>
      <c r="G33" s="2745"/>
      <c r="H33" s="2745">
        <v>1231565</v>
      </c>
      <c r="I33" s="2745"/>
      <c r="J33" s="2745"/>
    </row>
    <row r="34" spans="1:10">
      <c r="A34" s="2785">
        <v>447150</v>
      </c>
      <c r="B34" s="2785" t="s">
        <v>2029</v>
      </c>
      <c r="C34" s="2784" t="s">
        <v>2228</v>
      </c>
      <c r="D34" s="2784" t="s">
        <v>1388</v>
      </c>
      <c r="E34" s="2769">
        <v>1001572</v>
      </c>
      <c r="F34" s="2745">
        <v>1633194</v>
      </c>
      <c r="G34" s="2745">
        <v>1316416</v>
      </c>
      <c r="H34" s="2745">
        <v>2523067</v>
      </c>
      <c r="I34" s="2745">
        <v>2433414</v>
      </c>
      <c r="J34" s="2745">
        <v>1187598</v>
      </c>
    </row>
    <row r="35" spans="1:10">
      <c r="A35" s="2784">
        <v>448000</v>
      </c>
      <c r="B35" s="2784" t="s">
        <v>2031</v>
      </c>
      <c r="C35" s="2784" t="s">
        <v>529</v>
      </c>
      <c r="D35" s="2784" t="s">
        <v>2229</v>
      </c>
      <c r="E35" s="2769">
        <v>2467</v>
      </c>
      <c r="F35" s="2745">
        <v>9022</v>
      </c>
      <c r="G35" s="2745">
        <v>11880</v>
      </c>
      <c r="H35" s="2745">
        <v>33871</v>
      </c>
      <c r="I35" s="2745">
        <v>-26351</v>
      </c>
      <c r="J35" s="2745">
        <v>2070</v>
      </c>
    </row>
    <row r="36" spans="1:10">
      <c r="A36" s="2784">
        <v>449100</v>
      </c>
      <c r="B36" s="2784" t="s">
        <v>2032</v>
      </c>
      <c r="C36" s="2784" t="s">
        <v>529</v>
      </c>
      <c r="D36" s="2784" t="s">
        <v>2229</v>
      </c>
      <c r="E36" s="2769">
        <v>-379172</v>
      </c>
      <c r="F36" s="2745">
        <v>93347</v>
      </c>
      <c r="G36" s="2745">
        <v>225359</v>
      </c>
      <c r="H36" s="2745">
        <v>-308596</v>
      </c>
      <c r="I36" s="2745">
        <v>257601</v>
      </c>
      <c r="J36" s="2745">
        <v>684721</v>
      </c>
    </row>
    <row r="37" spans="1:10">
      <c r="A37" s="2784">
        <v>450100</v>
      </c>
      <c r="B37" s="2784" t="s">
        <v>2443</v>
      </c>
      <c r="C37" s="2784" t="s">
        <v>529</v>
      </c>
      <c r="D37" s="2784" t="s">
        <v>2229</v>
      </c>
      <c r="E37" s="2769">
        <v>0</v>
      </c>
      <c r="F37" s="2745"/>
      <c r="G37" s="2745">
        <v>0</v>
      </c>
      <c r="H37" s="2745">
        <v>0</v>
      </c>
      <c r="I37" s="2745"/>
      <c r="J37" s="2745">
        <v>0</v>
      </c>
    </row>
    <row r="38" spans="1:10">
      <c r="A38" s="2784">
        <v>451100</v>
      </c>
      <c r="B38" s="2784" t="s">
        <v>2033</v>
      </c>
      <c r="C38" s="2784" t="s">
        <v>2230</v>
      </c>
      <c r="D38" s="2784" t="s">
        <v>2231</v>
      </c>
      <c r="E38" s="2769">
        <v>550</v>
      </c>
      <c r="F38" s="2745">
        <v>550</v>
      </c>
      <c r="G38" s="2745">
        <v>565</v>
      </c>
      <c r="H38" s="2745">
        <v>587</v>
      </c>
      <c r="I38" s="2745">
        <v>572</v>
      </c>
      <c r="J38" s="2745">
        <v>586</v>
      </c>
    </row>
    <row r="39" spans="1:10">
      <c r="A39" s="2785">
        <v>451100</v>
      </c>
      <c r="B39" s="2785" t="s">
        <v>2033</v>
      </c>
      <c r="C39" s="2784" t="s">
        <v>2232</v>
      </c>
      <c r="D39" s="2784" t="s">
        <v>2233</v>
      </c>
      <c r="E39" s="2769">
        <v>8695</v>
      </c>
      <c r="F39" s="2745"/>
      <c r="G39" s="2745"/>
      <c r="H39" s="2745">
        <v>-5962</v>
      </c>
      <c r="I39" s="2745">
        <v>0</v>
      </c>
      <c r="J39" s="2745"/>
    </row>
    <row r="40" spans="1:10">
      <c r="A40" s="2785">
        <v>451100</v>
      </c>
      <c r="B40" s="2785" t="s">
        <v>2033</v>
      </c>
      <c r="C40" s="2784" t="s">
        <v>2234</v>
      </c>
      <c r="D40" s="2784" t="s">
        <v>2235</v>
      </c>
      <c r="E40" s="2769">
        <v>6621</v>
      </c>
      <c r="F40" s="2745">
        <v>7466</v>
      </c>
      <c r="G40" s="2745">
        <v>6737</v>
      </c>
      <c r="H40" s="2745">
        <v>7513</v>
      </c>
      <c r="I40" s="2745">
        <v>7901</v>
      </c>
      <c r="J40" s="2745">
        <v>9499</v>
      </c>
    </row>
    <row r="41" spans="1:10">
      <c r="A41" s="2785">
        <v>451100</v>
      </c>
      <c r="B41" s="2785" t="s">
        <v>2033</v>
      </c>
      <c r="C41" s="2784" t="s">
        <v>2236</v>
      </c>
      <c r="D41" s="2784" t="s">
        <v>2237</v>
      </c>
      <c r="E41" s="2769">
        <v>10337</v>
      </c>
      <c r="F41" s="2745">
        <v>11463</v>
      </c>
      <c r="G41" s="2745">
        <v>11553</v>
      </c>
      <c r="H41" s="2745">
        <v>16282</v>
      </c>
      <c r="I41" s="2745">
        <v>14696</v>
      </c>
      <c r="J41" s="2745">
        <v>19478</v>
      </c>
    </row>
    <row r="42" spans="1:10">
      <c r="A42" s="1370">
        <v>453625</v>
      </c>
      <c r="B42" s="1370" t="s">
        <v>2544</v>
      </c>
      <c r="C42" s="2784"/>
      <c r="D42" s="2784" t="s">
        <v>2229</v>
      </c>
      <c r="E42" s="2769">
        <v>85000</v>
      </c>
      <c r="F42" s="2745">
        <v>9819</v>
      </c>
      <c r="G42" s="2745">
        <v>9819</v>
      </c>
      <c r="H42" s="2745">
        <v>9819</v>
      </c>
      <c r="I42" s="2745">
        <v>0</v>
      </c>
      <c r="J42" s="2745">
        <v>0</v>
      </c>
    </row>
    <row r="43" spans="1:10">
      <c r="A43" s="2784">
        <v>454200</v>
      </c>
      <c r="B43" s="2784" t="s">
        <v>2034</v>
      </c>
      <c r="C43" s="2784" t="s">
        <v>529</v>
      </c>
      <c r="D43" s="2784" t="s">
        <v>2229</v>
      </c>
      <c r="E43" s="2769"/>
      <c r="F43" s="2745">
        <v>32539</v>
      </c>
      <c r="G43" s="2745"/>
      <c r="H43" s="2745">
        <v>36</v>
      </c>
      <c r="I43" s="2745">
        <v>85</v>
      </c>
      <c r="J43" s="2745">
        <v>113</v>
      </c>
    </row>
    <row r="44" spans="1:10">
      <c r="A44" s="2784">
        <v>454300</v>
      </c>
      <c r="B44" s="2784" t="s">
        <v>2035</v>
      </c>
      <c r="C44" s="2784" t="s">
        <v>529</v>
      </c>
      <c r="D44" s="2784" t="s">
        <v>2229</v>
      </c>
      <c r="E44" s="2769">
        <v>231</v>
      </c>
      <c r="F44" s="2745">
        <v>231</v>
      </c>
      <c r="G44" s="2745">
        <v>231</v>
      </c>
      <c r="H44" s="2745">
        <v>0</v>
      </c>
      <c r="I44" s="2745">
        <v>231</v>
      </c>
      <c r="J44" s="2745">
        <v>231</v>
      </c>
    </row>
    <row r="45" spans="1:10">
      <c r="A45" s="2784">
        <v>454400</v>
      </c>
      <c r="B45" s="2784" t="s">
        <v>2036</v>
      </c>
      <c r="C45" s="2784" t="s">
        <v>529</v>
      </c>
      <c r="D45" s="2784" t="s">
        <v>2229</v>
      </c>
      <c r="E45" s="2769">
        <v>32503</v>
      </c>
      <c r="F45" s="2745">
        <v>80504</v>
      </c>
      <c r="G45" s="2745">
        <v>66175</v>
      </c>
      <c r="H45" s="2745">
        <v>73505</v>
      </c>
      <c r="I45" s="2745">
        <v>73073</v>
      </c>
      <c r="J45" s="2745">
        <v>75582</v>
      </c>
    </row>
    <row r="46" spans="1:10">
      <c r="A46" s="2784">
        <v>456025</v>
      </c>
      <c r="B46" s="2784" t="s">
        <v>2037</v>
      </c>
      <c r="C46" s="2784" t="s">
        <v>529</v>
      </c>
      <c r="D46" s="2784" t="s">
        <v>2229</v>
      </c>
      <c r="E46" s="2769">
        <v>66722</v>
      </c>
      <c r="F46" s="2745">
        <v>172028</v>
      </c>
      <c r="G46" s="2745">
        <v>20831</v>
      </c>
      <c r="H46" s="2745">
        <v>222875</v>
      </c>
      <c r="I46" s="2745">
        <v>20</v>
      </c>
      <c r="J46" s="2745">
        <v>52195</v>
      </c>
    </row>
    <row r="47" spans="1:10">
      <c r="A47" s="2784">
        <v>456040</v>
      </c>
      <c r="B47" s="2784" t="s">
        <v>2038</v>
      </c>
      <c r="C47" s="2784" t="s">
        <v>529</v>
      </c>
      <c r="D47" s="2784" t="s">
        <v>2229</v>
      </c>
      <c r="E47" s="2769">
        <v>50</v>
      </c>
      <c r="F47" s="2745">
        <v>50</v>
      </c>
      <c r="G47" s="2745">
        <v>50</v>
      </c>
      <c r="H47" s="2745">
        <v>50</v>
      </c>
      <c r="I47" s="2745">
        <v>50</v>
      </c>
      <c r="J47" s="2745">
        <v>50</v>
      </c>
    </row>
    <row r="48" spans="1:10">
      <c r="A48" s="2784">
        <v>456110</v>
      </c>
      <c r="B48" s="2784" t="s">
        <v>2039</v>
      </c>
      <c r="C48" s="2784" t="s">
        <v>529</v>
      </c>
      <c r="D48" s="2784" t="s">
        <v>2229</v>
      </c>
      <c r="E48" s="2769">
        <v>5041</v>
      </c>
      <c r="F48" s="2745">
        <v>5369</v>
      </c>
      <c r="G48" s="2745">
        <v>6684</v>
      </c>
      <c r="H48" s="2745">
        <v>4763</v>
      </c>
      <c r="I48" s="2745">
        <v>3621</v>
      </c>
      <c r="J48" s="2745">
        <v>4619</v>
      </c>
    </row>
    <row r="49" spans="1:10">
      <c r="A49" s="2784">
        <v>456111</v>
      </c>
      <c r="B49" s="2784" t="s">
        <v>2040</v>
      </c>
      <c r="C49" s="2784" t="s">
        <v>2238</v>
      </c>
      <c r="D49" s="2784" t="s">
        <v>2239</v>
      </c>
      <c r="E49" s="2769">
        <v>304346</v>
      </c>
      <c r="F49" s="2745">
        <v>60201</v>
      </c>
      <c r="G49" s="2745">
        <v>-3379</v>
      </c>
      <c r="H49" s="2745">
        <v>-552</v>
      </c>
      <c r="I49" s="2745">
        <v>-43274</v>
      </c>
      <c r="J49" s="2745">
        <v>121038</v>
      </c>
    </row>
    <row r="50" spans="1:10">
      <c r="A50" s="2784">
        <v>456610</v>
      </c>
      <c r="B50" s="2784" t="s">
        <v>733</v>
      </c>
      <c r="C50" s="2784" t="s">
        <v>1498</v>
      </c>
      <c r="D50" s="2784" t="s">
        <v>2455</v>
      </c>
      <c r="E50" s="2769"/>
      <c r="F50" s="2745">
        <v>15633</v>
      </c>
      <c r="G50" s="2745"/>
      <c r="H50" s="2745"/>
      <c r="I50" s="2745">
        <v>0</v>
      </c>
      <c r="J50" s="2745"/>
    </row>
    <row r="51" spans="1:10">
      <c r="A51" s="2784">
        <v>456970</v>
      </c>
      <c r="B51" s="2784" t="s">
        <v>2041</v>
      </c>
      <c r="C51" s="2784" t="s">
        <v>529</v>
      </c>
      <c r="D51" s="2784" t="s">
        <v>2229</v>
      </c>
      <c r="E51" s="2769">
        <v>4447</v>
      </c>
      <c r="F51" s="2745">
        <v>5764</v>
      </c>
      <c r="G51" s="2745">
        <v>5591</v>
      </c>
      <c r="H51" s="2745">
        <v>4961</v>
      </c>
      <c r="I51" s="2745">
        <v>5195</v>
      </c>
      <c r="J51" s="2745">
        <v>4031</v>
      </c>
    </row>
    <row r="52" spans="1:10">
      <c r="A52" s="1370">
        <v>457100</v>
      </c>
      <c r="B52" s="2784" t="s">
        <v>2542</v>
      </c>
      <c r="C52" s="2784" t="s">
        <v>529</v>
      </c>
      <c r="D52" s="2784" t="s">
        <v>2229</v>
      </c>
      <c r="E52" s="2769">
        <v>0</v>
      </c>
      <c r="F52" s="2745"/>
      <c r="G52" s="2745">
        <v>0</v>
      </c>
      <c r="H52" s="2745">
        <v>0</v>
      </c>
      <c r="I52" s="2745"/>
      <c r="J52" s="2745">
        <v>0</v>
      </c>
    </row>
    <row r="53" spans="1:10">
      <c r="A53" s="1370">
        <v>457105</v>
      </c>
      <c r="B53" s="2784" t="s">
        <v>2667</v>
      </c>
      <c r="C53" s="2784" t="s">
        <v>529</v>
      </c>
      <c r="D53" s="2784" t="s">
        <v>2229</v>
      </c>
      <c r="E53" s="2769"/>
      <c r="F53" s="2745"/>
      <c r="G53" s="2745">
        <v>65634</v>
      </c>
      <c r="H53" s="2745">
        <f>13302-1</f>
        <v>13301</v>
      </c>
      <c r="I53" s="2745">
        <f>-1-1</f>
        <v>-2</v>
      </c>
      <c r="J53" s="2745">
        <f>15075+3</f>
        <v>15078</v>
      </c>
    </row>
    <row r="54" spans="1:10">
      <c r="A54" s="1370">
        <v>457204</v>
      </c>
      <c r="B54" s="2784" t="s">
        <v>2545</v>
      </c>
      <c r="C54" s="2784" t="s">
        <v>529</v>
      </c>
      <c r="D54" s="2784" t="s">
        <v>2229</v>
      </c>
      <c r="E54" s="2769">
        <v>1100470</v>
      </c>
      <c r="F54" s="2745">
        <v>24057</v>
      </c>
      <c r="G54" s="2745">
        <v>-45057</v>
      </c>
      <c r="H54" s="2745">
        <v>622802</v>
      </c>
      <c r="I54" s="2745">
        <v>177769</v>
      </c>
      <c r="J54" s="2745">
        <v>156769</v>
      </c>
    </row>
    <row r="55" spans="1:10">
      <c r="A55" s="46"/>
      <c r="B55" s="46"/>
      <c r="C55" s="46"/>
      <c r="D55" s="46"/>
      <c r="E55" s="2769"/>
      <c r="F55" s="2745"/>
      <c r="G55" s="2745"/>
      <c r="H55" s="2745"/>
      <c r="I55" s="2745"/>
      <c r="J55" s="2745"/>
    </row>
    <row r="56" spans="1:10">
      <c r="A56" s="46"/>
      <c r="B56" s="46"/>
      <c r="C56" s="46"/>
      <c r="D56" s="46"/>
      <c r="E56" s="2742"/>
      <c r="F56" s="2742"/>
      <c r="G56" s="2742"/>
      <c r="H56" s="2742"/>
      <c r="I56" s="2742"/>
      <c r="J56" s="2742"/>
    </row>
    <row r="57" spans="1:10">
      <c r="A57" s="46"/>
      <c r="B57" s="46"/>
      <c r="C57" s="46"/>
      <c r="D57" s="46"/>
      <c r="E57" s="2742"/>
      <c r="F57" s="2742"/>
      <c r="G57" s="2742"/>
      <c r="H57" s="2742"/>
      <c r="I57" s="2742"/>
      <c r="J57" s="2742"/>
    </row>
    <row r="58" spans="1:10">
      <c r="A58" s="46"/>
      <c r="B58" s="46"/>
      <c r="C58" s="46"/>
      <c r="D58" s="46"/>
      <c r="E58" s="2742"/>
      <c r="F58" s="2742"/>
      <c r="G58" s="2742"/>
      <c r="H58" s="2742"/>
      <c r="I58" s="2742"/>
      <c r="J58" s="2742"/>
    </row>
    <row r="59" spans="1:10">
      <c r="A59" s="46"/>
      <c r="B59" s="46"/>
      <c r="C59" s="46"/>
      <c r="D59" s="46"/>
      <c r="E59" s="2742"/>
      <c r="F59" s="2742"/>
      <c r="G59" s="2742"/>
      <c r="H59" s="2742"/>
      <c r="I59" s="2742"/>
      <c r="J59" s="2742"/>
    </row>
    <row r="60" spans="1:10">
      <c r="A60" s="46"/>
      <c r="B60" s="46"/>
      <c r="C60" s="46"/>
      <c r="D60" s="46"/>
      <c r="E60" s="2742"/>
      <c r="F60" s="2742"/>
      <c r="G60" s="2742"/>
      <c r="H60" s="2742"/>
      <c r="I60" s="2742"/>
      <c r="J60" s="2742"/>
    </row>
    <row r="61" spans="1:10">
      <c r="A61" s="46"/>
      <c r="B61" s="46"/>
      <c r="C61" s="46"/>
      <c r="D61" s="46"/>
      <c r="E61" s="2742"/>
      <c r="F61" s="2742"/>
      <c r="G61" s="2742"/>
      <c r="H61" s="2742"/>
      <c r="I61" s="2742"/>
      <c r="J61" s="2742"/>
    </row>
    <row r="62" spans="1:10">
      <c r="A62" s="46"/>
      <c r="B62" s="46"/>
      <c r="C62" s="46"/>
      <c r="D62" s="46"/>
      <c r="E62" s="2742"/>
      <c r="F62" s="2742"/>
      <c r="G62" s="2742"/>
      <c r="H62" s="2742"/>
      <c r="I62" s="2742"/>
      <c r="J62" s="2742"/>
    </row>
    <row r="63" spans="1:10">
      <c r="A63" s="46"/>
      <c r="B63" s="46"/>
      <c r="C63" s="46"/>
      <c r="D63" s="46"/>
      <c r="E63" s="2742"/>
      <c r="F63" s="2742"/>
      <c r="G63" s="2742"/>
      <c r="H63" s="2742"/>
      <c r="I63" s="2742"/>
      <c r="J63" s="2742"/>
    </row>
    <row r="65" spans="5:10">
      <c r="E65" s="1347">
        <f t="shared" ref="E65:J65" si="0">SUM(E2:E63)</f>
        <v>30880645</v>
      </c>
      <c r="F65" s="1347">
        <f t="shared" si="0"/>
        <v>28730753</v>
      </c>
      <c r="G65" s="1347">
        <f t="shared" si="0"/>
        <v>25025715</v>
      </c>
      <c r="H65" s="1347">
        <f>SUM(H2:H63)</f>
        <v>27158951</v>
      </c>
      <c r="I65" s="1347">
        <f t="shared" si="0"/>
        <v>24090861</v>
      </c>
      <c r="J65" s="1347">
        <f t="shared" si="0"/>
        <v>24941038</v>
      </c>
    </row>
    <row r="66" spans="5:10">
      <c r="E66" s="1347">
        <f>'BP Rev by Product'!G70</f>
        <v>30880645</v>
      </c>
      <c r="F66" s="1347">
        <f>'BP Rev by Product'!H70</f>
        <v>28730753</v>
      </c>
      <c r="G66" s="1347">
        <f>'BP Rev by Product'!I70</f>
        <v>25025715</v>
      </c>
      <c r="H66" s="1347">
        <f>'BP Rev by Product'!J70</f>
        <v>27158951</v>
      </c>
      <c r="I66" s="1347">
        <f>'BP Rev by Product'!K70</f>
        <v>24090861</v>
      </c>
      <c r="J66" s="1347">
        <f>'BP Rev by Product'!L70</f>
        <v>24941038</v>
      </c>
    </row>
    <row r="67" spans="5:10">
      <c r="E67" s="1347">
        <f t="shared" ref="E67:J67" si="1">E66-E65</f>
        <v>0</v>
      </c>
      <c r="F67" s="1347">
        <f t="shared" si="1"/>
        <v>0</v>
      </c>
      <c r="G67" s="1347">
        <f t="shared" si="1"/>
        <v>0</v>
      </c>
      <c r="H67" s="1347">
        <f t="shared" si="1"/>
        <v>0</v>
      </c>
      <c r="I67" s="1347">
        <f t="shared" si="1"/>
        <v>0</v>
      </c>
      <c r="J67" s="1347">
        <f t="shared" si="1"/>
        <v>0</v>
      </c>
    </row>
  </sheetData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tabColor theme="7" tint="-0.249977111117893"/>
  </sheetPr>
  <dimension ref="A1:V72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34.42578125" style="18" customWidth="1"/>
    <col min="2" max="2" width="9.42578125" style="18" customWidth="1"/>
    <col min="3" max="3" width="26.5703125" style="18" customWidth="1"/>
    <col min="4" max="4" width="11.5703125" style="18" customWidth="1"/>
    <col min="5" max="8" width="8" style="18" customWidth="1"/>
    <col min="9" max="9" width="17.7109375" style="18" customWidth="1"/>
    <col min="10" max="10" width="8" style="18" customWidth="1"/>
    <col min="11" max="11" width="6.140625" style="18" customWidth="1"/>
    <col min="12" max="12" width="1.5703125" style="18" customWidth="1"/>
    <col min="13" max="13" width="43.28515625" style="18" customWidth="1"/>
    <col min="14" max="14" width="1.42578125" style="18" customWidth="1"/>
    <col min="15" max="15" width="12.28515625" style="18" customWidth="1"/>
    <col min="16" max="16" width="1.28515625" style="18" customWidth="1"/>
    <col min="17" max="17" width="14.42578125" style="18" customWidth="1"/>
    <col min="18" max="18" width="1.7109375" style="18" customWidth="1"/>
    <col min="19" max="24" width="13.7109375" style="18" customWidth="1"/>
    <col min="25" max="16384" width="8" style="18"/>
  </cols>
  <sheetData>
    <row r="1" spans="1:21">
      <c r="A1" s="2087" t="str">
        <f>LOGO!B5</f>
        <v>DUKE ENERGY KENTUCKY, INC.</v>
      </c>
      <c r="B1" s="1445"/>
      <c r="C1" s="1445"/>
      <c r="D1" s="1444"/>
      <c r="E1" s="1444"/>
      <c r="F1" s="1444"/>
      <c r="G1" s="1444"/>
      <c r="H1" s="1444"/>
      <c r="I1" s="1444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</row>
    <row r="2" spans="1:21">
      <c r="A2" s="2087" t="str">
        <f>LOGO!B6</f>
        <v>CASE NO. 2017-00321</v>
      </c>
      <c r="B2" s="1445"/>
      <c r="C2" s="1445"/>
      <c r="D2" s="1444"/>
      <c r="E2" s="1444"/>
      <c r="F2" s="1444"/>
      <c r="G2" s="1444"/>
      <c r="H2" s="1444"/>
      <c r="I2" s="1444"/>
      <c r="J2" s="529"/>
      <c r="K2" s="529"/>
      <c r="L2" s="529"/>
      <c r="M2" s="529"/>
      <c r="N2" s="529"/>
      <c r="O2" s="529"/>
      <c r="P2" s="529"/>
      <c r="Q2" s="529"/>
      <c r="R2" s="529"/>
      <c r="S2" s="529"/>
      <c r="T2" s="529"/>
      <c r="U2" s="529"/>
    </row>
    <row r="3" spans="1:21">
      <c r="A3" s="1443" t="s">
        <v>132</v>
      </c>
      <c r="B3" s="1443"/>
      <c r="C3" s="1443"/>
      <c r="D3" s="1444"/>
      <c r="E3" s="1444"/>
      <c r="F3" s="1444"/>
      <c r="G3" s="1444"/>
      <c r="H3" s="1444"/>
      <c r="I3" s="1444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29"/>
      <c r="U3" s="529"/>
    </row>
    <row r="4" spans="1:21">
      <c r="A4" s="1445" t="str">
        <f>PeriodF</f>
        <v>FOR THE TWELVE MONTHS ENDED MARCH 31, 2019</v>
      </c>
      <c r="B4" s="1445"/>
      <c r="C4" s="1445"/>
      <c r="D4" s="1444"/>
      <c r="E4" s="1444"/>
      <c r="F4" s="1444"/>
      <c r="G4" s="1444"/>
      <c r="H4" s="1444"/>
      <c r="I4" s="1444"/>
      <c r="J4" s="529"/>
      <c r="K4" s="529"/>
      <c r="L4" s="529"/>
      <c r="M4" s="529"/>
      <c r="N4" s="529"/>
      <c r="O4" s="529"/>
      <c r="P4" s="529"/>
      <c r="Q4" s="529"/>
      <c r="R4" s="529"/>
      <c r="S4" s="529"/>
      <c r="T4" s="529"/>
      <c r="U4" s="529"/>
    </row>
    <row r="5" spans="1:21">
      <c r="A5" s="529"/>
      <c r="B5" s="529"/>
      <c r="C5" s="529"/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</row>
    <row r="6" spans="1:21">
      <c r="A6" s="1446" t="str">
        <f>DataF</f>
        <v>DATA:  BASE PERIOD  "X" FORECASTED PERIOD</v>
      </c>
      <c r="B6" s="1446"/>
      <c r="C6" s="1446"/>
      <c r="D6" s="529"/>
      <c r="E6" s="529"/>
      <c r="F6" s="529"/>
      <c r="G6" s="461" t="s">
        <v>306</v>
      </c>
      <c r="H6" s="529"/>
      <c r="I6" s="529"/>
      <c r="J6" s="529"/>
      <c r="K6" s="529"/>
      <c r="L6" s="529"/>
      <c r="M6" s="529"/>
      <c r="N6" s="529"/>
      <c r="O6" s="529"/>
      <c r="P6" s="529"/>
      <c r="Q6" s="529"/>
      <c r="R6" s="529"/>
      <c r="S6" s="529"/>
      <c r="T6" s="529"/>
      <c r="U6" s="529"/>
    </row>
    <row r="7" spans="1:21">
      <c r="A7" s="1446" t="str">
        <f>Type</f>
        <v xml:space="preserve">TYPE OF FILING:  "X" ORIGINAL   UPDATED    REVISED  </v>
      </c>
      <c r="B7" s="1446"/>
      <c r="C7" s="1446"/>
      <c r="D7" s="529"/>
      <c r="E7" s="529"/>
      <c r="F7" s="529"/>
      <c r="G7" s="461" t="s">
        <v>620</v>
      </c>
      <c r="H7" s="529"/>
      <c r="I7" s="529"/>
      <c r="J7" s="529"/>
      <c r="K7" s="529"/>
      <c r="L7" s="529"/>
      <c r="M7" s="529"/>
      <c r="N7" s="529"/>
      <c r="O7" s="529"/>
      <c r="P7" s="529"/>
      <c r="Q7" s="529"/>
      <c r="R7" s="529"/>
      <c r="S7" s="529"/>
      <c r="T7" s="529"/>
      <c r="U7" s="529"/>
    </row>
    <row r="8" spans="1:21">
      <c r="A8" s="461" t="s">
        <v>305</v>
      </c>
      <c r="B8" s="461"/>
      <c r="C8" s="461"/>
      <c r="D8" s="529"/>
      <c r="E8" s="529"/>
      <c r="F8" s="529"/>
      <c r="G8" s="461" t="s">
        <v>622</v>
      </c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529"/>
      <c r="T8" s="529"/>
      <c r="U8" s="529"/>
    </row>
    <row r="9" spans="1:21">
      <c r="A9" s="529"/>
      <c r="B9" s="529"/>
      <c r="C9" s="529"/>
      <c r="D9" s="529"/>
      <c r="E9" s="529"/>
      <c r="F9" s="529"/>
      <c r="G9" s="461" t="str">
        <f>_WIT1</f>
        <v>S. E. LAWLER</v>
      </c>
      <c r="H9" s="529"/>
      <c r="I9" s="529"/>
      <c r="J9" s="529"/>
      <c r="K9" s="529"/>
      <c r="L9" s="529"/>
      <c r="M9" s="529"/>
      <c r="N9" s="529"/>
      <c r="O9" s="529"/>
      <c r="P9" s="529"/>
      <c r="Q9" s="529"/>
      <c r="R9" s="529"/>
      <c r="S9" s="529"/>
      <c r="T9" s="529"/>
      <c r="U9" s="529"/>
    </row>
    <row r="10" spans="1:21">
      <c r="A10" s="1447"/>
      <c r="B10" s="1447"/>
      <c r="C10" s="1447"/>
      <c r="D10" s="1447"/>
      <c r="E10" s="1447"/>
      <c r="F10" s="1447"/>
      <c r="G10" s="1447"/>
      <c r="H10" s="1447"/>
      <c r="I10" s="1447"/>
      <c r="J10" s="2088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</row>
    <row r="11" spans="1:21">
      <c r="A11" s="2089"/>
      <c r="B11" s="2089"/>
      <c r="C11" s="2089"/>
      <c r="D11" s="2089"/>
      <c r="E11" s="2089"/>
      <c r="F11" s="2089"/>
      <c r="G11" s="2089"/>
      <c r="H11" s="2089"/>
      <c r="I11" s="2089"/>
      <c r="J11" s="1475"/>
      <c r="K11" s="529"/>
      <c r="L11" s="529"/>
      <c r="M11" s="529"/>
      <c r="N11" s="529"/>
      <c r="O11" s="529"/>
      <c r="P11" s="529"/>
      <c r="Q11" s="529"/>
      <c r="R11" s="529"/>
      <c r="S11" s="529"/>
      <c r="T11" s="529"/>
      <c r="U11" s="529"/>
    </row>
    <row r="12" spans="1:21">
      <c r="A12" s="1432" t="s">
        <v>1246</v>
      </c>
      <c r="B12" s="1432"/>
      <c r="C12" s="1432"/>
      <c r="D12" s="529"/>
      <c r="E12" s="529"/>
      <c r="F12" s="529"/>
      <c r="G12" s="529"/>
      <c r="H12" s="529"/>
      <c r="I12" s="1432" t="s">
        <v>364</v>
      </c>
      <c r="J12" s="1475"/>
      <c r="K12" s="529"/>
      <c r="L12" s="529"/>
      <c r="M12" s="529"/>
      <c r="N12" s="529"/>
      <c r="O12" s="529"/>
      <c r="P12" s="529"/>
      <c r="Q12" s="529"/>
      <c r="R12" s="529"/>
      <c r="S12" s="529"/>
      <c r="T12" s="529"/>
      <c r="U12" s="529"/>
    </row>
    <row r="13" spans="1:21">
      <c r="A13" s="1447"/>
      <c r="B13" s="1447"/>
      <c r="C13" s="1447"/>
      <c r="D13" s="1447"/>
      <c r="E13" s="1447"/>
      <c r="F13" s="1447"/>
      <c r="G13" s="1447"/>
      <c r="H13" s="1447"/>
      <c r="I13" s="1447"/>
      <c r="J13" s="2088"/>
      <c r="K13" s="529"/>
      <c r="L13" s="529"/>
      <c r="M13" s="529"/>
      <c r="N13" s="529"/>
      <c r="O13" s="529"/>
      <c r="P13" s="529"/>
      <c r="Q13" s="529"/>
      <c r="R13" s="529"/>
      <c r="S13" s="529"/>
      <c r="T13" s="529"/>
      <c r="U13" s="529"/>
    </row>
    <row r="14" spans="1:21">
      <c r="A14" s="2089"/>
      <c r="B14" s="2089"/>
      <c r="C14" s="2089"/>
      <c r="D14" s="2089"/>
      <c r="E14" s="2089"/>
      <c r="F14" s="2089"/>
      <c r="G14" s="2089"/>
      <c r="H14" s="2089"/>
      <c r="I14" s="2090"/>
      <c r="J14" s="1475"/>
      <c r="K14" s="529"/>
      <c r="L14" s="529"/>
      <c r="M14" s="529"/>
      <c r="N14" s="529"/>
      <c r="O14" s="529"/>
      <c r="P14" s="529"/>
      <c r="Q14" s="529"/>
      <c r="R14" s="529"/>
      <c r="S14" s="529"/>
      <c r="T14" s="529"/>
      <c r="U14" s="529"/>
    </row>
    <row r="15" spans="1:21">
      <c r="A15" s="1430" t="s">
        <v>1768</v>
      </c>
      <c r="B15" s="1430"/>
      <c r="C15" s="1430"/>
      <c r="D15" s="529"/>
      <c r="E15" s="529"/>
      <c r="F15" s="529"/>
      <c r="G15" s="529"/>
      <c r="H15" s="529"/>
      <c r="I15" s="529"/>
      <c r="J15" s="529"/>
      <c r="K15" s="529"/>
      <c r="L15" s="529"/>
      <c r="M15" s="529"/>
      <c r="N15" s="529"/>
      <c r="O15" s="529"/>
      <c r="P15" s="529"/>
      <c r="Q15" s="529"/>
      <c r="R15" s="529"/>
      <c r="S15" s="529"/>
      <c r="T15" s="529"/>
      <c r="U15" s="529"/>
    </row>
    <row r="16" spans="1:21">
      <c r="A16" s="1430" t="s">
        <v>3131</v>
      </c>
      <c r="B16" s="1430"/>
      <c r="C16" s="1430"/>
      <c r="D16" s="529"/>
      <c r="E16" s="529"/>
      <c r="F16" s="529"/>
      <c r="G16" s="529"/>
      <c r="H16" s="529"/>
      <c r="I16" s="529"/>
      <c r="J16" s="529"/>
      <c r="K16" s="529"/>
      <c r="L16" s="529"/>
      <c r="M16" s="529"/>
      <c r="N16" s="529"/>
      <c r="O16" s="529"/>
      <c r="P16" s="529"/>
      <c r="Q16" s="529"/>
      <c r="R16" s="529"/>
      <c r="S16" s="529"/>
      <c r="T16" s="529"/>
      <c r="U16" s="529"/>
    </row>
    <row r="17" spans="1:21">
      <c r="A17" s="1450"/>
      <c r="B17" s="1450"/>
      <c r="C17" s="1450"/>
      <c r="D17" s="529"/>
      <c r="E17" s="529"/>
      <c r="F17" s="529"/>
      <c r="G17" s="529"/>
      <c r="H17" s="529"/>
      <c r="I17" s="529"/>
      <c r="J17" s="529"/>
      <c r="K17" s="529"/>
      <c r="L17" s="529"/>
      <c r="M17" s="529"/>
      <c r="N17" s="529"/>
      <c r="O17" s="529"/>
      <c r="P17" s="529"/>
      <c r="Q17" s="529"/>
      <c r="R17" s="529"/>
      <c r="S17" s="529"/>
      <c r="T17" s="529"/>
      <c r="U17" s="529"/>
    </row>
    <row r="18" spans="1:21">
      <c r="A18" s="1450"/>
      <c r="B18" s="1450"/>
      <c r="C18" s="1450"/>
      <c r="D18" s="529"/>
      <c r="E18" s="529"/>
      <c r="F18" s="529"/>
      <c r="G18" s="529"/>
      <c r="H18" s="529"/>
      <c r="I18" s="529"/>
      <c r="J18" s="529"/>
      <c r="K18" s="529"/>
      <c r="L18" s="529"/>
      <c r="M18" s="529"/>
      <c r="N18" s="529"/>
      <c r="O18" s="529"/>
      <c r="P18" s="529"/>
      <c r="Q18" s="529"/>
      <c r="R18" s="529"/>
      <c r="S18" s="529"/>
      <c r="T18" s="529"/>
      <c r="U18" s="529"/>
    </row>
    <row r="19" spans="1:21">
      <c r="A19" s="529"/>
      <c r="B19" s="1450"/>
      <c r="C19" s="1450"/>
      <c r="D19" s="529"/>
      <c r="E19" s="529"/>
      <c r="F19" s="529"/>
      <c r="G19" s="529"/>
      <c r="H19" s="529"/>
      <c r="I19" s="535"/>
      <c r="J19" s="529"/>
      <c r="K19" s="529"/>
      <c r="L19" s="529"/>
      <c r="M19" s="529"/>
      <c r="N19" s="529"/>
      <c r="O19" s="529"/>
      <c r="P19" s="529"/>
      <c r="Q19" s="529"/>
      <c r="R19" s="529"/>
      <c r="S19" s="529"/>
      <c r="T19" s="529"/>
      <c r="U19" s="529"/>
    </row>
    <row r="20" spans="1:21">
      <c r="A20" s="1430" t="s">
        <v>1929</v>
      </c>
      <c r="B20" s="1430"/>
      <c r="C20" s="1430"/>
      <c r="D20" s="529"/>
      <c r="E20" s="529"/>
      <c r="F20" s="529"/>
      <c r="G20" s="529"/>
      <c r="H20" s="1452"/>
      <c r="I20" s="531">
        <f ca="1">Q61</f>
        <v>-1418703</v>
      </c>
      <c r="J20" s="529"/>
      <c r="K20" s="529"/>
      <c r="L20" s="529"/>
      <c r="M20" s="529"/>
      <c r="N20" s="529"/>
      <c r="O20" s="529"/>
      <c r="P20" s="529"/>
      <c r="Q20" s="529"/>
      <c r="R20" s="529"/>
      <c r="S20" s="529"/>
      <c r="T20" s="529"/>
      <c r="U20" s="529"/>
    </row>
    <row r="21" spans="1:21">
      <c r="A21" s="1450"/>
      <c r="B21" s="1450"/>
      <c r="C21" s="1450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529"/>
      <c r="O21" s="529"/>
      <c r="P21" s="529"/>
      <c r="Q21" s="529"/>
      <c r="R21" s="529"/>
      <c r="S21" s="529"/>
      <c r="T21" s="529"/>
      <c r="U21" s="529"/>
    </row>
    <row r="22" spans="1:21">
      <c r="A22" s="1430" t="s">
        <v>266</v>
      </c>
      <c r="B22" s="1430"/>
      <c r="C22" s="1430"/>
      <c r="D22" s="529"/>
      <c r="E22" s="529"/>
      <c r="F22" s="529"/>
      <c r="G22" s="529"/>
      <c r="H22" s="529"/>
      <c r="I22" s="1451">
        <f>VLOOKUP(B27,ALLOCTABLE,2,FALSE)/100</f>
        <v>1</v>
      </c>
      <c r="J22" s="529"/>
      <c r="K22" s="529"/>
      <c r="L22" s="529"/>
      <c r="M22" s="529"/>
      <c r="N22" s="529"/>
      <c r="O22" s="529"/>
      <c r="P22" s="529"/>
      <c r="Q22" s="529"/>
      <c r="R22" s="529"/>
      <c r="S22" s="529"/>
      <c r="T22" s="529"/>
      <c r="U22" s="529"/>
    </row>
    <row r="23" spans="1:21">
      <c r="A23" s="1450"/>
      <c r="B23" s="1450"/>
      <c r="C23" s="1450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529"/>
      <c r="O23" s="529"/>
      <c r="P23" s="529"/>
      <c r="Q23" s="529"/>
      <c r="R23" s="529"/>
      <c r="S23" s="529"/>
      <c r="T23" s="529"/>
      <c r="U23" s="529"/>
    </row>
    <row r="24" spans="1:21" ht="15">
      <c r="A24" s="1430" t="s">
        <v>1236</v>
      </c>
      <c r="B24" s="1430"/>
      <c r="C24" s="1430"/>
      <c r="D24" s="529"/>
      <c r="E24" s="1432" t="s">
        <v>709</v>
      </c>
      <c r="F24" s="529"/>
      <c r="G24" s="529"/>
      <c r="H24" s="1452"/>
      <c r="I24" s="1427">
        <f ca="1">ROUND(I20*I22,0)</f>
        <v>-1418703</v>
      </c>
      <c r="J24" s="529"/>
      <c r="K24" s="529"/>
      <c r="L24" s="529"/>
      <c r="M24" s="529"/>
      <c r="N24" s="529"/>
      <c r="O24" s="529"/>
      <c r="P24" s="529"/>
      <c r="Q24" s="529"/>
      <c r="R24" s="529"/>
      <c r="S24" s="529"/>
      <c r="T24" s="529"/>
      <c r="U24" s="529"/>
    </row>
    <row r="25" spans="1:21">
      <c r="A25" s="1430"/>
      <c r="B25" s="1430"/>
      <c r="C25" s="1430"/>
      <c r="D25" s="529"/>
      <c r="E25" s="529"/>
      <c r="F25" s="529"/>
      <c r="G25" s="529"/>
      <c r="H25" s="529"/>
      <c r="I25" s="529"/>
      <c r="J25" s="529"/>
      <c r="K25" s="529"/>
      <c r="L25" s="529"/>
      <c r="M25" s="529"/>
      <c r="N25" s="529"/>
      <c r="O25" s="529"/>
      <c r="P25" s="529"/>
      <c r="Q25" s="529"/>
      <c r="R25" s="529"/>
      <c r="S25" s="529"/>
      <c r="T25" s="529"/>
      <c r="U25" s="529"/>
    </row>
    <row r="26" spans="1:21">
      <c r="A26" s="1450"/>
      <c r="B26" s="1450"/>
      <c r="C26" s="1450"/>
      <c r="D26" s="529"/>
      <c r="E26" s="529"/>
      <c r="F26" s="529"/>
      <c r="G26" s="529"/>
      <c r="H26" s="529"/>
      <c r="I26" s="529"/>
      <c r="J26" s="529"/>
      <c r="K26" s="529"/>
      <c r="L26" s="529"/>
      <c r="M26" s="529"/>
      <c r="N26" s="529"/>
      <c r="O26" s="529"/>
      <c r="P26" s="529"/>
      <c r="Q26" s="529"/>
      <c r="R26" s="529"/>
      <c r="S26" s="529"/>
      <c r="T26" s="529"/>
      <c r="U26" s="529"/>
    </row>
    <row r="27" spans="1:21">
      <c r="A27" s="2092" t="s">
        <v>1237</v>
      </c>
      <c r="B27" s="2093" t="s">
        <v>593</v>
      </c>
      <c r="C27" s="2092"/>
      <c r="D27" s="2094"/>
      <c r="E27" s="529"/>
      <c r="F27" s="529"/>
      <c r="G27" s="529"/>
      <c r="H27" s="529"/>
      <c r="I27" s="529"/>
      <c r="J27" s="529"/>
      <c r="K27" s="529"/>
      <c r="L27" s="529"/>
      <c r="M27" s="529"/>
      <c r="N27" s="529"/>
      <c r="O27" s="529"/>
      <c r="P27" s="529"/>
      <c r="Q27" s="529"/>
      <c r="R27" s="529"/>
      <c r="S27" s="529"/>
      <c r="T27" s="529"/>
      <c r="U27" s="529"/>
    </row>
    <row r="28" spans="1:21">
      <c r="A28" s="1450"/>
      <c r="B28" s="1450"/>
      <c r="C28" s="1450"/>
      <c r="D28" s="529"/>
      <c r="E28" s="529"/>
      <c r="F28" s="529"/>
      <c r="G28" s="529"/>
      <c r="H28" s="529"/>
      <c r="I28" s="529"/>
      <c r="J28" s="529"/>
      <c r="K28" s="529"/>
      <c r="L28" s="529"/>
      <c r="M28" s="529"/>
      <c r="N28" s="529"/>
      <c r="O28" s="529"/>
      <c r="P28" s="529"/>
      <c r="Q28" s="529"/>
      <c r="R28" s="529"/>
      <c r="S28" s="529"/>
      <c r="T28" s="529"/>
      <c r="U28" s="529"/>
    </row>
    <row r="29" spans="1:21">
      <c r="A29" s="1450"/>
      <c r="B29" s="1450"/>
      <c r="C29" s="1450"/>
      <c r="D29" s="529"/>
      <c r="E29" s="529"/>
      <c r="F29" s="529"/>
      <c r="G29" s="529"/>
      <c r="H29" s="529"/>
      <c r="I29" s="529"/>
      <c r="J29" s="529"/>
      <c r="K29" s="529"/>
      <c r="L29" s="529"/>
      <c r="M29" s="529"/>
      <c r="N29" s="529"/>
      <c r="O29" s="529"/>
      <c r="P29" s="529"/>
      <c r="Q29" s="529"/>
      <c r="R29" s="529"/>
      <c r="S29" s="529"/>
      <c r="T29" s="529"/>
      <c r="U29" s="529"/>
    </row>
    <row r="30" spans="1:21">
      <c r="A30" s="1450"/>
      <c r="B30" s="1450"/>
      <c r="C30" s="1450"/>
      <c r="D30" s="529"/>
      <c r="E30" s="529"/>
      <c r="F30" s="529"/>
      <c r="G30" s="529"/>
      <c r="H30" s="529"/>
      <c r="I30" s="529"/>
      <c r="J30" s="529"/>
      <c r="K30" s="529"/>
      <c r="L30" s="529"/>
      <c r="M30" s="529"/>
      <c r="N30" s="529"/>
      <c r="O30" s="529"/>
      <c r="P30" s="529"/>
      <c r="Q30" s="529"/>
      <c r="R30" s="529"/>
      <c r="S30" s="529"/>
      <c r="T30" s="529"/>
      <c r="U30" s="529"/>
    </row>
    <row r="31" spans="1:21">
      <c r="A31" s="1450"/>
      <c r="B31" s="1450"/>
      <c r="C31" s="1450"/>
      <c r="D31" s="529"/>
      <c r="E31" s="529"/>
      <c r="F31" s="529"/>
      <c r="G31" s="529"/>
      <c r="H31" s="529"/>
      <c r="I31" s="529"/>
      <c r="J31" s="529"/>
      <c r="K31" s="529"/>
      <c r="L31" s="529"/>
      <c r="M31" s="529"/>
      <c r="N31" s="529"/>
      <c r="O31" s="529"/>
      <c r="P31" s="529"/>
      <c r="Q31" s="529"/>
      <c r="R31" s="529"/>
      <c r="S31" s="529"/>
      <c r="T31" s="529"/>
      <c r="U31" s="529"/>
    </row>
    <row r="32" spans="1:21">
      <c r="A32" s="1450"/>
      <c r="B32" s="1450"/>
      <c r="C32" s="1450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529"/>
      <c r="O32" s="529"/>
      <c r="P32" s="529"/>
      <c r="Q32" s="529"/>
      <c r="R32" s="529"/>
      <c r="S32" s="529"/>
      <c r="T32" s="529"/>
      <c r="U32" s="529"/>
    </row>
    <row r="33" spans="1:22">
      <c r="A33" s="1450"/>
      <c r="B33" s="1450"/>
      <c r="C33" s="1450"/>
      <c r="D33" s="529"/>
      <c r="E33" s="529"/>
      <c r="F33" s="529"/>
      <c r="G33" s="529"/>
      <c r="H33" s="529"/>
      <c r="I33" s="529"/>
      <c r="J33" s="529"/>
      <c r="K33" s="529"/>
      <c r="L33" s="529"/>
      <c r="M33" s="529"/>
      <c r="N33" s="529"/>
      <c r="O33" s="529"/>
      <c r="P33" s="529"/>
      <c r="Q33" s="529"/>
      <c r="R33" s="529"/>
      <c r="S33" s="529"/>
      <c r="T33" s="529"/>
      <c r="U33" s="529"/>
    </row>
    <row r="34" spans="1:22">
      <c r="A34" s="1450"/>
      <c r="B34" s="1450"/>
      <c r="C34" s="1450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529"/>
      <c r="O34" s="529"/>
      <c r="P34" s="529"/>
      <c r="Q34" s="529"/>
      <c r="R34" s="529"/>
      <c r="S34" s="529"/>
      <c r="T34" s="529"/>
      <c r="U34" s="529"/>
    </row>
    <row r="35" spans="1:22">
      <c r="A35" s="1450"/>
      <c r="B35" s="1450"/>
      <c r="C35" s="1450"/>
      <c r="D35" s="529"/>
      <c r="E35" s="529"/>
      <c r="F35" s="529"/>
      <c r="G35" s="529"/>
      <c r="H35" s="529"/>
      <c r="I35" s="529"/>
      <c r="J35" s="529"/>
      <c r="K35" s="1429" t="str">
        <f>COMPANY</f>
        <v>DUKE ENERGY KENTUCKY, INC.</v>
      </c>
      <c r="L35" s="529"/>
      <c r="M35" s="529"/>
      <c r="N35" s="529"/>
      <c r="O35" s="529"/>
      <c r="Q35" s="529"/>
      <c r="R35" s="529"/>
      <c r="S35" s="529"/>
      <c r="T35" s="529"/>
      <c r="U35" s="1430" t="s">
        <v>307</v>
      </c>
    </row>
    <row r="36" spans="1:22">
      <c r="A36" s="1450"/>
      <c r="B36" s="1450"/>
      <c r="C36" s="1450"/>
      <c r="D36" s="529"/>
      <c r="E36" s="529"/>
      <c r="F36" s="529"/>
      <c r="G36" s="529"/>
      <c r="H36" s="529"/>
      <c r="I36" s="529"/>
      <c r="J36" s="529"/>
      <c r="K36" s="1429" t="str">
        <f>DEPT</f>
        <v>ELECTRIC DEPARTMENT</v>
      </c>
      <c r="L36" s="529"/>
      <c r="M36" s="529"/>
      <c r="N36" s="529"/>
      <c r="O36" s="529"/>
      <c r="Q36" s="529"/>
      <c r="R36" s="529"/>
      <c r="S36" s="529"/>
      <c r="T36" s="529"/>
      <c r="U36" s="461" t="s">
        <v>622</v>
      </c>
    </row>
    <row r="37" spans="1:22">
      <c r="A37" s="1450"/>
      <c r="B37" s="1450"/>
      <c r="C37" s="1450"/>
      <c r="D37" s="529"/>
      <c r="E37" s="529"/>
      <c r="F37" s="529"/>
      <c r="G37" s="529"/>
      <c r="H37" s="529"/>
      <c r="I37" s="529"/>
      <c r="J37" s="529"/>
      <c r="K37" s="1429" t="str">
        <f>CASE</f>
        <v>CASE NO. 2017-00321</v>
      </c>
      <c r="L37" s="529"/>
      <c r="M37" s="529"/>
      <c r="N37" s="529"/>
      <c r="O37" s="529"/>
      <c r="Q37" s="529"/>
      <c r="R37" s="529"/>
      <c r="S37" s="529"/>
      <c r="T37" s="529"/>
      <c r="U37" s="461" t="str">
        <f>_WIT1</f>
        <v>S. E. LAWLER</v>
      </c>
    </row>
    <row r="38" spans="1:22">
      <c r="A38" s="1450"/>
      <c r="B38" s="1450"/>
      <c r="C38" s="1450"/>
      <c r="D38" s="529"/>
      <c r="E38" s="529"/>
      <c r="F38" s="529"/>
      <c r="G38" s="529"/>
      <c r="H38" s="529"/>
      <c r="I38" s="529"/>
      <c r="J38" s="529"/>
      <c r="K38" s="461" t="str">
        <f>A3</f>
        <v>ADJUST UNCOLLECTIBLE EXPENSE</v>
      </c>
      <c r="L38" s="529"/>
      <c r="M38" s="529"/>
      <c r="N38" s="529"/>
      <c r="O38" s="529"/>
      <c r="P38" s="529"/>
      <c r="Q38" s="529"/>
      <c r="R38" s="529"/>
      <c r="S38" s="529"/>
      <c r="T38" s="529"/>
      <c r="U38" s="529"/>
    </row>
    <row r="39" spans="1:22">
      <c r="A39" s="529"/>
      <c r="B39" s="529"/>
      <c r="C39" s="529"/>
      <c r="D39" s="529"/>
      <c r="E39" s="529"/>
      <c r="F39" s="529"/>
      <c r="G39" s="529"/>
      <c r="H39" s="529"/>
      <c r="I39" s="529"/>
      <c r="J39" s="529"/>
      <c r="K39" s="529"/>
      <c r="L39" s="529"/>
      <c r="M39" s="529"/>
      <c r="N39" s="529"/>
      <c r="O39" s="529"/>
      <c r="P39" s="529"/>
      <c r="Q39" s="529"/>
      <c r="R39" s="529"/>
      <c r="S39" s="529"/>
      <c r="T39" s="529"/>
      <c r="U39" s="529"/>
    </row>
    <row r="40" spans="1:22">
      <c r="A40" s="529"/>
      <c r="B40" s="529"/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529"/>
      <c r="O40" s="1431"/>
      <c r="P40" s="529"/>
      <c r="Q40" s="529"/>
      <c r="R40" s="529"/>
      <c r="S40" s="529"/>
      <c r="T40" s="529"/>
      <c r="U40" s="529"/>
    </row>
    <row r="41" spans="1:22">
      <c r="A41" s="532"/>
      <c r="B41" s="532"/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532"/>
      <c r="O41" s="2095"/>
      <c r="P41" s="532"/>
      <c r="Q41" s="532"/>
      <c r="R41" s="532"/>
      <c r="S41" s="532"/>
      <c r="T41" s="532"/>
      <c r="U41" s="532"/>
    </row>
    <row r="42" spans="1:22">
      <c r="A42" s="532"/>
      <c r="B42" s="532"/>
      <c r="C42" s="532"/>
      <c r="D42" s="532"/>
      <c r="E42" s="532"/>
      <c r="F42" s="532"/>
      <c r="G42" s="532"/>
      <c r="H42" s="532"/>
      <c r="I42" s="532"/>
      <c r="J42" s="532"/>
      <c r="K42" s="1694" t="s">
        <v>1240</v>
      </c>
      <c r="L42" s="1694"/>
      <c r="M42" s="1694"/>
      <c r="N42" s="1694"/>
      <c r="O42" s="1694"/>
      <c r="P42" s="1694"/>
      <c r="Q42" s="1694" t="s">
        <v>1929</v>
      </c>
      <c r="R42" s="1694"/>
      <c r="S42" s="532"/>
      <c r="T42" s="532" t="s">
        <v>2339</v>
      </c>
      <c r="U42" s="532" t="s">
        <v>2341</v>
      </c>
      <c r="V42" s="532" t="s">
        <v>162</v>
      </c>
    </row>
    <row r="43" spans="1:22">
      <c r="A43" s="532"/>
      <c r="B43" s="532"/>
      <c r="C43" s="532"/>
      <c r="D43" s="532"/>
      <c r="E43" s="532"/>
      <c r="F43" s="532"/>
      <c r="G43" s="532"/>
      <c r="H43" s="532"/>
      <c r="I43" s="532"/>
      <c r="J43" s="532"/>
      <c r="K43" s="2096" t="s">
        <v>1241</v>
      </c>
      <c r="L43" s="1694"/>
      <c r="M43" s="2096" t="s">
        <v>1119</v>
      </c>
      <c r="N43" s="532"/>
      <c r="O43" s="2096" t="s">
        <v>426</v>
      </c>
      <c r="P43" s="1694"/>
      <c r="Q43" s="2096" t="s">
        <v>646</v>
      </c>
      <c r="R43" s="1694"/>
      <c r="S43" s="1284" t="s">
        <v>2338</v>
      </c>
      <c r="T43" s="1284" t="s">
        <v>2340</v>
      </c>
      <c r="U43" s="1284" t="s">
        <v>2342</v>
      </c>
      <c r="V43" s="1284" t="s">
        <v>2929</v>
      </c>
    </row>
    <row r="44" spans="1:22">
      <c r="A44" s="529"/>
      <c r="B44" s="529"/>
      <c r="C44" s="529"/>
      <c r="D44" s="529"/>
      <c r="E44" s="529"/>
      <c r="F44" s="529"/>
      <c r="G44" s="529"/>
      <c r="H44" s="529"/>
      <c r="I44" s="529"/>
      <c r="J44" s="529"/>
      <c r="K44" s="533"/>
      <c r="L44" s="1475"/>
      <c r="M44" s="533"/>
      <c r="N44" s="1694"/>
      <c r="O44" s="1694"/>
      <c r="P44" s="1694"/>
      <c r="Q44" s="1694"/>
      <c r="R44" s="533"/>
      <c r="S44" s="529"/>
      <c r="T44" s="529"/>
      <c r="U44" s="529"/>
    </row>
    <row r="45" spans="1:22">
      <c r="A45" s="529"/>
      <c r="B45" s="529"/>
      <c r="C45" s="529"/>
      <c r="D45" s="529"/>
      <c r="E45" s="529"/>
      <c r="F45" s="529"/>
      <c r="G45" s="529"/>
      <c r="H45" s="529"/>
      <c r="I45" s="529"/>
      <c r="J45" s="529"/>
      <c r="K45" s="533">
        <v>1</v>
      </c>
      <c r="L45" s="1475"/>
      <c r="M45" s="529" t="s">
        <v>372</v>
      </c>
      <c r="N45" s="533"/>
      <c r="O45" s="533" t="s">
        <v>161</v>
      </c>
      <c r="P45" s="1694"/>
      <c r="Q45" s="1276">
        <f ca="1">SCH_C2!N17</f>
        <v>203108561</v>
      </c>
      <c r="R45" s="533"/>
      <c r="S45" s="529"/>
      <c r="T45" s="529"/>
      <c r="U45" s="529"/>
    </row>
    <row r="46" spans="1:22">
      <c r="A46" s="529"/>
      <c r="B46" s="529"/>
      <c r="C46" s="529"/>
      <c r="D46" s="529"/>
      <c r="E46" s="529"/>
      <c r="F46" s="529"/>
      <c r="G46" s="529"/>
      <c r="H46" s="529"/>
      <c r="I46" s="529"/>
      <c r="J46" s="529"/>
      <c r="K46" s="533"/>
      <c r="L46" s="1475"/>
      <c r="M46" s="529"/>
      <c r="N46" s="533"/>
      <c r="O46" s="533"/>
      <c r="P46" s="1694"/>
      <c r="Q46" s="1276"/>
      <c r="R46" s="533"/>
      <c r="S46" s="529"/>
      <c r="T46" s="529"/>
      <c r="U46" s="529"/>
    </row>
    <row r="47" spans="1:22">
      <c r="A47" s="529"/>
      <c r="B47" s="529"/>
      <c r="C47" s="529"/>
      <c r="D47" s="529"/>
      <c r="E47" s="529"/>
      <c r="F47" s="529"/>
      <c r="G47" s="529"/>
      <c r="H47" s="529"/>
      <c r="I47" s="529"/>
      <c r="J47" s="529"/>
      <c r="K47" s="533">
        <v>2</v>
      </c>
      <c r="L47" s="1475"/>
      <c r="M47" s="529" t="s">
        <v>309</v>
      </c>
      <c r="N47" s="533"/>
      <c r="O47" s="533" t="s">
        <v>161</v>
      </c>
      <c r="P47" s="1694"/>
      <c r="Q47" s="1276">
        <f>SCH_C2!N18</f>
        <v>101204217</v>
      </c>
      <c r="R47" s="533"/>
      <c r="S47" s="529"/>
      <c r="T47" s="529"/>
      <c r="U47" s="529"/>
    </row>
    <row r="48" spans="1:22">
      <c r="A48" s="529"/>
      <c r="B48" s="529"/>
      <c r="C48" s="529"/>
      <c r="D48" s="529"/>
      <c r="E48" s="529"/>
      <c r="F48" s="529"/>
      <c r="G48" s="529"/>
      <c r="H48" s="529"/>
      <c r="I48" s="529"/>
      <c r="J48" s="529"/>
      <c r="K48" s="533"/>
      <c r="L48" s="1475"/>
      <c r="M48" s="529"/>
      <c r="N48" s="533"/>
      <c r="O48" s="533"/>
      <c r="P48" s="1694"/>
      <c r="Q48" s="1276"/>
      <c r="R48" s="533"/>
      <c r="S48" s="529"/>
      <c r="T48" s="529"/>
      <c r="U48" s="529"/>
    </row>
    <row r="49" spans="1:22">
      <c r="A49" s="529"/>
      <c r="B49" s="529"/>
      <c r="C49" s="529"/>
      <c r="D49" s="529"/>
      <c r="E49" s="529"/>
      <c r="F49" s="529"/>
      <c r="G49" s="529"/>
      <c r="H49" s="529"/>
      <c r="I49" s="529"/>
      <c r="J49" s="529">
        <v>448000</v>
      </c>
      <c r="K49" s="533">
        <v>3</v>
      </c>
      <c r="L49" s="1475"/>
      <c r="M49" s="529" t="s">
        <v>2337</v>
      </c>
      <c r="N49" s="533"/>
      <c r="O49" s="533" t="s">
        <v>2343</v>
      </c>
      <c r="P49" s="1694"/>
      <c r="Q49" s="1696">
        <f>VLOOKUP(J49,FPERIOD,5,FALSE)</f>
        <v>51773</v>
      </c>
      <c r="R49" s="533"/>
      <c r="S49" s="529"/>
      <c r="T49" s="529"/>
      <c r="U49" s="529"/>
    </row>
    <row r="50" spans="1:22">
      <c r="A50" s="529"/>
      <c r="B50" s="529"/>
      <c r="C50" s="529"/>
      <c r="D50" s="529"/>
      <c r="E50" s="529"/>
      <c r="F50" s="529"/>
      <c r="G50" s="529"/>
      <c r="H50" s="529"/>
      <c r="I50" s="529"/>
      <c r="J50" s="529"/>
      <c r="K50" s="533"/>
      <c r="L50" s="1475"/>
      <c r="M50" s="529"/>
      <c r="N50" s="533"/>
      <c r="O50" s="533"/>
      <c r="P50" s="1694"/>
      <c r="Q50" s="1276"/>
      <c r="R50" s="533"/>
      <c r="S50" s="529"/>
      <c r="T50" s="529"/>
      <c r="U50" s="529"/>
    </row>
    <row r="51" spans="1:22">
      <c r="A51" s="529"/>
      <c r="B51" s="529"/>
      <c r="C51" s="529"/>
      <c r="D51" s="529"/>
      <c r="E51" s="529"/>
      <c r="F51" s="529"/>
      <c r="G51" s="529"/>
      <c r="H51" s="529"/>
      <c r="I51" s="529"/>
      <c r="J51" s="529"/>
      <c r="K51" s="533">
        <v>4</v>
      </c>
      <c r="L51" s="1475"/>
      <c r="M51" s="529" t="s">
        <v>2344</v>
      </c>
      <c r="N51" s="533"/>
      <c r="O51" s="533"/>
      <c r="P51" s="1694"/>
      <c r="Q51" s="1276">
        <f ca="1">Q45+Q47-Q49</f>
        <v>304261005</v>
      </c>
      <c r="R51" s="533"/>
      <c r="S51" s="529"/>
      <c r="T51" s="529"/>
      <c r="U51" s="529"/>
    </row>
    <row r="52" spans="1:22">
      <c r="A52" s="529"/>
      <c r="B52" s="529"/>
      <c r="C52" s="529"/>
      <c r="D52" s="529"/>
      <c r="E52" s="529"/>
      <c r="F52" s="529"/>
      <c r="G52" s="529"/>
      <c r="H52" s="529"/>
      <c r="I52" s="529"/>
      <c r="J52" s="529"/>
      <c r="K52" s="533"/>
      <c r="L52" s="1475"/>
      <c r="M52" s="1475"/>
      <c r="N52" s="1475"/>
      <c r="O52" s="535"/>
      <c r="P52" s="1475"/>
      <c r="Q52" s="535"/>
      <c r="R52" s="1475"/>
      <c r="S52" s="529"/>
      <c r="T52" s="529"/>
      <c r="U52" s="529"/>
    </row>
    <row r="53" spans="1:22">
      <c r="A53" s="529"/>
      <c r="B53" s="529"/>
      <c r="C53" s="529"/>
      <c r="D53" s="529"/>
      <c r="E53" s="529"/>
      <c r="F53" s="529"/>
      <c r="G53" s="529"/>
      <c r="H53" s="529"/>
      <c r="I53" s="529"/>
      <c r="J53" s="529"/>
      <c r="K53" s="533">
        <v>5</v>
      </c>
      <c r="L53" s="1475"/>
      <c r="M53" s="1283" t="s">
        <v>2345</v>
      </c>
      <c r="N53" s="1164"/>
      <c r="O53" s="2133" t="s">
        <v>1475</v>
      </c>
      <c r="P53" s="1165"/>
      <c r="Q53" s="2134">
        <f>UncollRatio</f>
        <v>7.5000000000000002E-4</v>
      </c>
      <c r="R53" s="2135"/>
      <c r="S53" s="2136">
        <f>SCH_H!Y91</f>
        <v>5.555E-3</v>
      </c>
      <c r="T53" s="2136">
        <f>SCH_H!Y92</f>
        <v>5.0000000000000001E-4</v>
      </c>
      <c r="U53" s="2136">
        <f>SCH_H!Y93</f>
        <v>-5.306E-3</v>
      </c>
      <c r="V53" s="2136"/>
    </row>
    <row r="54" spans="1:22">
      <c r="A54" s="529"/>
      <c r="B54" s="529"/>
      <c r="C54" s="529"/>
      <c r="D54" s="529"/>
      <c r="E54" s="529"/>
      <c r="F54" s="529"/>
      <c r="G54" s="529"/>
      <c r="H54" s="529"/>
      <c r="I54" s="529"/>
      <c r="J54" s="529"/>
      <c r="K54" s="2091"/>
      <c r="L54" s="1475"/>
      <c r="M54" s="1283"/>
      <c r="N54" s="1164"/>
      <c r="O54" s="1165"/>
      <c r="P54" s="1165"/>
      <c r="Q54" s="1276"/>
      <c r="R54" s="2135"/>
      <c r="S54" s="529"/>
      <c r="T54" s="529"/>
      <c r="U54" s="529"/>
    </row>
    <row r="55" spans="1:22">
      <c r="A55" s="529"/>
      <c r="B55" s="529"/>
      <c r="C55" s="529"/>
      <c r="D55" s="529"/>
      <c r="E55" s="529"/>
      <c r="F55" s="529"/>
      <c r="G55" s="529"/>
      <c r="H55" s="529"/>
      <c r="I55" s="529"/>
      <c r="J55" s="529"/>
      <c r="K55" s="1185">
        <v>6</v>
      </c>
      <c r="L55" s="1475"/>
      <c r="M55" s="1283" t="s">
        <v>2346</v>
      </c>
      <c r="N55" s="1164"/>
      <c r="O55" s="1165"/>
      <c r="P55" s="1165"/>
      <c r="Q55" s="1276">
        <f ca="1">ROUND($Q$51*Q53,0)</f>
        <v>228196</v>
      </c>
      <c r="R55" s="2135"/>
      <c r="S55" s="1276">
        <f ca="1">Q55-T55-U55</f>
        <v>1690474</v>
      </c>
      <c r="T55" s="1276">
        <f ca="1">ROUND($Q$51*T53,0)</f>
        <v>152131</v>
      </c>
      <c r="U55" s="1276">
        <f ca="1">ROUND($Q$51*U53,0)</f>
        <v>-1614409</v>
      </c>
    </row>
    <row r="56" spans="1:22">
      <c r="A56" s="529"/>
      <c r="B56" s="529"/>
      <c r="C56" s="529"/>
      <c r="D56" s="529"/>
      <c r="E56" s="529"/>
      <c r="F56" s="529"/>
      <c r="G56" s="529"/>
      <c r="H56" s="529"/>
      <c r="I56" s="529"/>
      <c r="J56" s="529"/>
      <c r="K56" s="1185"/>
      <c r="L56" s="1475"/>
      <c r="M56" s="1697"/>
      <c r="N56" s="1164"/>
      <c r="O56" s="1165"/>
      <c r="P56" s="1165"/>
      <c r="Q56" s="1276"/>
      <c r="R56" s="2135"/>
      <c r="S56" s="529"/>
      <c r="T56" s="529"/>
      <c r="U56" s="529"/>
    </row>
    <row r="57" spans="1:22">
      <c r="A57" s="529"/>
      <c r="B57" s="529"/>
      <c r="C57" s="529"/>
      <c r="D57" s="529"/>
      <c r="E57" s="529"/>
      <c r="F57" s="529"/>
      <c r="G57" s="529"/>
      <c r="H57" s="529"/>
      <c r="I57" s="529"/>
      <c r="J57" s="529">
        <v>904</v>
      </c>
      <c r="K57" s="1185">
        <v>7</v>
      </c>
      <c r="L57" s="1162"/>
      <c r="M57" s="1318" t="s">
        <v>2918</v>
      </c>
      <c r="N57" s="1162"/>
      <c r="O57" s="533" t="s">
        <v>2343</v>
      </c>
      <c r="P57" s="1165"/>
      <c r="Q57" s="1462">
        <f t="array" aca="1" ref="Q57" ca="1">SUM(IF(FERCBP=J57,AmountFP))</f>
        <v>1965498</v>
      </c>
      <c r="R57" s="2135"/>
      <c r="S57" s="1276">
        <f ca="1">ROUND(Q57*SCH_H!$AA$91,0)</f>
        <v>2185830</v>
      </c>
      <c r="T57" s="1276">
        <f ca="1">ROUND(Q57*SCH_H!$AA$92,0)</f>
        <v>196746</v>
      </c>
      <c r="U57" s="1276">
        <f ca="1">ROUND(Q57*SCH_H!$AA$93,0)</f>
        <v>-2087949</v>
      </c>
      <c r="V57" s="1276">
        <f t="shared" ref="V57:V58" ca="1" si="0">Q57-SUM(S57:U57)</f>
        <v>1670871</v>
      </c>
    </row>
    <row r="58" spans="1:22">
      <c r="A58" s="529"/>
      <c r="B58" s="529"/>
      <c r="C58" s="529"/>
      <c r="D58" s="529"/>
      <c r="E58" s="529"/>
      <c r="F58" s="529"/>
      <c r="G58" s="529"/>
      <c r="H58" s="529"/>
      <c r="I58" s="529"/>
      <c r="J58" s="529">
        <v>903250</v>
      </c>
      <c r="K58" s="1185">
        <f>K57+1</f>
        <v>8</v>
      </c>
      <c r="L58" s="1162"/>
      <c r="M58" s="1162" t="s">
        <v>3195</v>
      </c>
      <c r="N58" s="1162"/>
      <c r="O58" s="533" t="s">
        <v>2343</v>
      </c>
      <c r="P58" s="1165"/>
      <c r="Q58" s="1276">
        <f>VLOOKUP(J58,FPERIOD,5,FALSE)</f>
        <v>-1317889</v>
      </c>
      <c r="R58" s="2135"/>
      <c r="S58" s="1276">
        <f>ROUND(Q58*SCH_H!$AA$91,0)</f>
        <v>-1465624</v>
      </c>
      <c r="T58" s="1276">
        <f>ROUND(Q58*SCH_H!$AA$92,0)</f>
        <v>-131921</v>
      </c>
      <c r="U58" s="1276">
        <f>ROUND(Q58*SCH_H!$AA$93,0)</f>
        <v>1399993</v>
      </c>
      <c r="V58" s="1276">
        <f t="shared" si="0"/>
        <v>-1120337</v>
      </c>
    </row>
    <row r="59" spans="1:22">
      <c r="A59" s="529"/>
      <c r="B59" s="529"/>
      <c r="C59" s="529"/>
      <c r="D59" s="529"/>
      <c r="E59" s="529"/>
      <c r="F59" s="529"/>
      <c r="G59" s="529"/>
      <c r="H59" s="529"/>
      <c r="I59" s="529"/>
      <c r="J59" s="529">
        <v>426</v>
      </c>
      <c r="K59" s="1185">
        <f>K58+1</f>
        <v>9</v>
      </c>
      <c r="L59" s="1162"/>
      <c r="M59" s="1318" t="s">
        <v>2919</v>
      </c>
      <c r="N59" s="1162"/>
      <c r="O59" s="533" t="s">
        <v>2343</v>
      </c>
      <c r="P59" s="1165"/>
      <c r="Q59" s="1462">
        <f t="array" aca="1" ref="Q59" ca="1">SUM(IF(FERCBP=J59,AmountFP))</f>
        <v>999290</v>
      </c>
      <c r="R59" s="2135"/>
      <c r="S59" s="1276">
        <f ca="1">ROUND(Q59*SCH_H!$AA$91,0)-1</f>
        <v>1111309</v>
      </c>
      <c r="T59" s="1276">
        <f ca="1">ROUND(Q59*SCH_H!$AA$92,0)</f>
        <v>100029</v>
      </c>
      <c r="U59" s="1276">
        <f ca="1">ROUND(Q59*SCH_H!$AA$93,0)</f>
        <v>-1061546</v>
      </c>
      <c r="V59" s="1276">
        <f ca="1">Q59-SUM(S59:U59)</f>
        <v>849498</v>
      </c>
    </row>
    <row r="60" spans="1:22">
      <c r="A60" s="529"/>
      <c r="B60" s="529"/>
      <c r="C60" s="529"/>
      <c r="D60" s="529"/>
      <c r="E60" s="529"/>
      <c r="F60" s="529"/>
      <c r="G60" s="529"/>
      <c r="H60" s="529"/>
      <c r="I60" s="529"/>
      <c r="J60" s="529"/>
      <c r="K60" s="1185"/>
      <c r="L60" s="1162"/>
      <c r="M60" s="1162"/>
      <c r="N60" s="1162"/>
      <c r="O60" s="1185"/>
      <c r="P60" s="1165"/>
      <c r="Q60" s="535"/>
      <c r="R60" s="2135"/>
      <c r="S60" s="529"/>
      <c r="T60" s="529"/>
      <c r="U60" s="529"/>
    </row>
    <row r="61" spans="1:22">
      <c r="A61" s="529"/>
      <c r="B61" s="529"/>
      <c r="C61" s="529"/>
      <c r="D61" s="529"/>
      <c r="E61" s="529"/>
      <c r="F61" s="529"/>
      <c r="G61" s="529"/>
      <c r="H61" s="529"/>
      <c r="I61" s="529"/>
      <c r="J61" s="529"/>
      <c r="K61" s="1185">
        <f>K59+1</f>
        <v>10</v>
      </c>
      <c r="L61" s="1162"/>
      <c r="M61" s="1162" t="s">
        <v>2924</v>
      </c>
      <c r="N61" s="1162"/>
      <c r="O61" s="1162"/>
      <c r="P61" s="1165"/>
      <c r="Q61" s="1282">
        <f ca="1">Q55-Q57-Q58-Q59</f>
        <v>-1418703</v>
      </c>
      <c r="R61" s="2135"/>
      <c r="S61" s="1282">
        <f ca="1">S55-S57-S58-S59</f>
        <v>-141041</v>
      </c>
      <c r="T61" s="1282">
        <f ca="1">T55-T57-T58-T59</f>
        <v>-12723</v>
      </c>
      <c r="U61" s="1282">
        <f ca="1">U55-U57-U58-U59</f>
        <v>135093</v>
      </c>
      <c r="V61" s="1282">
        <f ca="1">V55-V57-V58-V59</f>
        <v>-1400032</v>
      </c>
    </row>
    <row r="62" spans="1:22">
      <c r="A62" s="529"/>
      <c r="B62" s="529"/>
      <c r="C62" s="529"/>
      <c r="D62" s="529"/>
      <c r="E62" s="529"/>
      <c r="F62" s="529"/>
      <c r="G62" s="529"/>
      <c r="H62" s="529"/>
      <c r="I62" s="529"/>
      <c r="J62" s="529"/>
      <c r="K62" s="2091"/>
      <c r="L62" s="1475"/>
      <c r="M62" s="1283"/>
      <c r="N62" s="1164"/>
      <c r="O62" s="1165"/>
      <c r="P62" s="1165"/>
      <c r="Q62" s="1276"/>
      <c r="R62" s="2135"/>
      <c r="S62" s="529"/>
      <c r="T62" s="529"/>
      <c r="U62" s="529"/>
    </row>
    <row r="63" spans="1:22" ht="14.25">
      <c r="A63" s="529"/>
      <c r="B63" s="529"/>
      <c r="C63" s="529"/>
      <c r="D63" s="529"/>
      <c r="E63" s="529"/>
      <c r="F63" s="529"/>
      <c r="G63" s="529"/>
      <c r="H63" s="529"/>
      <c r="I63" s="529"/>
      <c r="J63" s="529"/>
      <c r="K63" s="2091"/>
      <c r="L63" s="1475"/>
      <c r="M63" s="1163"/>
      <c r="N63" s="1164"/>
      <c r="O63" s="1165"/>
      <c r="P63" s="1165"/>
      <c r="Q63" s="1166"/>
      <c r="R63" s="2135"/>
      <c r="S63" s="529"/>
      <c r="T63" s="529"/>
      <c r="U63" s="529"/>
    </row>
    <row r="64" spans="1:22">
      <c r="A64" s="529"/>
      <c r="B64" s="529"/>
      <c r="C64" s="529"/>
      <c r="D64" s="529"/>
      <c r="E64" s="529"/>
      <c r="F64" s="529"/>
      <c r="G64" s="529"/>
      <c r="H64" s="529"/>
      <c r="I64" s="529"/>
      <c r="J64" s="529"/>
      <c r="K64" s="2091"/>
      <c r="L64" s="1475"/>
      <c r="M64" s="530" t="s">
        <v>2920</v>
      </c>
      <c r="N64" s="530"/>
      <c r="O64" s="530"/>
      <c r="P64" s="1165"/>
      <c r="Q64" s="1276"/>
      <c r="R64" s="2135"/>
      <c r="S64" s="529"/>
      <c r="T64" s="529"/>
      <c r="U64" s="529"/>
    </row>
    <row r="65" spans="1:21">
      <c r="A65" s="529"/>
      <c r="B65" s="529"/>
      <c r="C65" s="529"/>
      <c r="D65" s="529"/>
      <c r="E65" s="529"/>
      <c r="F65" s="529"/>
      <c r="G65" s="529"/>
      <c r="H65" s="529"/>
      <c r="I65" s="529"/>
      <c r="J65" s="529"/>
      <c r="K65" s="2091"/>
      <c r="L65" s="1475"/>
      <c r="M65" s="530"/>
      <c r="O65" s="2137" t="s">
        <v>1475</v>
      </c>
      <c r="Q65" s="2137" t="s">
        <v>2921</v>
      </c>
      <c r="R65" s="2135"/>
      <c r="S65" s="529"/>
      <c r="T65" s="529"/>
      <c r="U65" s="529"/>
    </row>
    <row r="66" spans="1:21">
      <c r="A66" s="529"/>
      <c r="B66" s="529"/>
      <c r="C66" s="529"/>
      <c r="D66" s="529"/>
      <c r="E66" s="529"/>
      <c r="F66" s="529"/>
      <c r="G66" s="529"/>
      <c r="H66" s="529"/>
      <c r="I66" s="529"/>
      <c r="J66" s="529"/>
      <c r="K66" s="2091"/>
      <c r="L66" s="1475"/>
      <c r="M66" s="2138" t="s">
        <v>2922</v>
      </c>
      <c r="O66" s="2139">
        <f>SCH_H!Y91</f>
        <v>5.555E-3</v>
      </c>
      <c r="Q66" s="2140">
        <f>ROUND(O66/$O$70,4)</f>
        <v>1.1123000000000001</v>
      </c>
      <c r="R66" s="2135"/>
      <c r="S66" s="529"/>
      <c r="T66" s="529"/>
      <c r="U66" s="529"/>
    </row>
    <row r="67" spans="1:21">
      <c r="A67" s="529"/>
      <c r="B67" s="529"/>
      <c r="C67" s="529"/>
      <c r="D67" s="529"/>
      <c r="E67" s="529"/>
      <c r="F67" s="529"/>
      <c r="G67" s="529"/>
      <c r="H67" s="529"/>
      <c r="I67" s="529"/>
      <c r="J67" s="529"/>
      <c r="K67" s="2091"/>
      <c r="L67" s="1475"/>
      <c r="M67" s="2138" t="s">
        <v>157</v>
      </c>
      <c r="O67" s="2139">
        <f>SCH_H!Y92</f>
        <v>5.0000000000000001E-4</v>
      </c>
      <c r="Q67" s="2140">
        <f t="shared" ref="Q67:Q69" si="1">ROUND(O67/$O$70,4)</f>
        <v>0.10009999999999999</v>
      </c>
      <c r="R67" s="2135"/>
      <c r="S67" s="529"/>
      <c r="T67" s="529"/>
      <c r="U67" s="529"/>
    </row>
    <row r="68" spans="1:21">
      <c r="A68" s="529"/>
      <c r="B68" s="529"/>
      <c r="C68" s="529"/>
      <c r="D68" s="529"/>
      <c r="E68" s="529"/>
      <c r="F68" s="529"/>
      <c r="G68" s="529"/>
      <c r="H68" s="529"/>
      <c r="I68" s="529"/>
      <c r="J68" s="529"/>
      <c r="K68" s="2091"/>
      <c r="L68" s="1475"/>
      <c r="M68" s="2138" t="s">
        <v>158</v>
      </c>
      <c r="O68" s="2139">
        <f>SCH_H!Y93</f>
        <v>-5.306E-3</v>
      </c>
      <c r="Q68" s="2140">
        <f t="shared" si="1"/>
        <v>-1.0625</v>
      </c>
      <c r="R68" s="2135"/>
      <c r="S68" s="529"/>
      <c r="T68" s="529"/>
      <c r="U68" s="529"/>
    </row>
    <row r="69" spans="1:21">
      <c r="A69" s="529"/>
      <c r="B69" s="529"/>
      <c r="C69" s="529"/>
      <c r="D69" s="529"/>
      <c r="E69" s="529"/>
      <c r="F69" s="529"/>
      <c r="G69" s="529"/>
      <c r="H69" s="529"/>
      <c r="I69" s="529"/>
      <c r="J69" s="529"/>
      <c r="K69" s="2091"/>
      <c r="L69" s="1475"/>
      <c r="M69" s="2138" t="s">
        <v>162</v>
      </c>
      <c r="O69" s="2141">
        <f>SCH_H!Y94</f>
        <v>4.2449999999999996E-3</v>
      </c>
      <c r="Q69" s="2142">
        <f t="shared" si="1"/>
        <v>0.85</v>
      </c>
      <c r="R69" s="2135"/>
      <c r="S69" s="529"/>
      <c r="T69" s="529"/>
      <c r="U69" s="529"/>
    </row>
    <row r="70" spans="1:21">
      <c r="M70" s="530"/>
      <c r="O70" s="2143">
        <f>SUM(O66:O69)</f>
        <v>4.9939999999999993E-3</v>
      </c>
      <c r="Q70" s="2144">
        <f>SUM(Q66:Q69)</f>
        <v>0.99990000000000012</v>
      </c>
    </row>
    <row r="71" spans="1:21">
      <c r="M71" s="45"/>
      <c r="N71" s="45"/>
      <c r="O71" s="45"/>
    </row>
    <row r="72" spans="1:21">
      <c r="M72" s="530" t="s">
        <v>2923</v>
      </c>
      <c r="N72" s="45"/>
      <c r="O72" s="45"/>
    </row>
  </sheetData>
  <phoneticPr fontId="43" type="noConversion"/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theme="7" tint="-0.249977111117893"/>
  </sheetPr>
  <dimension ref="A1:AB71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34.42578125" style="18" customWidth="1"/>
    <col min="2" max="2" width="9.42578125" style="18" customWidth="1"/>
    <col min="3" max="3" width="11.5703125" style="18" customWidth="1"/>
    <col min="4" max="7" width="8" style="18" customWidth="1"/>
    <col min="8" max="8" width="17.7109375" style="18" customWidth="1"/>
    <col min="9" max="9" width="8" style="18" customWidth="1"/>
    <col min="10" max="10" width="8.5703125" style="18" customWidth="1"/>
    <col min="11" max="11" width="1.28515625" style="18" customWidth="1"/>
    <col min="12" max="12" width="23.7109375" style="18" customWidth="1"/>
    <col min="13" max="14" width="14.7109375" style="18" customWidth="1"/>
    <col min="15" max="15" width="16.28515625" style="18" customWidth="1"/>
    <col min="16" max="16" width="12" style="18" customWidth="1"/>
    <col min="17" max="17" width="16.28515625" style="18" customWidth="1"/>
    <col min="18" max="18" width="3.140625" style="18" customWidth="1"/>
    <col min="19" max="19" width="11.85546875" style="18" customWidth="1"/>
    <col min="20" max="20" width="3.28515625" style="18" customWidth="1"/>
    <col min="21" max="21" width="13.140625" style="18" customWidth="1"/>
    <col min="22" max="22" width="2.28515625" style="18" customWidth="1"/>
    <col min="23" max="23" width="14.85546875" style="18" customWidth="1"/>
    <col min="24" max="24" width="10.85546875" style="18" customWidth="1"/>
    <col min="25" max="25" width="16.28515625" style="18" customWidth="1"/>
    <col min="26" max="26" width="8.7109375" style="18" customWidth="1"/>
    <col min="27" max="27" width="13.85546875" style="18" customWidth="1"/>
    <col min="28" max="16384" width="8" style="18"/>
  </cols>
  <sheetData>
    <row r="1" spans="1:19">
      <c r="A1" s="2087" t="str">
        <f>LOGO!B5</f>
        <v>DUKE ENERGY KENTUCKY, INC.</v>
      </c>
      <c r="B1" s="1445"/>
      <c r="C1" s="1444"/>
      <c r="D1" s="1444"/>
      <c r="E1" s="1444"/>
      <c r="F1" s="1444"/>
      <c r="G1" s="1444"/>
      <c r="H1" s="1444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</row>
    <row r="2" spans="1:19">
      <c r="A2" s="2087" t="str">
        <f>LOGO!B6</f>
        <v>CASE NO. 2017-00321</v>
      </c>
      <c r="B2" s="1445"/>
      <c r="C2" s="1444"/>
      <c r="D2" s="1444"/>
      <c r="E2" s="1444"/>
      <c r="F2" s="1444"/>
      <c r="G2" s="1444"/>
      <c r="H2" s="1444"/>
      <c r="I2" s="529"/>
      <c r="J2" s="529"/>
      <c r="K2" s="529"/>
      <c r="L2" s="529"/>
      <c r="M2" s="529"/>
      <c r="N2" s="529"/>
      <c r="O2" s="529"/>
      <c r="P2" s="529"/>
      <c r="Q2" s="529"/>
      <c r="R2" s="529"/>
      <c r="S2" s="529"/>
    </row>
    <row r="3" spans="1:19">
      <c r="A3" s="1443" t="s">
        <v>2432</v>
      </c>
      <c r="B3" s="1443"/>
      <c r="C3" s="1444"/>
      <c r="D3" s="1444"/>
      <c r="E3" s="1444"/>
      <c r="F3" s="1444"/>
      <c r="G3" s="1444"/>
      <c r="H3" s="1444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</row>
    <row r="4" spans="1:19">
      <c r="A4" s="1445" t="str">
        <f>PeriodF</f>
        <v>FOR THE TWELVE MONTHS ENDED MARCH 31, 2019</v>
      </c>
      <c r="B4" s="1445"/>
      <c r="C4" s="1444"/>
      <c r="D4" s="1444"/>
      <c r="E4" s="1444"/>
      <c r="F4" s="1444"/>
      <c r="G4" s="1444"/>
      <c r="H4" s="1444"/>
      <c r="I4" s="529"/>
      <c r="J4" s="529"/>
      <c r="K4" s="529"/>
      <c r="L4" s="529"/>
      <c r="M4" s="529"/>
      <c r="N4" s="529"/>
      <c r="O4" s="529"/>
      <c r="P4" s="529"/>
      <c r="Q4" s="529"/>
      <c r="R4" s="529"/>
      <c r="S4" s="529"/>
    </row>
    <row r="5" spans="1:19">
      <c r="A5" s="529"/>
      <c r="B5" s="529"/>
      <c r="C5" s="529"/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</row>
    <row r="6" spans="1:19">
      <c r="A6" s="1446" t="str">
        <f>DataF</f>
        <v>DATA:  BASE PERIOD  "X" FORECASTED PERIOD</v>
      </c>
      <c r="B6" s="1446"/>
      <c r="C6" s="529"/>
      <c r="D6" s="529"/>
      <c r="E6" s="529"/>
      <c r="G6" s="461" t="s">
        <v>310</v>
      </c>
      <c r="H6" s="529"/>
      <c r="I6" s="529"/>
      <c r="J6" s="529"/>
      <c r="K6" s="529"/>
      <c r="L6" s="529"/>
      <c r="M6" s="529"/>
      <c r="N6" s="529"/>
      <c r="O6" s="529"/>
      <c r="P6" s="529"/>
      <c r="Q6" s="529"/>
      <c r="R6" s="529"/>
      <c r="S6" s="529"/>
    </row>
    <row r="7" spans="1:19">
      <c r="A7" s="1446" t="str">
        <f>Type</f>
        <v xml:space="preserve">TYPE OF FILING:  "X" ORIGINAL   UPDATED    REVISED  </v>
      </c>
      <c r="B7" s="1446"/>
      <c r="C7" s="529"/>
      <c r="D7" s="529"/>
      <c r="E7" s="529"/>
      <c r="G7" s="461" t="s">
        <v>620</v>
      </c>
      <c r="H7" s="529"/>
      <c r="I7" s="529"/>
      <c r="J7" s="529"/>
      <c r="K7" s="529"/>
      <c r="L7" s="529"/>
      <c r="M7" s="529"/>
      <c r="N7" s="529"/>
      <c r="O7" s="529"/>
      <c r="P7" s="529"/>
      <c r="Q7" s="529"/>
      <c r="R7" s="529"/>
      <c r="S7" s="529"/>
    </row>
    <row r="8" spans="1:19">
      <c r="A8" s="461" t="s">
        <v>2679</v>
      </c>
      <c r="B8" s="461"/>
      <c r="C8" s="529"/>
      <c r="D8" s="529"/>
      <c r="E8" s="529"/>
      <c r="G8" s="461" t="s">
        <v>622</v>
      </c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529"/>
    </row>
    <row r="9" spans="1:19">
      <c r="A9" s="529"/>
      <c r="B9" s="529"/>
      <c r="C9" s="529"/>
      <c r="D9" s="529"/>
      <c r="E9" s="529"/>
      <c r="G9" s="461" t="str">
        <f>_WIT1</f>
        <v>S. E. LAWLER</v>
      </c>
      <c r="H9" s="529"/>
      <c r="I9" s="529"/>
      <c r="J9" s="529"/>
      <c r="K9" s="529"/>
      <c r="L9" s="529"/>
      <c r="M9" s="529"/>
      <c r="N9" s="529"/>
      <c r="O9" s="529"/>
      <c r="P9" s="529"/>
      <c r="Q9" s="529"/>
      <c r="R9" s="529"/>
      <c r="S9" s="529"/>
    </row>
    <row r="10" spans="1:19">
      <c r="A10" s="1447"/>
      <c r="B10" s="1447"/>
      <c r="C10" s="1447"/>
      <c r="D10" s="1447"/>
      <c r="E10" s="1447"/>
      <c r="F10" s="1447"/>
      <c r="G10" s="1447"/>
      <c r="H10" s="1447"/>
      <c r="I10" s="2088"/>
      <c r="J10" s="529"/>
      <c r="K10" s="529"/>
      <c r="L10" s="529"/>
      <c r="M10" s="529"/>
      <c r="N10" s="529"/>
      <c r="O10" s="529"/>
      <c r="P10" s="529"/>
      <c r="Q10" s="529"/>
      <c r="R10" s="529"/>
      <c r="S10" s="529"/>
    </row>
    <row r="11" spans="1:19">
      <c r="A11" s="2089"/>
      <c r="B11" s="2089"/>
      <c r="C11" s="2089"/>
      <c r="D11" s="2089"/>
      <c r="E11" s="2089"/>
      <c r="F11" s="2089"/>
      <c r="G11" s="2089"/>
      <c r="H11" s="2089"/>
      <c r="I11" s="1475"/>
      <c r="J11" s="529"/>
      <c r="K11" s="529"/>
      <c r="L11" s="529"/>
      <c r="M11" s="529"/>
      <c r="N11" s="529"/>
      <c r="O11" s="529"/>
      <c r="P11" s="529"/>
      <c r="Q11" s="529"/>
      <c r="R11" s="529"/>
      <c r="S11" s="529"/>
    </row>
    <row r="12" spans="1:19">
      <c r="A12" s="1432" t="s">
        <v>1246</v>
      </c>
      <c r="B12" s="1432"/>
      <c r="C12" s="529"/>
      <c r="D12" s="529"/>
      <c r="E12" s="529"/>
      <c r="F12" s="529"/>
      <c r="G12" s="529"/>
      <c r="H12" s="1432" t="s">
        <v>364</v>
      </c>
      <c r="I12" s="1475"/>
      <c r="J12" s="529"/>
      <c r="K12" s="529"/>
      <c r="L12" s="529"/>
      <c r="M12" s="529"/>
      <c r="N12" s="529"/>
      <c r="O12" s="529"/>
      <c r="P12" s="529"/>
      <c r="Q12" s="529"/>
      <c r="R12" s="529"/>
      <c r="S12" s="529"/>
    </row>
    <row r="13" spans="1:19">
      <c r="A13" s="1447"/>
      <c r="B13" s="1447"/>
      <c r="C13" s="1447"/>
      <c r="D13" s="1447"/>
      <c r="E13" s="1447"/>
      <c r="F13" s="1447"/>
      <c r="G13" s="1447"/>
      <c r="H13" s="1447"/>
      <c r="I13" s="2088"/>
      <c r="J13" s="529"/>
      <c r="K13" s="529"/>
      <c r="L13" s="529"/>
      <c r="M13" s="529"/>
      <c r="N13" s="529"/>
      <c r="O13" s="529"/>
      <c r="P13" s="529"/>
      <c r="Q13" s="529"/>
      <c r="R13" s="529"/>
      <c r="S13" s="529"/>
    </row>
    <row r="14" spans="1:19">
      <c r="A14" s="2089"/>
      <c r="B14" s="2089"/>
      <c r="C14" s="2089"/>
      <c r="D14" s="2089"/>
      <c r="E14" s="2089"/>
      <c r="F14" s="2089"/>
      <c r="G14" s="2089"/>
      <c r="H14" s="2090"/>
      <c r="I14" s="1475"/>
      <c r="J14" s="529"/>
      <c r="K14" s="529"/>
      <c r="L14" s="529"/>
      <c r="M14" s="529"/>
      <c r="N14" s="529"/>
      <c r="O14" s="529"/>
      <c r="P14" s="529"/>
      <c r="Q14" s="529"/>
      <c r="R14" s="529"/>
      <c r="S14" s="529"/>
    </row>
    <row r="15" spans="1:19">
      <c r="A15" s="1430" t="s">
        <v>2436</v>
      </c>
      <c r="B15" s="1430"/>
      <c r="C15" s="529"/>
      <c r="D15" s="529"/>
      <c r="E15" s="529"/>
      <c r="F15" s="529"/>
      <c r="G15" s="529"/>
      <c r="H15" s="529"/>
      <c r="I15" s="529"/>
      <c r="J15" s="529"/>
      <c r="K15" s="529"/>
      <c r="L15" s="529"/>
      <c r="M15" s="529"/>
      <c r="N15" s="529"/>
      <c r="O15" s="529"/>
      <c r="P15" s="529"/>
      <c r="Q15" s="529"/>
      <c r="R15" s="529"/>
      <c r="S15" s="529"/>
    </row>
    <row r="16" spans="1:19">
      <c r="A16" s="1430"/>
      <c r="B16" s="1430"/>
      <c r="C16" s="529"/>
      <c r="D16" s="529"/>
      <c r="E16" s="529"/>
      <c r="F16" s="529"/>
      <c r="G16" s="529"/>
      <c r="H16" s="529"/>
      <c r="I16" s="529"/>
      <c r="J16" s="529"/>
      <c r="K16" s="529"/>
      <c r="L16" s="529"/>
      <c r="M16" s="529"/>
      <c r="N16" s="529"/>
      <c r="O16" s="529"/>
      <c r="P16" s="529"/>
      <c r="Q16" s="529"/>
      <c r="R16" s="529"/>
      <c r="S16" s="529"/>
    </row>
    <row r="17" spans="1:19">
      <c r="A17" s="1450"/>
      <c r="B17" s="1450"/>
      <c r="C17" s="529"/>
      <c r="D17" s="529"/>
      <c r="E17" s="529"/>
      <c r="F17" s="529"/>
      <c r="G17" s="529"/>
      <c r="H17" s="529"/>
      <c r="I17" s="529"/>
      <c r="J17" s="529"/>
      <c r="K17" s="529"/>
      <c r="L17" s="529"/>
      <c r="M17" s="529"/>
      <c r="N17" s="529"/>
      <c r="O17" s="529"/>
      <c r="P17" s="529"/>
      <c r="Q17" s="529"/>
      <c r="R17" s="529"/>
      <c r="S17" s="529"/>
    </row>
    <row r="18" spans="1:19">
      <c r="A18" s="1450"/>
      <c r="B18" s="1450"/>
      <c r="C18" s="529"/>
      <c r="D18" s="529"/>
      <c r="E18" s="529"/>
      <c r="F18" s="529"/>
      <c r="G18" s="529"/>
      <c r="H18" s="529"/>
      <c r="I18" s="529"/>
      <c r="J18" s="529"/>
      <c r="K18" s="529"/>
      <c r="L18" s="529"/>
      <c r="M18" s="529"/>
      <c r="N18" s="529"/>
      <c r="O18" s="529"/>
      <c r="P18" s="529"/>
      <c r="Q18" s="529"/>
      <c r="R18" s="529"/>
      <c r="S18" s="529"/>
    </row>
    <row r="19" spans="1:19">
      <c r="A19" s="529"/>
      <c r="B19" s="1450"/>
      <c r="C19" s="529"/>
      <c r="D19" s="529"/>
      <c r="E19" s="529"/>
      <c r="F19" s="529"/>
      <c r="G19" s="529"/>
      <c r="H19" s="535"/>
      <c r="I19" s="529"/>
      <c r="J19" s="529"/>
      <c r="K19" s="529"/>
      <c r="L19" s="529"/>
      <c r="M19" s="529"/>
      <c r="N19" s="529"/>
      <c r="O19" s="529"/>
      <c r="P19" s="529"/>
      <c r="Q19" s="529"/>
      <c r="R19" s="529"/>
      <c r="S19" s="529"/>
    </row>
    <row r="20" spans="1:19">
      <c r="A20" s="1430" t="s">
        <v>2431</v>
      </c>
      <c r="B20" s="1430"/>
      <c r="C20" s="529"/>
      <c r="D20" s="529"/>
      <c r="E20" s="529"/>
      <c r="F20" s="529"/>
      <c r="G20" s="1452"/>
      <c r="H20" s="531">
        <f>Q51</f>
        <v>1005774.666666666</v>
      </c>
      <c r="I20" s="529"/>
      <c r="J20" s="529"/>
      <c r="K20" s="529"/>
      <c r="L20" s="529"/>
      <c r="M20" s="529"/>
      <c r="N20" s="529"/>
      <c r="O20" s="529"/>
      <c r="P20" s="529"/>
      <c r="Q20" s="529"/>
      <c r="R20" s="529"/>
      <c r="S20" s="529"/>
    </row>
    <row r="21" spans="1:19">
      <c r="A21" s="1450"/>
      <c r="B21" s="1450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529"/>
      <c r="O21" s="529"/>
      <c r="P21" s="529"/>
      <c r="Q21" s="529"/>
      <c r="R21" s="529"/>
      <c r="S21" s="529"/>
    </row>
    <row r="22" spans="1:19">
      <c r="A22" s="1430" t="s">
        <v>266</v>
      </c>
      <c r="B22" s="1430"/>
      <c r="C22" s="529"/>
      <c r="D22" s="529"/>
      <c r="E22" s="529"/>
      <c r="F22" s="529"/>
      <c r="G22" s="529"/>
      <c r="H22" s="1451">
        <f>VLOOKUP(B27,ALLOCTABLE,2,FALSE)/100</f>
        <v>1</v>
      </c>
      <c r="I22" s="529"/>
      <c r="J22" s="529"/>
      <c r="K22" s="529"/>
      <c r="L22" s="529"/>
      <c r="M22" s="529"/>
      <c r="N22" s="529"/>
      <c r="O22" s="529"/>
      <c r="P22" s="529"/>
      <c r="Q22" s="529"/>
      <c r="R22" s="529"/>
      <c r="S22" s="529"/>
    </row>
    <row r="23" spans="1:19">
      <c r="A23" s="1450"/>
      <c r="B23" s="1450"/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529"/>
      <c r="O23" s="529"/>
      <c r="P23" s="529"/>
      <c r="Q23" s="529"/>
      <c r="R23" s="529"/>
      <c r="S23" s="529"/>
    </row>
    <row r="24" spans="1:19" ht="15">
      <c r="A24" s="1430" t="s">
        <v>1236</v>
      </c>
      <c r="B24" s="1430"/>
      <c r="C24" s="529"/>
      <c r="D24" s="1432" t="s">
        <v>709</v>
      </c>
      <c r="E24" s="529"/>
      <c r="F24" s="529"/>
      <c r="G24" s="1452"/>
      <c r="H24" s="1427">
        <f>ROUND(H20*H22,0)</f>
        <v>1005775</v>
      </c>
      <c r="I24" s="529"/>
      <c r="J24" s="529"/>
      <c r="K24" s="529"/>
      <c r="L24" s="529"/>
      <c r="M24" s="529"/>
      <c r="N24" s="529"/>
      <c r="O24" s="529"/>
      <c r="P24" s="529"/>
      <c r="Q24" s="529"/>
      <c r="R24" s="529"/>
      <c r="S24" s="529"/>
    </row>
    <row r="25" spans="1:19">
      <c r="A25" s="1430"/>
      <c r="B25" s="1430"/>
      <c r="C25" s="529"/>
      <c r="D25" s="529"/>
      <c r="E25" s="529"/>
      <c r="F25" s="529"/>
      <c r="G25" s="529"/>
      <c r="H25" s="529"/>
      <c r="I25" s="529"/>
      <c r="J25" s="529"/>
      <c r="K25" s="529"/>
      <c r="L25" s="529"/>
      <c r="M25" s="529"/>
      <c r="N25" s="529"/>
      <c r="O25" s="529"/>
      <c r="P25" s="529"/>
      <c r="Q25" s="529"/>
      <c r="R25" s="529"/>
      <c r="S25" s="529"/>
    </row>
    <row r="26" spans="1:19">
      <c r="A26" s="1450"/>
      <c r="B26" s="1450"/>
      <c r="C26" s="529"/>
      <c r="D26" s="529"/>
      <c r="E26" s="529"/>
      <c r="F26" s="529"/>
      <c r="G26" s="529"/>
      <c r="H26" s="529"/>
      <c r="I26" s="529"/>
      <c r="J26" s="529"/>
      <c r="K26" s="529"/>
      <c r="L26" s="529"/>
      <c r="M26" s="529"/>
      <c r="N26" s="529"/>
      <c r="O26" s="529"/>
      <c r="P26" s="529"/>
      <c r="Q26" s="529"/>
      <c r="R26" s="529"/>
      <c r="S26" s="529"/>
    </row>
    <row r="27" spans="1:19">
      <c r="A27" s="2092" t="s">
        <v>1237</v>
      </c>
      <c r="B27" s="2093" t="s">
        <v>593</v>
      </c>
      <c r="C27" s="2094"/>
      <c r="D27" s="529"/>
      <c r="E27" s="529"/>
      <c r="F27" s="529"/>
      <c r="G27" s="529"/>
      <c r="H27" s="529"/>
      <c r="I27" s="529"/>
      <c r="J27" s="529"/>
      <c r="K27" s="529"/>
      <c r="L27" s="529"/>
      <c r="M27" s="529"/>
      <c r="N27" s="529"/>
      <c r="O27" s="529"/>
      <c r="P27" s="529"/>
      <c r="Q27" s="529"/>
      <c r="R27" s="529"/>
      <c r="S27" s="529"/>
    </row>
    <row r="28" spans="1:19">
      <c r="A28" s="1450"/>
      <c r="B28" s="1450"/>
      <c r="C28" s="529"/>
      <c r="D28" s="529"/>
      <c r="E28" s="529"/>
      <c r="F28" s="529"/>
      <c r="G28" s="529"/>
      <c r="H28" s="529"/>
      <c r="I28" s="529"/>
      <c r="J28" s="529"/>
      <c r="K28" s="529"/>
      <c r="L28" s="529"/>
      <c r="M28" s="529"/>
      <c r="N28" s="529"/>
      <c r="O28" s="529"/>
      <c r="P28" s="529"/>
      <c r="Q28" s="529"/>
      <c r="R28" s="529"/>
      <c r="S28" s="529"/>
    </row>
    <row r="29" spans="1:19">
      <c r="A29" s="1450"/>
      <c r="B29" s="1450"/>
      <c r="C29" s="529"/>
      <c r="D29" s="529"/>
      <c r="E29" s="529"/>
      <c r="F29" s="529"/>
      <c r="G29" s="529"/>
      <c r="H29" s="529"/>
      <c r="I29" s="529"/>
      <c r="J29" s="529"/>
      <c r="K29" s="529"/>
      <c r="L29" s="529"/>
      <c r="M29" s="529"/>
      <c r="N29" s="529"/>
      <c r="O29" s="529"/>
      <c r="P29" s="529"/>
      <c r="Q29" s="529"/>
      <c r="R29" s="529"/>
      <c r="S29" s="529"/>
    </row>
    <row r="30" spans="1:19">
      <c r="A30" s="1450"/>
      <c r="B30" s="1450"/>
      <c r="C30" s="529"/>
      <c r="D30" s="529"/>
      <c r="E30" s="529"/>
      <c r="F30" s="529"/>
      <c r="G30" s="529"/>
      <c r="H30" s="529"/>
      <c r="I30" s="529"/>
      <c r="J30" s="1629" t="s">
        <v>1387</v>
      </c>
      <c r="K30" s="530"/>
      <c r="L30" s="530"/>
      <c r="M30" s="530"/>
      <c r="P30" s="2106" t="s">
        <v>2254</v>
      </c>
      <c r="R30" s="529"/>
      <c r="S30" s="529"/>
    </row>
    <row r="31" spans="1:19">
      <c r="A31" s="1450"/>
      <c r="B31" s="1450"/>
      <c r="C31" s="529"/>
      <c r="D31" s="529"/>
      <c r="E31" s="529"/>
      <c r="F31" s="529"/>
      <c r="G31" s="529"/>
      <c r="H31" s="529"/>
      <c r="I31" s="529"/>
      <c r="J31" s="1629" t="s">
        <v>695</v>
      </c>
      <c r="K31" s="530"/>
      <c r="L31" s="530"/>
      <c r="M31" s="530"/>
      <c r="P31" s="1629" t="s">
        <v>1239</v>
      </c>
      <c r="R31" s="529"/>
      <c r="S31" s="529"/>
    </row>
    <row r="32" spans="1:19">
      <c r="A32" s="1450"/>
      <c r="B32" s="1450"/>
      <c r="C32" s="529"/>
      <c r="D32" s="529"/>
      <c r="E32" s="529"/>
      <c r="F32" s="529"/>
      <c r="G32" s="529"/>
      <c r="H32" s="529"/>
      <c r="I32" s="529"/>
      <c r="J32" s="1629" t="str">
        <f>CASE</f>
        <v>CASE NO. 2017-00321</v>
      </c>
      <c r="K32" s="530"/>
      <c r="L32" s="530"/>
      <c r="M32" s="530"/>
      <c r="P32" s="530" t="str">
        <f>_WIT1</f>
        <v>S. E. LAWLER</v>
      </c>
      <c r="R32" s="529"/>
      <c r="S32" s="529"/>
    </row>
    <row r="33" spans="1:19">
      <c r="A33" s="1450"/>
      <c r="B33" s="1450"/>
      <c r="C33" s="529"/>
      <c r="D33" s="529"/>
      <c r="E33" s="529"/>
      <c r="F33" s="529"/>
      <c r="G33" s="529"/>
      <c r="H33" s="529"/>
      <c r="I33" s="529"/>
      <c r="J33" s="1629" t="str">
        <f>A3</f>
        <v>NORMALIZATION OF PLANNED OUTAGE O&amp;M</v>
      </c>
      <c r="K33" s="530"/>
      <c r="L33" s="530"/>
      <c r="M33" s="530"/>
      <c r="N33" s="530"/>
      <c r="O33" s="2107"/>
      <c r="P33" s="2107"/>
      <c r="Q33" s="2107"/>
      <c r="R33" s="529"/>
      <c r="S33" s="529"/>
    </row>
    <row r="34" spans="1:19">
      <c r="A34" s="1450"/>
      <c r="B34" s="1450"/>
      <c r="C34" s="529"/>
      <c r="D34" s="529"/>
      <c r="E34" s="529"/>
      <c r="F34" s="529"/>
      <c r="G34" s="529"/>
      <c r="H34" s="529"/>
      <c r="I34" s="529"/>
      <c r="J34" s="1629"/>
      <c r="K34" s="530"/>
      <c r="L34" s="530"/>
      <c r="M34" s="530"/>
      <c r="N34" s="530"/>
      <c r="O34" s="2107"/>
      <c r="P34" s="2107"/>
      <c r="Q34" s="2107"/>
      <c r="R34" s="529"/>
      <c r="S34" s="529"/>
    </row>
    <row r="35" spans="1:19">
      <c r="A35" s="1450"/>
      <c r="B35" s="1450"/>
      <c r="C35" s="529"/>
      <c r="D35" s="529"/>
      <c r="E35" s="529"/>
      <c r="F35" s="529"/>
      <c r="G35" s="529"/>
      <c r="H35" s="529"/>
      <c r="I35" s="529"/>
      <c r="J35" s="1629"/>
      <c r="K35" s="530"/>
      <c r="L35" s="530"/>
      <c r="M35" s="530"/>
      <c r="N35" s="530"/>
      <c r="O35" s="2107"/>
      <c r="P35" s="2112" t="s">
        <v>2272</v>
      </c>
      <c r="Q35" s="2107"/>
      <c r="S35" s="529"/>
    </row>
    <row r="36" spans="1:19">
      <c r="A36" s="1450"/>
      <c r="B36" s="1450"/>
      <c r="C36" s="529"/>
      <c r="D36" s="529"/>
      <c r="E36" s="529"/>
      <c r="F36" s="529"/>
      <c r="G36" s="529"/>
      <c r="H36" s="529"/>
      <c r="I36" s="529"/>
      <c r="J36" s="1629"/>
      <c r="K36" s="530"/>
      <c r="L36" s="530"/>
      <c r="M36" s="530"/>
      <c r="N36" s="530"/>
      <c r="O36" s="2107"/>
      <c r="P36" s="2113" t="s">
        <v>2676</v>
      </c>
      <c r="Q36" s="2107"/>
      <c r="S36" s="529"/>
    </row>
    <row r="37" spans="1:19">
      <c r="A37" s="1450"/>
      <c r="B37" s="1450"/>
      <c r="C37" s="529"/>
      <c r="D37" s="529"/>
      <c r="E37" s="529"/>
      <c r="F37" s="529"/>
      <c r="G37" s="529"/>
      <c r="H37" s="529"/>
      <c r="I37" s="529"/>
      <c r="J37" s="2096" t="s">
        <v>2273</v>
      </c>
      <c r="K37" s="1475"/>
      <c r="L37" s="2100" t="s">
        <v>1119</v>
      </c>
      <c r="M37" s="2096" t="s">
        <v>994</v>
      </c>
      <c r="N37" s="2096" t="s">
        <v>993</v>
      </c>
      <c r="O37" s="2096" t="s">
        <v>1929</v>
      </c>
      <c r="P37" s="2096" t="s">
        <v>2274</v>
      </c>
      <c r="Q37" s="2096" t="s">
        <v>1929</v>
      </c>
      <c r="S37" s="1475"/>
    </row>
    <row r="38" spans="1:19">
      <c r="A38" s="1450"/>
      <c r="B38" s="1450"/>
      <c r="C38" s="529"/>
      <c r="D38" s="529"/>
      <c r="E38" s="529"/>
      <c r="F38" s="529"/>
      <c r="G38" s="529"/>
      <c r="H38" s="529"/>
      <c r="I38" s="529"/>
      <c r="J38" s="1694">
        <v>2013</v>
      </c>
      <c r="K38" s="1475"/>
      <c r="L38" s="1475" t="s">
        <v>2431</v>
      </c>
      <c r="M38" s="1470">
        <v>4100366</v>
      </c>
      <c r="N38" s="1470">
        <v>0</v>
      </c>
      <c r="O38" s="2114">
        <f t="shared" ref="O38:O43" si="0">SUM(M38:N38)</f>
        <v>4100366</v>
      </c>
      <c r="P38" s="1494">
        <f>Y66</f>
        <v>0.96499999999999997</v>
      </c>
      <c r="Q38" s="1732">
        <f t="shared" ref="Q38:Q43" si="1">ROUND(O38/P38,0)</f>
        <v>4249084</v>
      </c>
      <c r="S38" s="1475"/>
    </row>
    <row r="39" spans="1:19">
      <c r="A39" s="1450"/>
      <c r="B39" s="1450"/>
      <c r="C39" s="529"/>
      <c r="D39" s="529"/>
      <c r="E39" s="529"/>
      <c r="F39" s="529"/>
      <c r="G39" s="529"/>
      <c r="H39" s="529"/>
      <c r="I39" s="529"/>
      <c r="J39" s="1423">
        <v>2014</v>
      </c>
      <c r="K39" s="1423"/>
      <c r="L39" s="1475" t="s">
        <v>2431</v>
      </c>
      <c r="M39" s="1468">
        <v>14062894</v>
      </c>
      <c r="N39" s="1468">
        <v>0</v>
      </c>
      <c r="O39" s="1469">
        <f t="shared" si="0"/>
        <v>14062894</v>
      </c>
      <c r="P39" s="1494">
        <f>Y67</f>
        <v>0.97299999999999998</v>
      </c>
      <c r="Q39" s="1469">
        <f t="shared" si="1"/>
        <v>14453128</v>
      </c>
      <c r="S39" s="1475"/>
    </row>
    <row r="40" spans="1:19">
      <c r="A40" s="1450"/>
      <c r="B40" s="1450"/>
      <c r="C40" s="529"/>
      <c r="D40" s="529"/>
      <c r="E40" s="529"/>
      <c r="F40" s="529"/>
      <c r="G40" s="529"/>
      <c r="H40" s="529"/>
      <c r="I40" s="529"/>
      <c r="J40" s="1423">
        <v>2015</v>
      </c>
      <c r="K40" s="1424"/>
      <c r="L40" s="1475" t="s">
        <v>2431</v>
      </c>
      <c r="M40" s="1468">
        <v>2868053</v>
      </c>
      <c r="N40" s="1468">
        <v>0</v>
      </c>
      <c r="O40" s="1469">
        <f t="shared" si="0"/>
        <v>2868053</v>
      </c>
      <c r="P40" s="1494">
        <f>Y68</f>
        <v>0.98</v>
      </c>
      <c r="Q40" s="1469">
        <f t="shared" si="1"/>
        <v>2926585</v>
      </c>
      <c r="S40" s="1475"/>
    </row>
    <row r="41" spans="1:19">
      <c r="A41" s="1450"/>
      <c r="B41" s="1450"/>
      <c r="C41" s="529"/>
      <c r="D41" s="529"/>
      <c r="E41" s="529"/>
      <c r="F41" s="529"/>
      <c r="G41" s="529"/>
      <c r="H41" s="529"/>
      <c r="I41" s="529"/>
      <c r="J41" s="1694">
        <v>2016</v>
      </c>
      <c r="K41" s="1475"/>
      <c r="L41" s="1475" t="s">
        <v>2431</v>
      </c>
      <c r="M41" s="1468">
        <v>8897520</v>
      </c>
      <c r="N41" s="1468">
        <v>2271112</v>
      </c>
      <c r="O41" s="1469">
        <f t="shared" si="0"/>
        <v>11168632</v>
      </c>
      <c r="P41" s="1494">
        <f>Y69</f>
        <v>1</v>
      </c>
      <c r="Q41" s="1469">
        <f t="shared" si="1"/>
        <v>11168632</v>
      </c>
      <c r="S41" s="2115"/>
    </row>
    <row r="42" spans="1:19">
      <c r="A42" s="529"/>
      <c r="B42" s="529"/>
      <c r="C42" s="529"/>
      <c r="D42" s="529"/>
      <c r="E42" s="529"/>
      <c r="F42" s="529"/>
      <c r="G42" s="529"/>
      <c r="H42" s="529"/>
      <c r="I42" s="529"/>
      <c r="J42" s="1694">
        <v>2017</v>
      </c>
      <c r="K42" s="1475"/>
      <c r="L42" s="1475" t="s">
        <v>2431</v>
      </c>
      <c r="M42" s="1468">
        <v>959797</v>
      </c>
      <c r="N42" s="1468">
        <v>4529358</v>
      </c>
      <c r="O42" s="1469">
        <f t="shared" si="0"/>
        <v>5489155</v>
      </c>
      <c r="P42" s="1495">
        <f>P41</f>
        <v>1</v>
      </c>
      <c r="Q42" s="1469">
        <f t="shared" si="1"/>
        <v>5489155</v>
      </c>
      <c r="S42" s="2115"/>
    </row>
    <row r="43" spans="1:19">
      <c r="A43" s="529"/>
      <c r="B43" s="529"/>
      <c r="C43" s="529"/>
      <c r="D43" s="529"/>
      <c r="E43" s="529"/>
      <c r="F43" s="529"/>
      <c r="G43" s="529"/>
      <c r="H43" s="529"/>
      <c r="I43" s="529"/>
      <c r="J43" s="1694">
        <v>2018</v>
      </c>
      <c r="K43" s="1475"/>
      <c r="L43" s="1475" t="s">
        <v>2431</v>
      </c>
      <c r="M43" s="1468">
        <v>12113096</v>
      </c>
      <c r="N43" s="1468">
        <v>0</v>
      </c>
      <c r="O43" s="1469">
        <f t="shared" si="0"/>
        <v>12113096</v>
      </c>
      <c r="P43" s="1495">
        <f>P41</f>
        <v>1</v>
      </c>
      <c r="Q43" s="1469">
        <f t="shared" si="1"/>
        <v>12113096</v>
      </c>
      <c r="S43" s="1475"/>
    </row>
    <row r="44" spans="1:19">
      <c r="A44" s="529"/>
      <c r="B44" s="529"/>
      <c r="C44" s="529"/>
      <c r="D44" s="529"/>
      <c r="E44" s="529"/>
      <c r="F44" s="529"/>
      <c r="G44" s="529"/>
      <c r="H44" s="529"/>
      <c r="I44" s="529"/>
      <c r="J44" s="1694"/>
      <c r="K44" s="535"/>
      <c r="L44" s="2116"/>
      <c r="M44" s="1695"/>
      <c r="N44" s="1695"/>
      <c r="O44" s="306"/>
      <c r="P44" s="1695"/>
      <c r="Q44" s="306"/>
      <c r="S44" s="1475"/>
    </row>
    <row r="45" spans="1:19">
      <c r="A45" s="532"/>
      <c r="B45" s="532"/>
      <c r="C45" s="532"/>
      <c r="D45" s="532"/>
      <c r="E45" s="532"/>
      <c r="F45" s="532"/>
      <c r="G45" s="532"/>
      <c r="H45" s="532"/>
      <c r="I45" s="532"/>
      <c r="J45" s="1694"/>
      <c r="K45" s="2109"/>
      <c r="L45" s="2116" t="s">
        <v>2963</v>
      </c>
      <c r="M45" s="1695"/>
      <c r="N45" s="1695"/>
      <c r="O45" s="2117">
        <f>AVERAGE(O38:O43)</f>
        <v>8300366</v>
      </c>
      <c r="P45" s="1744"/>
      <c r="Q45" s="2117">
        <f>AVERAGE(Q38:Q43)</f>
        <v>8399946.666666666</v>
      </c>
      <c r="S45" s="1694"/>
    </row>
    <row r="46" spans="1:19">
      <c r="A46" s="532"/>
      <c r="B46" s="532"/>
      <c r="C46" s="532"/>
      <c r="D46" s="532"/>
      <c r="E46" s="532"/>
      <c r="F46" s="532"/>
      <c r="G46" s="532"/>
      <c r="H46" s="532"/>
      <c r="I46" s="532"/>
      <c r="J46" s="1694"/>
      <c r="K46" s="1694"/>
      <c r="L46" s="2116"/>
      <c r="M46" s="1695"/>
      <c r="N46" s="1695"/>
      <c r="O46" s="306"/>
      <c r="P46" s="306"/>
      <c r="Q46" s="306"/>
      <c r="R46" s="1694"/>
      <c r="S46" s="1694"/>
    </row>
    <row r="47" spans="1:19">
      <c r="A47" s="532"/>
      <c r="B47" s="532"/>
      <c r="C47" s="532"/>
      <c r="D47" s="532"/>
      <c r="E47" s="532"/>
      <c r="F47" s="532"/>
      <c r="G47" s="532"/>
      <c r="H47" s="532"/>
      <c r="I47" s="532"/>
      <c r="J47" s="1694"/>
      <c r="K47" s="1694"/>
      <c r="L47" s="55" t="s">
        <v>2433</v>
      </c>
      <c r="M47" s="2118"/>
      <c r="N47" s="2118"/>
      <c r="P47" s="2119"/>
      <c r="Q47" s="2119">
        <f>Q45</f>
        <v>8399946.666666666</v>
      </c>
      <c r="R47" s="1844"/>
      <c r="S47" s="1844"/>
    </row>
    <row r="48" spans="1:19">
      <c r="A48" s="529"/>
      <c r="B48" s="529"/>
      <c r="C48" s="529"/>
      <c r="D48" s="529"/>
      <c r="E48" s="529"/>
      <c r="F48" s="529"/>
      <c r="G48" s="529"/>
      <c r="H48" s="529"/>
      <c r="I48" s="529"/>
      <c r="J48" s="1694"/>
      <c r="K48" s="1694"/>
      <c r="L48" s="2116"/>
      <c r="M48" s="1469"/>
      <c r="N48" s="1695"/>
      <c r="P48" s="2120"/>
      <c r="Q48" s="2120"/>
      <c r="R48" s="533"/>
      <c r="S48" s="1694"/>
    </row>
    <row r="49" spans="1:28">
      <c r="A49" s="529"/>
      <c r="B49" s="529"/>
      <c r="C49" s="529"/>
      <c r="D49" s="529"/>
      <c r="E49" s="529"/>
      <c r="F49" s="529"/>
      <c r="G49" s="529"/>
      <c r="H49" s="529"/>
      <c r="I49" s="529"/>
      <c r="J49" s="1694"/>
      <c r="K49" s="46"/>
      <c r="L49" s="2116" t="s">
        <v>2434</v>
      </c>
      <c r="M49" s="1469"/>
      <c r="N49" s="1469"/>
      <c r="P49" s="1469"/>
      <c r="Q49" s="2121">
        <v>7394172</v>
      </c>
      <c r="R49" s="1475"/>
      <c r="S49" s="1475"/>
    </row>
    <row r="50" spans="1:28">
      <c r="A50" s="529"/>
      <c r="B50" s="529"/>
      <c r="C50" s="529"/>
      <c r="D50" s="529"/>
      <c r="E50" s="529"/>
      <c r="F50" s="529"/>
      <c r="G50" s="529"/>
      <c r="H50" s="529"/>
      <c r="I50" s="529"/>
      <c r="J50" s="1694"/>
      <c r="K50" s="46"/>
      <c r="L50" s="2122"/>
      <c r="M50" s="1893"/>
      <c r="N50" s="1893"/>
      <c r="P50" s="1893"/>
      <c r="Q50" s="1893"/>
      <c r="R50" s="1893"/>
      <c r="S50" s="1893"/>
    </row>
    <row r="51" spans="1:28" ht="13.5" thickBot="1">
      <c r="A51" s="529"/>
      <c r="B51" s="529"/>
      <c r="C51" s="529"/>
      <c r="D51" s="529"/>
      <c r="E51" s="529"/>
      <c r="F51" s="529"/>
      <c r="G51" s="529"/>
      <c r="H51" s="529"/>
      <c r="I51" s="529"/>
      <c r="J51" s="1694"/>
      <c r="K51" s="46"/>
      <c r="L51" s="2122" t="s">
        <v>2435</v>
      </c>
      <c r="M51" s="1893"/>
      <c r="N51" s="1893"/>
      <c r="P51" s="2120"/>
      <c r="Q51" s="2123">
        <f>Q47-Q49</f>
        <v>1005774.666666666</v>
      </c>
      <c r="R51" s="1893"/>
      <c r="S51" s="1893"/>
    </row>
    <row r="52" spans="1:28" ht="13.5" thickTop="1">
      <c r="A52" s="529"/>
      <c r="B52" s="529"/>
      <c r="C52" s="529"/>
      <c r="D52" s="529"/>
      <c r="E52" s="529"/>
      <c r="F52" s="529"/>
      <c r="G52" s="529"/>
      <c r="H52" s="529"/>
      <c r="I52" s="529"/>
      <c r="J52" s="1694"/>
      <c r="K52" s="46"/>
      <c r="L52" s="1893"/>
      <c r="M52" s="1893"/>
      <c r="N52" s="1893"/>
      <c r="O52" s="1893"/>
      <c r="P52" s="1893"/>
      <c r="Q52" s="1893"/>
      <c r="R52" s="1893"/>
      <c r="S52" s="1893"/>
    </row>
    <row r="53" spans="1:28">
      <c r="A53" s="529"/>
      <c r="B53" s="529"/>
      <c r="C53" s="529"/>
      <c r="D53" s="529"/>
      <c r="E53" s="529"/>
      <c r="F53" s="529"/>
      <c r="G53" s="529"/>
      <c r="H53" s="529"/>
      <c r="I53" s="529"/>
      <c r="J53" s="1694"/>
      <c r="K53" s="46"/>
      <c r="L53" s="1893"/>
      <c r="M53" s="1893"/>
      <c r="N53" s="1893"/>
      <c r="O53" s="1692"/>
      <c r="P53" s="1692"/>
      <c r="Q53" s="1692"/>
      <c r="R53" s="1893"/>
      <c r="S53" s="1893"/>
    </row>
    <row r="54" spans="1:28">
      <c r="A54" s="529"/>
      <c r="B54" s="529"/>
      <c r="C54" s="529"/>
      <c r="D54" s="529"/>
      <c r="E54" s="529"/>
      <c r="F54" s="529"/>
      <c r="G54" s="529"/>
      <c r="H54" s="529"/>
      <c r="I54" s="529"/>
      <c r="J54" s="1694"/>
      <c r="K54" s="46"/>
      <c r="L54" s="1893" t="s">
        <v>2757</v>
      </c>
      <c r="M54" s="1893"/>
      <c r="N54" s="1893"/>
      <c r="O54" s="1893"/>
      <c r="P54" s="1893"/>
      <c r="Q54" s="1893"/>
      <c r="R54" s="1893"/>
      <c r="S54" s="1893"/>
    </row>
    <row r="55" spans="1:28">
      <c r="A55" s="529"/>
      <c r="B55" s="529"/>
      <c r="C55" s="529"/>
      <c r="D55" s="529"/>
      <c r="E55" s="529"/>
      <c r="F55" s="529"/>
      <c r="G55" s="529"/>
      <c r="H55" s="529"/>
      <c r="I55" s="529"/>
      <c r="J55" s="1694"/>
      <c r="K55" s="46"/>
      <c r="L55" s="1893"/>
      <c r="M55" s="1893"/>
      <c r="N55" s="1893"/>
      <c r="O55" s="1893"/>
      <c r="P55" s="1893"/>
      <c r="Q55" s="1893"/>
      <c r="R55" s="1893"/>
      <c r="S55" s="2124" t="str">
        <f>COMPANY</f>
        <v>DUKE ENERGY KENTUCKY, INC.</v>
      </c>
      <c r="T55" s="1288"/>
      <c r="U55" s="1288"/>
      <c r="V55" s="1288"/>
      <c r="W55" s="1288"/>
      <c r="X55" s="1288"/>
      <c r="Y55" s="2124" t="s">
        <v>2678</v>
      </c>
      <c r="AA55" s="1178"/>
      <c r="AB55" s="2125"/>
    </row>
    <row r="56" spans="1:28">
      <c r="A56" s="529"/>
      <c r="B56" s="529"/>
      <c r="C56" s="529"/>
      <c r="D56" s="529"/>
      <c r="E56" s="529"/>
      <c r="F56" s="529"/>
      <c r="G56" s="529"/>
      <c r="H56" s="529"/>
      <c r="I56" s="529"/>
      <c r="J56" s="1694"/>
      <c r="K56" s="46"/>
      <c r="L56" s="1893"/>
      <c r="M56" s="1893"/>
      <c r="N56" s="1893"/>
      <c r="O56" s="1893"/>
      <c r="P56" s="1893"/>
      <c r="Q56" s="1893"/>
      <c r="R56" s="1893"/>
      <c r="S56" s="2124" t="str">
        <f>DEPT</f>
        <v>ELECTRIC DEPARTMENT</v>
      </c>
      <c r="T56" s="1288"/>
      <c r="U56" s="1288"/>
      <c r="V56" s="1288"/>
      <c r="W56" s="1288"/>
      <c r="X56" s="1288"/>
      <c r="Y56" s="2124" t="s">
        <v>1239</v>
      </c>
      <c r="AA56" s="1178"/>
      <c r="AB56" s="2125"/>
    </row>
    <row r="57" spans="1:28">
      <c r="A57" s="529"/>
      <c r="B57" s="529"/>
      <c r="C57" s="529"/>
      <c r="D57" s="529"/>
      <c r="E57" s="529"/>
      <c r="F57" s="529"/>
      <c r="G57" s="529"/>
      <c r="H57" s="529"/>
      <c r="I57" s="529"/>
      <c r="J57" s="46"/>
      <c r="K57" s="46"/>
      <c r="L57" s="46"/>
      <c r="M57" s="46"/>
      <c r="N57" s="46"/>
      <c r="O57" s="46"/>
      <c r="P57" s="46"/>
      <c r="Q57" s="46"/>
      <c r="R57" s="46"/>
      <c r="S57" s="2124" t="str">
        <f>CASE</f>
        <v>CASE NO. 2017-00321</v>
      </c>
      <c r="T57" s="1288"/>
      <c r="U57" s="1288"/>
      <c r="V57" s="1288"/>
      <c r="W57" s="1288"/>
      <c r="X57" s="1288"/>
      <c r="Y57" s="1288" t="str">
        <f>_WIT1</f>
        <v>S. E. LAWLER</v>
      </c>
      <c r="AA57" s="1178"/>
      <c r="AB57" s="2125"/>
    </row>
    <row r="58" spans="1:28">
      <c r="A58" s="529"/>
      <c r="B58" s="529"/>
      <c r="C58" s="529"/>
      <c r="D58" s="529"/>
      <c r="E58" s="529"/>
      <c r="F58" s="529"/>
      <c r="G58" s="529"/>
      <c r="H58" s="529"/>
      <c r="I58" s="529"/>
      <c r="J58" s="2126"/>
      <c r="K58" s="46"/>
      <c r="L58" s="46"/>
      <c r="M58" s="46"/>
      <c r="N58" s="46"/>
      <c r="O58" s="46"/>
      <c r="P58" s="46"/>
      <c r="Q58" s="46"/>
      <c r="R58" s="46"/>
      <c r="S58" s="2124" t="s">
        <v>2275</v>
      </c>
      <c r="T58" s="1288"/>
      <c r="U58" s="1288"/>
      <c r="V58" s="1288"/>
      <c r="W58" s="1288"/>
      <c r="X58" s="1288"/>
      <c r="Y58" s="1288"/>
      <c r="Z58" s="1288"/>
      <c r="AA58" s="1288"/>
      <c r="AB58" s="2125"/>
    </row>
    <row r="59" spans="1:28">
      <c r="A59" s="529"/>
      <c r="B59" s="529"/>
      <c r="C59" s="529"/>
      <c r="D59" s="529"/>
      <c r="E59" s="529"/>
      <c r="F59" s="529"/>
      <c r="G59" s="529"/>
      <c r="H59" s="529"/>
      <c r="I59" s="529"/>
      <c r="J59" s="46"/>
      <c r="K59" s="46"/>
      <c r="L59" s="2127"/>
      <c r="M59" s="2127"/>
      <c r="N59" s="2127"/>
      <c r="O59" s="2127"/>
      <c r="P59" s="2127"/>
      <c r="Q59" s="2127"/>
      <c r="R59" s="2127"/>
      <c r="S59" s="2124" t="s">
        <v>2276</v>
      </c>
      <c r="T59" s="1288"/>
      <c r="U59" s="1288"/>
      <c r="V59" s="1288"/>
      <c r="W59" s="1288"/>
      <c r="X59" s="1288"/>
      <c r="Y59" s="1288"/>
      <c r="Z59" s="1288"/>
      <c r="AA59" s="1288"/>
      <c r="AB59" s="2125"/>
    </row>
    <row r="60" spans="1:28">
      <c r="A60" s="529"/>
      <c r="B60" s="529"/>
      <c r="C60" s="529"/>
      <c r="D60" s="529"/>
      <c r="E60" s="529"/>
      <c r="F60" s="529"/>
      <c r="G60" s="529"/>
      <c r="H60" s="529"/>
      <c r="I60" s="529"/>
      <c r="J60" s="46"/>
      <c r="K60" s="46"/>
      <c r="L60" s="2127"/>
      <c r="M60" s="2127"/>
      <c r="N60" s="2127"/>
      <c r="O60" s="2127"/>
      <c r="P60" s="2127"/>
      <c r="Q60" s="2127"/>
      <c r="R60" s="2127"/>
      <c r="S60" s="1629" t="s">
        <v>2675</v>
      </c>
      <c r="T60" s="1288"/>
      <c r="U60" s="1288"/>
      <c r="V60" s="1288"/>
      <c r="W60" s="1288"/>
      <c r="X60" s="1288"/>
      <c r="Y60" s="1288"/>
      <c r="Z60" s="1288"/>
      <c r="AA60" s="1288"/>
      <c r="AB60" s="2125"/>
    </row>
    <row r="61" spans="1:28">
      <c r="A61" s="529"/>
      <c r="B61" s="529"/>
      <c r="C61" s="529"/>
      <c r="D61" s="529"/>
      <c r="E61" s="529"/>
      <c r="F61" s="529"/>
      <c r="G61" s="529"/>
      <c r="H61" s="529"/>
      <c r="I61" s="529"/>
      <c r="J61" s="46"/>
      <c r="K61" s="46"/>
      <c r="L61" s="2127"/>
      <c r="M61" s="2127"/>
      <c r="N61" s="2127"/>
      <c r="O61" s="2127"/>
      <c r="P61" s="2127"/>
      <c r="Q61" s="2127"/>
      <c r="R61" s="2127"/>
      <c r="S61" s="2124"/>
      <c r="T61" s="1288"/>
      <c r="U61" s="1288"/>
      <c r="V61" s="1288"/>
      <c r="W61" s="1288"/>
      <c r="X61" s="1288"/>
      <c r="Y61" s="1288"/>
      <c r="Z61" s="1288"/>
      <c r="AA61" s="1288"/>
      <c r="AB61" s="2125"/>
    </row>
    <row r="62" spans="1:28">
      <c r="A62" s="529"/>
      <c r="B62" s="529"/>
      <c r="C62" s="529"/>
      <c r="D62" s="529"/>
      <c r="E62" s="529"/>
      <c r="F62" s="529"/>
      <c r="G62" s="529"/>
      <c r="H62" s="529"/>
      <c r="I62" s="529"/>
      <c r="J62" s="46"/>
      <c r="K62" s="46"/>
      <c r="L62" s="2127"/>
      <c r="M62" s="2127"/>
      <c r="N62" s="2127"/>
      <c r="O62" s="2127"/>
      <c r="P62" s="2127"/>
      <c r="Q62" s="2127"/>
      <c r="R62" s="2127"/>
      <c r="S62" s="1288"/>
      <c r="T62" s="1288"/>
      <c r="U62" s="1288"/>
      <c r="V62" s="1288"/>
      <c r="W62" s="1290" t="s">
        <v>2277</v>
      </c>
      <c r="X62" s="1288"/>
      <c r="Y62" s="1290" t="s">
        <v>2272</v>
      </c>
      <c r="Z62" s="1290"/>
      <c r="AA62" s="1288"/>
      <c r="AB62" s="2125"/>
    </row>
    <row r="63" spans="1:28">
      <c r="S63" s="1182" t="s">
        <v>1240</v>
      </c>
      <c r="T63" s="1288"/>
      <c r="U63" s="1288"/>
      <c r="V63" s="1288"/>
      <c r="W63" s="1290" t="s">
        <v>2278</v>
      </c>
      <c r="X63" s="1288"/>
      <c r="Y63" s="1290" t="s">
        <v>2626</v>
      </c>
      <c r="Z63" s="1290"/>
      <c r="AA63" s="1288"/>
      <c r="AB63" s="2125"/>
    </row>
    <row r="64" spans="1:28">
      <c r="S64" s="1183" t="s">
        <v>1241</v>
      </c>
      <c r="T64" s="2128"/>
      <c r="U64" s="2129" t="s">
        <v>2273</v>
      </c>
      <c r="V64" s="2128"/>
      <c r="W64" s="2129" t="s">
        <v>2279</v>
      </c>
      <c r="X64" s="2128"/>
      <c r="Y64" s="2130" t="str">
        <f>"Col. 2 / "&amp;TEXT( W69,"###.0")</f>
        <v>Col. 2 / 241.4</v>
      </c>
      <c r="Z64" s="2130"/>
      <c r="AA64" s="1288"/>
      <c r="AB64" s="2125"/>
    </row>
    <row r="65" spans="19:28">
      <c r="S65" s="1183"/>
      <c r="T65" s="2128"/>
      <c r="U65" s="2129"/>
      <c r="V65" s="2128"/>
      <c r="W65" s="2129"/>
      <c r="X65" s="2128"/>
      <c r="Y65" s="2130"/>
      <c r="Z65" s="530"/>
      <c r="AA65" s="530"/>
      <c r="AB65" s="2125"/>
    </row>
    <row r="66" spans="19:28">
      <c r="S66" s="1290">
        <v>1</v>
      </c>
      <c r="T66" s="1288"/>
      <c r="U66" s="1287">
        <v>2013</v>
      </c>
      <c r="V66" s="1288"/>
      <c r="W66" s="1289">
        <v>233</v>
      </c>
      <c r="X66" s="2131"/>
      <c r="Y66" s="2132">
        <f>ROUND(W66/$W$69,3)</f>
        <v>0.96499999999999997</v>
      </c>
      <c r="Z66" s="1629"/>
      <c r="AA66" s="530"/>
      <c r="AB66" s="2125"/>
    </row>
    <row r="67" spans="19:28">
      <c r="S67" s="1290">
        <v>2</v>
      </c>
      <c r="T67" s="1288"/>
      <c r="U67" s="1287">
        <v>2014</v>
      </c>
      <c r="V67" s="1288"/>
      <c r="W67" s="1289">
        <v>234.8</v>
      </c>
      <c r="X67" s="2131"/>
      <c r="Y67" s="2132">
        <f>ROUND(W67/$W$69,3)</f>
        <v>0.97299999999999998</v>
      </c>
      <c r="Z67" s="1629"/>
      <c r="AA67" s="530"/>
      <c r="AB67" s="2125"/>
    </row>
    <row r="68" spans="19:28">
      <c r="S68" s="1290">
        <v>3</v>
      </c>
      <c r="T68" s="1288"/>
      <c r="U68" s="1287">
        <v>2015</v>
      </c>
      <c r="V68" s="1288"/>
      <c r="W68" s="1289">
        <v>236.5</v>
      </c>
      <c r="X68" s="2131"/>
      <c r="Y68" s="2132">
        <f>ROUND(W68/$W$69,3)</f>
        <v>0.98</v>
      </c>
      <c r="Z68" s="1629"/>
      <c r="AA68" s="1629" t="s">
        <v>2677</v>
      </c>
      <c r="AB68" s="2125"/>
    </row>
    <row r="69" spans="19:28">
      <c r="S69" s="1290">
        <v>4</v>
      </c>
      <c r="T69" s="1288"/>
      <c r="U69" s="1287">
        <v>2016</v>
      </c>
      <c r="V69" s="1290"/>
      <c r="W69" s="1289">
        <v>241.4</v>
      </c>
      <c r="X69" s="2131"/>
      <c r="Y69" s="2132">
        <f>ROUND(W69/$W$69,3)</f>
        <v>1</v>
      </c>
      <c r="Z69" s="1629"/>
      <c r="AA69" s="530"/>
      <c r="AB69" s="2125"/>
    </row>
    <row r="71" spans="19:28">
      <c r="S71" s="1629" t="s">
        <v>2382</v>
      </c>
    </row>
  </sheetData>
  <phoneticPr fontId="43" type="noConversion"/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tabColor theme="7" tint="-0.249977111117893"/>
  </sheetPr>
  <dimension ref="A1:Q50"/>
  <sheetViews>
    <sheetView tabSelected="1" view="pageLayout" zoomScaleNormal="90" workbookViewId="0">
      <selection activeCell="G1" sqref="G1"/>
    </sheetView>
  </sheetViews>
  <sheetFormatPr defaultColWidth="8.85546875" defaultRowHeight="12.75"/>
  <cols>
    <col min="1" max="1" width="21.7109375" style="18" customWidth="1"/>
    <col min="2" max="2" width="12.28515625" style="18" customWidth="1"/>
    <col min="3" max="3" width="8.85546875" style="18"/>
    <col min="4" max="4" width="19" style="18" customWidth="1"/>
    <col min="5" max="8" width="8.85546875" style="18"/>
    <col min="9" max="9" width="15.7109375" style="18" customWidth="1"/>
    <col min="10" max="11" width="8.85546875" style="18"/>
    <col min="12" max="12" width="1.7109375" style="18" customWidth="1"/>
    <col min="13" max="13" width="23.7109375" style="18" customWidth="1"/>
    <col min="14" max="14" width="6.140625" style="18" customWidth="1"/>
    <col min="15" max="15" width="14.7109375" style="18" customWidth="1"/>
    <col min="16" max="16" width="14.28515625" style="18" customWidth="1"/>
    <col min="17" max="17" width="9.85546875" style="18" bestFit="1" customWidth="1"/>
    <col min="18" max="16384" width="8.85546875" style="18"/>
  </cols>
  <sheetData>
    <row r="1" spans="1:17">
      <c r="A1" s="2087" t="str">
        <f>LOGO!B5</f>
        <v>DUKE ENERGY KENTUCKY, INC.</v>
      </c>
      <c r="B1" s="1445"/>
      <c r="C1" s="1445"/>
      <c r="D1" s="1444"/>
      <c r="E1" s="1444"/>
      <c r="F1" s="1444"/>
      <c r="G1" s="1444"/>
      <c r="H1" s="1444"/>
      <c r="I1" s="1444"/>
      <c r="J1" s="529"/>
      <c r="K1" s="529"/>
      <c r="L1" s="529"/>
      <c r="M1" s="529"/>
      <c r="N1" s="529"/>
      <c r="O1" s="529"/>
      <c r="P1" s="529"/>
      <c r="Q1" s="529"/>
    </row>
    <row r="2" spans="1:17">
      <c r="A2" s="2087" t="str">
        <f>LOGO!B6</f>
        <v>CASE NO. 2017-00321</v>
      </c>
      <c r="B2" s="1445"/>
      <c r="C2" s="1445"/>
      <c r="D2" s="1444"/>
      <c r="E2" s="1444"/>
      <c r="F2" s="1444"/>
      <c r="G2" s="1444"/>
      <c r="H2" s="1444"/>
      <c r="I2" s="1444"/>
      <c r="J2" s="529"/>
      <c r="K2" s="529"/>
      <c r="L2" s="529"/>
      <c r="M2" s="529"/>
      <c r="N2" s="529"/>
      <c r="O2" s="529"/>
      <c r="P2" s="529"/>
      <c r="Q2" s="529"/>
    </row>
    <row r="3" spans="1:17">
      <c r="A3" s="1443" t="s">
        <v>3011</v>
      </c>
      <c r="B3" s="1443"/>
      <c r="C3" s="1443"/>
      <c r="D3" s="1444"/>
      <c r="E3" s="1444"/>
      <c r="F3" s="1444"/>
      <c r="G3" s="1444"/>
      <c r="H3" s="1444"/>
      <c r="I3" s="1444"/>
      <c r="J3" s="529"/>
      <c r="K3" s="529"/>
      <c r="L3" s="529"/>
      <c r="M3" s="529"/>
      <c r="N3" s="529"/>
      <c r="O3" s="529"/>
      <c r="P3" s="529"/>
      <c r="Q3" s="529"/>
    </row>
    <row r="4" spans="1:17">
      <c r="A4" s="1445" t="str">
        <f>PeriodF</f>
        <v>FOR THE TWELVE MONTHS ENDED MARCH 31, 2019</v>
      </c>
      <c r="B4" s="1445"/>
      <c r="C4" s="1445"/>
      <c r="D4" s="1444"/>
      <c r="E4" s="1444"/>
      <c r="F4" s="1444"/>
      <c r="G4" s="1444"/>
      <c r="H4" s="1444"/>
      <c r="I4" s="1444"/>
      <c r="J4" s="529"/>
      <c r="K4" s="529"/>
      <c r="L4" s="529"/>
      <c r="M4" s="529"/>
      <c r="N4" s="529"/>
      <c r="O4" s="529"/>
      <c r="P4" s="529"/>
      <c r="Q4" s="529"/>
    </row>
    <row r="5" spans="1:17">
      <c r="A5" s="529"/>
      <c r="B5" s="529"/>
      <c r="C5" s="529"/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</row>
    <row r="6" spans="1:17">
      <c r="A6" s="1446" t="str">
        <f>DataF</f>
        <v>DATA:  BASE PERIOD  "X" FORECASTED PERIOD</v>
      </c>
      <c r="B6" s="1446"/>
      <c r="C6" s="1446"/>
      <c r="D6" s="529"/>
      <c r="E6" s="529"/>
      <c r="F6" s="529"/>
      <c r="G6" s="461" t="s">
        <v>877</v>
      </c>
      <c r="H6" s="529"/>
      <c r="I6" s="529"/>
      <c r="J6" s="529"/>
      <c r="K6" s="529"/>
      <c r="L6" s="529"/>
      <c r="M6" s="529"/>
      <c r="N6" s="529"/>
      <c r="O6" s="529"/>
      <c r="P6" s="529"/>
      <c r="Q6" s="529"/>
    </row>
    <row r="7" spans="1:17">
      <c r="A7" s="1446" t="str">
        <f>Type</f>
        <v xml:space="preserve">TYPE OF FILING:  "X" ORIGINAL   UPDATED    REVISED  </v>
      </c>
      <c r="B7" s="1446"/>
      <c r="C7" s="1446"/>
      <c r="D7" s="529"/>
      <c r="E7" s="529"/>
      <c r="F7" s="529"/>
      <c r="G7" s="461" t="s">
        <v>620</v>
      </c>
      <c r="H7" s="529"/>
      <c r="I7" s="529"/>
      <c r="J7" s="529"/>
      <c r="K7" s="529"/>
      <c r="L7" s="529"/>
      <c r="M7" s="529"/>
      <c r="N7" s="529"/>
      <c r="O7" s="529"/>
      <c r="P7" s="529"/>
      <c r="Q7" s="529"/>
    </row>
    <row r="8" spans="1:17">
      <c r="A8" s="461" t="s">
        <v>3012</v>
      </c>
      <c r="B8" s="461"/>
      <c r="C8" s="461"/>
      <c r="D8" s="529"/>
      <c r="E8" s="529"/>
      <c r="F8" s="529"/>
      <c r="G8" s="461" t="s">
        <v>622</v>
      </c>
      <c r="H8" s="529"/>
      <c r="I8" s="529"/>
      <c r="J8" s="529"/>
      <c r="K8" s="529"/>
      <c r="L8" s="529"/>
      <c r="M8" s="529"/>
      <c r="N8" s="529"/>
      <c r="O8" s="529"/>
      <c r="P8" s="529"/>
      <c r="Q8" s="529"/>
    </row>
    <row r="9" spans="1:17">
      <c r="A9" s="529"/>
      <c r="B9" s="529"/>
      <c r="C9" s="529"/>
      <c r="D9" s="529"/>
      <c r="E9" s="529"/>
      <c r="F9" s="529"/>
      <c r="G9" s="461" t="str">
        <f>_WIT10</f>
        <v>R. H. PRATT</v>
      </c>
      <c r="H9" s="529"/>
      <c r="I9" s="529"/>
      <c r="J9" s="529"/>
      <c r="K9" s="529"/>
      <c r="L9" s="529"/>
      <c r="M9" s="529"/>
      <c r="N9" s="529"/>
      <c r="O9" s="529"/>
      <c r="P9" s="529"/>
      <c r="Q9" s="529"/>
    </row>
    <row r="10" spans="1:17">
      <c r="A10" s="1447"/>
      <c r="B10" s="1447"/>
      <c r="C10" s="1447"/>
      <c r="D10" s="1447"/>
      <c r="E10" s="1447"/>
      <c r="F10" s="1447"/>
      <c r="G10" s="1447"/>
      <c r="H10" s="1447"/>
      <c r="I10" s="1447"/>
      <c r="J10" s="2088"/>
      <c r="K10" s="529"/>
      <c r="L10" s="529"/>
      <c r="M10" s="529"/>
      <c r="N10" s="529"/>
      <c r="O10" s="529"/>
      <c r="P10" s="529"/>
      <c r="Q10" s="529"/>
    </row>
    <row r="11" spans="1:17">
      <c r="A11" s="2104"/>
      <c r="B11" s="2104"/>
      <c r="C11" s="2104"/>
      <c r="D11" s="2104"/>
      <c r="E11" s="2104"/>
      <c r="F11" s="2104"/>
      <c r="G11" s="2104"/>
      <c r="H11" s="2104"/>
      <c r="I11" s="2104"/>
      <c r="J11" s="1475"/>
      <c r="K11" s="529"/>
      <c r="L11" s="529"/>
      <c r="M11" s="529"/>
      <c r="N11" s="529"/>
      <c r="O11" s="529"/>
      <c r="P11" s="529"/>
      <c r="Q11" s="529"/>
    </row>
    <row r="12" spans="1:17">
      <c r="A12" s="1432" t="s">
        <v>1246</v>
      </c>
      <c r="B12" s="1432"/>
      <c r="C12" s="1432"/>
      <c r="D12" s="529"/>
      <c r="E12" s="529"/>
      <c r="F12" s="529"/>
      <c r="G12" s="529"/>
      <c r="H12" s="529"/>
      <c r="I12" s="1432" t="s">
        <v>364</v>
      </c>
      <c r="J12" s="1475"/>
      <c r="K12" s="529"/>
      <c r="L12" s="529"/>
      <c r="M12" s="529"/>
      <c r="N12" s="529"/>
      <c r="O12" s="529"/>
      <c r="P12" s="529"/>
      <c r="Q12" s="529"/>
    </row>
    <row r="13" spans="1:17">
      <c r="A13" s="1447"/>
      <c r="B13" s="1447"/>
      <c r="C13" s="1447"/>
      <c r="D13" s="1447"/>
      <c r="E13" s="1447"/>
      <c r="F13" s="1447"/>
      <c r="G13" s="1447"/>
      <c r="H13" s="1447"/>
      <c r="I13" s="1447"/>
      <c r="J13" s="2088"/>
      <c r="K13" s="529"/>
      <c r="L13" s="529"/>
      <c r="M13" s="529"/>
      <c r="N13" s="529"/>
      <c r="O13" s="529"/>
      <c r="P13" s="529"/>
      <c r="Q13" s="529"/>
    </row>
    <row r="14" spans="1:17">
      <c r="A14" s="2104"/>
      <c r="B14" s="2104"/>
      <c r="C14" s="2104"/>
      <c r="D14" s="2104"/>
      <c r="E14" s="2104"/>
      <c r="F14" s="2104"/>
      <c r="G14" s="2104"/>
      <c r="H14" s="2104"/>
      <c r="I14" s="2105"/>
      <c r="J14" s="1475"/>
      <c r="K14" s="529"/>
      <c r="L14" s="529"/>
      <c r="M14" s="529"/>
      <c r="N14" s="529"/>
      <c r="O14" s="529"/>
      <c r="P14" s="529"/>
      <c r="Q14" s="529"/>
    </row>
    <row r="15" spans="1:17">
      <c r="A15" s="1430" t="s">
        <v>3013</v>
      </c>
      <c r="B15" s="1430"/>
      <c r="C15" s="1430"/>
      <c r="D15" s="529"/>
      <c r="E15" s="529"/>
      <c r="F15" s="529"/>
      <c r="G15" s="529"/>
      <c r="H15" s="529"/>
      <c r="I15" s="529"/>
      <c r="J15" s="529"/>
      <c r="K15" s="529"/>
      <c r="L15" s="529"/>
      <c r="M15" s="529"/>
      <c r="N15" s="529"/>
      <c r="O15" s="529"/>
      <c r="P15" s="529"/>
      <c r="Q15" s="529"/>
    </row>
    <row r="16" spans="1:17">
      <c r="A16" s="1430" t="s">
        <v>3014</v>
      </c>
      <c r="B16" s="1430"/>
      <c r="C16" s="1430"/>
      <c r="D16" s="529"/>
      <c r="E16" s="529"/>
      <c r="F16" s="529"/>
      <c r="G16" s="529"/>
      <c r="H16" s="529"/>
      <c r="I16" s="529"/>
      <c r="J16" s="529"/>
      <c r="K16" s="529"/>
      <c r="L16" s="529"/>
      <c r="M16" s="529"/>
      <c r="N16" s="529"/>
      <c r="O16" s="529"/>
      <c r="P16" s="529"/>
      <c r="Q16" s="529"/>
    </row>
    <row r="17" spans="1:17">
      <c r="A17" s="1450"/>
      <c r="B17" s="1450"/>
      <c r="C17" s="1450"/>
      <c r="D17" s="529"/>
      <c r="E17" s="529"/>
      <c r="F17" s="529"/>
      <c r="G17" s="529"/>
      <c r="H17" s="529"/>
      <c r="I17" s="529"/>
      <c r="J17" s="529"/>
      <c r="K17" s="529"/>
      <c r="L17" s="529"/>
      <c r="M17" s="529"/>
      <c r="N17" s="529"/>
      <c r="O17" s="529"/>
      <c r="P17" s="529"/>
      <c r="Q17" s="529"/>
    </row>
    <row r="18" spans="1:17">
      <c r="A18" s="1450"/>
      <c r="B18" s="1450"/>
      <c r="C18" s="1450"/>
      <c r="D18" s="529"/>
      <c r="E18" s="529"/>
      <c r="F18" s="529"/>
      <c r="G18" s="529"/>
      <c r="H18" s="529"/>
      <c r="I18" s="529"/>
      <c r="J18" s="529"/>
      <c r="K18" s="529"/>
      <c r="L18" s="529"/>
      <c r="M18" s="529"/>
      <c r="N18" s="529"/>
      <c r="O18" s="529"/>
      <c r="P18" s="529"/>
      <c r="Q18" s="529"/>
    </row>
    <row r="19" spans="1:17">
      <c r="A19" s="529"/>
      <c r="B19" s="1450"/>
      <c r="C19" s="1450"/>
      <c r="D19" s="529"/>
      <c r="E19" s="529"/>
      <c r="F19" s="529"/>
      <c r="G19" s="529"/>
      <c r="H19" s="529"/>
      <c r="I19" s="535"/>
      <c r="J19" s="529"/>
      <c r="K19" s="529"/>
      <c r="L19" s="529"/>
      <c r="M19" s="529"/>
      <c r="N19" s="529"/>
      <c r="O19" s="529"/>
      <c r="P19" s="529"/>
      <c r="Q19" s="529"/>
    </row>
    <row r="20" spans="1:17">
      <c r="A20" s="1430" t="s">
        <v>1929</v>
      </c>
      <c r="B20" s="1430"/>
      <c r="C20" s="1430"/>
      <c r="D20" s="529"/>
      <c r="E20" s="529"/>
      <c r="F20" s="529"/>
      <c r="G20" s="529"/>
      <c r="H20" s="1452"/>
      <c r="I20" s="531">
        <f>P47</f>
        <v>1979833</v>
      </c>
      <c r="J20" s="529"/>
      <c r="K20" s="529"/>
      <c r="L20" s="529"/>
      <c r="M20" s="529"/>
      <c r="N20" s="529"/>
      <c r="O20" s="529"/>
      <c r="P20" s="529"/>
      <c r="Q20" s="529"/>
    </row>
    <row r="21" spans="1:17">
      <c r="A21" s="1450"/>
      <c r="B21" s="1450"/>
      <c r="C21" s="1450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529"/>
      <c r="O21" s="529"/>
      <c r="P21" s="529"/>
      <c r="Q21" s="529"/>
    </row>
    <row r="22" spans="1:17">
      <c r="A22" s="1430" t="s">
        <v>266</v>
      </c>
      <c r="B22" s="1430"/>
      <c r="C22" s="1430"/>
      <c r="D22" s="529"/>
      <c r="E22" s="529"/>
      <c r="F22" s="529"/>
      <c r="G22" s="529"/>
      <c r="H22" s="529"/>
      <c r="I22" s="1451">
        <f>VLOOKUP(B27,ALLOCTABLE,2,FALSE)/100</f>
        <v>1</v>
      </c>
      <c r="J22" s="529"/>
      <c r="K22" s="529"/>
      <c r="L22" s="529"/>
      <c r="M22" s="529"/>
      <c r="N22" s="529"/>
      <c r="O22" s="529"/>
      <c r="P22" s="529"/>
      <c r="Q22" s="529"/>
    </row>
    <row r="23" spans="1:17">
      <c r="A23" s="1450"/>
      <c r="B23" s="1450"/>
      <c r="C23" s="1450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529"/>
      <c r="O23" s="529"/>
      <c r="P23" s="529"/>
      <c r="Q23" s="529"/>
    </row>
    <row r="24" spans="1:17" ht="15">
      <c r="A24" s="1430" t="s">
        <v>1236</v>
      </c>
      <c r="B24" s="1430"/>
      <c r="C24" s="1430"/>
      <c r="D24" s="529"/>
      <c r="E24" s="1432" t="s">
        <v>709</v>
      </c>
      <c r="F24" s="529"/>
      <c r="G24" s="529"/>
      <c r="H24" s="1452"/>
      <c r="I24" s="1427">
        <f>ROUND(I20*I22,0)</f>
        <v>1979833</v>
      </c>
      <c r="J24" s="529"/>
      <c r="K24" s="529"/>
      <c r="L24" s="529"/>
      <c r="M24" s="529"/>
      <c r="N24" s="529"/>
      <c r="O24" s="529"/>
      <c r="P24" s="529"/>
      <c r="Q24" s="529"/>
    </row>
    <row r="25" spans="1:17">
      <c r="A25" s="1430"/>
      <c r="B25" s="1430"/>
      <c r="C25" s="1430"/>
      <c r="D25" s="529"/>
      <c r="E25" s="529"/>
      <c r="F25" s="529"/>
      <c r="G25" s="529"/>
      <c r="H25" s="529"/>
      <c r="I25" s="529"/>
      <c r="J25" s="529"/>
      <c r="K25" s="529"/>
      <c r="L25" s="529"/>
      <c r="M25" s="529"/>
      <c r="N25" s="529"/>
      <c r="O25" s="529"/>
      <c r="P25" s="529"/>
      <c r="Q25" s="529"/>
    </row>
    <row r="26" spans="1:17">
      <c r="A26" s="1450"/>
      <c r="B26" s="1450"/>
      <c r="C26" s="1450"/>
      <c r="D26" s="529"/>
      <c r="E26" s="529"/>
      <c r="F26" s="529"/>
      <c r="G26" s="529"/>
      <c r="H26" s="529"/>
      <c r="I26" s="529"/>
      <c r="J26" s="529"/>
      <c r="K26" s="529"/>
      <c r="L26" s="529"/>
      <c r="M26" s="529"/>
      <c r="N26" s="529"/>
      <c r="O26" s="529"/>
      <c r="P26" s="529"/>
      <c r="Q26" s="529"/>
    </row>
    <row r="27" spans="1:17">
      <c r="A27" s="2092" t="s">
        <v>1237</v>
      </c>
      <c r="B27" s="2093" t="s">
        <v>593</v>
      </c>
      <c r="C27" s="2092"/>
      <c r="D27" s="2094"/>
      <c r="E27" s="529"/>
      <c r="F27" s="529"/>
      <c r="G27" s="529"/>
      <c r="H27" s="529"/>
      <c r="I27" s="529"/>
      <c r="J27" s="529"/>
      <c r="K27" s="529"/>
      <c r="L27" s="529"/>
      <c r="M27" s="529"/>
      <c r="N27" s="529"/>
      <c r="O27" s="529"/>
      <c r="P27" s="529"/>
      <c r="Q27" s="529"/>
    </row>
    <row r="28" spans="1:17">
      <c r="A28" s="1450"/>
      <c r="B28" s="1450"/>
      <c r="C28" s="1450"/>
      <c r="D28" s="529"/>
      <c r="E28" s="529"/>
      <c r="F28" s="529"/>
      <c r="G28" s="529"/>
      <c r="H28" s="529"/>
      <c r="I28" s="529"/>
      <c r="J28" s="529"/>
      <c r="K28" s="529"/>
      <c r="L28" s="529"/>
      <c r="M28" s="529"/>
      <c r="N28" s="529"/>
      <c r="O28" s="529"/>
      <c r="P28" s="529"/>
      <c r="Q28" s="529"/>
    </row>
    <row r="29" spans="1:17">
      <c r="A29" s="1450"/>
      <c r="B29" s="1450"/>
      <c r="C29" s="1450"/>
      <c r="D29" s="529"/>
      <c r="E29" s="529"/>
      <c r="F29" s="529"/>
      <c r="G29" s="529"/>
      <c r="H29" s="529"/>
      <c r="I29" s="529"/>
      <c r="J29" s="529"/>
      <c r="K29" s="529"/>
      <c r="L29" s="529"/>
      <c r="M29" s="529"/>
      <c r="N29" s="529"/>
      <c r="O29" s="529"/>
      <c r="P29" s="529"/>
      <c r="Q29" s="529"/>
    </row>
    <row r="30" spans="1:17">
      <c r="A30" s="1450"/>
      <c r="B30" s="1450"/>
      <c r="C30" s="1450"/>
      <c r="D30" s="529"/>
      <c r="E30" s="529"/>
      <c r="F30" s="529"/>
      <c r="G30" s="529"/>
      <c r="H30" s="529"/>
      <c r="I30" s="529"/>
      <c r="J30" s="529"/>
      <c r="K30" s="1629" t="s">
        <v>1387</v>
      </c>
      <c r="L30" s="530"/>
      <c r="M30" s="530"/>
      <c r="N30" s="530"/>
      <c r="O30" s="530"/>
      <c r="P30" s="2106" t="s">
        <v>3015</v>
      </c>
      <c r="Q30" s="529"/>
    </row>
    <row r="31" spans="1:17">
      <c r="A31" s="1450"/>
      <c r="B31" s="1450"/>
      <c r="C31" s="1450"/>
      <c r="D31" s="529"/>
      <c r="E31" s="529"/>
      <c r="F31" s="529"/>
      <c r="G31" s="529"/>
      <c r="H31" s="529"/>
      <c r="I31" s="529"/>
      <c r="J31" s="529"/>
      <c r="K31" s="1629" t="s">
        <v>695</v>
      </c>
      <c r="L31" s="530"/>
      <c r="M31" s="530"/>
      <c r="N31" s="530"/>
      <c r="O31" s="530"/>
      <c r="P31" s="1629" t="s">
        <v>1239</v>
      </c>
      <c r="Q31" s="529"/>
    </row>
    <row r="32" spans="1:17">
      <c r="A32" s="1450"/>
      <c r="B32" s="1450"/>
      <c r="C32" s="1450"/>
      <c r="D32" s="529"/>
      <c r="E32" s="529"/>
      <c r="F32" s="529"/>
      <c r="G32" s="529"/>
      <c r="H32" s="529"/>
      <c r="I32" s="529"/>
      <c r="J32" s="529"/>
      <c r="K32" s="1629" t="str">
        <f>CASE</f>
        <v>CASE NO. 2017-00321</v>
      </c>
      <c r="L32" s="530"/>
      <c r="M32" s="530"/>
      <c r="N32" s="530"/>
      <c r="O32" s="530"/>
      <c r="P32" s="530" t="str">
        <f>_WIT10</f>
        <v>R. H. PRATT</v>
      </c>
      <c r="Q32" s="529"/>
    </row>
    <row r="33" spans="1:17">
      <c r="A33" s="1450"/>
      <c r="B33" s="1450"/>
      <c r="C33" s="1450"/>
      <c r="D33" s="529"/>
      <c r="E33" s="529"/>
      <c r="F33" s="529"/>
      <c r="G33" s="529"/>
      <c r="H33" s="529"/>
      <c r="I33" s="529"/>
      <c r="J33" s="529"/>
      <c r="K33" s="1629" t="str">
        <f>A3</f>
        <v>ADJUST RTEP EXPENSE</v>
      </c>
      <c r="L33" s="530"/>
      <c r="M33" s="530"/>
      <c r="N33" s="530"/>
      <c r="O33" s="530"/>
      <c r="P33" s="2107"/>
      <c r="Q33" s="529"/>
    </row>
    <row r="34" spans="1:17">
      <c r="A34" s="1450"/>
      <c r="B34" s="1450"/>
      <c r="C34" s="1450"/>
      <c r="D34" s="529"/>
      <c r="E34" s="529"/>
      <c r="F34" s="529"/>
      <c r="G34" s="529"/>
      <c r="H34" s="529"/>
      <c r="I34" s="529"/>
      <c r="J34" s="529"/>
      <c r="K34" s="1475"/>
      <c r="L34" s="1475"/>
      <c r="M34" s="1475"/>
      <c r="N34" s="1475"/>
      <c r="O34" s="1475"/>
      <c r="P34" s="1475"/>
      <c r="Q34" s="1475"/>
    </row>
    <row r="35" spans="1:17">
      <c r="A35" s="1450"/>
      <c r="B35" s="1450"/>
      <c r="C35" s="1450"/>
      <c r="D35" s="529"/>
      <c r="E35" s="529"/>
      <c r="F35" s="529"/>
      <c r="G35" s="529"/>
      <c r="H35" s="529"/>
      <c r="I35" s="529"/>
      <c r="J35" s="529"/>
      <c r="K35" s="1475"/>
      <c r="L35" s="1475"/>
      <c r="M35" s="1475"/>
      <c r="N35" s="1475"/>
      <c r="O35" s="1475"/>
      <c r="P35" s="1475"/>
      <c r="Q35" s="1475"/>
    </row>
    <row r="36" spans="1:17">
      <c r="A36" s="1450"/>
      <c r="B36" s="1450"/>
      <c r="C36" s="1450"/>
      <c r="D36" s="529"/>
      <c r="E36" s="529"/>
      <c r="F36" s="529"/>
      <c r="G36" s="529"/>
      <c r="H36" s="529"/>
      <c r="I36" s="529"/>
      <c r="J36" s="529"/>
      <c r="K36" s="1423" t="s">
        <v>1240</v>
      </c>
      <c r="L36" s="1423"/>
      <c r="M36" s="1423"/>
      <c r="N36" s="1475"/>
      <c r="O36" s="1475"/>
      <c r="P36" s="1423" t="s">
        <v>626</v>
      </c>
      <c r="Q36" s="1475"/>
    </row>
    <row r="37" spans="1:17">
      <c r="A37" s="1450"/>
      <c r="B37" s="1450"/>
      <c r="C37" s="1450"/>
      <c r="D37" s="529"/>
      <c r="E37" s="529"/>
      <c r="F37" s="529"/>
      <c r="G37" s="529"/>
      <c r="H37" s="529"/>
      <c r="I37" s="529"/>
      <c r="J37" s="529"/>
      <c r="K37" s="1424" t="s">
        <v>1241</v>
      </c>
      <c r="L37" s="1424"/>
      <c r="M37" s="1844" t="s">
        <v>1548</v>
      </c>
      <c r="N37" s="1475"/>
      <c r="O37" s="1475"/>
      <c r="P37" s="1424" t="s">
        <v>1120</v>
      </c>
      <c r="Q37" s="1475"/>
    </row>
    <row r="38" spans="1:17">
      <c r="A38" s="1450"/>
      <c r="B38" s="1450"/>
      <c r="C38" s="1450"/>
      <c r="D38" s="529"/>
      <c r="E38" s="529"/>
      <c r="F38" s="529"/>
      <c r="G38" s="529"/>
      <c r="H38" s="529"/>
      <c r="I38" s="529"/>
      <c r="J38" s="529"/>
      <c r="K38" s="1475"/>
      <c r="L38" s="1475"/>
      <c r="M38" s="1475"/>
      <c r="N38" s="1475"/>
      <c r="O38" s="1475"/>
      <c r="P38" s="1475"/>
      <c r="Q38" s="1475"/>
    </row>
    <row r="39" spans="1:17">
      <c r="A39" s="529"/>
      <c r="B39" s="529"/>
      <c r="C39" s="529"/>
      <c r="D39" s="529"/>
      <c r="E39" s="529"/>
      <c r="F39" s="529"/>
      <c r="G39" s="529"/>
      <c r="H39" s="529"/>
      <c r="I39" s="529"/>
      <c r="J39" s="529"/>
      <c r="K39" s="1694">
        <v>1</v>
      </c>
      <c r="L39" s="1475"/>
      <c r="M39" s="45" t="s">
        <v>3211</v>
      </c>
      <c r="P39" s="1499">
        <v>23708195</v>
      </c>
      <c r="Q39" s="1475"/>
    </row>
    <row r="40" spans="1:17">
      <c r="A40" s="529"/>
      <c r="B40" s="529"/>
      <c r="C40" s="529"/>
      <c r="D40" s="529"/>
      <c r="E40" s="529"/>
      <c r="F40" s="529"/>
      <c r="G40" s="529"/>
      <c r="H40" s="529"/>
      <c r="I40" s="529"/>
      <c r="J40" s="529"/>
      <c r="K40" s="1694">
        <v>2</v>
      </c>
      <c r="L40" s="1475"/>
      <c r="M40" s="1500"/>
      <c r="N40" s="1499"/>
      <c r="O40" s="1499"/>
      <c r="P40" s="1588"/>
      <c r="Q40" s="2108"/>
    </row>
    <row r="41" spans="1:17">
      <c r="A41" s="529"/>
      <c r="B41" s="529"/>
      <c r="C41" s="529"/>
      <c r="D41" s="529"/>
      <c r="E41" s="529"/>
      <c r="F41" s="529"/>
      <c r="G41" s="529"/>
      <c r="H41" s="529"/>
      <c r="I41" s="529"/>
      <c r="J41" s="529"/>
      <c r="K41" s="1694">
        <v>3</v>
      </c>
      <c r="L41" s="535"/>
      <c r="M41" s="1500" t="s">
        <v>3016</v>
      </c>
      <c r="N41" s="1279"/>
      <c r="O41" s="1279"/>
      <c r="P41" s="1691">
        <v>0.17</v>
      </c>
      <c r="Q41" s="1475"/>
    </row>
    <row r="42" spans="1:17">
      <c r="A42" s="532"/>
      <c r="B42" s="532"/>
      <c r="C42" s="532"/>
      <c r="D42" s="532"/>
      <c r="E42" s="532"/>
      <c r="F42" s="532"/>
      <c r="G42" s="532"/>
      <c r="H42" s="532"/>
      <c r="I42" s="532"/>
      <c r="J42" s="532"/>
      <c r="K42" s="1694">
        <v>4</v>
      </c>
      <c r="L42" s="2109"/>
      <c r="M42" s="1500"/>
      <c r="N42" s="1279"/>
      <c r="O42" s="1279"/>
      <c r="P42" s="1589"/>
      <c r="Q42" s="1475"/>
    </row>
    <row r="43" spans="1:17">
      <c r="A43" s="532"/>
      <c r="B43" s="532"/>
      <c r="C43" s="532"/>
      <c r="D43" s="532"/>
      <c r="E43" s="532"/>
      <c r="F43" s="532"/>
      <c r="G43" s="532"/>
      <c r="H43" s="532"/>
      <c r="I43" s="532"/>
      <c r="J43" s="532"/>
      <c r="K43" s="1694">
        <v>5</v>
      </c>
      <c r="L43" s="1694"/>
      <c r="M43" s="1500" t="s">
        <v>3017</v>
      </c>
      <c r="N43" s="1279"/>
      <c r="O43" s="1279"/>
      <c r="P43" s="1692">
        <f>ROUND(P39*P41,0)</f>
        <v>4030393</v>
      </c>
      <c r="Q43" s="1475"/>
    </row>
    <row r="44" spans="1:17">
      <c r="K44" s="1694">
        <v>6</v>
      </c>
    </row>
    <row r="45" spans="1:17">
      <c r="J45" s="18">
        <v>561800</v>
      </c>
      <c r="K45" s="1694">
        <v>7</v>
      </c>
      <c r="M45" s="45" t="s">
        <v>3018</v>
      </c>
      <c r="P45" s="1462">
        <f>ROUND(VLOOKUP(J45,FPERIOD,5,FALSE),0)</f>
        <v>2050560</v>
      </c>
    </row>
    <row r="46" spans="1:17">
      <c r="K46" s="1694">
        <v>8</v>
      </c>
    </row>
    <row r="47" spans="1:17" ht="13.5" thickBot="1">
      <c r="K47" s="1694">
        <v>9</v>
      </c>
      <c r="M47" s="45" t="s">
        <v>3019</v>
      </c>
      <c r="P47" s="2110">
        <f>P43-P45</f>
        <v>1979833</v>
      </c>
    </row>
    <row r="48" spans="1:17" ht="13.5" thickTop="1"/>
    <row r="50" spans="13:13">
      <c r="M50" s="2111" t="s">
        <v>3212</v>
      </c>
    </row>
  </sheetData>
  <phoneticPr fontId="43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tabColor theme="7" tint="-0.249977111117893"/>
  </sheetPr>
  <dimension ref="A1:AE97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34.42578125" style="18" customWidth="1"/>
    <col min="2" max="2" width="9.42578125" style="18" customWidth="1"/>
    <col min="3" max="3" width="26.5703125" style="18" customWidth="1"/>
    <col min="4" max="4" width="11.5703125" style="18" customWidth="1"/>
    <col min="5" max="8" width="8" style="18" customWidth="1"/>
    <col min="9" max="9" width="17.7109375" style="18" customWidth="1"/>
    <col min="10" max="10" width="8" style="18" customWidth="1"/>
    <col min="11" max="11" width="6.140625" style="18" customWidth="1"/>
    <col min="12" max="12" width="1.5703125" style="18" customWidth="1"/>
    <col min="13" max="13" width="23.7109375" style="18" customWidth="1"/>
    <col min="14" max="14" width="1.28515625" style="18" customWidth="1"/>
    <col min="15" max="15" width="17.7109375" style="18" customWidth="1"/>
    <col min="16" max="16" width="2.5703125" style="18" customWidth="1"/>
    <col min="17" max="17" width="15.7109375" style="18" customWidth="1"/>
    <col min="18" max="18" width="4.28515625" style="18" customWidth="1"/>
    <col min="19" max="19" width="21.140625" style="18" customWidth="1"/>
    <col min="20" max="20" width="2.7109375" style="18" customWidth="1"/>
    <col min="21" max="21" width="8" style="18"/>
    <col min="22" max="22" width="1.7109375" style="18" customWidth="1"/>
    <col min="23" max="23" width="27.7109375" style="18" customWidth="1"/>
    <col min="24" max="24" width="6.7109375" style="18" customWidth="1"/>
    <col min="25" max="25" width="10.85546875" style="18" customWidth="1"/>
    <col min="26" max="26" width="2" style="18" customWidth="1"/>
    <col min="27" max="27" width="12" style="18" customWidth="1"/>
    <col min="28" max="28" width="4.140625" style="18" customWidth="1"/>
    <col min="29" max="29" width="18.7109375" style="18" customWidth="1"/>
    <col min="30" max="16384" width="8" style="18"/>
  </cols>
  <sheetData>
    <row r="1" spans="1:20">
      <c r="A1" s="2087" t="str">
        <f>LOGO!B5</f>
        <v>DUKE ENERGY KENTUCKY, INC.</v>
      </c>
      <c r="B1" s="1445"/>
      <c r="C1" s="1445"/>
      <c r="D1" s="1444"/>
      <c r="E1" s="1444"/>
      <c r="F1" s="1444"/>
      <c r="G1" s="1444"/>
      <c r="H1" s="1444"/>
      <c r="I1" s="1444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</row>
    <row r="2" spans="1:20">
      <c r="A2" s="2087" t="str">
        <f>LOGO!B6</f>
        <v>CASE NO. 2017-00321</v>
      </c>
      <c r="B2" s="1445"/>
      <c r="C2" s="1445"/>
      <c r="D2" s="1444"/>
      <c r="E2" s="1444"/>
      <c r="F2" s="1444"/>
      <c r="G2" s="1444"/>
      <c r="H2" s="1444"/>
      <c r="I2" s="1444"/>
      <c r="J2" s="529"/>
      <c r="K2" s="529"/>
      <c r="L2" s="529"/>
      <c r="M2" s="529"/>
      <c r="N2" s="529"/>
      <c r="O2" s="529"/>
      <c r="P2" s="529"/>
      <c r="Q2" s="529"/>
      <c r="R2" s="529"/>
      <c r="S2" s="529"/>
      <c r="T2" s="529"/>
    </row>
    <row r="3" spans="1:20">
      <c r="A3" s="1443" t="s">
        <v>3232</v>
      </c>
      <c r="B3" s="1443"/>
      <c r="C3" s="1443"/>
      <c r="D3" s="1444"/>
      <c r="E3" s="1444"/>
      <c r="F3" s="1444"/>
      <c r="G3" s="1444"/>
      <c r="H3" s="1444"/>
      <c r="I3" s="1444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29"/>
    </row>
    <row r="4" spans="1:20">
      <c r="A4" s="1445" t="str">
        <f>PeriodF</f>
        <v>FOR THE TWELVE MONTHS ENDED MARCH 31, 2019</v>
      </c>
      <c r="B4" s="1445"/>
      <c r="C4" s="1445"/>
      <c r="D4" s="1444"/>
      <c r="E4" s="1444"/>
      <c r="F4" s="1444"/>
      <c r="G4" s="1444"/>
      <c r="H4" s="1444"/>
      <c r="I4" s="1444"/>
      <c r="J4" s="529"/>
      <c r="K4" s="529"/>
      <c r="L4" s="529"/>
      <c r="M4" s="529"/>
      <c r="N4" s="529"/>
      <c r="O4" s="529"/>
      <c r="P4" s="529"/>
      <c r="Q4" s="529"/>
      <c r="R4" s="529"/>
      <c r="S4" s="529"/>
      <c r="T4" s="529"/>
    </row>
    <row r="5" spans="1:20">
      <c r="A5" s="529"/>
      <c r="B5" s="529"/>
      <c r="C5" s="529"/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</row>
    <row r="6" spans="1:20">
      <c r="A6" s="1446" t="str">
        <f>DataF</f>
        <v>DATA:  BASE PERIOD  "X" FORECASTED PERIOD</v>
      </c>
      <c r="B6" s="1446"/>
      <c r="C6" s="1446"/>
      <c r="D6" s="529"/>
      <c r="E6" s="529"/>
      <c r="F6" s="529"/>
      <c r="G6" s="461" t="s">
        <v>342</v>
      </c>
      <c r="H6" s="529"/>
      <c r="I6" s="529"/>
      <c r="J6" s="529"/>
      <c r="K6" s="529"/>
      <c r="L6" s="529"/>
      <c r="M6" s="529"/>
      <c r="N6" s="529"/>
      <c r="O6" s="529"/>
      <c r="P6" s="529"/>
      <c r="Q6" s="529"/>
      <c r="R6" s="529"/>
      <c r="S6" s="529"/>
      <c r="T6" s="529"/>
    </row>
    <row r="7" spans="1:20">
      <c r="A7" s="1446" t="str">
        <f>Type</f>
        <v xml:space="preserve">TYPE OF FILING:  "X" ORIGINAL   UPDATED    REVISED  </v>
      </c>
      <c r="B7" s="1446"/>
      <c r="C7" s="1446"/>
      <c r="D7" s="529"/>
      <c r="E7" s="529"/>
      <c r="F7" s="529"/>
      <c r="G7" s="461" t="s">
        <v>620</v>
      </c>
      <c r="H7" s="529"/>
      <c r="I7" s="529"/>
      <c r="J7" s="529"/>
      <c r="K7" s="529"/>
      <c r="L7" s="529"/>
      <c r="M7" s="529"/>
      <c r="N7" s="529"/>
      <c r="O7" s="529"/>
      <c r="P7" s="529"/>
      <c r="Q7" s="529"/>
      <c r="R7" s="529"/>
      <c r="S7" s="529"/>
      <c r="T7" s="529"/>
    </row>
    <row r="8" spans="1:20">
      <c r="A8" s="461" t="s">
        <v>3276</v>
      </c>
      <c r="B8" s="461"/>
      <c r="C8" s="461"/>
      <c r="D8" s="529"/>
      <c r="E8" s="529"/>
      <c r="F8" s="529"/>
      <c r="G8" s="461" t="s">
        <v>622</v>
      </c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529"/>
      <c r="T8" s="529"/>
    </row>
    <row r="9" spans="1:20">
      <c r="A9" s="529"/>
      <c r="B9" s="529"/>
      <c r="C9" s="529"/>
      <c r="D9" s="529"/>
      <c r="E9" s="529"/>
      <c r="F9" s="529"/>
      <c r="G9" s="461" t="str">
        <f>_WIT10</f>
        <v>R. H. PRATT</v>
      </c>
      <c r="H9" s="529"/>
      <c r="I9" s="529"/>
      <c r="J9" s="529"/>
      <c r="K9" s="529"/>
      <c r="L9" s="529"/>
      <c r="M9" s="529"/>
      <c r="N9" s="529"/>
      <c r="O9" s="529"/>
      <c r="P9" s="529"/>
      <c r="Q9" s="529"/>
      <c r="R9" s="529"/>
      <c r="S9" s="529"/>
      <c r="T9" s="529"/>
    </row>
    <row r="10" spans="1:20">
      <c r="A10" s="1447"/>
      <c r="B10" s="1447"/>
      <c r="C10" s="1447"/>
      <c r="D10" s="1447"/>
      <c r="E10" s="1447"/>
      <c r="F10" s="1447"/>
      <c r="G10" s="1447"/>
      <c r="H10" s="1447"/>
      <c r="I10" s="1447"/>
      <c r="J10" s="2088"/>
      <c r="K10" s="529"/>
      <c r="L10" s="529"/>
      <c r="M10" s="529"/>
      <c r="N10" s="529"/>
      <c r="O10" s="529"/>
      <c r="P10" s="529"/>
      <c r="Q10" s="529"/>
      <c r="R10" s="529"/>
      <c r="S10" s="529"/>
      <c r="T10" s="529"/>
    </row>
    <row r="11" spans="1:20">
      <c r="A11" s="2089"/>
      <c r="B11" s="2089"/>
      <c r="C11" s="2089"/>
      <c r="D11" s="2089"/>
      <c r="E11" s="2089"/>
      <c r="F11" s="2089"/>
      <c r="G11" s="2089"/>
      <c r="H11" s="2089"/>
      <c r="I11" s="2089"/>
      <c r="J11" s="1475"/>
      <c r="K11" s="529"/>
      <c r="L11" s="529"/>
      <c r="M11" s="529"/>
      <c r="N11" s="529"/>
      <c r="O11" s="529"/>
      <c r="P11" s="529"/>
      <c r="Q11" s="529"/>
      <c r="R11" s="529"/>
      <c r="S11" s="529"/>
      <c r="T11" s="529"/>
    </row>
    <row r="12" spans="1:20">
      <c r="A12" s="1432" t="s">
        <v>1246</v>
      </c>
      <c r="B12" s="1432"/>
      <c r="C12" s="1432"/>
      <c r="D12" s="529"/>
      <c r="E12" s="529"/>
      <c r="F12" s="529"/>
      <c r="G12" s="529"/>
      <c r="H12" s="529"/>
      <c r="I12" s="1432" t="s">
        <v>364</v>
      </c>
      <c r="J12" s="1475"/>
      <c r="K12" s="529"/>
      <c r="L12" s="529"/>
      <c r="M12" s="529"/>
      <c r="N12" s="529"/>
      <c r="O12" s="529"/>
      <c r="P12" s="529"/>
      <c r="Q12" s="529"/>
      <c r="R12" s="529"/>
      <c r="S12" s="529"/>
      <c r="T12" s="529"/>
    </row>
    <row r="13" spans="1:20">
      <c r="A13" s="1447"/>
      <c r="B13" s="1447"/>
      <c r="C13" s="1447"/>
      <c r="D13" s="1447"/>
      <c r="E13" s="1447"/>
      <c r="F13" s="1447"/>
      <c r="G13" s="1447"/>
      <c r="H13" s="1447"/>
      <c r="I13" s="1447"/>
      <c r="J13" s="2088"/>
      <c r="K13" s="529"/>
      <c r="L13" s="529"/>
      <c r="M13" s="529"/>
      <c r="N13" s="529"/>
      <c r="O13" s="529"/>
      <c r="P13" s="529"/>
      <c r="Q13" s="529"/>
      <c r="R13" s="529"/>
      <c r="S13" s="529"/>
      <c r="T13" s="529"/>
    </row>
    <row r="14" spans="1:20">
      <c r="A14" s="2089"/>
      <c r="B14" s="2089"/>
      <c r="C14" s="2089"/>
      <c r="D14" s="2089"/>
      <c r="E14" s="2089"/>
      <c r="F14" s="2089"/>
      <c r="G14" s="2089"/>
      <c r="H14" s="2089"/>
      <c r="I14" s="2090"/>
      <c r="J14" s="1475"/>
      <c r="K14" s="529"/>
      <c r="L14" s="529"/>
      <c r="M14" s="529"/>
      <c r="N14" s="529"/>
      <c r="O14" s="529"/>
      <c r="P14" s="529"/>
      <c r="Q14" s="529"/>
      <c r="R14" s="529"/>
      <c r="S14" s="529"/>
      <c r="T14" s="529"/>
    </row>
    <row r="15" spans="1:20">
      <c r="A15" s="1430" t="s">
        <v>3230</v>
      </c>
      <c r="B15" s="1430"/>
      <c r="C15" s="1430"/>
      <c r="D15" s="529"/>
      <c r="E15" s="529"/>
      <c r="F15" s="529"/>
      <c r="G15" s="529"/>
      <c r="H15" s="529"/>
      <c r="I15" s="529"/>
      <c r="J15" s="529"/>
      <c r="K15" s="529"/>
      <c r="L15" s="529"/>
      <c r="M15" s="529"/>
      <c r="N15" s="529"/>
      <c r="O15" s="529"/>
      <c r="P15" s="529"/>
      <c r="Q15" s="529"/>
      <c r="R15" s="529"/>
      <c r="S15" s="529"/>
      <c r="T15" s="529"/>
    </row>
    <row r="16" spans="1:20">
      <c r="A16" s="1430" t="s">
        <v>3231</v>
      </c>
      <c r="B16" s="1430"/>
      <c r="C16" s="1430"/>
      <c r="D16" s="529"/>
      <c r="E16" s="529"/>
      <c r="F16" s="529"/>
      <c r="G16" s="529"/>
      <c r="H16" s="529"/>
      <c r="I16" s="529"/>
      <c r="J16" s="529"/>
      <c r="K16" s="529"/>
      <c r="L16" s="529"/>
      <c r="M16" s="529"/>
      <c r="N16" s="529"/>
      <c r="O16" s="529"/>
      <c r="P16" s="529"/>
      <c r="Q16" s="529"/>
      <c r="R16" s="529"/>
      <c r="S16" s="529"/>
      <c r="T16" s="529"/>
    </row>
    <row r="17" spans="1:20">
      <c r="A17" s="1450"/>
      <c r="B17" s="1450"/>
      <c r="C17" s="1450"/>
      <c r="D17" s="529"/>
      <c r="E17" s="529"/>
      <c r="F17" s="529"/>
      <c r="G17" s="529"/>
      <c r="H17" s="529"/>
      <c r="I17" s="529"/>
      <c r="J17" s="529"/>
      <c r="K17" s="529"/>
      <c r="L17" s="529"/>
      <c r="M17" s="529"/>
      <c r="N17" s="529"/>
      <c r="O17" s="529"/>
      <c r="P17" s="529"/>
      <c r="Q17" s="529"/>
      <c r="R17" s="529"/>
      <c r="S17" s="529"/>
      <c r="T17" s="529"/>
    </row>
    <row r="18" spans="1:20">
      <c r="A18" s="1450"/>
      <c r="B18" s="1450"/>
      <c r="C18" s="1450"/>
      <c r="D18" s="529"/>
      <c r="E18" s="529"/>
      <c r="F18" s="529"/>
      <c r="G18" s="529"/>
      <c r="H18" s="529"/>
      <c r="I18" s="529"/>
      <c r="J18" s="529"/>
      <c r="K18" s="529"/>
      <c r="L18" s="529"/>
      <c r="M18" s="529"/>
      <c r="N18" s="529"/>
      <c r="O18" s="529"/>
      <c r="P18" s="529"/>
      <c r="Q18" s="529"/>
      <c r="R18" s="529"/>
      <c r="S18" s="529"/>
      <c r="T18" s="529"/>
    </row>
    <row r="19" spans="1:20">
      <c r="A19" s="529"/>
      <c r="B19" s="1450"/>
      <c r="C19" s="1450"/>
      <c r="D19" s="529"/>
      <c r="E19" s="529"/>
      <c r="F19" s="529"/>
      <c r="G19" s="529"/>
      <c r="H19" s="529"/>
      <c r="I19" s="535"/>
      <c r="J19" s="529"/>
      <c r="K19" s="529"/>
      <c r="L19" s="529"/>
      <c r="M19" s="529"/>
      <c r="N19" s="529"/>
      <c r="O19" s="529"/>
      <c r="P19" s="529"/>
      <c r="Q19" s="529"/>
      <c r="R19" s="529"/>
      <c r="S19" s="529"/>
      <c r="T19" s="529"/>
    </row>
    <row r="20" spans="1:20">
      <c r="A20" s="529" t="s">
        <v>1513</v>
      </c>
      <c r="B20" s="1450"/>
      <c r="C20" s="1450"/>
      <c r="D20" s="529"/>
      <c r="E20" s="529"/>
      <c r="F20" s="529"/>
      <c r="G20" s="529"/>
      <c r="H20" s="529"/>
      <c r="I20" s="531">
        <f>O59</f>
        <v>105586</v>
      </c>
      <c r="J20" s="529"/>
      <c r="K20" s="529"/>
      <c r="L20" s="529"/>
      <c r="M20" s="529"/>
      <c r="N20" s="529"/>
      <c r="O20" s="529"/>
      <c r="P20" s="529"/>
      <c r="Q20" s="529"/>
      <c r="R20" s="529"/>
      <c r="S20" s="529"/>
      <c r="T20" s="529"/>
    </row>
    <row r="21" spans="1:20">
      <c r="A21" s="529" t="s">
        <v>2601</v>
      </c>
      <c r="B21" s="1450"/>
      <c r="C21" s="1450"/>
      <c r="D21" s="529"/>
      <c r="E21" s="529"/>
      <c r="F21" s="529"/>
      <c r="G21" s="529"/>
      <c r="H21" s="529"/>
      <c r="I21" s="535">
        <f>Q63</f>
        <v>4635613</v>
      </c>
      <c r="J21" s="529"/>
      <c r="K21" s="529"/>
      <c r="L21" s="529"/>
      <c r="M21" s="529"/>
      <c r="N21" s="529"/>
      <c r="O21" s="529"/>
      <c r="P21" s="529"/>
      <c r="Q21" s="529"/>
      <c r="R21" s="529"/>
      <c r="S21" s="529"/>
      <c r="T21" s="529"/>
    </row>
    <row r="22" spans="1:20">
      <c r="A22" s="529" t="s">
        <v>3196</v>
      </c>
      <c r="B22" s="1450"/>
      <c r="C22" s="1450"/>
      <c r="D22" s="529"/>
      <c r="E22" s="529"/>
      <c r="F22" s="529"/>
      <c r="G22" s="529"/>
      <c r="H22" s="529"/>
      <c r="I22" s="1746">
        <f>AC94</f>
        <v>60176</v>
      </c>
      <c r="J22" s="529"/>
      <c r="K22" s="529"/>
      <c r="L22" s="529"/>
      <c r="M22" s="529"/>
      <c r="N22" s="529"/>
      <c r="O22" s="529"/>
      <c r="P22" s="529"/>
      <c r="Q22" s="529"/>
      <c r="R22" s="529"/>
      <c r="S22" s="529"/>
      <c r="T22" s="529"/>
    </row>
    <row r="23" spans="1:20">
      <c r="A23" s="1430" t="s">
        <v>1929</v>
      </c>
      <c r="B23" s="1430"/>
      <c r="C23" s="1430"/>
      <c r="D23" s="529"/>
      <c r="E23" s="529"/>
      <c r="F23" s="529"/>
      <c r="G23" s="529"/>
      <c r="H23" s="1452"/>
      <c r="I23" s="531">
        <f>SUM(I20:I22)</f>
        <v>4801375</v>
      </c>
      <c r="J23" s="529"/>
      <c r="K23" s="529"/>
      <c r="L23" s="529"/>
      <c r="M23" s="529"/>
      <c r="N23" s="529"/>
      <c r="O23" s="529"/>
      <c r="P23" s="529"/>
      <c r="Q23" s="529"/>
      <c r="R23" s="529"/>
      <c r="S23" s="529"/>
      <c r="T23" s="529"/>
    </row>
    <row r="24" spans="1:20">
      <c r="A24" s="1450"/>
      <c r="B24" s="1450"/>
      <c r="C24" s="1450"/>
      <c r="D24" s="529"/>
      <c r="E24" s="529"/>
      <c r="F24" s="529"/>
      <c r="G24" s="529"/>
      <c r="H24" s="529"/>
      <c r="I24" s="529"/>
      <c r="J24" s="529"/>
      <c r="K24" s="529"/>
      <c r="L24" s="529"/>
      <c r="M24" s="529"/>
      <c r="N24" s="529"/>
      <c r="O24" s="529"/>
      <c r="P24" s="529"/>
      <c r="Q24" s="529"/>
      <c r="R24" s="529"/>
      <c r="S24" s="529"/>
      <c r="T24" s="529"/>
    </row>
    <row r="25" spans="1:20">
      <c r="A25" s="1430" t="s">
        <v>266</v>
      </c>
      <c r="B25" s="1430"/>
      <c r="C25" s="1430"/>
      <c r="D25" s="529"/>
      <c r="E25" s="529"/>
      <c r="F25" s="529"/>
      <c r="G25" s="529"/>
      <c r="H25" s="529"/>
      <c r="I25" s="1451">
        <f>VLOOKUP(B30,ALLOCTABLE,2,FALSE)/100</f>
        <v>1</v>
      </c>
      <c r="J25" s="529"/>
      <c r="K25" s="529"/>
      <c r="L25" s="529"/>
      <c r="M25" s="529"/>
      <c r="N25" s="529"/>
      <c r="O25" s="529"/>
      <c r="P25" s="529"/>
      <c r="Q25" s="529"/>
      <c r="R25" s="529"/>
      <c r="S25" s="529"/>
      <c r="T25" s="529"/>
    </row>
    <row r="26" spans="1:20">
      <c r="A26" s="1450"/>
      <c r="B26" s="1450"/>
      <c r="C26" s="1450"/>
      <c r="D26" s="529"/>
      <c r="E26" s="529"/>
      <c r="F26" s="529"/>
      <c r="G26" s="529"/>
      <c r="H26" s="529"/>
      <c r="I26" s="529"/>
      <c r="J26" s="529"/>
      <c r="K26" s="529"/>
      <c r="L26" s="529"/>
      <c r="M26" s="529"/>
      <c r="N26" s="529"/>
      <c r="O26" s="529"/>
      <c r="P26" s="529"/>
      <c r="Q26" s="529"/>
      <c r="R26" s="529"/>
      <c r="S26" s="529"/>
      <c r="T26" s="529"/>
    </row>
    <row r="27" spans="1:20" ht="15">
      <c r="A27" s="1430" t="s">
        <v>1236</v>
      </c>
      <c r="B27" s="1430"/>
      <c r="C27" s="1430"/>
      <c r="D27" s="529"/>
      <c r="E27" s="1432" t="s">
        <v>709</v>
      </c>
      <c r="F27" s="529"/>
      <c r="G27" s="529"/>
      <c r="H27" s="1452"/>
      <c r="I27" s="1427">
        <f>ROUND(I23*I25,0)</f>
        <v>4801375</v>
      </c>
      <c r="J27" s="529"/>
      <c r="K27" s="529"/>
      <c r="L27" s="529"/>
      <c r="M27" s="529"/>
      <c r="N27" s="529"/>
      <c r="O27" s="529"/>
      <c r="P27" s="529"/>
      <c r="Q27" s="529"/>
      <c r="R27" s="529"/>
      <c r="S27" s="529"/>
      <c r="T27" s="529"/>
    </row>
    <row r="28" spans="1:20">
      <c r="A28" s="1430"/>
      <c r="B28" s="1430"/>
      <c r="C28" s="1430"/>
      <c r="D28" s="529"/>
      <c r="E28" s="529"/>
      <c r="F28" s="529"/>
      <c r="G28" s="529"/>
      <c r="H28" s="529"/>
      <c r="I28" s="529"/>
      <c r="J28" s="529"/>
      <c r="K28" s="529"/>
      <c r="L28" s="529"/>
      <c r="M28" s="529"/>
      <c r="N28" s="529"/>
      <c r="O28" s="529"/>
      <c r="P28" s="529"/>
      <c r="Q28" s="529"/>
      <c r="R28" s="529"/>
      <c r="S28" s="529"/>
      <c r="T28" s="529"/>
    </row>
    <row r="29" spans="1:20">
      <c r="A29" s="1450"/>
      <c r="B29" s="1450"/>
      <c r="C29" s="1450"/>
      <c r="D29" s="529"/>
      <c r="E29" s="529"/>
      <c r="F29" s="529"/>
      <c r="G29" s="529"/>
      <c r="H29" s="529"/>
      <c r="I29" s="529"/>
      <c r="J29" s="529"/>
      <c r="K29" s="529"/>
      <c r="L29" s="529"/>
      <c r="M29" s="529"/>
      <c r="N29" s="529"/>
      <c r="O29" s="529"/>
      <c r="P29" s="529"/>
      <c r="Q29" s="529"/>
      <c r="R29" s="529"/>
      <c r="S29" s="529"/>
      <c r="T29" s="529"/>
    </row>
    <row r="30" spans="1:20">
      <c r="A30" s="2092" t="s">
        <v>1237</v>
      </c>
      <c r="B30" s="2093" t="s">
        <v>593</v>
      </c>
      <c r="C30" s="2092"/>
      <c r="D30" s="2094"/>
      <c r="E30" s="529"/>
      <c r="F30" s="529"/>
      <c r="G30" s="529"/>
      <c r="H30" s="529"/>
      <c r="I30" s="529"/>
      <c r="J30" s="529"/>
      <c r="K30" s="529"/>
      <c r="L30" s="529"/>
      <c r="M30" s="529"/>
      <c r="N30" s="529"/>
      <c r="O30" s="529"/>
      <c r="P30" s="529"/>
      <c r="Q30" s="529"/>
      <c r="R30" s="529"/>
      <c r="S30" s="529"/>
      <c r="T30" s="529"/>
    </row>
    <row r="31" spans="1:20">
      <c r="A31" s="1450"/>
      <c r="B31" s="1450"/>
      <c r="C31" s="1450"/>
      <c r="D31" s="529"/>
      <c r="E31" s="529"/>
      <c r="F31" s="529"/>
      <c r="G31" s="529"/>
      <c r="H31" s="529"/>
      <c r="I31" s="529"/>
      <c r="J31" s="529"/>
      <c r="K31" s="529"/>
      <c r="L31" s="529"/>
      <c r="M31" s="529"/>
      <c r="N31" s="529"/>
      <c r="O31" s="529"/>
      <c r="P31" s="529"/>
      <c r="Q31" s="529"/>
      <c r="R31" s="529"/>
      <c r="S31" s="529"/>
      <c r="T31" s="529"/>
    </row>
    <row r="32" spans="1:20">
      <c r="A32" s="1450"/>
      <c r="B32" s="1450"/>
      <c r="C32" s="1450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529"/>
      <c r="O32" s="529"/>
      <c r="P32" s="529"/>
      <c r="Q32" s="529"/>
      <c r="R32" s="529"/>
      <c r="S32" s="529"/>
      <c r="T32" s="529"/>
    </row>
    <row r="33" spans="1:20">
      <c r="A33" s="1450"/>
      <c r="B33" s="1450"/>
      <c r="C33" s="1450"/>
      <c r="D33" s="529"/>
      <c r="E33" s="529"/>
      <c r="F33" s="529"/>
      <c r="G33" s="529"/>
      <c r="H33" s="529"/>
      <c r="I33" s="529"/>
      <c r="J33" s="529"/>
      <c r="K33" s="529"/>
      <c r="L33" s="529"/>
      <c r="M33" s="529"/>
      <c r="N33" s="529"/>
      <c r="O33" s="529"/>
      <c r="P33" s="529"/>
      <c r="Q33" s="529"/>
      <c r="R33" s="529"/>
      <c r="S33" s="529"/>
      <c r="T33" s="529"/>
    </row>
    <row r="34" spans="1:20">
      <c r="A34" s="1450"/>
      <c r="B34" s="1450"/>
      <c r="C34" s="1450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529"/>
      <c r="O34" s="529"/>
      <c r="P34" s="529"/>
      <c r="Q34" s="529"/>
      <c r="R34" s="529"/>
      <c r="S34" s="529"/>
      <c r="T34" s="529"/>
    </row>
    <row r="35" spans="1:20">
      <c r="A35" s="1450"/>
      <c r="B35" s="1450"/>
      <c r="C35" s="1450"/>
      <c r="D35" s="529"/>
      <c r="E35" s="529"/>
      <c r="F35" s="529"/>
      <c r="G35" s="529"/>
      <c r="H35" s="529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29"/>
      <c r="T35" s="529"/>
    </row>
    <row r="36" spans="1:20">
      <c r="A36" s="1450"/>
      <c r="B36" s="1450"/>
      <c r="C36" s="1450"/>
      <c r="D36" s="529"/>
      <c r="E36" s="529"/>
      <c r="F36" s="529"/>
      <c r="G36" s="529"/>
      <c r="H36" s="529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29"/>
      <c r="T36" s="529"/>
    </row>
    <row r="37" spans="1:20">
      <c r="A37" s="1450"/>
      <c r="B37" s="1450"/>
      <c r="C37" s="1450"/>
      <c r="D37" s="529"/>
      <c r="E37" s="529"/>
      <c r="F37" s="529"/>
      <c r="G37" s="529"/>
      <c r="H37" s="529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529"/>
      <c r="T37" s="529"/>
    </row>
    <row r="38" spans="1:20">
      <c r="A38" s="1450"/>
      <c r="B38" s="1450"/>
      <c r="C38" s="1450"/>
      <c r="D38" s="529"/>
      <c r="E38" s="529"/>
      <c r="F38" s="529"/>
      <c r="G38" s="529"/>
      <c r="H38" s="529"/>
      <c r="I38" s="529"/>
      <c r="J38" s="529"/>
      <c r="K38" s="1429" t="str">
        <f>COMPANY</f>
        <v>DUKE ENERGY KENTUCKY, INC.</v>
      </c>
      <c r="L38" s="529"/>
      <c r="M38" s="529"/>
      <c r="N38" s="529"/>
      <c r="O38" s="529"/>
      <c r="P38" s="529"/>
      <c r="Q38" s="529"/>
      <c r="R38" s="1430" t="s">
        <v>343</v>
      </c>
      <c r="S38" s="529"/>
    </row>
    <row r="39" spans="1:20">
      <c r="A39" s="1450"/>
      <c r="B39" s="1450"/>
      <c r="C39" s="1450"/>
      <c r="D39" s="529"/>
      <c r="E39" s="529"/>
      <c r="F39" s="529"/>
      <c r="G39" s="529"/>
      <c r="H39" s="529"/>
      <c r="I39" s="529"/>
      <c r="J39" s="529"/>
      <c r="K39" s="1429" t="str">
        <f>DEPT</f>
        <v>ELECTRIC DEPARTMENT</v>
      </c>
      <c r="L39" s="529"/>
      <c r="M39" s="529"/>
      <c r="N39" s="529"/>
      <c r="O39" s="529"/>
      <c r="P39" s="529"/>
      <c r="Q39" s="529"/>
      <c r="R39" s="461" t="s">
        <v>622</v>
      </c>
      <c r="S39" s="529"/>
    </row>
    <row r="40" spans="1:20">
      <c r="A40" s="1450"/>
      <c r="B40" s="1450"/>
      <c r="C40" s="1450"/>
      <c r="D40" s="529"/>
      <c r="E40" s="529"/>
      <c r="F40" s="529"/>
      <c r="G40" s="529"/>
      <c r="H40" s="529"/>
      <c r="I40" s="529"/>
      <c r="J40" s="529"/>
      <c r="K40" s="1429" t="str">
        <f>CASE</f>
        <v>CASE NO. 2017-00321</v>
      </c>
      <c r="L40" s="529"/>
      <c r="M40" s="529"/>
      <c r="N40" s="529"/>
      <c r="O40" s="529"/>
      <c r="P40" s="529"/>
      <c r="Q40" s="529"/>
      <c r="R40" s="461" t="str">
        <f>_WIT10</f>
        <v>R. H. PRATT</v>
      </c>
      <c r="S40" s="529"/>
    </row>
    <row r="41" spans="1:20">
      <c r="A41" s="1450"/>
      <c r="B41" s="1450"/>
      <c r="C41" s="1450"/>
      <c r="D41" s="529"/>
      <c r="E41" s="529"/>
      <c r="F41" s="529"/>
      <c r="G41" s="529"/>
      <c r="H41" s="529"/>
      <c r="I41" s="529"/>
      <c r="J41" s="529"/>
      <c r="K41" s="461" t="str">
        <f>A3</f>
        <v>ADJUST REVENUE</v>
      </c>
      <c r="L41" s="529"/>
      <c r="M41" s="529"/>
      <c r="N41" s="529"/>
      <c r="O41" s="529"/>
      <c r="P41" s="529"/>
      <c r="Q41" s="529"/>
      <c r="R41" s="529"/>
      <c r="S41" s="529"/>
      <c r="T41" s="529"/>
    </row>
    <row r="42" spans="1:20">
      <c r="A42" s="529"/>
      <c r="B42" s="529"/>
      <c r="C42" s="529"/>
      <c r="D42" s="529"/>
      <c r="E42" s="529"/>
      <c r="F42" s="529"/>
      <c r="G42" s="529"/>
      <c r="H42" s="529"/>
      <c r="I42" s="529"/>
      <c r="J42" s="529"/>
      <c r="K42" s="1429" t="str">
        <f>PeriodF</f>
        <v>FOR THE TWELVE MONTHS ENDED MARCH 31, 2019</v>
      </c>
      <c r="L42" s="529"/>
      <c r="M42" s="529"/>
      <c r="N42" s="529"/>
      <c r="O42" s="529"/>
      <c r="P42" s="529"/>
      <c r="Q42" s="529"/>
      <c r="R42" s="529"/>
      <c r="S42" s="529"/>
      <c r="T42" s="529"/>
    </row>
    <row r="43" spans="1:20">
      <c r="A43" s="529"/>
      <c r="B43" s="529"/>
      <c r="C43" s="529"/>
      <c r="D43" s="529"/>
      <c r="E43" s="529"/>
      <c r="F43" s="529"/>
      <c r="G43" s="529"/>
      <c r="H43" s="529"/>
      <c r="I43" s="529"/>
      <c r="J43" s="529"/>
      <c r="K43" s="529"/>
      <c r="L43" s="529"/>
      <c r="M43" s="529"/>
      <c r="N43" s="529"/>
      <c r="O43" s="529"/>
      <c r="P43" s="529"/>
      <c r="Q43" s="529"/>
      <c r="R43" s="529"/>
      <c r="S43" s="529"/>
      <c r="T43" s="529"/>
    </row>
    <row r="44" spans="1:20">
      <c r="A44" s="529"/>
      <c r="B44" s="529"/>
      <c r="C44" s="529"/>
      <c r="D44" s="529"/>
      <c r="E44" s="529"/>
      <c r="F44" s="529"/>
      <c r="G44" s="529"/>
      <c r="H44" s="529"/>
      <c r="I44" s="529"/>
      <c r="J44" s="529"/>
      <c r="K44" s="529"/>
      <c r="L44" s="529"/>
      <c r="M44" s="529"/>
      <c r="N44" s="529"/>
      <c r="O44" s="529"/>
      <c r="P44" s="529"/>
      <c r="Q44" s="1431"/>
      <c r="R44" s="1431"/>
      <c r="S44" s="529"/>
      <c r="T44" s="529"/>
    </row>
    <row r="45" spans="1:20">
      <c r="A45" s="532"/>
      <c r="B45" s="532"/>
      <c r="C45" s="532"/>
      <c r="D45" s="532"/>
      <c r="E45" s="532"/>
      <c r="F45" s="532"/>
      <c r="G45" s="532"/>
      <c r="H45" s="532"/>
      <c r="I45" s="532"/>
      <c r="J45" s="532"/>
      <c r="K45" s="532"/>
      <c r="L45" s="532"/>
      <c r="M45" s="532"/>
      <c r="N45" s="532"/>
      <c r="O45" s="532"/>
      <c r="P45" s="532"/>
      <c r="Q45" s="2095"/>
      <c r="R45" s="2095"/>
      <c r="S45" s="532"/>
      <c r="T45" s="532"/>
    </row>
    <row r="46" spans="1:20">
      <c r="A46" s="532"/>
      <c r="B46" s="532"/>
      <c r="C46" s="532"/>
      <c r="D46" s="532"/>
      <c r="E46" s="532"/>
      <c r="F46" s="532"/>
      <c r="G46" s="532"/>
      <c r="H46" s="532"/>
      <c r="I46" s="532"/>
      <c r="J46" s="532"/>
      <c r="K46" s="1694" t="s">
        <v>1240</v>
      </c>
      <c r="L46" s="1694"/>
      <c r="M46" s="1694"/>
      <c r="N46" s="1694"/>
      <c r="O46" s="1694" t="s">
        <v>1117</v>
      </c>
      <c r="P46" s="1694"/>
      <c r="Q46" s="1694" t="s">
        <v>1623</v>
      </c>
      <c r="R46" s="1694"/>
      <c r="S46" s="1694"/>
      <c r="T46" s="1694"/>
    </row>
    <row r="47" spans="1:20">
      <c r="A47" s="532"/>
      <c r="B47" s="532"/>
      <c r="C47" s="532"/>
      <c r="D47" s="532"/>
      <c r="E47" s="532"/>
      <c r="F47" s="532"/>
      <c r="G47" s="532"/>
      <c r="H47" s="532"/>
      <c r="I47" s="532"/>
      <c r="J47" s="532"/>
      <c r="K47" s="2096" t="s">
        <v>1241</v>
      </c>
      <c r="L47" s="1694"/>
      <c r="M47" s="2096" t="s">
        <v>1119</v>
      </c>
      <c r="N47" s="2096"/>
      <c r="O47" s="2096" t="s">
        <v>1416</v>
      </c>
      <c r="P47" s="2096"/>
      <c r="Q47" s="2096" t="s">
        <v>1416</v>
      </c>
      <c r="R47" s="2096"/>
      <c r="S47" s="2096" t="s">
        <v>1929</v>
      </c>
      <c r="T47" s="2096"/>
    </row>
    <row r="48" spans="1:20">
      <c r="A48" s="529"/>
      <c r="B48" s="529"/>
      <c r="C48" s="529"/>
      <c r="D48" s="529"/>
      <c r="E48" s="529"/>
      <c r="F48" s="529"/>
      <c r="G48" s="529"/>
      <c r="H48" s="529"/>
      <c r="I48" s="529"/>
      <c r="J48" s="529"/>
      <c r="K48" s="533"/>
      <c r="L48" s="1475"/>
      <c r="M48" s="533"/>
      <c r="N48" s="533"/>
      <c r="O48" s="1694"/>
      <c r="P48" s="1694"/>
      <c r="Q48" s="1694"/>
      <c r="R48" s="1694"/>
      <c r="S48" s="1694"/>
      <c r="T48" s="1694"/>
    </row>
    <row r="49" spans="1:20">
      <c r="A49" s="529"/>
      <c r="B49" s="529"/>
      <c r="C49" s="529"/>
      <c r="D49" s="529"/>
      <c r="E49" s="529"/>
      <c r="F49" s="529"/>
      <c r="G49" s="529"/>
      <c r="H49" s="529"/>
      <c r="I49" s="529"/>
      <c r="J49" s="529"/>
      <c r="K49" s="533"/>
      <c r="L49" s="1475"/>
      <c r="M49" s="1693"/>
      <c r="N49" s="1693"/>
      <c r="O49" s="533"/>
      <c r="P49" s="533"/>
      <c r="Q49" s="533"/>
      <c r="R49" s="533"/>
      <c r="S49" s="1694"/>
      <c r="T49" s="1695"/>
    </row>
    <row r="50" spans="1:20">
      <c r="A50" s="529"/>
      <c r="B50" s="529"/>
      <c r="C50" s="529"/>
      <c r="D50" s="529"/>
      <c r="E50" s="529"/>
      <c r="F50" s="529"/>
      <c r="G50" s="529"/>
      <c r="H50" s="529"/>
      <c r="I50" s="529"/>
      <c r="J50" s="529"/>
      <c r="K50" s="533">
        <v>1</v>
      </c>
      <c r="L50" s="1475"/>
      <c r="M50" s="1475" t="s">
        <v>3235</v>
      </c>
      <c r="N50" s="1475"/>
      <c r="O50" s="1468">
        <f>203114363-308-1533</f>
        <v>203112522</v>
      </c>
      <c r="P50" s="1468"/>
      <c r="Q50" s="1718">
        <f>101206137+1533</f>
        <v>101207670</v>
      </c>
      <c r="R50" s="1718"/>
      <c r="S50" s="1469">
        <f>Q50+O50</f>
        <v>304320192</v>
      </c>
      <c r="T50" s="535"/>
    </row>
    <row r="51" spans="1:20">
      <c r="A51" s="529"/>
      <c r="B51" s="529"/>
      <c r="C51" s="529"/>
      <c r="D51" s="529"/>
      <c r="E51" s="529"/>
      <c r="F51" s="529"/>
      <c r="G51" s="529"/>
      <c r="H51" s="529"/>
      <c r="I51" s="529"/>
      <c r="J51" s="529"/>
      <c r="K51" s="533">
        <v>2</v>
      </c>
      <c r="L51" s="1475"/>
      <c r="M51" s="1283"/>
      <c r="N51" s="1283"/>
      <c r="O51" s="1716"/>
      <c r="P51" s="1716"/>
      <c r="Q51" s="1717"/>
      <c r="R51" s="1717"/>
      <c r="S51" s="1715"/>
      <c r="T51" s="1276"/>
    </row>
    <row r="52" spans="1:20">
      <c r="A52" s="529"/>
      <c r="B52" s="529"/>
      <c r="C52" s="529"/>
      <c r="D52" s="529"/>
      <c r="E52" s="529"/>
      <c r="F52" s="529"/>
      <c r="G52" s="529"/>
      <c r="H52" s="529"/>
      <c r="I52" s="529"/>
      <c r="J52" s="529"/>
      <c r="K52" s="533">
        <v>3</v>
      </c>
      <c r="L52" s="1475"/>
      <c r="M52" s="1283" t="s">
        <v>623</v>
      </c>
      <c r="N52" s="1283"/>
      <c r="O52" s="1716"/>
      <c r="P52" s="1716"/>
      <c r="Q52" s="1717"/>
      <c r="R52" s="1717"/>
      <c r="S52" s="1715"/>
      <c r="T52" s="1276"/>
    </row>
    <row r="53" spans="1:20">
      <c r="A53" s="529"/>
      <c r="B53" s="529"/>
      <c r="C53" s="529"/>
      <c r="D53" s="529"/>
      <c r="E53" s="529"/>
      <c r="F53" s="529"/>
      <c r="G53" s="529"/>
      <c r="H53" s="529"/>
      <c r="I53" s="529"/>
      <c r="J53" s="529"/>
      <c r="K53" s="533">
        <v>4</v>
      </c>
      <c r="L53" s="1475"/>
      <c r="M53" s="1283" t="s">
        <v>3228</v>
      </c>
      <c r="N53" s="1283"/>
      <c r="O53" s="1720">
        <f>3961</f>
        <v>3961</v>
      </c>
      <c r="P53" s="1720"/>
      <c r="Q53" s="1721">
        <f>7131-3678</f>
        <v>3453</v>
      </c>
      <c r="R53" s="1721"/>
      <c r="S53" s="1722">
        <f>Q53+O53</f>
        <v>7414</v>
      </c>
      <c r="T53" s="1276"/>
    </row>
    <row r="54" spans="1:20">
      <c r="A54" s="529"/>
      <c r="B54" s="529"/>
      <c r="C54" s="529"/>
      <c r="D54" s="529"/>
      <c r="E54" s="529"/>
      <c r="F54" s="529"/>
      <c r="G54" s="529"/>
      <c r="H54" s="529"/>
      <c r="I54" s="529"/>
      <c r="J54" s="529"/>
      <c r="K54" s="533">
        <v>5</v>
      </c>
      <c r="L54" s="1475"/>
      <c r="M54" s="1283"/>
      <c r="N54" s="1283"/>
      <c r="O54" s="1276"/>
      <c r="P54" s="1276"/>
      <c r="Q54" s="1715"/>
      <c r="R54" s="1715"/>
      <c r="S54" s="1715"/>
      <c r="T54" s="1696"/>
    </row>
    <row r="55" spans="1:20">
      <c r="A55" s="529"/>
      <c r="B55" s="529"/>
      <c r="C55" s="529"/>
      <c r="D55" s="529"/>
      <c r="E55" s="529"/>
      <c r="F55" s="529"/>
      <c r="G55" s="529"/>
      <c r="H55" s="529"/>
      <c r="I55" s="529"/>
      <c r="J55" s="529"/>
      <c r="K55" s="533">
        <v>6</v>
      </c>
      <c r="L55" s="1475"/>
      <c r="M55" s="1697" t="s">
        <v>3229</v>
      </c>
      <c r="N55" s="1697"/>
      <c r="O55" s="1276">
        <f>O50-O53</f>
        <v>203108561</v>
      </c>
      <c r="P55" s="1276"/>
      <c r="Q55" s="1276">
        <f>Q50-Q53</f>
        <v>101204217</v>
      </c>
      <c r="R55" s="1276"/>
      <c r="S55" s="1276">
        <f>S50-S53</f>
        <v>304312778</v>
      </c>
      <c r="T55" s="1276"/>
    </row>
    <row r="56" spans="1:20">
      <c r="A56" s="529"/>
      <c r="B56" s="529"/>
      <c r="C56" s="529"/>
      <c r="D56" s="529"/>
      <c r="E56" s="529"/>
      <c r="F56" s="529"/>
      <c r="G56" s="529"/>
      <c r="H56" s="529"/>
      <c r="I56" s="529"/>
      <c r="J56" s="529"/>
      <c r="K56" s="533">
        <v>7</v>
      </c>
      <c r="L56" s="1475"/>
      <c r="M56" s="1283"/>
      <c r="N56" s="1283"/>
      <c r="O56" s="1276"/>
      <c r="P56" s="1276"/>
      <c r="Q56" s="1715"/>
      <c r="R56" s="1715"/>
      <c r="S56" s="1715"/>
      <c r="T56" s="1276"/>
    </row>
    <row r="57" spans="1:20">
      <c r="A57" s="529"/>
      <c r="B57" s="529"/>
      <c r="C57" s="529"/>
      <c r="D57" s="529"/>
      <c r="E57" s="529"/>
      <c r="F57" s="529"/>
      <c r="G57" s="529"/>
      <c r="H57" s="529"/>
      <c r="I57" s="529"/>
      <c r="J57" s="529"/>
      <c r="K57" s="533">
        <v>8</v>
      </c>
      <c r="L57" s="1475"/>
      <c r="M57" s="1283" t="s">
        <v>1243</v>
      </c>
      <c r="N57" s="1283"/>
      <c r="O57" s="1716">
        <v>203002975</v>
      </c>
      <c r="P57" s="1723" t="s">
        <v>365</v>
      </c>
      <c r="Q57" s="1716">
        <f>SCH_C2!H18</f>
        <v>96568604</v>
      </c>
      <c r="R57" s="1724" t="s">
        <v>318</v>
      </c>
      <c r="S57" s="1469">
        <f>Q57+O57</f>
        <v>299571579</v>
      </c>
      <c r="T57" s="1276"/>
    </row>
    <row r="58" spans="1:20">
      <c r="A58" s="529"/>
      <c r="B58" s="529"/>
      <c r="C58" s="529"/>
      <c r="D58" s="529"/>
      <c r="E58" s="529"/>
      <c r="F58" s="529"/>
      <c r="G58" s="529"/>
      <c r="H58" s="529"/>
      <c r="I58" s="529"/>
      <c r="J58" s="529"/>
      <c r="K58" s="533">
        <v>9</v>
      </c>
      <c r="L58" s="1475"/>
      <c r="M58" s="1283"/>
      <c r="N58" s="1283"/>
      <c r="O58" s="1276"/>
      <c r="P58" s="1276"/>
      <c r="Q58" s="1715"/>
      <c r="R58" s="1715"/>
      <c r="S58" s="1715"/>
      <c r="T58" s="1276"/>
    </row>
    <row r="59" spans="1:20">
      <c r="A59" s="529"/>
      <c r="B59" s="529"/>
      <c r="C59" s="529"/>
      <c r="D59" s="529"/>
      <c r="E59" s="529"/>
      <c r="F59" s="529"/>
      <c r="G59" s="529"/>
      <c r="H59" s="529"/>
      <c r="I59" s="529"/>
      <c r="J59" s="529"/>
      <c r="K59" s="533">
        <v>10</v>
      </c>
      <c r="L59" s="1475"/>
      <c r="M59" s="1283" t="s">
        <v>3233</v>
      </c>
      <c r="N59" s="1283"/>
      <c r="O59" s="1719">
        <f>O55-O57</f>
        <v>105586</v>
      </c>
      <c r="P59" s="1696"/>
      <c r="Q59" s="1696">
        <f>Q55-Q57</f>
        <v>4635613</v>
      </c>
      <c r="R59" s="1696"/>
      <c r="S59" s="1722">
        <f>Q59+O59</f>
        <v>4741199</v>
      </c>
      <c r="T59" s="1276"/>
    </row>
    <row r="60" spans="1:20">
      <c r="A60" s="529"/>
      <c r="B60" s="529"/>
      <c r="C60" s="529"/>
      <c r="D60" s="529"/>
      <c r="E60" s="529"/>
      <c r="F60" s="529"/>
      <c r="G60" s="529"/>
      <c r="H60" s="529"/>
      <c r="I60" s="529"/>
      <c r="J60" s="529"/>
      <c r="K60" s="533">
        <v>11</v>
      </c>
      <c r="L60" s="1475"/>
      <c r="M60" s="1283"/>
      <c r="N60" s="1283"/>
      <c r="O60" s="1276"/>
      <c r="P60" s="1276"/>
      <c r="Q60" s="1715"/>
      <c r="R60" s="1715"/>
      <c r="S60" s="1715"/>
      <c r="T60" s="1276"/>
    </row>
    <row r="61" spans="1:20">
      <c r="A61" s="529"/>
      <c r="B61" s="529"/>
      <c r="C61" s="529"/>
      <c r="D61" s="529"/>
      <c r="E61" s="529"/>
      <c r="F61" s="529"/>
      <c r="G61" s="529"/>
      <c r="H61" s="529"/>
      <c r="I61" s="529"/>
      <c r="J61" s="529"/>
      <c r="K61" s="533">
        <v>12</v>
      </c>
      <c r="L61" s="1475"/>
      <c r="M61" s="1283" t="s">
        <v>3234</v>
      </c>
      <c r="N61" s="1283"/>
      <c r="O61" s="1276"/>
      <c r="P61" s="1276"/>
      <c r="Q61" s="1717">
        <v>0</v>
      </c>
      <c r="R61" s="1715"/>
      <c r="S61" s="1715"/>
      <c r="T61" s="1276"/>
    </row>
    <row r="62" spans="1:20">
      <c r="A62" s="529"/>
      <c r="B62" s="529"/>
      <c r="C62" s="529"/>
      <c r="D62" s="529"/>
      <c r="E62" s="529"/>
      <c r="F62" s="529"/>
      <c r="G62" s="529"/>
      <c r="H62" s="529"/>
      <c r="I62" s="529"/>
      <c r="J62" s="529"/>
      <c r="K62" s="533">
        <v>13</v>
      </c>
      <c r="L62" s="1475"/>
      <c r="M62" s="1283"/>
      <c r="N62" s="1283"/>
      <c r="O62" s="1276"/>
      <c r="P62" s="1276"/>
      <c r="Q62" s="1715"/>
      <c r="R62" s="1715"/>
      <c r="S62" s="1715"/>
      <c r="T62" s="1276"/>
    </row>
    <row r="63" spans="1:20">
      <c r="A63" s="529"/>
      <c r="B63" s="529"/>
      <c r="C63" s="529"/>
      <c r="D63" s="529"/>
      <c r="E63" s="529"/>
      <c r="F63" s="529"/>
      <c r="G63" s="529"/>
      <c r="H63" s="529"/>
      <c r="I63" s="529"/>
      <c r="J63" s="529"/>
      <c r="K63" s="533">
        <v>14</v>
      </c>
      <c r="L63" s="1475"/>
      <c r="M63" s="1283" t="s">
        <v>3236</v>
      </c>
      <c r="N63" s="1283"/>
      <c r="O63" s="1276"/>
      <c r="P63" s="1276"/>
      <c r="Q63" s="2097">
        <f>Q61+Q59</f>
        <v>4635613</v>
      </c>
      <c r="R63" s="1715"/>
      <c r="S63" s="1715"/>
      <c r="T63" s="1276"/>
    </row>
    <row r="64" spans="1:20">
      <c r="A64" s="529"/>
      <c r="B64" s="529"/>
      <c r="C64" s="529"/>
      <c r="D64" s="529"/>
      <c r="E64" s="529"/>
      <c r="F64" s="529"/>
      <c r="G64" s="529"/>
      <c r="H64" s="529"/>
      <c r="I64" s="529"/>
      <c r="J64" s="529"/>
      <c r="K64" s="533"/>
      <c r="L64" s="1475"/>
      <c r="M64" s="1694"/>
      <c r="N64" s="1694"/>
      <c r="O64" s="1715"/>
      <c r="P64" s="1715"/>
      <c r="Q64" s="1715"/>
      <c r="R64" s="1715"/>
      <c r="S64" s="1715"/>
      <c r="T64" s="1715"/>
    </row>
    <row r="65" spans="1:31">
      <c r="A65" s="529"/>
      <c r="B65" s="529"/>
      <c r="C65" s="529"/>
      <c r="D65" s="529"/>
      <c r="E65" s="529"/>
      <c r="F65" s="529"/>
      <c r="G65" s="529"/>
      <c r="H65" s="529"/>
      <c r="I65" s="529"/>
      <c r="J65" s="529"/>
      <c r="K65" s="533"/>
      <c r="L65" s="1475"/>
      <c r="M65" s="2088"/>
      <c r="N65" s="2088"/>
      <c r="O65" s="2098"/>
      <c r="P65" s="2098"/>
      <c r="Q65" s="2098"/>
      <c r="R65" s="2098"/>
      <c r="S65" s="1469"/>
      <c r="T65" s="1469"/>
    </row>
    <row r="66" spans="1:31">
      <c r="A66" s="529"/>
      <c r="B66" s="529"/>
      <c r="C66" s="529"/>
      <c r="D66" s="529"/>
      <c r="E66" s="529"/>
      <c r="F66" s="529"/>
      <c r="G66" s="529"/>
      <c r="H66" s="529"/>
      <c r="I66" s="529"/>
      <c r="J66" s="529"/>
      <c r="K66" s="533"/>
      <c r="L66" s="1475"/>
      <c r="M66" s="2088"/>
      <c r="N66" s="2088"/>
      <c r="O66" s="2098"/>
      <c r="P66" s="2098"/>
      <c r="Q66" s="1469"/>
      <c r="R66" s="1469"/>
      <c r="S66" s="1469"/>
      <c r="T66" s="1469"/>
    </row>
    <row r="67" spans="1:31">
      <c r="A67" s="529"/>
      <c r="B67" s="529"/>
      <c r="C67" s="529"/>
      <c r="D67" s="529"/>
      <c r="E67" s="529"/>
      <c r="F67" s="529"/>
      <c r="G67" s="529"/>
      <c r="H67" s="529"/>
      <c r="I67" s="529"/>
      <c r="J67" s="529"/>
      <c r="K67" s="533"/>
      <c r="L67" s="1475"/>
      <c r="M67" s="2099" t="s">
        <v>3308</v>
      </c>
      <c r="N67" s="2100"/>
      <c r="O67" s="1469"/>
      <c r="P67" s="1469"/>
      <c r="Q67" s="1469"/>
      <c r="R67" s="1469"/>
      <c r="S67" s="1469"/>
      <c r="T67" s="1469"/>
    </row>
    <row r="68" spans="1:31">
      <c r="A68" s="529"/>
      <c r="B68" s="529"/>
      <c r="C68" s="529"/>
      <c r="D68" s="529"/>
      <c r="E68" s="529"/>
      <c r="F68" s="529"/>
      <c r="G68" s="529"/>
      <c r="H68" s="529"/>
      <c r="I68" s="529"/>
      <c r="J68" s="529"/>
      <c r="K68" s="533"/>
      <c r="L68" s="1475"/>
      <c r="M68" s="2099" t="s">
        <v>3307</v>
      </c>
      <c r="N68" s="2100"/>
      <c r="O68" s="1469"/>
      <c r="P68" s="1469"/>
      <c r="Q68" s="1469"/>
      <c r="R68" s="1469"/>
      <c r="S68" s="1469"/>
      <c r="T68" s="1469"/>
    </row>
    <row r="69" spans="1:31">
      <c r="A69" s="529"/>
      <c r="B69" s="529"/>
      <c r="C69" s="529"/>
      <c r="D69" s="529"/>
      <c r="E69" s="529"/>
      <c r="F69" s="529"/>
      <c r="G69" s="529"/>
      <c r="H69" s="529"/>
      <c r="I69" s="529"/>
      <c r="J69" s="529"/>
      <c r="K69" s="533"/>
      <c r="L69" s="1475"/>
      <c r="M69" s="2099" t="s">
        <v>3237</v>
      </c>
      <c r="N69" s="1475"/>
      <c r="O69" s="1469"/>
      <c r="P69" s="1469"/>
      <c r="Q69" s="1469"/>
      <c r="R69" s="1469"/>
      <c r="S69" s="1469"/>
      <c r="T69" s="1276"/>
    </row>
    <row r="70" spans="1:31">
      <c r="A70" s="529"/>
      <c r="B70" s="529"/>
      <c r="C70" s="529"/>
      <c r="D70" s="529"/>
      <c r="E70" s="529"/>
      <c r="F70" s="529"/>
      <c r="G70" s="529"/>
      <c r="H70" s="529"/>
      <c r="I70" s="529"/>
      <c r="J70" s="529"/>
      <c r="K70" s="2091"/>
      <c r="L70" s="1475"/>
      <c r="M70" s="1475"/>
      <c r="N70" s="1475"/>
      <c r="O70" s="1469"/>
      <c r="P70" s="1469"/>
      <c r="Q70" s="1469"/>
      <c r="R70" s="1469"/>
      <c r="S70" s="1469"/>
      <c r="T70" s="1276"/>
    </row>
    <row r="71" spans="1:31">
      <c r="A71" s="529"/>
      <c r="B71" s="529"/>
      <c r="C71" s="529"/>
      <c r="D71" s="529"/>
      <c r="E71" s="529"/>
      <c r="F71" s="529"/>
      <c r="G71" s="529"/>
      <c r="H71" s="529"/>
      <c r="I71" s="529"/>
      <c r="J71" s="529"/>
      <c r="K71" s="2091"/>
      <c r="L71" s="1475"/>
      <c r="M71" s="1475"/>
      <c r="N71" s="1475"/>
      <c r="O71" s="1469"/>
      <c r="P71" s="1469"/>
      <c r="Q71" s="1469"/>
      <c r="R71" s="1469"/>
      <c r="S71" s="1276"/>
      <c r="T71" s="1469"/>
    </row>
    <row r="72" spans="1:31">
      <c r="O72" s="1347"/>
      <c r="P72" s="1347"/>
      <c r="Q72" s="1347"/>
      <c r="R72" s="1347"/>
      <c r="S72" s="1347"/>
      <c r="T72" s="1347"/>
      <c r="U72" s="1429" t="s">
        <v>3277</v>
      </c>
      <c r="V72" s="529"/>
      <c r="W72" s="529"/>
      <c r="X72" s="529"/>
      <c r="Y72" s="529"/>
      <c r="Z72" s="529"/>
      <c r="AA72" s="529"/>
      <c r="AB72" s="1430" t="s">
        <v>3269</v>
      </c>
      <c r="AE72" s="529"/>
    </row>
    <row r="73" spans="1:31">
      <c r="U73" s="1429" t="str">
        <f>DEPT</f>
        <v>ELECTRIC DEPARTMENT</v>
      </c>
      <c r="V73" s="529"/>
      <c r="W73" s="529"/>
      <c r="X73" s="529"/>
      <c r="Y73" s="529"/>
      <c r="Z73" s="529"/>
      <c r="AA73" s="529"/>
      <c r="AB73" s="461" t="s">
        <v>622</v>
      </c>
      <c r="AE73" s="529"/>
    </row>
    <row r="74" spans="1:31">
      <c r="U74" s="1429" t="str">
        <f>CASE</f>
        <v>CASE NO. 2017-00321</v>
      </c>
      <c r="V74" s="529"/>
      <c r="W74" s="529"/>
      <c r="X74" s="529"/>
      <c r="Y74" s="529"/>
      <c r="Z74" s="529"/>
      <c r="AA74" s="529"/>
      <c r="AB74" s="461" t="str">
        <f>_WIT10</f>
        <v>R. H. PRATT</v>
      </c>
      <c r="AE74" s="529"/>
    </row>
    <row r="75" spans="1:31">
      <c r="Q75" s="1717"/>
      <c r="U75" s="461" t="str">
        <f>A3</f>
        <v>ADJUST REVENUE</v>
      </c>
      <c r="V75" s="529"/>
      <c r="W75" s="529"/>
      <c r="X75" s="529"/>
      <c r="Y75" s="529"/>
      <c r="Z75" s="529"/>
      <c r="AA75" s="529"/>
      <c r="AB75" s="529"/>
      <c r="AC75" s="529"/>
      <c r="AD75" s="529"/>
      <c r="AE75" s="529"/>
    </row>
    <row r="76" spans="1:31">
      <c r="U76" s="1429" t="str">
        <f>PeriodF</f>
        <v>FOR THE TWELVE MONTHS ENDED MARCH 31, 2019</v>
      </c>
      <c r="V76" s="529"/>
      <c r="W76" s="529"/>
      <c r="X76" s="529"/>
      <c r="Y76" s="529"/>
      <c r="Z76" s="529"/>
      <c r="AA76" s="529"/>
      <c r="AB76" s="529"/>
      <c r="AC76" s="529"/>
      <c r="AD76" s="529"/>
      <c r="AE76" s="529"/>
    </row>
    <row r="77" spans="1:31">
      <c r="U77" s="529"/>
      <c r="V77" s="529"/>
      <c r="W77" s="529"/>
      <c r="X77" s="529"/>
      <c r="Y77" s="529"/>
      <c r="Z77" s="529"/>
      <c r="AA77" s="529"/>
      <c r="AB77" s="529"/>
      <c r="AC77" s="529"/>
      <c r="AD77" s="529"/>
      <c r="AE77" s="529"/>
    </row>
    <row r="78" spans="1:31">
      <c r="U78" s="529"/>
      <c r="V78" s="529"/>
      <c r="W78" s="529"/>
      <c r="X78" s="529"/>
      <c r="Y78" s="529"/>
      <c r="Z78" s="529"/>
      <c r="AA78" s="529"/>
      <c r="AB78" s="529"/>
      <c r="AC78" s="1431"/>
      <c r="AD78" s="1431"/>
      <c r="AE78" s="529"/>
    </row>
    <row r="79" spans="1:31">
      <c r="U79" s="532"/>
      <c r="V79" s="532"/>
      <c r="W79" s="532"/>
      <c r="X79" s="532"/>
      <c r="Y79" s="532"/>
      <c r="Z79" s="532"/>
      <c r="AA79" s="532"/>
      <c r="AB79" s="532"/>
      <c r="AC79" s="2095"/>
      <c r="AD79" s="2095"/>
      <c r="AE79" s="532"/>
    </row>
    <row r="80" spans="1:31">
      <c r="U80" s="1694" t="s">
        <v>1240</v>
      </c>
      <c r="V80" s="1694"/>
      <c r="W80" s="1694"/>
      <c r="X80" s="1694"/>
      <c r="Y80" s="2101" t="s">
        <v>3270</v>
      </c>
      <c r="Z80" s="2102"/>
      <c r="AA80" s="2103"/>
      <c r="AB80" s="2103"/>
      <c r="AC80" s="2103"/>
      <c r="AD80" s="1694"/>
      <c r="AE80" s="1694"/>
    </row>
    <row r="81" spans="19:31">
      <c r="U81" s="2096" t="s">
        <v>1241</v>
      </c>
      <c r="V81" s="1694"/>
      <c r="W81" s="2096" t="s">
        <v>1119</v>
      </c>
      <c r="X81" s="2096"/>
      <c r="Y81" s="2096" t="s">
        <v>912</v>
      </c>
      <c r="Z81" s="2096"/>
      <c r="AA81" s="2096" t="s">
        <v>2995</v>
      </c>
      <c r="AB81" s="2096"/>
      <c r="AC81" s="2096" t="s">
        <v>3273</v>
      </c>
      <c r="AD81" s="2096"/>
      <c r="AE81" s="2096"/>
    </row>
    <row r="82" spans="19:31">
      <c r="U82" s="533"/>
      <c r="V82" s="1475"/>
      <c r="W82" s="533"/>
      <c r="X82" s="533"/>
      <c r="Y82" s="1694"/>
      <c r="Z82" s="1694"/>
      <c r="AA82" s="1694"/>
      <c r="AB82" s="1694"/>
      <c r="AC82" s="1694"/>
      <c r="AD82" s="1694"/>
      <c r="AE82" s="1694"/>
    </row>
    <row r="83" spans="19:31">
      <c r="U83" s="533"/>
      <c r="V83" s="1475"/>
      <c r="W83" s="1693"/>
      <c r="X83" s="1693"/>
      <c r="Y83" s="533"/>
      <c r="Z83" s="533"/>
      <c r="AA83" s="533"/>
      <c r="AB83" s="533"/>
      <c r="AC83" s="533"/>
      <c r="AD83" s="533"/>
      <c r="AE83" s="1694"/>
    </row>
    <row r="84" spans="19:31">
      <c r="U84" s="533">
        <v>1</v>
      </c>
      <c r="V84" s="1475"/>
      <c r="W84" s="1475" t="s">
        <v>3271</v>
      </c>
      <c r="X84" s="1475"/>
      <c r="Y84" s="1740">
        <v>4.5999999999999996</v>
      </c>
      <c r="Z84" s="1740"/>
      <c r="AA84" s="1740">
        <v>6.35</v>
      </c>
      <c r="AB84" s="1740"/>
      <c r="AC84" s="1742">
        <f>(AA84/Y84)-1</f>
        <v>0.38043478260869579</v>
      </c>
      <c r="AD84" s="1718"/>
      <c r="AE84" s="1469"/>
    </row>
    <row r="85" spans="19:31">
      <c r="U85" s="533">
        <v>2</v>
      </c>
      <c r="V85" s="1475"/>
      <c r="W85" s="1283" t="s">
        <v>3272</v>
      </c>
      <c r="X85" s="1283"/>
      <c r="Y85" s="1741">
        <v>4</v>
      </c>
      <c r="Z85" s="1741"/>
      <c r="AA85" s="1741">
        <v>5.31</v>
      </c>
      <c r="AB85" s="1741"/>
      <c r="AC85" s="1742">
        <f>(AA85/Y85)-1</f>
        <v>0.3274999999999999</v>
      </c>
      <c r="AD85" s="1717"/>
      <c r="AE85" s="1715"/>
    </row>
    <row r="86" spans="19:31">
      <c r="U86" s="533">
        <v>3</v>
      </c>
      <c r="V86" s="1475"/>
      <c r="W86" s="1283"/>
      <c r="X86" s="1283"/>
      <c r="Y86" s="1716"/>
      <c r="Z86" s="1716"/>
      <c r="AA86" s="1716"/>
      <c r="AB86" s="1716"/>
      <c r="AC86" s="1717"/>
      <c r="AD86" s="1717"/>
      <c r="AE86" s="1715"/>
    </row>
    <row r="87" spans="19:31">
      <c r="U87" s="533">
        <v>4</v>
      </c>
      <c r="V87" s="1475"/>
      <c r="W87" s="1283" t="s">
        <v>873</v>
      </c>
      <c r="X87" s="1283"/>
      <c r="Y87" s="1720"/>
      <c r="Z87" s="1720"/>
      <c r="AA87" s="1720"/>
      <c r="AB87" s="1720"/>
      <c r="AC87" s="1742">
        <f>AVERAGE(AC84:AC85)</f>
        <v>0.35396739130434784</v>
      </c>
      <c r="AD87" s="1721"/>
      <c r="AE87" s="1722"/>
    </row>
    <row r="88" spans="19:31">
      <c r="U88" s="533">
        <v>5</v>
      </c>
      <c r="V88" s="1475"/>
      <c r="W88" s="1283"/>
      <c r="X88" s="1283"/>
      <c r="Y88" s="1276"/>
      <c r="Z88" s="1276"/>
      <c r="AA88" s="1276"/>
      <c r="AB88" s="1276"/>
      <c r="AC88" s="1715"/>
      <c r="AD88" s="1715"/>
      <c r="AE88" s="1715"/>
    </row>
    <row r="89" spans="19:31">
      <c r="U89" s="533">
        <v>6</v>
      </c>
      <c r="V89" s="1475"/>
      <c r="W89" s="1697"/>
      <c r="X89" s="1697"/>
      <c r="Y89" s="1276"/>
      <c r="Z89" s="1276"/>
      <c r="AA89" s="1276"/>
      <c r="AB89" s="1276"/>
      <c r="AC89" s="1276"/>
      <c r="AD89" s="1276"/>
      <c r="AE89" s="1276"/>
    </row>
    <row r="90" spans="19:31">
      <c r="S90" s="18">
        <v>454200</v>
      </c>
      <c r="U90" s="533">
        <v>7</v>
      </c>
      <c r="V90" s="1475"/>
      <c r="W90" s="1283" t="s">
        <v>3274</v>
      </c>
      <c r="X90" s="1283"/>
      <c r="Y90" s="1276"/>
      <c r="Z90" s="1276"/>
      <c r="AA90" s="1276"/>
      <c r="AB90" s="1276"/>
      <c r="AC90" s="1744">
        <f>VLOOKUP(S90,FPERIOD,5,FALSE)</f>
        <v>170004</v>
      </c>
      <c r="AD90" s="1715"/>
      <c r="AE90" s="1715"/>
    </row>
    <row r="91" spans="19:31">
      <c r="U91" s="533">
        <v>8</v>
      </c>
      <c r="V91" s="1475"/>
      <c r="W91" s="1283"/>
      <c r="X91" s="1283"/>
      <c r="Y91" s="1716"/>
      <c r="Z91" s="1716"/>
      <c r="AA91" s="1723"/>
      <c r="AB91" s="1723"/>
      <c r="AC91" s="1716"/>
      <c r="AD91" s="1724"/>
      <c r="AE91" s="1469"/>
    </row>
    <row r="92" spans="19:31">
      <c r="U92" s="533">
        <v>9</v>
      </c>
      <c r="V92" s="1475"/>
      <c r="W92" s="1283" t="s">
        <v>3275</v>
      </c>
      <c r="X92" s="1283"/>
      <c r="Y92" s="1276"/>
      <c r="Z92" s="1276"/>
      <c r="AA92" s="1276"/>
      <c r="AB92" s="1276"/>
      <c r="AC92" s="1743">
        <f>ROUND(AC90*(1+AC87),0)</f>
        <v>230180</v>
      </c>
      <c r="AD92" s="1715"/>
      <c r="AE92" s="1715"/>
    </row>
    <row r="93" spans="19:31">
      <c r="U93" s="533">
        <v>10</v>
      </c>
      <c r="V93" s="1475"/>
      <c r="W93" s="1283"/>
      <c r="X93" s="1283"/>
      <c r="Y93" s="1719"/>
      <c r="Z93" s="1719"/>
      <c r="AA93" s="1696"/>
      <c r="AB93" s="1696"/>
      <c r="AC93" s="1696"/>
      <c r="AD93" s="1696"/>
      <c r="AE93" s="1722"/>
    </row>
    <row r="94" spans="19:31" ht="13.5" thickBot="1">
      <c r="U94" s="533">
        <v>11</v>
      </c>
      <c r="V94" s="1475"/>
      <c r="W94" s="1283" t="s">
        <v>1242</v>
      </c>
      <c r="X94" s="1283"/>
      <c r="Y94" s="1276"/>
      <c r="Z94" s="1276"/>
      <c r="AA94" s="1276"/>
      <c r="AB94" s="1276"/>
      <c r="AC94" s="1745">
        <f>AC92-AC90</f>
        <v>60176</v>
      </c>
      <c r="AD94" s="1715"/>
      <c r="AE94" s="1715"/>
    </row>
    <row r="95" spans="19:31" ht="13.5" thickTop="1">
      <c r="U95" s="533"/>
      <c r="V95" s="1475"/>
      <c r="W95" s="1283"/>
      <c r="X95" s="1283"/>
      <c r="Y95" s="1276"/>
      <c r="Z95" s="1276"/>
      <c r="AA95" s="1276"/>
      <c r="AB95" s="1276"/>
      <c r="AC95" s="1717"/>
      <c r="AD95" s="1715"/>
      <c r="AE95" s="1715"/>
    </row>
    <row r="96" spans="19:31">
      <c r="U96" s="533"/>
      <c r="V96" s="1475"/>
      <c r="W96" s="1283"/>
      <c r="X96" s="1283"/>
      <c r="Y96" s="1276"/>
      <c r="Z96" s="1276"/>
      <c r="AA96" s="1276"/>
      <c r="AB96" s="1276"/>
      <c r="AC96" s="1715"/>
      <c r="AD96" s="1715"/>
      <c r="AE96" s="1715"/>
    </row>
    <row r="97" spans="21:31">
      <c r="U97" s="533"/>
      <c r="V97" s="1475"/>
      <c r="W97" s="1283"/>
      <c r="X97" s="1283"/>
      <c r="Y97" s="1276"/>
      <c r="Z97" s="1276"/>
      <c r="AA97" s="1276"/>
      <c r="AB97" s="1276"/>
      <c r="AC97" s="2097"/>
      <c r="AD97" s="1715"/>
      <c r="AE97" s="1715"/>
    </row>
  </sheetData>
  <phoneticPr fontId="43" type="noConversion"/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7" tint="-0.249977111117893"/>
  </sheetPr>
  <dimension ref="A1:M32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6.42578125" style="18" customWidth="1"/>
    <col min="2" max="2" width="1" style="18" customWidth="1"/>
    <col min="3" max="3" width="11.42578125" style="18" customWidth="1"/>
    <col min="4" max="4" width="1" style="18" customWidth="1"/>
    <col min="5" max="5" width="49" style="18" customWidth="1"/>
    <col min="6" max="6" width="2.85546875" style="18" customWidth="1"/>
    <col min="7" max="7" width="16.28515625" style="18" customWidth="1"/>
    <col min="8" max="8" width="0.85546875" style="18" customWidth="1"/>
    <col min="9" max="9" width="17.85546875" style="18" customWidth="1"/>
    <col min="10" max="10" width="0.5703125" style="18" customWidth="1"/>
    <col min="11" max="11" width="57.85546875" style="18" customWidth="1"/>
    <col min="12" max="12" width="6.28515625" style="18" customWidth="1"/>
    <col min="13" max="13" width="1.140625" style="18" customWidth="1"/>
    <col min="14" max="14" width="16.140625" style="18" customWidth="1"/>
    <col min="15" max="15" width="63" style="18" customWidth="1"/>
    <col min="16" max="16" width="23" style="18" customWidth="1"/>
    <col min="17" max="17" width="5.28515625" style="18" customWidth="1"/>
    <col min="18" max="18" width="2.7109375" style="18" customWidth="1"/>
    <col min="19" max="19" width="22.7109375" style="18" customWidth="1"/>
    <col min="20" max="20" width="5.140625" style="18" customWidth="1"/>
    <col min="21" max="21" width="19.42578125" style="18" customWidth="1"/>
    <col min="22" max="22" width="16.7109375" style="18" customWidth="1"/>
    <col min="23" max="23" width="8.28515625" style="18" customWidth="1"/>
    <col min="24" max="24" width="2.42578125" style="18" customWidth="1"/>
    <col min="25" max="25" width="8" style="18" customWidth="1"/>
    <col min="26" max="26" width="3.5703125" style="18" customWidth="1"/>
    <col min="27" max="27" width="46.85546875" style="18" customWidth="1"/>
    <col min="28" max="28" width="49.7109375" style="18" customWidth="1"/>
    <col min="29" max="29" width="5.42578125" style="18" customWidth="1"/>
    <col min="30" max="30" width="44.42578125" style="18" customWidth="1"/>
    <col min="31" max="16384" width="8" style="18"/>
  </cols>
  <sheetData>
    <row r="1" spans="1:13">
      <c r="A1" s="2077" t="str">
        <f>COMPANY</f>
        <v>DUKE ENERGY KENTUCKY, INC.</v>
      </c>
      <c r="B1" s="2078"/>
      <c r="C1" s="2078"/>
      <c r="D1" s="2078"/>
      <c r="E1" s="2078"/>
      <c r="F1" s="2078"/>
      <c r="G1" s="2078"/>
      <c r="H1" s="2078"/>
      <c r="I1" s="2078"/>
      <c r="J1" s="2078"/>
      <c r="K1" s="2078"/>
      <c r="L1" s="2078"/>
      <c r="M1" s="2079"/>
    </row>
    <row r="2" spans="1:13">
      <c r="A2" s="2077" t="str">
        <f>CASE</f>
        <v>CASE NO. 2017-00321</v>
      </c>
      <c r="B2" s="2078"/>
      <c r="C2" s="2078"/>
      <c r="D2" s="2078"/>
      <c r="E2" s="2078"/>
      <c r="F2" s="2078"/>
      <c r="G2" s="2078"/>
      <c r="H2" s="2078"/>
      <c r="I2" s="2078"/>
      <c r="J2" s="2078"/>
      <c r="K2" s="2078"/>
      <c r="L2" s="2078"/>
      <c r="M2" s="2079"/>
    </row>
    <row r="3" spans="1:13">
      <c r="A3" s="2077" t="s">
        <v>479</v>
      </c>
      <c r="B3" s="2078"/>
      <c r="C3" s="2078"/>
      <c r="D3" s="2078"/>
      <c r="E3" s="2078"/>
      <c r="F3" s="2078"/>
      <c r="G3" s="2078"/>
      <c r="H3" s="2078"/>
      <c r="I3" s="2078"/>
      <c r="J3" s="2078"/>
      <c r="K3" s="2078"/>
      <c r="L3" s="2078"/>
      <c r="M3" s="2079"/>
    </row>
    <row r="4" spans="1:13">
      <c r="A4" s="2077" t="s">
        <v>480</v>
      </c>
      <c r="B4" s="2078"/>
      <c r="C4" s="2078"/>
      <c r="D4" s="2078"/>
      <c r="E4" s="2078"/>
      <c r="F4" s="2078"/>
      <c r="G4" s="2078"/>
      <c r="H4" s="2078"/>
      <c r="I4" s="2078"/>
      <c r="J4" s="2078"/>
      <c r="K4" s="2078"/>
      <c r="L4" s="2078"/>
      <c r="M4" s="2079"/>
    </row>
    <row r="5" spans="1:13">
      <c r="A5" s="2077" t="str">
        <f>PeriodF</f>
        <v>FOR THE TWELVE MONTHS ENDED MARCH 31, 2019</v>
      </c>
      <c r="B5" s="2078"/>
      <c r="C5" s="2078"/>
      <c r="D5" s="2078"/>
      <c r="E5" s="2078"/>
      <c r="F5" s="2078"/>
      <c r="G5" s="2078"/>
      <c r="H5" s="2078"/>
      <c r="I5" s="2078"/>
      <c r="J5" s="2078"/>
      <c r="K5" s="2078"/>
      <c r="L5" s="2078"/>
      <c r="M5" s="2079"/>
    </row>
    <row r="6" spans="1:13">
      <c r="A6" s="2079"/>
      <c r="B6" s="2079"/>
      <c r="C6" s="2079"/>
      <c r="D6" s="2079"/>
      <c r="E6" s="2079"/>
      <c r="F6" s="2079"/>
      <c r="G6" s="2079"/>
      <c r="H6" s="2079"/>
      <c r="I6" s="2079"/>
      <c r="J6" s="2079"/>
      <c r="K6" s="2079"/>
      <c r="L6" s="2079"/>
      <c r="M6" s="2079"/>
    </row>
    <row r="7" spans="1:13">
      <c r="A7" s="2080" t="str">
        <f>DataF</f>
        <v>DATA:  BASE PERIOD  "X" FORECASTED PERIOD</v>
      </c>
      <c r="B7" s="2079"/>
      <c r="C7" s="2079"/>
      <c r="D7" s="2079"/>
      <c r="E7" s="2079"/>
      <c r="F7" s="2079"/>
      <c r="G7" s="2079"/>
      <c r="H7" s="2079"/>
      <c r="I7" s="2079"/>
      <c r="J7" s="2079"/>
      <c r="K7" s="2066" t="s">
        <v>481</v>
      </c>
      <c r="L7" s="2079"/>
      <c r="M7" s="2079"/>
    </row>
    <row r="8" spans="1:13">
      <c r="A8" s="2080" t="str">
        <f>Type</f>
        <v xml:space="preserve">TYPE OF FILING:  "X" ORIGINAL   UPDATED    REVISED  </v>
      </c>
      <c r="B8" s="2079"/>
      <c r="C8" s="2079"/>
      <c r="D8" s="2079"/>
      <c r="E8" s="2079"/>
      <c r="F8" s="2079"/>
      <c r="G8" s="2079"/>
      <c r="H8" s="2079"/>
      <c r="I8" s="2079"/>
      <c r="J8" s="2079"/>
      <c r="K8" s="2066" t="s">
        <v>482</v>
      </c>
      <c r="L8" s="2079"/>
      <c r="M8" s="2079"/>
    </row>
    <row r="9" spans="1:13">
      <c r="A9" s="2066" t="s">
        <v>1879</v>
      </c>
      <c r="B9" s="2079"/>
      <c r="C9" s="2079"/>
      <c r="D9" s="2079"/>
      <c r="E9" s="2079"/>
      <c r="F9" s="2079"/>
      <c r="G9" s="2079"/>
      <c r="H9" s="2079"/>
      <c r="I9" s="2079"/>
      <c r="J9" s="2079"/>
      <c r="K9" s="2066" t="s">
        <v>483</v>
      </c>
      <c r="L9" s="2079"/>
      <c r="M9" s="2079"/>
    </row>
    <row r="10" spans="1:13">
      <c r="A10" s="2079"/>
      <c r="B10" s="2079"/>
      <c r="C10" s="2079"/>
      <c r="D10" s="2079"/>
      <c r="E10" s="2079"/>
      <c r="F10" s="2079"/>
      <c r="G10" s="2079"/>
      <c r="H10" s="2079"/>
      <c r="I10" s="2079"/>
      <c r="J10" s="2079"/>
      <c r="K10" s="2066" t="str">
        <f>"                       "&amp;_WIT2</f>
        <v xml:space="preserve">                       J. E. ZIOLKOWSKI</v>
      </c>
      <c r="L10" s="2079"/>
      <c r="M10" s="2079"/>
    </row>
    <row r="11" spans="1:13">
      <c r="A11" s="2081"/>
      <c r="B11" s="2081"/>
      <c r="C11" s="2081"/>
      <c r="D11" s="2081"/>
      <c r="E11" s="2081"/>
      <c r="F11" s="2081"/>
      <c r="G11" s="2081"/>
      <c r="H11" s="2081"/>
      <c r="I11" s="2081"/>
      <c r="J11" s="2081"/>
      <c r="K11" s="2081"/>
      <c r="L11" s="2082"/>
      <c r="M11" s="2079"/>
    </row>
    <row r="12" spans="1:13">
      <c r="A12" s="2079"/>
      <c r="B12" s="2079"/>
      <c r="C12" s="2079"/>
      <c r="D12" s="2079"/>
      <c r="E12" s="2079"/>
      <c r="F12" s="2079"/>
      <c r="G12" s="2079"/>
      <c r="H12" s="2079"/>
      <c r="I12" s="2079"/>
      <c r="J12" s="2083"/>
      <c r="K12" s="2083" t="s">
        <v>1881</v>
      </c>
      <c r="L12" s="2084"/>
      <c r="M12" s="2079"/>
    </row>
    <row r="13" spans="1:13">
      <c r="A13" s="2083" t="s">
        <v>1961</v>
      </c>
      <c r="B13" s="2079"/>
      <c r="C13" s="2083" t="s">
        <v>1080</v>
      </c>
      <c r="D13" s="2079"/>
      <c r="E13" s="2083" t="s">
        <v>1080</v>
      </c>
      <c r="F13" s="2079"/>
      <c r="G13" s="2083" t="s">
        <v>1057</v>
      </c>
      <c r="H13" s="2079"/>
      <c r="I13" s="2083" t="s">
        <v>1461</v>
      </c>
      <c r="J13" s="2083"/>
      <c r="K13" s="2083" t="s">
        <v>1882</v>
      </c>
      <c r="L13" s="2084"/>
      <c r="M13" s="2079"/>
    </row>
    <row r="14" spans="1:13">
      <c r="A14" s="2083" t="s">
        <v>1854</v>
      </c>
      <c r="B14" s="2079"/>
      <c r="C14" s="2083" t="s">
        <v>1703</v>
      </c>
      <c r="D14" s="2079"/>
      <c r="E14" s="2083" t="s">
        <v>1883</v>
      </c>
      <c r="F14" s="2079"/>
      <c r="G14" s="2083" t="s">
        <v>1061</v>
      </c>
      <c r="H14" s="2079"/>
      <c r="I14" s="2083" t="s">
        <v>484</v>
      </c>
      <c r="J14" s="2083"/>
      <c r="K14" s="2083" t="s">
        <v>1057</v>
      </c>
      <c r="L14" s="2084"/>
      <c r="M14" s="2079"/>
    </row>
    <row r="15" spans="1:13">
      <c r="A15" s="2081"/>
      <c r="B15" s="2081"/>
      <c r="C15" s="2081"/>
      <c r="D15" s="2081"/>
      <c r="E15" s="2081"/>
      <c r="F15" s="2081"/>
      <c r="G15" s="2081"/>
      <c r="H15" s="2081"/>
      <c r="I15" s="2081"/>
      <c r="J15" s="2081"/>
      <c r="K15" s="2081"/>
      <c r="L15" s="2082"/>
      <c r="M15" s="2079"/>
    </row>
    <row r="16" spans="1:13">
      <c r="A16" s="1155"/>
      <c r="B16" s="2079"/>
      <c r="C16" s="2083"/>
      <c r="D16" s="2079"/>
      <c r="E16" s="2083"/>
      <c r="F16" s="2079"/>
      <c r="G16" s="2083"/>
      <c r="H16" s="2079"/>
      <c r="I16" s="2083"/>
      <c r="J16" s="2079"/>
      <c r="K16" s="2083"/>
      <c r="L16" s="2084"/>
      <c r="M16" s="2079"/>
    </row>
    <row r="17" spans="1:13">
      <c r="A17" s="2079"/>
      <c r="B17" s="2079"/>
      <c r="C17" s="2079"/>
      <c r="D17" s="2079"/>
      <c r="E17" s="2079" t="s">
        <v>1884</v>
      </c>
      <c r="F17" s="2079"/>
      <c r="G17" s="2079"/>
      <c r="H17" s="2079"/>
      <c r="I17" s="2079"/>
      <c r="J17" s="2079"/>
      <c r="K17" s="2079"/>
      <c r="L17" s="2084"/>
      <c r="M17" s="2079"/>
    </row>
    <row r="18" spans="1:13">
      <c r="A18" s="1156"/>
      <c r="B18" s="2079"/>
      <c r="C18" s="1155"/>
      <c r="D18" s="2079"/>
      <c r="E18" s="2066"/>
      <c r="F18" s="2079"/>
      <c r="G18" s="2085"/>
      <c r="H18" s="2079"/>
      <c r="I18" s="1157"/>
      <c r="J18" s="1158"/>
      <c r="K18" s="1159"/>
      <c r="L18" s="2079"/>
      <c r="M18" s="2079"/>
    </row>
    <row r="19" spans="1:13">
      <c r="A19" s="1156"/>
      <c r="B19" s="2079"/>
      <c r="C19" s="1160"/>
      <c r="D19" s="2079"/>
      <c r="E19" s="2079"/>
      <c r="F19" s="2079"/>
      <c r="G19" s="2086"/>
      <c r="H19" s="2079"/>
      <c r="I19" s="1158"/>
      <c r="J19" s="2079"/>
      <c r="K19" s="2079"/>
      <c r="L19" s="2079"/>
      <c r="M19" s="2079"/>
    </row>
    <row r="20" spans="1:13">
      <c r="A20" s="1156"/>
      <c r="B20" s="2079"/>
      <c r="C20" s="1155"/>
      <c r="D20" s="2079"/>
      <c r="E20" s="2066"/>
      <c r="F20" s="2079"/>
      <c r="G20" s="2085"/>
      <c r="H20" s="2079"/>
      <c r="I20" s="1158"/>
      <c r="J20" s="2079"/>
      <c r="K20" s="2079"/>
      <c r="L20" s="2079"/>
      <c r="M20" s="2079"/>
    </row>
    <row r="21" spans="1:13">
      <c r="A21" s="1156"/>
      <c r="B21" s="2079"/>
      <c r="C21" s="1155"/>
      <c r="D21" s="2079"/>
      <c r="E21" s="2066"/>
      <c r="F21" s="2079"/>
      <c r="G21" s="2085"/>
      <c r="H21" s="2079"/>
      <c r="I21" s="1157"/>
      <c r="J21" s="1158"/>
      <c r="K21" s="1159"/>
      <c r="L21" s="2079"/>
      <c r="M21" s="2079"/>
    </row>
    <row r="22" spans="1:13">
      <c r="A22" s="1156"/>
      <c r="B22" s="2079"/>
      <c r="C22" s="1160"/>
      <c r="D22" s="2079"/>
      <c r="E22" s="2079"/>
      <c r="F22" s="2079"/>
      <c r="G22" s="2086"/>
      <c r="H22" s="2079"/>
      <c r="I22" s="1158"/>
      <c r="J22" s="2079"/>
      <c r="K22" s="2079"/>
      <c r="L22" s="2079"/>
      <c r="M22" s="2079"/>
    </row>
    <row r="23" spans="1:13">
      <c r="A23" s="1156"/>
      <c r="B23" s="2079"/>
      <c r="C23" s="2083"/>
      <c r="D23" s="2079"/>
      <c r="E23" s="2066"/>
      <c r="F23" s="2079"/>
      <c r="G23" s="2085"/>
      <c r="H23" s="2079"/>
      <c r="I23" s="1157"/>
      <c r="J23" s="1158"/>
      <c r="K23" s="1159"/>
      <c r="L23" s="2079"/>
      <c r="M23" s="2079"/>
    </row>
    <row r="24" spans="1:13">
      <c r="A24" s="1156"/>
      <c r="B24" s="2079"/>
      <c r="C24" s="2079"/>
      <c r="D24" s="2079"/>
      <c r="E24" s="2066"/>
      <c r="F24" s="2079"/>
      <c r="G24" s="2085"/>
      <c r="H24" s="2079"/>
      <c r="I24" s="1157"/>
      <c r="J24" s="1158"/>
      <c r="K24" s="1159"/>
      <c r="L24" s="2079"/>
      <c r="M24" s="2079"/>
    </row>
    <row r="25" spans="1:13">
      <c r="A25" s="1156"/>
      <c r="B25" s="2079"/>
      <c r="C25" s="2079"/>
      <c r="D25" s="2079"/>
      <c r="E25" s="2079"/>
      <c r="F25" s="2079"/>
      <c r="G25" s="2086"/>
      <c r="H25" s="2079"/>
      <c r="I25" s="1158"/>
      <c r="J25" s="2079"/>
      <c r="K25" s="2079"/>
      <c r="L25" s="2079"/>
      <c r="M25" s="2079"/>
    </row>
    <row r="26" spans="1:13">
      <c r="A26" s="1156"/>
      <c r="B26" s="2079"/>
      <c r="C26" s="2083"/>
      <c r="D26" s="2079"/>
      <c r="E26" s="2066"/>
      <c r="F26" s="2079"/>
      <c r="G26" s="2086"/>
      <c r="H26" s="2079"/>
      <c r="I26" s="1158"/>
      <c r="J26" s="2079"/>
      <c r="K26" s="2079"/>
      <c r="L26" s="2079"/>
      <c r="M26" s="2079"/>
    </row>
    <row r="27" spans="1:13">
      <c r="A27" s="1156"/>
      <c r="B27" s="2079"/>
      <c r="C27" s="2079"/>
      <c r="D27" s="2079"/>
      <c r="E27" s="2066"/>
      <c r="F27" s="2079"/>
      <c r="G27" s="2085"/>
      <c r="H27" s="2079"/>
      <c r="I27" s="1157"/>
      <c r="J27" s="1158"/>
      <c r="K27" s="1159"/>
      <c r="L27" s="2079"/>
      <c r="M27" s="2079"/>
    </row>
    <row r="28" spans="1:13">
      <c r="A28" s="1156"/>
      <c r="B28" s="2079"/>
      <c r="C28" s="2079"/>
      <c r="D28" s="2079"/>
      <c r="E28" s="2066"/>
      <c r="F28" s="2079"/>
      <c r="G28" s="2085"/>
      <c r="H28" s="2079"/>
      <c r="I28" s="1157"/>
      <c r="J28" s="1158"/>
      <c r="K28" s="1159"/>
      <c r="L28" s="2079"/>
      <c r="M28" s="2079"/>
    </row>
    <row r="29" spans="1:13">
      <c r="A29" s="1156"/>
      <c r="B29" s="2079"/>
      <c r="C29" s="2079"/>
      <c r="D29" s="2079"/>
      <c r="E29" s="2066"/>
      <c r="F29" s="2079"/>
      <c r="G29" s="2085"/>
      <c r="H29" s="2079"/>
      <c r="I29" s="1157"/>
      <c r="J29" s="1158"/>
      <c r="K29" s="1159"/>
      <c r="L29" s="2079"/>
      <c r="M29" s="2079"/>
    </row>
    <row r="30" spans="1:13">
      <c r="A30" s="1156"/>
      <c r="B30" s="2079"/>
      <c r="C30" s="2079"/>
      <c r="D30" s="2079"/>
      <c r="E30" s="2079"/>
      <c r="F30" s="2079"/>
      <c r="G30" s="2086"/>
      <c r="H30" s="2079"/>
      <c r="I30" s="1158"/>
      <c r="J30" s="2079"/>
      <c r="K30" s="2079"/>
      <c r="L30" s="2079"/>
      <c r="M30" s="2079"/>
    </row>
    <row r="31" spans="1:13">
      <c r="A31" s="1156"/>
      <c r="B31" s="2079"/>
      <c r="C31" s="2083"/>
      <c r="D31" s="2079"/>
      <c r="E31" s="2066"/>
      <c r="F31" s="2079"/>
      <c r="G31" s="2086"/>
      <c r="H31" s="2079"/>
      <c r="I31" s="1158"/>
      <c r="J31" s="2079"/>
      <c r="K31" s="2079"/>
      <c r="L31" s="2079"/>
      <c r="M31" s="2079"/>
    </row>
    <row r="32" spans="1:13">
      <c r="A32" s="1156"/>
      <c r="B32" s="2079"/>
      <c r="C32" s="2079"/>
      <c r="D32" s="2079"/>
      <c r="E32" s="2066"/>
      <c r="F32" s="2079"/>
      <c r="G32" s="1161"/>
      <c r="H32" s="2079"/>
      <c r="I32" s="1157"/>
      <c r="J32" s="1158"/>
      <c r="K32" s="1159"/>
      <c r="L32" s="2079"/>
      <c r="M32" s="2079"/>
    </row>
  </sheetData>
  <phoneticPr fontId="19" type="noConversion"/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7" tint="-0.249977111117893"/>
  </sheetPr>
  <dimension ref="A1:O31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6.28515625" style="18" customWidth="1"/>
    <col min="2" max="2" width="1.140625" style="18" customWidth="1"/>
    <col min="3" max="3" width="16.140625" style="18" customWidth="1"/>
    <col min="4" max="4" width="63" style="18" customWidth="1"/>
    <col min="5" max="5" width="23" style="18" customWidth="1"/>
    <col min="6" max="6" width="5.28515625" style="18" customWidth="1"/>
    <col min="7" max="7" width="2.7109375" style="18" customWidth="1"/>
    <col min="8" max="8" width="22.7109375" style="18" customWidth="1"/>
    <col min="9" max="9" width="5.140625" style="18" customWidth="1"/>
    <col min="10" max="10" width="19.42578125" style="18" customWidth="1"/>
    <col min="11" max="11" width="18.85546875" style="18" customWidth="1"/>
    <col min="12" max="12" width="8.28515625" style="18" customWidth="1"/>
    <col min="13" max="13" width="2.42578125" style="18" customWidth="1"/>
    <col min="14" max="14" width="8" style="18" customWidth="1"/>
    <col min="15" max="15" width="3.5703125" style="18" customWidth="1"/>
    <col min="16" max="16384" width="8" style="18"/>
  </cols>
  <sheetData>
    <row r="1" spans="1:15">
      <c r="A1" s="2060" t="str">
        <f>COMPANY</f>
        <v>DUKE ENERGY KENTUCKY, INC.</v>
      </c>
      <c r="B1" s="2059"/>
      <c r="C1" s="2059"/>
      <c r="D1" s="2059"/>
      <c r="E1" s="2059"/>
      <c r="F1" s="2059"/>
      <c r="G1" s="2059"/>
      <c r="H1" s="2059"/>
      <c r="I1" s="2059"/>
      <c r="J1" s="2059"/>
      <c r="K1" s="2059"/>
      <c r="L1" s="1149"/>
      <c r="M1" s="1149"/>
      <c r="N1" s="1149"/>
      <c r="O1" s="1149"/>
    </row>
    <row r="2" spans="1:15">
      <c r="A2" s="2060" t="str">
        <f>CASE</f>
        <v>CASE NO. 2017-00321</v>
      </c>
      <c r="B2" s="2059"/>
      <c r="C2" s="2059"/>
      <c r="D2" s="2059"/>
      <c r="E2" s="2059"/>
      <c r="F2" s="2059"/>
      <c r="G2" s="2059"/>
      <c r="H2" s="2059"/>
      <c r="I2" s="2059"/>
      <c r="J2" s="2059"/>
      <c r="K2" s="2059"/>
      <c r="L2" s="1149"/>
      <c r="M2" s="1149"/>
      <c r="N2" s="1149"/>
      <c r="O2" s="1149"/>
    </row>
    <row r="3" spans="1:15">
      <c r="A3" s="2060" t="s">
        <v>833</v>
      </c>
      <c r="B3" s="2059"/>
      <c r="C3" s="2059"/>
      <c r="D3" s="2059"/>
      <c r="E3" s="2059"/>
      <c r="F3" s="2059"/>
      <c r="G3" s="2059"/>
      <c r="H3" s="2059"/>
      <c r="I3" s="2059"/>
      <c r="J3" s="2059"/>
      <c r="K3" s="2059"/>
      <c r="L3" s="1149"/>
      <c r="M3" s="1149"/>
      <c r="N3" s="1149"/>
      <c r="O3" s="1149"/>
    </row>
    <row r="4" spans="1:15">
      <c r="A4" s="2059" t="s">
        <v>480</v>
      </c>
      <c r="B4" s="2059"/>
      <c r="C4" s="2059"/>
      <c r="D4" s="2059"/>
      <c r="E4" s="2059"/>
      <c r="F4" s="2059"/>
      <c r="G4" s="2059"/>
      <c r="H4" s="2059"/>
      <c r="I4" s="2059"/>
      <c r="J4" s="2059"/>
      <c r="K4" s="2059"/>
      <c r="L4" s="1149"/>
      <c r="M4" s="1149"/>
      <c r="N4" s="1149"/>
      <c r="O4" s="1149"/>
    </row>
    <row r="5" spans="1:15">
      <c r="A5" s="2059" t="str">
        <f>PeriodF</f>
        <v>FOR THE TWELVE MONTHS ENDED MARCH 31, 2019</v>
      </c>
      <c r="B5" s="2059"/>
      <c r="C5" s="2059"/>
      <c r="D5" s="2059"/>
      <c r="E5" s="2059"/>
      <c r="F5" s="2059"/>
      <c r="G5" s="2059"/>
      <c r="H5" s="2059"/>
      <c r="I5" s="2059"/>
      <c r="J5" s="2059"/>
      <c r="K5" s="2059"/>
      <c r="L5" s="1149"/>
      <c r="M5" s="1149"/>
      <c r="N5" s="1149"/>
      <c r="O5" s="1149"/>
    </row>
    <row r="6" spans="1:15">
      <c r="A6" s="1149"/>
      <c r="B6" s="1149"/>
      <c r="C6" s="1149"/>
      <c r="D6" s="1149"/>
      <c r="E6" s="1149"/>
      <c r="F6" s="1149"/>
      <c r="G6" s="1149"/>
      <c r="H6" s="1149"/>
      <c r="I6" s="1149"/>
      <c r="J6" s="1149"/>
      <c r="K6" s="1149"/>
      <c r="L6" s="1149"/>
      <c r="M6" s="1149"/>
      <c r="N6" s="1149"/>
      <c r="O6" s="1149"/>
    </row>
    <row r="7" spans="1:15">
      <c r="A7" s="2061" t="str">
        <f>DataF</f>
        <v>DATA:  BASE PERIOD  "X" FORECASTED PERIOD</v>
      </c>
      <c r="B7" s="1149"/>
      <c r="C7" s="1149"/>
      <c r="D7" s="1149"/>
      <c r="E7" s="1149"/>
      <c r="F7" s="1149"/>
      <c r="G7" s="1149"/>
      <c r="H7" s="1149"/>
      <c r="I7" s="1149"/>
      <c r="J7" s="1150" t="s">
        <v>834</v>
      </c>
      <c r="K7" s="1149"/>
      <c r="L7" s="1149"/>
      <c r="M7" s="1149"/>
      <c r="N7" s="1149"/>
      <c r="O7" s="1149"/>
    </row>
    <row r="8" spans="1:15">
      <c r="A8" s="2061" t="str">
        <f>LOGO!B15</f>
        <v xml:space="preserve">TYPE OF FILING:  "X" ORIGINAL   UPDATED    REVISED  </v>
      </c>
      <c r="B8" s="1149"/>
      <c r="C8" s="1149"/>
      <c r="D8" s="1149"/>
      <c r="E8" s="1149"/>
      <c r="F8" s="1149"/>
      <c r="G8" s="1149"/>
      <c r="H8" s="1149"/>
      <c r="I8" s="1149"/>
      <c r="J8" s="1150" t="s">
        <v>835</v>
      </c>
      <c r="K8" s="1149"/>
      <c r="L8" s="1149"/>
      <c r="M8" s="1149"/>
      <c r="N8" s="1149"/>
      <c r="O8" s="1149"/>
    </row>
    <row r="9" spans="1:15">
      <c r="A9" s="1150" t="s">
        <v>1879</v>
      </c>
      <c r="B9" s="1149"/>
      <c r="C9" s="1149"/>
      <c r="D9" s="1149"/>
      <c r="E9" s="1149"/>
      <c r="F9" s="1149"/>
      <c r="G9" s="1149"/>
      <c r="H9" s="1149"/>
      <c r="I9" s="1149"/>
      <c r="J9" s="1150" t="s">
        <v>836</v>
      </c>
      <c r="K9" s="1149"/>
      <c r="L9" s="1149"/>
      <c r="M9" s="1149"/>
      <c r="N9" s="1149"/>
      <c r="O9" s="1149"/>
    </row>
    <row r="10" spans="1:15">
      <c r="A10" s="1149"/>
      <c r="B10" s="1149"/>
      <c r="C10" s="1149"/>
      <c r="D10" s="1149"/>
      <c r="E10" s="1149"/>
      <c r="F10" s="1149"/>
      <c r="G10" s="1149"/>
      <c r="H10" s="1149"/>
      <c r="I10" s="1149"/>
      <c r="J10" s="2066" t="str">
        <f>"    "&amp;_WIT2</f>
        <v xml:space="preserve">    J. E. ZIOLKOWSKI</v>
      </c>
      <c r="K10" s="1149"/>
      <c r="L10" s="1149"/>
      <c r="M10" s="1149"/>
      <c r="N10" s="1149"/>
      <c r="O10" s="1149"/>
    </row>
    <row r="11" spans="1:15">
      <c r="A11" s="2062"/>
      <c r="B11" s="2062"/>
      <c r="C11" s="2062"/>
      <c r="D11" s="2062"/>
      <c r="E11" s="2062"/>
      <c r="F11" s="2062"/>
      <c r="G11" s="2062"/>
      <c r="H11" s="2062"/>
      <c r="I11" s="2062"/>
      <c r="J11" s="2062"/>
      <c r="K11" s="2062"/>
      <c r="L11" s="1150"/>
      <c r="M11" s="1149"/>
      <c r="N11" s="1149"/>
      <c r="O11" s="1149"/>
    </row>
    <row r="12" spans="1:15">
      <c r="A12" s="1149"/>
      <c r="B12" s="1149"/>
      <c r="C12" s="1149"/>
      <c r="D12" s="1149"/>
      <c r="E12" s="2063" t="s">
        <v>1887</v>
      </c>
      <c r="F12" s="1149"/>
      <c r="G12" s="2063"/>
      <c r="H12" s="1149"/>
      <c r="I12" s="1149"/>
      <c r="J12" s="1149"/>
      <c r="K12" s="1149"/>
      <c r="L12" s="1149"/>
      <c r="M12" s="1149"/>
      <c r="N12" s="1149"/>
      <c r="O12" s="1149"/>
    </row>
    <row r="13" spans="1:15">
      <c r="A13" s="2063" t="s">
        <v>1961</v>
      </c>
      <c r="B13" s="1149"/>
      <c r="C13" s="2063" t="s">
        <v>1057</v>
      </c>
      <c r="D13" s="1149"/>
      <c r="E13" s="2063" t="s">
        <v>1035</v>
      </c>
      <c r="F13" s="1149"/>
      <c r="G13" s="2063"/>
      <c r="H13" s="2063" t="s">
        <v>1535</v>
      </c>
      <c r="I13" s="2063"/>
      <c r="J13" s="2063" t="s">
        <v>1057</v>
      </c>
      <c r="K13" s="2067" t="s">
        <v>1034</v>
      </c>
      <c r="L13" s="1149"/>
      <c r="M13" s="1149"/>
      <c r="N13" s="1149"/>
      <c r="O13" s="1149"/>
    </row>
    <row r="14" spans="1:15">
      <c r="A14" s="2063" t="s">
        <v>1854</v>
      </c>
      <c r="B14" s="1149"/>
      <c r="C14" s="2063" t="s">
        <v>837</v>
      </c>
      <c r="D14" s="1149"/>
      <c r="E14" s="2063" t="s">
        <v>1704</v>
      </c>
      <c r="F14" s="1149"/>
      <c r="G14" s="2063"/>
      <c r="H14" s="2063" t="s">
        <v>209</v>
      </c>
      <c r="I14" s="2063"/>
      <c r="J14" s="2063" t="s">
        <v>837</v>
      </c>
      <c r="K14" s="2067" t="s">
        <v>567</v>
      </c>
      <c r="L14" s="1149"/>
      <c r="M14" s="1149"/>
      <c r="N14" s="1149"/>
      <c r="O14" s="1149"/>
    </row>
    <row r="15" spans="1:15">
      <c r="A15" s="2062"/>
      <c r="B15" s="2062"/>
      <c r="C15" s="2062"/>
      <c r="D15" s="2062"/>
      <c r="E15" s="2062"/>
      <c r="F15" s="2062"/>
      <c r="G15" s="2062"/>
      <c r="H15" s="2062"/>
      <c r="I15" s="2062"/>
      <c r="J15" s="2068" t="s">
        <v>363</v>
      </c>
      <c r="K15" s="2069"/>
      <c r="L15" s="1150"/>
      <c r="M15" s="1149"/>
      <c r="N15" s="1149"/>
      <c r="O15" s="1149"/>
    </row>
    <row r="16" spans="1:15">
      <c r="A16" s="1149"/>
      <c r="B16" s="1149"/>
      <c r="C16" s="1149"/>
      <c r="D16" s="1149"/>
      <c r="E16" s="2070"/>
      <c r="F16" s="1149"/>
      <c r="G16" s="1149"/>
      <c r="H16" s="1149"/>
      <c r="I16" s="1149"/>
      <c r="J16" s="1149"/>
      <c r="K16" s="1153"/>
      <c r="L16" s="1149"/>
      <c r="M16" s="1149"/>
      <c r="N16" s="1149"/>
      <c r="O16" s="1149"/>
    </row>
    <row r="17" spans="1:15">
      <c r="A17" s="2061"/>
      <c r="B17" s="1149"/>
      <c r="C17" s="2063"/>
      <c r="D17" s="1150" t="s">
        <v>1884</v>
      </c>
      <c r="E17" s="2071"/>
      <c r="F17" s="2064"/>
      <c r="G17" s="2064"/>
      <c r="H17" s="2071"/>
      <c r="I17" s="2064"/>
      <c r="J17" s="2072"/>
      <c r="K17" s="1154"/>
      <c r="L17" s="1149"/>
      <c r="M17" s="1149"/>
      <c r="N17" s="1149"/>
      <c r="O17" s="1149"/>
    </row>
    <row r="18" spans="1:15">
      <c r="A18" s="2061"/>
      <c r="B18" s="1149"/>
      <c r="C18" s="1154"/>
      <c r="D18" s="1150"/>
      <c r="E18" s="2073"/>
      <c r="F18" s="2065"/>
      <c r="G18" s="2065"/>
      <c r="H18" s="2073"/>
      <c r="I18" s="2065"/>
      <c r="J18" s="2072"/>
      <c r="K18" s="1154"/>
      <c r="L18" s="1149"/>
      <c r="M18" s="1149"/>
      <c r="N18" s="1149"/>
      <c r="O18" s="1149"/>
    </row>
    <row r="19" spans="1:15">
      <c r="A19" s="2061"/>
      <c r="B19" s="1149"/>
      <c r="C19" s="2063"/>
      <c r="D19" s="1150"/>
      <c r="E19" s="2074"/>
      <c r="F19" s="2064"/>
      <c r="G19" s="2064"/>
      <c r="H19" s="2074"/>
      <c r="I19" s="2064"/>
      <c r="J19" s="2072"/>
      <c r="K19" s="1154"/>
      <c r="L19" s="1149"/>
      <c r="M19" s="1149"/>
      <c r="N19" s="1149"/>
      <c r="O19" s="1149"/>
    </row>
    <row r="20" spans="1:15">
      <c r="A20" s="2061"/>
      <c r="B20" s="1149"/>
      <c r="C20" s="2063"/>
      <c r="D20" s="1150"/>
      <c r="E20" s="2073"/>
      <c r="F20" s="1149"/>
      <c r="G20" s="1149"/>
      <c r="H20" s="2073"/>
      <c r="I20" s="1149"/>
      <c r="J20" s="2072"/>
      <c r="K20" s="1154"/>
      <c r="L20" s="1149"/>
      <c r="M20" s="1149"/>
      <c r="N20" s="1149"/>
      <c r="O20" s="1149"/>
    </row>
    <row r="21" spans="1:15">
      <c r="A21" s="2061"/>
      <c r="B21" s="1149"/>
      <c r="C21" s="2067"/>
      <c r="D21" s="1150"/>
      <c r="E21" s="2074"/>
      <c r="F21" s="2064"/>
      <c r="G21" s="2064"/>
      <c r="H21" s="2074"/>
      <c r="I21" s="2064"/>
      <c r="J21" s="2072"/>
      <c r="K21" s="2067"/>
      <c r="L21" s="1149"/>
      <c r="M21" s="1149"/>
      <c r="N21" s="1149"/>
      <c r="O21" s="1149"/>
    </row>
    <row r="22" spans="1:15">
      <c r="A22" s="2061"/>
      <c r="B22" s="1149"/>
      <c r="C22" s="1154"/>
      <c r="D22" s="1150"/>
      <c r="E22" s="1152"/>
      <c r="F22" s="1150"/>
      <c r="G22" s="1150"/>
      <c r="H22" s="2075"/>
      <c r="I22" s="1150"/>
      <c r="J22" s="2072"/>
      <c r="K22" s="1154"/>
      <c r="L22" s="1149"/>
      <c r="M22" s="1149"/>
      <c r="N22" s="1149"/>
      <c r="O22" s="1149"/>
    </row>
    <row r="23" spans="1:15">
      <c r="A23" s="2061"/>
      <c r="B23" s="1149"/>
      <c r="C23" s="2063"/>
      <c r="D23" s="1150"/>
      <c r="E23" s="1152"/>
      <c r="F23" s="2064"/>
      <c r="G23" s="2064"/>
      <c r="H23" s="2075"/>
      <c r="I23" s="2064"/>
      <c r="J23" s="2072"/>
      <c r="K23" s="1154"/>
      <c r="L23" s="1149"/>
      <c r="M23" s="1149"/>
      <c r="N23" s="1149"/>
      <c r="O23" s="1149"/>
    </row>
    <row r="24" spans="1:15">
      <c r="A24" s="2061"/>
      <c r="B24" s="1149"/>
      <c r="C24" s="2063"/>
      <c r="D24" s="1150"/>
      <c r="E24" s="2076"/>
      <c r="F24" s="2064"/>
      <c r="G24" s="2064"/>
      <c r="H24" s="2076"/>
      <c r="I24" s="2064"/>
      <c r="J24" s="2072"/>
      <c r="K24" s="1154"/>
      <c r="L24" s="1149"/>
      <c r="M24" s="1149"/>
      <c r="N24" s="1149"/>
      <c r="O24" s="1149"/>
    </row>
    <row r="25" spans="1:15">
      <c r="A25" s="2061"/>
      <c r="B25" s="1149"/>
      <c r="C25" s="1154"/>
      <c r="D25" s="1150"/>
      <c r="E25" s="2073"/>
      <c r="F25" s="2065"/>
      <c r="G25" s="2065"/>
      <c r="H25" s="2073"/>
      <c r="I25" s="2065"/>
      <c r="J25" s="2072"/>
      <c r="K25" s="1154"/>
      <c r="L25" s="1149"/>
      <c r="M25" s="1149"/>
      <c r="N25" s="1149"/>
      <c r="O25" s="1149"/>
    </row>
    <row r="26" spans="1:15">
      <c r="A26" s="2061"/>
      <c r="B26" s="1149"/>
      <c r="C26" s="2063"/>
      <c r="D26" s="1150"/>
      <c r="E26" s="2074"/>
      <c r="F26" s="2064"/>
      <c r="G26" s="2065"/>
      <c r="H26" s="2074"/>
      <c r="I26" s="2064"/>
      <c r="J26" s="2072"/>
      <c r="K26" s="2063"/>
      <c r="L26" s="1149"/>
      <c r="M26" s="1149"/>
      <c r="N26" s="1149"/>
      <c r="O26" s="1149"/>
    </row>
    <row r="27" spans="1:15">
      <c r="A27" s="2061"/>
      <c r="B27" s="1149"/>
      <c r="C27" s="2063"/>
      <c r="D27" s="1150"/>
      <c r="E27" s="2065"/>
      <c r="F27" s="2065"/>
      <c r="G27" s="2065"/>
      <c r="H27" s="2065"/>
      <c r="I27" s="2065"/>
      <c r="J27" s="2074"/>
      <c r="K27" s="1150"/>
      <c r="L27" s="1149"/>
      <c r="M27" s="1149"/>
      <c r="N27" s="1149"/>
      <c r="O27" s="1149"/>
    </row>
    <row r="28" spans="1:15">
      <c r="A28" s="2061"/>
      <c r="B28" s="1149"/>
      <c r="C28" s="2063"/>
      <c r="D28" s="1150"/>
      <c r="E28" s="2065"/>
      <c r="F28" s="2065"/>
      <c r="G28" s="2065"/>
      <c r="H28" s="2065"/>
      <c r="I28" s="2065"/>
      <c r="J28" s="2074"/>
      <c r="K28" s="1150"/>
      <c r="L28" s="1149"/>
      <c r="M28" s="1149"/>
      <c r="N28" s="1149"/>
      <c r="O28" s="1149"/>
    </row>
    <row r="29" spans="1:15">
      <c r="A29" s="2061"/>
      <c r="B29" s="1149"/>
      <c r="C29" s="2063"/>
      <c r="D29" s="1150"/>
      <c r="E29" s="2065"/>
      <c r="F29" s="2065"/>
      <c r="G29" s="2065"/>
      <c r="H29" s="2065"/>
      <c r="I29" s="2065"/>
      <c r="J29" s="2074"/>
      <c r="K29" s="1150"/>
      <c r="L29" s="1149"/>
      <c r="M29" s="1149"/>
      <c r="N29" s="1149"/>
      <c r="O29" s="1149"/>
    </row>
    <row r="30" spans="1:15">
      <c r="A30" s="2061"/>
      <c r="B30" s="1149"/>
      <c r="C30" s="1149"/>
      <c r="D30" s="1150"/>
      <c r="E30" s="2065"/>
      <c r="F30" s="2065"/>
      <c r="G30" s="2065"/>
      <c r="H30" s="2065"/>
      <c r="I30" s="2065"/>
      <c r="J30" s="2074"/>
      <c r="K30" s="1150"/>
      <c r="L30" s="1149"/>
      <c r="M30" s="1149"/>
      <c r="N30" s="1149"/>
      <c r="O30" s="1149"/>
    </row>
    <row r="31" spans="1:15">
      <c r="A31" s="1149"/>
      <c r="B31" s="1149"/>
      <c r="C31" s="1149"/>
      <c r="D31" s="1149"/>
      <c r="E31" s="1149"/>
      <c r="F31" s="1149"/>
      <c r="G31" s="1149"/>
      <c r="H31" s="1149"/>
      <c r="I31" s="1149"/>
      <c r="J31" s="1149"/>
      <c r="K31" s="1149"/>
      <c r="L31" s="1149"/>
      <c r="M31" s="1149"/>
      <c r="N31" s="1149"/>
      <c r="O31" s="1149"/>
    </row>
  </sheetData>
  <phoneticPr fontId="19" type="noConversion"/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J29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8.28515625" style="18" customWidth="1"/>
    <col min="2" max="2" width="2.42578125" style="18" customWidth="1"/>
    <col min="3" max="3" width="8" style="18" customWidth="1"/>
    <col min="4" max="4" width="3.5703125" style="18" customWidth="1"/>
    <col min="5" max="5" width="46.85546875" style="18" customWidth="1"/>
    <col min="6" max="6" width="49.7109375" style="18" customWidth="1"/>
    <col min="7" max="7" width="5.42578125" style="18" customWidth="1"/>
    <col min="8" max="8" width="44.42578125" style="18" customWidth="1"/>
    <col min="9" max="16384" width="8" style="18"/>
  </cols>
  <sheetData>
    <row r="1" spans="1:10">
      <c r="A1" s="2059" t="str">
        <f>COMPANY</f>
        <v>DUKE ENERGY KENTUCKY, INC.</v>
      </c>
      <c r="B1" s="2059"/>
      <c r="C1" s="2059"/>
      <c r="D1" s="2059"/>
      <c r="E1" s="2060"/>
      <c r="F1" s="2059"/>
      <c r="G1" s="2059"/>
      <c r="H1" s="2059"/>
      <c r="I1" s="1149"/>
      <c r="J1" s="1149"/>
    </row>
    <row r="2" spans="1:10">
      <c r="A2" s="2059" t="str">
        <f>CASE</f>
        <v>CASE NO. 2017-00321</v>
      </c>
      <c r="B2" s="2059"/>
      <c r="C2" s="2059"/>
      <c r="D2" s="2059"/>
      <c r="E2" s="2060"/>
      <c r="F2" s="2059"/>
      <c r="G2" s="2059"/>
      <c r="H2" s="2059"/>
      <c r="I2" s="1149"/>
      <c r="J2" s="1149"/>
    </row>
    <row r="3" spans="1:10">
      <c r="A3" s="2060" t="s">
        <v>1974</v>
      </c>
      <c r="B3" s="2059"/>
      <c r="C3" s="2059"/>
      <c r="D3" s="2059"/>
      <c r="E3" s="2059"/>
      <c r="F3" s="2059"/>
      <c r="G3" s="2059"/>
      <c r="H3" s="2059"/>
      <c r="I3" s="1149"/>
      <c r="J3" s="1149"/>
    </row>
    <row r="4" spans="1:10">
      <c r="A4" s="2059" t="s">
        <v>480</v>
      </c>
      <c r="B4" s="2059"/>
      <c r="C4" s="2059"/>
      <c r="D4" s="2059"/>
      <c r="E4" s="2059"/>
      <c r="F4" s="2059"/>
      <c r="G4" s="2059"/>
      <c r="H4" s="2059"/>
      <c r="I4" s="1149"/>
      <c r="J4" s="1149"/>
    </row>
    <row r="5" spans="1:10">
      <c r="A5" s="2060" t="str">
        <f>PeriodF</f>
        <v>FOR THE TWELVE MONTHS ENDED MARCH 31, 2019</v>
      </c>
      <c r="B5" s="2059"/>
      <c r="C5" s="2059"/>
      <c r="D5" s="2059"/>
      <c r="E5" s="2059"/>
      <c r="F5" s="2059"/>
      <c r="G5" s="2059"/>
      <c r="H5" s="2059"/>
      <c r="I5" s="1149"/>
      <c r="J5" s="1149"/>
    </row>
    <row r="6" spans="1:10">
      <c r="A6" s="1149"/>
      <c r="B6" s="1149"/>
      <c r="C6" s="1149"/>
      <c r="D6" s="1149"/>
      <c r="E6" s="1149"/>
      <c r="F6" s="1149"/>
      <c r="G6" s="1149"/>
      <c r="H6" s="1149"/>
      <c r="I6" s="1149"/>
      <c r="J6" s="1149"/>
    </row>
    <row r="7" spans="1:10">
      <c r="A7" s="1149"/>
      <c r="B7" s="1149"/>
      <c r="C7" s="1149"/>
      <c r="D7" s="1149"/>
      <c r="E7" s="1149"/>
      <c r="F7" s="1149"/>
      <c r="G7" s="1149"/>
      <c r="H7" s="1149"/>
      <c r="I7" s="1149"/>
      <c r="J7" s="1149"/>
    </row>
    <row r="8" spans="1:10">
      <c r="A8" s="2061" t="str">
        <f>DataF</f>
        <v>DATA:  BASE PERIOD  "X" FORECASTED PERIOD</v>
      </c>
      <c r="B8" s="1149"/>
      <c r="C8" s="1149"/>
      <c r="D8" s="1149"/>
      <c r="E8" s="1149"/>
      <c r="F8" s="1149"/>
      <c r="G8" s="1149"/>
      <c r="H8" s="1150" t="s">
        <v>838</v>
      </c>
      <c r="I8" s="1149"/>
      <c r="J8" s="1149"/>
    </row>
    <row r="9" spans="1:10">
      <c r="A9" s="2061" t="str">
        <f>Type</f>
        <v xml:space="preserve">TYPE OF FILING:  "X" ORIGINAL   UPDATED    REVISED  </v>
      </c>
      <c r="B9" s="1149"/>
      <c r="C9" s="1149"/>
      <c r="D9" s="1149"/>
      <c r="E9" s="1149"/>
      <c r="F9" s="1149"/>
      <c r="G9" s="1149"/>
      <c r="H9" s="1150" t="s">
        <v>835</v>
      </c>
      <c r="I9" s="1149"/>
      <c r="J9" s="1149"/>
    </row>
    <row r="10" spans="1:10">
      <c r="A10" s="1150" t="s">
        <v>1879</v>
      </c>
      <c r="B10" s="1149"/>
      <c r="C10" s="1149"/>
      <c r="D10" s="1149"/>
      <c r="E10" s="1149"/>
      <c r="F10" s="1149"/>
      <c r="G10" s="1149"/>
      <c r="H10" s="1150" t="s">
        <v>836</v>
      </c>
      <c r="I10" s="1149"/>
      <c r="J10" s="1149"/>
    </row>
    <row r="11" spans="1:10">
      <c r="A11" s="1149"/>
      <c r="B11" s="1149"/>
      <c r="C11" s="1149"/>
      <c r="D11" s="1149"/>
      <c r="E11" s="1149"/>
      <c r="F11" s="1149"/>
      <c r="G11" s="1149"/>
      <c r="H11" s="1149" t="str">
        <f>"    "&amp;_WIT2</f>
        <v xml:space="preserve">    J. E. ZIOLKOWSKI</v>
      </c>
      <c r="I11" s="1149"/>
      <c r="J11" s="1149"/>
    </row>
    <row r="12" spans="1:10">
      <c r="A12" s="2062"/>
      <c r="B12" s="2062"/>
      <c r="C12" s="2062"/>
      <c r="D12" s="2062"/>
      <c r="E12" s="2062"/>
      <c r="F12" s="2062"/>
      <c r="G12" s="2062"/>
      <c r="H12" s="2062"/>
      <c r="I12" s="1149"/>
      <c r="J12" s="1149"/>
    </row>
    <row r="13" spans="1:10">
      <c r="A13" s="1149"/>
      <c r="B13" s="1149"/>
      <c r="C13" s="1149"/>
      <c r="D13" s="1149"/>
      <c r="E13" s="1149"/>
      <c r="F13" s="1149"/>
      <c r="G13" s="1149"/>
      <c r="H13" s="1149"/>
      <c r="I13" s="1149"/>
      <c r="J13" s="1149"/>
    </row>
    <row r="14" spans="1:10">
      <c r="A14" s="2063" t="s">
        <v>1961</v>
      </c>
      <c r="B14" s="1149"/>
      <c r="C14" s="2063" t="s">
        <v>1080</v>
      </c>
      <c r="D14" s="1149"/>
      <c r="E14" s="1149"/>
      <c r="F14" s="2063" t="s">
        <v>840</v>
      </c>
      <c r="G14" s="1149"/>
      <c r="H14" s="1149"/>
      <c r="I14" s="1149"/>
      <c r="J14" s="1149"/>
    </row>
    <row r="15" spans="1:10">
      <c r="A15" s="2063" t="s">
        <v>1854</v>
      </c>
      <c r="B15" s="1149"/>
      <c r="C15" s="2063" t="s">
        <v>1703</v>
      </c>
      <c r="D15" s="1149"/>
      <c r="E15" s="2063" t="s">
        <v>566</v>
      </c>
      <c r="F15" s="2063" t="s">
        <v>839</v>
      </c>
      <c r="G15" s="1149"/>
      <c r="H15" s="2063" t="s">
        <v>1978</v>
      </c>
      <c r="I15" s="1149"/>
      <c r="J15" s="1149"/>
    </row>
    <row r="16" spans="1:10">
      <c r="A16" s="2062"/>
      <c r="B16" s="2062"/>
      <c r="C16" s="2062"/>
      <c r="D16" s="2062"/>
      <c r="E16" s="2062"/>
      <c r="F16" s="2062"/>
      <c r="G16" s="2062"/>
      <c r="H16" s="2062"/>
      <c r="I16" s="1149"/>
      <c r="J16" s="1149"/>
    </row>
    <row r="17" spans="1:10">
      <c r="A17" s="1149"/>
      <c r="B17" s="1149"/>
      <c r="C17" s="1149"/>
      <c r="D17" s="1149"/>
      <c r="E17" s="1149"/>
      <c r="F17" s="1149"/>
      <c r="G17" s="1149"/>
      <c r="H17" s="1149"/>
      <c r="I17" s="1149"/>
      <c r="J17" s="1149"/>
    </row>
    <row r="18" spans="1:10">
      <c r="A18" s="2061"/>
      <c r="B18" s="1149"/>
      <c r="C18" s="1149" t="s">
        <v>2333</v>
      </c>
      <c r="D18" s="1150"/>
      <c r="E18" s="1151"/>
      <c r="F18" s="1152"/>
      <c r="G18" s="1152"/>
      <c r="H18" s="1152"/>
      <c r="I18" s="1149"/>
      <c r="J18" s="1149"/>
    </row>
    <row r="19" spans="1:10">
      <c r="A19" s="2061"/>
      <c r="B19" s="1149"/>
      <c r="C19" s="1149"/>
      <c r="D19" s="1149"/>
      <c r="E19" s="1151"/>
      <c r="F19" s="1152"/>
      <c r="G19" s="1152"/>
      <c r="H19" s="1152"/>
      <c r="I19" s="1149"/>
      <c r="J19" s="1149"/>
    </row>
    <row r="20" spans="1:10">
      <c r="A20" s="2061"/>
      <c r="B20" s="1153"/>
      <c r="C20" s="1153"/>
      <c r="D20" s="1150"/>
      <c r="E20" s="1151"/>
      <c r="F20" s="1152"/>
      <c r="G20" s="1152"/>
      <c r="H20" s="1152"/>
      <c r="I20" s="1149"/>
      <c r="J20" s="1149"/>
    </row>
    <row r="21" spans="1:10">
      <c r="A21" s="2061"/>
      <c r="B21" s="1154"/>
      <c r="C21" s="1154"/>
      <c r="D21" s="1150"/>
      <c r="E21" s="1149"/>
      <c r="F21" s="1151"/>
      <c r="G21" s="1152"/>
      <c r="H21" s="2064"/>
      <c r="I21" s="1149"/>
      <c r="J21" s="1149"/>
    </row>
    <row r="22" spans="1:10">
      <c r="A22" s="2061"/>
      <c r="B22" s="1154"/>
      <c r="C22" s="1154"/>
      <c r="D22" s="1150"/>
      <c r="E22" s="1149"/>
      <c r="F22" s="1151"/>
      <c r="G22" s="1152"/>
      <c r="H22" s="2064"/>
      <c r="I22" s="1149"/>
      <c r="J22" s="1149"/>
    </row>
    <row r="23" spans="1:10">
      <c r="A23" s="2061"/>
      <c r="B23" s="1153"/>
      <c r="C23" s="1153"/>
      <c r="D23" s="1149"/>
      <c r="E23" s="1149"/>
      <c r="F23" s="1151"/>
      <c r="G23" s="1152"/>
      <c r="H23" s="1152"/>
      <c r="I23" s="1149"/>
      <c r="J23" s="1149"/>
    </row>
    <row r="24" spans="1:10">
      <c r="A24" s="2061"/>
      <c r="B24" s="1154"/>
      <c r="C24" s="1154"/>
      <c r="D24" s="1150"/>
      <c r="E24" s="1149"/>
      <c r="F24" s="1151"/>
      <c r="G24" s="1152"/>
      <c r="H24" s="1152"/>
      <c r="I24" s="1149"/>
      <c r="J24" s="1149"/>
    </row>
    <row r="25" spans="1:10">
      <c r="A25" s="2061"/>
      <c r="B25" s="1149"/>
      <c r="C25" s="1149"/>
      <c r="D25" s="1150"/>
      <c r="E25" s="1149"/>
      <c r="F25" s="1151"/>
      <c r="G25" s="1152"/>
      <c r="H25" s="2064"/>
      <c r="I25" s="1149"/>
      <c r="J25" s="1149"/>
    </row>
    <row r="26" spans="1:10">
      <c r="A26" s="2061"/>
      <c r="B26" s="1149"/>
      <c r="C26" s="1149"/>
      <c r="D26" s="1149"/>
      <c r="E26" s="1149"/>
      <c r="F26" s="1151"/>
      <c r="G26" s="1152"/>
      <c r="H26" s="1152"/>
      <c r="I26" s="1149"/>
      <c r="J26" s="1149"/>
    </row>
    <row r="27" spans="1:10">
      <c r="A27" s="2061"/>
      <c r="B27" s="1149"/>
      <c r="C27" s="1149"/>
      <c r="D27" s="1149"/>
      <c r="E27" s="1149"/>
      <c r="F27" s="1151"/>
      <c r="G27" s="1152"/>
      <c r="H27" s="2065"/>
      <c r="I27" s="1149"/>
      <c r="J27" s="1149"/>
    </row>
    <row r="28" spans="1:10">
      <c r="A28" s="2061"/>
      <c r="B28" s="1149"/>
      <c r="C28" s="1149"/>
      <c r="D28" s="1150"/>
      <c r="E28" s="1149"/>
      <c r="F28" s="1151"/>
      <c r="G28" s="1152"/>
      <c r="H28" s="2065"/>
      <c r="I28" s="1149"/>
      <c r="J28" s="1149"/>
    </row>
    <row r="29" spans="1:10">
      <c r="A29" s="2061"/>
      <c r="B29" s="1149"/>
      <c r="C29" s="1149"/>
      <c r="D29" s="1149"/>
      <c r="E29" s="1149"/>
      <c r="F29" s="2065"/>
      <c r="G29" s="1152"/>
      <c r="H29" s="2065"/>
      <c r="I29" s="1149"/>
      <c r="J29" s="1149"/>
    </row>
  </sheetData>
  <phoneticPr fontId="19" type="noConversion"/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12" transitionEvaluation="1" transitionEntry="1" codeName="Sheet47">
    <tabColor rgb="FFFFFF66"/>
  </sheetPr>
  <dimension ref="A1:BD365"/>
  <sheetViews>
    <sheetView tabSelected="1" view="pageLayout" topLeftCell="A112" zoomScaleNormal="80" workbookViewId="0">
      <selection activeCell="G1" sqref="G1"/>
    </sheetView>
  </sheetViews>
  <sheetFormatPr defaultColWidth="16.140625" defaultRowHeight="12.75"/>
  <cols>
    <col min="1" max="1" width="10.5703125" style="18" customWidth="1"/>
    <col min="2" max="2" width="9.85546875" style="18" customWidth="1"/>
    <col min="3" max="3" width="6.42578125" style="18" customWidth="1"/>
    <col min="4" max="4" width="1" style="18" customWidth="1"/>
    <col min="5" max="5" width="55.140625" style="18" customWidth="1"/>
    <col min="6" max="6" width="1" style="18" customWidth="1"/>
    <col min="7" max="7" width="19" style="18" customWidth="1"/>
    <col min="8" max="8" width="0.5703125" style="18" customWidth="1"/>
    <col min="9" max="9" width="20" style="18" customWidth="1"/>
    <col min="10" max="10" width="0.5703125" style="18" customWidth="1"/>
    <col min="11" max="13" width="22.7109375" style="18" customWidth="1"/>
    <col min="14" max="14" width="1.140625" style="18" customWidth="1"/>
    <col min="15" max="15" width="17.85546875" style="18" customWidth="1"/>
    <col min="16" max="16" width="0.5703125" style="18" customWidth="1"/>
    <col min="17" max="17" width="20" style="18" customWidth="1"/>
    <col min="18" max="18" width="9.7109375" style="18" customWidth="1"/>
    <col min="19" max="19" width="6.85546875" style="18" customWidth="1"/>
    <col min="20" max="20" width="7.42578125" style="18" customWidth="1"/>
    <col min="21" max="21" width="52.7109375" style="18" customWidth="1"/>
    <col min="22" max="22" width="1.5703125" style="18" customWidth="1"/>
    <col min="23" max="23" width="22.140625" style="18" customWidth="1"/>
    <col min="24" max="24" width="22.42578125" style="18" customWidth="1"/>
    <col min="25" max="25" width="6.28515625" style="18" customWidth="1"/>
    <col min="26" max="26" width="8.28515625" style="18" customWidth="1"/>
    <col min="27" max="27" width="9.5703125" style="18" customWidth="1"/>
    <col min="28" max="28" width="56.42578125" style="18" customWidth="1"/>
    <col min="29" max="31" width="20.7109375" style="18" customWidth="1"/>
    <col min="32" max="32" width="1.85546875" style="18" customWidth="1"/>
    <col min="33" max="33" width="20.7109375" style="18" customWidth="1"/>
    <col min="34" max="34" width="20.7109375" style="1347" customWidth="1"/>
    <col min="35" max="35" width="18.42578125" style="18" customWidth="1"/>
    <col min="36" max="36" width="18.85546875" style="18" customWidth="1"/>
    <col min="37" max="37" width="22.5703125" style="18" customWidth="1"/>
    <col min="38" max="38" width="25.140625" style="18" customWidth="1"/>
    <col min="39" max="39" width="16.140625" style="18"/>
    <col min="40" max="40" width="4.5703125" style="18" customWidth="1"/>
    <col min="41" max="41" width="3.28515625" style="18" customWidth="1"/>
    <col min="42" max="42" width="13.5703125" style="18" customWidth="1"/>
    <col min="43" max="43" width="20" style="18" customWidth="1"/>
    <col min="44" max="44" width="2" style="18" customWidth="1"/>
    <col min="45" max="45" width="16.140625" style="18" customWidth="1"/>
    <col min="46" max="46" width="3.28515625" style="18" customWidth="1"/>
    <col min="47" max="47" width="18.7109375" style="18" customWidth="1"/>
    <col min="48" max="48" width="2" style="18" customWidth="1"/>
    <col min="49" max="49" width="17.42578125" style="18" customWidth="1"/>
    <col min="50" max="50" width="3.28515625" style="18" customWidth="1"/>
    <col min="51" max="51" width="14.85546875" style="18" customWidth="1"/>
    <col min="52" max="52" width="2" style="18" customWidth="1"/>
    <col min="53" max="53" width="18.7109375" style="18" customWidth="1"/>
    <col min="54" max="54" width="7.140625" style="18" customWidth="1"/>
    <col min="55" max="55" width="20" style="18" customWidth="1"/>
    <col min="56" max="56" width="16.140625" style="18" customWidth="1"/>
    <col min="57" max="57" width="13.5703125" style="18" customWidth="1"/>
    <col min="58" max="58" width="5.85546875" style="18" customWidth="1"/>
    <col min="59" max="59" width="16.140625" style="18" customWidth="1"/>
    <col min="60" max="60" width="27.7109375" style="18" customWidth="1"/>
    <col min="61" max="61" width="9.7109375" style="18" customWidth="1"/>
    <col min="62" max="62" width="20" style="18" customWidth="1"/>
    <col min="63" max="63" width="11" style="18" customWidth="1"/>
    <col min="64" max="64" width="13.5703125" style="18" customWidth="1"/>
    <col min="65" max="65" width="5.85546875" style="18" customWidth="1"/>
    <col min="66" max="68" width="16.140625" style="18" customWidth="1"/>
    <col min="69" max="16384" width="16.140625" style="18"/>
  </cols>
  <sheetData>
    <row r="1" spans="1:37">
      <c r="A1" s="1333"/>
      <c r="B1" s="1333"/>
      <c r="C1" s="1068" t="str">
        <f>COMPANY</f>
        <v>DUKE ENERGY KENTUCKY, INC.</v>
      </c>
      <c r="D1" s="1069"/>
      <c r="E1" s="1069"/>
      <c r="F1" s="1069"/>
      <c r="G1" s="1069"/>
      <c r="H1" s="1069"/>
      <c r="I1" s="1069"/>
      <c r="J1" s="1069"/>
      <c r="K1" s="1069"/>
      <c r="L1" s="1069"/>
      <c r="M1" s="1069"/>
      <c r="N1" s="1069"/>
      <c r="O1" s="1069"/>
      <c r="P1" s="1069"/>
      <c r="Q1" s="1069"/>
      <c r="R1" s="1333"/>
      <c r="S1" s="1333"/>
      <c r="T1" s="1333"/>
      <c r="U1" s="1333"/>
      <c r="V1" s="1333"/>
      <c r="W1" s="1333"/>
      <c r="X1" s="1333"/>
      <c r="Y1" s="1333"/>
      <c r="Z1" s="1333"/>
      <c r="AA1" s="1333"/>
      <c r="AB1" s="1333"/>
      <c r="AC1" s="1333"/>
      <c r="AD1" s="1333"/>
      <c r="AE1" s="1333"/>
      <c r="AF1" s="1333"/>
      <c r="AG1" s="1333"/>
      <c r="AH1" s="1097"/>
      <c r="AI1" s="1333"/>
      <c r="AJ1" s="1333"/>
      <c r="AK1" s="1333"/>
    </row>
    <row r="2" spans="1:37">
      <c r="A2" s="1333"/>
      <c r="B2" s="1333"/>
      <c r="C2" s="1068" t="str">
        <f>CASE</f>
        <v>CASE NO. 2017-00321</v>
      </c>
      <c r="D2" s="1069"/>
      <c r="E2" s="1069"/>
      <c r="F2" s="1069"/>
      <c r="G2" s="1069"/>
      <c r="H2" s="1069"/>
      <c r="I2" s="1069"/>
      <c r="J2" s="1069"/>
      <c r="K2" s="1069"/>
      <c r="L2" s="1069"/>
      <c r="M2" s="1069"/>
      <c r="N2" s="1069"/>
      <c r="O2" s="1069"/>
      <c r="P2" s="1069"/>
      <c r="Q2" s="1069"/>
      <c r="R2" s="1333"/>
      <c r="S2" s="1333"/>
      <c r="T2" s="1333"/>
      <c r="U2" s="1333"/>
      <c r="V2" s="1333"/>
      <c r="W2" s="1333"/>
      <c r="X2" s="1333"/>
      <c r="Y2" s="1333"/>
      <c r="Z2" s="1333"/>
      <c r="AA2" s="1333"/>
      <c r="AB2" s="1333"/>
      <c r="AC2" s="1333"/>
      <c r="AD2" s="1333"/>
      <c r="AE2" s="1333"/>
      <c r="AF2" s="1333"/>
      <c r="AG2" s="1333"/>
      <c r="AH2" s="1097"/>
      <c r="AI2" s="1333"/>
      <c r="AJ2" s="1333"/>
      <c r="AK2" s="1333"/>
    </row>
    <row r="3" spans="1:37">
      <c r="A3" s="1333"/>
      <c r="B3" s="1333"/>
      <c r="C3" s="1068" t="s">
        <v>841</v>
      </c>
      <c r="D3" s="1069"/>
      <c r="E3" s="1069"/>
      <c r="F3" s="1069"/>
      <c r="G3" s="1069"/>
      <c r="H3" s="1069"/>
      <c r="I3" s="1069"/>
      <c r="J3" s="1069"/>
      <c r="K3" s="1069"/>
      <c r="L3" s="1069"/>
      <c r="M3" s="1069"/>
      <c r="N3" s="1069"/>
      <c r="O3" s="1069"/>
      <c r="P3" s="1069"/>
      <c r="Q3" s="1069"/>
      <c r="R3" s="1333"/>
      <c r="S3" s="1333"/>
      <c r="T3" s="1333"/>
      <c r="U3" s="1333"/>
      <c r="V3" s="1333"/>
      <c r="W3" s="1333"/>
      <c r="X3" s="1333"/>
      <c r="Y3" s="1333"/>
      <c r="Z3" s="1333"/>
      <c r="AA3" s="1333"/>
      <c r="AB3" s="1333"/>
      <c r="AC3" s="1333"/>
      <c r="AD3" s="1333"/>
      <c r="AE3" s="1333"/>
      <c r="AF3" s="1333"/>
      <c r="AG3" s="1333"/>
      <c r="AH3" s="1097"/>
      <c r="AI3" s="1333"/>
      <c r="AJ3" s="1333"/>
      <c r="AK3" s="1333"/>
    </row>
    <row r="4" spans="1:37">
      <c r="A4" s="1333"/>
      <c r="B4" s="1333"/>
      <c r="C4" s="1068" t="str">
        <f>PERIOD</f>
        <v>FOR THE TWELVE MONTHS ENDED NOVEMBER 30, 2017</v>
      </c>
      <c r="D4" s="1069"/>
      <c r="E4" s="1069"/>
      <c r="F4" s="1069"/>
      <c r="G4" s="1069"/>
      <c r="H4" s="1069"/>
      <c r="I4" s="1069"/>
      <c r="J4" s="1069"/>
      <c r="K4" s="1069"/>
      <c r="L4" s="1069"/>
      <c r="M4" s="1069"/>
      <c r="N4" s="1069"/>
      <c r="O4" s="1069"/>
      <c r="P4" s="1069"/>
      <c r="Q4" s="1069"/>
      <c r="R4" s="1333"/>
      <c r="S4" s="1333"/>
      <c r="T4" s="1333"/>
      <c r="U4" s="1333"/>
      <c r="V4" s="1333"/>
      <c r="W4" s="1333"/>
      <c r="X4" s="1333"/>
      <c r="Y4" s="1333"/>
      <c r="Z4" s="1333"/>
      <c r="AA4" s="1333"/>
      <c r="AB4" s="1333"/>
      <c r="AC4" s="1333"/>
      <c r="AD4" s="1333"/>
      <c r="AE4" s="1333"/>
      <c r="AF4" s="1333"/>
      <c r="AG4" s="1333"/>
      <c r="AH4" s="1097"/>
      <c r="AI4" s="1333"/>
      <c r="AJ4" s="1333"/>
      <c r="AK4" s="1333"/>
    </row>
    <row r="5" spans="1:37">
      <c r="A5" s="1333"/>
      <c r="B5" s="1333"/>
      <c r="C5" s="1068" t="str">
        <f>PeriodF</f>
        <v>FOR THE TWELVE MONTHS ENDED MARCH 31, 2019</v>
      </c>
      <c r="D5" s="1069"/>
      <c r="E5" s="1069"/>
      <c r="F5" s="1069"/>
      <c r="G5" s="1069"/>
      <c r="H5" s="1069"/>
      <c r="I5" s="1069"/>
      <c r="J5" s="1069"/>
      <c r="K5" s="1069"/>
      <c r="L5" s="1069"/>
      <c r="M5" s="1069"/>
      <c r="N5" s="1069"/>
      <c r="O5" s="1069"/>
      <c r="P5" s="1069"/>
      <c r="Q5" s="1069"/>
      <c r="R5" s="1333"/>
      <c r="S5" s="1333"/>
      <c r="T5" s="1333"/>
      <c r="U5" s="1333"/>
      <c r="V5" s="1333"/>
      <c r="W5" s="1333"/>
      <c r="X5" s="1333"/>
      <c r="Y5" s="1333"/>
      <c r="Z5" s="1333"/>
      <c r="AA5" s="1333"/>
      <c r="AB5" s="1333"/>
      <c r="AC5" s="1333"/>
      <c r="AD5" s="1333"/>
      <c r="AE5" s="1333"/>
      <c r="AF5" s="1333"/>
      <c r="AG5" s="1333"/>
      <c r="AH5" s="1097"/>
      <c r="AI5" s="1333"/>
      <c r="AJ5" s="1333"/>
      <c r="AK5" s="1333"/>
    </row>
    <row r="6" spans="1:37">
      <c r="A6" s="1333"/>
      <c r="B6" s="1333"/>
      <c r="C6" s="1333"/>
      <c r="D6" s="1333"/>
      <c r="E6" s="1070"/>
      <c r="F6" s="1333"/>
      <c r="G6" s="1333"/>
      <c r="H6" s="1333"/>
      <c r="I6" s="1333"/>
      <c r="J6" s="1333"/>
      <c r="K6" s="1333"/>
      <c r="L6" s="1333"/>
      <c r="M6" s="1333"/>
      <c r="N6" s="1333"/>
      <c r="O6" s="1333"/>
      <c r="P6" s="1333"/>
      <c r="Q6" s="1333"/>
      <c r="R6" s="1333"/>
      <c r="S6" s="1333"/>
      <c r="T6" s="1333"/>
      <c r="U6" s="1333"/>
      <c r="V6" s="1333"/>
      <c r="W6" s="1333"/>
      <c r="X6" s="1333"/>
      <c r="Y6" s="1333"/>
      <c r="Z6" s="1333"/>
      <c r="AA6" s="1333"/>
      <c r="AB6" s="1333"/>
      <c r="AC6" s="1333"/>
      <c r="AD6" s="1333"/>
      <c r="AE6" s="1333"/>
      <c r="AF6" s="1333"/>
      <c r="AG6" s="1333"/>
      <c r="AH6" s="1097"/>
      <c r="AI6" s="1333"/>
      <c r="AJ6" s="1333"/>
      <c r="AK6" s="1333"/>
    </row>
    <row r="7" spans="1:37">
      <c r="A7" s="1333"/>
      <c r="B7" s="1333"/>
      <c r="C7" s="1071" t="str">
        <f>DataB</f>
        <v>DATA: "X" BASE PERIOD  "X" FORECASTED PERIOD</v>
      </c>
      <c r="D7" s="1333"/>
      <c r="E7" s="1070"/>
      <c r="F7" s="1333"/>
      <c r="G7" s="1333"/>
      <c r="H7" s="1333"/>
      <c r="I7" s="1333"/>
      <c r="J7" s="1333"/>
      <c r="K7" s="1333"/>
      <c r="L7" s="1333"/>
      <c r="M7" s="1333"/>
      <c r="N7" s="1333"/>
      <c r="O7" s="1072" t="s">
        <v>842</v>
      </c>
      <c r="P7" s="1072"/>
      <c r="Q7" s="1333"/>
      <c r="R7" s="1333"/>
      <c r="S7" s="1333"/>
      <c r="T7" s="1333"/>
      <c r="U7" s="1333"/>
      <c r="V7" s="1333"/>
      <c r="W7" s="1333"/>
      <c r="X7" s="1333"/>
      <c r="Y7" s="1333"/>
      <c r="Z7" s="1333"/>
      <c r="AA7" s="1333"/>
      <c r="AB7" s="1333"/>
      <c r="AC7" s="1333"/>
      <c r="AD7" s="1333"/>
      <c r="AE7" s="1333"/>
      <c r="AF7" s="1333"/>
      <c r="AG7" s="1333"/>
      <c r="AH7" s="1097"/>
      <c r="AI7" s="1333"/>
      <c r="AJ7" s="1333"/>
      <c r="AK7" s="1333"/>
    </row>
    <row r="8" spans="1:37">
      <c r="A8" s="1333"/>
      <c r="B8" s="1333"/>
      <c r="C8" s="1071" t="str">
        <f>Type</f>
        <v xml:space="preserve">TYPE OF FILING:  "X" ORIGINAL   UPDATED    REVISED  </v>
      </c>
      <c r="D8" s="1333"/>
      <c r="E8" s="1070"/>
      <c r="F8" s="1333"/>
      <c r="G8" s="1333"/>
      <c r="H8" s="1333"/>
      <c r="I8" s="1333"/>
      <c r="J8" s="1333"/>
      <c r="K8" s="1333"/>
      <c r="L8" s="1333"/>
      <c r="M8" s="1333"/>
      <c r="N8" s="1333"/>
      <c r="O8" s="1072" t="s">
        <v>1815</v>
      </c>
      <c r="P8" s="1072"/>
      <c r="Q8" s="1333"/>
      <c r="R8" s="1333"/>
      <c r="S8" s="1333"/>
      <c r="T8" s="1333"/>
      <c r="U8" s="1333"/>
      <c r="V8" s="1333"/>
      <c r="W8" s="1333"/>
      <c r="X8" s="1333"/>
      <c r="Y8" s="1333"/>
      <c r="Z8" s="1333"/>
      <c r="AA8" s="1333"/>
      <c r="AB8" s="1333"/>
      <c r="AC8" s="1333"/>
      <c r="AD8" s="1333"/>
      <c r="AE8" s="1333"/>
      <c r="AF8" s="1333"/>
      <c r="AG8" s="1333"/>
      <c r="AH8" s="1097"/>
      <c r="AI8" s="1333"/>
      <c r="AJ8" s="1333"/>
      <c r="AK8" s="1333"/>
    </row>
    <row r="9" spans="1:37">
      <c r="A9" s="1333"/>
      <c r="B9" s="1333"/>
      <c r="C9" s="1072" t="s">
        <v>1491</v>
      </c>
      <c r="D9" s="1333"/>
      <c r="E9" s="1070"/>
      <c r="F9" s="1333"/>
      <c r="G9" s="1333"/>
      <c r="H9" s="1333"/>
      <c r="I9" s="1097"/>
      <c r="J9" s="1333"/>
      <c r="K9" s="1097"/>
      <c r="L9" s="1333"/>
      <c r="M9" s="1333"/>
      <c r="N9" s="1333"/>
      <c r="O9" s="1072" t="s">
        <v>622</v>
      </c>
      <c r="P9" s="1072"/>
      <c r="Q9" s="1333"/>
      <c r="R9" s="1333"/>
      <c r="S9" s="1333"/>
      <c r="T9" s="1333"/>
      <c r="U9" s="1333"/>
      <c r="V9" s="1333"/>
      <c r="W9" s="1333"/>
      <c r="X9" s="1333"/>
      <c r="Y9" s="1333"/>
      <c r="Z9" s="1333"/>
      <c r="AA9" s="1333"/>
      <c r="AB9" s="1333"/>
      <c r="AC9" s="1333"/>
      <c r="AD9" s="1333"/>
      <c r="AE9" s="1333"/>
      <c r="AF9" s="1333"/>
      <c r="AG9" s="1333"/>
      <c r="AH9" s="1097"/>
      <c r="AI9" s="1333"/>
      <c r="AJ9" s="1333"/>
      <c r="AK9" s="1333"/>
    </row>
    <row r="10" spans="1:37">
      <c r="A10" s="1333"/>
      <c r="B10" s="1333"/>
      <c r="C10" s="1333"/>
      <c r="D10" s="1333"/>
      <c r="E10" s="1070"/>
      <c r="F10" s="1333"/>
      <c r="G10" s="1333"/>
      <c r="H10" s="1333"/>
      <c r="I10" s="1333"/>
      <c r="J10" s="1333"/>
      <c r="K10" s="1333"/>
      <c r="L10" s="1333"/>
      <c r="M10" s="1333"/>
      <c r="N10" s="1333"/>
      <c r="O10" s="1072" t="str">
        <f>_WIT3</f>
        <v>L. M. BELLUCCI</v>
      </c>
      <c r="P10" s="1073"/>
      <c r="Q10" s="1333"/>
      <c r="R10" s="1333"/>
      <c r="S10" s="1333"/>
      <c r="T10" s="1333"/>
      <c r="U10" s="1333"/>
      <c r="V10" s="1333"/>
      <c r="W10" s="1333"/>
      <c r="X10" s="1333"/>
      <c r="Y10" s="1333"/>
      <c r="Z10" s="1333"/>
      <c r="AA10" s="1333"/>
      <c r="AB10" s="1333"/>
      <c r="AC10" s="1333"/>
      <c r="AD10" s="1333"/>
      <c r="AE10" s="1333"/>
      <c r="AF10" s="1333"/>
      <c r="AG10" s="1333"/>
      <c r="AH10" s="1097"/>
      <c r="AI10" s="1333"/>
      <c r="AJ10" s="1333"/>
      <c r="AK10" s="1333"/>
    </row>
    <row r="11" spans="1:37">
      <c r="A11" s="1333"/>
      <c r="B11" s="1333"/>
      <c r="C11" s="1333"/>
      <c r="D11" s="1333"/>
      <c r="E11" s="1070"/>
      <c r="F11" s="1333"/>
      <c r="G11" s="1333"/>
      <c r="H11" s="1333"/>
      <c r="I11" s="1333"/>
      <c r="J11" s="1333"/>
      <c r="K11" s="1333"/>
      <c r="L11" s="1333"/>
      <c r="M11" s="1333"/>
      <c r="N11" s="1333"/>
      <c r="O11" s="1072"/>
      <c r="P11" s="1073"/>
      <c r="Q11" s="1333"/>
      <c r="R11" s="1333"/>
      <c r="S11" s="1333"/>
      <c r="T11" s="1333"/>
      <c r="U11" s="1333"/>
      <c r="V11" s="1333"/>
      <c r="W11" s="1333"/>
      <c r="X11" s="1333"/>
      <c r="Y11" s="1333"/>
      <c r="Z11" s="1333"/>
      <c r="AA11" s="1333"/>
      <c r="AB11" s="1333"/>
      <c r="AC11" s="1333"/>
      <c r="AD11" s="1333"/>
      <c r="AE11" s="1333"/>
      <c r="AF11" s="1333"/>
      <c r="AG11" s="1333"/>
      <c r="AH11" s="1097"/>
      <c r="AI11" s="1333"/>
      <c r="AJ11" s="1333"/>
      <c r="AK11" s="1333"/>
    </row>
    <row r="12" spans="1:37">
      <c r="A12" s="1333"/>
      <c r="B12" s="1333"/>
      <c r="C12" s="1075"/>
      <c r="D12" s="1075"/>
      <c r="E12" s="1076"/>
      <c r="F12" s="1075"/>
      <c r="G12" s="1077" t="s">
        <v>1342</v>
      </c>
      <c r="H12" s="1077"/>
      <c r="I12" s="1078"/>
      <c r="J12" s="1078"/>
      <c r="K12" s="1079"/>
      <c r="L12" s="1079"/>
      <c r="M12" s="1079"/>
      <c r="N12" s="1075"/>
      <c r="O12" s="1077" t="s">
        <v>1343</v>
      </c>
      <c r="P12" s="1077"/>
      <c r="Q12" s="1078"/>
      <c r="R12" s="1080"/>
      <c r="S12" s="1333"/>
      <c r="T12" s="1333"/>
      <c r="U12" s="1333"/>
      <c r="V12" s="1333"/>
      <c r="W12" s="1333"/>
      <c r="X12" s="1333"/>
      <c r="Y12" s="1333"/>
      <c r="Z12" s="1333"/>
      <c r="AA12" s="1333"/>
      <c r="AB12" s="1333"/>
      <c r="AC12" s="1333"/>
      <c r="AD12" s="1333"/>
      <c r="AE12" s="1333"/>
      <c r="AF12" s="1333"/>
      <c r="AG12" s="1333"/>
      <c r="AH12" s="1097"/>
      <c r="AI12" s="1333"/>
      <c r="AJ12" s="1333"/>
      <c r="AK12" s="1333"/>
    </row>
    <row r="13" spans="1:37">
      <c r="A13" s="1333"/>
      <c r="B13" s="1333"/>
      <c r="C13" s="1081"/>
      <c r="D13" s="1081"/>
      <c r="E13" s="1082"/>
      <c r="F13" s="1081"/>
      <c r="G13" s="1077"/>
      <c r="H13" s="1077"/>
      <c r="I13" s="1078"/>
      <c r="J13" s="1078"/>
      <c r="K13" s="1083"/>
      <c r="L13" s="1083" t="s">
        <v>561</v>
      </c>
      <c r="M13" s="1083" t="s">
        <v>561</v>
      </c>
      <c r="N13" s="1081"/>
      <c r="O13" s="1077"/>
      <c r="P13" s="1077"/>
      <c r="Q13" s="1078"/>
      <c r="R13" s="1080"/>
      <c r="S13" s="1333"/>
      <c r="T13" s="1333"/>
      <c r="U13" s="1333"/>
      <c r="V13" s="1333"/>
      <c r="W13" s="1333"/>
      <c r="X13" s="1333"/>
      <c r="Y13" s="1333"/>
      <c r="Z13" s="1333"/>
      <c r="AA13" s="1333"/>
      <c r="AB13" s="1333"/>
      <c r="AC13" s="1333"/>
      <c r="AD13" s="1333"/>
      <c r="AE13" s="1333"/>
      <c r="AF13" s="1333"/>
      <c r="AG13" s="1333"/>
      <c r="AH13" s="1097"/>
      <c r="AI13" s="1333"/>
      <c r="AJ13" s="1333"/>
      <c r="AK13" s="1333"/>
    </row>
    <row r="14" spans="1:37">
      <c r="A14" s="1333"/>
      <c r="B14" s="1333"/>
      <c r="C14" s="1073" t="s">
        <v>1961</v>
      </c>
      <c r="D14" s="1333"/>
      <c r="E14" s="1070"/>
      <c r="F14" s="1333"/>
      <c r="G14" s="1084" t="s">
        <v>564</v>
      </c>
      <c r="H14" s="1081"/>
      <c r="I14" s="1080"/>
      <c r="J14" s="1085"/>
      <c r="K14" s="1084" t="s">
        <v>1143</v>
      </c>
      <c r="L14" s="1084" t="s">
        <v>584</v>
      </c>
      <c r="M14" s="1084" t="s">
        <v>1143</v>
      </c>
      <c r="N14" s="1333"/>
      <c r="O14" s="1080"/>
      <c r="P14" s="1080"/>
      <c r="Q14" s="1081"/>
      <c r="R14" s="1081"/>
      <c r="S14" s="1333"/>
      <c r="T14" s="1333"/>
      <c r="U14" s="1333"/>
      <c r="V14" s="1333"/>
      <c r="W14" s="1333"/>
      <c r="X14" s="1333"/>
      <c r="Y14" s="1333"/>
      <c r="Z14" s="1333"/>
      <c r="AA14" s="1333"/>
      <c r="AB14" s="1333"/>
      <c r="AC14" s="1333"/>
      <c r="AD14" s="1333"/>
      <c r="AE14" s="1333"/>
      <c r="AF14" s="1333"/>
      <c r="AG14" s="1333"/>
      <c r="AH14" s="1097"/>
      <c r="AI14" s="1333"/>
      <c r="AJ14" s="1333"/>
      <c r="AK14" s="1333"/>
    </row>
    <row r="15" spans="1:37">
      <c r="A15" s="1333"/>
      <c r="B15" s="1333"/>
      <c r="C15" s="1073" t="s">
        <v>1854</v>
      </c>
      <c r="D15" s="1333"/>
      <c r="E15" s="1072" t="s">
        <v>361</v>
      </c>
      <c r="F15" s="1333"/>
      <c r="G15" s="1073" t="s">
        <v>568</v>
      </c>
      <c r="H15" s="1073"/>
      <c r="I15" s="1073" t="s">
        <v>560</v>
      </c>
      <c r="J15" s="1073"/>
      <c r="K15" s="1073" t="s">
        <v>568</v>
      </c>
      <c r="L15" s="1073" t="s">
        <v>565</v>
      </c>
      <c r="M15" s="1073" t="s">
        <v>568</v>
      </c>
      <c r="N15" s="1333"/>
      <c r="O15" s="1073" t="s">
        <v>560</v>
      </c>
      <c r="P15" s="1073"/>
      <c r="Q15" s="1073" t="s">
        <v>541</v>
      </c>
      <c r="R15" s="1073"/>
      <c r="S15" s="1333"/>
      <c r="T15" s="1333"/>
      <c r="U15" s="1333"/>
      <c r="V15" s="1333"/>
      <c r="W15" s="1333"/>
      <c r="X15" s="1333"/>
      <c r="Y15" s="1333"/>
      <c r="Z15" s="1333"/>
      <c r="AA15" s="1333"/>
      <c r="AB15" s="1333"/>
      <c r="AC15" s="1333"/>
      <c r="AD15" s="1333"/>
      <c r="AE15" s="1333"/>
      <c r="AF15" s="1333"/>
      <c r="AG15" s="1333"/>
      <c r="AH15" s="1097"/>
      <c r="AI15" s="1333"/>
      <c r="AJ15" s="1333"/>
      <c r="AK15" s="1333"/>
    </row>
    <row r="16" spans="1:37">
      <c r="A16" s="1333"/>
      <c r="B16" s="1333"/>
      <c r="C16" s="1086"/>
      <c r="D16" s="1086"/>
      <c r="E16" s="1087"/>
      <c r="F16" s="1086"/>
      <c r="G16" s="1088" t="s">
        <v>365</v>
      </c>
      <c r="H16" s="1088"/>
      <c r="I16" s="1089" t="s">
        <v>318</v>
      </c>
      <c r="J16" s="1089"/>
      <c r="K16" s="1089" t="s">
        <v>319</v>
      </c>
      <c r="L16" s="1089" t="s">
        <v>320</v>
      </c>
      <c r="M16" s="1089" t="s">
        <v>321</v>
      </c>
      <c r="N16" s="1086"/>
      <c r="O16" s="1089" t="s">
        <v>322</v>
      </c>
      <c r="P16" s="1089"/>
      <c r="Q16" s="1089" t="s">
        <v>507</v>
      </c>
      <c r="R16" s="1090"/>
      <c r="S16" s="1333"/>
      <c r="T16" s="1333"/>
      <c r="U16" s="1333"/>
      <c r="V16" s="1333"/>
      <c r="W16" s="1333"/>
      <c r="X16" s="1333"/>
      <c r="Y16" s="1333"/>
      <c r="Z16" s="1333"/>
      <c r="AA16" s="1333"/>
      <c r="AB16" s="1333"/>
      <c r="AC16" s="1333"/>
      <c r="AD16" s="1333"/>
      <c r="AE16" s="1333"/>
      <c r="AF16" s="1333"/>
      <c r="AG16" s="1333"/>
      <c r="AH16" s="1097"/>
      <c r="AI16" s="1333"/>
      <c r="AJ16" s="1333"/>
      <c r="AK16" s="1333"/>
    </row>
    <row r="17" spans="1:56">
      <c r="A17" s="1333"/>
      <c r="B17" s="1333"/>
      <c r="C17" s="1081"/>
      <c r="D17" s="1081"/>
      <c r="E17" s="1081"/>
      <c r="F17" s="1081"/>
      <c r="G17" s="1080" t="s">
        <v>1150</v>
      </c>
      <c r="H17" s="1080"/>
      <c r="I17" s="1080" t="s">
        <v>1150</v>
      </c>
      <c r="J17" s="1080"/>
      <c r="K17" s="1080" t="s">
        <v>1150</v>
      </c>
      <c r="L17" s="1080" t="s">
        <v>1150</v>
      </c>
      <c r="M17" s="1080" t="s">
        <v>1150</v>
      </c>
      <c r="N17" s="1084"/>
      <c r="O17" s="1080" t="s">
        <v>1150</v>
      </c>
      <c r="P17" s="1080"/>
      <c r="Q17" s="1080" t="s">
        <v>1150</v>
      </c>
      <c r="R17" s="1080"/>
      <c r="S17" s="1333"/>
      <c r="T17" s="1333"/>
      <c r="U17" s="1333"/>
      <c r="V17" s="1333"/>
      <c r="W17" s="1333"/>
      <c r="X17" s="1333"/>
      <c r="Y17" s="1333"/>
      <c r="Z17" s="1333"/>
      <c r="AA17" s="1333"/>
      <c r="AB17" s="1333"/>
      <c r="AC17" s="1333"/>
      <c r="AD17" s="1333"/>
      <c r="AE17" s="1333"/>
      <c r="AF17" s="1333"/>
      <c r="AG17" s="1333"/>
      <c r="AH17" s="1097"/>
      <c r="AI17" s="1333"/>
      <c r="AJ17" s="1333"/>
      <c r="AK17" s="1333"/>
    </row>
    <row r="18" spans="1:56">
      <c r="A18" s="1333"/>
      <c r="B18" s="1333"/>
      <c r="C18" s="1073">
        <v>1</v>
      </c>
      <c r="D18" s="1333"/>
      <c r="E18" s="1072" t="s">
        <v>1344</v>
      </c>
      <c r="F18" s="1081"/>
      <c r="G18" s="1081"/>
      <c r="H18" s="1081"/>
      <c r="I18" s="1081"/>
      <c r="J18" s="1081"/>
      <c r="K18" s="1081"/>
      <c r="L18" s="1081"/>
      <c r="M18" s="1081"/>
      <c r="N18" s="1081"/>
      <c r="O18" s="1081"/>
      <c r="P18" s="1081"/>
      <c r="Q18" s="1081"/>
      <c r="R18" s="1333"/>
      <c r="S18" s="1333"/>
      <c r="T18" s="1333"/>
      <c r="U18" s="1333"/>
      <c r="V18" s="1333"/>
      <c r="W18" s="1333"/>
      <c r="X18" s="1333"/>
      <c r="Y18" s="1333"/>
      <c r="Z18" s="1333"/>
      <c r="AA18" s="1333"/>
      <c r="AB18" s="1333"/>
      <c r="AC18" s="1333"/>
      <c r="AD18" s="1333"/>
      <c r="AE18" s="1333"/>
      <c r="AF18" s="1333"/>
      <c r="AG18" s="1333"/>
      <c r="AH18" s="1097"/>
      <c r="AI18" s="1333"/>
      <c r="AJ18" s="1333"/>
      <c r="AK18" s="1333"/>
    </row>
    <row r="19" spans="1:56">
      <c r="A19" s="1333"/>
      <c r="B19" s="1333"/>
      <c r="C19" s="1073">
        <v>2</v>
      </c>
      <c r="D19" s="1333"/>
      <c r="E19" s="1072" t="s">
        <v>1345</v>
      </c>
      <c r="F19" s="1081"/>
      <c r="G19" s="1092">
        <f>'SCH_C2.1 - Base Period'!$J$51-'SCH_C2.1 - Base Period'!$J$283-'SCH_C2.1 - Base Period'!$J$286-'SCH_C2.1 - Base Period'!$J$292-'SCH_C2.1 - Base Period'!$J$331</f>
        <v>53904591</v>
      </c>
      <c r="H19" s="1093"/>
      <c r="I19" s="1093">
        <f ca="1">K19-G19</f>
        <v>-30613497</v>
      </c>
      <c r="J19" s="1093"/>
      <c r="K19" s="1092">
        <f ca="1">'SCH_C2.1 - Forecasted Period'!$J$47-'SCH_C2.1 - Forecasted Period'!$J$288-'SCH_C2.1 - Forecasted Period'!$J$291-'SCH_C2.1 - Forecasted Period'!$J$297-'SCH_C2.1 - Forecasted Period'!$J$334</f>
        <v>23291094</v>
      </c>
      <c r="L19" s="1092">
        <f ca="1">SCH_C2!J20-SCH_C2!J37-SCH_C2!J39-SCH_C2!J44</f>
        <v>1252307</v>
      </c>
      <c r="M19" s="1092">
        <f ca="1">K19+L19</f>
        <v>24543401</v>
      </c>
      <c r="N19" s="1094"/>
      <c r="O19" s="1093">
        <f>MINCR-C_1_PROEXP</f>
        <v>48512630</v>
      </c>
      <c r="P19" s="1093"/>
      <c r="Q19" s="1093">
        <f ca="1">M19+O19</f>
        <v>73056031</v>
      </c>
      <c r="R19" s="1093"/>
      <c r="S19" s="1333"/>
      <c r="T19" s="1333"/>
      <c r="U19" s="1333"/>
      <c r="V19" s="1333"/>
      <c r="W19" s="1333"/>
      <c r="X19" s="1333"/>
      <c r="Y19" s="1333"/>
      <c r="Z19" s="1333"/>
      <c r="AA19" s="1333"/>
      <c r="AB19" s="1333"/>
      <c r="AC19" s="1333"/>
      <c r="AD19" s="1333"/>
      <c r="AE19" s="1333"/>
      <c r="AF19" s="1333"/>
      <c r="AG19" s="1333"/>
      <c r="AH19" s="1097"/>
      <c r="AI19" s="1333"/>
      <c r="AJ19" s="1333"/>
      <c r="AK19" s="1333"/>
    </row>
    <row r="20" spans="1:56">
      <c r="A20" s="1333"/>
      <c r="B20" s="1333"/>
      <c r="C20" s="1073">
        <v>3</v>
      </c>
      <c r="D20" s="1333"/>
      <c r="E20" s="1333"/>
      <c r="F20" s="1081"/>
      <c r="G20" s="1095"/>
      <c r="H20" s="1095"/>
      <c r="I20" s="1095"/>
      <c r="J20" s="1095"/>
      <c r="K20" s="1095"/>
      <c r="L20" s="1095"/>
      <c r="M20" s="1095"/>
      <c r="N20" s="1094"/>
      <c r="O20" s="1095"/>
      <c r="P20" s="1095"/>
      <c r="Q20" s="1095"/>
      <c r="R20" s="1096"/>
      <c r="S20" s="1333"/>
      <c r="T20" s="1333"/>
      <c r="U20" s="1333"/>
      <c r="V20" s="1333"/>
      <c r="W20" s="1333"/>
      <c r="X20" s="1333"/>
      <c r="Y20" s="1333"/>
      <c r="Z20" s="1333"/>
      <c r="AA20" s="1333"/>
      <c r="AB20" s="1333"/>
      <c r="AC20" s="1333"/>
      <c r="AD20" s="1333"/>
      <c r="AE20" s="1333"/>
      <c r="AF20" s="1333"/>
      <c r="AG20" s="1333"/>
      <c r="AH20" s="1097"/>
      <c r="AI20" s="1333"/>
      <c r="AJ20" s="1333"/>
      <c r="AK20" s="1333"/>
    </row>
    <row r="21" spans="1:56">
      <c r="A21" s="1333"/>
      <c r="B21" s="1333"/>
      <c r="C21" s="1073">
        <v>4</v>
      </c>
      <c r="D21" s="1333"/>
      <c r="E21" s="1072" t="s">
        <v>1346</v>
      </c>
      <c r="F21" s="1081"/>
      <c r="G21" s="1094"/>
      <c r="H21" s="1094"/>
      <c r="I21" s="1094"/>
      <c r="J21" s="1094"/>
      <c r="K21" s="1094"/>
      <c r="L21" s="1094"/>
      <c r="M21" s="1094"/>
      <c r="N21" s="1094"/>
      <c r="O21" s="1094"/>
      <c r="P21" s="1094"/>
      <c r="Q21" s="1094"/>
      <c r="R21" s="1097"/>
      <c r="S21" s="1333"/>
      <c r="T21" s="1333"/>
      <c r="U21" s="1333"/>
      <c r="V21" s="1333"/>
      <c r="W21" s="1333"/>
      <c r="X21" s="1333"/>
      <c r="Y21" s="1333"/>
      <c r="Z21" s="1333"/>
      <c r="AA21" s="1333"/>
      <c r="AB21" s="1333"/>
      <c r="AC21" s="1333"/>
      <c r="AD21" s="1333"/>
      <c r="AE21" s="1333"/>
      <c r="AF21" s="1333"/>
      <c r="AG21" s="1333"/>
      <c r="AH21" s="1097"/>
      <c r="AI21" s="1333"/>
      <c r="AJ21" s="1333"/>
      <c r="AK21" s="1333"/>
    </row>
    <row r="22" spans="1:56">
      <c r="A22" s="1330"/>
      <c r="B22" s="1056">
        <v>1107</v>
      </c>
      <c r="C22" s="1073">
        <v>5</v>
      </c>
      <c r="D22" s="1333"/>
      <c r="E22" s="1072" t="s">
        <v>1347</v>
      </c>
      <c r="F22" s="1081"/>
      <c r="G22" s="1098">
        <f>VLOOKUP(B22,T150:X158,4)</f>
        <v>-9152456</v>
      </c>
      <c r="H22" s="1093"/>
      <c r="I22" s="1099">
        <f>K22-G22</f>
        <v>-5003054</v>
      </c>
      <c r="J22" s="1093"/>
      <c r="K22" s="1098">
        <f>VLOOKUP(B22,T150:X158,5,)</f>
        <v>-14155510</v>
      </c>
      <c r="L22" s="1098">
        <f ca="1">-D_1_INTADJ</f>
        <v>-280449</v>
      </c>
      <c r="M22" s="1098">
        <f ca="1">K22+L22</f>
        <v>-14435959</v>
      </c>
      <c r="N22" s="1094"/>
      <c r="O22" s="1093">
        <v>0</v>
      </c>
      <c r="P22" s="1093"/>
      <c r="Q22" s="1093">
        <f ca="1">M22+O22</f>
        <v>-14435959</v>
      </c>
      <c r="R22" s="1093"/>
      <c r="S22" s="1333"/>
      <c r="T22" s="1333"/>
      <c r="U22" s="1333"/>
      <c r="V22" s="1333"/>
      <c r="W22" s="1333"/>
      <c r="X22" s="1333"/>
      <c r="Y22" s="1333"/>
      <c r="Z22" s="1333"/>
      <c r="AA22" s="1333"/>
      <c r="AB22" s="1333"/>
      <c r="AC22" s="1333"/>
      <c r="AD22" s="1333"/>
      <c r="AE22" s="1333"/>
      <c r="AF22" s="1333"/>
      <c r="AG22" s="1333"/>
      <c r="AH22" s="1097"/>
      <c r="AI22" s="1333"/>
      <c r="AJ22" s="1333"/>
      <c r="AK22" s="1333"/>
    </row>
    <row r="23" spans="1:56">
      <c r="A23" s="1330"/>
      <c r="B23" s="1330"/>
      <c r="C23" s="1073">
        <v>6</v>
      </c>
      <c r="D23" s="1333"/>
      <c r="E23" s="1072" t="s">
        <v>1348</v>
      </c>
      <c r="F23" s="1081"/>
      <c r="G23" s="1100">
        <f>SUM(G22:G22)</f>
        <v>-9152456</v>
      </c>
      <c r="H23" s="1093"/>
      <c r="I23" s="1100">
        <f>SUM(I22:I22)</f>
        <v>-5003054</v>
      </c>
      <c r="J23" s="1095"/>
      <c r="K23" s="1100">
        <f>SUM(K22:K22)</f>
        <v>-14155510</v>
      </c>
      <c r="L23" s="1100">
        <f ca="1">SUM(L22:L22)</f>
        <v>-280449</v>
      </c>
      <c r="M23" s="1100">
        <f ca="1">SUM(M22:M22)</f>
        <v>-14435959</v>
      </c>
      <c r="N23" s="1094"/>
      <c r="O23" s="1100">
        <f>SUM(O22:O22)</f>
        <v>0</v>
      </c>
      <c r="P23" s="1095"/>
      <c r="Q23" s="1100">
        <f ca="1">SUM(Q22:Q22)</f>
        <v>-14435959</v>
      </c>
      <c r="R23" s="1096"/>
      <c r="S23" s="1333"/>
      <c r="T23" s="1333"/>
      <c r="U23" s="1333"/>
      <c r="V23" s="1333"/>
      <c r="W23" s="1333"/>
      <c r="X23" s="1333"/>
      <c r="Y23" s="1333"/>
      <c r="Z23" s="1333"/>
      <c r="AA23" s="1333"/>
      <c r="AB23" s="1333"/>
      <c r="AC23" s="1333"/>
      <c r="AD23" s="1333"/>
      <c r="AE23" s="1333"/>
      <c r="AF23" s="1333"/>
      <c r="AG23" s="1333"/>
      <c r="AH23" s="1097"/>
      <c r="AI23" s="1333"/>
      <c r="AJ23" s="1333"/>
      <c r="AK23" s="1333"/>
    </row>
    <row r="24" spans="1:56">
      <c r="A24" s="1330"/>
      <c r="B24" s="1330"/>
      <c r="C24" s="1073">
        <v>7</v>
      </c>
      <c r="D24" s="1333"/>
      <c r="E24" s="1333"/>
      <c r="F24" s="1081"/>
      <c r="G24" s="1093"/>
      <c r="H24" s="1093"/>
      <c r="I24" s="1101"/>
      <c r="J24" s="1101"/>
      <c r="K24" s="1093"/>
      <c r="L24" s="1093"/>
      <c r="M24" s="1093"/>
      <c r="N24" s="1094"/>
      <c r="O24" s="1093"/>
      <c r="P24" s="1093"/>
      <c r="Q24" s="1093"/>
      <c r="R24" s="1074"/>
      <c r="S24" s="1333"/>
      <c r="T24" s="1333"/>
      <c r="U24" s="1333"/>
      <c r="V24" s="1333"/>
      <c r="W24" s="1333"/>
      <c r="X24" s="1333"/>
      <c r="Y24" s="1333"/>
      <c r="Z24" s="1333"/>
      <c r="AA24" s="1333"/>
      <c r="AB24" s="1333"/>
      <c r="AC24" s="1333"/>
      <c r="AD24" s="1333"/>
      <c r="AE24" s="1333"/>
      <c r="AF24" s="1333"/>
      <c r="AG24" s="1333"/>
      <c r="AH24" s="1097"/>
      <c r="AI24" s="1333"/>
      <c r="AJ24" s="1333"/>
      <c r="AK24" s="1333"/>
    </row>
    <row r="25" spans="1:56">
      <c r="A25" s="1330"/>
      <c r="B25" s="1103" t="s">
        <v>769</v>
      </c>
      <c r="C25" s="1073">
        <v>8</v>
      </c>
      <c r="D25" s="1333"/>
      <c r="E25" s="1098" t="str">
        <f>"   "&amp;VLOOKUP(B25,TAXRECONTABLE,2,FALSE)</f>
        <v xml:space="preserve">   Permanent Differences</v>
      </c>
      <c r="F25" s="1081"/>
      <c r="G25" s="1098">
        <f>VLOOKUP(B25,T150:X158,4)</f>
        <v>838490.59999999963</v>
      </c>
      <c r="H25" s="1093"/>
      <c r="I25" s="1098">
        <f>K25-G25</f>
        <v>320386.40000000037</v>
      </c>
      <c r="J25" s="1093"/>
      <c r="K25" s="1098">
        <f>VLOOKUP(B25,T150:X158,5,)</f>
        <v>1158877</v>
      </c>
      <c r="L25" s="1098">
        <v>0</v>
      </c>
      <c r="M25" s="1098">
        <f>K25+L25</f>
        <v>1158877</v>
      </c>
      <c r="N25" s="1094"/>
      <c r="O25" s="1093">
        <v>0</v>
      </c>
      <c r="P25" s="1093"/>
      <c r="Q25" s="1093">
        <f>M25+O25</f>
        <v>1158877</v>
      </c>
      <c r="R25" s="1074"/>
      <c r="S25" s="1333"/>
      <c r="T25" s="1333"/>
      <c r="U25" s="1333"/>
      <c r="V25" s="1333"/>
      <c r="W25" s="1333"/>
      <c r="X25" s="1333"/>
      <c r="Y25" s="1333"/>
      <c r="Z25" s="1333"/>
      <c r="AA25" s="1333"/>
      <c r="AB25" s="1333"/>
      <c r="AC25" s="1333"/>
      <c r="AD25" s="1333"/>
      <c r="AE25" s="1333"/>
      <c r="AF25" s="1333"/>
      <c r="AG25" s="1333"/>
      <c r="AH25" s="1097"/>
      <c r="AI25" s="1333"/>
      <c r="AJ25" s="1333"/>
      <c r="AK25" s="1333"/>
    </row>
    <row r="26" spans="1:56">
      <c r="A26" s="1330"/>
      <c r="B26" s="1330"/>
      <c r="C26" s="1073">
        <v>9</v>
      </c>
      <c r="D26" s="1333"/>
      <c r="E26" s="1333"/>
      <c r="F26" s="1081"/>
      <c r="G26" s="1333"/>
      <c r="H26" s="1093"/>
      <c r="I26" s="1093"/>
      <c r="J26" s="1093"/>
      <c r="K26" s="1093"/>
      <c r="L26" s="1093"/>
      <c r="M26" s="1093"/>
      <c r="N26" s="1094"/>
      <c r="O26" s="1093"/>
      <c r="P26" s="1093"/>
      <c r="Q26" s="1093"/>
      <c r="R26" s="1074"/>
      <c r="S26" s="1333"/>
      <c r="T26" s="1333"/>
      <c r="U26" s="1333"/>
      <c r="V26" s="1333"/>
      <c r="W26" s="1333"/>
      <c r="X26" s="1333"/>
      <c r="Y26" s="1333"/>
      <c r="Z26" s="1333"/>
      <c r="AA26" s="1333"/>
      <c r="AB26" s="1333"/>
      <c r="AC26" s="1333"/>
      <c r="AD26" s="1333"/>
      <c r="AE26" s="1333"/>
      <c r="AF26" s="1333"/>
      <c r="AG26" s="1333"/>
      <c r="AH26" s="1097"/>
      <c r="AI26" s="1333"/>
      <c r="AJ26" s="1333"/>
      <c r="AK26" s="1333"/>
    </row>
    <row r="27" spans="1:56">
      <c r="A27" s="1330"/>
      <c r="B27" s="1102" t="s">
        <v>2791</v>
      </c>
      <c r="C27" s="1073">
        <v>10</v>
      </c>
      <c r="D27" s="1333"/>
      <c r="E27" s="1072" t="s">
        <v>234</v>
      </c>
      <c r="F27" s="1081"/>
      <c r="G27" s="1098">
        <f>VLOOKUP($B$27,T150:X158,4)</f>
        <v>-87812531.015559807</v>
      </c>
      <c r="H27" s="1093"/>
      <c r="I27" s="1093">
        <f>K27-G27</f>
        <v>-1805044.9844401926</v>
      </c>
      <c r="J27" s="1093"/>
      <c r="K27" s="1098">
        <f>VLOOKUP($B$27,T150:X158,5,)</f>
        <v>-89617576</v>
      </c>
      <c r="L27" s="1098">
        <v>0</v>
      </c>
      <c r="M27" s="1098">
        <f>K27+L27</f>
        <v>-89617576</v>
      </c>
      <c r="N27" s="1094"/>
      <c r="O27" s="1093">
        <v>0</v>
      </c>
      <c r="P27" s="1093"/>
      <c r="Q27" s="1093">
        <f>M27+O27</f>
        <v>-89617576</v>
      </c>
      <c r="R27" s="1093"/>
      <c r="S27" s="1333"/>
      <c r="T27" s="1333"/>
      <c r="U27" s="1333"/>
      <c r="V27" s="1333"/>
      <c r="W27" s="1333"/>
      <c r="X27" s="1333"/>
      <c r="Y27" s="1333"/>
      <c r="Z27" s="1333"/>
      <c r="AA27" s="1333"/>
      <c r="AB27" s="1333"/>
      <c r="AC27" s="1333"/>
      <c r="AD27" s="1333"/>
      <c r="AE27" s="1333"/>
      <c r="AF27" s="1333"/>
      <c r="AG27" s="1333"/>
      <c r="AH27" s="1097"/>
      <c r="AI27" s="1333"/>
      <c r="AJ27" s="1333"/>
      <c r="AK27" s="1333"/>
    </row>
    <row r="28" spans="1:56">
      <c r="A28" s="1330"/>
      <c r="B28" s="1102" t="s">
        <v>2777</v>
      </c>
      <c r="C28" s="1073">
        <v>11</v>
      </c>
      <c r="D28" s="1333"/>
      <c r="E28" s="1072" t="s">
        <v>1349</v>
      </c>
      <c r="F28" s="1081"/>
      <c r="G28" s="1098">
        <f>VLOOKUP($B$28,T150:X158,4)</f>
        <v>35375930</v>
      </c>
      <c r="H28" s="1093"/>
      <c r="I28" s="1099">
        <f ca="1">K28-G28</f>
        <v>9166332</v>
      </c>
      <c r="J28" s="1095"/>
      <c r="K28" s="1098">
        <f ca="1">VLOOKUP($B$28,T150:X158,5,FALSE)</f>
        <v>44542262</v>
      </c>
      <c r="L28" s="1098">
        <f ca="1">SCH_D2.24!J27+SCH_D2.21!H24</f>
        <v>6427052</v>
      </c>
      <c r="M28" s="1098">
        <f ca="1">K28+L28</f>
        <v>50969314</v>
      </c>
      <c r="N28" s="1094"/>
      <c r="O28" s="1093">
        <v>0</v>
      </c>
      <c r="P28" s="1095"/>
      <c r="Q28" s="1093">
        <f ca="1">M28+O28</f>
        <v>50969314</v>
      </c>
      <c r="R28" s="1095"/>
      <c r="S28" s="1333"/>
      <c r="T28" s="1333"/>
      <c r="U28" s="1333"/>
      <c r="V28" s="1333"/>
      <c r="W28" s="1333"/>
      <c r="X28" s="1333"/>
      <c r="Y28" s="1333"/>
      <c r="Z28" s="1333"/>
      <c r="AA28" s="1333"/>
      <c r="AB28" s="1333"/>
      <c r="AC28" s="1333"/>
      <c r="AD28" s="1333"/>
      <c r="AE28" s="1333"/>
      <c r="AF28" s="1333"/>
      <c r="AG28" s="1333"/>
      <c r="AH28" s="1097"/>
      <c r="AI28" s="1333"/>
      <c r="AJ28" s="1333"/>
      <c r="AK28" s="1333"/>
      <c r="BD28" s="18">
        <f>ROUND(BC28,0)</f>
        <v>0</v>
      </c>
    </row>
    <row r="29" spans="1:56">
      <c r="A29" s="1330"/>
      <c r="B29" s="1330"/>
      <c r="C29" s="1073">
        <v>12</v>
      </c>
      <c r="D29" s="1333"/>
      <c r="E29" s="1072" t="s">
        <v>1350</v>
      </c>
      <c r="F29" s="1081"/>
      <c r="G29" s="1100">
        <f>SUM(G27:G28)</f>
        <v>-52436601.015559807</v>
      </c>
      <c r="H29" s="1093"/>
      <c r="I29" s="1100">
        <f ca="1">SUM(I27:I28)</f>
        <v>7361287.0155598074</v>
      </c>
      <c r="J29" s="1094"/>
      <c r="K29" s="1100">
        <f ca="1">SUM(K27:K28)</f>
        <v>-45075314</v>
      </c>
      <c r="L29" s="1100">
        <f ca="1">SUM(L27:L28)</f>
        <v>6427052</v>
      </c>
      <c r="M29" s="1100">
        <f ca="1">SUM(M27:M28)</f>
        <v>-38648262</v>
      </c>
      <c r="N29" s="1094"/>
      <c r="O29" s="1100">
        <f>SUM(O27:O28)</f>
        <v>0</v>
      </c>
      <c r="P29" s="1094"/>
      <c r="Q29" s="1100">
        <f ca="1">SUM(Q27:Q28)</f>
        <v>-38648262</v>
      </c>
      <c r="R29" s="1097"/>
      <c r="S29" s="1333"/>
      <c r="T29" s="1333"/>
      <c r="U29" s="1333"/>
      <c r="V29" s="1333"/>
      <c r="W29" s="1333"/>
      <c r="X29" s="1333"/>
      <c r="Y29" s="1333"/>
      <c r="Z29" s="1333"/>
      <c r="AA29" s="1333"/>
      <c r="AB29" s="1333"/>
      <c r="AC29" s="1333"/>
      <c r="AD29" s="1333"/>
      <c r="AE29" s="1333"/>
      <c r="AF29" s="1333"/>
      <c r="AG29" s="1333"/>
      <c r="AH29" s="1097"/>
      <c r="AI29" s="1333"/>
      <c r="AJ29" s="1333"/>
      <c r="AK29" s="1333"/>
    </row>
    <row r="30" spans="1:56">
      <c r="A30" s="1330"/>
      <c r="B30" s="1330"/>
      <c r="C30" s="1073">
        <v>13</v>
      </c>
      <c r="D30" s="1333"/>
      <c r="E30" s="1333"/>
      <c r="F30" s="1081"/>
      <c r="G30" s="1093"/>
      <c r="H30" s="1093"/>
      <c r="I30" s="1093"/>
      <c r="J30" s="1093"/>
      <c r="K30" s="1093"/>
      <c r="L30" s="1093"/>
      <c r="M30" s="1093"/>
      <c r="N30" s="1094"/>
      <c r="O30" s="1093"/>
      <c r="P30" s="1093"/>
      <c r="Q30" s="1093"/>
      <c r="R30" s="1074"/>
      <c r="S30" s="1333"/>
      <c r="T30" s="1333"/>
      <c r="U30" s="1333"/>
      <c r="V30" s="1333"/>
      <c r="W30" s="1333"/>
      <c r="X30" s="1333"/>
      <c r="Y30" s="1333"/>
      <c r="Z30" s="1333"/>
      <c r="AA30" s="1333"/>
      <c r="AB30" s="1333"/>
      <c r="AC30" s="1333"/>
      <c r="AD30" s="1333"/>
      <c r="AE30" s="1333"/>
      <c r="AF30" s="1333"/>
      <c r="AG30" s="1333"/>
      <c r="AH30" s="1097"/>
      <c r="AI30" s="1333"/>
      <c r="AJ30" s="1333"/>
      <c r="AK30" s="1333"/>
    </row>
    <row r="31" spans="1:56">
      <c r="A31" s="1330"/>
      <c r="B31" s="1330"/>
      <c r="C31" s="1073">
        <v>14</v>
      </c>
      <c r="D31" s="1333"/>
      <c r="E31" s="1072" t="s">
        <v>1351</v>
      </c>
      <c r="F31" s="1081"/>
      <c r="G31" s="1093"/>
      <c r="H31" s="1093"/>
      <c r="I31" s="1101"/>
      <c r="J31" s="1101"/>
      <c r="K31" s="1093"/>
      <c r="L31" s="1093"/>
      <c r="M31" s="1093"/>
      <c r="N31" s="1094"/>
      <c r="O31" s="1093"/>
      <c r="P31" s="1093"/>
      <c r="Q31" s="1093"/>
      <c r="R31" s="1074"/>
      <c r="S31" s="1333"/>
      <c r="T31" s="1333"/>
      <c r="U31" s="1333"/>
      <c r="V31" s="1333"/>
      <c r="W31" s="1333"/>
      <c r="X31" s="1333"/>
      <c r="Y31" s="1333"/>
      <c r="Z31" s="1333"/>
      <c r="AA31" s="1333"/>
      <c r="AB31" s="1333"/>
      <c r="AC31" s="1333"/>
      <c r="AD31" s="1333"/>
      <c r="AE31" s="1333"/>
      <c r="AF31" s="1333"/>
      <c r="AG31" s="1333"/>
      <c r="AH31" s="1097"/>
      <c r="AI31" s="1333"/>
      <c r="AJ31" s="1333"/>
      <c r="AK31" s="1333"/>
    </row>
    <row r="32" spans="1:56">
      <c r="A32" s="1330"/>
      <c r="B32" s="1103" t="s">
        <v>768</v>
      </c>
      <c r="C32" s="1073">
        <v>15</v>
      </c>
      <c r="D32" s="1333"/>
      <c r="E32" s="1098" t="str">
        <f>"   "&amp;VLOOKUP(B32,TAXRECONTABLE,2,FALSE)</f>
        <v xml:space="preserve">   Other Temporary Differences</v>
      </c>
      <c r="F32" s="1081"/>
      <c r="G32" s="1098">
        <f>VLOOKUP(B32,T150:X158,4)</f>
        <v>-50183570.720557585</v>
      </c>
      <c r="H32" s="1093"/>
      <c r="I32" s="1098">
        <f>K32-G32</f>
        <v>24043387.720557585</v>
      </c>
      <c r="J32" s="1101"/>
      <c r="K32" s="1098">
        <f>VLOOKUP(B32,T150:X158,5,)</f>
        <v>-26140183</v>
      </c>
      <c r="L32" s="1098">
        <v>0</v>
      </c>
      <c r="M32" s="1098">
        <f>K32+L32</f>
        <v>-26140183</v>
      </c>
      <c r="N32" s="1094"/>
      <c r="O32" s="1093">
        <v>0</v>
      </c>
      <c r="P32" s="1093"/>
      <c r="Q32" s="1093">
        <f>M32+O32</f>
        <v>-26140183</v>
      </c>
      <c r="R32" s="1074"/>
      <c r="S32" s="1333"/>
      <c r="T32" s="1333"/>
      <c r="U32" s="1333"/>
      <c r="V32" s="1333"/>
      <c r="W32" s="1333"/>
      <c r="X32" s="1333"/>
      <c r="Y32" s="1333"/>
      <c r="Z32" s="1333"/>
      <c r="AA32" s="1333"/>
      <c r="AB32" s="1333"/>
      <c r="AC32" s="1333"/>
      <c r="AD32" s="1333"/>
      <c r="AE32" s="1333"/>
      <c r="AF32" s="1333"/>
      <c r="AG32" s="1333"/>
      <c r="AH32" s="1097"/>
      <c r="AI32" s="1333"/>
      <c r="AJ32" s="1333"/>
      <c r="AK32" s="1333"/>
    </row>
    <row r="33" spans="1:37">
      <c r="A33" s="1330"/>
      <c r="B33" s="1103" t="s">
        <v>529</v>
      </c>
      <c r="C33" s="1073">
        <v>16</v>
      </c>
      <c r="D33" s="1333"/>
      <c r="E33" s="1098" t="s">
        <v>529</v>
      </c>
      <c r="F33" s="1081"/>
      <c r="G33" s="1098"/>
      <c r="H33" s="1093"/>
      <c r="I33" s="1098"/>
      <c r="J33" s="1093"/>
      <c r="K33" s="1098"/>
      <c r="L33" s="1098"/>
      <c r="M33" s="1098"/>
      <c r="N33" s="1094"/>
      <c r="O33" s="1093"/>
      <c r="P33" s="1093"/>
      <c r="Q33" s="1093"/>
      <c r="R33" s="1093"/>
      <c r="S33" s="1074"/>
      <c r="T33" s="1333"/>
      <c r="U33" s="1333"/>
      <c r="V33" s="1333"/>
      <c r="W33" s="1333"/>
      <c r="X33" s="1333"/>
      <c r="Y33" s="1333"/>
      <c r="Z33" s="1333"/>
      <c r="AA33" s="1333"/>
      <c r="AB33" s="1333"/>
      <c r="AC33" s="1333"/>
      <c r="AD33" s="1333"/>
      <c r="AE33" s="1333"/>
      <c r="AF33" s="1333"/>
      <c r="AG33" s="1333"/>
      <c r="AH33" s="1097"/>
      <c r="AI33" s="1333"/>
      <c r="AJ33" s="1333"/>
      <c r="AK33" s="1333"/>
    </row>
    <row r="34" spans="1:37">
      <c r="A34" s="1333"/>
      <c r="B34" s="1333"/>
      <c r="C34" s="1073">
        <v>17</v>
      </c>
      <c r="D34" s="1333"/>
      <c r="E34" s="1072" t="s">
        <v>1352</v>
      </c>
      <c r="F34" s="1083"/>
      <c r="G34" s="1100">
        <f>SUM(G32:G33)</f>
        <v>-50183570.720557585</v>
      </c>
      <c r="H34" s="1093"/>
      <c r="I34" s="1100">
        <f>SUM(I32:I33)</f>
        <v>24043387.720557585</v>
      </c>
      <c r="J34" s="1083"/>
      <c r="K34" s="1100">
        <f>SUM(K32:K33)</f>
        <v>-26140183</v>
      </c>
      <c r="L34" s="1100">
        <f>SUM(L32:L33)</f>
        <v>0</v>
      </c>
      <c r="M34" s="1100">
        <f>SUM(M32:M33)</f>
        <v>-26140183</v>
      </c>
      <c r="N34" s="1094"/>
      <c r="O34" s="1100">
        <f>SUM(O32:O33)</f>
        <v>0</v>
      </c>
      <c r="P34" s="1083"/>
      <c r="Q34" s="1100">
        <f>SUM(Q32:Q33)</f>
        <v>-26140183</v>
      </c>
      <c r="R34" s="1069"/>
      <c r="S34" s="1074"/>
      <c r="T34" s="1333"/>
      <c r="U34" s="1333"/>
      <c r="V34" s="1333"/>
      <c r="W34" s="1333"/>
      <c r="X34" s="1333"/>
      <c r="Y34" s="1333"/>
      <c r="Z34" s="1333"/>
      <c r="AA34" s="1333"/>
      <c r="AB34" s="1333"/>
      <c r="AC34" s="1333"/>
      <c r="AD34" s="1333"/>
      <c r="AE34" s="1333"/>
      <c r="AF34" s="1333"/>
      <c r="AG34" s="1333"/>
      <c r="AH34" s="1097"/>
      <c r="AI34" s="1333"/>
      <c r="AJ34" s="1333"/>
      <c r="AK34" s="1333"/>
    </row>
    <row r="35" spans="1:37" ht="13.5" thickBot="1">
      <c r="A35" s="1333"/>
      <c r="B35" s="1333"/>
      <c r="C35" s="1073">
        <v>18</v>
      </c>
      <c r="D35" s="1333"/>
      <c r="E35" s="1072" t="s">
        <v>1353</v>
      </c>
      <c r="F35" s="1083"/>
      <c r="G35" s="1104">
        <f>G23+G29+G34+G25</f>
        <v>-110934137.1361174</v>
      </c>
      <c r="H35" s="1093"/>
      <c r="I35" s="1104">
        <f ca="1">I23+I29+I34+I25</f>
        <v>26722007.136117391</v>
      </c>
      <c r="J35" s="1083"/>
      <c r="K35" s="1104">
        <f ca="1">K23+K29+K34+K25</f>
        <v>-84212130</v>
      </c>
      <c r="L35" s="1104">
        <f ca="1">L23+L29+L34+L25</f>
        <v>6146603</v>
      </c>
      <c r="M35" s="1104">
        <f ca="1">M23+M29+M34+M25</f>
        <v>-78065527</v>
      </c>
      <c r="N35" s="1094"/>
      <c r="O35" s="1104">
        <f>O23+O29+O34+O25</f>
        <v>0</v>
      </c>
      <c r="P35" s="1083"/>
      <c r="Q35" s="1104">
        <f ca="1">Q23+Q29+Q34+Q25</f>
        <v>-78065527</v>
      </c>
      <c r="R35" s="1069"/>
      <c r="S35" s="1074"/>
      <c r="T35" s="1333"/>
      <c r="U35" s="1333"/>
      <c r="V35" s="1333"/>
      <c r="W35" s="1333"/>
      <c r="X35" s="1333"/>
      <c r="Y35" s="1333"/>
      <c r="Z35" s="1333"/>
      <c r="AA35" s="1333"/>
      <c r="AB35" s="1333"/>
      <c r="AC35" s="1333"/>
      <c r="AD35" s="1333"/>
      <c r="AE35" s="1333"/>
      <c r="AF35" s="1333"/>
      <c r="AG35" s="1333"/>
      <c r="AH35" s="1097"/>
      <c r="AI35" s="1333"/>
      <c r="AJ35" s="1333"/>
      <c r="AK35" s="1333"/>
    </row>
    <row r="36" spans="1:37" ht="13.5" thickTop="1">
      <c r="A36" s="1333"/>
      <c r="B36" s="1333"/>
      <c r="C36" s="1071"/>
      <c r="D36" s="1333"/>
      <c r="E36" s="1333"/>
      <c r="F36" s="1083"/>
      <c r="G36" s="1105"/>
      <c r="H36" s="1083"/>
      <c r="I36" s="1083"/>
      <c r="J36" s="1083"/>
      <c r="K36" s="1083"/>
      <c r="L36" s="1083"/>
      <c r="M36" s="1083"/>
      <c r="N36" s="1083"/>
      <c r="O36" s="1083"/>
      <c r="P36" s="1083"/>
      <c r="Q36" s="1083"/>
      <c r="R36" s="1069"/>
      <c r="S36" s="1074"/>
      <c r="T36" s="1333"/>
      <c r="U36" s="1333"/>
      <c r="V36" s="1333"/>
      <c r="W36" s="1333"/>
      <c r="X36" s="1333"/>
      <c r="Y36" s="1333"/>
      <c r="Z36" s="1333"/>
      <c r="AA36" s="1333"/>
      <c r="AB36" s="1333"/>
      <c r="AC36" s="1333"/>
      <c r="AD36" s="1333"/>
      <c r="AE36" s="1333"/>
      <c r="AF36" s="1333"/>
      <c r="AG36" s="1333"/>
      <c r="AH36" s="1097"/>
      <c r="AI36" s="1333"/>
      <c r="AJ36" s="1333"/>
      <c r="AK36" s="1333"/>
    </row>
    <row r="37" spans="1:37">
      <c r="A37" s="1333"/>
      <c r="B37" s="1333"/>
      <c r="C37" s="1106"/>
      <c r="D37" s="1083"/>
      <c r="E37" s="1333"/>
      <c r="F37" s="1083"/>
      <c r="G37" s="1083"/>
      <c r="H37" s="1083"/>
      <c r="I37" s="1083"/>
      <c r="J37" s="1083"/>
      <c r="K37" s="1515"/>
      <c r="L37" s="1083"/>
      <c r="M37" s="1083"/>
      <c r="N37" s="1083"/>
      <c r="O37" s="1083"/>
      <c r="P37" s="1083"/>
      <c r="Q37" s="1083"/>
      <c r="R37" s="1069"/>
      <c r="S37" s="1074"/>
      <c r="T37" s="1333"/>
      <c r="U37" s="1333"/>
      <c r="V37" s="1333"/>
      <c r="W37" s="1333"/>
      <c r="X37" s="1333"/>
      <c r="Y37" s="1333"/>
      <c r="Z37" s="1333"/>
      <c r="AA37" s="1333"/>
      <c r="AB37" s="1333"/>
      <c r="AC37" s="1333"/>
      <c r="AD37" s="1333"/>
      <c r="AE37" s="1333"/>
      <c r="AF37" s="1333"/>
      <c r="AG37" s="1333"/>
      <c r="AH37" s="1097"/>
      <c r="AI37" s="1333"/>
      <c r="AJ37" s="1333"/>
      <c r="AK37" s="1333"/>
    </row>
    <row r="38" spans="1:37">
      <c r="A38" s="1333"/>
      <c r="B38" s="1333"/>
      <c r="C38" s="1068" t="str">
        <f>COMPANY</f>
        <v>DUKE ENERGY KENTUCKY, INC.</v>
      </c>
      <c r="D38" s="1069"/>
      <c r="E38" s="1083"/>
      <c r="F38" s="1069"/>
      <c r="G38" s="1069"/>
      <c r="H38" s="1069"/>
      <c r="I38" s="1069"/>
      <c r="J38" s="1069"/>
      <c r="K38" s="1069"/>
      <c r="L38" s="1069"/>
      <c r="M38" s="1069"/>
      <c r="N38" s="1069"/>
      <c r="O38" s="1069"/>
      <c r="P38" s="1069"/>
      <c r="Q38" s="1069"/>
      <c r="R38" s="1333"/>
      <c r="S38" s="1074"/>
      <c r="T38" s="1333"/>
      <c r="U38" s="1333"/>
      <c r="V38" s="1333"/>
      <c r="W38" s="1333"/>
      <c r="X38" s="1333"/>
      <c r="Y38" s="1333"/>
      <c r="Z38" s="1333"/>
      <c r="AA38" s="1333"/>
      <c r="AB38" s="1333"/>
      <c r="AC38" s="1333"/>
      <c r="AD38" s="1333"/>
      <c r="AE38" s="1333"/>
      <c r="AF38" s="1333"/>
      <c r="AG38" s="1333"/>
      <c r="AH38" s="1097"/>
      <c r="AI38" s="1333"/>
      <c r="AJ38" s="1333"/>
      <c r="AK38" s="1333"/>
    </row>
    <row r="39" spans="1:37">
      <c r="A39" s="1333"/>
      <c r="B39" s="1333"/>
      <c r="C39" s="1068" t="str">
        <f>CASE</f>
        <v>CASE NO. 2017-00321</v>
      </c>
      <c r="D39" s="1069"/>
      <c r="E39" s="1069"/>
      <c r="F39" s="1069"/>
      <c r="G39" s="1069"/>
      <c r="H39" s="1069"/>
      <c r="I39" s="1069"/>
      <c r="J39" s="1069"/>
      <c r="K39" s="1069"/>
      <c r="L39" s="1069"/>
      <c r="M39" s="1069"/>
      <c r="N39" s="1069"/>
      <c r="O39" s="1069"/>
      <c r="P39" s="1069"/>
      <c r="Q39" s="1069"/>
      <c r="R39" s="1333"/>
      <c r="S39" s="1074"/>
      <c r="T39" s="1333"/>
      <c r="U39" s="1333"/>
      <c r="V39" s="1333"/>
      <c r="W39" s="1333"/>
      <c r="X39" s="1333"/>
      <c r="Y39" s="1333"/>
      <c r="Z39" s="1333"/>
      <c r="AA39" s="1333"/>
      <c r="AB39" s="1333"/>
      <c r="AC39" s="1333"/>
      <c r="AD39" s="1333"/>
      <c r="AE39" s="1333"/>
      <c r="AF39" s="1333"/>
      <c r="AG39" s="1074"/>
      <c r="AH39" s="1097"/>
      <c r="AI39" s="1333"/>
      <c r="AJ39" s="1333"/>
      <c r="AK39" s="1333"/>
    </row>
    <row r="40" spans="1:37">
      <c r="A40" s="1333"/>
      <c r="B40" s="1333"/>
      <c r="C40" s="1068" t="s">
        <v>841</v>
      </c>
      <c r="D40" s="1069"/>
      <c r="E40" s="1069"/>
      <c r="F40" s="1069"/>
      <c r="G40" s="1069"/>
      <c r="H40" s="1069"/>
      <c r="I40" s="1069"/>
      <c r="J40" s="1069"/>
      <c r="K40" s="1069"/>
      <c r="L40" s="1069"/>
      <c r="M40" s="1069"/>
      <c r="N40" s="1069"/>
      <c r="O40" s="1069"/>
      <c r="P40" s="1069"/>
      <c r="Q40" s="1069"/>
      <c r="R40" s="1333"/>
      <c r="S40" s="1074"/>
      <c r="T40" s="1333"/>
      <c r="U40" s="1333"/>
      <c r="V40" s="1333"/>
      <c r="W40" s="1333"/>
      <c r="X40" s="1333"/>
      <c r="Y40" s="1333"/>
      <c r="Z40" s="1333"/>
      <c r="AA40" s="1333"/>
      <c r="AB40" s="1333"/>
      <c r="AC40" s="1333"/>
      <c r="AD40" s="1072"/>
      <c r="AE40" s="1072"/>
      <c r="AF40" s="1333"/>
      <c r="AG40" s="1333"/>
      <c r="AH40" s="1097"/>
      <c r="AI40" s="1333"/>
      <c r="AJ40" s="1333"/>
      <c r="AK40" s="1333"/>
    </row>
    <row r="41" spans="1:37">
      <c r="A41" s="1333"/>
      <c r="B41" s="1333"/>
      <c r="C41" s="1068" t="str">
        <f>PERIOD</f>
        <v>FOR THE TWELVE MONTHS ENDED NOVEMBER 30, 2017</v>
      </c>
      <c r="D41" s="1069"/>
      <c r="E41" s="1069"/>
      <c r="F41" s="1069"/>
      <c r="G41" s="1069"/>
      <c r="H41" s="1069"/>
      <c r="I41" s="1069"/>
      <c r="J41" s="1069"/>
      <c r="K41" s="1069"/>
      <c r="L41" s="1069"/>
      <c r="M41" s="1069"/>
      <c r="N41" s="1069"/>
      <c r="O41" s="1069"/>
      <c r="P41" s="1069"/>
      <c r="Q41" s="1069"/>
      <c r="R41" s="1333"/>
      <c r="S41" s="1074"/>
      <c r="T41" s="1333"/>
      <c r="U41" s="1333"/>
      <c r="V41" s="1333"/>
      <c r="W41" s="1333"/>
      <c r="X41" s="1333"/>
      <c r="Y41" s="1333"/>
      <c r="Z41" s="1333"/>
      <c r="AA41" s="1333"/>
      <c r="AB41" s="1333"/>
      <c r="AC41" s="1333"/>
      <c r="AD41" s="1072"/>
      <c r="AE41" s="1072"/>
      <c r="AF41" s="1333"/>
      <c r="AG41" s="1333"/>
      <c r="AH41" s="1097"/>
      <c r="AI41" s="1333"/>
      <c r="AJ41" s="1333"/>
      <c r="AK41" s="1333"/>
    </row>
    <row r="42" spans="1:37">
      <c r="A42" s="1333"/>
      <c r="B42" s="1333"/>
      <c r="C42" s="1068" t="str">
        <f>PeriodF</f>
        <v>FOR THE TWELVE MONTHS ENDED MARCH 31, 2019</v>
      </c>
      <c r="D42" s="1069"/>
      <c r="E42" s="1069"/>
      <c r="F42" s="1069"/>
      <c r="G42" s="1069"/>
      <c r="H42" s="1069"/>
      <c r="I42" s="1069"/>
      <c r="J42" s="1069"/>
      <c r="K42" s="1069"/>
      <c r="L42" s="1069"/>
      <c r="M42" s="1069"/>
      <c r="N42" s="1069"/>
      <c r="O42" s="1069"/>
      <c r="P42" s="1069"/>
      <c r="Q42" s="1069"/>
      <c r="R42" s="1333"/>
      <c r="S42" s="1074"/>
      <c r="T42" s="1333"/>
      <c r="U42" s="1333"/>
      <c r="V42" s="1333"/>
      <c r="W42" s="1333"/>
      <c r="X42" s="1333"/>
      <c r="Y42" s="1333"/>
      <c r="Z42" s="1333"/>
      <c r="AA42" s="1333"/>
      <c r="AB42" s="1333"/>
      <c r="AC42" s="1333"/>
      <c r="AD42" s="1333"/>
      <c r="AE42" s="1333"/>
      <c r="AF42" s="1333"/>
      <c r="AG42" s="1333"/>
      <c r="AH42" s="1097"/>
      <c r="AI42" s="1333"/>
      <c r="AJ42" s="1333"/>
      <c r="AK42" s="1333"/>
    </row>
    <row r="43" spans="1:37">
      <c r="A43" s="1333"/>
      <c r="B43" s="1333"/>
      <c r="C43" s="1333"/>
      <c r="D43" s="1333"/>
      <c r="E43" s="1069"/>
      <c r="F43" s="1333"/>
      <c r="G43" s="1333"/>
      <c r="H43" s="1333"/>
      <c r="I43" s="1333"/>
      <c r="J43" s="1333"/>
      <c r="K43" s="1333"/>
      <c r="L43" s="1333"/>
      <c r="M43" s="1333"/>
      <c r="N43" s="1333"/>
      <c r="O43" s="1333"/>
      <c r="P43" s="1333"/>
      <c r="Q43" s="1333"/>
      <c r="R43" s="1333"/>
      <c r="S43" s="1074"/>
      <c r="T43" s="1333"/>
      <c r="U43" s="1333"/>
      <c r="V43" s="1333"/>
      <c r="W43" s="1333"/>
      <c r="X43" s="1333"/>
      <c r="Y43" s="1333"/>
      <c r="Z43" s="1333"/>
      <c r="AA43" s="1333"/>
      <c r="AB43" s="1333"/>
      <c r="AC43" s="1333"/>
      <c r="AD43" s="1333"/>
      <c r="AE43" s="1333"/>
      <c r="AF43" s="1333"/>
      <c r="AG43" s="1333"/>
      <c r="AH43" s="1097"/>
      <c r="AI43" s="1333"/>
      <c r="AJ43" s="1333"/>
      <c r="AK43" s="1333"/>
    </row>
    <row r="44" spans="1:37">
      <c r="A44" s="1333"/>
      <c r="B44" s="1333"/>
      <c r="C44" s="1071" t="str">
        <f>DataB</f>
        <v>DATA: "X" BASE PERIOD  "X" FORECASTED PERIOD</v>
      </c>
      <c r="D44" s="1333"/>
      <c r="E44" s="1070"/>
      <c r="F44" s="1333"/>
      <c r="G44" s="1333"/>
      <c r="H44" s="1333"/>
      <c r="I44" s="1333"/>
      <c r="J44" s="1333"/>
      <c r="K44" s="1333"/>
      <c r="L44" s="1333"/>
      <c r="M44" s="1333"/>
      <c r="N44" s="1333"/>
      <c r="O44" s="1072" t="s">
        <v>842</v>
      </c>
      <c r="P44" s="1072"/>
      <c r="Q44" s="1333"/>
      <c r="R44" s="1083"/>
      <c r="S44" s="1074"/>
      <c r="T44" s="1333"/>
      <c r="U44" s="1333"/>
      <c r="V44" s="1333"/>
      <c r="W44" s="1333"/>
      <c r="X44" s="1333"/>
      <c r="Y44" s="1333"/>
      <c r="Z44" s="1333"/>
      <c r="AA44" s="1333"/>
      <c r="AB44" s="1333"/>
      <c r="AC44" s="1333"/>
      <c r="AD44" s="1333"/>
      <c r="AE44" s="1333"/>
      <c r="AF44" s="1333"/>
      <c r="AG44" s="1333"/>
      <c r="AH44" s="1097"/>
      <c r="AI44" s="1333"/>
      <c r="AJ44" s="1333"/>
      <c r="AK44" s="1333"/>
    </row>
    <row r="45" spans="1:37">
      <c r="A45" s="1333"/>
      <c r="B45" s="1333"/>
      <c r="C45" s="1071" t="str">
        <f>Type</f>
        <v xml:space="preserve">TYPE OF FILING:  "X" ORIGINAL   UPDATED    REVISED  </v>
      </c>
      <c r="D45" s="1333"/>
      <c r="E45" s="1070"/>
      <c r="F45" s="1333"/>
      <c r="G45" s="1333"/>
      <c r="H45" s="1333"/>
      <c r="I45" s="1333"/>
      <c r="J45" s="1333"/>
      <c r="K45" s="1333"/>
      <c r="L45" s="1333"/>
      <c r="M45" s="1333"/>
      <c r="N45" s="1333"/>
      <c r="O45" s="1072" t="s">
        <v>1331</v>
      </c>
      <c r="P45" s="1072"/>
      <c r="Q45" s="1333"/>
      <c r="R45" s="1081"/>
      <c r="S45" s="1074"/>
      <c r="T45" s="1333"/>
      <c r="U45" s="1333"/>
      <c r="V45" s="1333"/>
      <c r="W45" s="1333"/>
      <c r="X45" s="1333"/>
      <c r="Y45" s="1333"/>
      <c r="Z45" s="1333"/>
      <c r="AA45" s="1333"/>
      <c r="AB45" s="1333"/>
      <c r="AC45" s="1333"/>
      <c r="AD45" s="1333"/>
      <c r="AE45" s="1333"/>
      <c r="AF45" s="1333"/>
      <c r="AG45" s="1333"/>
      <c r="AH45" s="1097"/>
      <c r="AI45" s="1333"/>
      <c r="AJ45" s="1333"/>
      <c r="AK45" s="1333"/>
    </row>
    <row r="46" spans="1:37">
      <c r="A46" s="1333"/>
      <c r="B46" s="1333"/>
      <c r="C46" s="1072" t="str">
        <f>$C$9</f>
        <v>WORK PAPER REFERENCE NO(S).:  WPE-1a, WPE-1b</v>
      </c>
      <c r="D46" s="1333"/>
      <c r="E46" s="1070"/>
      <c r="F46" s="1333"/>
      <c r="G46" s="1333"/>
      <c r="H46" s="1333"/>
      <c r="I46" s="1333"/>
      <c r="J46" s="1333"/>
      <c r="K46" s="1333"/>
      <c r="L46" s="1333"/>
      <c r="M46" s="1333"/>
      <c r="N46" s="1333"/>
      <c r="O46" s="1072" t="s">
        <v>622</v>
      </c>
      <c r="P46" s="1072"/>
      <c r="Q46" s="1333"/>
      <c r="R46" s="1073"/>
      <c r="S46" s="1074"/>
      <c r="T46" s="1333"/>
      <c r="U46" s="1333"/>
      <c r="V46" s="1333"/>
      <c r="W46" s="1333"/>
      <c r="X46" s="1333"/>
      <c r="Y46" s="1333"/>
      <c r="Z46" s="1333"/>
      <c r="AA46" s="1333"/>
      <c r="AB46" s="1333"/>
      <c r="AC46" s="1333"/>
      <c r="AD46" s="1333"/>
      <c r="AE46" s="1333"/>
      <c r="AF46" s="1333"/>
      <c r="AG46" s="1333"/>
      <c r="AH46" s="1097"/>
      <c r="AI46" s="1333"/>
      <c r="AJ46" s="1333"/>
      <c r="AK46" s="1333"/>
    </row>
    <row r="47" spans="1:37">
      <c r="A47" s="1333"/>
      <c r="B47" s="1333"/>
      <c r="C47" s="1333"/>
      <c r="D47" s="1333"/>
      <c r="E47" s="1070"/>
      <c r="F47" s="1333"/>
      <c r="G47" s="1333"/>
      <c r="H47" s="1333"/>
      <c r="I47" s="1333"/>
      <c r="J47" s="1333"/>
      <c r="K47" s="1333"/>
      <c r="L47" s="1333"/>
      <c r="M47" s="1333"/>
      <c r="N47" s="1333"/>
      <c r="O47" s="1072" t="str">
        <f>O10</f>
        <v>L. M. BELLUCCI</v>
      </c>
      <c r="P47" s="1073"/>
      <c r="Q47" s="1333"/>
      <c r="R47" s="1109"/>
      <c r="S47" s="1333"/>
      <c r="T47" s="1333"/>
      <c r="U47" s="1333"/>
      <c r="V47" s="1333"/>
      <c r="W47" s="1333"/>
      <c r="X47" s="1333"/>
      <c r="Y47" s="1333"/>
      <c r="Z47" s="1333"/>
      <c r="AA47" s="1333"/>
      <c r="AB47" s="1333"/>
      <c r="AC47" s="1333"/>
      <c r="AD47" s="1333"/>
      <c r="AE47" s="1333"/>
      <c r="AF47" s="1333"/>
      <c r="AG47" s="1333"/>
      <c r="AH47" s="1097"/>
      <c r="AI47" s="1333"/>
      <c r="AJ47" s="1333"/>
      <c r="AK47" s="1333"/>
    </row>
    <row r="48" spans="1:37">
      <c r="A48" s="1333"/>
      <c r="B48" s="1333"/>
      <c r="C48" s="1333"/>
      <c r="D48" s="1333"/>
      <c r="E48" s="1070"/>
      <c r="F48" s="1333"/>
      <c r="G48" s="1333"/>
      <c r="H48" s="1333"/>
      <c r="I48" s="1333"/>
      <c r="J48" s="1333"/>
      <c r="K48" s="1333"/>
      <c r="L48" s="1333"/>
      <c r="M48" s="1333"/>
      <c r="N48" s="1333"/>
      <c r="O48" s="1072"/>
      <c r="P48" s="1073"/>
      <c r="Q48" s="1333"/>
      <c r="R48" s="1109"/>
      <c r="S48" s="1333"/>
      <c r="T48" s="1333"/>
      <c r="U48" s="1333"/>
      <c r="V48" s="1333"/>
      <c r="W48" s="1333"/>
      <c r="X48" s="1333"/>
      <c r="Y48" s="1333"/>
      <c r="Z48" s="1333"/>
      <c r="AA48" s="1333"/>
      <c r="AB48" s="1333"/>
      <c r="AC48" s="1333"/>
      <c r="AD48" s="1333"/>
      <c r="AE48" s="1333"/>
      <c r="AF48" s="1333"/>
      <c r="AG48" s="1333"/>
      <c r="AH48" s="1097"/>
      <c r="AI48" s="1333"/>
      <c r="AJ48" s="1333"/>
      <c r="AK48" s="1333"/>
    </row>
    <row r="49" spans="1:37">
      <c r="A49" s="1333"/>
      <c r="B49" s="1333"/>
      <c r="C49" s="1075"/>
      <c r="D49" s="1075"/>
      <c r="E49" s="1076"/>
      <c r="F49" s="1075"/>
      <c r="G49" s="1077" t="s">
        <v>1342</v>
      </c>
      <c r="H49" s="1077"/>
      <c r="I49" s="1078"/>
      <c r="J49" s="1078"/>
      <c r="K49" s="1079"/>
      <c r="L49" s="1079"/>
      <c r="M49" s="1079"/>
      <c r="N49" s="1075"/>
      <c r="O49" s="1077" t="s">
        <v>1343</v>
      </c>
      <c r="P49" s="1077"/>
      <c r="Q49" s="1078"/>
      <c r="R49" s="1080"/>
      <c r="S49" s="1333"/>
      <c r="T49" s="1333"/>
      <c r="U49" s="1333"/>
      <c r="V49" s="1333"/>
      <c r="W49" s="1333"/>
      <c r="X49" s="1333"/>
      <c r="Y49" s="1333"/>
      <c r="Z49" s="1333"/>
      <c r="AA49" s="1333"/>
      <c r="AB49" s="1333"/>
      <c r="AC49" s="1333"/>
      <c r="AD49" s="1333"/>
      <c r="AE49" s="1333"/>
      <c r="AF49" s="1333"/>
      <c r="AG49" s="1333"/>
      <c r="AH49" s="1097"/>
      <c r="AI49" s="1333"/>
      <c r="AJ49" s="1333"/>
      <c r="AK49" s="1333"/>
    </row>
    <row r="50" spans="1:37">
      <c r="A50" s="1333"/>
      <c r="B50" s="1333"/>
      <c r="C50" s="1081"/>
      <c r="D50" s="1081"/>
      <c r="E50" s="1082"/>
      <c r="F50" s="1081"/>
      <c r="G50" s="1077"/>
      <c r="H50" s="1077"/>
      <c r="I50" s="1078"/>
      <c r="J50" s="1078"/>
      <c r="K50" s="1083"/>
      <c r="L50" s="1083" t="s">
        <v>561</v>
      </c>
      <c r="M50" s="1083" t="s">
        <v>561</v>
      </c>
      <c r="N50" s="1081"/>
      <c r="O50" s="1077"/>
      <c r="P50" s="1077"/>
      <c r="Q50" s="1078"/>
      <c r="R50" s="1080"/>
      <c r="S50" s="1333"/>
      <c r="T50" s="1333"/>
      <c r="U50" s="1333"/>
      <c r="V50" s="1333"/>
      <c r="W50" s="1333"/>
      <c r="X50" s="1333"/>
      <c r="Y50" s="1333"/>
      <c r="Z50" s="1333"/>
      <c r="AA50" s="1333"/>
      <c r="AB50" s="1333"/>
      <c r="AC50" s="1333"/>
      <c r="AD50" s="1333"/>
      <c r="AE50" s="1333"/>
      <c r="AF50" s="1333"/>
      <c r="AG50" s="1333"/>
      <c r="AH50" s="1097"/>
      <c r="AI50" s="1333"/>
      <c r="AJ50" s="1333"/>
      <c r="AK50" s="1333"/>
    </row>
    <row r="51" spans="1:37">
      <c r="A51" s="1333"/>
      <c r="B51" s="1333"/>
      <c r="C51" s="1073" t="s">
        <v>1961</v>
      </c>
      <c r="D51" s="1333"/>
      <c r="E51" s="1070"/>
      <c r="F51" s="1333"/>
      <c r="G51" s="1084" t="s">
        <v>564</v>
      </c>
      <c r="H51" s="1081"/>
      <c r="I51" s="1080"/>
      <c r="J51" s="1085"/>
      <c r="K51" s="1084" t="s">
        <v>1143</v>
      </c>
      <c r="L51" s="1084" t="s">
        <v>584</v>
      </c>
      <c r="M51" s="1084" t="s">
        <v>1143</v>
      </c>
      <c r="N51" s="1333"/>
      <c r="O51" s="1080"/>
      <c r="P51" s="1080"/>
      <c r="Q51" s="1081"/>
      <c r="R51" s="1333"/>
      <c r="S51" s="1333"/>
      <c r="T51" s="1333"/>
      <c r="U51" s="1333"/>
      <c r="V51" s="1333"/>
      <c r="W51" s="1333"/>
      <c r="X51" s="1333"/>
      <c r="Y51" s="1333"/>
      <c r="Z51" s="1333"/>
      <c r="AA51" s="1333"/>
      <c r="AB51" s="1333"/>
      <c r="AC51" s="1333"/>
      <c r="AD51" s="1333"/>
      <c r="AE51" s="1333"/>
      <c r="AF51" s="1333"/>
      <c r="AG51" s="1333"/>
      <c r="AH51" s="1097"/>
      <c r="AI51" s="1333"/>
      <c r="AJ51" s="1333"/>
      <c r="AK51" s="1333"/>
    </row>
    <row r="52" spans="1:37">
      <c r="A52" s="1333"/>
      <c r="B52" s="1333"/>
      <c r="C52" s="1073" t="s">
        <v>1854</v>
      </c>
      <c r="D52" s="1333"/>
      <c r="E52" s="1072" t="s">
        <v>361</v>
      </c>
      <c r="F52" s="1333"/>
      <c r="G52" s="1073" t="s">
        <v>568</v>
      </c>
      <c r="H52" s="1073"/>
      <c r="I52" s="1073" t="s">
        <v>560</v>
      </c>
      <c r="J52" s="1073"/>
      <c r="K52" s="1073" t="s">
        <v>568</v>
      </c>
      <c r="L52" s="1073" t="s">
        <v>565</v>
      </c>
      <c r="M52" s="1073" t="s">
        <v>568</v>
      </c>
      <c r="N52" s="1333"/>
      <c r="O52" s="1073" t="s">
        <v>560</v>
      </c>
      <c r="P52" s="1073"/>
      <c r="Q52" s="1073" t="s">
        <v>541</v>
      </c>
      <c r="R52" s="1093"/>
      <c r="S52" s="1333"/>
      <c r="T52" s="1333"/>
      <c r="U52" s="1333"/>
      <c r="V52" s="1333"/>
      <c r="W52" s="1333"/>
      <c r="X52" s="1333"/>
      <c r="Y52" s="1333"/>
      <c r="Z52" s="1333"/>
      <c r="AA52" s="1333"/>
      <c r="AB52" s="1333"/>
      <c r="AC52" s="1333"/>
      <c r="AD52" s="1333"/>
      <c r="AE52" s="1333"/>
      <c r="AF52" s="1333"/>
      <c r="AG52" s="1333"/>
      <c r="AH52" s="1097"/>
      <c r="AI52" s="1333"/>
      <c r="AJ52" s="1333"/>
      <c r="AK52" s="1333"/>
    </row>
    <row r="53" spans="1:37">
      <c r="A53" s="1333"/>
      <c r="B53" s="1333"/>
      <c r="C53" s="1086"/>
      <c r="D53" s="1086"/>
      <c r="E53" s="1087"/>
      <c r="F53" s="1086"/>
      <c r="G53" s="1088" t="s">
        <v>365</v>
      </c>
      <c r="H53" s="1088"/>
      <c r="I53" s="1089" t="s">
        <v>318</v>
      </c>
      <c r="J53" s="1089"/>
      <c r="K53" s="1089" t="s">
        <v>319</v>
      </c>
      <c r="L53" s="1089" t="s">
        <v>320</v>
      </c>
      <c r="M53" s="1089" t="s">
        <v>321</v>
      </c>
      <c r="N53" s="1086"/>
      <c r="O53" s="1089" t="s">
        <v>322</v>
      </c>
      <c r="P53" s="1089"/>
      <c r="Q53" s="1089" t="s">
        <v>507</v>
      </c>
      <c r="R53" s="1074"/>
      <c r="S53" s="1110"/>
      <c r="T53" s="1333"/>
      <c r="U53" s="1333"/>
      <c r="V53" s="1333"/>
      <c r="W53" s="1333"/>
      <c r="X53" s="1333"/>
      <c r="Y53" s="1333"/>
      <c r="Z53" s="1333"/>
      <c r="AA53" s="1333"/>
      <c r="AB53" s="1333"/>
      <c r="AC53" s="1333"/>
      <c r="AD53" s="1333"/>
      <c r="AE53" s="1333"/>
      <c r="AF53" s="1333"/>
      <c r="AG53" s="1333"/>
      <c r="AH53" s="1097"/>
      <c r="AI53" s="1333"/>
      <c r="AJ53" s="1333"/>
      <c r="AK53" s="1333"/>
    </row>
    <row r="54" spans="1:37">
      <c r="A54" s="1333"/>
      <c r="B54" s="1333"/>
      <c r="C54" s="1081"/>
      <c r="D54" s="1081"/>
      <c r="E54" s="1081"/>
      <c r="F54" s="1081"/>
      <c r="G54" s="1080" t="s">
        <v>1150</v>
      </c>
      <c r="H54" s="1080"/>
      <c r="I54" s="1080" t="s">
        <v>1150</v>
      </c>
      <c r="J54" s="1080"/>
      <c r="K54" s="1080" t="s">
        <v>1150</v>
      </c>
      <c r="L54" s="1080"/>
      <c r="M54" s="1080"/>
      <c r="N54" s="1084"/>
      <c r="O54" s="1080" t="s">
        <v>1150</v>
      </c>
      <c r="P54" s="1080"/>
      <c r="Q54" s="1080" t="s">
        <v>1150</v>
      </c>
      <c r="R54" s="1097"/>
      <c r="S54" s="1110"/>
      <c r="T54" s="1333"/>
      <c r="U54" s="1333"/>
      <c r="V54" s="1333"/>
      <c r="W54" s="1333"/>
      <c r="X54" s="1333"/>
      <c r="Y54" s="1333"/>
      <c r="Z54" s="1333"/>
      <c r="AA54" s="1333"/>
      <c r="AB54" s="1333"/>
      <c r="AC54" s="1333"/>
      <c r="AD54" s="1333"/>
      <c r="AE54" s="1333"/>
      <c r="AF54" s="1333"/>
      <c r="AG54" s="1333"/>
      <c r="AH54" s="1097"/>
      <c r="AI54" s="1333"/>
      <c r="AJ54" s="1333"/>
      <c r="AK54" s="1333"/>
    </row>
    <row r="55" spans="1:37">
      <c r="A55" s="1333"/>
      <c r="B55" s="1333"/>
      <c r="C55" s="1107"/>
      <c r="D55" s="1081"/>
      <c r="E55" s="1108"/>
      <c r="F55" s="1081"/>
      <c r="G55" s="1093"/>
      <c r="H55" s="1093"/>
      <c r="I55" s="1094"/>
      <c r="J55" s="1094"/>
      <c r="K55" s="1093"/>
      <c r="L55" s="1093"/>
      <c r="M55" s="1093"/>
      <c r="N55" s="1094"/>
      <c r="O55" s="1094"/>
      <c r="P55" s="1094"/>
      <c r="Q55" s="1093"/>
      <c r="R55" s="1074"/>
      <c r="S55" s="1110"/>
      <c r="T55" s="1333"/>
      <c r="U55" s="1333"/>
      <c r="V55" s="1333"/>
      <c r="W55" s="1333"/>
      <c r="X55" s="1333"/>
      <c r="Y55" s="1333"/>
      <c r="Z55" s="1333"/>
      <c r="AA55" s="1333"/>
      <c r="AB55" s="1333"/>
      <c r="AC55" s="1333"/>
      <c r="AD55" s="1333"/>
      <c r="AE55" s="1333"/>
      <c r="AF55" s="1333"/>
      <c r="AG55" s="1333"/>
      <c r="AH55" s="1097"/>
      <c r="AI55" s="1333"/>
      <c r="AJ55" s="1333"/>
      <c r="AK55" s="1333"/>
    </row>
    <row r="56" spans="1:37">
      <c r="A56" s="1333"/>
      <c r="B56" s="1333"/>
      <c r="C56" s="1073">
        <v>1</v>
      </c>
      <c r="D56" s="1333"/>
      <c r="E56" s="1072" t="s">
        <v>1344</v>
      </c>
      <c r="F56" s="1081"/>
      <c r="G56" s="1093"/>
      <c r="H56" s="1093"/>
      <c r="I56" s="1094"/>
      <c r="J56" s="1094"/>
      <c r="K56" s="1093"/>
      <c r="L56" s="1093"/>
      <c r="M56" s="1093"/>
      <c r="N56" s="1094"/>
      <c r="O56" s="1094"/>
      <c r="P56" s="1094"/>
      <c r="Q56" s="1093"/>
      <c r="R56" s="1074"/>
      <c r="S56" s="1333"/>
      <c r="T56" s="1333"/>
      <c r="U56" s="1333"/>
      <c r="V56" s="1333"/>
      <c r="W56" s="1333"/>
      <c r="X56" s="1333"/>
      <c r="Y56" s="1333"/>
      <c r="Z56" s="1333"/>
      <c r="AA56" s="1333"/>
      <c r="AB56" s="1333"/>
      <c r="AC56" s="1333"/>
      <c r="AD56" s="1333"/>
      <c r="AE56" s="1333"/>
      <c r="AF56" s="1333"/>
      <c r="AG56" s="1333"/>
      <c r="AH56" s="1097"/>
      <c r="AI56" s="1333"/>
      <c r="AJ56" s="1333"/>
      <c r="AK56" s="1333"/>
    </row>
    <row r="57" spans="1:37">
      <c r="A57" s="1333"/>
      <c r="B57" s="1333"/>
      <c r="C57" s="1073">
        <f t="shared" ref="C57:C77" si="0">1+C56</f>
        <v>2</v>
      </c>
      <c r="D57" s="1333"/>
      <c r="E57" s="1072" t="s">
        <v>1354</v>
      </c>
      <c r="F57" s="1081"/>
      <c r="G57" s="1093">
        <f>G19</f>
        <v>53904591</v>
      </c>
      <c r="H57" s="1093"/>
      <c r="I57" s="1093">
        <f ca="1">I19</f>
        <v>-30613497</v>
      </c>
      <c r="J57" s="1094"/>
      <c r="K57" s="1093">
        <f ca="1">K19</f>
        <v>23291094</v>
      </c>
      <c r="L57" s="1093">
        <f ca="1">L19</f>
        <v>1252307</v>
      </c>
      <c r="M57" s="1093">
        <f ca="1">M19</f>
        <v>24543401</v>
      </c>
      <c r="N57" s="1094"/>
      <c r="O57" s="1093">
        <f>O19</f>
        <v>48512630</v>
      </c>
      <c r="P57" s="1094"/>
      <c r="Q57" s="1093">
        <f ca="1">Q19</f>
        <v>73056031</v>
      </c>
      <c r="R57" s="1074"/>
      <c r="S57" s="1333"/>
      <c r="T57" s="1333"/>
      <c r="U57" s="1333"/>
      <c r="V57" s="1333"/>
      <c r="W57" s="1333"/>
      <c r="X57" s="1333"/>
      <c r="Y57" s="1333"/>
      <c r="Z57" s="1333"/>
      <c r="AA57" s="1333"/>
      <c r="AB57" s="1333"/>
      <c r="AC57" s="1333"/>
      <c r="AD57" s="1333"/>
      <c r="AE57" s="1333"/>
      <c r="AF57" s="1333"/>
      <c r="AG57" s="1333"/>
      <c r="AH57" s="1097"/>
      <c r="AI57" s="1333"/>
      <c r="AJ57" s="1333"/>
      <c r="AK57" s="1333"/>
    </row>
    <row r="58" spans="1:37">
      <c r="A58" s="1333"/>
      <c r="B58" s="1333"/>
      <c r="C58" s="1073">
        <f t="shared" si="0"/>
        <v>3</v>
      </c>
      <c r="D58" s="1333"/>
      <c r="E58" s="1333"/>
      <c r="F58" s="1081"/>
      <c r="G58" s="1093"/>
      <c r="H58" s="1093"/>
      <c r="I58" s="1094"/>
      <c r="J58" s="1094"/>
      <c r="K58" s="1093"/>
      <c r="L58" s="1093"/>
      <c r="M58" s="1093"/>
      <c r="N58" s="1094"/>
      <c r="O58" s="1094"/>
      <c r="P58" s="1094"/>
      <c r="Q58" s="1093"/>
      <c r="R58" s="1074"/>
      <c r="S58" s="1333"/>
      <c r="T58" s="1333"/>
      <c r="U58" s="1333"/>
      <c r="V58" s="1333"/>
      <c r="W58" s="1333"/>
      <c r="X58" s="1333"/>
      <c r="Y58" s="1333"/>
      <c r="Z58" s="1333"/>
      <c r="AA58" s="1333"/>
      <c r="AB58" s="1333"/>
      <c r="AC58" s="1091"/>
      <c r="AD58" s="1333"/>
      <c r="AE58" s="1333"/>
      <c r="AF58" s="1333"/>
      <c r="AG58" s="1333"/>
      <c r="AH58" s="1097"/>
      <c r="AI58" s="1333"/>
      <c r="AJ58" s="1333"/>
      <c r="AK58" s="1333"/>
    </row>
    <row r="59" spans="1:37">
      <c r="A59" s="1333"/>
      <c r="B59" s="1333"/>
      <c r="C59" s="1073">
        <f t="shared" si="0"/>
        <v>4</v>
      </c>
      <c r="D59" s="1333"/>
      <c r="E59" s="1072" t="s">
        <v>1355</v>
      </c>
      <c r="F59" s="1081"/>
      <c r="G59" s="1099">
        <f>G35</f>
        <v>-110934137.1361174</v>
      </c>
      <c r="H59" s="1099"/>
      <c r="I59" s="1112">
        <f ca="1">I35</f>
        <v>26722007.136117391</v>
      </c>
      <c r="J59" s="1112"/>
      <c r="K59" s="1112">
        <f ca="1">K35</f>
        <v>-84212130</v>
      </c>
      <c r="L59" s="1112">
        <f ca="1">L35</f>
        <v>6146603</v>
      </c>
      <c r="M59" s="1112">
        <f ca="1">M35</f>
        <v>-78065527</v>
      </c>
      <c r="N59" s="1094"/>
      <c r="O59" s="1112">
        <f>O35</f>
        <v>0</v>
      </c>
      <c r="P59" s="1112"/>
      <c r="Q59" s="1112">
        <f ca="1">Q35</f>
        <v>-78065527</v>
      </c>
      <c r="R59" s="1074"/>
      <c r="S59" s="1333"/>
      <c r="T59" s="1333"/>
      <c r="U59" s="1333"/>
      <c r="V59" s="1333"/>
      <c r="W59" s="1333"/>
      <c r="X59" s="1333"/>
      <c r="Y59" s="1333"/>
      <c r="Z59" s="1333"/>
      <c r="AA59" s="1333"/>
      <c r="AB59" s="1333"/>
      <c r="AC59" s="1091"/>
      <c r="AD59" s="1333"/>
      <c r="AE59" s="1333"/>
      <c r="AF59" s="1333"/>
      <c r="AG59" s="1333"/>
      <c r="AH59" s="1097"/>
      <c r="AI59" s="1333"/>
      <c r="AJ59" s="1333"/>
      <c r="AK59" s="1333"/>
    </row>
    <row r="60" spans="1:37">
      <c r="A60" s="1333"/>
      <c r="B60" s="1333"/>
      <c r="C60" s="1073">
        <f>1+C59</f>
        <v>5</v>
      </c>
      <c r="D60" s="1333"/>
      <c r="E60" s="1072"/>
      <c r="F60" s="1081"/>
      <c r="G60" s="1093"/>
      <c r="H60" s="1093"/>
      <c r="I60" s="1094"/>
      <c r="J60" s="1094"/>
      <c r="K60" s="1094"/>
      <c r="L60" s="1094"/>
      <c r="M60" s="1094"/>
      <c r="N60" s="1094"/>
      <c r="O60" s="1094"/>
      <c r="P60" s="1094"/>
      <c r="Q60" s="1094"/>
      <c r="R60" s="1074"/>
      <c r="S60" s="1333"/>
      <c r="T60" s="1333"/>
      <c r="U60" s="1333"/>
      <c r="V60" s="1333"/>
      <c r="W60" s="1333"/>
      <c r="X60" s="1333"/>
      <c r="Y60" s="1333"/>
      <c r="Z60" s="1333"/>
      <c r="AA60" s="1333"/>
      <c r="AB60" s="1333"/>
      <c r="AC60" s="1091"/>
      <c r="AD60" s="1333"/>
      <c r="AE60" s="1333"/>
      <c r="AF60" s="1333"/>
      <c r="AG60" s="1333"/>
      <c r="AH60" s="1097"/>
      <c r="AI60" s="1333"/>
      <c r="AJ60" s="1333"/>
      <c r="AK60" s="1333"/>
    </row>
    <row r="61" spans="1:37">
      <c r="A61" s="1333"/>
      <c r="B61" s="1333"/>
      <c r="C61" s="1073">
        <f t="shared" si="0"/>
        <v>6</v>
      </c>
      <c r="D61" s="1333"/>
      <c r="E61" s="1072" t="s">
        <v>1191</v>
      </c>
      <c r="F61" s="1081"/>
      <c r="G61" s="1093"/>
      <c r="H61" s="1093"/>
      <c r="I61" s="1094"/>
      <c r="J61" s="1094"/>
      <c r="K61" s="1094"/>
      <c r="L61" s="1094"/>
      <c r="M61" s="1094"/>
      <c r="N61" s="1094"/>
      <c r="O61" s="1094"/>
      <c r="P61" s="1094"/>
      <c r="Q61" s="1094"/>
      <c r="R61" s="1074"/>
      <c r="S61" s="1333"/>
      <c r="T61" s="1333"/>
      <c r="U61" s="1333"/>
      <c r="V61" s="1333"/>
      <c r="W61" s="1333"/>
      <c r="X61" s="1333"/>
      <c r="Y61" s="1333"/>
      <c r="Z61" s="1333"/>
      <c r="AA61" s="1333"/>
      <c r="AB61" s="1333"/>
      <c r="AC61" s="1333"/>
      <c r="AD61" s="1333"/>
      <c r="AE61" s="1333"/>
      <c r="AF61" s="1333"/>
      <c r="AG61" s="1333"/>
      <c r="AH61" s="1097"/>
      <c r="AI61" s="1333"/>
      <c r="AJ61" s="1333"/>
      <c r="AK61" s="1333"/>
    </row>
    <row r="62" spans="1:37">
      <c r="A62" s="1333"/>
      <c r="B62" s="1333"/>
      <c r="C62" s="1073">
        <f t="shared" si="0"/>
        <v>7</v>
      </c>
      <c r="D62" s="1333"/>
      <c r="E62" s="1072" t="s">
        <v>1070</v>
      </c>
      <c r="F62" s="1081"/>
      <c r="G62" s="1099">
        <f>G57+G59</f>
        <v>-57029546.136117399</v>
      </c>
      <c r="H62" s="1093"/>
      <c r="I62" s="1099">
        <f ca="1">I57+I59</f>
        <v>-3891489.8638826087</v>
      </c>
      <c r="J62" s="1099"/>
      <c r="K62" s="1099">
        <f ca="1">K57+K59</f>
        <v>-60921036</v>
      </c>
      <c r="L62" s="1099">
        <f ca="1">L57+L59</f>
        <v>7398910</v>
      </c>
      <c r="M62" s="1099">
        <f ca="1">M57+M59</f>
        <v>-53522126</v>
      </c>
      <c r="N62" s="1094"/>
      <c r="O62" s="1099">
        <f>O57+O59</f>
        <v>48512630</v>
      </c>
      <c r="P62" s="1099"/>
      <c r="Q62" s="1099">
        <f ca="1">Q57+Q59</f>
        <v>-5009496</v>
      </c>
      <c r="R62" s="1074"/>
      <c r="S62" s="1333"/>
      <c r="T62" s="1333"/>
      <c r="U62" s="1333"/>
      <c r="V62" s="1333"/>
      <c r="W62" s="1333"/>
      <c r="X62" s="1333"/>
      <c r="Y62" s="1333"/>
      <c r="Z62" s="1333"/>
      <c r="AA62" s="1333"/>
      <c r="AB62" s="1333"/>
      <c r="AC62" s="1333"/>
      <c r="AD62" s="1333"/>
      <c r="AE62" s="1333"/>
      <c r="AF62" s="1333"/>
      <c r="AG62" s="1333"/>
      <c r="AH62" s="1097"/>
      <c r="AI62" s="1333"/>
      <c r="AJ62" s="1333"/>
      <c r="AK62" s="1333"/>
    </row>
    <row r="63" spans="1:37">
      <c r="A63" s="1333"/>
      <c r="B63" s="1333"/>
      <c r="C63" s="1073">
        <f t="shared" si="0"/>
        <v>8</v>
      </c>
      <c r="D63" s="1333"/>
      <c r="E63" s="1333"/>
      <c r="F63" s="1108"/>
      <c r="G63" s="1093"/>
      <c r="H63" s="1093"/>
      <c r="I63" s="1093"/>
      <c r="J63" s="1093"/>
      <c r="K63" s="1093"/>
      <c r="L63" s="1093"/>
      <c r="M63" s="1093"/>
      <c r="N63" s="1094"/>
      <c r="O63" s="1093"/>
      <c r="P63" s="1093"/>
      <c r="Q63" s="1093"/>
      <c r="R63" s="1074"/>
      <c r="S63" s="1333"/>
      <c r="T63" s="1333"/>
      <c r="U63" s="1333"/>
      <c r="V63" s="1333"/>
      <c r="W63" s="1333"/>
      <c r="X63" s="1333"/>
      <c r="Y63" s="1333"/>
      <c r="Z63" s="1333"/>
      <c r="AA63" s="1333"/>
      <c r="AB63" s="1333"/>
      <c r="AC63" s="1333"/>
      <c r="AD63" s="1333"/>
      <c r="AE63" s="1333"/>
      <c r="AF63" s="1333"/>
      <c r="AG63" s="1333"/>
      <c r="AH63" s="1097"/>
      <c r="AI63" s="1333"/>
      <c r="AJ63" s="1333"/>
      <c r="AK63" s="1333"/>
    </row>
    <row r="64" spans="1:37">
      <c r="A64" s="1333"/>
      <c r="B64" s="1333"/>
      <c r="C64" s="1073">
        <f t="shared" si="0"/>
        <v>9</v>
      </c>
      <c r="D64" s="1333"/>
      <c r="E64" s="1072" t="s">
        <v>1758</v>
      </c>
      <c r="F64" s="1081"/>
      <c r="G64" s="1093"/>
      <c r="H64" s="1093"/>
      <c r="I64" s="1093"/>
      <c r="J64" s="1093"/>
      <c r="K64" s="1093"/>
      <c r="L64" s="1093"/>
      <c r="M64" s="1093"/>
      <c r="N64" s="1093"/>
      <c r="O64" s="1093"/>
      <c r="P64" s="1093"/>
      <c r="Q64" s="1093"/>
      <c r="R64" s="1093"/>
      <c r="S64" s="1333"/>
      <c r="T64" s="1333"/>
      <c r="U64" s="1333"/>
      <c r="V64" s="1333"/>
      <c r="W64" s="1333"/>
      <c r="X64" s="1333"/>
      <c r="Y64" s="1333"/>
      <c r="Z64" s="1333"/>
      <c r="AA64" s="1333"/>
      <c r="AB64" s="1333"/>
      <c r="AC64" s="1333"/>
      <c r="AD64" s="1333"/>
      <c r="AE64" s="1333"/>
      <c r="AF64" s="1333"/>
      <c r="AG64" s="1333"/>
      <c r="AH64" s="1097"/>
      <c r="AI64" s="1333"/>
      <c r="AJ64" s="1333"/>
      <c r="AK64" s="1333"/>
    </row>
    <row r="65" spans="1:37">
      <c r="A65" s="1333"/>
      <c r="B65" s="1333"/>
      <c r="C65" s="1073">
        <f t="shared" si="0"/>
        <v>10</v>
      </c>
      <c r="D65" s="1333"/>
      <c r="E65" s="1072" t="s">
        <v>2391</v>
      </c>
      <c r="F65" s="1081"/>
      <c r="G65" s="1093">
        <f>W164</f>
        <v>45151759.087842837</v>
      </c>
      <c r="H65" s="1093"/>
      <c r="I65" s="1098">
        <f>K65-G65</f>
        <v>10527436.137669004</v>
      </c>
      <c r="J65" s="1095"/>
      <c r="K65" s="1093">
        <f>X164</f>
        <v>55679195.225511841</v>
      </c>
      <c r="L65" s="1093">
        <v>0</v>
      </c>
      <c r="M65" s="1092">
        <f>K65+L65</f>
        <v>55679195.225511841</v>
      </c>
      <c r="N65" s="1094"/>
      <c r="O65" s="1093">
        <v>0</v>
      </c>
      <c r="P65" s="1095"/>
      <c r="Q65" s="1093">
        <f>M65+O65</f>
        <v>55679195.225511841</v>
      </c>
      <c r="R65" s="1096"/>
      <c r="S65" s="1110"/>
      <c r="T65" s="1333"/>
      <c r="U65" s="1333"/>
      <c r="V65" s="1333"/>
      <c r="W65" s="1333"/>
      <c r="X65" s="1333"/>
      <c r="Y65" s="1333"/>
      <c r="Z65" s="1333"/>
      <c r="AA65" s="1333"/>
      <c r="AB65" s="1333"/>
      <c r="AC65" s="1333"/>
      <c r="AD65" s="1333"/>
      <c r="AE65" s="1333"/>
      <c r="AF65" s="1333"/>
      <c r="AG65" s="1333"/>
      <c r="AH65" s="1097"/>
      <c r="AI65" s="1333"/>
      <c r="AJ65" s="1333"/>
      <c r="AK65" s="1333"/>
    </row>
    <row r="66" spans="1:37">
      <c r="A66" s="1333"/>
      <c r="B66" s="1333"/>
      <c r="C66" s="1073">
        <f t="shared" si="0"/>
        <v>11</v>
      </c>
      <c r="D66" s="1333"/>
      <c r="E66" s="1072" t="s">
        <v>1425</v>
      </c>
      <c r="F66" s="1081"/>
      <c r="G66" s="1100">
        <f>SUM(G65:G65)</f>
        <v>45151759.087842837</v>
      </c>
      <c r="H66" s="1093"/>
      <c r="I66" s="1100">
        <f>SUM(I65:I65)</f>
        <v>10527436.137669004</v>
      </c>
      <c r="J66" s="1093"/>
      <c r="K66" s="1100">
        <f>SUM(K65:K65)</f>
        <v>55679195.225511841</v>
      </c>
      <c r="L66" s="1100">
        <f>SUM(L65:L65)</f>
        <v>0</v>
      </c>
      <c r="M66" s="1100">
        <f>SUM(M65:M65)</f>
        <v>55679195.225511841</v>
      </c>
      <c r="N66" s="1094"/>
      <c r="O66" s="1100">
        <f>SUM(O65:O65)</f>
        <v>0</v>
      </c>
      <c r="P66" s="1093"/>
      <c r="Q66" s="1100">
        <f>SUM(Q65:Q65)</f>
        <v>55679195.225511841</v>
      </c>
      <c r="R66" s="1074"/>
      <c r="S66" s="1110"/>
      <c r="T66" s="1333"/>
      <c r="U66" s="1333"/>
      <c r="V66" s="1333"/>
      <c r="W66" s="1333"/>
      <c r="X66" s="1333"/>
      <c r="Y66" s="1333"/>
      <c r="Z66" s="1333"/>
      <c r="AA66" s="1333"/>
      <c r="AB66" s="1333"/>
      <c r="AC66" s="1091"/>
      <c r="AD66" s="1333"/>
      <c r="AE66" s="1333"/>
      <c r="AF66" s="1333"/>
      <c r="AG66" s="1333"/>
      <c r="AH66" s="1097"/>
      <c r="AI66" s="1333"/>
      <c r="AJ66" s="1333"/>
      <c r="AK66" s="1333"/>
    </row>
    <row r="67" spans="1:37">
      <c r="A67" s="1333"/>
      <c r="B67" s="1333"/>
      <c r="C67" s="1073">
        <f t="shared" si="0"/>
        <v>12</v>
      </c>
      <c r="D67" s="1333"/>
      <c r="E67" s="1333"/>
      <c r="F67" s="1081"/>
      <c r="G67" s="1093"/>
      <c r="H67" s="1093"/>
      <c r="I67" s="1093"/>
      <c r="J67" s="1093"/>
      <c r="K67" s="1093"/>
      <c r="L67" s="1093"/>
      <c r="M67" s="1093"/>
      <c r="N67" s="1093"/>
      <c r="O67" s="1093"/>
      <c r="P67" s="1093"/>
      <c r="Q67" s="1093"/>
      <c r="R67" s="1074"/>
      <c r="S67" s="1110"/>
      <c r="T67" s="1333"/>
      <c r="U67" s="1333"/>
      <c r="V67" s="1333"/>
      <c r="W67" s="1333"/>
      <c r="X67" s="1333"/>
      <c r="Y67" s="1333"/>
      <c r="Z67" s="1333"/>
      <c r="AA67" s="1333"/>
      <c r="AB67" s="1333"/>
      <c r="AC67" s="1091"/>
      <c r="AD67" s="1333"/>
      <c r="AE67" s="1333"/>
      <c r="AF67" s="1333"/>
      <c r="AG67" s="1333"/>
      <c r="AH67" s="1097"/>
      <c r="AI67" s="1333"/>
      <c r="AJ67" s="1333"/>
      <c r="AK67" s="1333"/>
    </row>
    <row r="68" spans="1:37">
      <c r="A68" s="1333"/>
      <c r="B68" s="1333"/>
      <c r="C68" s="1073">
        <f t="shared" si="0"/>
        <v>13</v>
      </c>
      <c r="D68" s="1333"/>
      <c r="E68" s="1072" t="s">
        <v>1824</v>
      </c>
      <c r="F68" s="1081"/>
      <c r="G68" s="1099">
        <f>G62+G66</f>
        <v>-11877787.048274562</v>
      </c>
      <c r="H68" s="1093"/>
      <c r="I68" s="1099">
        <f ca="1">I62+I66</f>
        <v>6635946.2737863958</v>
      </c>
      <c r="J68" s="1093"/>
      <c r="K68" s="1099">
        <f ca="1">K62+K66</f>
        <v>-5241840.7744881585</v>
      </c>
      <c r="L68" s="1099">
        <f ca="1">L62+L66</f>
        <v>7398910</v>
      </c>
      <c r="M68" s="1099">
        <f ca="1">M62+M66</f>
        <v>2157069.2255118415</v>
      </c>
      <c r="N68" s="1094"/>
      <c r="O68" s="1099">
        <f>O62+O66</f>
        <v>48512630</v>
      </c>
      <c r="P68" s="1093"/>
      <c r="Q68" s="1099">
        <f ca="1">Q62+Q66</f>
        <v>50669699.225511841</v>
      </c>
      <c r="R68" s="1074"/>
      <c r="S68" s="1110"/>
      <c r="T68" s="1333"/>
      <c r="U68" s="1333"/>
      <c r="V68" s="1333"/>
      <c r="W68" s="1333"/>
      <c r="X68" s="1333"/>
      <c r="Y68" s="1333"/>
      <c r="Z68" s="1333"/>
      <c r="AA68" s="1333"/>
      <c r="AB68" s="1333"/>
      <c r="AC68" s="1333"/>
      <c r="AD68" s="1333"/>
      <c r="AE68" s="1333"/>
      <c r="AF68" s="1333"/>
      <c r="AG68" s="1333"/>
      <c r="AH68" s="1097"/>
      <c r="AI68" s="1333"/>
      <c r="AJ68" s="1333"/>
      <c r="AK68" s="1333"/>
    </row>
    <row r="69" spans="1:37">
      <c r="A69" s="1333"/>
      <c r="B69" s="1333"/>
      <c r="C69" s="1073">
        <f t="shared" si="0"/>
        <v>14</v>
      </c>
      <c r="D69" s="1333"/>
      <c r="E69" s="1333"/>
      <c r="F69" s="1081"/>
      <c r="G69" s="1093"/>
      <c r="H69" s="1093"/>
      <c r="I69" s="1093"/>
      <c r="J69" s="1093"/>
      <c r="K69" s="1093"/>
      <c r="L69" s="1093"/>
      <c r="M69" s="1093"/>
      <c r="N69" s="1094"/>
      <c r="O69" s="1093"/>
      <c r="P69" s="1093"/>
      <c r="Q69" s="1093"/>
      <c r="R69" s="1074"/>
      <c r="S69" s="1110"/>
      <c r="T69" s="1333"/>
      <c r="U69" s="1333"/>
      <c r="V69" s="1333"/>
      <c r="W69" s="1333"/>
      <c r="X69" s="1333"/>
      <c r="Y69" s="1333"/>
      <c r="Z69" s="1333"/>
      <c r="AA69" s="1333"/>
      <c r="AB69" s="1333"/>
      <c r="AC69" s="1333"/>
      <c r="AD69" s="1333"/>
      <c r="AE69" s="1333"/>
      <c r="AF69" s="1333"/>
      <c r="AG69" s="1333"/>
      <c r="AH69" s="1097"/>
      <c r="AI69" s="1333"/>
      <c r="AJ69" s="1333"/>
      <c r="AK69" s="1333"/>
    </row>
    <row r="70" spans="1:37">
      <c r="A70" s="1333"/>
      <c r="B70" s="1333"/>
      <c r="C70" s="1073">
        <f t="shared" si="0"/>
        <v>15</v>
      </c>
      <c r="D70" s="1333"/>
      <c r="E70" s="1123" t="s">
        <v>2306</v>
      </c>
      <c r="F70" s="1081"/>
      <c r="G70" s="1552">
        <f>AH281</f>
        <v>0.89086699999999996</v>
      </c>
      <c r="H70" s="1093"/>
      <c r="I70" s="1552">
        <f>AH281</f>
        <v>0.89086699999999996</v>
      </c>
      <c r="J70" s="1093"/>
      <c r="K70" s="1552">
        <f>AH281</f>
        <v>0.89086699999999996</v>
      </c>
      <c r="L70" s="1552">
        <f>AH281</f>
        <v>0.89086699999999996</v>
      </c>
      <c r="M70" s="1552">
        <f>AH281</f>
        <v>0.89086699999999996</v>
      </c>
      <c r="N70" s="1094"/>
      <c r="O70" s="1552">
        <f>AH281</f>
        <v>0.89086699999999996</v>
      </c>
      <c r="P70" s="1093"/>
      <c r="Q70" s="1552">
        <f>AH281</f>
        <v>0.89086699999999996</v>
      </c>
      <c r="R70" s="1074"/>
      <c r="S70" s="1110"/>
      <c r="T70" s="1333"/>
      <c r="U70" s="1333"/>
      <c r="V70" s="1333"/>
      <c r="W70" s="1333"/>
      <c r="X70" s="1333"/>
      <c r="Y70" s="1333"/>
      <c r="Z70" s="1333"/>
      <c r="AA70" s="1333"/>
      <c r="AB70" s="1333"/>
      <c r="AC70" s="1333"/>
      <c r="AD70" s="1333"/>
      <c r="AE70" s="1333"/>
      <c r="AF70" s="1333"/>
      <c r="AG70" s="1333"/>
      <c r="AH70" s="1097"/>
      <c r="AI70" s="1333"/>
      <c r="AJ70" s="1333"/>
      <c r="AK70" s="1333"/>
    </row>
    <row r="71" spans="1:37">
      <c r="A71" s="1333"/>
      <c r="B71" s="1333"/>
      <c r="C71" s="1073">
        <f t="shared" si="0"/>
        <v>16</v>
      </c>
      <c r="D71" s="1333"/>
      <c r="E71" s="1072"/>
      <c r="F71" s="1081"/>
      <c r="G71" s="1093"/>
      <c r="H71" s="1093"/>
      <c r="I71" s="1098"/>
      <c r="J71" s="1093"/>
      <c r="K71" s="1093"/>
      <c r="L71" s="1093"/>
      <c r="M71" s="1092"/>
      <c r="N71" s="1094"/>
      <c r="O71" s="1093"/>
      <c r="P71" s="1093"/>
      <c r="Q71" s="1093"/>
      <c r="R71" s="1074"/>
      <c r="S71" s="1333"/>
      <c r="T71" s="1333"/>
      <c r="U71" s="1333"/>
      <c r="V71" s="1333"/>
      <c r="W71" s="1333"/>
      <c r="X71" s="1333"/>
      <c r="Y71" s="1333"/>
      <c r="Z71" s="1333"/>
      <c r="AA71" s="1333"/>
      <c r="AB71" s="1333"/>
      <c r="AC71" s="1333"/>
      <c r="AD71" s="1333"/>
      <c r="AE71" s="1333"/>
      <c r="AF71" s="1333"/>
      <c r="AG71" s="1333"/>
      <c r="AH71" s="1097"/>
      <c r="AI71" s="1333"/>
      <c r="AJ71" s="1333"/>
      <c r="AK71" s="1333"/>
    </row>
    <row r="72" spans="1:37">
      <c r="A72" s="1333"/>
      <c r="B72" s="1333"/>
      <c r="C72" s="1073">
        <f t="shared" si="0"/>
        <v>17</v>
      </c>
      <c r="D72" s="1333"/>
      <c r="E72" s="1072" t="s">
        <v>1757</v>
      </c>
      <c r="F72" s="1081"/>
      <c r="G72" s="1100">
        <f>W170</f>
        <v>-10581528.51</v>
      </c>
      <c r="H72" s="1093"/>
      <c r="I72" s="1553">
        <f ca="1">K72-G72</f>
        <v>5911745.5099999998</v>
      </c>
      <c r="J72" s="1093"/>
      <c r="K72" s="1100">
        <f ca="1">X170</f>
        <v>-4669783</v>
      </c>
      <c r="L72" s="1100">
        <f ca="1">ROUND(L68*L70,0)</f>
        <v>6591445</v>
      </c>
      <c r="M72" s="1100">
        <f ca="1">ROUND(M68*M70,0)</f>
        <v>1921662</v>
      </c>
      <c r="N72" s="1093"/>
      <c r="O72" s="1100">
        <f>ROUND(O68*O70,0)</f>
        <v>43218301</v>
      </c>
      <c r="P72" s="1093"/>
      <c r="Q72" s="1100">
        <f ca="1">ROUND(Q68*Q70,0)</f>
        <v>45139963</v>
      </c>
      <c r="R72" s="1074"/>
      <c r="S72" s="1333"/>
      <c r="T72" s="1333"/>
      <c r="U72" s="1333"/>
      <c r="V72" s="1333"/>
      <c r="W72" s="1333"/>
      <c r="X72" s="1333"/>
      <c r="Y72" s="1333"/>
      <c r="Z72" s="1333"/>
      <c r="AA72" s="1333"/>
      <c r="AB72" s="1333"/>
      <c r="AC72" s="1333"/>
      <c r="AD72" s="1333"/>
      <c r="AE72" s="1333"/>
      <c r="AF72" s="1333"/>
      <c r="AG72" s="1333"/>
      <c r="AH72" s="1097"/>
      <c r="AI72" s="1333"/>
      <c r="AJ72" s="1333"/>
      <c r="AK72" s="1333"/>
    </row>
    <row r="73" spans="1:37">
      <c r="A73" s="1333"/>
      <c r="B73" s="1333"/>
      <c r="C73" s="1073">
        <f t="shared" si="0"/>
        <v>18</v>
      </c>
      <c r="D73" s="1333"/>
      <c r="E73" s="1333"/>
      <c r="F73" s="1081"/>
      <c r="G73" s="1093"/>
      <c r="H73" s="1093"/>
      <c r="I73" s="1093"/>
      <c r="J73" s="1093"/>
      <c r="K73" s="1093"/>
      <c r="L73" s="1093"/>
      <c r="M73" s="1093"/>
      <c r="N73" s="1093"/>
      <c r="O73" s="1093"/>
      <c r="P73" s="1093"/>
      <c r="Q73" s="1093"/>
      <c r="R73" s="1074"/>
      <c r="S73" s="1110"/>
      <c r="T73" s="1333"/>
      <c r="U73" s="1333"/>
      <c r="V73" s="1333"/>
      <c r="W73" s="1333"/>
      <c r="X73" s="1333"/>
      <c r="Y73" s="1333"/>
      <c r="Z73" s="1333"/>
      <c r="AA73" s="1333"/>
      <c r="AB73" s="1333"/>
      <c r="AC73" s="1333"/>
      <c r="AD73" s="1333"/>
      <c r="AE73" s="1333"/>
      <c r="AF73" s="1333"/>
      <c r="AG73" s="1333"/>
      <c r="AH73" s="1097"/>
      <c r="AI73" s="1333"/>
      <c r="AJ73" s="1333"/>
      <c r="AK73" s="1333"/>
    </row>
    <row r="74" spans="1:37">
      <c r="A74" s="1333"/>
      <c r="B74" s="1333"/>
      <c r="C74" s="1073">
        <f t="shared" si="0"/>
        <v>19</v>
      </c>
      <c r="D74" s="1333"/>
      <c r="E74" s="1072" t="str">
        <f>"Kentucky Income Tax @ "&amp;TEXT(SIT,"##.0%")</f>
        <v>Kentucky Income Tax @ 6.0%</v>
      </c>
      <c r="F74" s="1081"/>
      <c r="G74" s="1098">
        <f>W172</f>
        <v>-634892</v>
      </c>
      <c r="H74" s="1093"/>
      <c r="I74" s="1098">
        <f ca="1">K74-G74</f>
        <v>354705</v>
      </c>
      <c r="J74" s="1093"/>
      <c r="K74" s="1098">
        <f ca="1">X172</f>
        <v>-280187</v>
      </c>
      <c r="L74" s="1093">
        <f ca="1">SCH_D1!U234</f>
        <v>395485</v>
      </c>
      <c r="M74" s="1092">
        <f ca="1">K74+L74</f>
        <v>115298</v>
      </c>
      <c r="N74" s="1094"/>
      <c r="O74" s="1093">
        <f>ROUND(O72*SIT,0)</f>
        <v>2593098</v>
      </c>
      <c r="P74" s="1093"/>
      <c r="Q74" s="1093">
        <f ca="1">M74+O74</f>
        <v>2708396</v>
      </c>
      <c r="R74" s="1074"/>
      <c r="S74" s="1333"/>
      <c r="T74" s="1333"/>
      <c r="U74" s="1333"/>
      <c r="V74" s="1333"/>
      <c r="W74" s="1333"/>
      <c r="X74" s="1333"/>
      <c r="Y74" s="1333"/>
      <c r="Z74" s="1333"/>
      <c r="AA74" s="1333"/>
      <c r="AB74" s="1333"/>
      <c r="AC74" s="1091"/>
      <c r="AD74" s="1333"/>
      <c r="AE74" s="1333"/>
      <c r="AF74" s="1333"/>
      <c r="AG74" s="1333"/>
      <c r="AH74" s="1097"/>
      <c r="AI74" s="1333"/>
      <c r="AJ74" s="1333"/>
      <c r="AK74" s="1333"/>
    </row>
    <row r="75" spans="1:37">
      <c r="A75" s="1333"/>
      <c r="B75" s="1333"/>
      <c r="C75" s="1073">
        <f t="shared" si="0"/>
        <v>20</v>
      </c>
      <c r="D75" s="1333"/>
      <c r="E75" s="1114" t="s">
        <v>1414</v>
      </c>
      <c r="F75" s="1081"/>
      <c r="G75" s="1093">
        <f>W173</f>
        <v>0</v>
      </c>
      <c r="H75" s="1093"/>
      <c r="I75" s="1053">
        <f>K75-G75</f>
        <v>0</v>
      </c>
      <c r="J75" s="1093"/>
      <c r="K75" s="1093">
        <f>X173</f>
        <v>0</v>
      </c>
      <c r="L75" s="1093">
        <v>0</v>
      </c>
      <c r="M75" s="1092">
        <f>K75+L75</f>
        <v>0</v>
      </c>
      <c r="N75" s="1094"/>
      <c r="O75" s="1093">
        <v>0</v>
      </c>
      <c r="P75" s="1093"/>
      <c r="Q75" s="1093">
        <f>M75+O75</f>
        <v>0</v>
      </c>
      <c r="R75" s="1074"/>
      <c r="S75" s="1333"/>
      <c r="T75" s="1333"/>
      <c r="U75" s="1333"/>
      <c r="V75" s="1333"/>
      <c r="W75" s="1333"/>
      <c r="X75" s="1333"/>
      <c r="Y75" s="1333"/>
      <c r="Z75" s="1333"/>
      <c r="AA75" s="1333"/>
      <c r="AB75" s="1333"/>
      <c r="AC75" s="1091"/>
      <c r="AD75" s="1333"/>
      <c r="AE75" s="1333"/>
      <c r="AF75" s="1333"/>
      <c r="AG75" s="1333"/>
      <c r="AH75" s="1097"/>
      <c r="AI75" s="1333"/>
      <c r="AJ75" s="1333"/>
      <c r="AK75" s="1333"/>
    </row>
    <row r="76" spans="1:37">
      <c r="A76" s="1333"/>
      <c r="B76" s="1333"/>
      <c r="C76" s="1073">
        <f t="shared" si="0"/>
        <v>21</v>
      </c>
      <c r="D76" s="1333"/>
      <c r="E76" s="1072" t="s">
        <v>494</v>
      </c>
      <c r="F76" s="1081"/>
      <c r="G76" s="1115">
        <f>G74+G75</f>
        <v>-634892</v>
      </c>
      <c r="H76" s="1093"/>
      <c r="I76" s="1115">
        <f ca="1">I74+I75</f>
        <v>354705</v>
      </c>
      <c r="J76" s="1093"/>
      <c r="K76" s="1115">
        <f ca="1">K74+K75</f>
        <v>-280187</v>
      </c>
      <c r="L76" s="1115">
        <f ca="1">L74+L75</f>
        <v>395485</v>
      </c>
      <c r="M76" s="1115">
        <f ca="1">M74+M75</f>
        <v>115298</v>
      </c>
      <c r="N76" s="1093"/>
      <c r="O76" s="1115">
        <f>O74+O75</f>
        <v>2593098</v>
      </c>
      <c r="P76" s="1093"/>
      <c r="Q76" s="1115">
        <f ca="1">Q74+Q75</f>
        <v>2708396</v>
      </c>
      <c r="R76" s="1074"/>
      <c r="S76" s="1333"/>
      <c r="T76" s="1333"/>
      <c r="U76" s="1333"/>
      <c r="V76" s="1333"/>
      <c r="W76" s="1333"/>
      <c r="X76" s="1333"/>
      <c r="Y76" s="1333"/>
      <c r="Z76" s="1333"/>
      <c r="AA76" s="1333"/>
      <c r="AB76" s="1333"/>
      <c r="AC76" s="1333"/>
      <c r="AD76" s="1333"/>
      <c r="AE76" s="1333"/>
      <c r="AF76" s="1333"/>
      <c r="AG76" s="1333"/>
      <c r="AH76" s="1097"/>
      <c r="AI76" s="1333"/>
      <c r="AJ76" s="1333"/>
      <c r="AK76" s="1333"/>
    </row>
    <row r="77" spans="1:37">
      <c r="A77" s="1333"/>
      <c r="B77" s="1333"/>
      <c r="C77" s="1073">
        <f t="shared" si="0"/>
        <v>22</v>
      </c>
      <c r="D77" s="1333"/>
      <c r="E77" s="1072" t="s">
        <v>1192</v>
      </c>
      <c r="F77" s="1081"/>
      <c r="G77" s="1116">
        <f>'SCH_C2.1 - Base Period'!J350+'SCH_C2.1 - Base Period'!G351</f>
        <v>16205</v>
      </c>
      <c r="H77" s="1093"/>
      <c r="I77" s="1098">
        <f>K77-G77</f>
        <v>-16205</v>
      </c>
      <c r="J77" s="1093"/>
      <c r="K77" s="1093">
        <v>0</v>
      </c>
      <c r="L77" s="1093">
        <v>0</v>
      </c>
      <c r="M77" s="1092">
        <f>K77+L77</f>
        <v>0</v>
      </c>
      <c r="N77" s="1093"/>
      <c r="O77" s="1093">
        <v>0</v>
      </c>
      <c r="P77" s="1093"/>
      <c r="Q77" s="1093">
        <f>M77+O77</f>
        <v>0</v>
      </c>
      <c r="R77" s="1074"/>
      <c r="S77" s="1333"/>
      <c r="T77" s="1333"/>
      <c r="U77" s="1333"/>
      <c r="V77" s="1333"/>
      <c r="W77" s="1333"/>
      <c r="X77" s="1333"/>
      <c r="Y77" s="1333"/>
      <c r="Z77" s="1333"/>
      <c r="AA77" s="1333"/>
      <c r="AB77" s="1333"/>
      <c r="AC77" s="1333"/>
      <c r="AD77" s="1333"/>
      <c r="AE77" s="1333"/>
      <c r="AF77" s="1333"/>
      <c r="AG77" s="1333"/>
      <c r="AH77" s="1097"/>
      <c r="AI77" s="1333"/>
      <c r="AJ77" s="1333"/>
      <c r="AK77" s="1333"/>
    </row>
    <row r="78" spans="1:37" ht="13.5" thickBot="1">
      <c r="A78" s="1333"/>
      <c r="B78" s="1333"/>
      <c r="C78" s="1073">
        <f>1+C77</f>
        <v>23</v>
      </c>
      <c r="D78" s="1333"/>
      <c r="E78" s="1072" t="s">
        <v>495</v>
      </c>
      <c r="F78" s="1081"/>
      <c r="G78" s="1104">
        <f>IF(SUM(G76:G77)='SCH_C2.1 - Base Period'!J352,'SCH_C2.1 - Base Period'!J352,"CHECK ROUNDING")</f>
        <v>-618687</v>
      </c>
      <c r="H78" s="1093"/>
      <c r="I78" s="1104">
        <f ca="1">I77+I76</f>
        <v>338500</v>
      </c>
      <c r="J78" s="1093"/>
      <c r="K78" s="1104">
        <f ca="1">K77+K76</f>
        <v>-280187</v>
      </c>
      <c r="L78" s="1104">
        <f ca="1">L77+L76</f>
        <v>395485</v>
      </c>
      <c r="M78" s="1104">
        <f ca="1">M77+M76</f>
        <v>115298</v>
      </c>
      <c r="N78" s="1093"/>
      <c r="O78" s="1104">
        <f>O77+O76</f>
        <v>2593098</v>
      </c>
      <c r="P78" s="1093"/>
      <c r="Q78" s="1104">
        <f ca="1">Q77+Q76</f>
        <v>2708396</v>
      </c>
      <c r="R78" s="1074"/>
      <c r="S78" s="1333"/>
      <c r="T78" s="1333"/>
      <c r="U78" s="1333"/>
      <c r="V78" s="1333"/>
      <c r="W78" s="1333"/>
      <c r="X78" s="1333"/>
      <c r="Y78" s="1333"/>
      <c r="Z78" s="1333"/>
      <c r="AA78" s="1333"/>
      <c r="AB78" s="1333"/>
      <c r="AC78" s="1333"/>
      <c r="AD78" s="1333"/>
      <c r="AE78" s="1333"/>
      <c r="AF78" s="1333"/>
      <c r="AG78" s="1333"/>
      <c r="AH78" s="1097"/>
      <c r="AI78" s="1333"/>
      <c r="AJ78" s="1333"/>
      <c r="AK78" s="1333"/>
    </row>
    <row r="79" spans="1:37" ht="13.5" thickTop="1">
      <c r="A79" s="1333"/>
      <c r="B79" s="1333"/>
      <c r="C79" s="1071"/>
      <c r="D79" s="1333"/>
      <c r="E79" s="1072"/>
      <c r="F79" s="1081"/>
      <c r="G79" s="1093"/>
      <c r="H79" s="1093"/>
      <c r="I79" s="1093"/>
      <c r="J79" s="1093"/>
      <c r="K79" s="1093"/>
      <c r="L79" s="1093"/>
      <c r="M79" s="1093"/>
      <c r="N79" s="1093"/>
      <c r="O79" s="1093"/>
      <c r="P79" s="1093"/>
      <c r="Q79" s="1093"/>
      <c r="R79" s="1074"/>
      <c r="S79" s="1333"/>
      <c r="T79" s="1333"/>
      <c r="U79" s="1333"/>
      <c r="V79" s="1333"/>
      <c r="W79" s="1333"/>
      <c r="X79" s="1333"/>
      <c r="Y79" s="1333"/>
      <c r="Z79" s="1333"/>
      <c r="AA79" s="1333"/>
      <c r="AB79" s="1333"/>
      <c r="AC79" s="1333"/>
      <c r="AD79" s="1333"/>
      <c r="AE79" s="1333"/>
      <c r="AF79" s="1333"/>
      <c r="AG79" s="1333"/>
      <c r="AH79" s="1097"/>
      <c r="AI79" s="1333"/>
      <c r="AJ79" s="1333"/>
      <c r="AK79" s="1333"/>
    </row>
    <row r="80" spans="1:37">
      <c r="A80" s="1333"/>
      <c r="B80" s="1333"/>
      <c r="C80" s="1071"/>
      <c r="D80" s="1333"/>
      <c r="E80" s="1072"/>
      <c r="F80" s="1081"/>
      <c r="G80" s="1093"/>
      <c r="H80" s="1093"/>
      <c r="I80" s="1093"/>
      <c r="J80" s="1093"/>
      <c r="R80" s="1074"/>
      <c r="S80" s="1333"/>
      <c r="T80" s="1333"/>
      <c r="U80" s="1333"/>
      <c r="V80" s="1333"/>
      <c r="W80" s="1333"/>
      <c r="X80" s="1333"/>
      <c r="Y80" s="1333"/>
      <c r="Z80" s="1333"/>
      <c r="AA80" s="1333"/>
      <c r="AB80" s="1333"/>
      <c r="AC80" s="1333"/>
      <c r="AD80" s="1333"/>
      <c r="AE80" s="1333"/>
      <c r="AF80" s="1333"/>
      <c r="AG80" s="1333"/>
      <c r="AH80" s="1097"/>
      <c r="AI80" s="1333"/>
      <c r="AJ80" s="1333"/>
      <c r="AK80" s="1333"/>
    </row>
    <row r="81" spans="1:37">
      <c r="A81" s="1333"/>
      <c r="B81" s="1333"/>
      <c r="C81" s="1107"/>
      <c r="D81" s="1081"/>
      <c r="E81" s="1108" t="s">
        <v>218</v>
      </c>
      <c r="F81" s="1081"/>
      <c r="G81" s="1093"/>
      <c r="H81" s="1093"/>
      <c r="I81" s="1093"/>
      <c r="J81" s="1093"/>
      <c r="K81" s="1093"/>
      <c r="L81" s="1093"/>
      <c r="M81" s="1093"/>
      <c r="N81" s="1093"/>
      <c r="O81" s="1093"/>
      <c r="P81" s="1093"/>
      <c r="Q81" s="1093"/>
      <c r="R81" s="1093"/>
      <c r="S81" s="1110"/>
      <c r="T81" s="1333"/>
      <c r="U81" s="1333"/>
      <c r="V81" s="1333"/>
      <c r="W81" s="1333"/>
      <c r="X81" s="1333"/>
      <c r="Y81" s="1333"/>
      <c r="Z81" s="1333"/>
      <c r="AA81" s="1333"/>
      <c r="AB81" s="1333"/>
      <c r="AC81" s="1333"/>
      <c r="AD81" s="1333"/>
      <c r="AE81" s="1333"/>
      <c r="AF81" s="1333"/>
      <c r="AG81" s="1333"/>
      <c r="AH81" s="1097"/>
      <c r="AI81" s="1333"/>
      <c r="AJ81" s="1333"/>
      <c r="AK81" s="1333"/>
    </row>
    <row r="82" spans="1:37">
      <c r="A82" s="1333"/>
      <c r="B82" s="1333"/>
      <c r="C82" s="1107"/>
      <c r="D82" s="1081"/>
      <c r="E82" s="1108"/>
      <c r="F82" s="1081"/>
      <c r="G82" s="1093"/>
      <c r="H82" s="1093"/>
      <c r="I82" s="1093"/>
      <c r="J82" s="1093"/>
      <c r="K82" s="2050">
        <f ca="1">K74/K72</f>
        <v>6.0000004282854257E-2</v>
      </c>
      <c r="L82" s="2050">
        <f ca="1">L74/L72</f>
        <v>5.9999742089936275E-2</v>
      </c>
      <c r="M82" s="2050">
        <f ca="1">M74/M72</f>
        <v>5.999910494145172E-2</v>
      </c>
      <c r="N82" s="1093"/>
      <c r="O82" s="2050">
        <f>O74/O72</f>
        <v>5.9999998611699246E-2</v>
      </c>
      <c r="P82" s="1093"/>
      <c r="Q82" s="2050">
        <f ca="1">Q74/Q72</f>
        <v>5.9999960567092177E-2</v>
      </c>
      <c r="R82" s="1093"/>
      <c r="S82" s="1110"/>
      <c r="T82" s="1333"/>
      <c r="U82" s="1333"/>
      <c r="V82" s="1333"/>
      <c r="W82" s="1333"/>
      <c r="X82" s="1333"/>
      <c r="Y82" s="1333"/>
      <c r="Z82" s="1333"/>
      <c r="AA82" s="1333"/>
      <c r="AB82" s="1333"/>
      <c r="AC82" s="1333"/>
      <c r="AD82" s="1333"/>
      <c r="AE82" s="1333"/>
      <c r="AF82" s="1333"/>
      <c r="AG82" s="1333"/>
      <c r="AH82" s="1097"/>
      <c r="AI82" s="1333"/>
      <c r="AJ82" s="1333"/>
      <c r="AK82" s="1333"/>
    </row>
    <row r="83" spans="1:37">
      <c r="A83" s="1333"/>
      <c r="B83" s="1333"/>
      <c r="C83" s="1107"/>
      <c r="D83" s="1081"/>
      <c r="E83" s="1108"/>
      <c r="F83" s="1081"/>
      <c r="G83" s="1093"/>
      <c r="H83" s="1093"/>
      <c r="I83" s="1093"/>
      <c r="J83" s="1093"/>
      <c r="K83" s="1093"/>
      <c r="L83" s="1093"/>
      <c r="M83" s="1093"/>
      <c r="N83" s="1093"/>
      <c r="O83" s="1093"/>
      <c r="P83" s="1093"/>
      <c r="Q83" s="1093"/>
      <c r="R83" s="1093"/>
      <c r="S83" s="1110"/>
      <c r="T83" s="1333"/>
      <c r="U83" s="1333"/>
      <c r="V83" s="1333"/>
      <c r="W83" s="1333"/>
      <c r="X83" s="1333"/>
      <c r="Y83" s="1333"/>
      <c r="Z83" s="1333"/>
      <c r="AA83" s="1333"/>
      <c r="AB83" s="1333"/>
      <c r="AC83" s="1333"/>
      <c r="AD83" s="1333"/>
      <c r="AE83" s="1333"/>
      <c r="AF83" s="1333"/>
      <c r="AG83" s="1333"/>
      <c r="AH83" s="1097"/>
      <c r="AI83" s="1333"/>
      <c r="AJ83" s="1333"/>
      <c r="AK83" s="1333"/>
    </row>
    <row r="84" spans="1:37">
      <c r="A84" s="1333"/>
      <c r="B84" s="1333"/>
      <c r="C84" s="1068" t="str">
        <f>COMPANY</f>
        <v>DUKE ENERGY KENTUCKY, INC.</v>
      </c>
      <c r="D84" s="1069"/>
      <c r="E84" s="1069"/>
      <c r="F84" s="1069"/>
      <c r="G84" s="1069"/>
      <c r="H84" s="1069"/>
      <c r="I84" s="1069"/>
      <c r="J84" s="1069"/>
      <c r="K84" s="1069"/>
      <c r="L84" s="1069"/>
      <c r="M84" s="1069"/>
      <c r="N84" s="1069"/>
      <c r="O84" s="1069"/>
      <c r="P84" s="1069"/>
      <c r="Q84" s="1069"/>
      <c r="R84" s="1074"/>
      <c r="S84" s="1110"/>
      <c r="T84" s="1333"/>
      <c r="U84" s="1333"/>
      <c r="V84" s="1333"/>
      <c r="W84" s="1333"/>
      <c r="X84" s="1333"/>
      <c r="Y84" s="1333"/>
      <c r="Z84" s="1333"/>
      <c r="AA84" s="1333"/>
      <c r="AB84" s="1333"/>
      <c r="AC84" s="1333"/>
      <c r="AD84" s="1333"/>
      <c r="AE84" s="1333"/>
      <c r="AF84" s="1333"/>
      <c r="AG84" s="1333"/>
      <c r="AH84" s="1097"/>
      <c r="AI84" s="1333"/>
      <c r="AJ84" s="1333"/>
      <c r="AK84" s="1333"/>
    </row>
    <row r="85" spans="1:37">
      <c r="A85" s="1333"/>
      <c r="B85" s="1333"/>
      <c r="C85" s="1068" t="str">
        <f>CASE</f>
        <v>CASE NO. 2017-00321</v>
      </c>
      <c r="D85" s="1069"/>
      <c r="E85" s="1069"/>
      <c r="F85" s="1069"/>
      <c r="G85" s="1069"/>
      <c r="H85" s="1069"/>
      <c r="I85" s="1069"/>
      <c r="J85" s="1069"/>
      <c r="K85" s="1069"/>
      <c r="L85" s="1069"/>
      <c r="M85" s="1069"/>
      <c r="N85" s="1069"/>
      <c r="O85" s="1069"/>
      <c r="P85" s="1069"/>
      <c r="Q85" s="1069"/>
      <c r="R85" s="1074"/>
      <c r="S85" s="1110"/>
      <c r="T85" s="1333"/>
      <c r="U85" s="1333"/>
      <c r="V85" s="1333"/>
      <c r="W85" s="1333"/>
      <c r="X85" s="1333"/>
      <c r="Y85" s="1333"/>
      <c r="Z85" s="1333"/>
      <c r="AA85" s="1333"/>
      <c r="AB85" s="1333"/>
      <c r="AC85" s="1333"/>
      <c r="AD85" s="1333"/>
      <c r="AE85" s="1333"/>
      <c r="AF85" s="1333"/>
      <c r="AG85" s="1333"/>
      <c r="AH85" s="1097"/>
      <c r="AI85" s="1333"/>
      <c r="AJ85" s="1333"/>
      <c r="AK85" s="1333"/>
    </row>
    <row r="86" spans="1:37">
      <c r="A86" s="1333"/>
      <c r="B86" s="1333"/>
      <c r="C86" s="1068" t="s">
        <v>841</v>
      </c>
      <c r="D86" s="1069"/>
      <c r="E86" s="1069"/>
      <c r="F86" s="1069"/>
      <c r="G86" s="1069"/>
      <c r="H86" s="1069"/>
      <c r="I86" s="1069"/>
      <c r="J86" s="1069"/>
      <c r="K86" s="1069"/>
      <c r="L86" s="1069"/>
      <c r="M86" s="1069"/>
      <c r="N86" s="1069"/>
      <c r="O86" s="1069"/>
      <c r="P86" s="1069"/>
      <c r="Q86" s="1069"/>
      <c r="R86" s="1074"/>
      <c r="S86" s="1110"/>
      <c r="T86" s="1333"/>
      <c r="U86" s="1333"/>
      <c r="V86" s="1333"/>
      <c r="W86" s="1333"/>
      <c r="X86" s="1333"/>
      <c r="Y86" s="1333"/>
      <c r="Z86" s="1333"/>
      <c r="AA86" s="1333"/>
      <c r="AB86" s="1333"/>
      <c r="AC86" s="1333"/>
      <c r="AD86" s="1333"/>
      <c r="AE86" s="1333"/>
      <c r="AF86" s="1333"/>
      <c r="AG86" s="1333"/>
      <c r="AH86" s="1097"/>
      <c r="AI86" s="1333"/>
      <c r="AJ86" s="1333"/>
      <c r="AK86" s="1333"/>
    </row>
    <row r="87" spans="1:37">
      <c r="A87" s="1333"/>
      <c r="B87" s="1333"/>
      <c r="C87" s="1068" t="str">
        <f>PERIOD</f>
        <v>FOR THE TWELVE MONTHS ENDED NOVEMBER 30, 2017</v>
      </c>
      <c r="D87" s="1069"/>
      <c r="E87" s="1069"/>
      <c r="F87" s="1069"/>
      <c r="G87" s="1069"/>
      <c r="H87" s="1069"/>
      <c r="I87" s="1069"/>
      <c r="J87" s="1069"/>
      <c r="K87" s="1069"/>
      <c r="L87" s="1069"/>
      <c r="M87" s="1069"/>
      <c r="N87" s="1069"/>
      <c r="O87" s="1069"/>
      <c r="P87" s="1069"/>
      <c r="Q87" s="1069"/>
      <c r="R87" s="1074"/>
      <c r="S87" s="1110"/>
      <c r="T87" s="1333"/>
      <c r="U87" s="1333"/>
      <c r="V87" s="1333"/>
      <c r="W87" s="1333"/>
      <c r="X87" s="1333"/>
      <c r="Y87" s="1333"/>
      <c r="Z87" s="1333"/>
      <c r="AA87" s="1333"/>
      <c r="AB87" s="1333"/>
      <c r="AC87" s="1333"/>
      <c r="AD87" s="1333"/>
      <c r="AE87" s="1333"/>
      <c r="AF87" s="1333"/>
      <c r="AG87" s="1333"/>
      <c r="AH87" s="1097"/>
      <c r="AI87" s="1333"/>
      <c r="AJ87" s="1333"/>
      <c r="AK87" s="1333"/>
    </row>
    <row r="88" spans="1:37">
      <c r="A88" s="1333"/>
      <c r="B88" s="1333"/>
      <c r="C88" s="1068" t="str">
        <f>PeriodF</f>
        <v>FOR THE TWELVE MONTHS ENDED MARCH 31, 2019</v>
      </c>
      <c r="D88" s="1069"/>
      <c r="E88" s="1069"/>
      <c r="F88" s="1069"/>
      <c r="G88" s="1069"/>
      <c r="H88" s="1069"/>
      <c r="I88" s="1069"/>
      <c r="J88" s="1069"/>
      <c r="K88" s="1069"/>
      <c r="L88" s="1069"/>
      <c r="M88" s="1069"/>
      <c r="N88" s="1069"/>
      <c r="O88" s="1069"/>
      <c r="P88" s="1069"/>
      <c r="Q88" s="1069"/>
      <c r="R88" s="1074"/>
      <c r="S88" s="1110"/>
      <c r="T88" s="1333"/>
      <c r="U88" s="1333"/>
      <c r="V88" s="1333"/>
      <c r="W88" s="1333"/>
      <c r="X88" s="1333"/>
      <c r="Y88" s="1333"/>
      <c r="Z88" s="1333"/>
      <c r="AA88" s="1333"/>
      <c r="AB88" s="1333"/>
      <c r="AC88" s="1333"/>
      <c r="AD88" s="1333"/>
      <c r="AE88" s="1333"/>
      <c r="AF88" s="1333"/>
      <c r="AG88" s="1333"/>
      <c r="AH88" s="1097"/>
      <c r="AI88" s="1333"/>
      <c r="AJ88" s="1333"/>
      <c r="AK88" s="1333"/>
    </row>
    <row r="89" spans="1:37">
      <c r="A89" s="1333"/>
      <c r="B89" s="1333"/>
      <c r="C89" s="1333"/>
      <c r="D89" s="1333"/>
      <c r="E89" s="1070"/>
      <c r="F89" s="1333"/>
      <c r="G89" s="1333"/>
      <c r="H89" s="1333"/>
      <c r="I89" s="1333"/>
      <c r="J89" s="1333"/>
      <c r="K89" s="1333"/>
      <c r="L89" s="1333"/>
      <c r="M89" s="1333"/>
      <c r="N89" s="1333"/>
      <c r="O89" s="1333"/>
      <c r="P89" s="1333"/>
      <c r="Q89" s="1333"/>
      <c r="R89" s="1074"/>
      <c r="S89" s="1333"/>
      <c r="T89" s="1333"/>
      <c r="U89" s="1333"/>
      <c r="V89" s="1333"/>
      <c r="W89" s="1333"/>
      <c r="X89" s="1333"/>
      <c r="Y89" s="1333"/>
      <c r="Z89" s="1333"/>
      <c r="AA89" s="1333"/>
      <c r="AB89" s="1333"/>
      <c r="AC89" s="1333"/>
      <c r="AD89" s="1333"/>
      <c r="AE89" s="1333"/>
      <c r="AF89" s="1333"/>
      <c r="AG89" s="1333"/>
      <c r="AH89" s="1097"/>
      <c r="AI89" s="1333"/>
      <c r="AJ89" s="1333"/>
      <c r="AK89" s="1333"/>
    </row>
    <row r="90" spans="1:37">
      <c r="A90" s="1333"/>
      <c r="B90" s="1333"/>
      <c r="C90" s="1071" t="str">
        <f>DataB</f>
        <v>DATA: "X" BASE PERIOD  "X" FORECASTED PERIOD</v>
      </c>
      <c r="D90" s="1333"/>
      <c r="E90" s="1070"/>
      <c r="F90" s="1333"/>
      <c r="G90" s="1333"/>
      <c r="H90" s="1333"/>
      <c r="I90" s="1333"/>
      <c r="J90" s="1333"/>
      <c r="K90" s="1333"/>
      <c r="L90" s="1333"/>
      <c r="M90" s="1333"/>
      <c r="N90" s="1333"/>
      <c r="O90" s="1072" t="s">
        <v>842</v>
      </c>
      <c r="P90" s="1072"/>
      <c r="Q90" s="1333"/>
      <c r="R90" s="1074"/>
      <c r="S90" s="1110"/>
      <c r="T90" s="1333"/>
      <c r="U90" s="1333"/>
      <c r="V90" s="1333"/>
      <c r="W90" s="1333"/>
      <c r="X90" s="1333"/>
      <c r="Y90" s="1333"/>
      <c r="Z90" s="1333"/>
      <c r="AA90" s="1333"/>
      <c r="AB90" s="1333"/>
      <c r="AC90" s="1333"/>
      <c r="AD90" s="1333"/>
      <c r="AE90" s="1333"/>
      <c r="AF90" s="1333"/>
      <c r="AG90" s="1333"/>
      <c r="AH90" s="1097"/>
      <c r="AI90" s="1333"/>
      <c r="AJ90" s="1333"/>
      <c r="AK90" s="1333"/>
    </row>
    <row r="91" spans="1:37">
      <c r="A91" s="1333"/>
      <c r="B91" s="1333"/>
      <c r="C91" s="1071" t="str">
        <f>Type</f>
        <v xml:space="preserve">TYPE OF FILING:  "X" ORIGINAL   UPDATED    REVISED  </v>
      </c>
      <c r="D91" s="1333"/>
      <c r="E91" s="1070"/>
      <c r="F91" s="1333"/>
      <c r="G91" s="1333"/>
      <c r="H91" s="1333"/>
      <c r="I91" s="1333"/>
      <c r="J91" s="1333"/>
      <c r="K91" s="1333"/>
      <c r="L91" s="1333"/>
      <c r="M91" s="1333"/>
      <c r="N91" s="1333"/>
      <c r="O91" s="1072" t="s">
        <v>1525</v>
      </c>
      <c r="P91" s="1072"/>
      <c r="Q91" s="1333"/>
      <c r="R91" s="1074"/>
      <c r="S91" s="1110"/>
      <c r="T91" s="1333"/>
      <c r="U91" s="1333"/>
      <c r="V91" s="1333"/>
      <c r="W91" s="1333"/>
      <c r="X91" s="1333"/>
      <c r="Y91" s="1333"/>
      <c r="Z91" s="1333"/>
      <c r="AA91" s="1333"/>
      <c r="AB91" s="1333"/>
      <c r="AC91" s="1333"/>
      <c r="AD91" s="1333"/>
      <c r="AE91" s="1333"/>
      <c r="AF91" s="1333"/>
      <c r="AG91" s="1333"/>
      <c r="AH91" s="1097"/>
      <c r="AI91" s="1333"/>
      <c r="AJ91" s="1333"/>
      <c r="AK91" s="1333"/>
    </row>
    <row r="92" spans="1:37">
      <c r="A92" s="1333"/>
      <c r="B92" s="1333"/>
      <c r="C92" s="1072" t="str">
        <f>$C$9</f>
        <v>WORK PAPER REFERENCE NO(S).:  WPE-1a, WPE-1b</v>
      </c>
      <c r="D92" s="1333"/>
      <c r="E92" s="1070"/>
      <c r="F92" s="1333"/>
      <c r="G92" s="1333"/>
      <c r="H92" s="1333"/>
      <c r="I92" s="1333"/>
      <c r="J92" s="1333"/>
      <c r="K92" s="1333"/>
      <c r="L92" s="1333"/>
      <c r="M92" s="1333"/>
      <c r="N92" s="1333"/>
      <c r="O92" s="1072" t="s">
        <v>622</v>
      </c>
      <c r="P92" s="1072"/>
      <c r="Q92" s="1333"/>
      <c r="R92" s="1074"/>
      <c r="S92" s="1333"/>
      <c r="T92" s="1333"/>
      <c r="U92" s="1333"/>
      <c r="V92" s="1333"/>
      <c r="W92" s="1333"/>
      <c r="X92" s="1333"/>
      <c r="Y92" s="1333"/>
      <c r="Z92" s="1333"/>
      <c r="AA92" s="1333"/>
      <c r="AB92" s="1333"/>
      <c r="AC92" s="1333"/>
      <c r="AD92" s="1333"/>
      <c r="AE92" s="1333"/>
      <c r="AF92" s="1333"/>
      <c r="AG92" s="1333"/>
      <c r="AH92" s="1097"/>
      <c r="AI92" s="1333"/>
      <c r="AJ92" s="1333"/>
      <c r="AK92" s="1333"/>
    </row>
    <row r="93" spans="1:37">
      <c r="A93" s="1333"/>
      <c r="B93" s="1333"/>
      <c r="C93" s="1333"/>
      <c r="D93" s="1333"/>
      <c r="E93" s="1070"/>
      <c r="F93" s="1333"/>
      <c r="G93" s="1333"/>
      <c r="H93" s="1333"/>
      <c r="I93" s="1333"/>
      <c r="J93" s="1333"/>
      <c r="K93" s="1333"/>
      <c r="L93" s="1333"/>
      <c r="M93" s="1333"/>
      <c r="N93" s="1333"/>
      <c r="O93" s="1072" t="str">
        <f>O10</f>
        <v>L. M. BELLUCCI</v>
      </c>
      <c r="P93" s="1073"/>
      <c r="Q93" s="1333"/>
      <c r="R93" s="1093"/>
      <c r="S93" s="1333"/>
      <c r="T93" s="1333"/>
      <c r="U93" s="1333"/>
      <c r="V93" s="1333"/>
      <c r="W93" s="1333"/>
      <c r="X93" s="1333"/>
      <c r="Y93" s="1333"/>
      <c r="Z93" s="1333"/>
      <c r="AA93" s="1333"/>
      <c r="AB93" s="1333"/>
      <c r="AC93" s="1333"/>
      <c r="AD93" s="1333"/>
      <c r="AE93" s="1333"/>
      <c r="AF93" s="1333"/>
      <c r="AG93" s="1333"/>
      <c r="AH93" s="1097"/>
      <c r="AI93" s="1333"/>
      <c r="AJ93" s="1333"/>
      <c r="AK93" s="1333"/>
    </row>
    <row r="94" spans="1:37">
      <c r="A94" s="1333"/>
      <c r="B94" s="1333"/>
      <c r="C94" s="1333"/>
      <c r="D94" s="1333"/>
      <c r="E94" s="1070"/>
      <c r="F94" s="1333"/>
      <c r="G94" s="1333"/>
      <c r="H94" s="1333"/>
      <c r="I94" s="1333"/>
      <c r="J94" s="1333"/>
      <c r="K94" s="1333"/>
      <c r="L94" s="1333"/>
      <c r="M94" s="1333"/>
      <c r="N94" s="1333"/>
      <c r="O94" s="1072"/>
      <c r="P94" s="1073"/>
      <c r="Q94" s="1333"/>
      <c r="R94" s="1093"/>
      <c r="S94" s="1333"/>
      <c r="T94" s="1333"/>
      <c r="U94" s="1333"/>
      <c r="V94" s="1333"/>
      <c r="W94" s="1333"/>
      <c r="X94" s="1333"/>
      <c r="Y94" s="1333"/>
      <c r="Z94" s="1333"/>
      <c r="AA94" s="1333"/>
      <c r="AB94" s="1333"/>
      <c r="AC94" s="1333"/>
      <c r="AD94" s="1333"/>
      <c r="AE94" s="1333"/>
      <c r="AF94" s="1333"/>
      <c r="AG94" s="1333"/>
      <c r="AH94" s="1097"/>
      <c r="AI94" s="1333"/>
      <c r="AJ94" s="1333"/>
      <c r="AK94" s="1333"/>
    </row>
    <row r="95" spans="1:37">
      <c r="A95" s="1333"/>
      <c r="B95" s="1333"/>
      <c r="C95" s="1075"/>
      <c r="D95" s="1075"/>
      <c r="E95" s="1076"/>
      <c r="F95" s="1075"/>
      <c r="G95" s="1077" t="s">
        <v>1342</v>
      </c>
      <c r="H95" s="1077"/>
      <c r="I95" s="1078"/>
      <c r="J95" s="1078"/>
      <c r="K95" s="1079"/>
      <c r="L95" s="1079"/>
      <c r="M95" s="1079"/>
      <c r="N95" s="1075"/>
      <c r="O95" s="1077" t="s">
        <v>1343</v>
      </c>
      <c r="P95" s="1077"/>
      <c r="Q95" s="1078"/>
      <c r="R95" s="1093"/>
      <c r="S95" s="1333"/>
      <c r="T95" s="1333"/>
      <c r="U95" s="1333"/>
      <c r="V95" s="1333"/>
      <c r="W95" s="1333"/>
      <c r="X95" s="1333"/>
      <c r="Y95" s="1333"/>
      <c r="Z95" s="1333"/>
      <c r="AA95" s="1333"/>
      <c r="AB95" s="1333"/>
      <c r="AC95" s="1333"/>
      <c r="AD95" s="1333"/>
      <c r="AE95" s="1333"/>
      <c r="AF95" s="1333"/>
      <c r="AG95" s="1333"/>
      <c r="AH95" s="1097"/>
      <c r="AI95" s="1333"/>
      <c r="AJ95" s="1333"/>
      <c r="AK95" s="1333"/>
    </row>
    <row r="96" spans="1:37">
      <c r="A96" s="1333"/>
      <c r="B96" s="1333"/>
      <c r="C96" s="1081"/>
      <c r="D96" s="1081"/>
      <c r="E96" s="1082"/>
      <c r="F96" s="1081"/>
      <c r="G96" s="1077"/>
      <c r="H96" s="1077"/>
      <c r="I96" s="1078"/>
      <c r="J96" s="1078"/>
      <c r="K96" s="1083"/>
      <c r="L96" s="1083" t="s">
        <v>561</v>
      </c>
      <c r="M96" s="1083" t="s">
        <v>561</v>
      </c>
      <c r="N96" s="1081"/>
      <c r="O96" s="1077"/>
      <c r="P96" s="1077"/>
      <c r="Q96" s="1078"/>
      <c r="R96" s="1093"/>
      <c r="S96" s="1333"/>
      <c r="T96" s="1333"/>
      <c r="U96" s="1333"/>
      <c r="V96" s="1333"/>
      <c r="W96" s="1333"/>
      <c r="X96" s="1333"/>
      <c r="Y96" s="1333"/>
      <c r="Z96" s="1333"/>
      <c r="AA96" s="1333"/>
      <c r="AB96" s="1333"/>
      <c r="AC96" s="1333"/>
      <c r="AD96" s="1333"/>
      <c r="AE96" s="1333"/>
      <c r="AF96" s="1333"/>
      <c r="AG96" s="1333"/>
      <c r="AH96" s="1097"/>
      <c r="AI96" s="1333"/>
      <c r="AJ96" s="1333"/>
      <c r="AK96" s="1333"/>
    </row>
    <row r="97" spans="1:37">
      <c r="A97" s="1333"/>
      <c r="B97" s="1333"/>
      <c r="C97" s="1073" t="s">
        <v>1961</v>
      </c>
      <c r="D97" s="1333"/>
      <c r="E97" s="1070"/>
      <c r="F97" s="1333"/>
      <c r="G97" s="1084" t="s">
        <v>564</v>
      </c>
      <c r="H97" s="1081"/>
      <c r="I97" s="1080"/>
      <c r="J97" s="1085"/>
      <c r="K97" s="1084" t="s">
        <v>1143</v>
      </c>
      <c r="L97" s="1084" t="s">
        <v>584</v>
      </c>
      <c r="M97" s="1084" t="s">
        <v>1143</v>
      </c>
      <c r="N97" s="1333"/>
      <c r="O97" s="1080"/>
      <c r="P97" s="1080"/>
      <c r="Q97" s="1081"/>
      <c r="R97" s="1096"/>
      <c r="S97" s="1333"/>
      <c r="T97" s="1333"/>
      <c r="U97" s="1333"/>
      <c r="V97" s="1333"/>
      <c r="W97" s="1333"/>
      <c r="X97" s="1333"/>
      <c r="Y97" s="1333"/>
      <c r="Z97" s="1333"/>
      <c r="AA97" s="1333"/>
      <c r="AB97" s="1333"/>
      <c r="AC97" s="1333"/>
      <c r="AD97" s="1333"/>
      <c r="AE97" s="1333"/>
      <c r="AF97" s="1333"/>
      <c r="AG97" s="1333"/>
      <c r="AH97" s="1097"/>
      <c r="AI97" s="1333"/>
      <c r="AJ97" s="1333"/>
      <c r="AK97" s="1333"/>
    </row>
    <row r="98" spans="1:37">
      <c r="A98" s="1333"/>
      <c r="B98" s="1333"/>
      <c r="C98" s="1073" t="s">
        <v>1854</v>
      </c>
      <c r="D98" s="1333"/>
      <c r="E98" s="1072" t="s">
        <v>361</v>
      </c>
      <c r="F98" s="1333"/>
      <c r="G98" s="1073" t="s">
        <v>568</v>
      </c>
      <c r="H98" s="1073"/>
      <c r="I98" s="1073" t="s">
        <v>560</v>
      </c>
      <c r="J98" s="1073"/>
      <c r="K98" s="1073" t="s">
        <v>568</v>
      </c>
      <c r="L98" s="1073" t="s">
        <v>565</v>
      </c>
      <c r="M98" s="1073" t="s">
        <v>568</v>
      </c>
      <c r="N98" s="1333"/>
      <c r="O98" s="1073" t="s">
        <v>560</v>
      </c>
      <c r="P98" s="1073"/>
      <c r="Q98" s="1073" t="s">
        <v>541</v>
      </c>
      <c r="R98" s="1333"/>
      <c r="S98" s="1333"/>
      <c r="T98" s="1333"/>
      <c r="U98" s="1333"/>
      <c r="V98" s="1333"/>
      <c r="W98" s="1333"/>
      <c r="X98" s="1333"/>
      <c r="Y98" s="1333"/>
      <c r="Z98" s="1333"/>
      <c r="AA98" s="1333"/>
      <c r="AB98" s="1333"/>
      <c r="AC98" s="1333"/>
      <c r="AD98" s="1333"/>
      <c r="AE98" s="1333"/>
      <c r="AF98" s="1333"/>
      <c r="AG98" s="1333"/>
      <c r="AH98" s="1097"/>
      <c r="AI98" s="1333"/>
      <c r="AJ98" s="1333"/>
      <c r="AK98" s="1333"/>
    </row>
    <row r="99" spans="1:37">
      <c r="A99" s="1333"/>
      <c r="B99" s="1333"/>
      <c r="C99" s="1086"/>
      <c r="D99" s="1086"/>
      <c r="E99" s="1087"/>
      <c r="F99" s="1086"/>
      <c r="G99" s="1088" t="s">
        <v>365</v>
      </c>
      <c r="H99" s="1088"/>
      <c r="I99" s="1089" t="s">
        <v>318</v>
      </c>
      <c r="J99" s="1089"/>
      <c r="K99" s="1089" t="s">
        <v>319</v>
      </c>
      <c r="L99" s="1089" t="s">
        <v>320</v>
      </c>
      <c r="M99" s="1089" t="s">
        <v>321</v>
      </c>
      <c r="N99" s="1086"/>
      <c r="O99" s="1089" t="s">
        <v>322</v>
      </c>
      <c r="P99" s="1089"/>
      <c r="Q99" s="1089" t="s">
        <v>507</v>
      </c>
      <c r="R99" s="1333"/>
      <c r="S99" s="1333"/>
      <c r="T99" s="1333"/>
      <c r="U99" s="1333"/>
      <c r="V99" s="1333"/>
      <c r="W99" s="1333"/>
      <c r="X99" s="1333"/>
      <c r="Y99" s="1333"/>
      <c r="Z99" s="1333"/>
      <c r="AA99" s="1333"/>
      <c r="AB99" s="1333"/>
      <c r="AC99" s="1333"/>
      <c r="AD99" s="1333"/>
      <c r="AE99" s="1333"/>
      <c r="AF99" s="1333"/>
      <c r="AG99" s="1333"/>
      <c r="AH99" s="1097"/>
      <c r="AI99" s="1333"/>
      <c r="AJ99" s="1333"/>
      <c r="AK99" s="1333"/>
    </row>
    <row r="100" spans="1:37">
      <c r="A100" s="1333"/>
      <c r="B100" s="1333"/>
      <c r="C100" s="1081"/>
      <c r="D100" s="1081"/>
      <c r="E100" s="1081"/>
      <c r="F100" s="1081"/>
      <c r="G100" s="1080" t="s">
        <v>1150</v>
      </c>
      <c r="H100" s="1080"/>
      <c r="I100" s="1080" t="s">
        <v>1150</v>
      </c>
      <c r="J100" s="1080"/>
      <c r="K100" s="1080" t="s">
        <v>1150</v>
      </c>
      <c r="L100" s="1080"/>
      <c r="M100" s="1080"/>
      <c r="N100" s="1084"/>
      <c r="O100" s="1080" t="s">
        <v>1150</v>
      </c>
      <c r="P100" s="1080"/>
      <c r="Q100" s="1080" t="s">
        <v>1150</v>
      </c>
      <c r="R100" s="1333"/>
      <c r="S100" s="1333"/>
      <c r="T100" s="1333"/>
      <c r="U100" s="1333"/>
      <c r="V100" s="1333"/>
      <c r="W100" s="1333"/>
      <c r="X100" s="1333"/>
      <c r="Y100" s="1333"/>
      <c r="Z100" s="1333"/>
      <c r="AA100" s="1117"/>
      <c r="AB100" s="1333"/>
      <c r="AC100" s="1333"/>
      <c r="AD100" s="1333"/>
      <c r="AE100" s="1333"/>
      <c r="AF100" s="1333"/>
      <c r="AG100" s="1333"/>
      <c r="AH100" s="1097"/>
      <c r="AI100" s="1333"/>
      <c r="AJ100" s="1333"/>
      <c r="AK100" s="1333"/>
    </row>
    <row r="101" spans="1:37">
      <c r="A101" s="1333"/>
      <c r="B101" s="1333"/>
      <c r="C101" s="1081"/>
      <c r="D101" s="1081"/>
      <c r="E101" s="1081"/>
      <c r="F101" s="1081"/>
      <c r="G101" s="1081"/>
      <c r="H101" s="1081"/>
      <c r="I101" s="1081"/>
      <c r="J101" s="1081"/>
      <c r="K101" s="1081"/>
      <c r="L101" s="1081"/>
      <c r="M101" s="1081"/>
      <c r="N101" s="1081"/>
      <c r="O101" s="1081"/>
      <c r="P101" s="1081"/>
      <c r="Q101" s="1081"/>
      <c r="R101" s="1333"/>
      <c r="S101" s="1333"/>
      <c r="T101" s="1333"/>
      <c r="U101" s="1333"/>
      <c r="V101" s="1333"/>
      <c r="W101" s="1333"/>
      <c r="X101" s="1333"/>
      <c r="Y101" s="1333"/>
      <c r="Z101" s="1333"/>
      <c r="AA101" s="1117"/>
      <c r="AB101" s="1333"/>
      <c r="AC101" s="1333"/>
      <c r="AD101" s="1333"/>
      <c r="AE101" s="1333"/>
      <c r="AF101" s="1333"/>
      <c r="AG101" s="1333"/>
      <c r="AH101" s="1097"/>
      <c r="AI101" s="1333"/>
      <c r="AJ101" s="1333"/>
      <c r="AK101" s="1333"/>
    </row>
    <row r="102" spans="1:37">
      <c r="A102" s="1333"/>
      <c r="B102" s="1333"/>
      <c r="C102" s="1073">
        <v>1</v>
      </c>
      <c r="D102" s="1333"/>
      <c r="E102" s="1072" t="s">
        <v>219</v>
      </c>
      <c r="F102" s="1081"/>
      <c r="G102" s="1112">
        <f>G78</f>
        <v>-618687</v>
      </c>
      <c r="H102" s="1094"/>
      <c r="I102" s="1112">
        <f ca="1">I78</f>
        <v>338500</v>
      </c>
      <c r="J102" s="1081"/>
      <c r="K102" s="1112">
        <f ca="1">K78</f>
        <v>-280187</v>
      </c>
      <c r="L102" s="1112">
        <f ca="1">L78</f>
        <v>395485</v>
      </c>
      <c r="M102" s="1112">
        <f ca="1">M78</f>
        <v>115298</v>
      </c>
      <c r="N102" s="1081"/>
      <c r="O102" s="1112">
        <f>O78</f>
        <v>2593098</v>
      </c>
      <c r="P102" s="1081"/>
      <c r="Q102" s="1112">
        <f ca="1">Q78</f>
        <v>2708396</v>
      </c>
      <c r="R102" s="1333"/>
      <c r="S102" s="1333"/>
      <c r="T102" s="1333"/>
      <c r="U102" s="1333"/>
      <c r="V102" s="1333"/>
      <c r="W102" s="1333"/>
      <c r="X102" s="1333"/>
      <c r="Y102" s="1333"/>
      <c r="Z102" s="1333"/>
      <c r="AA102" s="1333"/>
      <c r="AB102" s="1333"/>
      <c r="AC102" s="1333"/>
      <c r="AD102" s="1333"/>
      <c r="AE102" s="1333"/>
      <c r="AF102" s="1333"/>
      <c r="AG102" s="1333"/>
      <c r="AH102" s="1097"/>
      <c r="AI102" s="1333"/>
      <c r="AJ102" s="1333"/>
      <c r="AK102" s="1333"/>
    </row>
    <row r="103" spans="1:37">
      <c r="A103" s="1333"/>
      <c r="B103" s="1333"/>
      <c r="C103" s="1073">
        <v>2</v>
      </c>
      <c r="D103" s="1333"/>
      <c r="E103" s="1333"/>
      <c r="F103" s="1081"/>
      <c r="G103" s="1081"/>
      <c r="H103" s="1081"/>
      <c r="I103" s="1081"/>
      <c r="J103" s="1081"/>
      <c r="K103" s="1081"/>
      <c r="L103" s="1081"/>
      <c r="M103" s="1081"/>
      <c r="N103" s="1081"/>
      <c r="O103" s="1081"/>
      <c r="P103" s="1081"/>
      <c r="Q103" s="1081"/>
      <c r="R103" s="1333"/>
      <c r="S103" s="1333"/>
      <c r="T103" s="1333"/>
      <c r="U103" s="1333"/>
      <c r="V103" s="1333"/>
      <c r="W103" s="1333"/>
      <c r="X103" s="1333"/>
      <c r="Y103" s="1333"/>
      <c r="Z103" s="1333"/>
      <c r="AA103" s="1081"/>
      <c r="AB103" s="1081"/>
      <c r="AC103" s="1081"/>
      <c r="AD103" s="1081"/>
      <c r="AE103" s="1081"/>
      <c r="AF103" s="1333"/>
      <c r="AG103" s="1333"/>
      <c r="AH103" s="1097"/>
      <c r="AI103" s="1333"/>
      <c r="AJ103" s="1333"/>
      <c r="AK103" s="1333"/>
    </row>
    <row r="104" spans="1:37">
      <c r="A104" s="1333"/>
      <c r="B104" s="1333"/>
      <c r="C104" s="1073">
        <v>3</v>
      </c>
      <c r="D104" s="1333"/>
      <c r="E104" s="1072" t="s">
        <v>1071</v>
      </c>
      <c r="F104" s="1081"/>
      <c r="G104" s="1094">
        <f>-ROUND((+G29+G34+G65)*SIT*AH281,0)</f>
        <v>3071803</v>
      </c>
      <c r="H104" s="1081"/>
      <c r="I104" s="1098">
        <f ca="1">K104-G104</f>
        <v>-2241356</v>
      </c>
      <c r="J104" s="1081"/>
      <c r="K104" s="1094">
        <f ca="1">-ROUND((+K29+K34+K65)*SIT*AH281,0)</f>
        <v>830447</v>
      </c>
      <c r="L104" s="1094">
        <f ca="1">SCH_D1!U235</f>
        <v>-343539</v>
      </c>
      <c r="M104" s="1094">
        <f ca="1">K104+L104</f>
        <v>486908</v>
      </c>
      <c r="N104" s="1081"/>
      <c r="O104" s="1094">
        <v>0</v>
      </c>
      <c r="P104" s="1081"/>
      <c r="Q104" s="1094">
        <f ca="1">M104+O104</f>
        <v>486908</v>
      </c>
      <c r="R104" s="1333"/>
      <c r="S104" s="1333"/>
      <c r="T104" s="1333"/>
      <c r="U104" s="1333"/>
      <c r="V104" s="1333"/>
      <c r="W104" s="1333"/>
      <c r="X104" s="1333"/>
      <c r="Y104" s="1333"/>
      <c r="Z104" s="1333"/>
      <c r="AA104" s="1081"/>
      <c r="AB104" s="1081"/>
      <c r="AC104" s="1081"/>
      <c r="AD104" s="1081"/>
      <c r="AE104" s="1081"/>
      <c r="AF104" s="1333"/>
      <c r="AG104" s="1333"/>
      <c r="AH104" s="1097"/>
      <c r="AI104" s="1333"/>
      <c r="AJ104" s="1333"/>
      <c r="AK104" s="1333"/>
    </row>
    <row r="105" spans="1:37">
      <c r="A105" s="1333"/>
      <c r="B105" s="1333"/>
      <c r="C105" s="1073">
        <v>4</v>
      </c>
      <c r="D105" s="1333"/>
      <c r="E105" s="1072" t="s">
        <v>2889</v>
      </c>
      <c r="F105" s="1081"/>
      <c r="G105" s="2051">
        <v>118649.84550755774</v>
      </c>
      <c r="H105" s="1081"/>
      <c r="I105" s="1098">
        <f>K105-G105</f>
        <v>-27956.154492442263</v>
      </c>
      <c r="J105" s="1081"/>
      <c r="K105" s="2051">
        <v>90693.691015115473</v>
      </c>
      <c r="L105" s="1094"/>
      <c r="M105" s="1094">
        <f t="shared" ref="M105:M106" si="1">K105+L105</f>
        <v>90693.691015115473</v>
      </c>
      <c r="N105" s="1081"/>
      <c r="O105" s="1094"/>
      <c r="P105" s="1081"/>
      <c r="Q105" s="1094">
        <f t="shared" ref="Q105:Q106" si="2">M105+O105</f>
        <v>90693.691015115473</v>
      </c>
      <c r="R105" s="1333"/>
      <c r="S105" s="1333"/>
      <c r="T105" s="1333"/>
      <c r="U105" s="1333"/>
      <c r="V105" s="1333"/>
      <c r="W105" s="1333"/>
      <c r="X105" s="1333"/>
      <c r="Y105" s="1333"/>
      <c r="Z105" s="1333"/>
      <c r="AA105" s="1081"/>
      <c r="AB105" s="1081"/>
      <c r="AC105" s="1081"/>
      <c r="AD105" s="1081"/>
      <c r="AE105" s="1081"/>
      <c r="AF105" s="1333"/>
      <c r="AG105" s="1333"/>
      <c r="AH105" s="1097"/>
      <c r="AI105" s="1333"/>
      <c r="AJ105" s="1333"/>
      <c r="AK105" s="1333"/>
    </row>
    <row r="106" spans="1:37">
      <c r="A106" s="1333"/>
      <c r="B106" s="1333"/>
      <c r="C106" s="1073">
        <v>5</v>
      </c>
      <c r="D106" s="1333"/>
      <c r="E106" s="1072" t="s">
        <v>2890</v>
      </c>
      <c r="F106" s="1081"/>
      <c r="G106" s="1112">
        <f>'BASE PERIOD'!E41+'BASE PERIOD'!E46</f>
        <v>0</v>
      </c>
      <c r="H106" s="1081"/>
      <c r="I106" s="1133">
        <f t="shared" ref="I106:I107" si="3">K106-G106</f>
        <v>0</v>
      </c>
      <c r="J106" s="1081"/>
      <c r="K106" s="1112">
        <v>0</v>
      </c>
      <c r="L106" s="1112"/>
      <c r="M106" s="1112">
        <f t="shared" si="1"/>
        <v>0</v>
      </c>
      <c r="N106" s="1081"/>
      <c r="O106" s="1112"/>
      <c r="P106" s="1081"/>
      <c r="Q106" s="1112">
        <f t="shared" si="2"/>
        <v>0</v>
      </c>
      <c r="R106" s="1333"/>
      <c r="S106" s="1333"/>
      <c r="T106" s="1333"/>
      <c r="U106" s="1333"/>
      <c r="V106" s="1333"/>
      <c r="W106" s="1333"/>
      <c r="X106" s="1333"/>
      <c r="Y106" s="1333"/>
      <c r="Z106" s="1333"/>
      <c r="AA106" s="1081"/>
      <c r="AB106" s="1081"/>
      <c r="AC106" s="1081"/>
      <c r="AD106" s="1081"/>
      <c r="AE106" s="1081"/>
      <c r="AF106" s="1333"/>
      <c r="AG106" s="1333"/>
      <c r="AH106" s="1097"/>
      <c r="AI106" s="1333"/>
      <c r="AJ106" s="1333"/>
      <c r="AK106" s="1333"/>
    </row>
    <row r="107" spans="1:37">
      <c r="A107" s="1333"/>
      <c r="B107" s="1333"/>
      <c r="C107" s="1073">
        <v>6</v>
      </c>
      <c r="D107" s="1333"/>
      <c r="E107" s="1072" t="s">
        <v>2891</v>
      </c>
      <c r="F107" s="1081"/>
      <c r="G107" s="1094">
        <f>SUM(G104:G106)</f>
        <v>3190452.8455075575</v>
      </c>
      <c r="H107" s="1081"/>
      <c r="I107" s="1098">
        <f t="shared" ca="1" si="3"/>
        <v>-2269312.154492442</v>
      </c>
      <c r="J107" s="1081"/>
      <c r="K107" s="1094">
        <f ca="1">SUM(K104:K106)</f>
        <v>921140.69101511547</v>
      </c>
      <c r="L107" s="1094">
        <f ca="1">SUM(L104:L106)</f>
        <v>-343539</v>
      </c>
      <c r="M107" s="1094">
        <f ca="1">SUM(M104:M106)</f>
        <v>577601.69101511547</v>
      </c>
      <c r="N107" s="1081"/>
      <c r="O107" s="1094">
        <f>SUM(O104:O106)</f>
        <v>0</v>
      </c>
      <c r="P107" s="1081"/>
      <c r="Q107" s="1094">
        <f ca="1">SUM(Q104:Q106)</f>
        <v>577601.69101511547</v>
      </c>
      <c r="R107" s="1333"/>
      <c r="S107" s="1333"/>
      <c r="T107" s="1333"/>
      <c r="U107" s="1333"/>
      <c r="V107" s="1333"/>
      <c r="W107" s="1333"/>
      <c r="X107" s="1333"/>
      <c r="Y107" s="1333"/>
      <c r="Z107" s="1333"/>
      <c r="AA107" s="1081"/>
      <c r="AB107" s="1081"/>
      <c r="AC107" s="1081"/>
      <c r="AD107" s="1081"/>
      <c r="AE107" s="1081"/>
      <c r="AF107" s="1333"/>
      <c r="AG107" s="1333"/>
      <c r="AH107" s="1097"/>
      <c r="AI107" s="1333"/>
      <c r="AJ107" s="1333"/>
      <c r="AK107" s="1333"/>
    </row>
    <row r="108" spans="1:37">
      <c r="A108" s="1333"/>
      <c r="B108" s="1333"/>
      <c r="C108" s="1073">
        <v>7</v>
      </c>
      <c r="D108" s="1333"/>
      <c r="E108" s="1072"/>
      <c r="F108" s="1081"/>
      <c r="G108" s="1094"/>
      <c r="H108" s="1081"/>
      <c r="I108" s="1098"/>
      <c r="J108" s="1081"/>
      <c r="K108" s="1094"/>
      <c r="L108" s="1094"/>
      <c r="M108" s="1094"/>
      <c r="N108" s="1081"/>
      <c r="O108" s="1094"/>
      <c r="P108" s="1081"/>
      <c r="Q108" s="1094"/>
      <c r="R108" s="1333"/>
      <c r="S108" s="1333"/>
      <c r="T108" s="1333"/>
      <c r="U108" s="1333"/>
      <c r="V108" s="1333"/>
      <c r="W108" s="1333"/>
      <c r="X108" s="1333"/>
      <c r="Y108" s="1333"/>
      <c r="Z108" s="1333"/>
      <c r="AA108" s="1081"/>
      <c r="AB108" s="1081"/>
      <c r="AC108" s="1081"/>
      <c r="AD108" s="1081"/>
      <c r="AE108" s="1081"/>
      <c r="AF108" s="1333"/>
      <c r="AG108" s="1333"/>
      <c r="AH108" s="1097"/>
      <c r="AI108" s="1333"/>
      <c r="AJ108" s="1333"/>
      <c r="AK108" s="1333"/>
    </row>
    <row r="109" spans="1:37" ht="13.5" thickBot="1">
      <c r="A109" s="1333"/>
      <c r="B109" s="1333"/>
      <c r="C109" s="1073">
        <v>8</v>
      </c>
      <c r="D109" s="1333"/>
      <c r="E109" s="1072" t="s">
        <v>220</v>
      </c>
      <c r="F109" s="1081"/>
      <c r="G109" s="1118">
        <f>G102+G107</f>
        <v>2571765.8455075575</v>
      </c>
      <c r="H109" s="1094"/>
      <c r="I109" s="1118">
        <f ca="1">I102+I107</f>
        <v>-1930812.154492442</v>
      </c>
      <c r="J109" s="1081"/>
      <c r="K109" s="1118">
        <f ca="1">K102+K107</f>
        <v>640953.69101511547</v>
      </c>
      <c r="L109" s="1118">
        <f ca="1">L102+L107</f>
        <v>51946</v>
      </c>
      <c r="M109" s="1118">
        <f ca="1">M102+M107</f>
        <v>692899.69101511547</v>
      </c>
      <c r="N109" s="1081"/>
      <c r="O109" s="1118">
        <f>O102+O107</f>
        <v>2593098</v>
      </c>
      <c r="P109" s="1081"/>
      <c r="Q109" s="1118">
        <f ca="1">Q102+Q107</f>
        <v>3285997.6910151155</v>
      </c>
      <c r="R109" s="1333"/>
      <c r="S109" s="1333"/>
      <c r="T109" s="1333"/>
      <c r="U109" s="1333"/>
      <c r="V109" s="1333"/>
      <c r="W109" s="1333"/>
      <c r="X109" s="1333"/>
      <c r="Y109" s="1333"/>
      <c r="Z109" s="1333"/>
      <c r="AA109" s="1081"/>
      <c r="AB109" s="1113"/>
      <c r="AC109" s="1093"/>
      <c r="AD109" s="1080"/>
      <c r="AE109" s="1080"/>
      <c r="AF109" s="1333"/>
      <c r="AG109" s="1333"/>
      <c r="AH109" s="1097"/>
      <c r="AI109" s="1333"/>
      <c r="AJ109" s="1333"/>
      <c r="AK109" s="1333"/>
    </row>
    <row r="110" spans="1:37" ht="13.5" thickTop="1">
      <c r="A110" s="1333"/>
      <c r="B110" s="1333"/>
      <c r="C110" s="1073">
        <v>9</v>
      </c>
      <c r="D110" s="1081"/>
      <c r="E110" s="1081"/>
      <c r="F110" s="1081"/>
      <c r="G110" s="1081"/>
      <c r="H110" s="1081"/>
      <c r="I110" s="1081"/>
      <c r="J110" s="1081"/>
      <c r="K110" s="1081"/>
      <c r="L110" s="1081"/>
      <c r="M110" s="1081"/>
      <c r="N110" s="1081"/>
      <c r="O110" s="1081"/>
      <c r="P110" s="1081"/>
      <c r="Q110" s="1081"/>
      <c r="R110" s="1333"/>
      <c r="S110" s="1333"/>
      <c r="T110" s="1333"/>
      <c r="U110" s="1333"/>
      <c r="V110" s="1333"/>
      <c r="W110" s="1333"/>
      <c r="X110" s="1333"/>
      <c r="Y110" s="1333"/>
      <c r="Z110" s="1333"/>
      <c r="AA110" s="1081"/>
      <c r="AB110" s="1113"/>
      <c r="AC110" s="1093"/>
      <c r="AD110" s="1080"/>
      <c r="AE110" s="1080"/>
      <c r="AF110" s="1333"/>
      <c r="AG110" s="1333"/>
      <c r="AH110" s="1097"/>
      <c r="AI110" s="1333"/>
      <c r="AJ110" s="1333"/>
      <c r="AK110" s="1333"/>
    </row>
    <row r="111" spans="1:37">
      <c r="A111" s="1333"/>
      <c r="B111" s="1333"/>
      <c r="C111" s="1073">
        <v>10</v>
      </c>
      <c r="D111" s="1081"/>
      <c r="E111" s="1081"/>
      <c r="F111" s="1081"/>
      <c r="G111" s="1081"/>
      <c r="H111" s="1081"/>
      <c r="I111" s="1081"/>
      <c r="J111" s="1081"/>
      <c r="K111" s="1081"/>
      <c r="L111" s="1081"/>
      <c r="M111" s="1081"/>
      <c r="N111" s="1081"/>
      <c r="O111" s="1081"/>
      <c r="P111" s="1081"/>
      <c r="Q111" s="1081"/>
      <c r="R111" s="1333"/>
      <c r="S111" s="1333"/>
      <c r="T111" s="1333"/>
      <c r="U111" s="1333"/>
      <c r="V111" s="1333"/>
      <c r="W111" s="1333"/>
      <c r="X111" s="1333"/>
      <c r="Y111" s="1333"/>
      <c r="Z111" s="1333"/>
      <c r="AA111" s="1081"/>
      <c r="AB111" s="1113"/>
      <c r="AC111" s="1093"/>
      <c r="AD111" s="1080"/>
      <c r="AE111" s="1080"/>
      <c r="AF111" s="1333"/>
      <c r="AG111" s="1333"/>
      <c r="AH111" s="1097"/>
      <c r="AI111" s="1333"/>
      <c r="AJ111" s="1333"/>
      <c r="AK111" s="1333"/>
    </row>
    <row r="112" spans="1:37">
      <c r="A112" s="1333"/>
      <c r="B112" s="1333"/>
      <c r="C112" s="1073">
        <v>11</v>
      </c>
      <c r="D112" s="1081"/>
      <c r="E112" s="1081" t="s">
        <v>1191</v>
      </c>
      <c r="F112" s="1081"/>
      <c r="G112" s="1081"/>
      <c r="H112" s="1081"/>
      <c r="I112" s="1081"/>
      <c r="J112" s="1081"/>
      <c r="K112" s="1081"/>
      <c r="L112" s="1081"/>
      <c r="M112" s="1081"/>
      <c r="N112" s="1081"/>
      <c r="O112" s="1081"/>
      <c r="P112" s="1081"/>
      <c r="Q112" s="1081"/>
      <c r="R112" s="1333"/>
      <c r="S112" s="1333"/>
      <c r="T112" s="1333"/>
      <c r="U112" s="1333"/>
      <c r="V112" s="1333"/>
      <c r="W112" s="1333"/>
      <c r="X112" s="1333"/>
      <c r="Y112" s="1333"/>
      <c r="Z112" s="1333"/>
      <c r="AA112" s="1081"/>
      <c r="AB112" s="1081"/>
      <c r="AC112" s="1081"/>
      <c r="AD112" s="1081"/>
      <c r="AE112" s="1081"/>
      <c r="AF112" s="1333"/>
      <c r="AG112" s="1333"/>
      <c r="AH112" s="1097"/>
      <c r="AI112" s="1333"/>
      <c r="AJ112" s="1333"/>
      <c r="AK112" s="1333"/>
    </row>
    <row r="113" spans="1:37">
      <c r="A113" s="1333"/>
      <c r="B113" s="1333"/>
      <c r="C113" s="1073">
        <v>12</v>
      </c>
      <c r="D113" s="1333"/>
      <c r="E113" s="1333" t="s">
        <v>221</v>
      </c>
      <c r="F113" s="1333"/>
      <c r="G113" s="1097">
        <f>G62</f>
        <v>-57029546.136117399</v>
      </c>
      <c r="H113" s="1097"/>
      <c r="I113" s="1097">
        <f ca="1">I62</f>
        <v>-3891489.8638826087</v>
      </c>
      <c r="J113" s="1333"/>
      <c r="K113" s="1097">
        <f ca="1">K62</f>
        <v>-60921036</v>
      </c>
      <c r="L113" s="1097">
        <f ca="1">L62</f>
        <v>7398910</v>
      </c>
      <c r="M113" s="1097">
        <f ca="1">M62</f>
        <v>-53522126</v>
      </c>
      <c r="N113" s="1333"/>
      <c r="O113" s="1097">
        <f>O62</f>
        <v>48512630</v>
      </c>
      <c r="P113" s="1333"/>
      <c r="Q113" s="1097">
        <f ca="1">Q62</f>
        <v>-5009496</v>
      </c>
      <c r="R113" s="1333"/>
      <c r="S113" s="1333"/>
      <c r="T113" s="1333"/>
      <c r="U113" s="1333"/>
      <c r="V113" s="1333"/>
      <c r="W113" s="1333"/>
      <c r="X113" s="1333"/>
      <c r="Y113" s="1333"/>
      <c r="Z113" s="1333"/>
      <c r="AA113" s="1081"/>
      <c r="AB113" s="1081"/>
      <c r="AC113" s="1081"/>
      <c r="AD113" s="1081"/>
      <c r="AE113" s="1081"/>
      <c r="AF113" s="1333"/>
      <c r="AG113" s="1333"/>
      <c r="AH113" s="1097"/>
      <c r="AI113" s="1333"/>
      <c r="AJ113" s="1333"/>
      <c r="AK113" s="1333"/>
    </row>
    <row r="114" spans="1:37">
      <c r="A114" s="1333"/>
      <c r="B114" s="1333"/>
      <c r="C114" s="1073">
        <v>13</v>
      </c>
      <c r="D114" s="1333"/>
      <c r="E114" s="1333"/>
      <c r="F114" s="1333"/>
      <c r="G114" s="1333"/>
      <c r="H114" s="1333"/>
      <c r="I114" s="1333"/>
      <c r="J114" s="1333"/>
      <c r="K114" s="1333"/>
      <c r="L114" s="1333"/>
      <c r="M114" s="1333"/>
      <c r="N114" s="1333"/>
      <c r="O114" s="1333"/>
      <c r="P114" s="1333"/>
      <c r="Q114" s="1333"/>
      <c r="R114" s="1333"/>
      <c r="S114" s="1333"/>
      <c r="T114" s="1333"/>
      <c r="U114" s="1333"/>
      <c r="V114" s="1333"/>
      <c r="W114" s="1333"/>
      <c r="X114" s="1333"/>
      <c r="Y114" s="1333"/>
      <c r="Z114" s="1333"/>
      <c r="AA114" s="1081"/>
      <c r="AB114" s="1081"/>
      <c r="AC114" s="1081"/>
      <c r="AD114" s="1081"/>
      <c r="AE114" s="1081"/>
      <c r="AF114" s="1333"/>
      <c r="AG114" s="1333"/>
      <c r="AH114" s="1097"/>
      <c r="AI114" s="1333"/>
      <c r="AJ114" s="1333"/>
      <c r="AK114" s="1333"/>
    </row>
    <row r="115" spans="1:37">
      <c r="A115" s="1333"/>
      <c r="B115" s="1333"/>
      <c r="C115" s="1073">
        <v>14</v>
      </c>
      <c r="D115" s="1333"/>
      <c r="E115" s="1333" t="s">
        <v>792</v>
      </c>
      <c r="F115" s="1333"/>
      <c r="G115" s="1097">
        <f>G76</f>
        <v>-634892</v>
      </c>
      <c r="H115" s="1333"/>
      <c r="I115" s="1097">
        <f ca="1">I76</f>
        <v>354705</v>
      </c>
      <c r="J115" s="1333"/>
      <c r="K115" s="1097">
        <f ca="1">K76</f>
        <v>-280187</v>
      </c>
      <c r="L115" s="1097">
        <f ca="1">L78</f>
        <v>395485</v>
      </c>
      <c r="M115" s="1097">
        <f ca="1">M78</f>
        <v>115298</v>
      </c>
      <c r="N115" s="1333"/>
      <c r="O115" s="1097">
        <f>O78</f>
        <v>2593098</v>
      </c>
      <c r="P115" s="1333"/>
      <c r="Q115" s="1097">
        <f ca="1">Q78</f>
        <v>2708396</v>
      </c>
      <c r="R115" s="1333"/>
      <c r="S115" s="1333"/>
      <c r="T115" s="1333"/>
      <c r="U115" s="1333"/>
      <c r="V115" s="1333"/>
      <c r="W115" s="1333"/>
      <c r="X115" s="1333"/>
      <c r="Y115" s="1333"/>
      <c r="Z115" s="1333"/>
      <c r="AA115" s="1081"/>
      <c r="AB115" s="1081"/>
      <c r="AC115" s="1081"/>
      <c r="AD115" s="1081"/>
      <c r="AE115" s="1081"/>
      <c r="AF115" s="1333"/>
      <c r="AG115" s="1333"/>
      <c r="AH115" s="1097"/>
      <c r="AI115" s="1333"/>
      <c r="AJ115" s="1333"/>
      <c r="AK115" s="1333"/>
    </row>
    <row r="116" spans="1:37" ht="13.5" thickBot="1">
      <c r="A116" s="1333"/>
      <c r="B116" s="1333"/>
      <c r="C116" s="1073">
        <v>15</v>
      </c>
      <c r="D116" s="1333">
        <v>66567806</v>
      </c>
      <c r="E116" s="1333" t="s">
        <v>222</v>
      </c>
      <c r="F116" s="1333"/>
      <c r="G116" s="1118">
        <f>G113-G115</f>
        <v>-56394654.136117399</v>
      </c>
      <c r="H116" s="1097"/>
      <c r="I116" s="1118">
        <f ca="1">I113-I115</f>
        <v>-4246194.8638826087</v>
      </c>
      <c r="J116" s="1118"/>
      <c r="K116" s="1118">
        <f ca="1">K113-K115</f>
        <v>-60640849</v>
      </c>
      <c r="L116" s="1118">
        <f ca="1">L113-L115</f>
        <v>7003425</v>
      </c>
      <c r="M116" s="1118">
        <f ca="1">M113-M115</f>
        <v>-53637424</v>
      </c>
      <c r="N116" s="1333"/>
      <c r="O116" s="1118">
        <f>O113-O115</f>
        <v>45919532</v>
      </c>
      <c r="P116" s="1118"/>
      <c r="Q116" s="1118">
        <f ca="1">Q113-Q115</f>
        <v>-7717892</v>
      </c>
      <c r="R116" s="1333"/>
      <c r="S116" s="1333"/>
      <c r="T116" s="1333"/>
      <c r="U116" s="1333"/>
      <c r="V116" s="1333"/>
      <c r="W116" s="1333"/>
      <c r="X116" s="1333"/>
      <c r="Y116" s="1333"/>
      <c r="Z116" s="1333"/>
      <c r="AA116" s="1081"/>
      <c r="AB116" s="1081"/>
      <c r="AC116" s="1081"/>
      <c r="AD116" s="1081"/>
      <c r="AE116" s="1081"/>
      <c r="AF116" s="1333"/>
      <c r="AG116" s="1333"/>
      <c r="AH116" s="1097"/>
      <c r="AI116" s="1333"/>
      <c r="AJ116" s="1333"/>
      <c r="AK116" s="1333"/>
    </row>
    <row r="117" spans="1:37" ht="13.5" thickTop="1">
      <c r="A117" s="1333"/>
      <c r="B117" s="1333"/>
      <c r="C117" s="1073">
        <v>16</v>
      </c>
      <c r="D117" s="1333"/>
      <c r="E117" s="1333"/>
      <c r="F117" s="1333"/>
      <c r="G117" s="1333"/>
      <c r="H117" s="1333"/>
      <c r="I117" s="1333"/>
      <c r="J117" s="1333"/>
      <c r="K117" s="1333"/>
      <c r="L117" s="1333"/>
      <c r="M117" s="1333"/>
      <c r="N117" s="1333"/>
      <c r="O117" s="1333"/>
      <c r="P117" s="1333"/>
      <c r="Q117" s="1333"/>
      <c r="R117" s="1333"/>
      <c r="S117" s="1333"/>
      <c r="T117" s="1333"/>
      <c r="U117" s="1333"/>
      <c r="V117" s="1333"/>
      <c r="W117" s="1333"/>
      <c r="X117" s="1333"/>
      <c r="Y117" s="1333"/>
      <c r="Z117" s="1333"/>
      <c r="AA117" s="1081"/>
      <c r="AB117" s="1081"/>
      <c r="AC117" s="1081"/>
      <c r="AD117" s="1081"/>
      <c r="AE117" s="1081"/>
      <c r="AF117" s="1333"/>
      <c r="AG117" s="1333"/>
      <c r="AH117" s="1097"/>
      <c r="AI117" s="1333"/>
      <c r="AJ117" s="1333"/>
      <c r="AK117" s="1333"/>
    </row>
    <row r="118" spans="1:37">
      <c r="A118" s="1333"/>
      <c r="B118" s="1333"/>
      <c r="C118" s="1073">
        <v>17</v>
      </c>
      <c r="D118" s="1333"/>
      <c r="E118" s="1072" t="str">
        <f>"Federal Income Tax @ "&amp;TEXT(FIT,"##%")&amp;"  (A)"</f>
        <v>Federal Income Tax @ 35%  (A)</v>
      </c>
      <c r="F118" s="1333"/>
      <c r="G118" s="1098">
        <f>W182</f>
        <v>-19738129</v>
      </c>
      <c r="H118" s="1097"/>
      <c r="I118" s="1098">
        <f ca="1">K118-G118</f>
        <v>-1486168</v>
      </c>
      <c r="J118" s="1333"/>
      <c r="K118" s="1098">
        <f ca="1">X182</f>
        <v>-21224297</v>
      </c>
      <c r="L118" s="1097">
        <f ca="1">SCH_D1!U239</f>
        <v>2451199</v>
      </c>
      <c r="M118" s="1092">
        <f ca="1">K118+L118</f>
        <v>-18773098</v>
      </c>
      <c r="N118" s="1333"/>
      <c r="O118" s="1097">
        <f>ROUND(O116*FIT,0)</f>
        <v>16071836</v>
      </c>
      <c r="P118" s="1333"/>
      <c r="Q118" s="1093">
        <f ca="1">M118+O118</f>
        <v>-2701262</v>
      </c>
      <c r="R118" s="1333"/>
      <c r="S118" s="1333"/>
      <c r="T118" s="1333"/>
      <c r="U118" s="1333"/>
      <c r="V118" s="1333"/>
      <c r="W118" s="1333"/>
      <c r="X118" s="1333"/>
      <c r="Y118" s="1333"/>
      <c r="Z118" s="1333"/>
      <c r="AA118" s="1081"/>
      <c r="AB118" s="1081"/>
      <c r="AC118" s="1081"/>
      <c r="AD118" s="1081"/>
      <c r="AE118" s="1081"/>
      <c r="AF118" s="1333"/>
      <c r="AG118" s="1333"/>
      <c r="AH118" s="1097"/>
      <c r="AI118" s="1333"/>
      <c r="AJ118" s="1333"/>
      <c r="AK118" s="1333"/>
    </row>
    <row r="119" spans="1:37">
      <c r="A119" s="1333"/>
      <c r="B119" s="1333"/>
      <c r="C119" s="1073">
        <v>18</v>
      </c>
      <c r="D119" s="1333"/>
      <c r="E119" s="1097" t="s">
        <v>380</v>
      </c>
      <c r="F119" s="1333"/>
      <c r="G119" s="1098">
        <f>AH296</f>
        <v>0</v>
      </c>
      <c r="H119" s="1097"/>
      <c r="I119" s="1098">
        <f>K119-G119</f>
        <v>0</v>
      </c>
      <c r="J119" s="1333"/>
      <c r="K119" s="1511">
        <v>0</v>
      </c>
      <c r="L119" s="1097">
        <v>0</v>
      </c>
      <c r="M119" s="1092">
        <f>K119+L119</f>
        <v>0</v>
      </c>
      <c r="N119" s="1081"/>
      <c r="O119" s="1094">
        <v>0</v>
      </c>
      <c r="P119" s="1081"/>
      <c r="Q119" s="1093">
        <f>M119+O119</f>
        <v>0</v>
      </c>
      <c r="R119" s="1333"/>
      <c r="S119" s="1333"/>
      <c r="T119" s="1333"/>
      <c r="U119" s="1333"/>
      <c r="V119" s="1333"/>
      <c r="W119" s="1333"/>
      <c r="X119" s="1333"/>
      <c r="Y119" s="1333"/>
      <c r="Z119" s="1333"/>
      <c r="AA119" s="1081"/>
      <c r="AB119" s="1081"/>
      <c r="AC119" s="1081"/>
      <c r="AD119" s="1081"/>
      <c r="AE119" s="1081"/>
      <c r="AF119" s="1333"/>
      <c r="AG119" s="1333"/>
      <c r="AH119" s="1097"/>
      <c r="AI119" s="1333"/>
      <c r="AJ119" s="1333"/>
      <c r="AK119" s="1333"/>
    </row>
    <row r="120" spans="1:37">
      <c r="A120" s="1333"/>
      <c r="B120" s="1333"/>
      <c r="C120" s="1073">
        <v>19</v>
      </c>
      <c r="D120" s="1333"/>
      <c r="E120" s="1072" t="s">
        <v>1192</v>
      </c>
      <c r="F120" s="1333"/>
      <c r="G120" s="1098">
        <f>'SCH_C2.1 - Base Period'!J356+'SCH_C2.1 - Base Period'!J357+'SCH_C2.1 - Base Period'!J358</f>
        <v>-197047</v>
      </c>
      <c r="H120" s="1097"/>
      <c r="I120" s="1098">
        <f>K120-G120</f>
        <v>197047</v>
      </c>
      <c r="J120" s="1333"/>
      <c r="K120" s="1116">
        <v>0</v>
      </c>
      <c r="L120" s="1097">
        <v>0</v>
      </c>
      <c r="M120" s="1092">
        <f>K120+L120</f>
        <v>0</v>
      </c>
      <c r="N120" s="1081"/>
      <c r="O120" s="1094">
        <v>0</v>
      </c>
      <c r="P120" s="1081"/>
      <c r="Q120" s="1093">
        <f>M120+O120</f>
        <v>0</v>
      </c>
      <c r="R120" s="1333"/>
      <c r="S120" s="1333"/>
      <c r="T120" s="1333"/>
      <c r="U120" s="1333"/>
      <c r="V120" s="1333"/>
      <c r="W120" s="1333"/>
      <c r="X120" s="1333"/>
      <c r="Y120" s="1333"/>
      <c r="Z120" s="1333"/>
      <c r="AA120" s="1081"/>
      <c r="AB120" s="1081"/>
      <c r="AC120" s="1081"/>
      <c r="AD120" s="1081"/>
      <c r="AE120" s="1081"/>
      <c r="AF120" s="1333"/>
      <c r="AG120" s="1333"/>
      <c r="AH120" s="1097"/>
      <c r="AI120" s="1333"/>
      <c r="AJ120" s="1333"/>
      <c r="AK120" s="1333"/>
    </row>
    <row r="121" spans="1:37">
      <c r="A121" s="1333"/>
      <c r="B121" s="1333"/>
      <c r="C121" s="1073">
        <v>20</v>
      </c>
      <c r="D121" s="1333">
        <v>25000</v>
      </c>
      <c r="E121" s="1072" t="s">
        <v>223</v>
      </c>
      <c r="F121" s="1333"/>
      <c r="G121" s="1119">
        <f>IF(SUM(G118:G120)='SCH_C2.1 - Base Period'!J359,'SCH_C2.1 - Base Period'!J359,"CHECK ROUNDING")</f>
        <v>-19935176</v>
      </c>
      <c r="H121" s="1097"/>
      <c r="I121" s="1120">
        <f ca="1">SUM(I118:I120)</f>
        <v>-1289121</v>
      </c>
      <c r="J121" s="1333"/>
      <c r="K121" s="1120">
        <f ca="1">SUM(K118:K120)</f>
        <v>-21224297</v>
      </c>
      <c r="L121" s="1120">
        <f ca="1">SUM(L118:L120)</f>
        <v>2451199</v>
      </c>
      <c r="M121" s="1120">
        <f ca="1">SUM(M118:M120)</f>
        <v>-18773098</v>
      </c>
      <c r="N121" s="1081"/>
      <c r="O121" s="1120">
        <f>SUM(O118:O120)</f>
        <v>16071836</v>
      </c>
      <c r="P121" s="1081"/>
      <c r="Q121" s="1120">
        <f ca="1">SUM(Q118:Q120)</f>
        <v>-2701262</v>
      </c>
      <c r="R121" s="1333"/>
      <c r="S121" s="1333"/>
      <c r="T121" s="1333"/>
      <c r="U121" s="1333"/>
      <c r="V121" s="1333"/>
      <c r="W121" s="1333"/>
      <c r="X121" s="1333"/>
      <c r="Y121" s="1333"/>
      <c r="Z121" s="1333"/>
      <c r="AA121" s="1081"/>
      <c r="AB121" s="1081"/>
      <c r="AC121" s="1081"/>
      <c r="AD121" s="1081"/>
      <c r="AE121" s="1081"/>
      <c r="AF121" s="1333"/>
      <c r="AG121" s="1333"/>
      <c r="AH121" s="1097"/>
      <c r="AI121" s="1333"/>
      <c r="AJ121" s="1333"/>
      <c r="AK121" s="1333"/>
    </row>
    <row r="122" spans="1:37">
      <c r="A122" s="1333"/>
      <c r="B122" s="1333"/>
      <c r="C122" s="1073">
        <v>21</v>
      </c>
      <c r="D122" s="1333">
        <v>66492806</v>
      </c>
      <c r="E122" s="1333"/>
      <c r="F122" s="1333"/>
      <c r="G122" s="1097"/>
      <c r="H122" s="1097"/>
      <c r="I122" s="1097"/>
      <c r="J122" s="1333"/>
      <c r="K122" s="1093"/>
      <c r="L122" s="1093"/>
      <c r="M122" s="1093"/>
      <c r="N122" s="1081"/>
      <c r="O122" s="1094"/>
      <c r="P122" s="1081"/>
      <c r="Q122" s="1093"/>
      <c r="R122" s="1333"/>
      <c r="S122" s="1333"/>
      <c r="T122" s="1333"/>
      <c r="U122" s="1333"/>
      <c r="V122" s="1333"/>
      <c r="W122" s="1333"/>
      <c r="X122" s="1333"/>
      <c r="Y122" s="1333"/>
      <c r="Z122" s="1333"/>
      <c r="AA122" s="1081"/>
      <c r="AB122" s="1081"/>
      <c r="AC122" s="1081"/>
      <c r="AD122" s="1081"/>
      <c r="AE122" s="1081"/>
      <c r="AF122" s="1333"/>
      <c r="AG122" s="1333"/>
      <c r="AH122" s="1097"/>
      <c r="AI122" s="1333"/>
      <c r="AJ122" s="1333"/>
      <c r="AK122" s="1333"/>
    </row>
    <row r="123" spans="1:37">
      <c r="A123" s="1333"/>
      <c r="B123" s="1333"/>
      <c r="C123" s="1073">
        <v>22</v>
      </c>
      <c r="D123" s="1333"/>
      <c r="E123" s="1333" t="s">
        <v>2892</v>
      </c>
      <c r="F123" s="1333"/>
      <c r="G123" s="1097">
        <f>-ROUND((G29+G34+G104)*FIT,0)</f>
        <v>34841929</v>
      </c>
      <c r="H123" s="1097"/>
      <c r="I123" s="1098">
        <f ca="1">K123-G123</f>
        <v>-10207161</v>
      </c>
      <c r="J123" s="1333"/>
      <c r="K123" s="1097">
        <f ca="1">-ROUND((K29+K34+K104)*FIT,0)</f>
        <v>24634768</v>
      </c>
      <c r="L123" s="1094">
        <f ca="1">SCH_D1!U240</f>
        <v>-2129230</v>
      </c>
      <c r="M123" s="1097">
        <f ca="1">K123+L123</f>
        <v>22505538</v>
      </c>
      <c r="N123" s="1333"/>
      <c r="O123" s="1097">
        <v>0</v>
      </c>
      <c r="P123" s="1333"/>
      <c r="Q123" s="1097">
        <f ca="1">M123+O123</f>
        <v>22505538</v>
      </c>
      <c r="R123" s="1333"/>
      <c r="S123" s="1333"/>
      <c r="T123" s="1333"/>
      <c r="U123" s="1333"/>
      <c r="V123" s="1333"/>
      <c r="W123" s="1333"/>
      <c r="X123" s="1333"/>
      <c r="Y123" s="1333"/>
      <c r="Z123" s="1333"/>
      <c r="AA123" s="1081"/>
      <c r="AB123" s="1081"/>
      <c r="AC123" s="1081"/>
      <c r="AD123" s="1081"/>
      <c r="AE123" s="1081"/>
      <c r="AF123" s="1333"/>
      <c r="AG123" s="1333"/>
      <c r="AH123" s="1097"/>
      <c r="AI123" s="1333"/>
      <c r="AJ123" s="1333"/>
      <c r="AK123" s="1333"/>
    </row>
    <row r="124" spans="1:37">
      <c r="A124" s="1333"/>
      <c r="B124" s="1333"/>
      <c r="C124" s="1073">
        <v>23</v>
      </c>
      <c r="D124" s="1333"/>
      <c r="E124" s="1072" t="s">
        <v>2894</v>
      </c>
      <c r="F124" s="1333"/>
      <c r="G124" s="2052">
        <v>50114.154492442263</v>
      </c>
      <c r="H124" s="1097"/>
      <c r="I124" s="1098">
        <f t="shared" ref="I124" si="4">K124-G124</f>
        <v>-11807.845507557737</v>
      </c>
      <c r="J124" s="1333"/>
      <c r="K124" s="2051">
        <v>38306.308984884527</v>
      </c>
      <c r="L124" s="1094"/>
      <c r="M124" s="1097">
        <f t="shared" ref="M124:M125" si="5">K124+L124</f>
        <v>38306.308984884527</v>
      </c>
      <c r="N124" s="1333"/>
      <c r="O124" s="1097"/>
      <c r="P124" s="1333"/>
      <c r="Q124" s="1097">
        <f t="shared" ref="Q124:Q125" si="6">M124+O124</f>
        <v>38306.308984884527</v>
      </c>
      <c r="R124" s="1333"/>
      <c r="S124" s="1333"/>
      <c r="T124" s="1333"/>
      <c r="U124" s="1333"/>
      <c r="V124" s="1333"/>
      <c r="W124" s="1333"/>
      <c r="X124" s="1333"/>
      <c r="Y124" s="1333"/>
      <c r="Z124" s="1333"/>
      <c r="AA124" s="1081"/>
      <c r="AB124" s="1081"/>
      <c r="AC124" s="1081"/>
      <c r="AD124" s="1081"/>
      <c r="AE124" s="1081"/>
      <c r="AF124" s="1333"/>
      <c r="AG124" s="1333"/>
      <c r="AH124" s="1097"/>
      <c r="AI124" s="1333"/>
      <c r="AJ124" s="1333"/>
      <c r="AK124" s="1333"/>
    </row>
    <row r="125" spans="1:37">
      <c r="A125" s="1333"/>
      <c r="B125" s="1333"/>
      <c r="C125" s="1073">
        <v>24</v>
      </c>
      <c r="D125" s="1333"/>
      <c r="E125" s="1072" t="s">
        <v>2895</v>
      </c>
      <c r="F125" s="1333"/>
      <c r="G125" s="1112">
        <f>'BASE PERIOD'!E40+'BASE PERIOD'!E45+'BASE PERIOD'!E47</f>
        <v>0</v>
      </c>
      <c r="H125" s="1094"/>
      <c r="I125" s="1133">
        <f>K125-G125</f>
        <v>0</v>
      </c>
      <c r="J125" s="1081"/>
      <c r="K125" s="1554">
        <v>0</v>
      </c>
      <c r="L125" s="1112"/>
      <c r="M125" s="1112">
        <f t="shared" si="5"/>
        <v>0</v>
      </c>
      <c r="N125" s="1081"/>
      <c r="O125" s="1112"/>
      <c r="P125" s="1333"/>
      <c r="Q125" s="1112">
        <f t="shared" si="6"/>
        <v>0</v>
      </c>
      <c r="R125" s="1333"/>
      <c r="S125" s="1333"/>
      <c r="T125" s="1333"/>
      <c r="U125" s="1333"/>
      <c r="V125" s="1333"/>
      <c r="W125" s="1333"/>
      <c r="X125" s="1333"/>
      <c r="Y125" s="1333"/>
      <c r="Z125" s="1333"/>
      <c r="AA125" s="1081"/>
      <c r="AB125" s="1081"/>
      <c r="AC125" s="1081"/>
      <c r="AD125" s="1081"/>
      <c r="AE125" s="1081"/>
      <c r="AF125" s="1333"/>
      <c r="AG125" s="1333"/>
      <c r="AH125" s="1097"/>
      <c r="AI125" s="1333"/>
      <c r="AJ125" s="1333"/>
      <c r="AK125" s="1333"/>
    </row>
    <row r="126" spans="1:37">
      <c r="A126" s="1333"/>
      <c r="B126" s="1333"/>
      <c r="C126" s="1073">
        <v>25</v>
      </c>
      <c r="D126" s="1333"/>
      <c r="E126" s="1072" t="s">
        <v>2891</v>
      </c>
      <c r="F126" s="1333"/>
      <c r="G126" s="1097">
        <f>SUM(G123:G125)</f>
        <v>34892043.154492445</v>
      </c>
      <c r="H126" s="1097"/>
      <c r="I126" s="1097">
        <f ca="1">SUM(I123:I125)</f>
        <v>-10218968.845507558</v>
      </c>
      <c r="J126" s="1333"/>
      <c r="K126" s="1097">
        <f ca="1">SUM(K123:K125)</f>
        <v>24673074.308984883</v>
      </c>
      <c r="L126" s="1097">
        <f ca="1">SUM(L123:L125)</f>
        <v>-2129230</v>
      </c>
      <c r="M126" s="1097">
        <f ca="1">SUM(M123:M125)</f>
        <v>22543844.308984883</v>
      </c>
      <c r="N126" s="1333"/>
      <c r="O126" s="1097">
        <f>SUM(O123:O125)</f>
        <v>0</v>
      </c>
      <c r="P126" s="1333"/>
      <c r="Q126" s="1097">
        <f ca="1">SUM(Q123:Q125)</f>
        <v>22543844.308984883</v>
      </c>
      <c r="R126" s="1333"/>
      <c r="S126" s="1333"/>
      <c r="T126" s="1333"/>
      <c r="U126" s="1333"/>
      <c r="V126" s="1333"/>
      <c r="W126" s="1333"/>
      <c r="X126" s="1333"/>
      <c r="Y126" s="1333"/>
      <c r="Z126" s="1333"/>
      <c r="AA126" s="1081"/>
      <c r="AB126" s="1081"/>
      <c r="AC126" s="1081"/>
      <c r="AD126" s="1081"/>
      <c r="AE126" s="1081"/>
      <c r="AF126" s="1333"/>
      <c r="AG126" s="1333"/>
      <c r="AH126" s="1097"/>
      <c r="AI126" s="1333"/>
      <c r="AJ126" s="1333"/>
      <c r="AK126" s="1333"/>
    </row>
    <row r="127" spans="1:37">
      <c r="A127" s="1333"/>
      <c r="B127" s="1333"/>
      <c r="C127" s="1073">
        <v>26</v>
      </c>
      <c r="D127" s="1333"/>
      <c r="E127" s="1072"/>
      <c r="F127" s="1333"/>
      <c r="G127" s="1097"/>
      <c r="H127" s="1097"/>
      <c r="I127" s="1098"/>
      <c r="J127" s="1333"/>
      <c r="K127" s="1094"/>
      <c r="L127" s="1094"/>
      <c r="M127" s="1097"/>
      <c r="N127" s="1333"/>
      <c r="O127" s="1097"/>
      <c r="P127" s="1333"/>
      <c r="Q127" s="1097"/>
      <c r="R127" s="1333"/>
      <c r="S127" s="1333"/>
      <c r="T127" s="1333"/>
      <c r="U127" s="1333"/>
      <c r="V127" s="1333"/>
      <c r="W127" s="1333"/>
      <c r="X127" s="1333"/>
      <c r="Y127" s="1333"/>
      <c r="Z127" s="1333"/>
      <c r="AA127" s="1081"/>
      <c r="AB127" s="1081"/>
      <c r="AC127" s="1081"/>
      <c r="AD127" s="1081"/>
      <c r="AE127" s="1081"/>
      <c r="AF127" s="1333"/>
      <c r="AG127" s="1333"/>
      <c r="AH127" s="1097"/>
      <c r="AI127" s="1333"/>
      <c r="AJ127" s="1333"/>
      <c r="AK127" s="1333"/>
    </row>
    <row r="128" spans="1:37">
      <c r="A128" s="1333"/>
      <c r="B128" s="1333"/>
      <c r="C128" s="1073">
        <v>27</v>
      </c>
      <c r="D128" s="1333"/>
      <c r="E128" s="1098" t="s">
        <v>937</v>
      </c>
      <c r="F128" s="1333"/>
      <c r="G128" s="1097">
        <f>'SCH_C2.1 - Base Period'!J368</f>
        <v>-11950</v>
      </c>
      <c r="H128" s="1097"/>
      <c r="I128" s="1098">
        <f>K128-G128</f>
        <v>634</v>
      </c>
      <c r="J128" s="1333"/>
      <c r="K128" s="1116">
        <f>'SCH_C2.1 - Forecasted Period'!J371</f>
        <v>-11316</v>
      </c>
      <c r="L128" s="1094">
        <f>SCH_D1!U241</f>
        <v>0</v>
      </c>
      <c r="M128" s="1092">
        <f>K128+L128</f>
        <v>-11316</v>
      </c>
      <c r="N128" s="1081"/>
      <c r="O128" s="1094">
        <v>0</v>
      </c>
      <c r="P128" s="1081"/>
      <c r="Q128" s="1093">
        <f>M128+O128</f>
        <v>-11316</v>
      </c>
      <c r="R128" s="1333"/>
      <c r="S128" s="1333"/>
      <c r="T128" s="1333"/>
      <c r="U128" s="1333"/>
      <c r="V128" s="1333"/>
      <c r="W128" s="1333"/>
      <c r="X128" s="1333"/>
      <c r="Y128" s="1333"/>
      <c r="Z128" s="1333"/>
      <c r="AA128" s="1081"/>
      <c r="AB128" s="1081"/>
      <c r="AC128" s="1081"/>
      <c r="AD128" s="1080"/>
      <c r="AE128" s="1080"/>
      <c r="AF128" s="1333"/>
      <c r="AG128" s="1333"/>
      <c r="AH128" s="1097"/>
      <c r="AI128" s="1333"/>
      <c r="AJ128" s="1333"/>
      <c r="AK128" s="1333"/>
    </row>
    <row r="129" spans="1:37">
      <c r="A129" s="1333"/>
      <c r="B129" s="1333"/>
      <c r="C129" s="1073">
        <v>28</v>
      </c>
      <c r="D129" s="1333"/>
      <c r="E129" s="1098"/>
      <c r="F129" s="1333"/>
      <c r="G129" s="1098"/>
      <c r="H129" s="1097"/>
      <c r="I129" s="1098"/>
      <c r="J129" s="1333"/>
      <c r="K129" s="1116"/>
      <c r="L129" s="1121"/>
      <c r="M129" s="1092"/>
      <c r="N129" s="1081"/>
      <c r="O129" s="1094"/>
      <c r="P129" s="1081"/>
      <c r="Q129" s="1093"/>
      <c r="R129" s="1333"/>
      <c r="S129" s="1333"/>
      <c r="T129" s="1333"/>
      <c r="U129" s="1333"/>
      <c r="V129" s="1333"/>
      <c r="W129" s="1333"/>
      <c r="X129" s="1333"/>
      <c r="Y129" s="1333"/>
      <c r="Z129" s="1333"/>
      <c r="AA129" s="1081"/>
      <c r="AB129" s="1081"/>
      <c r="AC129" s="1081"/>
      <c r="AD129" s="1080"/>
      <c r="AE129" s="1080"/>
      <c r="AF129" s="1333"/>
      <c r="AG129" s="1333"/>
      <c r="AH129" s="1097"/>
      <c r="AI129" s="1333"/>
      <c r="AJ129" s="1333"/>
      <c r="AK129" s="1333"/>
    </row>
    <row r="130" spans="1:37" ht="13.5" thickBot="1">
      <c r="A130" s="1333"/>
      <c r="B130" s="1333"/>
      <c r="C130" s="1073">
        <v>29</v>
      </c>
      <c r="D130" s="1333"/>
      <c r="E130" s="1333" t="s">
        <v>1562</v>
      </c>
      <c r="F130" s="1333"/>
      <c r="G130" s="1118">
        <f>G121+G126+G128</f>
        <v>14944917.154492445</v>
      </c>
      <c r="H130" s="1097"/>
      <c r="I130" s="1118">
        <f ca="1">I121+I126+I128</f>
        <v>-11507455.845507558</v>
      </c>
      <c r="J130" s="1333"/>
      <c r="K130" s="1118">
        <f ca="1">K121+K126+K128</f>
        <v>3437461.3089848831</v>
      </c>
      <c r="L130" s="1118">
        <f ca="1">L121+L126+L128</f>
        <v>321969</v>
      </c>
      <c r="M130" s="1118">
        <f ca="1">M121+M126+M128</f>
        <v>3759430.3089848831</v>
      </c>
      <c r="N130" s="1333"/>
      <c r="O130" s="1118">
        <f>O121+O126+O128</f>
        <v>16071836</v>
      </c>
      <c r="P130" s="1333"/>
      <c r="Q130" s="1118">
        <f ca="1">Q121+Q126+Q128</f>
        <v>19831266.308984883</v>
      </c>
      <c r="R130" s="1333"/>
      <c r="S130" s="1333"/>
      <c r="T130" s="1333"/>
      <c r="U130" s="1333"/>
      <c r="V130" s="1333"/>
      <c r="W130" s="1333"/>
      <c r="X130" s="1333"/>
      <c r="Y130" s="1333"/>
      <c r="Z130" s="1333"/>
      <c r="AA130" s="1081"/>
      <c r="AB130" s="1333"/>
      <c r="AC130" s="1333"/>
      <c r="AD130" s="1333"/>
      <c r="AE130" s="1333"/>
      <c r="AF130" s="1333"/>
      <c r="AG130" s="1333"/>
      <c r="AH130" s="1097"/>
      <c r="AI130" s="1333"/>
      <c r="AJ130" s="1333"/>
      <c r="AK130" s="1101"/>
    </row>
    <row r="131" spans="1:37" ht="13.5" thickTop="1">
      <c r="A131" s="1333"/>
      <c r="B131" s="1333"/>
      <c r="C131" s="1333"/>
      <c r="D131" s="1333"/>
      <c r="E131" s="1333"/>
      <c r="F131" s="1333"/>
      <c r="G131" s="1333"/>
      <c r="H131" s="1333"/>
      <c r="I131" s="1333"/>
      <c r="J131" s="1333"/>
      <c r="K131" s="1333"/>
      <c r="L131" s="1333"/>
      <c r="M131" s="1333"/>
      <c r="N131" s="1333"/>
      <c r="O131" s="1333"/>
      <c r="P131" s="1333"/>
      <c r="Q131" s="1333"/>
      <c r="R131" s="1333"/>
      <c r="S131" s="1333"/>
      <c r="T131" s="1333"/>
      <c r="U131" s="1333"/>
      <c r="V131" s="1333"/>
      <c r="W131" s="1333"/>
      <c r="X131" s="1333"/>
      <c r="Y131" s="1333"/>
      <c r="Z131" s="1333"/>
      <c r="AA131" s="1081"/>
      <c r="AB131" s="1333"/>
      <c r="AC131" s="1333"/>
      <c r="AD131" s="1333"/>
      <c r="AE131" s="1333"/>
      <c r="AF131" s="1333"/>
      <c r="AG131" s="1333"/>
      <c r="AH131" s="1097"/>
      <c r="AI131" s="1333"/>
      <c r="AJ131" s="1333"/>
      <c r="AK131" s="1101"/>
    </row>
    <row r="132" spans="1:37">
      <c r="A132" s="1333"/>
      <c r="B132" s="1333"/>
      <c r="C132" s="1333"/>
      <c r="D132" s="1333"/>
      <c r="E132" s="1333" t="s">
        <v>1463</v>
      </c>
      <c r="F132" s="1333"/>
      <c r="G132" s="1333"/>
      <c r="H132" s="1333"/>
      <c r="I132" s="1333"/>
      <c r="J132" s="1333"/>
      <c r="K132" s="1333"/>
      <c r="L132" s="1333"/>
      <c r="M132" s="1333"/>
      <c r="N132" s="1333"/>
      <c r="O132" s="1333"/>
      <c r="P132" s="1333"/>
      <c r="Q132" s="1333"/>
      <c r="R132" s="1333"/>
      <c r="S132" s="1333"/>
      <c r="T132" s="1333"/>
      <c r="U132" s="1333"/>
      <c r="V132" s="1333"/>
      <c r="W132" s="1333"/>
      <c r="X132" s="1333"/>
      <c r="Y132" s="1333"/>
      <c r="Z132" s="1333"/>
      <c r="AA132" s="1081"/>
      <c r="AB132" s="1333"/>
      <c r="AC132" s="1333"/>
      <c r="AD132" s="1333"/>
      <c r="AE132" s="1333"/>
      <c r="AF132" s="1333"/>
      <c r="AG132" s="1333"/>
      <c r="AH132" s="1097"/>
      <c r="AI132" s="1333"/>
      <c r="AJ132" s="1333"/>
      <c r="AK132" s="1101"/>
    </row>
    <row r="133" spans="1:37">
      <c r="A133" s="1333"/>
      <c r="B133" s="1333"/>
      <c r="C133" s="1333"/>
      <c r="D133" s="1333"/>
      <c r="E133" s="1108" t="s">
        <v>218</v>
      </c>
      <c r="F133" s="1333"/>
      <c r="G133" s="1333"/>
      <c r="H133" s="1333"/>
      <c r="I133" s="1333"/>
      <c r="J133" s="1333"/>
      <c r="R133" s="1333"/>
      <c r="S133" s="1333"/>
      <c r="T133" s="1333"/>
      <c r="U133" s="1333"/>
      <c r="V133" s="1333"/>
      <c r="W133" s="1333"/>
      <c r="X133" s="1333"/>
      <c r="Y133" s="1333"/>
      <c r="Z133" s="1333"/>
      <c r="AA133" s="1081"/>
      <c r="AB133" s="1333"/>
      <c r="AC133" s="1333"/>
      <c r="AD133" s="1333"/>
      <c r="AE133" s="1333"/>
      <c r="AF133" s="1333"/>
      <c r="AG133" s="1333"/>
      <c r="AH133" s="1097"/>
      <c r="AI133" s="1333"/>
      <c r="AJ133" s="1333"/>
      <c r="AK133" s="1101"/>
    </row>
    <row r="134" spans="1:37">
      <c r="A134" s="1333"/>
      <c r="B134" s="1333"/>
      <c r="C134" s="1333"/>
      <c r="D134" s="1333"/>
      <c r="E134" s="1333"/>
      <c r="F134" s="1333"/>
      <c r="G134" s="1333"/>
      <c r="H134" s="1333"/>
      <c r="I134" s="1333"/>
      <c r="J134" s="1333"/>
      <c r="K134" s="1333"/>
      <c r="L134" s="1333"/>
      <c r="M134" s="1333"/>
      <c r="N134" s="1333"/>
      <c r="O134" s="1333"/>
      <c r="P134" s="1333"/>
      <c r="Q134" s="1333"/>
      <c r="R134" s="1333"/>
      <c r="S134" s="1333"/>
      <c r="T134" s="1333"/>
      <c r="U134" s="1333"/>
      <c r="V134" s="1333"/>
      <c r="W134" s="1333"/>
      <c r="X134" s="1333"/>
      <c r="Y134" s="1333"/>
      <c r="Z134" s="1333"/>
      <c r="AA134" s="1081"/>
      <c r="AB134" s="1333"/>
      <c r="AC134" s="1333"/>
      <c r="AD134" s="1333"/>
      <c r="AE134" s="1333"/>
      <c r="AF134" s="1333"/>
      <c r="AG134" s="1333"/>
      <c r="AH134" s="1097"/>
      <c r="AI134" s="1333"/>
      <c r="AJ134" s="1333"/>
      <c r="AK134" s="1101"/>
    </row>
    <row r="135" spans="1:37">
      <c r="A135" s="1333"/>
      <c r="B135" s="1333"/>
      <c r="C135" s="1333"/>
      <c r="D135" s="1333"/>
      <c r="E135" s="1333"/>
      <c r="F135" s="1333"/>
      <c r="G135" s="1333"/>
      <c r="H135" s="1333"/>
      <c r="I135" s="1333"/>
      <c r="J135" s="1333"/>
      <c r="K135" s="2050">
        <f ca="1">K118/K116</f>
        <v>0.34999999752641986</v>
      </c>
      <c r="L135" s="2050">
        <f ca="1">L118/L116</f>
        <v>0.35000003569681976</v>
      </c>
      <c r="M135" s="2050">
        <f ca="1">M118/M116</f>
        <v>0.34999999254252029</v>
      </c>
      <c r="N135" s="1333"/>
      <c r="O135" s="2050">
        <f>O118/O116</f>
        <v>0.34999999564455492</v>
      </c>
      <c r="P135" s="1333"/>
      <c r="Q135" s="2050">
        <f ca="1">Q118/Q116</f>
        <v>0.34999997408618833</v>
      </c>
      <c r="R135" s="1333"/>
      <c r="S135" s="1333"/>
      <c r="T135" s="1333"/>
      <c r="U135" s="1333"/>
      <c r="V135" s="1333"/>
      <c r="W135" s="1333"/>
      <c r="X135" s="1333"/>
      <c r="Y135" s="1333"/>
      <c r="Z135" s="1083"/>
      <c r="AA135" s="1081"/>
      <c r="AB135" s="1333"/>
      <c r="AC135" s="1333"/>
      <c r="AD135" s="1333"/>
      <c r="AE135" s="1333"/>
      <c r="AF135" s="1333"/>
      <c r="AG135" s="1333"/>
      <c r="AH135" s="1097"/>
      <c r="AI135" s="1333"/>
      <c r="AJ135" s="1333"/>
      <c r="AK135" s="1101"/>
    </row>
    <row r="136" spans="1:37">
      <c r="A136" s="1333"/>
      <c r="B136" s="1333"/>
      <c r="C136" s="1333"/>
      <c r="D136" s="1333"/>
      <c r="E136" s="1333"/>
      <c r="F136" s="1333"/>
      <c r="G136" s="1333"/>
      <c r="H136" s="1333"/>
      <c r="I136" s="1333"/>
      <c r="J136" s="1333"/>
      <c r="K136" s="1094"/>
      <c r="L136" s="1333"/>
      <c r="M136" s="1333"/>
      <c r="N136" s="1333"/>
      <c r="O136" s="1333"/>
      <c r="P136" s="1333"/>
      <c r="Q136" s="1333"/>
      <c r="R136" s="1333"/>
      <c r="S136" s="1333"/>
      <c r="T136" s="1333"/>
      <c r="U136" s="1333"/>
      <c r="V136" s="1333"/>
      <c r="W136" s="1333"/>
      <c r="X136" s="1333"/>
      <c r="Y136" s="1333"/>
      <c r="Z136" s="1083"/>
      <c r="AA136" s="1081"/>
      <c r="AB136" s="1333"/>
      <c r="AC136" s="1333"/>
      <c r="AD136" s="1333"/>
      <c r="AE136" s="1333"/>
      <c r="AF136" s="1333"/>
      <c r="AG136" s="1333"/>
      <c r="AH136" s="1097"/>
      <c r="AI136" s="1333"/>
      <c r="AJ136" s="1333"/>
      <c r="AK136" s="1101"/>
    </row>
    <row r="137" spans="1:37">
      <c r="A137" s="1333"/>
      <c r="B137" s="1333"/>
      <c r="C137" s="1333"/>
      <c r="D137" s="1333"/>
      <c r="E137" s="2053" t="s">
        <v>2950</v>
      </c>
      <c r="F137" s="1333"/>
      <c r="G137" s="1347">
        <f>G19+G22</f>
        <v>44752135</v>
      </c>
      <c r="H137" s="1333"/>
      <c r="I137" s="1333"/>
      <c r="J137" s="1333"/>
      <c r="K137" s="1347">
        <f ca="1">K19+K22</f>
        <v>9135584</v>
      </c>
      <c r="L137" s="1347">
        <f ca="1">L19+L22</f>
        <v>971858</v>
      </c>
      <c r="M137" s="1347">
        <f ca="1">M19+M22</f>
        <v>10107442</v>
      </c>
      <c r="N137" s="1333"/>
      <c r="O137" s="1347">
        <f>O19+O22</f>
        <v>48512630</v>
      </c>
      <c r="P137" s="1333"/>
      <c r="Q137" s="1347">
        <f ca="1">Q19+Q22</f>
        <v>58620072</v>
      </c>
      <c r="R137" s="1333"/>
      <c r="S137" s="1333"/>
      <c r="T137" s="1333"/>
      <c r="U137" s="1333"/>
      <c r="V137" s="1333"/>
      <c r="W137" s="1333"/>
      <c r="X137" s="1333"/>
      <c r="Y137" s="1333"/>
      <c r="Z137" s="1083"/>
      <c r="AA137" s="1081"/>
      <c r="AB137" s="1333"/>
      <c r="AC137" s="1333"/>
      <c r="AD137" s="1333"/>
      <c r="AE137" s="1333"/>
      <c r="AF137" s="1333"/>
      <c r="AG137" s="1333"/>
      <c r="AH137" s="1097"/>
      <c r="AI137" s="1333"/>
      <c r="AJ137" s="1333"/>
      <c r="AK137" s="1101"/>
    </row>
    <row r="138" spans="1:37">
      <c r="A138" s="1333"/>
      <c r="B138" s="1333"/>
      <c r="C138" s="1333"/>
      <c r="D138" s="1333"/>
      <c r="E138" s="2053" t="s">
        <v>2951</v>
      </c>
      <c r="F138" s="1333"/>
      <c r="G138" s="1347">
        <f>G25</f>
        <v>838490.59999999963</v>
      </c>
      <c r="H138" s="1333"/>
      <c r="I138" s="1333"/>
      <c r="J138" s="1333"/>
      <c r="K138" s="1347">
        <f>K25</f>
        <v>1158877</v>
      </c>
      <c r="L138" s="1347">
        <f>L25</f>
        <v>0</v>
      </c>
      <c r="M138" s="1347">
        <f>M25</f>
        <v>1158877</v>
      </c>
      <c r="N138" s="1333"/>
      <c r="O138" s="1347">
        <f>O25</f>
        <v>0</v>
      </c>
      <c r="P138" s="1333"/>
      <c r="Q138" s="1347">
        <f>Q25</f>
        <v>1158877</v>
      </c>
      <c r="R138" s="1333"/>
      <c r="S138" s="1333"/>
      <c r="T138" s="1333"/>
      <c r="U138" s="1333"/>
      <c r="V138" s="1333"/>
      <c r="W138" s="1333"/>
      <c r="X138" s="1333"/>
      <c r="Y138" s="1333"/>
      <c r="Z138" s="1083"/>
      <c r="AA138" s="1081"/>
      <c r="AB138" s="1333"/>
      <c r="AC138" s="1333"/>
      <c r="AD138" s="1333"/>
      <c r="AE138" s="1333"/>
      <c r="AF138" s="1333"/>
      <c r="AG138" s="1333"/>
      <c r="AH138" s="1097"/>
      <c r="AI138" s="1333"/>
      <c r="AJ138" s="1333"/>
      <c r="AK138" s="1101"/>
    </row>
    <row r="139" spans="1:37">
      <c r="A139" s="1333"/>
      <c r="B139" s="1333"/>
      <c r="C139" s="1333"/>
      <c r="D139" s="1333"/>
      <c r="E139" s="2053" t="s">
        <v>2952</v>
      </c>
      <c r="F139" s="1333"/>
      <c r="G139" s="1347">
        <f>G137+G138</f>
        <v>45590625.600000001</v>
      </c>
      <c r="H139" s="1333"/>
      <c r="I139" s="1333"/>
      <c r="J139" s="1333"/>
      <c r="K139" s="1347">
        <f ca="1">K137+K138</f>
        <v>10294461</v>
      </c>
      <c r="L139" s="1347">
        <f ca="1">L137+L138</f>
        <v>971858</v>
      </c>
      <c r="M139" s="1347">
        <f ca="1">M137+M138</f>
        <v>11266319</v>
      </c>
      <c r="N139" s="1333"/>
      <c r="O139" s="1347">
        <f>O137+O138</f>
        <v>48512630</v>
      </c>
      <c r="P139" s="1333"/>
      <c r="Q139" s="1347">
        <f ca="1">Q137+Q138</f>
        <v>59778949</v>
      </c>
      <c r="R139" s="1333"/>
      <c r="S139" s="1058" t="str">
        <f>COMPANY</f>
        <v>DUKE ENERGY KENTUCKY, INC.</v>
      </c>
      <c r="T139" s="1330"/>
      <c r="U139" s="1330"/>
      <c r="V139" s="1330"/>
      <c r="X139" s="1517" t="s">
        <v>2915</v>
      </c>
      <c r="Y139" s="1333"/>
      <c r="Z139" s="1081"/>
      <c r="AA139" s="1081"/>
      <c r="AB139" s="1333"/>
      <c r="AC139" s="1333"/>
      <c r="AD139" s="1333"/>
      <c r="AE139" s="1333"/>
      <c r="AF139" s="1333"/>
      <c r="AG139" s="1333"/>
      <c r="AH139" s="1097"/>
      <c r="AI139" s="1333"/>
      <c r="AJ139" s="1333"/>
      <c r="AK139" s="1101"/>
    </row>
    <row r="140" spans="1:37">
      <c r="A140" s="1333"/>
      <c r="B140" s="1333"/>
      <c r="C140" s="1333"/>
      <c r="D140" s="1333"/>
      <c r="E140" s="1333"/>
      <c r="F140" s="1333"/>
      <c r="H140" s="1333"/>
      <c r="I140" s="1333"/>
      <c r="J140" s="1333"/>
      <c r="N140" s="1333"/>
      <c r="P140" s="1333"/>
      <c r="R140" s="1333"/>
      <c r="S140" s="1058" t="str">
        <f>CASE</f>
        <v>CASE NO. 2017-00321</v>
      </c>
      <c r="T140" s="1330"/>
      <c r="U140" s="1330"/>
      <c r="V140" s="1330"/>
      <c r="X140" s="1072" t="s">
        <v>622</v>
      </c>
      <c r="Y140" s="1333"/>
      <c r="Z140" s="1081"/>
      <c r="AA140" s="1081"/>
      <c r="AB140" s="1333"/>
      <c r="AC140" s="1333"/>
      <c r="AD140" s="1333"/>
      <c r="AE140" s="1333"/>
      <c r="AF140" s="1333"/>
      <c r="AG140" s="1333"/>
      <c r="AH140" s="1097"/>
      <c r="AI140" s="1333"/>
      <c r="AJ140" s="1333"/>
      <c r="AK140" s="1101"/>
    </row>
    <row r="141" spans="1:37">
      <c r="A141" s="1333"/>
      <c r="B141" s="1333"/>
      <c r="C141" s="1333"/>
      <c r="D141" s="1333"/>
      <c r="E141" s="2053" t="s">
        <v>1296</v>
      </c>
      <c r="F141" s="1333"/>
      <c r="G141" s="1347">
        <f>G130+G109</f>
        <v>17516683.000000004</v>
      </c>
      <c r="H141" s="1333"/>
      <c r="I141" s="1333"/>
      <c r="J141" s="1333"/>
      <c r="K141" s="1347">
        <f ca="1">K130+K109</f>
        <v>4078414.9999999986</v>
      </c>
      <c r="L141" s="1347">
        <f ca="1">L130+L109</f>
        <v>373915</v>
      </c>
      <c r="M141" s="1347">
        <f ca="1">M130+M109</f>
        <v>4452329.9999999981</v>
      </c>
      <c r="N141" s="1333"/>
      <c r="O141" s="1347">
        <f>O130+O109</f>
        <v>18664934</v>
      </c>
      <c r="P141" s="1333"/>
      <c r="Q141" s="1347">
        <f ca="1">Q130+Q109</f>
        <v>23117264</v>
      </c>
      <c r="R141" s="1333"/>
      <c r="S141" s="1058" t="str">
        <f>DataB</f>
        <v>DATA: "X" BASE PERIOD  "X" FORECASTED PERIOD</v>
      </c>
      <c r="T141" s="1330"/>
      <c r="U141" s="1330"/>
      <c r="V141" s="1330"/>
      <c r="X141" s="1072" t="str">
        <f>_WIT3</f>
        <v>L. M. BELLUCCI</v>
      </c>
      <c r="Y141" s="1333"/>
      <c r="Z141" s="1081"/>
      <c r="AA141" s="1081"/>
      <c r="AB141" s="1333"/>
      <c r="AC141" s="1333"/>
      <c r="AD141" s="1333"/>
      <c r="AE141" s="1333"/>
      <c r="AF141" s="1333"/>
      <c r="AG141" s="1333"/>
      <c r="AH141" s="1097"/>
      <c r="AI141" s="1333"/>
      <c r="AJ141" s="1333"/>
      <c r="AK141" s="1101"/>
    </row>
    <row r="142" spans="1:37">
      <c r="A142" s="1333"/>
      <c r="B142" s="1333"/>
      <c r="C142" s="1333"/>
      <c r="D142" s="1333"/>
      <c r="E142" s="2053" t="s">
        <v>573</v>
      </c>
      <c r="F142" s="1333"/>
      <c r="G142" s="1112">
        <f>G105+G106+G124+G125+G128+G120+G77</f>
        <v>-24028</v>
      </c>
      <c r="H142" s="1333"/>
      <c r="I142" s="1333"/>
      <c r="J142" s="1333"/>
      <c r="K142" s="1112">
        <f>K105+K106+K124+K125+K128+K120+K77</f>
        <v>117684</v>
      </c>
      <c r="L142" s="1112">
        <f t="shared" ref="L142:M142" si="7">L105+L106+L124+L125+L128+L120+L77</f>
        <v>0</v>
      </c>
      <c r="M142" s="1112">
        <f t="shared" si="7"/>
        <v>117684</v>
      </c>
      <c r="N142" s="1333"/>
      <c r="O142" s="1112">
        <f t="shared" ref="O142" si="8">O105+O106+O124+O125+O128+O120+O77</f>
        <v>0</v>
      </c>
      <c r="P142" s="1333"/>
      <c r="Q142" s="1112">
        <f t="shared" ref="Q142" si="9">Q105+Q106+Q124+Q125+Q128+Q120+Q77</f>
        <v>117684</v>
      </c>
      <c r="R142" s="1333"/>
      <c r="S142" s="1058" t="s">
        <v>1285</v>
      </c>
      <c r="T142" s="1330"/>
      <c r="U142" s="1330"/>
      <c r="V142" s="1330"/>
      <c r="W142" s="1330"/>
      <c r="X142" s="1330"/>
      <c r="Y142" s="1333"/>
      <c r="Z142" s="1081"/>
      <c r="AA142" s="1081"/>
      <c r="AB142" s="1333"/>
      <c r="AC142" s="1333"/>
      <c r="AD142" s="1333"/>
      <c r="AE142" s="1333"/>
      <c r="AF142" s="1333"/>
      <c r="AG142" s="1333"/>
      <c r="AH142" s="1097"/>
      <c r="AI142" s="1333"/>
      <c r="AJ142" s="1333"/>
      <c r="AK142" s="1101"/>
    </row>
    <row r="143" spans="1:37">
      <c r="A143" s="1333"/>
      <c r="B143" s="1333"/>
      <c r="C143" s="1333"/>
      <c r="D143" s="1333"/>
      <c r="E143" s="2053" t="s">
        <v>2953</v>
      </c>
      <c r="F143" s="1333"/>
      <c r="G143" s="1097">
        <f>G141-G142</f>
        <v>17540711.000000004</v>
      </c>
      <c r="H143" s="1333"/>
      <c r="I143" s="1333"/>
      <c r="J143" s="1333"/>
      <c r="K143" s="1097">
        <f ca="1">K141-K142</f>
        <v>3960730.9999999986</v>
      </c>
      <c r="L143" s="1097">
        <f ca="1">L141-L142</f>
        <v>373915</v>
      </c>
      <c r="M143" s="1097">
        <f ca="1">M141-M142</f>
        <v>4334645.9999999981</v>
      </c>
      <c r="N143" s="1333"/>
      <c r="O143" s="1097">
        <f>O141-O142</f>
        <v>18664934</v>
      </c>
      <c r="P143" s="1333"/>
      <c r="Q143" s="1097">
        <f ca="1">Q141-Q142</f>
        <v>22999580</v>
      </c>
      <c r="R143" s="1333"/>
      <c r="S143" s="1330"/>
      <c r="T143" s="1330"/>
      <c r="U143" s="1330"/>
      <c r="V143" s="1330"/>
      <c r="Y143" s="1333"/>
      <c r="Z143" s="1080"/>
      <c r="AA143" s="1081"/>
      <c r="AB143" s="1333"/>
      <c r="AC143" s="1333"/>
      <c r="AD143" s="1333"/>
      <c r="AE143" s="1333"/>
      <c r="AF143" s="1333"/>
      <c r="AG143" s="1333"/>
      <c r="AH143" s="1097"/>
      <c r="AI143" s="1333"/>
      <c r="AJ143" s="1333"/>
      <c r="AK143" s="1093"/>
    </row>
    <row r="144" spans="1:37">
      <c r="A144" s="1333"/>
      <c r="B144" s="1333"/>
      <c r="C144" s="1333"/>
      <c r="D144" s="1333"/>
      <c r="E144" s="1333"/>
      <c r="F144" s="1333"/>
      <c r="G144" s="1333"/>
      <c r="H144" s="1333"/>
      <c r="I144" s="1333"/>
      <c r="J144" s="1333"/>
      <c r="K144" s="1333"/>
      <c r="L144" s="1333"/>
      <c r="M144" s="1333"/>
      <c r="N144" s="1333"/>
      <c r="O144" s="1333"/>
      <c r="P144" s="1333"/>
      <c r="Q144" s="1333"/>
      <c r="R144" s="1333"/>
      <c r="S144" s="1330"/>
      <c r="T144" s="1330"/>
      <c r="U144" s="1330"/>
      <c r="V144" s="1330"/>
      <c r="Y144" s="1333"/>
      <c r="Z144" s="1080"/>
      <c r="AA144" s="1081"/>
      <c r="AB144" s="1333"/>
      <c r="AC144" s="1333"/>
      <c r="AD144" s="1333"/>
      <c r="AE144" s="1333"/>
      <c r="AF144" s="1333"/>
      <c r="AG144" s="1333"/>
      <c r="AH144" s="1097"/>
      <c r="AI144" s="1333"/>
      <c r="AJ144" s="1333"/>
      <c r="AK144" s="1093"/>
    </row>
    <row r="145" spans="1:37">
      <c r="A145" s="1333"/>
      <c r="B145" s="1333"/>
      <c r="C145" s="1333"/>
      <c r="D145" s="1333"/>
      <c r="E145" s="1333"/>
      <c r="F145" s="1333"/>
      <c r="G145" s="2054">
        <f>G143/G139</f>
        <v>0.38474381013977582</v>
      </c>
      <c r="H145" s="1333"/>
      <c r="I145" s="1333"/>
      <c r="J145" s="1333"/>
      <c r="K145" s="2054">
        <f ca="1">K143/K139</f>
        <v>0.38474389285655641</v>
      </c>
      <c r="L145" s="2054">
        <f ca="1">L143/L139</f>
        <v>0.38474242121791458</v>
      </c>
      <c r="M145" s="2054">
        <f ca="1">M143/M139</f>
        <v>0.38474376590969933</v>
      </c>
      <c r="N145" s="1333"/>
      <c r="O145" s="2054">
        <f>O143/O139</f>
        <v>0.38474380795269192</v>
      </c>
      <c r="P145" s="1333"/>
      <c r="Q145" s="2054">
        <f ca="1">Q143/Q139</f>
        <v>0.38474380002900355</v>
      </c>
      <c r="R145" s="1333"/>
      <c r="V145" s="1330"/>
      <c r="W145" s="1330"/>
      <c r="X145" s="1124" t="s">
        <v>2913</v>
      </c>
      <c r="Y145" s="1333"/>
      <c r="Z145" s="1081"/>
      <c r="AA145" s="1081"/>
      <c r="AB145" s="1333"/>
      <c r="AC145" s="1333"/>
      <c r="AD145" s="1333"/>
      <c r="AE145" s="1333"/>
      <c r="AF145" s="1333"/>
      <c r="AG145" s="1333"/>
      <c r="AH145" s="1097"/>
      <c r="AI145" s="1333"/>
      <c r="AJ145" s="1333"/>
      <c r="AK145" s="1093"/>
    </row>
    <row r="146" spans="1:37">
      <c r="A146" s="1333"/>
      <c r="B146" s="1333"/>
      <c r="C146" s="1333"/>
      <c r="D146" s="1333"/>
      <c r="E146" s="1333"/>
      <c r="F146" s="1333"/>
      <c r="G146" s="1333"/>
      <c r="H146" s="1333"/>
      <c r="I146" s="1333"/>
      <c r="J146" s="1333"/>
      <c r="K146" s="1516"/>
      <c r="L146" s="1333"/>
      <c r="M146" s="1081"/>
      <c r="N146" s="1333"/>
      <c r="O146" s="1333"/>
      <c r="P146" s="1333"/>
      <c r="Q146" s="1333"/>
      <c r="R146" s="1333"/>
      <c r="S146" s="1331" t="s">
        <v>1240</v>
      </c>
      <c r="T146" s="1330"/>
      <c r="U146" s="1330"/>
      <c r="V146" s="1330"/>
      <c r="W146" s="1124" t="s">
        <v>1981</v>
      </c>
      <c r="X146" s="1124" t="s">
        <v>568</v>
      </c>
      <c r="Y146" s="1333"/>
      <c r="Z146" s="1080"/>
      <c r="AA146" s="1081"/>
      <c r="AB146" s="1333"/>
      <c r="AC146" s="1333"/>
      <c r="AD146" s="1333"/>
      <c r="AE146" s="1333"/>
      <c r="AF146" s="1333"/>
      <c r="AG146" s="1333"/>
      <c r="AH146" s="1097"/>
      <c r="AI146" s="1333"/>
      <c r="AJ146" s="1333"/>
      <c r="AK146" s="1093"/>
    </row>
    <row r="147" spans="1:37">
      <c r="A147" s="1333"/>
      <c r="B147" s="1333"/>
      <c r="C147" s="1333"/>
      <c r="D147" s="1333"/>
      <c r="E147" s="1333"/>
      <c r="F147" s="1333"/>
      <c r="G147" s="1333"/>
      <c r="H147" s="1333"/>
      <c r="I147" s="1333"/>
      <c r="J147" s="1333"/>
      <c r="K147" s="1081"/>
      <c r="L147" s="1333"/>
      <c r="M147" s="1537"/>
      <c r="N147" s="1333"/>
      <c r="O147" s="1333"/>
      <c r="P147" s="1333"/>
      <c r="Q147" s="1333"/>
      <c r="R147" s="1333"/>
      <c r="S147" s="1125" t="s">
        <v>1241</v>
      </c>
      <c r="T147" s="1126"/>
      <c r="U147" s="1127" t="s">
        <v>1119</v>
      </c>
      <c r="V147" s="1126"/>
      <c r="W147" s="1422" t="s">
        <v>2914</v>
      </c>
      <c r="X147" s="1422" t="s">
        <v>2914</v>
      </c>
      <c r="Y147" s="1333"/>
      <c r="Z147" s="1081"/>
      <c r="AA147" s="1081"/>
      <c r="AB147" s="1333"/>
      <c r="AC147" s="1333"/>
      <c r="AD147" s="1333"/>
      <c r="AE147" s="1333"/>
      <c r="AF147" s="1333"/>
      <c r="AG147" s="1333"/>
      <c r="AH147" s="1097"/>
      <c r="AI147" s="1333"/>
      <c r="AJ147" s="1333"/>
      <c r="AK147" s="1081"/>
    </row>
    <row r="148" spans="1:37">
      <c r="A148" s="1333"/>
      <c r="B148" s="1333"/>
      <c r="C148" s="1333"/>
      <c r="D148" s="1333"/>
      <c r="E148" s="1333"/>
      <c r="F148" s="1333"/>
      <c r="G148" s="1333"/>
      <c r="H148" s="1333"/>
      <c r="I148" s="1333"/>
      <c r="J148" s="1333"/>
      <c r="K148" s="1081"/>
      <c r="L148" s="1333"/>
      <c r="M148" s="1081"/>
      <c r="N148" s="1333"/>
      <c r="O148" s="1333"/>
      <c r="P148" s="1333"/>
      <c r="Q148" s="1333"/>
      <c r="R148" s="1333"/>
      <c r="S148" s="1103"/>
      <c r="T148" s="1058"/>
      <c r="U148" s="1128"/>
      <c r="V148" s="1128"/>
      <c r="W148" s="1128"/>
      <c r="X148" s="1128"/>
      <c r="Y148" s="1333"/>
      <c r="Z148" s="1129"/>
      <c r="AA148" s="1081"/>
      <c r="AB148" s="1333"/>
      <c r="AC148" s="1333"/>
      <c r="AD148" s="1333"/>
      <c r="AE148" s="1333"/>
      <c r="AF148" s="1333"/>
      <c r="AG148" s="1333"/>
      <c r="AH148" s="1097"/>
      <c r="AI148" s="1333"/>
      <c r="AJ148" s="1333"/>
      <c r="AK148" s="1093"/>
    </row>
    <row r="149" spans="1:37">
      <c r="A149" s="1333"/>
      <c r="B149" s="1333"/>
      <c r="C149" s="1333"/>
      <c r="D149" s="1333"/>
      <c r="E149" s="1333"/>
      <c r="F149" s="1333"/>
      <c r="G149" s="1333"/>
      <c r="H149" s="1333"/>
      <c r="I149" s="1333"/>
      <c r="J149" s="1333"/>
      <c r="K149" s="1081"/>
      <c r="L149" s="1333"/>
      <c r="M149" s="1537"/>
      <c r="N149" s="1333"/>
      <c r="O149" s="1333"/>
      <c r="P149" s="1333"/>
      <c r="Q149" s="1333"/>
      <c r="R149" s="1333"/>
      <c r="S149" s="1331">
        <v>1</v>
      </c>
      <c r="T149" s="1330"/>
      <c r="U149" s="1058" t="s">
        <v>37</v>
      </c>
      <c r="V149" s="1330"/>
      <c r="W149" s="1098">
        <f>'SCH_C2.1 - Base Period'!$J$51-'SCH_C2.1 - Base Period'!$J$283-'SCH_C2.1 - Base Period'!$J$286-'SCH_C2.1 - Base Period'!$J$292-'SCH_C2.1 - Base Period'!$J$331</f>
        <v>53904591</v>
      </c>
      <c r="X149" s="1098">
        <f ca="1">'SCH_C2.1 - Forecasted Period'!$J$47-'SCH_C2.1 - Forecasted Period'!$J$288-'SCH_C2.1 - Forecasted Period'!$J$291-'SCH_C2.1 - Forecasted Period'!$J$297-'SCH_C2.1 - Forecasted Period'!$J$334</f>
        <v>23291094</v>
      </c>
      <c r="Y149" s="1333"/>
      <c r="Z149" s="1111"/>
      <c r="AA149" s="1081"/>
      <c r="AB149" s="1333"/>
      <c r="AC149" s="1333"/>
      <c r="AD149" s="1333"/>
      <c r="AE149" s="1333"/>
      <c r="AF149" s="1333"/>
      <c r="AG149" s="1333"/>
      <c r="AH149" s="1097"/>
      <c r="AI149" s="1333"/>
      <c r="AJ149" s="1333"/>
      <c r="AK149" s="1081"/>
    </row>
    <row r="150" spans="1:37">
      <c r="A150" s="1333"/>
      <c r="B150" s="1333"/>
      <c r="C150" s="1333"/>
      <c r="D150" s="1333"/>
      <c r="E150" s="1333"/>
      <c r="F150" s="1333"/>
      <c r="G150" s="1333"/>
      <c r="H150" s="1333"/>
      <c r="I150" s="1333"/>
      <c r="J150" s="1333"/>
      <c r="K150" s="1081"/>
      <c r="L150" s="1333"/>
      <c r="M150" s="1081"/>
      <c r="N150" s="1333"/>
      <c r="O150" s="1333"/>
      <c r="P150" s="1333"/>
      <c r="Q150" s="1333"/>
      <c r="R150" s="1333"/>
      <c r="S150" s="1331">
        <f>1+S149</f>
        <v>2</v>
      </c>
      <c r="T150" s="1062">
        <v>1107</v>
      </c>
      <c r="U150" s="1330" t="s">
        <v>2882</v>
      </c>
      <c r="V150" s="1330"/>
      <c r="W150" s="1510">
        <f>AH204</f>
        <v>-9152456</v>
      </c>
      <c r="X150" s="1510">
        <v>-14155510</v>
      </c>
      <c r="Y150" s="1333"/>
      <c r="Z150" s="1081"/>
      <c r="AA150" s="1081"/>
      <c r="AB150" s="1333"/>
      <c r="AC150" s="1333"/>
      <c r="AD150" s="1333"/>
      <c r="AE150" s="1333"/>
      <c r="AF150" s="1333"/>
      <c r="AG150" s="1333"/>
      <c r="AH150" s="1097"/>
      <c r="AI150" s="1333"/>
      <c r="AJ150" s="1333"/>
      <c r="AK150" s="1081"/>
    </row>
    <row r="151" spans="1:37">
      <c r="A151" s="1333"/>
      <c r="B151" s="1333"/>
      <c r="C151" s="1333"/>
      <c r="D151" s="1333"/>
      <c r="E151" s="1333"/>
      <c r="F151" s="1333"/>
      <c r="G151" s="1333"/>
      <c r="H151" s="1333"/>
      <c r="I151" s="1333"/>
      <c r="J151" s="1333"/>
      <c r="K151" s="1081"/>
      <c r="L151" s="1333"/>
      <c r="M151" s="1081"/>
      <c r="N151" s="1333"/>
      <c r="O151" s="1333"/>
      <c r="P151" s="1333"/>
      <c r="Q151" s="1333"/>
      <c r="R151" s="1333"/>
      <c r="S151" s="1331">
        <f t="shared" ref="S151:S184" si="10">1+S150</f>
        <v>3</v>
      </c>
      <c r="U151" s="1058" t="s">
        <v>2883</v>
      </c>
      <c r="V151" s="1330"/>
      <c r="W151" s="1508">
        <f>W149+W150</f>
        <v>44752135</v>
      </c>
      <c r="X151" s="1508">
        <f ca="1">X149+X150</f>
        <v>9135584</v>
      </c>
      <c r="Y151" s="1333"/>
      <c r="Z151" s="1081"/>
      <c r="AA151" s="1081"/>
      <c r="AB151" s="1333"/>
      <c r="AC151" s="1333"/>
      <c r="AD151" s="1333"/>
      <c r="AE151" s="1333"/>
      <c r="AF151" s="1333"/>
      <c r="AG151" s="1333"/>
      <c r="AH151" s="1097"/>
      <c r="AI151" s="1333"/>
      <c r="AJ151" s="1333"/>
      <c r="AK151" s="1081"/>
    </row>
    <row r="152" spans="1:37">
      <c r="A152" s="1333"/>
      <c r="B152" s="1333"/>
      <c r="C152" s="1333"/>
      <c r="D152" s="1333"/>
      <c r="E152" s="1333"/>
      <c r="F152" s="1333"/>
      <c r="G152" s="1333"/>
      <c r="H152" s="1333"/>
      <c r="I152" s="1333"/>
      <c r="J152" s="1333"/>
      <c r="K152" s="1081"/>
      <c r="L152" s="1333"/>
      <c r="M152" s="1333"/>
      <c r="N152" s="1333"/>
      <c r="O152" s="1333"/>
      <c r="P152" s="1333"/>
      <c r="Q152" s="1333"/>
      <c r="R152" s="1333"/>
      <c r="S152" s="1331">
        <f t="shared" si="10"/>
        <v>4</v>
      </c>
      <c r="T152" s="1062"/>
      <c r="U152" s="1330"/>
      <c r="V152" s="1330"/>
      <c r="W152" s="1098"/>
      <c r="X152" s="1098"/>
      <c r="Y152" s="1333"/>
      <c r="Z152" s="1081"/>
      <c r="AA152" s="1081"/>
      <c r="AB152" s="1333"/>
      <c r="AC152" s="1333"/>
      <c r="AD152" s="1333"/>
      <c r="AE152" s="1333"/>
      <c r="AF152" s="1333"/>
      <c r="AG152" s="1333"/>
      <c r="AH152" s="1097"/>
      <c r="AI152" s="1333"/>
      <c r="AJ152" s="1333"/>
      <c r="AK152" s="1081"/>
    </row>
    <row r="153" spans="1:37">
      <c r="A153" s="1333"/>
      <c r="B153" s="1333"/>
      <c r="C153" s="1333"/>
      <c r="D153" s="1333"/>
      <c r="E153" s="1333"/>
      <c r="F153" s="1333"/>
      <c r="G153" s="1333"/>
      <c r="H153" s="1333"/>
      <c r="I153" s="1333"/>
      <c r="J153" s="1333"/>
      <c r="K153" s="1081"/>
      <c r="L153" s="1333"/>
      <c r="M153" s="1333"/>
      <c r="N153" s="1333"/>
      <c r="O153" s="1333"/>
      <c r="P153" s="1333"/>
      <c r="Q153" s="1333"/>
      <c r="R153" s="1333"/>
      <c r="S153" s="1331">
        <f t="shared" si="10"/>
        <v>5</v>
      </c>
      <c r="T153" s="1062" t="s">
        <v>769</v>
      </c>
      <c r="U153" s="1330" t="s">
        <v>2884</v>
      </c>
      <c r="V153" s="1330"/>
      <c r="W153" s="1555">
        <f>SUM(AH206:AH210)</f>
        <v>838490.59999999963</v>
      </c>
      <c r="X153" s="1555">
        <v>1158877</v>
      </c>
      <c r="Y153" s="1333"/>
      <c r="Z153" s="1081"/>
      <c r="AA153" s="1081"/>
      <c r="AB153" s="1333"/>
      <c r="AC153" s="1333"/>
      <c r="AD153" s="1333"/>
      <c r="AE153" s="1333"/>
      <c r="AF153" s="1333"/>
      <c r="AG153" s="1333"/>
      <c r="AH153" s="1097"/>
      <c r="AI153" s="1333"/>
      <c r="AJ153" s="1333"/>
      <c r="AK153" s="1081"/>
    </row>
    <row r="154" spans="1:37">
      <c r="A154" s="1333"/>
      <c r="B154" s="1333"/>
      <c r="C154" s="1333"/>
      <c r="D154" s="1333"/>
      <c r="E154" s="1333"/>
      <c r="F154" s="1333"/>
      <c r="G154" s="1333"/>
      <c r="H154" s="1333"/>
      <c r="I154" s="1333"/>
      <c r="J154" s="1333"/>
      <c r="K154" s="1081"/>
      <c r="L154" s="1333"/>
      <c r="M154" s="1333"/>
      <c r="N154" s="1333"/>
      <c r="O154" s="1333"/>
      <c r="P154" s="1333"/>
      <c r="Q154" s="1333"/>
      <c r="R154" s="1333"/>
      <c r="S154" s="1331">
        <f t="shared" si="10"/>
        <v>6</v>
      </c>
      <c r="T154" s="1062"/>
      <c r="U154" s="1330"/>
      <c r="V154" s="1330"/>
      <c r="W154" s="1098"/>
      <c r="X154" s="1098"/>
      <c r="Y154" s="1333"/>
      <c r="Z154" s="1081"/>
      <c r="AA154" s="1081"/>
      <c r="AB154" s="1333"/>
      <c r="AC154" s="1333"/>
      <c r="AD154" s="1333"/>
      <c r="AE154" s="1333"/>
      <c r="AF154" s="1333"/>
      <c r="AG154" s="1333"/>
      <c r="AH154" s="1097"/>
      <c r="AI154" s="1333"/>
      <c r="AJ154" s="1333"/>
      <c r="AK154" s="1081"/>
    </row>
    <row r="155" spans="1:37">
      <c r="A155" s="1333"/>
      <c r="B155" s="1333"/>
      <c r="C155" s="1333"/>
      <c r="D155" s="1333"/>
      <c r="E155" s="1333"/>
      <c r="F155" s="1333"/>
      <c r="G155" s="1333"/>
      <c r="H155" s="1333"/>
      <c r="I155" s="1333"/>
      <c r="J155" s="1333"/>
      <c r="K155" s="1081"/>
      <c r="L155" s="1333"/>
      <c r="M155" s="1333"/>
      <c r="N155" s="1333"/>
      <c r="O155" s="1333"/>
      <c r="P155" s="1333"/>
      <c r="Q155" s="1333"/>
      <c r="R155" s="1333"/>
      <c r="S155" s="1331">
        <f t="shared" si="10"/>
        <v>7</v>
      </c>
      <c r="T155" s="1062"/>
      <c r="U155" s="1330" t="s">
        <v>2886</v>
      </c>
      <c r="V155" s="1330"/>
      <c r="W155" s="1098"/>
      <c r="X155" s="1098"/>
      <c r="Y155" s="1333"/>
      <c r="Z155" s="1081"/>
      <c r="AA155" s="1081"/>
      <c r="AB155" s="1333"/>
      <c r="AC155" s="1333"/>
      <c r="AD155" s="1333"/>
      <c r="AE155" s="1333"/>
      <c r="AF155" s="1333"/>
      <c r="AG155" s="1333"/>
      <c r="AH155" s="1097"/>
      <c r="AI155" s="1333"/>
      <c r="AJ155" s="1333"/>
      <c r="AK155" s="1081"/>
    </row>
    <row r="156" spans="1:37">
      <c r="A156" s="1333"/>
      <c r="B156" s="1333"/>
      <c r="C156" s="1333"/>
      <c r="D156" s="1333"/>
      <c r="E156" s="1333"/>
      <c r="F156" s="1333"/>
      <c r="G156" s="1333"/>
      <c r="H156" s="1333"/>
      <c r="I156" s="1333"/>
      <c r="J156" s="1333"/>
      <c r="K156" s="1081"/>
      <c r="L156" s="1333"/>
      <c r="M156" s="1333"/>
      <c r="N156" s="1333"/>
      <c r="O156" s="1333"/>
      <c r="P156" s="1333"/>
      <c r="Q156" s="1333"/>
      <c r="R156" s="1333"/>
      <c r="S156" s="1331">
        <f t="shared" si="10"/>
        <v>8</v>
      </c>
      <c r="T156" s="1062" t="s">
        <v>2777</v>
      </c>
      <c r="U156" s="1058" t="s">
        <v>1287</v>
      </c>
      <c r="V156" s="1330"/>
      <c r="W156" s="1098">
        <f>AH215</f>
        <v>35375930</v>
      </c>
      <c r="X156" s="1130">
        <f ca="1">SCH_C2!H39</f>
        <v>44542262</v>
      </c>
      <c r="Y156" s="1333"/>
      <c r="Z156" s="1093"/>
      <c r="AA156" s="1081"/>
      <c r="AB156" s="1333"/>
      <c r="AC156" s="1333"/>
      <c r="AD156" s="1333"/>
      <c r="AE156" s="1333"/>
      <c r="AF156" s="1333"/>
      <c r="AG156" s="1333"/>
      <c r="AH156" s="1097"/>
      <c r="AI156" s="1333"/>
      <c r="AJ156" s="1333"/>
      <c r="AK156" s="1081"/>
    </row>
    <row r="157" spans="1:37">
      <c r="A157" s="1333"/>
      <c r="B157" s="1333"/>
      <c r="C157" s="1333"/>
      <c r="D157" s="1333"/>
      <c r="E157" s="1333"/>
      <c r="F157" s="1333"/>
      <c r="G157" s="1333"/>
      <c r="H157" s="1333"/>
      <c r="I157" s="1333"/>
      <c r="J157" s="1333"/>
      <c r="K157" s="1333"/>
      <c r="L157" s="1333"/>
      <c r="M157" s="1333"/>
      <c r="N157" s="1333"/>
      <c r="O157" s="1333"/>
      <c r="P157" s="1333"/>
      <c r="Q157" s="1333"/>
      <c r="R157" s="1333"/>
      <c r="S157" s="1331">
        <f t="shared" si="10"/>
        <v>9</v>
      </c>
      <c r="T157" s="1062" t="s">
        <v>2791</v>
      </c>
      <c r="U157" s="1058" t="s">
        <v>1069</v>
      </c>
      <c r="V157" s="1330"/>
      <c r="W157" s="1098">
        <f>AH222</f>
        <v>-87812531.015559807</v>
      </c>
      <c r="X157" s="1130">
        <v>-89617576</v>
      </c>
      <c r="Y157" s="1333"/>
      <c r="Z157" s="1093"/>
      <c r="AA157" s="1081"/>
      <c r="AB157" s="1333"/>
      <c r="AC157" s="1333"/>
      <c r="AD157" s="1333"/>
      <c r="AE157" s="1333"/>
      <c r="AF157" s="1333"/>
      <c r="AG157" s="1333"/>
      <c r="AH157" s="1097"/>
      <c r="AI157" s="1333"/>
      <c r="AJ157" s="1333"/>
      <c r="AK157" s="1081"/>
    </row>
    <row r="158" spans="1:37">
      <c r="A158" s="1333"/>
      <c r="B158" s="1333"/>
      <c r="C158" s="1333"/>
      <c r="D158" s="1333"/>
      <c r="E158" s="1333"/>
      <c r="F158" s="1333"/>
      <c r="G158" s="1333"/>
      <c r="H158" s="1333"/>
      <c r="I158" s="1333"/>
      <c r="J158" s="1333"/>
      <c r="K158" s="1333"/>
      <c r="L158" s="1333"/>
      <c r="M158" s="1333"/>
      <c r="N158" s="1333"/>
      <c r="O158" s="1333"/>
      <c r="P158" s="1333"/>
      <c r="Q158" s="1333"/>
      <c r="R158" s="1333"/>
      <c r="S158" s="1331">
        <f t="shared" si="10"/>
        <v>10</v>
      </c>
      <c r="T158" s="1062" t="s">
        <v>768</v>
      </c>
      <c r="U158" s="1058" t="s">
        <v>770</v>
      </c>
      <c r="V158" s="1330"/>
      <c r="W158" s="1509">
        <f>SUM(AH211:AH269)-AH215-AH222</f>
        <v>-50183570.720557585</v>
      </c>
      <c r="X158" s="2055">
        <v>-26140183</v>
      </c>
      <c r="Y158" s="1333"/>
      <c r="Z158" s="1093"/>
      <c r="AA158" s="1081"/>
      <c r="AB158" s="1333"/>
      <c r="AC158" s="1333"/>
      <c r="AD158" s="1333"/>
      <c r="AE158" s="1333"/>
      <c r="AF158" s="1333"/>
      <c r="AG158" s="1333"/>
      <c r="AH158" s="1097"/>
      <c r="AI158" s="1333"/>
      <c r="AJ158" s="1333"/>
      <c r="AK158" s="1081"/>
    </row>
    <row r="159" spans="1:37">
      <c r="A159" s="1333"/>
      <c r="B159" s="1333"/>
      <c r="C159" s="1333"/>
      <c r="D159" s="1333"/>
      <c r="E159" s="1333"/>
      <c r="F159" s="1333"/>
      <c r="G159" s="1333"/>
      <c r="H159" s="1333"/>
      <c r="I159" s="1333"/>
      <c r="J159" s="1333"/>
      <c r="K159" s="1333"/>
      <c r="L159" s="1333"/>
      <c r="M159" s="1333"/>
      <c r="N159" s="1333"/>
      <c r="O159" s="1333"/>
      <c r="P159" s="1333"/>
      <c r="Q159" s="1333"/>
      <c r="R159" s="1333"/>
      <c r="S159" s="1331">
        <f t="shared" si="10"/>
        <v>11</v>
      </c>
      <c r="T159" s="1330"/>
      <c r="U159" s="1330" t="s">
        <v>2887</v>
      </c>
      <c r="V159" s="1330"/>
      <c r="W159" s="1334">
        <f>SUM(W156:W158)</f>
        <v>-102620171.73611739</v>
      </c>
      <c r="X159" s="1334">
        <f ca="1">SUM(X156:X158)</f>
        <v>-71215497</v>
      </c>
      <c r="Y159" s="1333"/>
      <c r="Z159" s="1093"/>
      <c r="AA159" s="1081"/>
      <c r="AB159" s="1333"/>
      <c r="AC159" s="1333"/>
      <c r="AD159" s="1333"/>
      <c r="AE159" s="1333"/>
      <c r="AF159" s="1333"/>
      <c r="AG159" s="1333"/>
      <c r="AH159" s="1097"/>
      <c r="AI159" s="1333"/>
      <c r="AJ159" s="1333"/>
      <c r="AK159" s="1081"/>
    </row>
    <row r="160" spans="1:37">
      <c r="A160" s="1333"/>
      <c r="B160" s="1333"/>
      <c r="C160" s="1333"/>
      <c r="D160" s="1333"/>
      <c r="E160" s="1333"/>
      <c r="F160" s="1333"/>
      <c r="G160" s="1333"/>
      <c r="H160" s="1333"/>
      <c r="I160" s="1333"/>
      <c r="J160" s="1333"/>
      <c r="K160" s="1333"/>
      <c r="L160" s="1333"/>
      <c r="M160" s="1333"/>
      <c r="N160" s="1333"/>
      <c r="O160" s="1333"/>
      <c r="P160" s="1333"/>
      <c r="Q160" s="1333"/>
      <c r="R160" s="1333"/>
      <c r="S160" s="1331">
        <f t="shared" si="10"/>
        <v>12</v>
      </c>
      <c r="T160" s="1330"/>
      <c r="U160" s="1330"/>
      <c r="V160" s="1330"/>
      <c r="W160" s="1334"/>
      <c r="X160" s="1334"/>
      <c r="Y160" s="1333"/>
      <c r="Z160" s="1081"/>
      <c r="AA160" s="1081"/>
      <c r="AB160" s="1333"/>
      <c r="AC160" s="1333"/>
      <c r="AD160" s="1333"/>
      <c r="AE160" s="1333"/>
      <c r="AF160" s="1333"/>
      <c r="AG160" s="1333"/>
      <c r="AH160" s="1097"/>
      <c r="AI160" s="1333"/>
      <c r="AJ160" s="1333"/>
      <c r="AK160" s="1081"/>
    </row>
    <row r="161" spans="1:37">
      <c r="A161" s="1333"/>
      <c r="B161" s="1333"/>
      <c r="C161" s="1333"/>
      <c r="D161" s="1333"/>
      <c r="E161" s="1333"/>
      <c r="F161" s="1333"/>
      <c r="G161" s="1333"/>
      <c r="H161" s="1333"/>
      <c r="I161" s="1333"/>
      <c r="J161" s="1333"/>
      <c r="K161" s="1333"/>
      <c r="L161" s="1333"/>
      <c r="M161" s="1333"/>
      <c r="N161" s="1333"/>
      <c r="O161" s="1333"/>
      <c r="P161" s="1333"/>
      <c r="Q161" s="1333"/>
      <c r="R161" s="1333"/>
      <c r="S161" s="1331">
        <f t="shared" si="10"/>
        <v>13</v>
      </c>
      <c r="T161" s="1330"/>
      <c r="U161" s="1058" t="s">
        <v>1105</v>
      </c>
      <c r="V161" s="1330"/>
      <c r="W161" s="1053">
        <f>W151+W153+W159</f>
        <v>-57029546.136117391</v>
      </c>
      <c r="X161" s="1053">
        <f ca="1">X151+X153+X159</f>
        <v>-60921036</v>
      </c>
      <c r="Y161" s="1333"/>
      <c r="Z161" s="1081"/>
      <c r="AA161" s="1081"/>
      <c r="AB161" s="1333"/>
      <c r="AC161" s="1333"/>
      <c r="AD161" s="1333"/>
      <c r="AE161" s="1333"/>
      <c r="AF161" s="1333"/>
      <c r="AG161" s="1333"/>
      <c r="AH161" s="1097"/>
      <c r="AI161" s="1333"/>
      <c r="AJ161" s="1333"/>
      <c r="AK161" s="1081"/>
    </row>
    <row r="162" spans="1:37">
      <c r="A162" s="1333"/>
      <c r="B162" s="1333"/>
      <c r="C162" s="1333"/>
      <c r="D162" s="1333"/>
      <c r="E162" s="1333"/>
      <c r="F162" s="1333"/>
      <c r="G162" s="1333"/>
      <c r="H162" s="1333"/>
      <c r="I162" s="1333"/>
      <c r="J162" s="1333"/>
      <c r="K162" s="1333"/>
      <c r="L162" s="1333"/>
      <c r="M162" s="1333"/>
      <c r="N162" s="1333"/>
      <c r="O162" s="1333"/>
      <c r="P162" s="1333"/>
      <c r="Q162" s="1333"/>
      <c r="R162" s="1333"/>
      <c r="S162" s="1331">
        <f t="shared" si="10"/>
        <v>14</v>
      </c>
      <c r="T162" s="1330"/>
      <c r="U162" s="1330"/>
      <c r="V162" s="1330"/>
      <c r="W162" s="1098"/>
      <c r="X162" s="1098"/>
      <c r="Y162" s="1333"/>
      <c r="Z162" s="1083"/>
      <c r="AA162" s="1081"/>
      <c r="AB162" s="1333"/>
      <c r="AC162" s="1333"/>
      <c r="AD162" s="1333"/>
      <c r="AE162" s="1333"/>
      <c r="AF162" s="1333"/>
      <c r="AG162" s="1333"/>
      <c r="AH162" s="1097"/>
      <c r="AI162" s="1333"/>
      <c r="AJ162" s="1333"/>
      <c r="AK162" s="1081"/>
    </row>
    <row r="163" spans="1:37">
      <c r="A163" s="1333"/>
      <c r="B163" s="1333"/>
      <c r="C163" s="1333"/>
      <c r="D163" s="1333"/>
      <c r="E163" s="1333"/>
      <c r="F163" s="1333"/>
      <c r="G163" s="1333"/>
      <c r="H163" s="1333"/>
      <c r="I163" s="1333"/>
      <c r="J163" s="1333"/>
      <c r="K163" s="1333"/>
      <c r="L163" s="1333"/>
      <c r="M163" s="1333"/>
      <c r="N163" s="1333"/>
      <c r="O163" s="1333"/>
      <c r="P163" s="1333"/>
      <c r="Q163" s="1333"/>
      <c r="R163" s="1333"/>
      <c r="S163" s="1331">
        <f t="shared" si="10"/>
        <v>15</v>
      </c>
      <c r="T163" s="1330"/>
      <c r="U163" s="1058" t="s">
        <v>1106</v>
      </c>
      <c r="V163" s="1330"/>
      <c r="W163" s="1131"/>
      <c r="X163" s="1130"/>
      <c r="Y163" s="1333"/>
      <c r="Z163" s="1083"/>
      <c r="AA163" s="1081"/>
      <c r="AB163" s="1333"/>
      <c r="AC163" s="1333"/>
      <c r="AD163" s="1333"/>
      <c r="AE163" s="1333"/>
      <c r="AF163" s="1333"/>
      <c r="AG163" s="1333"/>
      <c r="AH163" s="1097"/>
      <c r="AI163" s="1333"/>
      <c r="AJ163" s="1333"/>
      <c r="AK163" s="1081"/>
    </row>
    <row r="164" spans="1:37">
      <c r="A164" s="1333"/>
      <c r="B164" s="1333"/>
      <c r="C164" s="1333"/>
      <c r="D164" s="1333"/>
      <c r="E164" s="1333"/>
      <c r="F164" s="1333"/>
      <c r="G164" s="1333"/>
      <c r="H164" s="1333"/>
      <c r="I164" s="1333"/>
      <c r="J164" s="1333"/>
      <c r="K164" s="1333"/>
      <c r="L164" s="1333"/>
      <c r="M164" s="1333"/>
      <c r="N164" s="1333"/>
      <c r="O164" s="1333"/>
      <c r="P164" s="1333"/>
      <c r="Q164" s="1333"/>
      <c r="R164" s="1333"/>
      <c r="S164" s="1331">
        <f t="shared" si="10"/>
        <v>16</v>
      </c>
      <c r="T164" s="1330"/>
      <c r="U164" s="1058" t="s">
        <v>2391</v>
      </c>
      <c r="V164" s="1330"/>
      <c r="W164" s="1509">
        <f>SUM(AH276:AH277)</f>
        <v>45151759.087842837</v>
      </c>
      <c r="X164" s="2055">
        <v>55679195.225511841</v>
      </c>
      <c r="Y164" s="1333"/>
      <c r="Z164" s="1083"/>
      <c r="AA164" s="1081"/>
      <c r="AB164" s="1333"/>
      <c r="AC164" s="1333"/>
      <c r="AD164" s="1333"/>
      <c r="AE164" s="1333"/>
      <c r="AF164" s="1333"/>
      <c r="AG164" s="1333"/>
      <c r="AH164" s="1097"/>
      <c r="AI164" s="1333"/>
      <c r="AJ164" s="1333"/>
      <c r="AK164" s="1081"/>
    </row>
    <row r="165" spans="1:37">
      <c r="A165" s="1333"/>
      <c r="B165" s="1333"/>
      <c r="C165" s="1333"/>
      <c r="D165" s="1333"/>
      <c r="E165" s="1333"/>
      <c r="F165" s="1333"/>
      <c r="G165" s="1333"/>
      <c r="H165" s="1333"/>
      <c r="I165" s="1333"/>
      <c r="J165" s="1333"/>
      <c r="K165" s="1333"/>
      <c r="L165" s="1333"/>
      <c r="M165" s="1333"/>
      <c r="N165" s="1333"/>
      <c r="O165" s="1333"/>
      <c r="P165" s="1333"/>
      <c r="Q165" s="1333"/>
      <c r="R165" s="1333"/>
      <c r="S165" s="1331">
        <f t="shared" si="10"/>
        <v>17</v>
      </c>
      <c r="T165" s="1330"/>
      <c r="U165" s="1330"/>
      <c r="V165" s="1330"/>
      <c r="W165" s="1334"/>
      <c r="X165" s="1334"/>
      <c r="Y165" s="1333"/>
      <c r="Z165" s="1083"/>
      <c r="AA165" s="1081"/>
      <c r="AB165" s="1333"/>
      <c r="AC165" s="1333"/>
      <c r="AD165" s="1333"/>
      <c r="AE165" s="1333"/>
      <c r="AF165" s="1333"/>
      <c r="AG165" s="1333"/>
      <c r="AH165" s="1097"/>
      <c r="AI165" s="1333"/>
      <c r="AJ165" s="1333"/>
      <c r="AK165" s="1081"/>
    </row>
    <row r="166" spans="1:37">
      <c r="A166" s="1333"/>
      <c r="B166" s="1333"/>
      <c r="C166" s="1333"/>
      <c r="D166" s="1333"/>
      <c r="E166" s="1333"/>
      <c r="F166" s="1333"/>
      <c r="G166" s="1333"/>
      <c r="H166" s="1333"/>
      <c r="I166" s="1333"/>
      <c r="J166" s="1333"/>
      <c r="K166" s="1333"/>
      <c r="L166" s="1333"/>
      <c r="M166" s="1333"/>
      <c r="N166" s="1333"/>
      <c r="O166" s="1333"/>
      <c r="P166" s="1333"/>
      <c r="Q166" s="1333"/>
      <c r="R166" s="1333"/>
      <c r="S166" s="1331">
        <f t="shared" si="10"/>
        <v>18</v>
      </c>
      <c r="T166" s="1330"/>
      <c r="U166" s="1058" t="s">
        <v>846</v>
      </c>
      <c r="V166" s="1330"/>
      <c r="W166" s="1053">
        <f>W161+SUM(W164:W164)</f>
        <v>-11877787.048274554</v>
      </c>
      <c r="X166" s="1053">
        <f ca="1">X161+SUM(X164:X164)</f>
        <v>-5241840.7744881585</v>
      </c>
      <c r="Y166" s="1333"/>
      <c r="Z166" s="1544"/>
      <c r="AA166" s="1081"/>
      <c r="AB166" s="1333"/>
      <c r="AC166" s="1333"/>
      <c r="AD166" s="1333"/>
      <c r="AE166" s="1333"/>
      <c r="AF166" s="1333"/>
      <c r="AG166" s="1333"/>
      <c r="AH166" s="1097"/>
      <c r="AI166" s="1333"/>
      <c r="AJ166" s="1333"/>
      <c r="AK166" s="1081"/>
    </row>
    <row r="167" spans="1:37">
      <c r="A167" s="1333"/>
      <c r="B167" s="1333"/>
      <c r="C167" s="1333"/>
      <c r="D167" s="1333"/>
      <c r="E167" s="1333"/>
      <c r="F167" s="1333"/>
      <c r="G167" s="1333"/>
      <c r="H167" s="1333"/>
      <c r="I167" s="1333"/>
      <c r="J167" s="1333"/>
      <c r="K167" s="1333"/>
      <c r="L167" s="1333"/>
      <c r="M167" s="1333"/>
      <c r="N167" s="1333"/>
      <c r="O167" s="1333"/>
      <c r="P167" s="1333"/>
      <c r="Q167" s="1333"/>
      <c r="R167" s="1333"/>
      <c r="S167" s="1331">
        <f t="shared" si="10"/>
        <v>19</v>
      </c>
      <c r="T167" s="1330"/>
      <c r="U167" s="1058"/>
      <c r="V167" s="1330"/>
      <c r="W167" s="1053"/>
      <c r="X167" s="1053"/>
      <c r="Y167" s="1333"/>
      <c r="Z167" s="1544"/>
      <c r="AA167" s="1081"/>
      <c r="AB167" s="1333"/>
      <c r="AC167" s="1333"/>
      <c r="AD167" s="1333"/>
      <c r="AE167" s="1333"/>
      <c r="AF167" s="1333"/>
      <c r="AG167" s="1333"/>
      <c r="AH167" s="1097"/>
      <c r="AI167" s="1333"/>
      <c r="AJ167" s="1333"/>
      <c r="AK167" s="1081"/>
    </row>
    <row r="168" spans="1:37">
      <c r="A168" s="1333"/>
      <c r="B168" s="1333"/>
      <c r="C168" s="1333"/>
      <c r="D168" s="1333"/>
      <c r="E168" s="1333"/>
      <c r="F168" s="1333"/>
      <c r="G168" s="1333"/>
      <c r="H168" s="1333"/>
      <c r="I168" s="1333"/>
      <c r="J168" s="1333"/>
      <c r="K168" s="1333"/>
      <c r="L168" s="1333"/>
      <c r="M168" s="1333"/>
      <c r="N168" s="1333"/>
      <c r="O168" s="1333"/>
      <c r="P168" s="1333"/>
      <c r="Q168" s="1333"/>
      <c r="R168" s="1333"/>
      <c r="S168" s="1331">
        <f t="shared" si="10"/>
        <v>20</v>
      </c>
      <c r="T168" s="1330"/>
      <c r="U168" s="1123" t="s">
        <v>2306</v>
      </c>
      <c r="V168" s="1330"/>
      <c r="W168" s="1551">
        <f>APPORT</f>
        <v>0.89086699999999996</v>
      </c>
      <c r="X168" s="1551">
        <f>APPORT</f>
        <v>0.89086699999999996</v>
      </c>
      <c r="Y168" s="1333"/>
      <c r="Z168" s="1544"/>
      <c r="AA168" s="1081"/>
      <c r="AB168" s="1333"/>
      <c r="AC168" s="1333"/>
      <c r="AD168" s="1333"/>
      <c r="AE168" s="1333"/>
      <c r="AF168" s="1333"/>
      <c r="AG168" s="1333"/>
      <c r="AH168" s="1097"/>
      <c r="AI168" s="1333"/>
      <c r="AJ168" s="1333"/>
      <c r="AK168" s="1081"/>
    </row>
    <row r="169" spans="1:37">
      <c r="A169" s="1333"/>
      <c r="B169" s="1333"/>
      <c r="C169" s="1333"/>
      <c r="D169" s="1333"/>
      <c r="E169" s="1333"/>
      <c r="F169" s="1333"/>
      <c r="G169" s="1333"/>
      <c r="H169" s="1333"/>
      <c r="I169" s="1333"/>
      <c r="J169" s="1333"/>
      <c r="K169" s="1333"/>
      <c r="L169" s="1333"/>
      <c r="M169" s="1333"/>
      <c r="N169" s="1333"/>
      <c r="O169" s="1333"/>
      <c r="P169" s="1333"/>
      <c r="Q169" s="1333"/>
      <c r="R169" s="1333"/>
      <c r="S169" s="1331">
        <f t="shared" si="10"/>
        <v>21</v>
      </c>
      <c r="T169" s="1330"/>
      <c r="U169" s="1058"/>
      <c r="V169" s="1330"/>
      <c r="W169" s="1053"/>
      <c r="X169" s="1053"/>
      <c r="Y169" s="1333"/>
      <c r="Z169" s="1544"/>
      <c r="AA169" s="1081"/>
      <c r="AB169" s="1333"/>
      <c r="AC169" s="1333"/>
      <c r="AD169" s="1333"/>
      <c r="AE169" s="1333"/>
      <c r="AF169" s="1333"/>
      <c r="AG169" s="1333"/>
      <c r="AH169" s="1097"/>
      <c r="AI169" s="1333"/>
      <c r="AJ169" s="1333"/>
      <c r="AK169" s="1081"/>
    </row>
    <row r="170" spans="1:37" ht="13.5" thickBot="1">
      <c r="A170" s="1333"/>
      <c r="B170" s="1333"/>
      <c r="C170" s="1333"/>
      <c r="D170" s="1333"/>
      <c r="E170" s="1333"/>
      <c r="F170" s="1333"/>
      <c r="G170" s="1333"/>
      <c r="H170" s="1333"/>
      <c r="I170" s="1333"/>
      <c r="J170" s="1333"/>
      <c r="K170" s="1333"/>
      <c r="L170" s="1333"/>
      <c r="M170" s="1333"/>
      <c r="N170" s="1333"/>
      <c r="O170" s="1333"/>
      <c r="P170" s="1333"/>
      <c r="Q170" s="1333"/>
      <c r="R170" s="1333"/>
      <c r="S170" s="1331">
        <f t="shared" si="10"/>
        <v>22</v>
      </c>
      <c r="T170" s="1330"/>
      <c r="U170" s="1122" t="s">
        <v>847</v>
      </c>
      <c r="V170" s="1330"/>
      <c r="W170" s="1132">
        <f>AH283</f>
        <v>-10581528.51</v>
      </c>
      <c r="X170" s="1132">
        <f ca="1">ROUND(X166*X168,0)</f>
        <v>-4669783</v>
      </c>
      <c r="Y170" s="1333"/>
      <c r="AA170" s="1081"/>
      <c r="AB170" s="1545"/>
      <c r="AC170" s="1333"/>
      <c r="AD170" s="1333"/>
      <c r="AE170" s="1333"/>
      <c r="AF170" s="1333"/>
      <c r="AG170" s="1333"/>
      <c r="AH170" s="1097"/>
      <c r="AI170" s="1333"/>
      <c r="AJ170" s="1333"/>
      <c r="AK170" s="1081"/>
    </row>
    <row r="171" spans="1:37" ht="13.5" thickTop="1">
      <c r="A171" s="1333"/>
      <c r="B171" s="1333"/>
      <c r="C171" s="1333"/>
      <c r="D171" s="1333"/>
      <c r="E171" s="1333"/>
      <c r="F171" s="1333"/>
      <c r="G171" s="1333"/>
      <c r="H171" s="1333"/>
      <c r="I171" s="1333"/>
      <c r="J171" s="1333"/>
      <c r="K171" s="1333"/>
      <c r="L171" s="1333"/>
      <c r="M171" s="1333"/>
      <c r="N171" s="1333"/>
      <c r="O171" s="1333"/>
      <c r="P171" s="1333"/>
      <c r="Q171" s="1333"/>
      <c r="R171" s="1333"/>
      <c r="S171" s="1331">
        <f t="shared" si="10"/>
        <v>23</v>
      </c>
      <c r="T171" s="1330"/>
      <c r="U171" s="1330"/>
      <c r="V171" s="1330"/>
      <c r="W171" s="1098"/>
      <c r="X171" s="1098"/>
      <c r="Y171" s="1333"/>
      <c r="Z171" s="1108"/>
      <c r="AA171" s="1081"/>
      <c r="AB171" s="1333"/>
      <c r="AC171" s="1333"/>
      <c r="AD171" s="1333"/>
      <c r="AE171" s="1333"/>
      <c r="AF171" s="1333"/>
      <c r="AG171" s="1333"/>
      <c r="AH171" s="1097"/>
      <c r="AI171" s="1333"/>
      <c r="AJ171" s="1333"/>
      <c r="AK171" s="1081"/>
    </row>
    <row r="172" spans="1:37">
      <c r="A172" s="1333"/>
      <c r="B172" s="1333"/>
      <c r="C172" s="1333"/>
      <c r="D172" s="1333"/>
      <c r="E172" s="1333"/>
      <c r="F172" s="1333"/>
      <c r="G172" s="1333"/>
      <c r="H172" s="1333"/>
      <c r="I172" s="1333"/>
      <c r="J172" s="1333"/>
      <c r="K172" s="1333"/>
      <c r="L172" s="1333"/>
      <c r="M172" s="1333"/>
      <c r="N172" s="1333"/>
      <c r="O172" s="1333"/>
      <c r="P172" s="1333"/>
      <c r="Q172" s="1333"/>
      <c r="R172" s="1333"/>
      <c r="S172" s="1331">
        <f t="shared" si="10"/>
        <v>24</v>
      </c>
      <c r="T172" s="1330"/>
      <c r="U172" s="1072" t="str">
        <f>"Kentucky Income Tax Expense @ "&amp;TEXT(SIT,"##.0%")</f>
        <v>Kentucky Income Tax Expense @ 6.0%</v>
      </c>
      <c r="V172" s="1330"/>
      <c r="W172" s="1053">
        <f>AH285</f>
        <v>-634892</v>
      </c>
      <c r="X172" s="1053">
        <f ca="1">ROUND(X170*SIT,0)</f>
        <v>-280187</v>
      </c>
      <c r="Y172" s="1333"/>
      <c r="Z172" s="1108"/>
      <c r="AA172" s="1081"/>
      <c r="AB172" s="1333"/>
      <c r="AC172" s="1333"/>
      <c r="AD172" s="1333"/>
      <c r="AE172" s="1333"/>
      <c r="AF172" s="1333"/>
      <c r="AG172" s="1333"/>
      <c r="AH172" s="1097"/>
      <c r="AI172" s="1333"/>
      <c r="AJ172" s="1333"/>
      <c r="AK172" s="1081"/>
    </row>
    <row r="173" spans="1:37">
      <c r="A173" s="1333"/>
      <c r="B173" s="1333"/>
      <c r="C173" s="1333"/>
      <c r="D173" s="1333"/>
      <c r="E173" s="1333"/>
      <c r="F173" s="1333"/>
      <c r="G173" s="1333"/>
      <c r="H173" s="1333"/>
      <c r="I173" s="1333"/>
      <c r="J173" s="1333"/>
      <c r="K173" s="1333"/>
      <c r="L173" s="1333"/>
      <c r="M173" s="1333"/>
      <c r="N173" s="1333"/>
      <c r="O173" s="1333"/>
      <c r="P173" s="1333"/>
      <c r="Q173" s="1333"/>
      <c r="R173" s="1333"/>
      <c r="S173" s="1331">
        <f t="shared" si="10"/>
        <v>25</v>
      </c>
      <c r="T173" s="1330"/>
      <c r="U173" s="1058" t="s">
        <v>1413</v>
      </c>
      <c r="V173" s="1330"/>
      <c r="W173" s="1133">
        <f>AH286</f>
        <v>0</v>
      </c>
      <c r="X173" s="2056">
        <v>0</v>
      </c>
      <c r="Y173" s="1333"/>
      <c r="Z173" s="1108"/>
      <c r="AA173" s="1081"/>
      <c r="AB173" s="1333"/>
      <c r="AC173" s="1333"/>
      <c r="AD173" s="1333"/>
      <c r="AE173" s="1333"/>
      <c r="AF173" s="1333"/>
      <c r="AG173" s="1333"/>
      <c r="AH173" s="1097"/>
      <c r="AI173" s="1333"/>
      <c r="AJ173" s="1333"/>
      <c r="AK173" s="1081"/>
    </row>
    <row r="174" spans="1:37">
      <c r="A174" s="1333"/>
      <c r="B174" s="1333"/>
      <c r="C174" s="1333"/>
      <c r="D174" s="1333"/>
      <c r="E174" s="1333"/>
      <c r="F174" s="1333"/>
      <c r="G174" s="1333"/>
      <c r="H174" s="1333"/>
      <c r="I174" s="1333"/>
      <c r="J174" s="1333"/>
      <c r="K174" s="1333"/>
      <c r="L174" s="1333"/>
      <c r="M174" s="1333"/>
      <c r="N174" s="1333"/>
      <c r="O174" s="1333"/>
      <c r="P174" s="1333"/>
      <c r="Q174" s="1333"/>
      <c r="R174" s="1333"/>
      <c r="S174" s="1331">
        <f t="shared" si="10"/>
        <v>26</v>
      </c>
      <c r="T174" s="1330"/>
      <c r="U174" s="1330"/>
      <c r="V174" s="1330"/>
      <c r="W174" s="1334"/>
      <c r="X174" s="1334"/>
      <c r="Y174" s="1333"/>
      <c r="Z174" s="1080"/>
      <c r="AA174" s="1081"/>
      <c r="AB174" s="1333"/>
      <c r="AC174" s="1333"/>
      <c r="AD174" s="1333"/>
      <c r="AE174" s="1333"/>
      <c r="AF174" s="1333"/>
      <c r="AG174" s="1333"/>
      <c r="AH174" s="1097"/>
      <c r="AI174" s="1333"/>
      <c r="AJ174" s="1333"/>
      <c r="AK174" s="1081"/>
    </row>
    <row r="175" spans="1:37" ht="13.5" thickBot="1">
      <c r="A175" s="1333"/>
      <c r="B175" s="1333"/>
      <c r="C175" s="1333"/>
      <c r="D175" s="1333"/>
      <c r="E175" s="1333"/>
      <c r="F175" s="1333"/>
      <c r="G175" s="1333"/>
      <c r="H175" s="1333"/>
      <c r="I175" s="1333"/>
      <c r="J175" s="1333"/>
      <c r="K175" s="1333"/>
      <c r="L175" s="1333"/>
      <c r="M175" s="1333"/>
      <c r="N175" s="1333"/>
      <c r="O175" s="1333"/>
      <c r="P175" s="1333"/>
      <c r="Q175" s="1333"/>
      <c r="R175" s="1333"/>
      <c r="S175" s="1331">
        <f t="shared" si="10"/>
        <v>27</v>
      </c>
      <c r="T175" s="1330"/>
      <c r="U175" s="1058" t="s">
        <v>946</v>
      </c>
      <c r="V175" s="1330"/>
      <c r="W175" s="1132">
        <f>SUM(W172:W174)</f>
        <v>-634892</v>
      </c>
      <c r="X175" s="1132">
        <f ca="1">SUM(X172:X174)</f>
        <v>-280187</v>
      </c>
      <c r="Y175" s="1333"/>
      <c r="Z175" s="1081"/>
      <c r="AA175" s="1081"/>
      <c r="AB175" s="1333"/>
      <c r="AC175" s="1333"/>
      <c r="AD175" s="1333"/>
      <c r="AE175" s="1333"/>
      <c r="AF175" s="1333"/>
      <c r="AG175" s="1333"/>
      <c r="AH175" s="1097"/>
      <c r="AI175" s="1333"/>
      <c r="AJ175" s="1333"/>
      <c r="AK175" s="1081"/>
    </row>
    <row r="176" spans="1:37" ht="13.5" thickTop="1">
      <c r="A176" s="1333"/>
      <c r="B176" s="1333"/>
      <c r="C176" s="1333"/>
      <c r="D176" s="1333"/>
      <c r="E176" s="1333"/>
      <c r="F176" s="1333"/>
      <c r="G176" s="1333"/>
      <c r="H176" s="1333"/>
      <c r="I176" s="1333"/>
      <c r="J176" s="1333"/>
      <c r="K176" s="1333"/>
      <c r="L176" s="1333"/>
      <c r="M176" s="1333"/>
      <c r="N176" s="1333"/>
      <c r="O176" s="1333"/>
      <c r="P176" s="1333"/>
      <c r="Q176" s="1333"/>
      <c r="R176" s="1333"/>
      <c r="S176" s="1331">
        <f t="shared" si="10"/>
        <v>28</v>
      </c>
      <c r="T176" s="1330"/>
      <c r="U176" s="1330"/>
      <c r="V176" s="1330"/>
      <c r="W176" s="1098" t="str">
        <f>IF(W175&lt;&gt;'SCH_C2.1 - Base Period'!G349,"CHECK TAXES","")</f>
        <v/>
      </c>
      <c r="X176" s="1098" t="str">
        <f ca="1">IF(X175&lt;&gt;'SCH_C2.1 - Forecasted Period'!J355,"CHECK TAXES","")</f>
        <v/>
      </c>
      <c r="Y176" s="1333"/>
      <c r="Z176" s="1081"/>
      <c r="AA176" s="1333"/>
      <c r="AB176" s="1098"/>
      <c r="AC176" s="1333"/>
      <c r="AD176" s="1333"/>
      <c r="AE176" s="1333"/>
      <c r="AF176" s="1333"/>
      <c r="AG176" s="1333"/>
      <c r="AH176" s="1097"/>
      <c r="AI176" s="1333"/>
      <c r="AJ176" s="1333"/>
      <c r="AK176" s="1081"/>
    </row>
    <row r="177" spans="1:37">
      <c r="A177" s="1333"/>
      <c r="B177" s="1333"/>
      <c r="C177" s="1333"/>
      <c r="D177" s="1333"/>
      <c r="E177" s="1333"/>
      <c r="F177" s="1333"/>
      <c r="G177" s="1333"/>
      <c r="H177" s="1333"/>
      <c r="I177" s="1333"/>
      <c r="J177" s="1333"/>
      <c r="K177" s="1333"/>
      <c r="L177" s="1333"/>
      <c r="M177" s="1333"/>
      <c r="N177" s="1333"/>
      <c r="O177" s="1333"/>
      <c r="P177" s="1333"/>
      <c r="Q177" s="1333"/>
      <c r="R177" s="1333"/>
      <c r="S177" s="1331">
        <f t="shared" si="10"/>
        <v>29</v>
      </c>
      <c r="T177" s="1330"/>
      <c r="U177" s="1058" t="s">
        <v>1371</v>
      </c>
      <c r="V177" s="1330"/>
      <c r="W177" s="1098">
        <f>W161</f>
        <v>-57029546.136117391</v>
      </c>
      <c r="X177" s="1098">
        <f ca="1">X161</f>
        <v>-60921036</v>
      </c>
      <c r="Y177" s="1333"/>
      <c r="Z177" s="1080"/>
      <c r="AA177" s="1081"/>
      <c r="AB177" s="1333"/>
      <c r="AC177" s="1333"/>
      <c r="AD177" s="1333"/>
      <c r="AE177" s="1333"/>
      <c r="AF177" s="1333"/>
      <c r="AG177" s="1333"/>
      <c r="AH177" s="1097"/>
      <c r="AI177" s="1333"/>
      <c r="AJ177" s="1333"/>
      <c r="AK177" s="1081"/>
    </row>
    <row r="178" spans="1:37">
      <c r="A178" s="1333"/>
      <c r="B178" s="1333"/>
      <c r="C178" s="1333"/>
      <c r="D178" s="1333"/>
      <c r="E178" s="1333"/>
      <c r="F178" s="1333"/>
      <c r="G178" s="1333"/>
      <c r="H178" s="1333"/>
      <c r="I178" s="1333"/>
      <c r="J178" s="1333"/>
      <c r="K178" s="1333"/>
      <c r="L178" s="1333"/>
      <c r="M178" s="1333"/>
      <c r="N178" s="1333"/>
      <c r="O178" s="1333"/>
      <c r="P178" s="1333"/>
      <c r="Q178" s="1333"/>
      <c r="R178" s="1333"/>
      <c r="S178" s="1331">
        <f t="shared" si="10"/>
        <v>30</v>
      </c>
      <c r="T178" s="1330"/>
      <c r="U178" s="1058" t="s">
        <v>1756</v>
      </c>
      <c r="V178" s="1330"/>
      <c r="W178" s="1053">
        <f>-W172</f>
        <v>634892</v>
      </c>
      <c r="X178" s="1053">
        <f ca="1">-X175</f>
        <v>280187</v>
      </c>
      <c r="Y178" s="1333"/>
      <c r="Z178" s="1080"/>
      <c r="AA178" s="1081"/>
      <c r="AB178" s="1333"/>
      <c r="AC178" s="1333"/>
      <c r="AD178" s="1333"/>
      <c r="AE178" s="1333"/>
      <c r="AF178" s="1333"/>
      <c r="AG178" s="1333"/>
      <c r="AH178" s="1097"/>
      <c r="AI178" s="1333"/>
      <c r="AJ178" s="1333"/>
      <c r="AK178" s="1081"/>
    </row>
    <row r="179" spans="1:37">
      <c r="A179" s="1333"/>
      <c r="B179" s="1333"/>
      <c r="C179" s="1333"/>
      <c r="D179" s="1333"/>
      <c r="E179" s="1333"/>
      <c r="F179" s="1333"/>
      <c r="G179" s="1333"/>
      <c r="H179" s="1333"/>
      <c r="I179" s="1333"/>
      <c r="J179" s="1333"/>
      <c r="K179" s="1333"/>
      <c r="L179" s="1333"/>
      <c r="M179" s="1333"/>
      <c r="N179" s="1333"/>
      <c r="O179" s="1333"/>
      <c r="P179" s="1333"/>
      <c r="Q179" s="1333"/>
      <c r="R179" s="1333"/>
      <c r="S179" s="1331">
        <f t="shared" si="10"/>
        <v>31</v>
      </c>
      <c r="T179" s="1330"/>
      <c r="U179" s="1058" t="s">
        <v>1415</v>
      </c>
      <c r="V179" s="1330"/>
      <c r="W179" s="1133">
        <f>-W173</f>
        <v>0</v>
      </c>
      <c r="X179" s="1510">
        <v>0</v>
      </c>
      <c r="Y179" s="1333"/>
      <c r="Z179" s="1080"/>
      <c r="AA179" s="1081"/>
      <c r="AB179" s="1333"/>
      <c r="AC179" s="1333"/>
      <c r="AD179" s="1333"/>
      <c r="AE179" s="1333"/>
      <c r="AF179" s="1333"/>
      <c r="AG179" s="1333"/>
      <c r="AH179" s="1097"/>
      <c r="AI179" s="1333"/>
      <c r="AJ179" s="1333"/>
      <c r="AK179" s="1081"/>
    </row>
    <row r="180" spans="1:37" ht="13.5" thickBot="1">
      <c r="A180" s="1333"/>
      <c r="B180" s="1333"/>
      <c r="C180" s="1333"/>
      <c r="D180" s="1333"/>
      <c r="E180" s="1333"/>
      <c r="F180" s="1333"/>
      <c r="G180" s="1333"/>
      <c r="H180" s="1333"/>
      <c r="I180" s="1333"/>
      <c r="J180" s="1333"/>
      <c r="K180" s="1333"/>
      <c r="L180" s="1333"/>
      <c r="M180" s="1333"/>
      <c r="N180" s="1333"/>
      <c r="O180" s="1333"/>
      <c r="P180" s="1333"/>
      <c r="Q180" s="1333"/>
      <c r="R180" s="1333"/>
      <c r="S180" s="1331">
        <f t="shared" si="10"/>
        <v>32</v>
      </c>
      <c r="T180" s="1330"/>
      <c r="U180" s="1058" t="s">
        <v>1563</v>
      </c>
      <c r="V180" s="1330"/>
      <c r="W180" s="1132">
        <f>W161+W178+W179</f>
        <v>-56394654.136117391</v>
      </c>
      <c r="X180" s="1132">
        <f ca="1">X161+X178+X179</f>
        <v>-60640849</v>
      </c>
      <c r="Y180" s="1333"/>
      <c r="Z180" s="1081"/>
      <c r="AA180" s="1081"/>
      <c r="AB180" s="1333"/>
      <c r="AC180" s="1333"/>
      <c r="AD180" s="1333"/>
      <c r="AE180" s="1333"/>
      <c r="AF180" s="1333"/>
      <c r="AG180" s="1333"/>
      <c r="AH180" s="1097"/>
      <c r="AI180" s="1333"/>
      <c r="AJ180" s="1333"/>
      <c r="AK180" s="1081"/>
    </row>
    <row r="181" spans="1:37" ht="13.5" thickTop="1">
      <c r="A181" s="1333"/>
      <c r="B181" s="1333"/>
      <c r="C181" s="1333"/>
      <c r="D181" s="1333"/>
      <c r="E181" s="1333"/>
      <c r="F181" s="1333"/>
      <c r="G181" s="1333"/>
      <c r="H181" s="1333"/>
      <c r="I181" s="1333"/>
      <c r="J181" s="1333"/>
      <c r="K181" s="1333"/>
      <c r="L181" s="1333"/>
      <c r="M181" s="1333"/>
      <c r="N181" s="1333"/>
      <c r="O181" s="1333"/>
      <c r="P181" s="1333"/>
      <c r="Q181" s="1333"/>
      <c r="R181" s="1333"/>
      <c r="S181" s="1331">
        <f t="shared" si="10"/>
        <v>33</v>
      </c>
      <c r="T181" s="1330"/>
      <c r="U181" s="1330"/>
      <c r="V181" s="1330"/>
      <c r="W181" s="1098"/>
      <c r="X181" s="1098"/>
      <c r="Y181" s="1333"/>
      <c r="Z181" s="1093"/>
      <c r="AA181" s="1081"/>
      <c r="AB181" s="1333"/>
      <c r="AC181" s="1333"/>
      <c r="AD181" s="1333"/>
      <c r="AE181" s="1333"/>
      <c r="AF181" s="1333"/>
      <c r="AG181" s="1333"/>
      <c r="AH181" s="1097"/>
      <c r="AI181" s="1333"/>
      <c r="AJ181" s="1333"/>
      <c r="AK181" s="1081"/>
    </row>
    <row r="182" spans="1:37">
      <c r="A182" s="1333"/>
      <c r="B182" s="1333"/>
      <c r="C182" s="1333"/>
      <c r="D182" s="1333"/>
      <c r="E182" s="1333"/>
      <c r="F182" s="1333"/>
      <c r="G182" s="1333"/>
      <c r="H182" s="1333"/>
      <c r="I182" s="1333"/>
      <c r="J182" s="1333"/>
      <c r="K182" s="1333"/>
      <c r="L182" s="1333"/>
      <c r="M182" s="1333"/>
      <c r="N182" s="1333"/>
      <c r="O182" s="1333"/>
      <c r="P182" s="1333"/>
      <c r="Q182" s="1333"/>
      <c r="R182" s="1333"/>
      <c r="S182" s="1331">
        <f t="shared" si="10"/>
        <v>34</v>
      </c>
      <c r="T182" s="1063"/>
      <c r="U182" s="1058" t="str">
        <f>"Federal Income Tax Before Credits @ "&amp;TEXT(FIT,"00%")</f>
        <v>Federal Income Tax Before Credits @ 35%</v>
      </c>
      <c r="V182" s="1330"/>
      <c r="W182" s="1334">
        <f>ROUND(W180*FIT,0)</f>
        <v>-19738129</v>
      </c>
      <c r="X182" s="1334">
        <f ca="1">ROUND(X180*FIT,0)</f>
        <v>-21224297</v>
      </c>
      <c r="Y182" s="1333"/>
      <c r="Z182" s="1111"/>
      <c r="AA182" s="1081"/>
      <c r="AB182" s="1333"/>
      <c r="AC182" s="1333"/>
      <c r="AD182" s="1333"/>
      <c r="AE182" s="1333"/>
      <c r="AF182" s="1333"/>
      <c r="AG182" s="1333"/>
      <c r="AH182" s="1097"/>
      <c r="AI182" s="1333"/>
      <c r="AJ182" s="1333"/>
      <c r="AK182" s="1081"/>
    </row>
    <row r="183" spans="1:37">
      <c r="A183" s="1333"/>
      <c r="B183" s="1333"/>
      <c r="C183" s="1333"/>
      <c r="D183" s="1333"/>
      <c r="E183" s="1333"/>
      <c r="F183" s="1333"/>
      <c r="G183" s="1333"/>
      <c r="H183" s="1333"/>
      <c r="I183" s="1333"/>
      <c r="J183" s="1333"/>
      <c r="K183" s="1333"/>
      <c r="L183" s="1333"/>
      <c r="M183" s="1333"/>
      <c r="N183" s="1333"/>
      <c r="O183" s="1333"/>
      <c r="P183" s="1333"/>
      <c r="Q183" s="1333"/>
      <c r="R183" s="1333"/>
      <c r="S183" s="1331">
        <f t="shared" si="10"/>
        <v>35</v>
      </c>
      <c r="T183" s="1063"/>
      <c r="U183" s="1123" t="s">
        <v>399</v>
      </c>
      <c r="V183" s="1052"/>
      <c r="W183" s="1509">
        <f>AH296</f>
        <v>0</v>
      </c>
      <c r="X183" s="2057">
        <v>0</v>
      </c>
      <c r="Y183" s="1333"/>
      <c r="Z183" s="1081"/>
      <c r="AA183" s="1081"/>
      <c r="AB183" s="1333"/>
      <c r="AC183" s="1333"/>
      <c r="AD183" s="1333"/>
      <c r="AE183" s="1333"/>
      <c r="AF183" s="1333"/>
      <c r="AG183" s="1333"/>
      <c r="AH183" s="1097"/>
      <c r="AI183" s="1333"/>
      <c r="AJ183" s="1333"/>
      <c r="AK183" s="1081"/>
    </row>
    <row r="184" spans="1:37" ht="13.5" thickBot="1">
      <c r="A184" s="1333"/>
      <c r="B184" s="1333"/>
      <c r="C184" s="1333"/>
      <c r="D184" s="1333"/>
      <c r="E184" s="1333"/>
      <c r="F184" s="1333"/>
      <c r="G184" s="1333"/>
      <c r="H184" s="1333"/>
      <c r="I184" s="1333"/>
      <c r="J184" s="1333"/>
      <c r="K184" s="1333"/>
      <c r="L184" s="1333"/>
      <c r="M184" s="1333"/>
      <c r="N184" s="1333"/>
      <c r="O184" s="1333"/>
      <c r="P184" s="1333"/>
      <c r="Q184" s="1333"/>
      <c r="R184" s="1333"/>
      <c r="S184" s="1331">
        <f t="shared" si="10"/>
        <v>36</v>
      </c>
      <c r="T184" s="1063"/>
      <c r="U184" s="1330" t="s">
        <v>400</v>
      </c>
      <c r="V184" s="1052"/>
      <c r="W184" s="1134">
        <f>SUM(W182:W183)</f>
        <v>-19738129</v>
      </c>
      <c r="X184" s="1134">
        <f ca="1">IF(ROUND(X182+X183,0)='SCH_C2.1 - Forecasted Period'!J362,ROUND(X182+X183,0),"Check Rounding")</f>
        <v>-21224297</v>
      </c>
      <c r="Y184" s="1333"/>
      <c r="Z184" s="1081"/>
      <c r="AA184" s="1081"/>
      <c r="AB184" s="1098"/>
      <c r="AC184" s="1333"/>
      <c r="AD184" s="1333"/>
      <c r="AE184" s="1333"/>
      <c r="AF184" s="1333"/>
      <c r="AG184" s="1333"/>
      <c r="AH184" s="1097"/>
      <c r="AI184" s="1333"/>
      <c r="AJ184" s="1333"/>
      <c r="AK184" s="1081"/>
    </row>
    <row r="185" spans="1:37" ht="13.5" thickTop="1">
      <c r="A185" s="1333"/>
      <c r="B185" s="1333"/>
      <c r="C185" s="1333"/>
      <c r="D185" s="1333"/>
      <c r="E185" s="1333"/>
      <c r="F185" s="1333"/>
      <c r="G185" s="1333"/>
      <c r="H185" s="1333"/>
      <c r="I185" s="1333"/>
      <c r="J185" s="1333"/>
      <c r="K185" s="1333"/>
      <c r="L185" s="1333"/>
      <c r="M185" s="1333"/>
      <c r="N185" s="1333"/>
      <c r="O185" s="1333"/>
      <c r="P185" s="1333"/>
      <c r="Q185" s="1333"/>
      <c r="R185" s="1333"/>
      <c r="S185" s="1333"/>
      <c r="T185" s="1333"/>
      <c r="U185" s="1333"/>
      <c r="V185" s="1333"/>
      <c r="W185" s="1098" t="str">
        <f>IF(W184&lt;&gt;'SCH_C2.1 - Base Period'!G355,"CHECK TAXES","")</f>
        <v/>
      </c>
      <c r="X185" s="1333"/>
      <c r="Y185" s="1333"/>
      <c r="Z185" s="1081"/>
      <c r="AA185" s="1081"/>
      <c r="AB185" s="1333"/>
      <c r="AC185" s="1333"/>
      <c r="AD185" s="1333"/>
      <c r="AE185" s="1333"/>
      <c r="AF185" s="1333"/>
      <c r="AG185" s="1333"/>
      <c r="AH185" s="1097"/>
      <c r="AI185" s="1333"/>
      <c r="AJ185" s="1333"/>
      <c r="AK185" s="1081"/>
    </row>
    <row r="186" spans="1:37">
      <c r="A186" s="1333"/>
      <c r="B186" s="1333"/>
      <c r="C186" s="1333"/>
      <c r="D186" s="1333"/>
      <c r="E186" s="1333"/>
      <c r="F186" s="1333"/>
      <c r="G186" s="1333"/>
      <c r="H186" s="1333"/>
      <c r="I186" s="1333"/>
      <c r="J186" s="1333"/>
      <c r="K186" s="1333"/>
      <c r="L186" s="1333"/>
      <c r="M186" s="1333"/>
      <c r="N186" s="1333"/>
      <c r="O186" s="1333"/>
      <c r="P186" s="1333"/>
      <c r="Q186" s="1333"/>
      <c r="R186" s="1333"/>
      <c r="S186" s="1333"/>
      <c r="T186" s="1333"/>
      <c r="U186" s="1333"/>
      <c r="V186" s="1333"/>
      <c r="W186" s="1097"/>
      <c r="X186" s="1097"/>
      <c r="Y186" s="1333"/>
      <c r="Z186" s="1093"/>
      <c r="AA186" s="1081"/>
      <c r="AB186" s="1333"/>
      <c r="AC186" s="1333"/>
      <c r="AD186" s="1333"/>
      <c r="AE186" s="1333"/>
      <c r="AF186" s="1333"/>
      <c r="AG186" s="1333"/>
      <c r="AH186" s="1097"/>
      <c r="AI186" s="1333"/>
      <c r="AJ186" s="1333"/>
      <c r="AK186" s="1081"/>
    </row>
    <row r="187" spans="1:37" ht="14.25">
      <c r="A187" s="1333"/>
      <c r="B187" s="1333"/>
      <c r="C187" s="1333"/>
      <c r="D187" s="1333"/>
      <c r="E187" s="1333"/>
      <c r="F187" s="1333"/>
      <c r="G187" s="1333"/>
      <c r="H187" s="1333"/>
      <c r="I187" s="1333"/>
      <c r="J187" s="1333"/>
      <c r="K187" s="1333"/>
      <c r="L187" s="1333"/>
      <c r="M187" s="1333"/>
      <c r="N187" s="1333"/>
      <c r="O187" s="1333"/>
      <c r="P187" s="1333"/>
      <c r="Q187" s="1333"/>
      <c r="R187" s="1333"/>
      <c r="S187" s="1333"/>
      <c r="T187" s="1333"/>
      <c r="U187" s="1135"/>
      <c r="V187" s="1333"/>
      <c r="W187" s="1333"/>
      <c r="X187" s="1333"/>
      <c r="Y187" s="1333"/>
      <c r="Z187" s="1093"/>
      <c r="AA187" s="1081"/>
      <c r="AB187" s="1081"/>
      <c r="AC187" s="1081"/>
      <c r="AD187" s="1081"/>
      <c r="AE187" s="1081"/>
      <c r="AF187" s="1081"/>
      <c r="AG187" s="1081"/>
      <c r="AH187" s="1094"/>
      <c r="AI187" s="1081"/>
      <c r="AJ187" s="1081"/>
      <c r="AK187" s="1081"/>
    </row>
    <row r="188" spans="1:37">
      <c r="A188" s="1333"/>
      <c r="B188" s="1333"/>
      <c r="C188" s="1333"/>
      <c r="D188" s="1333"/>
      <c r="E188" s="1333"/>
      <c r="F188" s="1333"/>
      <c r="G188" s="1333"/>
      <c r="H188" s="1333"/>
      <c r="I188" s="1333"/>
      <c r="J188" s="1333"/>
      <c r="K188" s="1333"/>
      <c r="L188" s="1333"/>
      <c r="M188" s="1333"/>
      <c r="N188" s="1333"/>
      <c r="O188" s="1333"/>
      <c r="P188" s="1333"/>
      <c r="Q188" s="1333"/>
      <c r="R188" s="1333"/>
      <c r="S188" s="1333"/>
      <c r="T188" s="1333"/>
      <c r="U188" s="1333"/>
      <c r="V188" s="1333"/>
      <c r="W188" s="1333"/>
      <c r="X188" s="1333"/>
      <c r="Y188" s="1333"/>
      <c r="Z188" s="1093"/>
      <c r="AA188" s="1081"/>
      <c r="AB188" s="1081"/>
      <c r="AC188" s="1081"/>
      <c r="AD188" s="1081"/>
      <c r="AE188" s="1081"/>
      <c r="AF188" s="1081"/>
      <c r="AG188" s="1081"/>
      <c r="AH188" s="1094"/>
      <c r="AI188" s="1081"/>
      <c r="AJ188" s="1081"/>
      <c r="AK188" s="1081"/>
    </row>
    <row r="189" spans="1:37">
      <c r="A189" s="1333"/>
      <c r="B189" s="1333"/>
      <c r="C189" s="1333"/>
      <c r="D189" s="1333"/>
      <c r="E189" s="1333"/>
      <c r="F189" s="1333"/>
      <c r="G189" s="1333"/>
      <c r="H189" s="1333"/>
      <c r="I189" s="1333"/>
      <c r="J189" s="1333"/>
      <c r="K189" s="1333"/>
      <c r="L189" s="1333"/>
      <c r="M189" s="1333"/>
      <c r="N189" s="1333"/>
      <c r="O189" s="1333"/>
      <c r="P189" s="1333"/>
      <c r="Q189" s="1333"/>
      <c r="R189" s="1333"/>
      <c r="S189" s="1333"/>
      <c r="T189" s="1333"/>
      <c r="U189" s="1333"/>
      <c r="V189" s="1333"/>
      <c r="W189" s="1333"/>
      <c r="X189" s="1333"/>
      <c r="Y189" s="1333"/>
      <c r="Z189" s="1058" t="str">
        <f>COMPANY</f>
        <v>DUKE ENERGY KENTUCKY, INC.</v>
      </c>
      <c r="AA189" s="1330"/>
      <c r="AB189" s="1330"/>
      <c r="AC189" s="1332"/>
      <c r="AD189" s="1332"/>
      <c r="AE189" s="1332"/>
      <c r="AF189" s="1332"/>
      <c r="AG189" s="1058" t="s">
        <v>791</v>
      </c>
      <c r="AH189" s="1334"/>
      <c r="AI189" s="1081"/>
      <c r="AJ189" s="1081"/>
      <c r="AK189" s="1081"/>
    </row>
    <row r="190" spans="1:37">
      <c r="A190" s="1333"/>
      <c r="B190" s="1333"/>
      <c r="C190" s="1333"/>
      <c r="D190" s="1333"/>
      <c r="E190" s="1333"/>
      <c r="F190" s="1333"/>
      <c r="G190" s="1333"/>
      <c r="H190" s="1333"/>
      <c r="I190" s="1333"/>
      <c r="J190" s="1333"/>
      <c r="K190" s="1333"/>
      <c r="L190" s="1333"/>
      <c r="M190" s="1333"/>
      <c r="N190" s="1333"/>
      <c r="O190" s="1333"/>
      <c r="P190" s="1333"/>
      <c r="Q190" s="1333"/>
      <c r="R190" s="1333"/>
      <c r="S190" s="1333"/>
      <c r="T190" s="1333"/>
      <c r="U190" s="1333"/>
      <c r="V190" s="1333"/>
      <c r="W190" s="1333"/>
      <c r="X190" s="1333"/>
      <c r="Y190" s="1333"/>
      <c r="Z190" s="1058" t="str">
        <f>CASE</f>
        <v>CASE NO. 2017-00321</v>
      </c>
      <c r="AA190" s="1330"/>
      <c r="AB190" s="1330"/>
      <c r="AC190" s="1332"/>
      <c r="AD190" s="1332"/>
      <c r="AE190" s="1332"/>
      <c r="AF190" s="1332"/>
      <c r="AG190" s="1330" t="s">
        <v>622</v>
      </c>
      <c r="AH190" s="1334"/>
      <c r="AI190" s="1081"/>
      <c r="AJ190" s="1081"/>
      <c r="AK190" s="1081"/>
    </row>
    <row r="191" spans="1:37">
      <c r="A191" s="1333"/>
      <c r="B191" s="1333"/>
      <c r="C191" s="1333"/>
      <c r="D191" s="1333"/>
      <c r="E191" s="1333"/>
      <c r="F191" s="1333"/>
      <c r="G191" s="1333"/>
      <c r="H191" s="1333"/>
      <c r="I191" s="1333"/>
      <c r="J191" s="1333"/>
      <c r="K191" s="1333"/>
      <c r="L191" s="1333"/>
      <c r="M191" s="1333"/>
      <c r="N191" s="1333"/>
      <c r="O191" s="1333"/>
      <c r="P191" s="1333"/>
      <c r="Q191" s="1333"/>
      <c r="R191" s="1333"/>
      <c r="S191" s="1333"/>
      <c r="T191" s="1333"/>
      <c r="U191" s="1333"/>
      <c r="V191" s="1333"/>
      <c r="W191" s="1333"/>
      <c r="X191" s="1333"/>
      <c r="Y191" s="1333"/>
      <c r="Z191" s="1058" t="str">
        <f>DEPT</f>
        <v>ELECTRIC DEPARTMENT</v>
      </c>
      <c r="AA191" s="1330"/>
      <c r="AB191" s="1330"/>
      <c r="AC191" s="1332"/>
      <c r="AD191" s="1332"/>
      <c r="AE191" s="1332"/>
      <c r="AF191" s="1332"/>
      <c r="AG191" s="1058" t="str">
        <f>_WIT3</f>
        <v>L. M. BELLUCCI</v>
      </c>
      <c r="AH191" s="1334"/>
      <c r="AI191" s="1081"/>
      <c r="AJ191" s="1081"/>
      <c r="AK191" s="1081"/>
    </row>
    <row r="192" spans="1:37">
      <c r="A192" s="1333"/>
      <c r="B192" s="1333"/>
      <c r="C192" s="1333"/>
      <c r="D192" s="1333"/>
      <c r="E192" s="1333"/>
      <c r="F192" s="1333"/>
      <c r="G192" s="1333"/>
      <c r="H192" s="1333"/>
      <c r="I192" s="1333"/>
      <c r="J192" s="1333"/>
      <c r="K192" s="1333"/>
      <c r="L192" s="1333"/>
      <c r="M192" s="1333"/>
      <c r="N192" s="1333"/>
      <c r="O192" s="1333"/>
      <c r="P192" s="1333"/>
      <c r="Q192" s="1333"/>
      <c r="R192" s="1333"/>
      <c r="S192" s="1333"/>
      <c r="T192" s="1333"/>
      <c r="U192" s="1333"/>
      <c r="V192" s="1333"/>
      <c r="W192" s="1333"/>
      <c r="X192" s="1333"/>
      <c r="Y192" s="1333"/>
      <c r="Z192" s="1058" t="s">
        <v>1285</v>
      </c>
      <c r="AA192" s="1330"/>
      <c r="AB192" s="1330"/>
      <c r="AC192" s="1332"/>
      <c r="AD192" s="1332"/>
      <c r="AE192" s="1332"/>
      <c r="AF192" s="1332"/>
      <c r="AG192" s="1332"/>
      <c r="AH192" s="1334"/>
      <c r="AI192" s="1081"/>
      <c r="AJ192" s="1081"/>
      <c r="AK192" s="1081"/>
    </row>
    <row r="193" spans="1:37">
      <c r="A193" s="1333"/>
      <c r="B193" s="1333"/>
      <c r="C193" s="1333"/>
      <c r="D193" s="1333"/>
      <c r="E193" s="1333"/>
      <c r="F193" s="1333"/>
      <c r="G193" s="1333"/>
      <c r="H193" s="1333"/>
      <c r="I193" s="1333"/>
      <c r="J193" s="1333"/>
      <c r="K193" s="1333"/>
      <c r="L193" s="1333"/>
      <c r="M193" s="1333"/>
      <c r="N193" s="1333"/>
      <c r="O193" s="1333"/>
      <c r="P193" s="1333"/>
      <c r="Q193" s="1333"/>
      <c r="R193" s="1333"/>
      <c r="S193" s="1333"/>
      <c r="T193" s="1333"/>
      <c r="U193" s="1333"/>
      <c r="V193" s="1333"/>
      <c r="W193" s="1333"/>
      <c r="X193" s="1333"/>
      <c r="Y193" s="1333"/>
      <c r="Z193" s="1330"/>
      <c r="AA193" s="1330"/>
      <c r="AB193" s="1330"/>
      <c r="AC193" s="1332"/>
      <c r="AD193" s="1332"/>
      <c r="AE193" s="1332"/>
      <c r="AF193" s="1332"/>
      <c r="AG193" s="1332"/>
      <c r="AH193" s="1334"/>
      <c r="AI193" s="1081"/>
      <c r="AJ193" s="1081"/>
      <c r="AK193" s="1081"/>
    </row>
    <row r="194" spans="1:37">
      <c r="A194" s="1333"/>
      <c r="B194" s="1333"/>
      <c r="C194" s="1333"/>
      <c r="D194" s="1333"/>
      <c r="E194" s="1333"/>
      <c r="F194" s="1333"/>
      <c r="G194" s="1333"/>
      <c r="H194" s="1333"/>
      <c r="I194" s="1333"/>
      <c r="J194" s="1333"/>
      <c r="K194" s="1333"/>
      <c r="L194" s="1333"/>
      <c r="M194" s="1333"/>
      <c r="N194" s="1333"/>
      <c r="O194" s="1333"/>
      <c r="P194" s="1333"/>
      <c r="Q194" s="1333"/>
      <c r="R194" s="1333"/>
      <c r="S194" s="1333"/>
      <c r="T194" s="1333"/>
      <c r="U194" s="1333"/>
      <c r="V194" s="1333"/>
      <c r="W194" s="1333"/>
      <c r="X194" s="1333"/>
      <c r="Y194" s="1333"/>
      <c r="Z194" s="1330"/>
      <c r="AA194" s="1330"/>
      <c r="AB194" s="1330"/>
      <c r="AC194" s="1332"/>
      <c r="AD194" s="1332"/>
      <c r="AE194" s="1332"/>
      <c r="AF194" s="1332"/>
      <c r="AG194" s="1332"/>
      <c r="AH194" s="1334"/>
      <c r="AI194" s="1081"/>
      <c r="AJ194" s="1081"/>
      <c r="AK194" s="1081"/>
    </row>
    <row r="195" spans="1:37">
      <c r="A195" s="1333"/>
      <c r="B195" s="1333"/>
      <c r="C195" s="1333"/>
      <c r="D195" s="1333"/>
      <c r="E195" s="1333"/>
      <c r="F195" s="1333"/>
      <c r="G195" s="1333"/>
      <c r="H195" s="1333"/>
      <c r="I195" s="1333"/>
      <c r="J195" s="1333"/>
      <c r="K195" s="1333"/>
      <c r="L195" s="1333"/>
      <c r="M195" s="1333"/>
      <c r="N195" s="1333"/>
      <c r="O195" s="1333"/>
      <c r="P195" s="1333"/>
      <c r="Q195" s="1333"/>
      <c r="R195" s="1333"/>
      <c r="S195" s="1333"/>
      <c r="T195" s="1333"/>
      <c r="U195" s="1333"/>
      <c r="V195" s="1333"/>
      <c r="W195" s="1333"/>
      <c r="X195" s="1333"/>
      <c r="Y195" s="1333"/>
      <c r="Z195" s="1330"/>
      <c r="AA195" s="1330"/>
      <c r="AB195" s="1330"/>
      <c r="AC195" s="1332"/>
      <c r="AD195" s="1332"/>
      <c r="AE195" s="1332"/>
      <c r="AF195" s="1332"/>
      <c r="AG195" s="1332"/>
      <c r="AH195" s="1334"/>
      <c r="AI195" s="1081"/>
      <c r="AJ195" s="1081"/>
      <c r="AK195" s="1081"/>
    </row>
    <row r="196" spans="1:37">
      <c r="A196" s="1333"/>
      <c r="B196" s="1333"/>
      <c r="C196" s="1333"/>
      <c r="D196" s="1333"/>
      <c r="E196" s="1333"/>
      <c r="F196" s="1333"/>
      <c r="G196" s="1333"/>
      <c r="H196" s="1333"/>
      <c r="I196" s="1333"/>
      <c r="J196" s="1333"/>
      <c r="K196" s="1333"/>
      <c r="L196" s="1333"/>
      <c r="M196" s="1333"/>
      <c r="N196" s="1333"/>
      <c r="O196" s="1333"/>
      <c r="P196" s="1333"/>
      <c r="Q196" s="1333"/>
      <c r="R196" s="1333"/>
      <c r="S196" s="1333"/>
      <c r="T196" s="1333"/>
      <c r="U196" s="1333"/>
      <c r="V196" s="1333"/>
      <c r="W196" s="1333"/>
      <c r="X196" s="1333"/>
      <c r="Y196" s="1333"/>
      <c r="Z196" s="1330"/>
      <c r="AA196" s="1330"/>
      <c r="AB196" s="1330"/>
      <c r="AC196" s="1332"/>
      <c r="AD196" s="1332"/>
      <c r="AE196" s="1332"/>
      <c r="AF196" s="1332"/>
      <c r="AG196" s="1332"/>
      <c r="AH196" s="1334"/>
      <c r="AI196" s="1081"/>
      <c r="AJ196" s="1081"/>
      <c r="AK196" s="1081"/>
    </row>
    <row r="197" spans="1:37">
      <c r="A197" s="1333"/>
      <c r="B197" s="1333"/>
      <c r="C197" s="1333"/>
      <c r="D197" s="1333"/>
      <c r="E197" s="1333"/>
      <c r="F197" s="1333"/>
      <c r="G197" s="1333"/>
      <c r="H197" s="1333"/>
      <c r="I197" s="1333"/>
      <c r="J197" s="1333"/>
      <c r="K197" s="1333"/>
      <c r="L197" s="1333"/>
      <c r="M197" s="1333"/>
      <c r="N197" s="1333"/>
      <c r="O197" s="1333"/>
      <c r="P197" s="1333"/>
      <c r="Q197" s="1333"/>
      <c r="R197" s="1333"/>
      <c r="S197" s="1333"/>
      <c r="T197" s="1333"/>
      <c r="U197" s="1333"/>
      <c r="V197" s="1333"/>
      <c r="W197" s="1333"/>
      <c r="X197" s="1333"/>
      <c r="Y197" s="1333"/>
      <c r="Z197" s="1330"/>
      <c r="AA197" s="1330"/>
      <c r="AB197" s="1330"/>
      <c r="AC197" s="1332"/>
      <c r="AD197" s="1332"/>
      <c r="AE197" s="1332"/>
      <c r="AF197" s="1332"/>
      <c r="AG197" s="1332"/>
      <c r="AH197" s="1334"/>
      <c r="AI197" s="1081"/>
      <c r="AJ197" s="1081"/>
      <c r="AK197" s="1081"/>
    </row>
    <row r="198" spans="1:37">
      <c r="A198" s="1333"/>
      <c r="B198" s="1333"/>
      <c r="C198" s="1333"/>
      <c r="D198" s="1333"/>
      <c r="E198" s="1333"/>
      <c r="F198" s="1333"/>
      <c r="G198" s="1333"/>
      <c r="H198" s="1333"/>
      <c r="I198" s="1333"/>
      <c r="J198" s="1333"/>
      <c r="K198" s="1333"/>
      <c r="L198" s="1333"/>
      <c r="M198" s="1333"/>
      <c r="N198" s="1333"/>
      <c r="O198" s="1333"/>
      <c r="P198" s="1333"/>
      <c r="Q198" s="1333"/>
      <c r="R198" s="1333"/>
      <c r="S198" s="1333"/>
      <c r="T198" s="1333"/>
      <c r="U198" s="1333"/>
      <c r="V198" s="1333"/>
      <c r="W198" s="1333"/>
      <c r="X198" s="1333"/>
      <c r="Y198" s="1333"/>
      <c r="Z198" s="1330"/>
      <c r="AA198" s="1330"/>
      <c r="AB198" s="1330"/>
      <c r="AC198" s="1136" t="s">
        <v>273</v>
      </c>
      <c r="AD198" s="1136"/>
      <c r="AE198" s="1136"/>
      <c r="AF198" s="1137"/>
      <c r="AG198" s="1138" t="s">
        <v>274</v>
      </c>
      <c r="AH198" s="1334"/>
      <c r="AI198" s="1081"/>
      <c r="AJ198" s="1081"/>
      <c r="AK198" s="1081"/>
    </row>
    <row r="199" spans="1:37">
      <c r="A199" s="1333"/>
      <c r="B199" s="1333"/>
      <c r="C199" s="1333"/>
      <c r="D199" s="1333"/>
      <c r="E199" s="1333"/>
      <c r="F199" s="1333"/>
      <c r="G199" s="1333"/>
      <c r="H199" s="1333"/>
      <c r="I199" s="1333"/>
      <c r="J199" s="1333"/>
      <c r="K199" s="1333"/>
      <c r="L199" s="1333"/>
      <c r="M199" s="1333"/>
      <c r="N199" s="1333"/>
      <c r="O199" s="1333"/>
      <c r="P199" s="1333"/>
      <c r="Q199" s="1333"/>
      <c r="R199" s="1333"/>
      <c r="S199" s="1333"/>
      <c r="T199" s="1333"/>
      <c r="U199" s="1333"/>
      <c r="V199" s="1333"/>
      <c r="W199" s="1333"/>
      <c r="X199" s="1333"/>
      <c r="Y199" s="1333"/>
      <c r="Z199" s="1331" t="s">
        <v>1240</v>
      </c>
      <c r="AA199" s="1062" t="s">
        <v>2614</v>
      </c>
      <c r="AB199" s="1330"/>
      <c r="AC199" s="1139" t="s">
        <v>2968</v>
      </c>
      <c r="AD199" s="1139" t="s">
        <v>1286</v>
      </c>
      <c r="AE199" s="1140" t="s">
        <v>2966</v>
      </c>
      <c r="AF199" s="1139"/>
      <c r="AG199" s="1140" t="s">
        <v>845</v>
      </c>
      <c r="AH199" s="1527" t="s">
        <v>1286</v>
      </c>
      <c r="AI199" s="1081"/>
      <c r="AJ199" s="1081"/>
      <c r="AK199" s="1081"/>
    </row>
    <row r="200" spans="1:37">
      <c r="A200" s="1333"/>
      <c r="B200" s="1333"/>
      <c r="C200" s="1333"/>
      <c r="D200" s="1333"/>
      <c r="E200" s="1333"/>
      <c r="F200" s="1333"/>
      <c r="G200" s="1333"/>
      <c r="H200" s="1333"/>
      <c r="I200" s="1333"/>
      <c r="J200" s="1333"/>
      <c r="K200" s="1333"/>
      <c r="L200" s="1333"/>
      <c r="M200" s="1333"/>
      <c r="N200" s="1333"/>
      <c r="O200" s="1333"/>
      <c r="P200" s="1333"/>
      <c r="Q200" s="1333"/>
      <c r="R200" s="1333"/>
      <c r="S200" s="1333"/>
      <c r="T200" s="1333"/>
      <c r="U200" s="1333"/>
      <c r="V200" s="1333"/>
      <c r="W200" s="1333"/>
      <c r="X200" s="1333"/>
      <c r="Y200" s="1333"/>
      <c r="Z200" s="1125" t="s">
        <v>1241</v>
      </c>
      <c r="AA200" s="1422" t="s">
        <v>2615</v>
      </c>
      <c r="AB200" s="1127" t="s">
        <v>566</v>
      </c>
      <c r="AC200" s="1141" t="s">
        <v>2969</v>
      </c>
      <c r="AD200" s="1142" t="s">
        <v>2612</v>
      </c>
      <c r="AE200" s="1143" t="s">
        <v>2967</v>
      </c>
      <c r="AF200" s="1142"/>
      <c r="AG200" s="1528" t="s">
        <v>2965</v>
      </c>
      <c r="AH200" s="1528" t="s">
        <v>2965</v>
      </c>
      <c r="AI200" s="1081"/>
      <c r="AJ200" s="1081"/>
      <c r="AK200" s="1081"/>
    </row>
    <row r="201" spans="1:37">
      <c r="A201" s="1333"/>
      <c r="B201" s="1333"/>
      <c r="C201" s="1333"/>
      <c r="D201" s="1333"/>
      <c r="E201" s="1333"/>
      <c r="F201" s="1333"/>
      <c r="G201" s="1333"/>
      <c r="H201" s="1333"/>
      <c r="I201" s="1333"/>
      <c r="J201" s="1333"/>
      <c r="K201" s="1333"/>
      <c r="L201" s="1333"/>
      <c r="M201" s="1333"/>
      <c r="N201" s="1333"/>
      <c r="O201" s="1333"/>
      <c r="P201" s="1333"/>
      <c r="Q201" s="1333"/>
      <c r="R201" s="1333"/>
      <c r="S201" s="1333"/>
      <c r="T201" s="1333"/>
      <c r="U201" s="1333"/>
      <c r="V201" s="1333"/>
      <c r="W201" s="1333"/>
      <c r="X201" s="1333"/>
      <c r="Y201" s="1333"/>
      <c r="Z201" s="1053"/>
      <c r="AA201" s="1053"/>
      <c r="AB201" s="1053"/>
      <c r="AC201" s="1332"/>
      <c r="AD201" s="1332"/>
      <c r="AE201" s="1332"/>
      <c r="AF201" s="1332"/>
      <c r="AG201" s="1332"/>
      <c r="AH201" s="1334"/>
      <c r="AI201" s="1081"/>
      <c r="AJ201" s="1081"/>
      <c r="AK201" s="1081"/>
    </row>
    <row r="202" spans="1:37">
      <c r="A202" s="1333"/>
      <c r="B202" s="1333"/>
      <c r="C202" s="1333"/>
      <c r="D202" s="1333"/>
      <c r="E202" s="1333"/>
      <c r="F202" s="1333"/>
      <c r="G202" s="1333"/>
      <c r="H202" s="1333"/>
      <c r="I202" s="1333"/>
      <c r="J202" s="1333"/>
      <c r="K202" s="1333"/>
      <c r="L202" s="1333"/>
      <c r="M202" s="1333"/>
      <c r="N202" s="1333"/>
      <c r="O202" s="1333"/>
      <c r="P202" s="1333"/>
      <c r="Q202" s="1333"/>
      <c r="R202" s="1333"/>
      <c r="S202" s="1333"/>
      <c r="T202" s="1333"/>
      <c r="U202" s="1333"/>
      <c r="V202" s="1333"/>
      <c r="W202" s="1333"/>
      <c r="X202" s="1333"/>
      <c r="Y202" s="1333"/>
      <c r="Z202" s="1331">
        <v>1</v>
      </c>
      <c r="AA202" s="1330"/>
      <c r="AB202" s="1058" t="s">
        <v>330</v>
      </c>
      <c r="AC202" s="1533">
        <f>AD202-SUM('BASE PERIOD'!F256:I256)</f>
        <v>39601190</v>
      </c>
      <c r="AD202" s="1533">
        <v>54896163</v>
      </c>
      <c r="AE202" s="1533">
        <f>SUM('BASE PERIOD'!J256:K256)</f>
        <v>7210031</v>
      </c>
      <c r="AF202" s="1533"/>
      <c r="AG202" s="1533">
        <f>SUM('BASE PERIOD'!L256:Q256)</f>
        <v>31399587</v>
      </c>
      <c r="AH202" s="1334">
        <f>AD202-AC202+AE202+AG202</f>
        <v>53904591</v>
      </c>
      <c r="AI202" s="1081"/>
      <c r="AJ202" s="1081"/>
      <c r="AK202" s="1081"/>
    </row>
    <row r="203" spans="1:37">
      <c r="A203" s="1333"/>
      <c r="B203" s="1333"/>
      <c r="C203" s="1333"/>
      <c r="D203" s="1333"/>
      <c r="E203" s="1333"/>
      <c r="F203" s="1333"/>
      <c r="G203" s="1333"/>
      <c r="H203" s="1333"/>
      <c r="I203" s="1333"/>
      <c r="J203" s="1333"/>
      <c r="K203" s="1333"/>
      <c r="L203" s="1333"/>
      <c r="M203" s="1333"/>
      <c r="N203" s="1333"/>
      <c r="O203" s="1333"/>
      <c r="P203" s="1333"/>
      <c r="Q203" s="1333"/>
      <c r="R203" s="1333"/>
      <c r="S203" s="1333"/>
      <c r="T203" s="1333"/>
      <c r="U203" s="1333"/>
      <c r="V203" s="1333"/>
      <c r="W203" s="1333"/>
      <c r="X203" s="1333"/>
      <c r="Y203" s="1333"/>
      <c r="Z203" s="1331">
        <f>Z202+1</f>
        <v>2</v>
      </c>
      <c r="AA203" s="1330"/>
      <c r="AB203" s="1058"/>
      <c r="AC203" s="1533"/>
      <c r="AD203" s="1533"/>
      <c r="AE203" s="1533"/>
      <c r="AF203" s="1533"/>
      <c r="AG203" s="1533"/>
      <c r="AH203" s="1334"/>
      <c r="AI203" s="1081"/>
      <c r="AJ203" s="1081"/>
      <c r="AK203" s="1081"/>
    </row>
    <row r="204" spans="1:37">
      <c r="A204" s="1333"/>
      <c r="B204" s="1333"/>
      <c r="C204" s="1333"/>
      <c r="D204" s="1333"/>
      <c r="E204" s="1333"/>
      <c r="F204" s="1333"/>
      <c r="G204" s="1333"/>
      <c r="H204" s="1333"/>
      <c r="I204" s="1333"/>
      <c r="J204" s="1333"/>
      <c r="K204" s="1333"/>
      <c r="L204" s="1333"/>
      <c r="M204" s="1333"/>
      <c r="N204" s="1333"/>
      <c r="O204" s="1333"/>
      <c r="P204" s="1333"/>
      <c r="Q204" s="1333"/>
      <c r="R204" s="1333"/>
      <c r="S204" s="1333"/>
      <c r="T204" s="1333"/>
      <c r="U204" s="1333"/>
      <c r="V204" s="1333"/>
      <c r="W204" s="1333"/>
      <c r="X204" s="1333"/>
      <c r="Y204" s="1333"/>
      <c r="Z204" s="1331">
        <f t="shared" ref="Z204:Z267" si="11">Z203+1</f>
        <v>3</v>
      </c>
      <c r="AA204" s="1330">
        <v>1107</v>
      </c>
      <c r="AB204" s="1058" t="s">
        <v>2885</v>
      </c>
      <c r="AC204" s="1533">
        <v>-9551345</v>
      </c>
      <c r="AD204" s="1533">
        <v>-10528413</v>
      </c>
      <c r="AE204" s="1533">
        <v>-3682616</v>
      </c>
      <c r="AF204" s="1533"/>
      <c r="AG204" s="1533">
        <v>-4492772</v>
      </c>
      <c r="AH204" s="1334">
        <f>AD204-AC204+AE204+AG204</f>
        <v>-9152456</v>
      </c>
      <c r="AI204" s="1081"/>
      <c r="AJ204" s="1081"/>
      <c r="AK204" s="1081"/>
    </row>
    <row r="205" spans="1:37">
      <c r="A205" s="1333"/>
      <c r="B205" s="1333"/>
      <c r="C205" s="1333"/>
      <c r="D205" s="1333"/>
      <c r="E205" s="1333"/>
      <c r="F205" s="1333"/>
      <c r="G205" s="1333"/>
      <c r="H205" s="1333"/>
      <c r="I205" s="1333"/>
      <c r="J205" s="1333"/>
      <c r="K205" s="1333"/>
      <c r="L205" s="1333"/>
      <c r="M205" s="1333"/>
      <c r="N205" s="1333"/>
      <c r="O205" s="1333"/>
      <c r="P205" s="1333"/>
      <c r="Q205" s="1333"/>
      <c r="R205" s="1333"/>
      <c r="S205" s="1333"/>
      <c r="T205" s="1333"/>
      <c r="U205" s="1333"/>
      <c r="V205" s="1333"/>
      <c r="W205" s="1333"/>
      <c r="X205" s="1333"/>
      <c r="Y205" s="1333"/>
      <c r="Z205" s="1331">
        <f t="shared" si="11"/>
        <v>4</v>
      </c>
      <c r="AA205" s="1330"/>
      <c r="AB205" s="1330"/>
      <c r="AC205" s="1533"/>
      <c r="AD205" s="1533"/>
      <c r="AE205" s="1533"/>
      <c r="AF205" s="1533"/>
      <c r="AG205" s="1533"/>
      <c r="AH205" s="1334"/>
      <c r="AI205" s="1081"/>
      <c r="AJ205" s="1081"/>
      <c r="AK205" s="1081"/>
    </row>
    <row r="206" spans="1:37">
      <c r="A206" s="1333"/>
      <c r="B206" s="1333"/>
      <c r="C206" s="1333"/>
      <c r="D206" s="1333"/>
      <c r="E206" s="1333"/>
      <c r="F206" s="1333"/>
      <c r="G206" s="1333"/>
      <c r="H206" s="1333"/>
      <c r="I206" s="1333"/>
      <c r="J206" s="1333"/>
      <c r="K206" s="1333"/>
      <c r="L206" s="1333"/>
      <c r="M206" s="1333"/>
      <c r="N206" s="1333"/>
      <c r="O206" s="1333"/>
      <c r="P206" s="1333"/>
      <c r="Q206" s="1333"/>
      <c r="R206" s="1333"/>
      <c r="S206" s="1333"/>
      <c r="T206" s="1333"/>
      <c r="U206" s="1333"/>
      <c r="V206" s="1333"/>
      <c r="W206" s="1333"/>
      <c r="X206" s="1062"/>
      <c r="Y206" s="1333"/>
      <c r="Z206" s="1331">
        <f t="shared" si="11"/>
        <v>5</v>
      </c>
      <c r="AA206" s="1062" t="s">
        <v>2759</v>
      </c>
      <c r="AB206" s="1058" t="s">
        <v>2760</v>
      </c>
      <c r="AC206" s="1533">
        <v>0</v>
      </c>
      <c r="AD206" s="1533">
        <v>0</v>
      </c>
      <c r="AE206" s="1533">
        <v>0</v>
      </c>
      <c r="AF206" s="1533"/>
      <c r="AG206" s="1533">
        <v>0</v>
      </c>
      <c r="AH206" s="1334">
        <f t="shared" ref="AH206:AH270" si="12">AD206-AC206+AE206+AG206</f>
        <v>0</v>
      </c>
      <c r="AI206" s="1081"/>
      <c r="AJ206" s="1081"/>
      <c r="AK206" s="1081"/>
    </row>
    <row r="207" spans="1:37">
      <c r="A207" s="1333"/>
      <c r="B207" s="1333"/>
      <c r="C207" s="1333"/>
      <c r="D207" s="1333"/>
      <c r="E207" s="1333"/>
      <c r="F207" s="1333"/>
      <c r="G207" s="1333"/>
      <c r="H207" s="1333"/>
      <c r="I207" s="1333"/>
      <c r="J207" s="1333"/>
      <c r="K207" s="1333"/>
      <c r="L207" s="1333"/>
      <c r="M207" s="1333"/>
      <c r="N207" s="1333"/>
      <c r="O207" s="1333"/>
      <c r="P207" s="1333"/>
      <c r="Q207" s="1333"/>
      <c r="R207" s="1333"/>
      <c r="S207" s="1333"/>
      <c r="T207" s="1333"/>
      <c r="U207" s="1333"/>
      <c r="V207" s="1333"/>
      <c r="W207" s="1333"/>
      <c r="X207" s="1062"/>
      <c r="Y207" s="1333"/>
      <c r="Z207" s="1331">
        <f t="shared" si="11"/>
        <v>6</v>
      </c>
      <c r="AA207" s="1062" t="s">
        <v>2761</v>
      </c>
      <c r="AB207" s="1058" t="s">
        <v>2762</v>
      </c>
      <c r="AC207" s="1533">
        <v>0</v>
      </c>
      <c r="AD207" s="1533">
        <v>0</v>
      </c>
      <c r="AE207" s="1533">
        <v>0</v>
      </c>
      <c r="AF207" s="1533"/>
      <c r="AG207" s="1533">
        <v>64999.999999999796</v>
      </c>
      <c r="AH207" s="1334">
        <f t="shared" si="12"/>
        <v>64999.999999999796</v>
      </c>
      <c r="AI207" s="1081"/>
      <c r="AJ207" s="1081"/>
      <c r="AK207" s="1081"/>
    </row>
    <row r="208" spans="1:37">
      <c r="A208" s="1333"/>
      <c r="B208" s="1333"/>
      <c r="C208" s="1333"/>
      <c r="D208" s="1333"/>
      <c r="E208" s="1333"/>
      <c r="F208" s="1333"/>
      <c r="G208" s="1333"/>
      <c r="H208" s="1333"/>
      <c r="I208" s="1333"/>
      <c r="J208" s="1333"/>
      <c r="K208" s="1333"/>
      <c r="L208" s="1333"/>
      <c r="M208" s="1333"/>
      <c r="N208" s="1333"/>
      <c r="O208" s="1333"/>
      <c r="P208" s="1333"/>
      <c r="Q208" s="1333"/>
      <c r="R208" s="1333"/>
      <c r="S208" s="1333"/>
      <c r="T208" s="1333"/>
      <c r="U208" s="1333"/>
      <c r="V208" s="1333"/>
      <c r="W208" s="1333"/>
      <c r="X208" s="1062"/>
      <c r="Y208" s="1333"/>
      <c r="Z208" s="1331">
        <f t="shared" si="11"/>
        <v>7</v>
      </c>
      <c r="AA208" s="1062" t="s">
        <v>2763</v>
      </c>
      <c r="AB208" s="1058" t="s">
        <v>2764</v>
      </c>
      <c r="AC208" s="1533">
        <v>0</v>
      </c>
      <c r="AD208" s="1533">
        <v>0</v>
      </c>
      <c r="AE208" s="1533">
        <v>0</v>
      </c>
      <c r="AF208" s="1533"/>
      <c r="AG208" s="1067">
        <v>0</v>
      </c>
      <c r="AH208" s="1334">
        <f t="shared" si="12"/>
        <v>0</v>
      </c>
      <c r="AI208" s="1333"/>
      <c r="AJ208" s="1333"/>
      <c r="AK208" s="1333"/>
    </row>
    <row r="209" spans="1:37">
      <c r="A209" s="1333"/>
      <c r="B209" s="1333"/>
      <c r="C209" s="1333"/>
      <c r="D209" s="1333"/>
      <c r="E209" s="1333"/>
      <c r="F209" s="1333"/>
      <c r="G209" s="1333"/>
      <c r="H209" s="1333"/>
      <c r="I209" s="1333"/>
      <c r="J209" s="1333"/>
      <c r="K209" s="1333"/>
      <c r="L209" s="1333"/>
      <c r="M209" s="1333"/>
      <c r="N209" s="1333"/>
      <c r="O209" s="1333"/>
      <c r="P209" s="1333"/>
      <c r="Q209" s="1333"/>
      <c r="R209" s="1333"/>
      <c r="S209" s="1333"/>
      <c r="T209" s="1333"/>
      <c r="U209" s="1333"/>
      <c r="V209" s="1333"/>
      <c r="W209" s="1333"/>
      <c r="X209" s="1062"/>
      <c r="Y209" s="1333"/>
      <c r="Z209" s="1331">
        <f t="shared" si="11"/>
        <v>8</v>
      </c>
      <c r="AA209" s="1062" t="s">
        <v>2765</v>
      </c>
      <c r="AB209" s="1058" t="s">
        <v>2766</v>
      </c>
      <c r="AC209" s="1533">
        <v>685761</v>
      </c>
      <c r="AD209" s="1533">
        <v>748103</v>
      </c>
      <c r="AE209" s="1533">
        <v>311710</v>
      </c>
      <c r="AF209" s="1533"/>
      <c r="AG209" s="1533">
        <v>398940.59999999992</v>
      </c>
      <c r="AH209" s="1334">
        <f t="shared" si="12"/>
        <v>772992.59999999986</v>
      </c>
      <c r="AI209" s="1333"/>
      <c r="AJ209" s="1333"/>
      <c r="AK209" s="1333"/>
    </row>
    <row r="210" spans="1:37">
      <c r="A210" s="1333"/>
      <c r="B210" s="1333"/>
      <c r="C210" s="1333"/>
      <c r="D210" s="1333"/>
      <c r="E210" s="1333"/>
      <c r="F210" s="1333"/>
      <c r="G210" s="1333"/>
      <c r="H210" s="1333"/>
      <c r="I210" s="1333"/>
      <c r="J210" s="1333"/>
      <c r="K210" s="1333"/>
      <c r="L210" s="1333"/>
      <c r="M210" s="1333"/>
      <c r="N210" s="1333"/>
      <c r="O210" s="1333"/>
      <c r="P210" s="1333"/>
      <c r="Q210" s="1333"/>
      <c r="R210" s="1333"/>
      <c r="S210" s="1333"/>
      <c r="T210" s="1333"/>
      <c r="U210" s="1333"/>
      <c r="V210" s="1333"/>
      <c r="W210" s="1333"/>
      <c r="X210" s="1062"/>
      <c r="Y210" s="1333"/>
      <c r="Z210" s="1331">
        <f t="shared" si="11"/>
        <v>9</v>
      </c>
      <c r="AA210" s="1062" t="s">
        <v>2767</v>
      </c>
      <c r="AB210" s="1058" t="s">
        <v>2768</v>
      </c>
      <c r="AC210" s="1533">
        <v>0</v>
      </c>
      <c r="AD210" s="1533">
        <v>0</v>
      </c>
      <c r="AE210" s="1533">
        <v>0</v>
      </c>
      <c r="AF210" s="1533"/>
      <c r="AG210" s="1533">
        <v>498</v>
      </c>
      <c r="AH210" s="1334">
        <f t="shared" si="12"/>
        <v>498</v>
      </c>
      <c r="AI210" s="1333"/>
      <c r="AJ210" s="1333"/>
      <c r="AK210" s="1333"/>
    </row>
    <row r="211" spans="1:37">
      <c r="A211" s="1333"/>
      <c r="B211" s="1333"/>
      <c r="C211" s="1333"/>
      <c r="D211" s="1333"/>
      <c r="E211" s="1333"/>
      <c r="F211" s="1333"/>
      <c r="G211" s="1333"/>
      <c r="H211" s="1333"/>
      <c r="I211" s="1333"/>
      <c r="J211" s="1333"/>
      <c r="K211" s="1333"/>
      <c r="L211" s="1333"/>
      <c r="M211" s="1333"/>
      <c r="N211" s="1333"/>
      <c r="O211" s="1333"/>
      <c r="P211" s="1333"/>
      <c r="Q211" s="1333"/>
      <c r="R211" s="1333"/>
      <c r="S211" s="1333"/>
      <c r="T211" s="1333"/>
      <c r="U211" s="1333"/>
      <c r="V211" s="1333"/>
      <c r="W211" s="1333"/>
      <c r="X211" s="1062"/>
      <c r="Y211" s="1333"/>
      <c r="Z211" s="1331">
        <f t="shared" si="11"/>
        <v>10</v>
      </c>
      <c r="AA211" s="1062" t="s">
        <v>2769</v>
      </c>
      <c r="AB211" s="1058" t="s">
        <v>2770</v>
      </c>
      <c r="AC211" s="1533">
        <v>-65181</v>
      </c>
      <c r="AD211" s="1533">
        <v>-65316</v>
      </c>
      <c r="AE211" s="1533">
        <v>40314</v>
      </c>
      <c r="AF211" s="1533"/>
      <c r="AG211" s="1533">
        <v>0</v>
      </c>
      <c r="AH211" s="1334">
        <f t="shared" si="12"/>
        <v>40179</v>
      </c>
      <c r="AI211" s="1333"/>
      <c r="AJ211" s="1333"/>
      <c r="AK211" s="1333"/>
    </row>
    <row r="212" spans="1:37">
      <c r="A212" s="1333"/>
      <c r="B212" s="1333"/>
      <c r="C212" s="1333"/>
      <c r="D212" s="1333"/>
      <c r="E212" s="1333"/>
      <c r="F212" s="1333"/>
      <c r="G212" s="1333"/>
      <c r="H212" s="1333"/>
      <c r="I212" s="1333"/>
      <c r="J212" s="1333"/>
      <c r="K212" s="1333"/>
      <c r="L212" s="1333"/>
      <c r="M212" s="1333"/>
      <c r="N212" s="1333"/>
      <c r="O212" s="1333"/>
      <c r="P212" s="1333"/>
      <c r="Q212" s="1333"/>
      <c r="R212" s="1333"/>
      <c r="S212" s="1333"/>
      <c r="T212" s="1333"/>
      <c r="U212" s="1333"/>
      <c r="V212" s="1333"/>
      <c r="W212" s="1333"/>
      <c r="X212" s="1062"/>
      <c r="Y212" s="1333"/>
      <c r="Z212" s="1331">
        <f t="shared" si="11"/>
        <v>11</v>
      </c>
      <c r="AA212" s="1062" t="s">
        <v>2771</v>
      </c>
      <c r="AB212" s="1058" t="s">
        <v>2772</v>
      </c>
      <c r="AC212" s="1533">
        <v>15</v>
      </c>
      <c r="AD212" s="1533">
        <v>15</v>
      </c>
      <c r="AE212" s="1533">
        <v>-33</v>
      </c>
      <c r="AF212" s="1533"/>
      <c r="AG212" s="1533">
        <v>0</v>
      </c>
      <c r="AH212" s="1334">
        <f t="shared" si="12"/>
        <v>-33</v>
      </c>
      <c r="AI212" s="1333"/>
      <c r="AJ212" s="1333"/>
      <c r="AK212" s="1333"/>
    </row>
    <row r="213" spans="1:37">
      <c r="A213" s="1333"/>
      <c r="B213" s="1333"/>
      <c r="C213" s="1333"/>
      <c r="D213" s="1333"/>
      <c r="E213" s="1333"/>
      <c r="F213" s="1333"/>
      <c r="G213" s="1333"/>
      <c r="H213" s="1333"/>
      <c r="I213" s="1333"/>
      <c r="J213" s="1333"/>
      <c r="K213" s="1333"/>
      <c r="L213" s="1333"/>
      <c r="M213" s="1333"/>
      <c r="N213" s="1333"/>
      <c r="O213" s="1333"/>
      <c r="P213" s="1333"/>
      <c r="Q213" s="1333"/>
      <c r="R213" s="1333"/>
      <c r="S213" s="1333"/>
      <c r="T213" s="1333"/>
      <c r="U213" s="1333"/>
      <c r="V213" s="1333"/>
      <c r="W213" s="1333"/>
      <c r="X213" s="1062"/>
      <c r="Y213" s="1333"/>
      <c r="Z213" s="1331">
        <f t="shared" si="11"/>
        <v>12</v>
      </c>
      <c r="AA213" s="1062" t="s">
        <v>2773</v>
      </c>
      <c r="AB213" s="1058" t="s">
        <v>2774</v>
      </c>
      <c r="AC213" s="1533">
        <v>248</v>
      </c>
      <c r="AD213" s="1533">
        <v>248</v>
      </c>
      <c r="AE213" s="1533">
        <v>29456</v>
      </c>
      <c r="AF213" s="1533"/>
      <c r="AG213" s="1533">
        <v>0</v>
      </c>
      <c r="AH213" s="1334">
        <f t="shared" si="12"/>
        <v>29456</v>
      </c>
      <c r="AI213" s="1333"/>
      <c r="AJ213" s="1333"/>
      <c r="AK213" s="1333"/>
    </row>
    <row r="214" spans="1:37">
      <c r="A214" s="1333"/>
      <c r="B214" s="1333"/>
      <c r="C214" s="1333"/>
      <c r="D214" s="1333"/>
      <c r="E214" s="1333"/>
      <c r="F214" s="1333"/>
      <c r="G214" s="1333"/>
      <c r="H214" s="1333"/>
      <c r="I214" s="1333"/>
      <c r="J214" s="1333"/>
      <c r="K214" s="1333"/>
      <c r="L214" s="1333"/>
      <c r="M214" s="1333"/>
      <c r="N214" s="1333"/>
      <c r="O214" s="1333"/>
      <c r="P214" s="1333"/>
      <c r="Q214" s="1333"/>
      <c r="R214" s="1333"/>
      <c r="S214" s="1333"/>
      <c r="T214" s="1333"/>
      <c r="U214" s="1333"/>
      <c r="V214" s="1333"/>
      <c r="W214" s="1333"/>
      <c r="X214" s="1062"/>
      <c r="Y214" s="1333"/>
      <c r="Z214" s="1331">
        <f t="shared" si="11"/>
        <v>13</v>
      </c>
      <c r="AA214" s="1062" t="s">
        <v>2775</v>
      </c>
      <c r="AB214" s="1058" t="s">
        <v>2776</v>
      </c>
      <c r="AC214" s="1533">
        <v>0</v>
      </c>
      <c r="AD214" s="1533">
        <v>0</v>
      </c>
      <c r="AE214" s="1533">
        <v>0</v>
      </c>
      <c r="AF214" s="1533"/>
      <c r="AG214" s="1533">
        <v>0</v>
      </c>
      <c r="AH214" s="1334">
        <f t="shared" si="12"/>
        <v>0</v>
      </c>
      <c r="AI214" s="1333"/>
      <c r="AJ214" s="1333"/>
      <c r="AK214" s="1333"/>
    </row>
    <row r="215" spans="1:37">
      <c r="A215" s="1333"/>
      <c r="B215" s="1333"/>
      <c r="C215" s="1333"/>
      <c r="D215" s="1333"/>
      <c r="E215" s="1333"/>
      <c r="F215" s="1333"/>
      <c r="G215" s="1333"/>
      <c r="H215" s="1333"/>
      <c r="I215" s="1333"/>
      <c r="J215" s="1333"/>
      <c r="K215" s="1333"/>
      <c r="L215" s="1333"/>
      <c r="M215" s="1333"/>
      <c r="N215" s="1333"/>
      <c r="O215" s="1333"/>
      <c r="P215" s="1333"/>
      <c r="Q215" s="1333"/>
      <c r="R215" s="1333"/>
      <c r="S215" s="1333"/>
      <c r="T215" s="1333"/>
      <c r="U215" s="1333"/>
      <c r="V215" s="1333"/>
      <c r="W215" s="1333"/>
      <c r="X215" s="1062"/>
      <c r="Y215" s="1333"/>
      <c r="Z215" s="1331">
        <f t="shared" si="11"/>
        <v>14</v>
      </c>
      <c r="AA215" s="1062" t="s">
        <v>2777</v>
      </c>
      <c r="AB215" s="1058" t="s">
        <v>2778</v>
      </c>
      <c r="AC215" s="1533">
        <v>26201375</v>
      </c>
      <c r="AD215" s="1533">
        <v>28143276</v>
      </c>
      <c r="AE215" s="1533">
        <v>12068031</v>
      </c>
      <c r="AF215" s="1533"/>
      <c r="AG215" s="1533">
        <v>21365998</v>
      </c>
      <c r="AH215" s="1334">
        <f t="shared" si="12"/>
        <v>35375930</v>
      </c>
      <c r="AI215" s="1333"/>
      <c r="AJ215" s="1333"/>
      <c r="AK215" s="1333"/>
    </row>
    <row r="216" spans="1:37">
      <c r="A216" s="1333"/>
      <c r="B216" s="1333"/>
      <c r="C216" s="1333"/>
      <c r="D216" s="1333"/>
      <c r="E216" s="1333"/>
      <c r="F216" s="1333"/>
      <c r="G216" s="1333"/>
      <c r="H216" s="1333"/>
      <c r="I216" s="1333"/>
      <c r="J216" s="1333"/>
      <c r="K216" s="1333"/>
      <c r="L216" s="1333"/>
      <c r="M216" s="1333"/>
      <c r="N216" s="1333"/>
      <c r="O216" s="1333"/>
      <c r="P216" s="1333"/>
      <c r="Q216" s="1333"/>
      <c r="R216" s="1333"/>
      <c r="S216" s="1333"/>
      <c r="T216" s="1333"/>
      <c r="U216" s="1333"/>
      <c r="V216" s="1333"/>
      <c r="W216" s="1333"/>
      <c r="X216" s="1062"/>
      <c r="Y216" s="1333"/>
      <c r="Z216" s="1331">
        <f t="shared" si="11"/>
        <v>15</v>
      </c>
      <c r="AA216" s="1062" t="s">
        <v>2779</v>
      </c>
      <c r="AB216" s="1058" t="s">
        <v>2780</v>
      </c>
      <c r="AC216" s="1533">
        <v>528013</v>
      </c>
      <c r="AD216" s="1533">
        <v>528013</v>
      </c>
      <c r="AE216" s="1533">
        <v>0</v>
      </c>
      <c r="AF216" s="1533"/>
      <c r="AG216" s="1533">
        <v>0</v>
      </c>
      <c r="AH216" s="1334">
        <f t="shared" si="12"/>
        <v>0</v>
      </c>
      <c r="AI216" s="1333"/>
      <c r="AJ216" s="1333"/>
      <c r="AK216" s="1333"/>
    </row>
    <row r="217" spans="1:37">
      <c r="A217" s="1333"/>
      <c r="B217" s="1333"/>
      <c r="C217" s="1333"/>
      <c r="D217" s="1333"/>
      <c r="E217" s="1333"/>
      <c r="F217" s="1333"/>
      <c r="G217" s="1333"/>
      <c r="H217" s="1333"/>
      <c r="I217" s="1333"/>
      <c r="J217" s="1333"/>
      <c r="K217" s="1333"/>
      <c r="L217" s="1333"/>
      <c r="M217" s="1333"/>
      <c r="N217" s="1333"/>
      <c r="O217" s="1333"/>
      <c r="P217" s="1333"/>
      <c r="Q217" s="1333"/>
      <c r="R217" s="1333"/>
      <c r="S217" s="1333"/>
      <c r="T217" s="1333"/>
      <c r="U217" s="1333"/>
      <c r="V217" s="1333"/>
      <c r="W217" s="1333"/>
      <c r="X217" s="1062"/>
      <c r="Y217" s="1333"/>
      <c r="Z217" s="1331">
        <f t="shared" si="11"/>
        <v>16</v>
      </c>
      <c r="AA217" s="1062" t="s">
        <v>2781</v>
      </c>
      <c r="AB217" s="1058" t="s">
        <v>2782</v>
      </c>
      <c r="AC217" s="1533">
        <v>0</v>
      </c>
      <c r="AD217" s="1533">
        <v>0</v>
      </c>
      <c r="AE217" s="1533">
        <v>0</v>
      </c>
      <c r="AF217" s="1533"/>
      <c r="AG217" s="1533">
        <v>0</v>
      </c>
      <c r="AH217" s="1334">
        <f t="shared" si="12"/>
        <v>0</v>
      </c>
      <c r="AI217" s="1333"/>
      <c r="AJ217" s="1333"/>
      <c r="AK217" s="1333"/>
    </row>
    <row r="218" spans="1:37">
      <c r="A218" s="1333"/>
      <c r="B218" s="1333"/>
      <c r="C218" s="1333"/>
      <c r="D218" s="1333"/>
      <c r="E218" s="1333"/>
      <c r="F218" s="1333"/>
      <c r="G218" s="1333"/>
      <c r="H218" s="1333"/>
      <c r="I218" s="1333"/>
      <c r="J218" s="1333"/>
      <c r="K218" s="1333"/>
      <c r="L218" s="1333"/>
      <c r="M218" s="1333"/>
      <c r="N218" s="1333"/>
      <c r="O218" s="1333"/>
      <c r="P218" s="1333"/>
      <c r="Q218" s="1333"/>
      <c r="R218" s="1333"/>
      <c r="S218" s="1333"/>
      <c r="T218" s="1333"/>
      <c r="U218" s="1333"/>
      <c r="V218" s="1333"/>
      <c r="W218" s="1333"/>
      <c r="X218" s="1062"/>
      <c r="Y218" s="1333"/>
      <c r="Z218" s="1331">
        <f t="shared" si="11"/>
        <v>17</v>
      </c>
      <c r="AA218" s="1062" t="s">
        <v>2783</v>
      </c>
      <c r="AB218" s="1058" t="s">
        <v>2784</v>
      </c>
      <c r="AC218" s="1533">
        <v>344258</v>
      </c>
      <c r="AD218" s="1533">
        <v>362311</v>
      </c>
      <c r="AE218" s="1533">
        <v>41097</v>
      </c>
      <c r="AF218" s="1533"/>
      <c r="AG218" s="1533">
        <v>0</v>
      </c>
      <c r="AH218" s="1334">
        <f t="shared" si="12"/>
        <v>59150</v>
      </c>
      <c r="AI218" s="1333"/>
      <c r="AJ218" s="1333"/>
      <c r="AK218" s="1333"/>
    </row>
    <row r="219" spans="1:37">
      <c r="A219" s="1333"/>
      <c r="B219" s="1333"/>
      <c r="C219" s="1333"/>
      <c r="D219" s="1333"/>
      <c r="E219" s="1333"/>
      <c r="F219" s="1333"/>
      <c r="G219" s="1333"/>
      <c r="H219" s="1333"/>
      <c r="I219" s="1333"/>
      <c r="J219" s="1333"/>
      <c r="K219" s="1333"/>
      <c r="L219" s="1333"/>
      <c r="M219" s="1333"/>
      <c r="N219" s="1333"/>
      <c r="O219" s="1333"/>
      <c r="P219" s="1333"/>
      <c r="Q219" s="1333"/>
      <c r="R219" s="1333"/>
      <c r="S219" s="1333"/>
      <c r="T219" s="1333"/>
      <c r="U219" s="1333"/>
      <c r="V219" s="1333"/>
      <c r="W219" s="1333"/>
      <c r="X219" s="1062"/>
      <c r="Y219" s="1333"/>
      <c r="Z219" s="1331">
        <f t="shared" si="11"/>
        <v>18</v>
      </c>
      <c r="AA219" s="1062" t="s">
        <v>2785</v>
      </c>
      <c r="AB219" s="1058" t="s">
        <v>2786</v>
      </c>
      <c r="AC219" s="1533">
        <v>0</v>
      </c>
      <c r="AD219" s="1533">
        <v>0</v>
      </c>
      <c r="AE219" s="1533">
        <v>0</v>
      </c>
      <c r="AF219" s="1533"/>
      <c r="AG219" s="1533">
        <v>0</v>
      </c>
      <c r="AH219" s="1334">
        <f t="shared" si="12"/>
        <v>0</v>
      </c>
      <c r="AI219" s="1333"/>
      <c r="AJ219" s="1333"/>
      <c r="AK219" s="1333"/>
    </row>
    <row r="220" spans="1:37">
      <c r="A220" s="1333"/>
      <c r="B220" s="1333"/>
      <c r="C220" s="1333"/>
      <c r="D220" s="1333"/>
      <c r="E220" s="1333"/>
      <c r="F220" s="1333"/>
      <c r="G220" s="1333"/>
      <c r="H220" s="1333"/>
      <c r="I220" s="1333"/>
      <c r="J220" s="1333"/>
      <c r="K220" s="1333"/>
      <c r="L220" s="1333"/>
      <c r="M220" s="1333"/>
      <c r="N220" s="1333"/>
      <c r="O220" s="1333"/>
      <c r="P220" s="1333"/>
      <c r="Q220" s="1333"/>
      <c r="R220" s="1333"/>
      <c r="S220" s="1333"/>
      <c r="T220" s="1333"/>
      <c r="U220" s="1333"/>
      <c r="V220" s="1333"/>
      <c r="W220" s="1333"/>
      <c r="X220" s="1062"/>
      <c r="Y220" s="1333"/>
      <c r="Z220" s="1331">
        <f t="shared" si="11"/>
        <v>19</v>
      </c>
      <c r="AA220" s="1062" t="s">
        <v>2787</v>
      </c>
      <c r="AB220" s="1058" t="s">
        <v>2788</v>
      </c>
      <c r="AC220" s="1533">
        <v>-685761</v>
      </c>
      <c r="AD220" s="1533">
        <v>-748103</v>
      </c>
      <c r="AE220" s="1533">
        <v>-311710</v>
      </c>
      <c r="AF220" s="1533"/>
      <c r="AG220" s="1533">
        <v>-398940.59998421639</v>
      </c>
      <c r="AH220" s="1334">
        <f t="shared" si="12"/>
        <v>-772992.59998421639</v>
      </c>
      <c r="AI220" s="1333"/>
      <c r="AJ220" s="1333"/>
      <c r="AK220" s="1333"/>
    </row>
    <row r="221" spans="1:37">
      <c r="A221" s="1333"/>
      <c r="B221" s="1333"/>
      <c r="C221" s="1333"/>
      <c r="D221" s="1333"/>
      <c r="E221" s="1333"/>
      <c r="F221" s="1333"/>
      <c r="G221" s="1333"/>
      <c r="H221" s="1333"/>
      <c r="I221" s="1333"/>
      <c r="J221" s="1333"/>
      <c r="K221" s="1333"/>
      <c r="L221" s="1333"/>
      <c r="M221" s="1333"/>
      <c r="N221" s="1333"/>
      <c r="O221" s="1333"/>
      <c r="P221" s="1333"/>
      <c r="Q221" s="1333"/>
      <c r="R221" s="1333"/>
      <c r="S221" s="1333"/>
      <c r="T221" s="1333"/>
      <c r="U221" s="1333"/>
      <c r="V221" s="1333"/>
      <c r="W221" s="1333"/>
      <c r="X221" s="1062"/>
      <c r="Y221" s="1333"/>
      <c r="Z221" s="1331">
        <f t="shared" si="11"/>
        <v>20</v>
      </c>
      <c r="AA221" s="1062" t="s">
        <v>2789</v>
      </c>
      <c r="AB221" s="1058" t="s">
        <v>2790</v>
      </c>
      <c r="AC221" s="1533">
        <v>750007</v>
      </c>
      <c r="AD221" s="1533">
        <v>856866</v>
      </c>
      <c r="AE221" s="1533">
        <v>705040</v>
      </c>
      <c r="AF221" s="1533"/>
      <c r="AG221" s="1533">
        <v>1674432.6498500372</v>
      </c>
      <c r="AH221" s="1334">
        <f t="shared" si="12"/>
        <v>2486331.6498500369</v>
      </c>
      <c r="AI221" s="1333"/>
      <c r="AJ221" s="1333"/>
      <c r="AK221" s="1333"/>
    </row>
    <row r="222" spans="1:37">
      <c r="A222" s="1333"/>
      <c r="B222" s="1333"/>
      <c r="C222" s="1333"/>
      <c r="D222" s="1333"/>
      <c r="E222" s="1333"/>
      <c r="F222" s="1333"/>
      <c r="G222" s="1333"/>
      <c r="H222" s="1333"/>
      <c r="I222" s="1333"/>
      <c r="J222" s="1333"/>
      <c r="K222" s="1333"/>
      <c r="L222" s="1333"/>
      <c r="M222" s="1333"/>
      <c r="N222" s="1333"/>
      <c r="O222" s="1333"/>
      <c r="P222" s="1333"/>
      <c r="Q222" s="1333"/>
      <c r="R222" s="1333"/>
      <c r="S222" s="1333"/>
      <c r="T222" s="1333"/>
      <c r="U222" s="1333"/>
      <c r="V222" s="1333"/>
      <c r="W222" s="1333"/>
      <c r="X222" s="1062"/>
      <c r="Y222" s="1333"/>
      <c r="Z222" s="1331">
        <f t="shared" si="11"/>
        <v>21</v>
      </c>
      <c r="AA222" s="1062" t="s">
        <v>2791</v>
      </c>
      <c r="AB222" s="1058" t="s">
        <v>2792</v>
      </c>
      <c r="AC222" s="1533">
        <v>-67769598</v>
      </c>
      <c r="AD222" s="1533">
        <v>-73930470</v>
      </c>
      <c r="AE222" s="1533">
        <v>-37362586</v>
      </c>
      <c r="AF222" s="1533"/>
      <c r="AG222" s="1533">
        <v>-44289073.015559807</v>
      </c>
      <c r="AH222" s="1334">
        <f t="shared" si="12"/>
        <v>-87812531.015559807</v>
      </c>
      <c r="AI222" s="1333"/>
      <c r="AJ222" s="1333"/>
      <c r="AK222" s="1333"/>
    </row>
    <row r="223" spans="1:37">
      <c r="A223" s="1333"/>
      <c r="B223" s="1333"/>
      <c r="C223" s="1333"/>
      <c r="D223" s="1333"/>
      <c r="E223" s="1333"/>
      <c r="F223" s="1333"/>
      <c r="G223" s="1333"/>
      <c r="H223" s="1333"/>
      <c r="I223" s="1333"/>
      <c r="J223" s="1333"/>
      <c r="K223" s="1333"/>
      <c r="L223" s="1333"/>
      <c r="M223" s="1333"/>
      <c r="N223" s="1333"/>
      <c r="O223" s="1333"/>
      <c r="P223" s="1333"/>
      <c r="Q223" s="1333"/>
      <c r="R223" s="1333"/>
      <c r="S223" s="1333"/>
      <c r="T223" s="1333"/>
      <c r="U223" s="1333"/>
      <c r="V223" s="1333"/>
      <c r="W223" s="1333"/>
      <c r="X223" s="1062"/>
      <c r="Y223" s="1333"/>
      <c r="Z223" s="1331">
        <f t="shared" si="11"/>
        <v>22</v>
      </c>
      <c r="AA223" s="1062" t="s">
        <v>2793</v>
      </c>
      <c r="AB223" s="1058" t="s">
        <v>2794</v>
      </c>
      <c r="AC223" s="1533">
        <v>-10083333</v>
      </c>
      <c r="AD223" s="1533">
        <v>-12201346</v>
      </c>
      <c r="AE223" s="1533">
        <v>-4583333</v>
      </c>
      <c r="AF223" s="1533"/>
      <c r="AG223" s="1533">
        <v>-6054461.7799999714</v>
      </c>
      <c r="AH223" s="1334">
        <f t="shared" si="12"/>
        <v>-12755807.779999971</v>
      </c>
      <c r="AI223" s="1333"/>
      <c r="AJ223" s="1333"/>
      <c r="AK223" s="1333"/>
    </row>
    <row r="224" spans="1:37">
      <c r="A224" s="1333"/>
      <c r="B224" s="1333"/>
      <c r="C224" s="1333"/>
      <c r="D224" s="1333"/>
      <c r="E224" s="1333"/>
      <c r="F224" s="1333"/>
      <c r="G224" s="1333"/>
      <c r="H224" s="1333"/>
      <c r="I224" s="1333"/>
      <c r="J224" s="1333"/>
      <c r="K224" s="1333"/>
      <c r="L224" s="1333"/>
      <c r="M224" s="1333"/>
      <c r="N224" s="1333"/>
      <c r="O224" s="1333"/>
      <c r="P224" s="1333"/>
      <c r="Q224" s="1333"/>
      <c r="R224" s="1333"/>
      <c r="S224" s="1333"/>
      <c r="T224" s="1333"/>
      <c r="U224" s="1333"/>
      <c r="V224" s="1333"/>
      <c r="W224" s="1333"/>
      <c r="X224" s="1062"/>
      <c r="Y224" s="1333"/>
      <c r="Z224" s="1331">
        <f t="shared" si="11"/>
        <v>23</v>
      </c>
      <c r="AA224" s="1062" t="s">
        <v>2795</v>
      </c>
      <c r="AB224" s="1058" t="s">
        <v>2796</v>
      </c>
      <c r="AC224" s="1533"/>
      <c r="AD224" s="1533"/>
      <c r="AE224" s="1533"/>
      <c r="AF224" s="1533"/>
      <c r="AG224" s="1533">
        <v>0</v>
      </c>
      <c r="AH224" s="1334">
        <f t="shared" si="12"/>
        <v>0</v>
      </c>
      <c r="AI224" s="1333"/>
      <c r="AJ224" s="1333"/>
      <c r="AK224" s="1333"/>
    </row>
    <row r="225" spans="1:37">
      <c r="A225" s="1333"/>
      <c r="B225" s="1333"/>
      <c r="C225" s="1333"/>
      <c r="D225" s="1333"/>
      <c r="E225" s="1333"/>
      <c r="F225" s="1333"/>
      <c r="G225" s="1333"/>
      <c r="H225" s="1333"/>
      <c r="I225" s="1333"/>
      <c r="J225" s="1333"/>
      <c r="K225" s="1333"/>
      <c r="L225" s="1333"/>
      <c r="M225" s="1333"/>
      <c r="N225" s="1333"/>
      <c r="O225" s="1333"/>
      <c r="P225" s="1333"/>
      <c r="Q225" s="1333"/>
      <c r="R225" s="1333"/>
      <c r="S225" s="1333"/>
      <c r="T225" s="1333"/>
      <c r="U225" s="1333"/>
      <c r="V225" s="1333"/>
      <c r="W225" s="1333"/>
      <c r="X225" s="1062"/>
      <c r="Y225" s="1333"/>
      <c r="Z225" s="1331">
        <f t="shared" si="11"/>
        <v>24</v>
      </c>
      <c r="AA225" s="1062" t="s">
        <v>2797</v>
      </c>
      <c r="AB225" s="1058" t="s">
        <v>2798</v>
      </c>
      <c r="AC225" s="1533">
        <v>13816</v>
      </c>
      <c r="AD225" s="1533">
        <v>15517</v>
      </c>
      <c r="AE225" s="1533">
        <v>8877</v>
      </c>
      <c r="AF225" s="1533"/>
      <c r="AG225" s="1533">
        <v>0</v>
      </c>
      <c r="AH225" s="1334">
        <f t="shared" si="12"/>
        <v>10578</v>
      </c>
      <c r="AI225" s="1333"/>
      <c r="AJ225" s="1333"/>
      <c r="AK225" s="1333"/>
    </row>
    <row r="226" spans="1:37">
      <c r="A226" s="1333"/>
      <c r="B226" s="1333"/>
      <c r="C226" s="1333"/>
      <c r="D226" s="1333"/>
      <c r="E226" s="1333"/>
      <c r="F226" s="1333"/>
      <c r="G226" s="1333"/>
      <c r="H226" s="1333"/>
      <c r="I226" s="1333"/>
      <c r="J226" s="1333"/>
      <c r="K226" s="1333"/>
      <c r="L226" s="1333"/>
      <c r="M226" s="1333"/>
      <c r="N226" s="1333"/>
      <c r="O226" s="1333"/>
      <c r="P226" s="1333"/>
      <c r="Q226" s="1333"/>
      <c r="R226" s="1333"/>
      <c r="S226" s="1333"/>
      <c r="T226" s="1333"/>
      <c r="U226" s="1333"/>
      <c r="V226" s="1333"/>
      <c r="W226" s="1333"/>
      <c r="X226" s="1062"/>
      <c r="Y226" s="1333"/>
      <c r="Z226" s="1331">
        <f t="shared" si="11"/>
        <v>25</v>
      </c>
      <c r="AA226" s="1062" t="s">
        <v>2799</v>
      </c>
      <c r="AB226" s="1058" t="s">
        <v>2800</v>
      </c>
      <c r="AC226" s="1533">
        <v>-439725</v>
      </c>
      <c r="AD226" s="1533">
        <v>-791711</v>
      </c>
      <c r="AE226" s="1533">
        <v>-119833</v>
      </c>
      <c r="AF226" s="1533"/>
      <c r="AG226" s="1533">
        <v>0</v>
      </c>
      <c r="AH226" s="1334">
        <f t="shared" si="12"/>
        <v>-471819</v>
      </c>
      <c r="AI226" s="1333"/>
      <c r="AJ226" s="1333"/>
      <c r="AK226" s="1333"/>
    </row>
    <row r="227" spans="1:37">
      <c r="A227" s="1333"/>
      <c r="B227" s="1333"/>
      <c r="C227" s="1333"/>
      <c r="D227" s="1333"/>
      <c r="E227" s="1333"/>
      <c r="F227" s="1333"/>
      <c r="G227" s="1333"/>
      <c r="H227" s="1333"/>
      <c r="I227" s="1333"/>
      <c r="J227" s="1333"/>
      <c r="K227" s="1333"/>
      <c r="L227" s="1333"/>
      <c r="M227" s="1333"/>
      <c r="N227" s="1333"/>
      <c r="O227" s="1333"/>
      <c r="P227" s="1333"/>
      <c r="Q227" s="1333"/>
      <c r="R227" s="1333"/>
      <c r="S227" s="1333"/>
      <c r="T227" s="1333"/>
      <c r="U227" s="1333"/>
      <c r="V227" s="1333"/>
      <c r="W227" s="1333"/>
      <c r="X227" s="1062"/>
      <c r="Y227" s="1333"/>
      <c r="Z227" s="1331">
        <f t="shared" si="11"/>
        <v>26</v>
      </c>
      <c r="AA227" s="1062" t="s">
        <v>2801</v>
      </c>
      <c r="AB227" s="1058" t="s">
        <v>2802</v>
      </c>
      <c r="AC227" s="1533">
        <v>-106078</v>
      </c>
      <c r="AD227" s="1533">
        <v>780060</v>
      </c>
      <c r="AE227" s="1533">
        <v>560598</v>
      </c>
      <c r="AF227" s="1533"/>
      <c r="AG227" s="1533">
        <v>0</v>
      </c>
      <c r="AH227" s="1334">
        <f t="shared" si="12"/>
        <v>1446736</v>
      </c>
      <c r="AI227" s="1333"/>
      <c r="AJ227" s="1333"/>
      <c r="AK227" s="1333"/>
    </row>
    <row r="228" spans="1:37">
      <c r="A228" s="1333"/>
      <c r="B228" s="1333"/>
      <c r="C228" s="1333"/>
      <c r="D228" s="1333"/>
      <c r="E228" s="1333"/>
      <c r="F228" s="1333"/>
      <c r="G228" s="1333"/>
      <c r="H228" s="1333"/>
      <c r="I228" s="1333"/>
      <c r="J228" s="1333"/>
      <c r="K228" s="1333"/>
      <c r="L228" s="1333"/>
      <c r="M228" s="1333"/>
      <c r="N228" s="1333"/>
      <c r="O228" s="1333"/>
      <c r="P228" s="1333"/>
      <c r="Q228" s="1333"/>
      <c r="R228" s="1333"/>
      <c r="S228" s="1333"/>
      <c r="T228" s="1333"/>
      <c r="U228" s="1333"/>
      <c r="V228" s="1333"/>
      <c r="W228" s="1333"/>
      <c r="X228" s="1062"/>
      <c r="Y228" s="1333"/>
      <c r="Z228" s="1331">
        <f t="shared" si="11"/>
        <v>27</v>
      </c>
      <c r="AA228" s="1062" t="s">
        <v>2803</v>
      </c>
      <c r="AB228" s="1058" t="s">
        <v>2804</v>
      </c>
      <c r="AC228" s="1533">
        <v>-14666667</v>
      </c>
      <c r="AD228" s="1533">
        <v>-16000000</v>
      </c>
      <c r="AE228" s="1533">
        <v>-5833333</v>
      </c>
      <c r="AF228" s="1533"/>
      <c r="AG228" s="1533">
        <v>-7000000.0000000196</v>
      </c>
      <c r="AH228" s="1334">
        <f t="shared" si="12"/>
        <v>-14166666.000000019</v>
      </c>
      <c r="AI228" s="1333"/>
      <c r="AJ228" s="1333"/>
      <c r="AK228" s="1333"/>
    </row>
    <row r="229" spans="1:37">
      <c r="A229" s="1333"/>
      <c r="B229" s="1333"/>
      <c r="C229" s="1333"/>
      <c r="D229" s="1333"/>
      <c r="E229" s="1333"/>
      <c r="F229" s="1333"/>
      <c r="G229" s="1333"/>
      <c r="H229" s="1333"/>
      <c r="I229" s="1333"/>
      <c r="J229" s="1333"/>
      <c r="K229" s="1333"/>
      <c r="L229" s="1333"/>
      <c r="M229" s="1333"/>
      <c r="N229" s="1333"/>
      <c r="O229" s="1333"/>
      <c r="P229" s="1333"/>
      <c r="Q229" s="1333"/>
      <c r="R229" s="1333"/>
      <c r="S229" s="1333"/>
      <c r="T229" s="1333"/>
      <c r="U229" s="1333"/>
      <c r="V229" s="1333"/>
      <c r="W229" s="1333"/>
      <c r="X229" s="1062"/>
      <c r="Y229" s="1333"/>
      <c r="Z229" s="1331">
        <f t="shared" si="11"/>
        <v>28</v>
      </c>
      <c r="AA229" s="1062" t="s">
        <v>2805</v>
      </c>
      <c r="AB229" s="1058" t="s">
        <v>2806</v>
      </c>
      <c r="AC229" s="1533">
        <v>0</v>
      </c>
      <c r="AD229" s="1533">
        <v>0</v>
      </c>
      <c r="AE229" s="1533">
        <v>0</v>
      </c>
      <c r="AF229" s="1533"/>
      <c r="AG229" s="1533">
        <v>0</v>
      </c>
      <c r="AH229" s="1334">
        <f t="shared" si="12"/>
        <v>0</v>
      </c>
      <c r="AI229" s="1333"/>
      <c r="AJ229" s="1333"/>
      <c r="AK229" s="1333"/>
    </row>
    <row r="230" spans="1:37">
      <c r="A230" s="1333"/>
      <c r="B230" s="1333"/>
      <c r="C230" s="1333"/>
      <c r="D230" s="1333"/>
      <c r="E230" s="1333"/>
      <c r="F230" s="1333"/>
      <c r="G230" s="1333"/>
      <c r="H230" s="1333"/>
      <c r="I230" s="1333"/>
      <c r="J230" s="1333"/>
      <c r="K230" s="1333"/>
      <c r="L230" s="1333"/>
      <c r="M230" s="1333"/>
      <c r="N230" s="1333"/>
      <c r="O230" s="1333"/>
      <c r="P230" s="1333"/>
      <c r="Q230" s="1333"/>
      <c r="R230" s="1333"/>
      <c r="S230" s="1333"/>
      <c r="T230" s="1333"/>
      <c r="U230" s="1333"/>
      <c r="V230" s="1333"/>
      <c r="W230" s="1333"/>
      <c r="X230" s="1062"/>
      <c r="Y230" s="1333"/>
      <c r="Z230" s="1331">
        <f t="shared" si="11"/>
        <v>29</v>
      </c>
      <c r="AA230" s="1062" t="s">
        <v>2807</v>
      </c>
      <c r="AB230" s="1058" t="s">
        <v>2808</v>
      </c>
      <c r="AC230" s="1533">
        <v>-4766667</v>
      </c>
      <c r="AD230" s="1533">
        <v>-5200000</v>
      </c>
      <c r="AE230" s="1533">
        <v>-2166667</v>
      </c>
      <c r="AF230" s="1533"/>
      <c r="AG230" s="1533">
        <v>-2599999.9999999977</v>
      </c>
      <c r="AH230" s="1334">
        <f t="shared" si="12"/>
        <v>-5199999.9999999981</v>
      </c>
      <c r="AI230" s="1333"/>
      <c r="AJ230" s="1333"/>
      <c r="AK230" s="1333"/>
    </row>
    <row r="231" spans="1:37">
      <c r="A231" s="1333"/>
      <c r="B231" s="1333"/>
      <c r="C231" s="1333"/>
      <c r="D231" s="1333"/>
      <c r="E231" s="1333"/>
      <c r="F231" s="1333"/>
      <c r="G231" s="1333"/>
      <c r="H231" s="1333"/>
      <c r="I231" s="1333"/>
      <c r="J231" s="1333"/>
      <c r="K231" s="1333"/>
      <c r="L231" s="1333"/>
      <c r="M231" s="1333"/>
      <c r="N231" s="1333"/>
      <c r="O231" s="1333"/>
      <c r="P231" s="1333"/>
      <c r="Q231" s="1333"/>
      <c r="R231" s="1333"/>
      <c r="S231" s="1333"/>
      <c r="T231" s="1333"/>
      <c r="U231" s="1333"/>
      <c r="V231" s="1333"/>
      <c r="W231" s="1333"/>
      <c r="X231" s="1062"/>
      <c r="Y231" s="1333"/>
      <c r="Z231" s="1331">
        <f t="shared" si="11"/>
        <v>30</v>
      </c>
      <c r="AA231" s="1062" t="s">
        <v>2809</v>
      </c>
      <c r="AB231" s="1058" t="s">
        <v>2810</v>
      </c>
      <c r="AC231" s="1533">
        <v>1403749</v>
      </c>
      <c r="AD231" s="1533">
        <v>1531363</v>
      </c>
      <c r="AE231" s="1533">
        <v>0</v>
      </c>
      <c r="AF231" s="1533"/>
      <c r="AG231" s="1533">
        <v>0</v>
      </c>
      <c r="AH231" s="1334">
        <f t="shared" si="12"/>
        <v>127614</v>
      </c>
      <c r="AI231" s="1333"/>
      <c r="AJ231" s="1333"/>
      <c r="AK231" s="1333"/>
    </row>
    <row r="232" spans="1:37">
      <c r="A232" s="1333"/>
      <c r="B232" s="1333"/>
      <c r="C232" s="1333"/>
      <c r="D232" s="1333"/>
      <c r="E232" s="1333"/>
      <c r="F232" s="1333"/>
      <c r="G232" s="1333"/>
      <c r="H232" s="1333"/>
      <c r="I232" s="1333"/>
      <c r="J232" s="1333"/>
      <c r="K232" s="1333"/>
      <c r="L232" s="1333"/>
      <c r="M232" s="1333"/>
      <c r="N232" s="1333"/>
      <c r="O232" s="1333"/>
      <c r="P232" s="1333"/>
      <c r="Q232" s="1333"/>
      <c r="R232" s="1333"/>
      <c r="S232" s="1333"/>
      <c r="T232" s="1333"/>
      <c r="U232" s="1333"/>
      <c r="V232" s="1333"/>
      <c r="W232" s="1333"/>
      <c r="X232" s="1062"/>
      <c r="Y232" s="1333"/>
      <c r="Z232" s="1331">
        <f t="shared" si="11"/>
        <v>31</v>
      </c>
      <c r="AA232" s="1062" t="s">
        <v>2811</v>
      </c>
      <c r="AB232" s="1058" t="s">
        <v>2812</v>
      </c>
      <c r="AC232" s="1533"/>
      <c r="AD232" s="1533"/>
      <c r="AE232" s="1533"/>
      <c r="AF232" s="1533"/>
      <c r="AG232" s="1533"/>
      <c r="AH232" s="1334">
        <f t="shared" si="12"/>
        <v>0</v>
      </c>
      <c r="AI232" s="1333"/>
      <c r="AJ232" s="1333"/>
      <c r="AK232" s="1333"/>
    </row>
    <row r="233" spans="1:37">
      <c r="A233" s="1333"/>
      <c r="B233" s="1333"/>
      <c r="C233" s="1333"/>
      <c r="D233" s="1333"/>
      <c r="E233" s="1333"/>
      <c r="F233" s="1333"/>
      <c r="G233" s="1333"/>
      <c r="H233" s="1333"/>
      <c r="I233" s="1333"/>
      <c r="J233" s="1333"/>
      <c r="K233" s="1333"/>
      <c r="L233" s="1333"/>
      <c r="M233" s="1333"/>
      <c r="N233" s="1333"/>
      <c r="O233" s="1333"/>
      <c r="P233" s="1333"/>
      <c r="Q233" s="1333"/>
      <c r="R233" s="1333"/>
      <c r="S233" s="1333"/>
      <c r="T233" s="1333"/>
      <c r="U233" s="1333"/>
      <c r="V233" s="1333"/>
      <c r="W233" s="1333"/>
      <c r="X233" s="1062"/>
      <c r="Y233" s="1333"/>
      <c r="Z233" s="1331">
        <f t="shared" si="11"/>
        <v>32</v>
      </c>
      <c r="AA233" s="1062" t="s">
        <v>2813</v>
      </c>
      <c r="AB233" s="1058" t="s">
        <v>2814</v>
      </c>
      <c r="AC233" s="1533">
        <v>677832</v>
      </c>
      <c r="AD233" s="1533">
        <v>-631643</v>
      </c>
      <c r="AE233" s="1533">
        <v>0</v>
      </c>
      <c r="AF233" s="1533"/>
      <c r="AG233" s="1533">
        <v>0</v>
      </c>
      <c r="AH233" s="1334">
        <f t="shared" si="12"/>
        <v>-1309475</v>
      </c>
      <c r="AI233" s="1333"/>
      <c r="AJ233" s="1333"/>
      <c r="AK233" s="1333"/>
    </row>
    <row r="234" spans="1:37">
      <c r="A234" s="1333"/>
      <c r="B234" s="1333"/>
      <c r="C234" s="1333"/>
      <c r="D234" s="1333"/>
      <c r="E234" s="1333"/>
      <c r="F234" s="1333"/>
      <c r="G234" s="1333"/>
      <c r="H234" s="1333"/>
      <c r="I234" s="1333"/>
      <c r="J234" s="1333"/>
      <c r="K234" s="1333"/>
      <c r="L234" s="1333"/>
      <c r="M234" s="1333"/>
      <c r="N234" s="1333"/>
      <c r="O234" s="1333"/>
      <c r="P234" s="1333"/>
      <c r="Q234" s="1333"/>
      <c r="R234" s="1333"/>
      <c r="S234" s="1333"/>
      <c r="T234" s="1333"/>
      <c r="U234" s="1333"/>
      <c r="V234" s="1333"/>
      <c r="W234" s="1333"/>
      <c r="X234" s="1062"/>
      <c r="Y234" s="1333"/>
      <c r="Z234" s="1331">
        <f t="shared" si="11"/>
        <v>33</v>
      </c>
      <c r="AA234" s="1062" t="s">
        <v>2815</v>
      </c>
      <c r="AB234" s="1058" t="s">
        <v>2816</v>
      </c>
      <c r="AC234" s="1533">
        <v>171012</v>
      </c>
      <c r="AD234" s="1533">
        <v>186558</v>
      </c>
      <c r="AE234" s="1533">
        <v>78021</v>
      </c>
      <c r="AF234" s="1533"/>
      <c r="AG234" s="1533">
        <v>93254.709576577196</v>
      </c>
      <c r="AH234" s="1334">
        <f t="shared" si="12"/>
        <v>186821.70957657718</v>
      </c>
      <c r="AI234" s="1333"/>
      <c r="AJ234" s="1333"/>
      <c r="AK234" s="1333"/>
    </row>
    <row r="235" spans="1:37">
      <c r="A235" s="1333"/>
      <c r="B235" s="1333"/>
      <c r="C235" s="1333"/>
      <c r="D235" s="1333"/>
      <c r="E235" s="1333"/>
      <c r="F235" s="1333"/>
      <c r="G235" s="1333"/>
      <c r="H235" s="1333"/>
      <c r="I235" s="1333"/>
      <c r="J235" s="1333"/>
      <c r="K235" s="1333"/>
      <c r="L235" s="1333"/>
      <c r="M235" s="1333"/>
      <c r="N235" s="1333"/>
      <c r="O235" s="1333"/>
      <c r="P235" s="1333"/>
      <c r="Q235" s="1333"/>
      <c r="R235" s="1333"/>
      <c r="S235" s="1333"/>
      <c r="T235" s="1333"/>
      <c r="U235" s="1333"/>
      <c r="V235" s="1333"/>
      <c r="W235" s="1333"/>
      <c r="X235" s="1062"/>
      <c r="Y235" s="1333"/>
      <c r="Z235" s="1331">
        <f t="shared" si="11"/>
        <v>34</v>
      </c>
      <c r="AA235" s="1062" t="s">
        <v>2817</v>
      </c>
      <c r="AB235" s="1058" t="s">
        <v>2818</v>
      </c>
      <c r="AC235" s="1533">
        <v>12067</v>
      </c>
      <c r="AD235" s="1533">
        <v>13164</v>
      </c>
      <c r="AE235" s="1533">
        <v>5485</v>
      </c>
      <c r="AF235" s="1533"/>
      <c r="AG235" s="1533">
        <v>0</v>
      </c>
      <c r="AH235" s="1334">
        <f t="shared" si="12"/>
        <v>6582</v>
      </c>
      <c r="AI235" s="1333"/>
      <c r="AJ235" s="1333"/>
      <c r="AK235" s="1333"/>
    </row>
    <row r="236" spans="1:37">
      <c r="A236" s="1333"/>
      <c r="B236" s="1333"/>
      <c r="C236" s="1333"/>
      <c r="D236" s="1333"/>
      <c r="E236" s="1333"/>
      <c r="F236" s="1333"/>
      <c r="G236" s="1333"/>
      <c r="H236" s="1333"/>
      <c r="I236" s="1333"/>
      <c r="J236" s="1333"/>
      <c r="K236" s="1333"/>
      <c r="L236" s="1333"/>
      <c r="M236" s="1333"/>
      <c r="N236" s="1333"/>
      <c r="O236" s="1333"/>
      <c r="P236" s="1333"/>
      <c r="Q236" s="1333"/>
      <c r="R236" s="1333"/>
      <c r="S236" s="1333"/>
      <c r="T236" s="1333"/>
      <c r="U236" s="1333"/>
      <c r="V236" s="1333"/>
      <c r="W236" s="1333"/>
      <c r="X236" s="1062"/>
      <c r="Y236" s="1333"/>
      <c r="Z236" s="1331">
        <f t="shared" si="11"/>
        <v>35</v>
      </c>
      <c r="AA236" s="1062" t="s">
        <v>2819</v>
      </c>
      <c r="AB236" s="1058" t="s">
        <v>2820</v>
      </c>
      <c r="AC236" s="1533">
        <v>6147983</v>
      </c>
      <c r="AD236" s="1533">
        <v>5786160</v>
      </c>
      <c r="AE236" s="1533">
        <v>-4730828</v>
      </c>
      <c r="AF236" s="1533"/>
      <c r="AG236" s="1533">
        <v>0</v>
      </c>
      <c r="AH236" s="1334">
        <f t="shared" si="12"/>
        <v>-5092651</v>
      </c>
      <c r="AI236" s="1333"/>
      <c r="AJ236" s="1333"/>
      <c r="AK236" s="1333"/>
    </row>
    <row r="237" spans="1:37">
      <c r="A237" s="1333"/>
      <c r="B237" s="1333"/>
      <c r="C237" s="1333"/>
      <c r="D237" s="1333"/>
      <c r="E237" s="1333"/>
      <c r="F237" s="1333"/>
      <c r="G237" s="1333"/>
      <c r="H237" s="1333"/>
      <c r="I237" s="1333"/>
      <c r="J237" s="1333"/>
      <c r="K237" s="1333"/>
      <c r="L237" s="1333"/>
      <c r="M237" s="1333"/>
      <c r="N237" s="1333"/>
      <c r="O237" s="1333"/>
      <c r="P237" s="1333"/>
      <c r="Q237" s="1333"/>
      <c r="R237" s="1333"/>
      <c r="S237" s="1333"/>
      <c r="T237" s="1333"/>
      <c r="U237" s="1333"/>
      <c r="V237" s="1333"/>
      <c r="W237" s="1333"/>
      <c r="X237" s="1062"/>
      <c r="Y237" s="1333"/>
      <c r="Z237" s="1331">
        <f t="shared" si="11"/>
        <v>36</v>
      </c>
      <c r="AA237" s="1062" t="s">
        <v>2821</v>
      </c>
      <c r="AB237" s="1058" t="s">
        <v>2822</v>
      </c>
      <c r="AC237" s="1533">
        <v>1156334</v>
      </c>
      <c r="AD237" s="1533">
        <v>1516791</v>
      </c>
      <c r="AE237" s="1533">
        <v>17615102</v>
      </c>
      <c r="AF237" s="1533"/>
      <c r="AG237" s="1533">
        <v>0</v>
      </c>
      <c r="AH237" s="1334">
        <f t="shared" si="12"/>
        <v>17975559</v>
      </c>
      <c r="AI237" s="1333"/>
      <c r="AJ237" s="1333"/>
      <c r="AK237" s="1333"/>
    </row>
    <row r="238" spans="1:37">
      <c r="A238" s="1333"/>
      <c r="B238" s="1333"/>
      <c r="C238" s="1333"/>
      <c r="D238" s="1333"/>
      <c r="E238" s="1333"/>
      <c r="F238" s="1333"/>
      <c r="G238" s="1333"/>
      <c r="H238" s="1333"/>
      <c r="I238" s="1333"/>
      <c r="J238" s="1333"/>
      <c r="K238" s="1333"/>
      <c r="L238" s="1333"/>
      <c r="M238" s="1333"/>
      <c r="N238" s="1333"/>
      <c r="O238" s="1333"/>
      <c r="P238" s="1333"/>
      <c r="Q238" s="1333"/>
      <c r="R238" s="1333"/>
      <c r="S238" s="1333"/>
      <c r="T238" s="1333"/>
      <c r="U238" s="1333"/>
      <c r="V238" s="1333"/>
      <c r="W238" s="1333"/>
      <c r="X238" s="1062"/>
      <c r="Y238" s="1333"/>
      <c r="Z238" s="1331">
        <f t="shared" si="11"/>
        <v>37</v>
      </c>
      <c r="AA238" s="1062" t="s">
        <v>2823</v>
      </c>
      <c r="AB238" s="1058" t="s">
        <v>2824</v>
      </c>
      <c r="AC238" s="1533">
        <v>-935094</v>
      </c>
      <c r="AD238" s="1533">
        <v>625123</v>
      </c>
      <c r="AE238" s="1533">
        <v>440202</v>
      </c>
      <c r="AF238" s="1533"/>
      <c r="AG238" s="1533">
        <v>0</v>
      </c>
      <c r="AH238" s="1334">
        <f t="shared" si="12"/>
        <v>2000419</v>
      </c>
      <c r="AI238" s="1333"/>
      <c r="AJ238" s="1333"/>
      <c r="AK238" s="1333"/>
    </row>
    <row r="239" spans="1:37">
      <c r="A239" s="1333"/>
      <c r="B239" s="1333"/>
      <c r="C239" s="1333"/>
      <c r="D239" s="1333"/>
      <c r="E239" s="1333"/>
      <c r="F239" s="1333"/>
      <c r="G239" s="1333"/>
      <c r="H239" s="1333"/>
      <c r="I239" s="1333"/>
      <c r="J239" s="1333"/>
      <c r="K239" s="1333"/>
      <c r="L239" s="1333"/>
      <c r="M239" s="1333"/>
      <c r="N239" s="1333"/>
      <c r="O239" s="1333"/>
      <c r="P239" s="1333"/>
      <c r="Q239" s="1333"/>
      <c r="R239" s="1333"/>
      <c r="S239" s="1333"/>
      <c r="T239" s="1333"/>
      <c r="U239" s="1333"/>
      <c r="V239" s="1333"/>
      <c r="W239" s="1333"/>
      <c r="X239" s="1591"/>
      <c r="Y239" s="1333"/>
      <c r="Z239" s="1331">
        <f t="shared" si="11"/>
        <v>38</v>
      </c>
      <c r="AA239" s="1591" t="s">
        <v>3020</v>
      </c>
      <c r="AB239" s="1058" t="s">
        <v>3027</v>
      </c>
      <c r="AC239" s="1533">
        <v>0</v>
      </c>
      <c r="AD239" s="1533">
        <v>0</v>
      </c>
      <c r="AE239" s="1533">
        <v>-72000</v>
      </c>
      <c r="AF239" s="1533"/>
      <c r="AG239" s="1533">
        <v>0</v>
      </c>
      <c r="AH239" s="1334">
        <f t="shared" si="12"/>
        <v>-72000</v>
      </c>
      <c r="AI239" s="1333"/>
      <c r="AJ239" s="1333"/>
      <c r="AK239" s="1333"/>
    </row>
    <row r="240" spans="1:37">
      <c r="A240" s="1333"/>
      <c r="B240" s="1333"/>
      <c r="C240" s="1333"/>
      <c r="D240" s="1333"/>
      <c r="E240" s="1333"/>
      <c r="F240" s="1333"/>
      <c r="G240" s="1333"/>
      <c r="H240" s="1333"/>
      <c r="I240" s="1333"/>
      <c r="J240" s="1333"/>
      <c r="K240" s="1333"/>
      <c r="L240" s="1333"/>
      <c r="M240" s="1333"/>
      <c r="N240" s="1333"/>
      <c r="O240" s="1333"/>
      <c r="P240" s="1333"/>
      <c r="Q240" s="1333"/>
      <c r="R240" s="1333"/>
      <c r="S240" s="1333"/>
      <c r="T240" s="1333"/>
      <c r="U240" s="1333"/>
      <c r="V240" s="1333"/>
      <c r="W240" s="1333"/>
      <c r="X240" s="1062"/>
      <c r="Y240" s="1333"/>
      <c r="Z240" s="1331">
        <f t="shared" si="11"/>
        <v>39</v>
      </c>
      <c r="AA240" s="1062" t="s">
        <v>2825</v>
      </c>
      <c r="AB240" s="1058" t="s">
        <v>2826</v>
      </c>
      <c r="AC240" s="1533">
        <v>0</v>
      </c>
      <c r="AD240" s="1533">
        <v>0</v>
      </c>
      <c r="AE240" s="1533">
        <v>-68436</v>
      </c>
      <c r="AF240" s="1533"/>
      <c r="AG240" s="1533">
        <v>0</v>
      </c>
      <c r="AH240" s="1334">
        <f t="shared" si="12"/>
        <v>-68436</v>
      </c>
      <c r="AI240" s="1333"/>
      <c r="AJ240" s="1333"/>
      <c r="AK240" s="1333"/>
    </row>
    <row r="241" spans="1:37">
      <c r="A241" s="1333"/>
      <c r="B241" s="1333"/>
      <c r="C241" s="1333"/>
      <c r="D241" s="1333"/>
      <c r="E241" s="1333"/>
      <c r="F241" s="1333"/>
      <c r="G241" s="1333"/>
      <c r="H241" s="1333"/>
      <c r="I241" s="1333"/>
      <c r="J241" s="1333"/>
      <c r="K241" s="1333"/>
      <c r="L241" s="1333"/>
      <c r="M241" s="1333"/>
      <c r="N241" s="1333"/>
      <c r="O241" s="1333"/>
      <c r="P241" s="1333"/>
      <c r="Q241" s="1333"/>
      <c r="R241" s="1333"/>
      <c r="S241" s="1333"/>
      <c r="T241" s="1333"/>
      <c r="U241" s="1333"/>
      <c r="V241" s="1333"/>
      <c r="W241" s="1333"/>
      <c r="X241" s="1062"/>
      <c r="Y241" s="1333"/>
      <c r="Z241" s="1331">
        <f t="shared" si="11"/>
        <v>40</v>
      </c>
      <c r="AA241" s="1062" t="s">
        <v>2827</v>
      </c>
      <c r="AB241" s="1058" t="s">
        <v>2828</v>
      </c>
      <c r="AC241" s="1533">
        <v>0</v>
      </c>
      <c r="AD241" s="1533">
        <v>-1490855</v>
      </c>
      <c r="AE241" s="1533">
        <v>-20062712</v>
      </c>
      <c r="AF241" s="1533"/>
      <c r="AG241" s="1533">
        <v>0</v>
      </c>
      <c r="AH241" s="1334">
        <f t="shared" si="12"/>
        <v>-21553567</v>
      </c>
      <c r="AI241" s="1333"/>
      <c r="AJ241" s="1333"/>
      <c r="AK241" s="1333"/>
    </row>
    <row r="242" spans="1:37">
      <c r="A242" s="1333"/>
      <c r="B242" s="1333"/>
      <c r="C242" s="1333"/>
      <c r="D242" s="1333"/>
      <c r="E242" s="1333"/>
      <c r="F242" s="1333"/>
      <c r="G242" s="1333"/>
      <c r="H242" s="1333"/>
      <c r="I242" s="1333"/>
      <c r="J242" s="1333"/>
      <c r="K242" s="1333"/>
      <c r="L242" s="1333"/>
      <c r="M242" s="1333"/>
      <c r="N242" s="1333"/>
      <c r="O242" s="1333"/>
      <c r="P242" s="1333"/>
      <c r="Q242" s="1333"/>
      <c r="R242" s="1333"/>
      <c r="S242" s="1333"/>
      <c r="T242" s="1333"/>
      <c r="U242" s="1333"/>
      <c r="V242" s="1333"/>
      <c r="W242" s="1333"/>
      <c r="X242" s="1062"/>
      <c r="Y242" s="1333"/>
      <c r="Z242" s="1331">
        <f t="shared" si="11"/>
        <v>41</v>
      </c>
      <c r="AA242" s="1062" t="s">
        <v>2829</v>
      </c>
      <c r="AB242" s="1058" t="s">
        <v>2830</v>
      </c>
      <c r="AC242" s="1533">
        <v>-150000</v>
      </c>
      <c r="AD242" s="1533">
        <v>-200000</v>
      </c>
      <c r="AE242" s="1533">
        <v>-50000</v>
      </c>
      <c r="AF242" s="1533"/>
      <c r="AG242" s="1533">
        <v>0</v>
      </c>
      <c r="AH242" s="1334">
        <f t="shared" si="12"/>
        <v>-100000</v>
      </c>
      <c r="AI242" s="1333"/>
      <c r="AJ242" s="1333"/>
      <c r="AK242" s="1333"/>
    </row>
    <row r="243" spans="1:37">
      <c r="A243" s="1333"/>
      <c r="B243" s="1333"/>
      <c r="C243" s="1333"/>
      <c r="D243" s="1333"/>
      <c r="E243" s="1333"/>
      <c r="F243" s="1333"/>
      <c r="G243" s="1333"/>
      <c r="H243" s="1333"/>
      <c r="I243" s="1333"/>
      <c r="J243" s="1333"/>
      <c r="K243" s="1333"/>
      <c r="L243" s="1333"/>
      <c r="M243" s="1333"/>
      <c r="N243" s="1333"/>
      <c r="O243" s="1333"/>
      <c r="P243" s="1333"/>
      <c r="Q243" s="1333"/>
      <c r="R243" s="1333"/>
      <c r="S243" s="1333"/>
      <c r="T243" s="1333"/>
      <c r="U243" s="1333"/>
      <c r="V243" s="1333"/>
      <c r="W243" s="1333"/>
      <c r="X243" s="1591"/>
      <c r="Y243" s="1333"/>
      <c r="Z243" s="1331">
        <f t="shared" si="11"/>
        <v>42</v>
      </c>
      <c r="AA243" s="1591" t="s">
        <v>3021</v>
      </c>
      <c r="AB243" s="1058" t="s">
        <v>3024</v>
      </c>
      <c r="AC243" s="1533">
        <v>0</v>
      </c>
      <c r="AD243" s="1533">
        <v>0</v>
      </c>
      <c r="AE243" s="1533">
        <v>-51048</v>
      </c>
      <c r="AF243" s="1533"/>
      <c r="AG243" s="1533">
        <v>0</v>
      </c>
      <c r="AH243" s="1334">
        <f t="shared" si="12"/>
        <v>-51048</v>
      </c>
      <c r="AI243" s="1333"/>
      <c r="AJ243" s="1333"/>
      <c r="AK243" s="1333"/>
    </row>
    <row r="244" spans="1:37">
      <c r="A244" s="1333"/>
      <c r="B244" s="1333"/>
      <c r="C244" s="1333"/>
      <c r="D244" s="1333"/>
      <c r="E244" s="1333"/>
      <c r="F244" s="1333"/>
      <c r="G244" s="1333"/>
      <c r="H244" s="1333"/>
      <c r="I244" s="1333"/>
      <c r="J244" s="1333"/>
      <c r="K244" s="1333"/>
      <c r="L244" s="1333"/>
      <c r="M244" s="1333"/>
      <c r="N244" s="1333"/>
      <c r="O244" s="1333"/>
      <c r="P244" s="1333"/>
      <c r="Q244" s="1333"/>
      <c r="R244" s="1333"/>
      <c r="S244" s="1333"/>
      <c r="T244" s="1333"/>
      <c r="U244" s="1333"/>
      <c r="V244" s="1333"/>
      <c r="W244" s="1333"/>
      <c r="X244" s="1591"/>
      <c r="Y244" s="1333"/>
      <c r="Z244" s="1331">
        <f t="shared" si="11"/>
        <v>43</v>
      </c>
      <c r="AA244" s="1591" t="s">
        <v>3022</v>
      </c>
      <c r="AB244" s="1058" t="s">
        <v>3025</v>
      </c>
      <c r="AC244" s="1533">
        <v>0</v>
      </c>
      <c r="AD244" s="1533">
        <v>0</v>
      </c>
      <c r="AE244" s="1533">
        <v>-1867568</v>
      </c>
      <c r="AF244" s="1533"/>
      <c r="AG244" s="1533">
        <v>0</v>
      </c>
      <c r="AH244" s="1334">
        <f t="shared" si="12"/>
        <v>-1867568</v>
      </c>
      <c r="AI244" s="1333"/>
      <c r="AJ244" s="1333"/>
      <c r="AK244" s="1333"/>
    </row>
    <row r="245" spans="1:37">
      <c r="A245" s="1333"/>
      <c r="B245" s="1333"/>
      <c r="C245" s="1333"/>
      <c r="D245" s="1333"/>
      <c r="E245" s="1333"/>
      <c r="F245" s="1333"/>
      <c r="G245" s="1333"/>
      <c r="H245" s="1333"/>
      <c r="I245" s="1333"/>
      <c r="J245" s="1333"/>
      <c r="K245" s="1333"/>
      <c r="L245" s="1333"/>
      <c r="M245" s="1333"/>
      <c r="N245" s="1333"/>
      <c r="O245" s="1333"/>
      <c r="P245" s="1333"/>
      <c r="Q245" s="1333"/>
      <c r="R245" s="1333"/>
      <c r="S245" s="1333"/>
      <c r="T245" s="1333"/>
      <c r="U245" s="1333"/>
      <c r="V245" s="1333"/>
      <c r="W245" s="1333"/>
      <c r="X245" s="1062"/>
      <c r="Y245" s="1333"/>
      <c r="Z245" s="1331">
        <f t="shared" si="11"/>
        <v>44</v>
      </c>
      <c r="AA245" s="1062" t="s">
        <v>2831</v>
      </c>
      <c r="AB245" s="1058" t="s">
        <v>2832</v>
      </c>
      <c r="AC245" s="1533">
        <v>3237</v>
      </c>
      <c r="AD245" s="1533">
        <v>3500388</v>
      </c>
      <c r="AE245" s="1533">
        <v>-134197</v>
      </c>
      <c r="AF245" s="1533"/>
      <c r="AG245" s="1533">
        <v>0</v>
      </c>
      <c r="AH245" s="1334">
        <f t="shared" si="12"/>
        <v>3362954</v>
      </c>
      <c r="AI245" s="1333"/>
      <c r="AJ245" s="1333"/>
      <c r="AK245" s="1333"/>
    </row>
    <row r="246" spans="1:37">
      <c r="A246" s="1333"/>
      <c r="B246" s="1333"/>
      <c r="C246" s="1333"/>
      <c r="D246" s="1333"/>
      <c r="E246" s="1333"/>
      <c r="F246" s="1333"/>
      <c r="G246" s="1333"/>
      <c r="H246" s="1333"/>
      <c r="I246" s="1333"/>
      <c r="J246" s="1333"/>
      <c r="K246" s="1333"/>
      <c r="L246" s="1333"/>
      <c r="M246" s="1333"/>
      <c r="N246" s="1333"/>
      <c r="O246" s="1333"/>
      <c r="P246" s="1333"/>
      <c r="Q246" s="1333"/>
      <c r="R246" s="1333"/>
      <c r="S246" s="1333"/>
      <c r="T246" s="1333"/>
      <c r="U246" s="1333"/>
      <c r="V246" s="1333"/>
      <c r="W246" s="1333"/>
      <c r="X246" s="1062"/>
      <c r="Y246" s="1333"/>
      <c r="Z246" s="1331">
        <f t="shared" si="11"/>
        <v>45</v>
      </c>
      <c r="AA246" s="1062" t="s">
        <v>2833</v>
      </c>
      <c r="AB246" s="1058" t="s">
        <v>2834</v>
      </c>
      <c r="AC246" s="1533">
        <v>-168961</v>
      </c>
      <c r="AD246" s="1533">
        <v>-6308826</v>
      </c>
      <c r="AE246" s="1533">
        <v>4958483</v>
      </c>
      <c r="AF246" s="1533"/>
      <c r="AG246" s="1533">
        <v>0</v>
      </c>
      <c r="AH246" s="1334">
        <f t="shared" si="12"/>
        <v>-1181382</v>
      </c>
      <c r="AI246" s="1333"/>
      <c r="AJ246" s="1333"/>
      <c r="AK246" s="1333"/>
    </row>
    <row r="247" spans="1:37">
      <c r="A247" s="1333"/>
      <c r="B247" s="1333"/>
      <c r="C247" s="1333"/>
      <c r="D247" s="1333"/>
      <c r="E247" s="1333"/>
      <c r="F247" s="1333"/>
      <c r="G247" s="1333"/>
      <c r="H247" s="1333"/>
      <c r="I247" s="1333"/>
      <c r="J247" s="1333"/>
      <c r="K247" s="1333"/>
      <c r="L247" s="1333"/>
      <c r="M247" s="1333"/>
      <c r="N247" s="1333"/>
      <c r="O247" s="1333"/>
      <c r="P247" s="1333"/>
      <c r="Q247" s="1333"/>
      <c r="R247" s="1333"/>
      <c r="S247" s="1333"/>
      <c r="T247" s="1333"/>
      <c r="U247" s="1333"/>
      <c r="V247" s="1333"/>
      <c r="W247" s="1333"/>
      <c r="X247" s="1062"/>
      <c r="Y247" s="1333"/>
      <c r="Z247" s="1331">
        <f t="shared" si="11"/>
        <v>46</v>
      </c>
      <c r="AA247" s="1062" t="s">
        <v>2835</v>
      </c>
      <c r="AB247" s="1058" t="s">
        <v>2836</v>
      </c>
      <c r="AC247" s="1533">
        <v>-574262</v>
      </c>
      <c r="AD247" s="1533">
        <v>-478105</v>
      </c>
      <c r="AE247" s="1533">
        <v>-225996</v>
      </c>
      <c r="AF247" s="1533"/>
      <c r="AG247" s="1533">
        <v>0</v>
      </c>
      <c r="AH247" s="1334">
        <f t="shared" si="12"/>
        <v>-129839</v>
      </c>
      <c r="AI247" s="1333"/>
      <c r="AJ247" s="1333"/>
      <c r="AK247" s="1333"/>
    </row>
    <row r="248" spans="1:37">
      <c r="A248" s="1333"/>
      <c r="B248" s="1333"/>
      <c r="C248" s="1333"/>
      <c r="D248" s="1333"/>
      <c r="E248" s="1333"/>
      <c r="F248" s="1333"/>
      <c r="G248" s="1333"/>
      <c r="H248" s="1333"/>
      <c r="I248" s="1333"/>
      <c r="J248" s="1333"/>
      <c r="K248" s="1333"/>
      <c r="L248" s="1333"/>
      <c r="M248" s="1333"/>
      <c r="N248" s="1333"/>
      <c r="O248" s="1333"/>
      <c r="P248" s="1333"/>
      <c r="Q248" s="1333"/>
      <c r="R248" s="1333"/>
      <c r="S248" s="1333"/>
      <c r="T248" s="1333"/>
      <c r="U248" s="1333"/>
      <c r="V248" s="1333"/>
      <c r="W248" s="1333"/>
      <c r="X248" s="1062"/>
      <c r="Y248" s="1333"/>
      <c r="Z248" s="1331">
        <f t="shared" si="11"/>
        <v>47</v>
      </c>
      <c r="AA248" s="1062" t="s">
        <v>2837</v>
      </c>
      <c r="AB248" s="1058" t="s">
        <v>2838</v>
      </c>
      <c r="AC248" s="1533">
        <v>0</v>
      </c>
      <c r="AD248" s="1533">
        <v>55007</v>
      </c>
      <c r="AE248" s="1533">
        <v>0</v>
      </c>
      <c r="AF248" s="1533"/>
      <c r="AG248" s="1533">
        <v>0</v>
      </c>
      <c r="AH248" s="1334">
        <f t="shared" si="12"/>
        <v>55007</v>
      </c>
      <c r="AI248" s="1333"/>
      <c r="AJ248" s="1333"/>
      <c r="AK248" s="1333"/>
    </row>
    <row r="249" spans="1:37">
      <c r="A249" s="1333"/>
      <c r="B249" s="1333"/>
      <c r="C249" s="1333"/>
      <c r="D249" s="1333"/>
      <c r="E249" s="1333"/>
      <c r="F249" s="1333"/>
      <c r="G249" s="1333"/>
      <c r="H249" s="1333"/>
      <c r="I249" s="1333"/>
      <c r="J249" s="1333"/>
      <c r="K249" s="1333"/>
      <c r="L249" s="1333"/>
      <c r="M249" s="1333"/>
      <c r="N249" s="1333"/>
      <c r="O249" s="1333"/>
      <c r="P249" s="1333"/>
      <c r="Q249" s="1333"/>
      <c r="R249" s="1333"/>
      <c r="S249" s="1333"/>
      <c r="T249" s="1333"/>
      <c r="U249" s="1333"/>
      <c r="V249" s="1333"/>
      <c r="W249" s="1333"/>
      <c r="X249" s="1062"/>
      <c r="Y249" s="1333"/>
      <c r="Z249" s="1331">
        <f t="shared" si="11"/>
        <v>48</v>
      </c>
      <c r="AA249" s="1062" t="s">
        <v>2839</v>
      </c>
      <c r="AB249" s="1058" t="s">
        <v>2840</v>
      </c>
      <c r="AC249" s="1533">
        <v>-258688</v>
      </c>
      <c r="AD249" s="1533">
        <v>-287020</v>
      </c>
      <c r="AE249" s="1533">
        <v>-36423</v>
      </c>
      <c r="AF249" s="1533"/>
      <c r="AG249" s="1533">
        <v>0</v>
      </c>
      <c r="AH249" s="1334">
        <f t="shared" si="12"/>
        <v>-64755</v>
      </c>
      <c r="AI249" s="1333"/>
      <c r="AJ249" s="1333"/>
      <c r="AK249" s="1333"/>
    </row>
    <row r="250" spans="1:37">
      <c r="A250" s="1333"/>
      <c r="B250" s="1333"/>
      <c r="C250" s="1333"/>
      <c r="D250" s="1333"/>
      <c r="E250" s="1333"/>
      <c r="F250" s="1333"/>
      <c r="G250" s="1333"/>
      <c r="H250" s="1333"/>
      <c r="I250" s="1333"/>
      <c r="J250" s="1333"/>
      <c r="K250" s="1333"/>
      <c r="L250" s="1333"/>
      <c r="M250" s="1333"/>
      <c r="N250" s="1333"/>
      <c r="O250" s="1333"/>
      <c r="P250" s="1333"/>
      <c r="Q250" s="1333"/>
      <c r="R250" s="1333"/>
      <c r="S250" s="1333"/>
      <c r="T250" s="1333"/>
      <c r="U250" s="1333"/>
      <c r="V250" s="1333"/>
      <c r="W250" s="1333"/>
      <c r="X250" s="1591"/>
      <c r="Y250" s="1333"/>
      <c r="Z250" s="1331">
        <f t="shared" si="11"/>
        <v>49</v>
      </c>
      <c r="AA250" s="1591" t="s">
        <v>3023</v>
      </c>
      <c r="AB250" s="1058" t="s">
        <v>3026</v>
      </c>
      <c r="AC250" s="1533">
        <v>-18026</v>
      </c>
      <c r="AD250" s="1533">
        <v>0</v>
      </c>
      <c r="AE250" s="1533">
        <v>0</v>
      </c>
      <c r="AF250" s="1533"/>
      <c r="AG250" s="1533">
        <v>0</v>
      </c>
      <c r="AH250" s="1334">
        <f t="shared" si="12"/>
        <v>18026</v>
      </c>
      <c r="AI250" s="1333"/>
      <c r="AJ250" s="1333"/>
      <c r="AK250" s="1333"/>
    </row>
    <row r="251" spans="1:37">
      <c r="A251" s="1333"/>
      <c r="B251" s="1333"/>
      <c r="C251" s="1333"/>
      <c r="D251" s="1333"/>
      <c r="E251" s="1333"/>
      <c r="F251" s="1333"/>
      <c r="G251" s="1333"/>
      <c r="H251" s="1333"/>
      <c r="I251" s="1333"/>
      <c r="J251" s="1333"/>
      <c r="K251" s="1333"/>
      <c r="L251" s="1333"/>
      <c r="M251" s="1333"/>
      <c r="N251" s="1333"/>
      <c r="O251" s="1333"/>
      <c r="P251" s="1333"/>
      <c r="Q251" s="1333"/>
      <c r="R251" s="1333"/>
      <c r="S251" s="1333"/>
      <c r="T251" s="1333"/>
      <c r="U251" s="1333"/>
      <c r="V251" s="1333"/>
      <c r="W251" s="1333"/>
      <c r="X251" s="1062"/>
      <c r="Y251" s="1333"/>
      <c r="Z251" s="1331">
        <f t="shared" si="11"/>
        <v>50</v>
      </c>
      <c r="AA251" s="1062" t="s">
        <v>2841</v>
      </c>
      <c r="AB251" s="1058" t="s">
        <v>2842</v>
      </c>
      <c r="AC251" s="1533">
        <v>118117</v>
      </c>
      <c r="AD251" s="1533">
        <v>128637</v>
      </c>
      <c r="AE251" s="1533">
        <v>49770</v>
      </c>
      <c r="AF251" s="1533"/>
      <c r="AG251" s="1533">
        <v>0</v>
      </c>
      <c r="AH251" s="1334">
        <f t="shared" si="12"/>
        <v>60290</v>
      </c>
      <c r="AI251" s="1333"/>
      <c r="AJ251" s="1333"/>
      <c r="AK251" s="1333"/>
    </row>
    <row r="252" spans="1:37">
      <c r="A252" s="1333"/>
      <c r="B252" s="1333"/>
      <c r="C252" s="1333"/>
      <c r="D252" s="1333"/>
      <c r="E252" s="1333"/>
      <c r="F252" s="1333"/>
      <c r="G252" s="1333"/>
      <c r="H252" s="1333"/>
      <c r="I252" s="1333"/>
      <c r="J252" s="1333"/>
      <c r="K252" s="1333"/>
      <c r="L252" s="1333"/>
      <c r="M252" s="1333"/>
      <c r="N252" s="1333"/>
      <c r="O252" s="1333"/>
      <c r="P252" s="1333"/>
      <c r="Q252" s="1333"/>
      <c r="R252" s="1333"/>
      <c r="S252" s="1333"/>
      <c r="T252" s="1333"/>
      <c r="U252" s="1333"/>
      <c r="V252" s="1333"/>
      <c r="W252" s="1333"/>
      <c r="X252" s="1062"/>
      <c r="Y252" s="1333"/>
      <c r="Z252" s="1331">
        <f t="shared" si="11"/>
        <v>51</v>
      </c>
      <c r="AA252" s="1062" t="s">
        <v>2843</v>
      </c>
      <c r="AB252" s="1058" t="s">
        <v>2844</v>
      </c>
      <c r="AC252" s="1533">
        <v>0</v>
      </c>
      <c r="AD252" s="1533">
        <v>-244</v>
      </c>
      <c r="AE252" s="1533">
        <v>244</v>
      </c>
      <c r="AF252" s="1533"/>
      <c r="AG252" s="1533">
        <v>0</v>
      </c>
      <c r="AH252" s="1334">
        <f t="shared" si="12"/>
        <v>0</v>
      </c>
      <c r="AI252" s="1333"/>
      <c r="AJ252" s="1333"/>
      <c r="AK252" s="1333"/>
    </row>
    <row r="253" spans="1:37">
      <c r="A253" s="1333"/>
      <c r="B253" s="1333"/>
      <c r="C253" s="1333"/>
      <c r="D253" s="1333"/>
      <c r="E253" s="1333"/>
      <c r="F253" s="1333"/>
      <c r="G253" s="1333"/>
      <c r="H253" s="1333"/>
      <c r="I253" s="1333"/>
      <c r="J253" s="1333"/>
      <c r="K253" s="1333"/>
      <c r="L253" s="1333"/>
      <c r="M253" s="1333"/>
      <c r="N253" s="1333"/>
      <c r="O253" s="1333"/>
      <c r="P253" s="1333"/>
      <c r="Q253" s="1333"/>
      <c r="R253" s="1333"/>
      <c r="S253" s="1333"/>
      <c r="T253" s="1333"/>
      <c r="U253" s="1333"/>
      <c r="V253" s="1333"/>
      <c r="W253" s="1333"/>
      <c r="X253" s="1062"/>
      <c r="Y253" s="1333"/>
      <c r="Z253" s="1331">
        <f t="shared" si="11"/>
        <v>52</v>
      </c>
      <c r="AA253" s="1062" t="s">
        <v>2845</v>
      </c>
      <c r="AB253" s="1058" t="s">
        <v>2846</v>
      </c>
      <c r="AC253" s="1533">
        <v>0</v>
      </c>
      <c r="AD253" s="1533">
        <v>0</v>
      </c>
      <c r="AE253" s="1533">
        <v>0</v>
      </c>
      <c r="AF253" s="1533"/>
      <c r="AG253" s="1533">
        <v>0</v>
      </c>
      <c r="AH253" s="1334">
        <f t="shared" si="12"/>
        <v>0</v>
      </c>
      <c r="AI253" s="1333"/>
      <c r="AJ253" s="1333"/>
      <c r="AK253" s="1333"/>
    </row>
    <row r="254" spans="1:37">
      <c r="A254" s="1333"/>
      <c r="B254" s="1333"/>
      <c r="C254" s="1333"/>
      <c r="D254" s="1333"/>
      <c r="E254" s="1333"/>
      <c r="F254" s="1333"/>
      <c r="G254" s="1333"/>
      <c r="H254" s="1333"/>
      <c r="I254" s="1333"/>
      <c r="J254" s="1333"/>
      <c r="K254" s="1333"/>
      <c r="L254" s="1333"/>
      <c r="M254" s="1333"/>
      <c r="N254" s="1333"/>
      <c r="O254" s="1333"/>
      <c r="P254" s="1333"/>
      <c r="Q254" s="1333"/>
      <c r="R254" s="1333"/>
      <c r="S254" s="1333"/>
      <c r="T254" s="1333"/>
      <c r="U254" s="1333"/>
      <c r="V254" s="1333"/>
      <c r="W254" s="1333"/>
      <c r="X254" s="1062"/>
      <c r="Y254" s="1333"/>
      <c r="Z254" s="1331">
        <f t="shared" si="11"/>
        <v>53</v>
      </c>
      <c r="AA254" s="1062" t="s">
        <v>2847</v>
      </c>
      <c r="AB254" s="1058" t="s">
        <v>2848</v>
      </c>
      <c r="AC254" s="1533">
        <v>-14416166</v>
      </c>
      <c r="AD254" s="1533">
        <v>-15802280</v>
      </c>
      <c r="AE254" s="1533">
        <v>-6361755</v>
      </c>
      <c r="AF254" s="1533"/>
      <c r="AG254" s="1533">
        <v>-6578576.4000000004</v>
      </c>
      <c r="AH254" s="1334">
        <f t="shared" si="12"/>
        <v>-14326445.4</v>
      </c>
      <c r="AI254" s="1333"/>
      <c r="AJ254" s="1333"/>
      <c r="AK254" s="1333"/>
    </row>
    <row r="255" spans="1:37">
      <c r="A255" s="1333"/>
      <c r="B255" s="1333"/>
      <c r="C255" s="1333"/>
      <c r="D255" s="1333"/>
      <c r="E255" s="1333"/>
      <c r="F255" s="1333"/>
      <c r="G255" s="1333"/>
      <c r="H255" s="1333"/>
      <c r="I255" s="1333"/>
      <c r="J255" s="1333"/>
      <c r="K255" s="1333"/>
      <c r="L255" s="1333"/>
      <c r="M255" s="1333"/>
      <c r="N255" s="1333"/>
      <c r="O255" s="1333"/>
      <c r="P255" s="1333"/>
      <c r="Q255" s="1333"/>
      <c r="R255" s="1333"/>
      <c r="S255" s="1333"/>
      <c r="T255" s="1333"/>
      <c r="U255" s="1333"/>
      <c r="V255" s="1333"/>
      <c r="W255" s="1333"/>
      <c r="X255" s="1062"/>
      <c r="Y255" s="1333"/>
      <c r="Z255" s="1331">
        <f t="shared" si="11"/>
        <v>54</v>
      </c>
      <c r="AA255" s="1062" t="s">
        <v>2849</v>
      </c>
      <c r="AB255" s="1058" t="s">
        <v>2850</v>
      </c>
      <c r="AC255" s="1533">
        <v>-753160</v>
      </c>
      <c r="AD255" s="1533">
        <v>-842018</v>
      </c>
      <c r="AE255" s="1533">
        <v>-1977631</v>
      </c>
      <c r="AF255" s="1533"/>
      <c r="AG255" s="1533">
        <v>-67930.5</v>
      </c>
      <c r="AH255" s="1334">
        <f t="shared" si="12"/>
        <v>-2134419.5</v>
      </c>
      <c r="AI255" s="1333"/>
      <c r="AJ255" s="1333"/>
      <c r="AK255" s="1333"/>
    </row>
    <row r="256" spans="1:37">
      <c r="A256" s="1333"/>
      <c r="B256" s="1333"/>
      <c r="C256" s="1333"/>
      <c r="D256" s="1333"/>
      <c r="E256" s="1333"/>
      <c r="F256" s="1333"/>
      <c r="G256" s="1333"/>
      <c r="H256" s="1333"/>
      <c r="I256" s="1333"/>
      <c r="J256" s="1333"/>
      <c r="K256" s="1333"/>
      <c r="L256" s="1333"/>
      <c r="M256" s="1333"/>
      <c r="N256" s="1333"/>
      <c r="O256" s="1333"/>
      <c r="P256" s="1333"/>
      <c r="Q256" s="1333"/>
      <c r="R256" s="1333"/>
      <c r="S256" s="1333"/>
      <c r="T256" s="1333"/>
      <c r="U256" s="1333"/>
      <c r="V256" s="1333"/>
      <c r="W256" s="1333"/>
      <c r="X256" s="1062"/>
      <c r="Y256" s="1333"/>
      <c r="Z256" s="1331">
        <f t="shared" si="11"/>
        <v>55</v>
      </c>
      <c r="AA256" s="1062" t="s">
        <v>2851</v>
      </c>
      <c r="AB256" s="1058" t="s">
        <v>2852</v>
      </c>
      <c r="AC256" s="1533">
        <v>-24230</v>
      </c>
      <c r="AD256" s="1533">
        <v>22568</v>
      </c>
      <c r="AE256" s="1533">
        <v>1830</v>
      </c>
      <c r="AF256" s="1533"/>
      <c r="AG256" s="1533">
        <v>0</v>
      </c>
      <c r="AH256" s="1334">
        <f t="shared" si="12"/>
        <v>48628</v>
      </c>
      <c r="AI256" s="1333"/>
      <c r="AJ256" s="1333"/>
      <c r="AK256" s="1333"/>
    </row>
    <row r="257" spans="1:37">
      <c r="A257" s="1333"/>
      <c r="B257" s="1333"/>
      <c r="C257" s="1333"/>
      <c r="D257" s="1333"/>
      <c r="E257" s="1333"/>
      <c r="F257" s="1333"/>
      <c r="G257" s="1333"/>
      <c r="H257" s="1333"/>
      <c r="I257" s="1333"/>
      <c r="J257" s="1333"/>
      <c r="K257" s="1333"/>
      <c r="L257" s="1333"/>
      <c r="M257" s="1333"/>
      <c r="N257" s="1333"/>
      <c r="O257" s="1333"/>
      <c r="P257" s="1333"/>
      <c r="Q257" s="1333"/>
      <c r="R257" s="1333"/>
      <c r="S257" s="1333"/>
      <c r="T257" s="1333"/>
      <c r="U257" s="1333"/>
      <c r="V257" s="1333"/>
      <c r="W257" s="1333"/>
      <c r="X257" s="1062"/>
      <c r="Y257" s="1333"/>
      <c r="Z257" s="1331">
        <f t="shared" si="11"/>
        <v>56</v>
      </c>
      <c r="AA257" s="1062" t="s">
        <v>2853</v>
      </c>
      <c r="AB257" s="1058" t="s">
        <v>2854</v>
      </c>
      <c r="AC257" s="1533">
        <v>-194089</v>
      </c>
      <c r="AD257" s="1533">
        <v>-457128</v>
      </c>
      <c r="AE257" s="1533">
        <v>-107537</v>
      </c>
      <c r="AF257" s="1533"/>
      <c r="AG257" s="1533">
        <v>0</v>
      </c>
      <c r="AH257" s="1334">
        <f t="shared" si="12"/>
        <v>-370576</v>
      </c>
      <c r="AI257" s="1333"/>
      <c r="AJ257" s="1333"/>
      <c r="AK257" s="1333"/>
    </row>
    <row r="258" spans="1:37">
      <c r="A258" s="1333"/>
      <c r="B258" s="1333"/>
      <c r="C258" s="1333"/>
      <c r="D258" s="1333"/>
      <c r="E258" s="1333"/>
      <c r="F258" s="1333"/>
      <c r="G258" s="1333"/>
      <c r="H258" s="1333"/>
      <c r="I258" s="1333"/>
      <c r="J258" s="1333"/>
      <c r="K258" s="1333"/>
      <c r="L258" s="1333"/>
      <c r="M258" s="1333"/>
      <c r="N258" s="1333"/>
      <c r="O258" s="1333"/>
      <c r="P258" s="1333"/>
      <c r="Q258" s="1333"/>
      <c r="R258" s="1333"/>
      <c r="S258" s="1333"/>
      <c r="T258" s="1333"/>
      <c r="U258" s="1333"/>
      <c r="V258" s="1333"/>
      <c r="W258" s="1333"/>
      <c r="X258" s="1062"/>
      <c r="Y258" s="1333"/>
      <c r="Z258" s="1331">
        <f t="shared" si="11"/>
        <v>57</v>
      </c>
      <c r="AA258" s="1062" t="s">
        <v>2855</v>
      </c>
      <c r="AB258" s="1058" t="s">
        <v>2856</v>
      </c>
      <c r="AC258" s="1533">
        <v>30446</v>
      </c>
      <c r="AD258" s="1533">
        <v>3022414</v>
      </c>
      <c r="AE258" s="1533">
        <v>-65653</v>
      </c>
      <c r="AF258" s="1533"/>
      <c r="AG258" s="1533">
        <v>860500.19999999984</v>
      </c>
      <c r="AH258" s="1334">
        <f t="shared" si="12"/>
        <v>3786815.1999999997</v>
      </c>
      <c r="AI258" s="1333"/>
      <c r="AJ258" s="1333"/>
      <c r="AK258" s="1333"/>
    </row>
    <row r="259" spans="1:37">
      <c r="A259" s="1333"/>
      <c r="B259" s="1333"/>
      <c r="C259" s="1333"/>
      <c r="D259" s="1333"/>
      <c r="E259" s="1333"/>
      <c r="F259" s="1333"/>
      <c r="G259" s="1333"/>
      <c r="H259" s="1333"/>
      <c r="I259" s="1333"/>
      <c r="J259" s="1333"/>
      <c r="K259" s="1333"/>
      <c r="L259" s="1333"/>
      <c r="M259" s="1333"/>
      <c r="N259" s="1333"/>
      <c r="O259" s="1333"/>
      <c r="P259" s="1333"/>
      <c r="Q259" s="1333"/>
      <c r="R259" s="1333"/>
      <c r="S259" s="1333"/>
      <c r="T259" s="1333"/>
      <c r="U259" s="1333"/>
      <c r="V259" s="1333"/>
      <c r="W259" s="1333"/>
      <c r="X259" s="1062"/>
      <c r="Y259" s="1333"/>
      <c r="Z259" s="1331">
        <f t="shared" si="11"/>
        <v>58</v>
      </c>
      <c r="AA259" s="1062" t="s">
        <v>2857</v>
      </c>
      <c r="AB259" s="1058" t="s">
        <v>2858</v>
      </c>
      <c r="AC259" s="1533">
        <v>-5586</v>
      </c>
      <c r="AD259" s="1533">
        <v>1141</v>
      </c>
      <c r="AE259" s="1533">
        <v>-2705</v>
      </c>
      <c r="AF259" s="1533"/>
      <c r="AG259" s="1533">
        <v>0</v>
      </c>
      <c r="AH259" s="1334">
        <f t="shared" si="12"/>
        <v>4022</v>
      </c>
      <c r="AI259" s="1333"/>
      <c r="AJ259" s="1333"/>
      <c r="AK259" s="1333"/>
    </row>
    <row r="260" spans="1:37">
      <c r="A260" s="1333"/>
      <c r="B260" s="1333"/>
      <c r="C260" s="1333"/>
      <c r="D260" s="1333"/>
      <c r="E260" s="1333"/>
      <c r="F260" s="1333"/>
      <c r="G260" s="1333"/>
      <c r="H260" s="1333"/>
      <c r="I260" s="1333"/>
      <c r="J260" s="1333"/>
      <c r="K260" s="1333"/>
      <c r="L260" s="1333"/>
      <c r="M260" s="1333"/>
      <c r="N260" s="1333"/>
      <c r="O260" s="1333"/>
      <c r="P260" s="1333"/>
      <c r="Q260" s="1333"/>
      <c r="R260" s="1333"/>
      <c r="S260" s="1333"/>
      <c r="T260" s="1333"/>
      <c r="U260" s="1333"/>
      <c r="V260" s="1333"/>
      <c r="W260" s="1333"/>
      <c r="X260" s="1062"/>
      <c r="Y260" s="1333"/>
      <c r="Z260" s="1331">
        <f t="shared" si="11"/>
        <v>59</v>
      </c>
      <c r="AA260" s="1062" t="s">
        <v>2859</v>
      </c>
      <c r="AB260" s="1058" t="s">
        <v>2860</v>
      </c>
      <c r="AC260" s="1533">
        <v>-926090</v>
      </c>
      <c r="AD260" s="1533">
        <v>0</v>
      </c>
      <c r="AE260" s="1533">
        <v>-441763</v>
      </c>
      <c r="AF260" s="1533"/>
      <c r="AG260" s="1533">
        <v>0</v>
      </c>
      <c r="AH260" s="1334">
        <f t="shared" si="12"/>
        <v>484327</v>
      </c>
      <c r="AI260" s="1333"/>
      <c r="AJ260" s="1333"/>
      <c r="AK260" s="1333"/>
    </row>
    <row r="261" spans="1:37">
      <c r="A261" s="1333"/>
      <c r="B261" s="1333"/>
      <c r="C261" s="1333"/>
      <c r="D261" s="1333"/>
      <c r="E261" s="1333"/>
      <c r="F261" s="1333"/>
      <c r="G261" s="1333"/>
      <c r="H261" s="1333"/>
      <c r="I261" s="1333"/>
      <c r="J261" s="1333"/>
      <c r="K261" s="1333"/>
      <c r="L261" s="1333"/>
      <c r="M261" s="1333"/>
      <c r="N261" s="1333"/>
      <c r="O261" s="1333"/>
      <c r="P261" s="1333"/>
      <c r="Q261" s="1333"/>
      <c r="R261" s="1333"/>
      <c r="S261" s="1333"/>
      <c r="T261" s="1333"/>
      <c r="U261" s="1333"/>
      <c r="V261" s="1333"/>
      <c r="W261" s="1333"/>
      <c r="X261" s="1062"/>
      <c r="Y261" s="1333"/>
      <c r="Z261" s="1331">
        <f t="shared" si="11"/>
        <v>60</v>
      </c>
      <c r="AA261" s="1062" t="s">
        <v>2861</v>
      </c>
      <c r="AB261" s="1058" t="s">
        <v>2862</v>
      </c>
      <c r="AC261" s="1533">
        <v>903</v>
      </c>
      <c r="AD261" s="1533">
        <v>-17123</v>
      </c>
      <c r="AE261" s="1533">
        <v>-191199</v>
      </c>
      <c r="AF261" s="1533"/>
      <c r="AG261" s="1533">
        <v>0</v>
      </c>
      <c r="AH261" s="1334">
        <f t="shared" si="12"/>
        <v>-209225</v>
      </c>
      <c r="AI261" s="1333"/>
      <c r="AJ261" s="1333"/>
      <c r="AK261" s="1333"/>
    </row>
    <row r="262" spans="1:37">
      <c r="A262" s="1333"/>
      <c r="B262" s="1333"/>
      <c r="C262" s="1333"/>
      <c r="D262" s="1333"/>
      <c r="E262" s="1333"/>
      <c r="F262" s="1333"/>
      <c r="G262" s="1333"/>
      <c r="H262" s="1333"/>
      <c r="I262" s="1333"/>
      <c r="J262" s="1333"/>
      <c r="K262" s="1333"/>
      <c r="L262" s="1333"/>
      <c r="M262" s="1333"/>
      <c r="N262" s="1333"/>
      <c r="O262" s="1333"/>
      <c r="P262" s="1333"/>
      <c r="Q262" s="1333"/>
      <c r="R262" s="1333"/>
      <c r="S262" s="1333"/>
      <c r="T262" s="1333"/>
      <c r="U262" s="1333"/>
      <c r="V262" s="1333"/>
      <c r="W262" s="1333"/>
      <c r="X262" s="1062"/>
      <c r="Y262" s="1333"/>
      <c r="Z262" s="1331">
        <f t="shared" si="11"/>
        <v>61</v>
      </c>
      <c r="AA262" s="1062" t="s">
        <v>2863</v>
      </c>
      <c r="AB262" s="1058" t="s">
        <v>2864</v>
      </c>
      <c r="AC262" s="1533">
        <v>-13682</v>
      </c>
      <c r="AD262" s="1533">
        <v>114828</v>
      </c>
      <c r="AE262" s="1533">
        <v>-326863</v>
      </c>
      <c r="AF262" s="1533"/>
      <c r="AG262" s="1533">
        <v>0</v>
      </c>
      <c r="AH262" s="1334">
        <f t="shared" si="12"/>
        <v>-198353</v>
      </c>
      <c r="AI262" s="1333"/>
      <c r="AJ262" s="1333"/>
      <c r="AK262" s="1333"/>
    </row>
    <row r="263" spans="1:37">
      <c r="A263" s="1333"/>
      <c r="B263" s="1333"/>
      <c r="C263" s="1333"/>
      <c r="D263" s="1333"/>
      <c r="E263" s="1333"/>
      <c r="F263" s="1333"/>
      <c r="G263" s="1333"/>
      <c r="H263" s="1333"/>
      <c r="I263" s="1333"/>
      <c r="J263" s="1333"/>
      <c r="K263" s="1333"/>
      <c r="L263" s="1333"/>
      <c r="M263" s="1333"/>
      <c r="N263" s="1333"/>
      <c r="O263" s="1333"/>
      <c r="P263" s="1333"/>
      <c r="Q263" s="1333"/>
      <c r="R263" s="1333"/>
      <c r="S263" s="1333"/>
      <c r="T263" s="1333"/>
      <c r="U263" s="1333"/>
      <c r="V263" s="1333"/>
      <c r="W263" s="1333"/>
      <c r="X263" s="1062"/>
      <c r="Y263" s="1333"/>
      <c r="Z263" s="1331">
        <f t="shared" si="11"/>
        <v>62</v>
      </c>
      <c r="AA263" s="1062" t="s">
        <v>2865</v>
      </c>
      <c r="AB263" s="1058" t="s">
        <v>2866</v>
      </c>
      <c r="AC263" s="1533">
        <v>423</v>
      </c>
      <c r="AD263" s="1533">
        <v>7210</v>
      </c>
      <c r="AE263" s="1533">
        <v>-21669</v>
      </c>
      <c r="AF263" s="1533"/>
      <c r="AG263" s="1533">
        <v>0</v>
      </c>
      <c r="AH263" s="1334">
        <f t="shared" si="12"/>
        <v>-14882</v>
      </c>
      <c r="AI263" s="1333"/>
      <c r="AJ263" s="1333"/>
      <c r="AK263" s="1333"/>
    </row>
    <row r="264" spans="1:37">
      <c r="A264" s="1333"/>
      <c r="B264" s="1333"/>
      <c r="C264" s="1333"/>
      <c r="D264" s="1333"/>
      <c r="E264" s="1333"/>
      <c r="F264" s="1333"/>
      <c r="G264" s="1333"/>
      <c r="H264" s="1333"/>
      <c r="I264" s="1333"/>
      <c r="J264" s="1333"/>
      <c r="K264" s="1333"/>
      <c r="L264" s="1333"/>
      <c r="M264" s="1333"/>
      <c r="N264" s="1333"/>
      <c r="O264" s="1333"/>
      <c r="P264" s="1333"/>
      <c r="Q264" s="1333"/>
      <c r="R264" s="1333"/>
      <c r="S264" s="1333"/>
      <c r="T264" s="1333"/>
      <c r="U264" s="1333"/>
      <c r="V264" s="1333"/>
      <c r="W264" s="1333"/>
      <c r="X264" s="1062"/>
      <c r="Y264" s="1333"/>
      <c r="Z264" s="1331">
        <f t="shared" si="11"/>
        <v>63</v>
      </c>
      <c r="AA264" s="1062" t="s">
        <v>2867</v>
      </c>
      <c r="AB264" s="1058" t="s">
        <v>2868</v>
      </c>
      <c r="AC264" s="1533">
        <v>-43563</v>
      </c>
      <c r="AD264" s="1533">
        <v>-402790</v>
      </c>
      <c r="AE264" s="1533">
        <v>120514</v>
      </c>
      <c r="AF264" s="1533"/>
      <c r="AG264" s="1533">
        <v>0</v>
      </c>
      <c r="AH264" s="1334">
        <f t="shared" si="12"/>
        <v>-238713</v>
      </c>
      <c r="AI264" s="1333"/>
      <c r="AJ264" s="1333"/>
      <c r="AK264" s="1333"/>
    </row>
    <row r="265" spans="1:37">
      <c r="A265" s="1333"/>
      <c r="B265" s="1333"/>
      <c r="C265" s="1333"/>
      <c r="D265" s="1333"/>
      <c r="E265" s="1333"/>
      <c r="F265" s="1333"/>
      <c r="G265" s="1333"/>
      <c r="H265" s="1333"/>
      <c r="I265" s="1333"/>
      <c r="J265" s="1333"/>
      <c r="K265" s="1333"/>
      <c r="L265" s="1333"/>
      <c r="M265" s="1333"/>
      <c r="N265" s="1333"/>
      <c r="O265" s="1333"/>
      <c r="P265" s="1333"/>
      <c r="Q265" s="1333"/>
      <c r="R265" s="1333"/>
      <c r="S265" s="1333"/>
      <c r="T265" s="1333"/>
      <c r="U265" s="1333"/>
      <c r="V265" s="1333"/>
      <c r="W265" s="1333"/>
      <c r="X265" s="1062"/>
      <c r="Y265" s="1333"/>
      <c r="Z265" s="1331">
        <f t="shared" si="11"/>
        <v>64</v>
      </c>
      <c r="AA265" s="1062" t="s">
        <v>2869</v>
      </c>
      <c r="AB265" s="1058" t="s">
        <v>2870</v>
      </c>
      <c r="AC265" s="1533">
        <v>-415</v>
      </c>
      <c r="AD265" s="1533">
        <v>-1693</v>
      </c>
      <c r="AE265" s="1533">
        <v>-21135</v>
      </c>
      <c r="AF265" s="1533"/>
      <c r="AG265" s="1533">
        <v>0</v>
      </c>
      <c r="AH265" s="1334">
        <f t="shared" si="12"/>
        <v>-22413</v>
      </c>
      <c r="AI265" s="1333"/>
      <c r="AJ265" s="1333"/>
      <c r="AK265" s="1333"/>
    </row>
    <row r="266" spans="1:37">
      <c r="A266" s="1333"/>
      <c r="B266" s="1333"/>
      <c r="C266" s="1333"/>
      <c r="D266" s="1333"/>
      <c r="E266" s="1333"/>
      <c r="F266" s="1333"/>
      <c r="G266" s="1333"/>
      <c r="H266" s="1333"/>
      <c r="I266" s="1333"/>
      <c r="J266" s="1333"/>
      <c r="K266" s="1333"/>
      <c r="L266" s="1333"/>
      <c r="M266" s="1333"/>
      <c r="N266" s="1333"/>
      <c r="O266" s="1333"/>
      <c r="P266" s="1333"/>
      <c r="Q266" s="1333"/>
      <c r="R266" s="1333"/>
      <c r="S266" s="1333"/>
      <c r="T266" s="1333"/>
      <c r="U266" s="1333"/>
      <c r="V266" s="1333"/>
      <c r="W266" s="1333"/>
      <c r="X266" s="1062"/>
      <c r="Y266" s="1333"/>
      <c r="Z266" s="1331">
        <f t="shared" si="11"/>
        <v>65</v>
      </c>
      <c r="AA266" s="1062" t="s">
        <v>2871</v>
      </c>
      <c r="AB266" s="1058" t="s">
        <v>2872</v>
      </c>
      <c r="AC266" s="1533"/>
      <c r="AD266" s="1533"/>
      <c r="AE266" s="1533"/>
      <c r="AF266" s="1533"/>
      <c r="AG266" s="1533"/>
      <c r="AH266" s="1334">
        <f t="shared" si="12"/>
        <v>0</v>
      </c>
      <c r="AI266" s="1333"/>
      <c r="AJ266" s="1333"/>
      <c r="AK266" s="1333"/>
    </row>
    <row r="267" spans="1:37">
      <c r="A267" s="1333"/>
      <c r="B267" s="1333"/>
      <c r="C267" s="1333"/>
      <c r="D267" s="1333"/>
      <c r="E267" s="1333"/>
      <c r="F267" s="1333"/>
      <c r="G267" s="1333"/>
      <c r="H267" s="1333"/>
      <c r="I267" s="1333"/>
      <c r="J267" s="1333"/>
      <c r="K267" s="1333"/>
      <c r="L267" s="1333"/>
      <c r="M267" s="1333"/>
      <c r="N267" s="1333"/>
      <c r="O267" s="1333"/>
      <c r="P267" s="1333"/>
      <c r="Q267" s="1333"/>
      <c r="R267" s="1333"/>
      <c r="S267" s="1333"/>
      <c r="T267" s="1333"/>
      <c r="U267" s="1333"/>
      <c r="V267" s="1333"/>
      <c r="W267" s="1333"/>
      <c r="X267" s="1062"/>
      <c r="Y267" s="1333"/>
      <c r="Z267" s="1331">
        <f t="shared" si="11"/>
        <v>66</v>
      </c>
      <c r="AA267" s="1062" t="s">
        <v>2873</v>
      </c>
      <c r="AB267" s="1058" t="s">
        <v>2874</v>
      </c>
      <c r="AC267" s="1533"/>
      <c r="AD267" s="1533"/>
      <c r="AE267" s="1533"/>
      <c r="AF267" s="1533"/>
      <c r="AG267" s="1533"/>
      <c r="AH267" s="1334">
        <f t="shared" si="12"/>
        <v>0</v>
      </c>
      <c r="AI267" s="1333"/>
      <c r="AJ267" s="1333"/>
      <c r="AK267" s="1333"/>
    </row>
    <row r="268" spans="1:37">
      <c r="A268" s="1333"/>
      <c r="B268" s="1333"/>
      <c r="C268" s="1333"/>
      <c r="D268" s="1333"/>
      <c r="E268" s="1333"/>
      <c r="F268" s="1333"/>
      <c r="G268" s="1333"/>
      <c r="H268" s="1333"/>
      <c r="I268" s="1333"/>
      <c r="J268" s="1333"/>
      <c r="K268" s="1333"/>
      <c r="L268" s="1333"/>
      <c r="M268" s="1333"/>
      <c r="N268" s="1333"/>
      <c r="O268" s="1333"/>
      <c r="P268" s="1333"/>
      <c r="Q268" s="1333"/>
      <c r="R268" s="1333"/>
      <c r="S268" s="1333"/>
      <c r="T268" s="1333"/>
      <c r="U268" s="1333"/>
      <c r="V268" s="1333"/>
      <c r="W268" s="1333"/>
      <c r="X268" s="1062"/>
      <c r="Y268" s="1333"/>
      <c r="Z268" s="1331">
        <f t="shared" ref="Z268:Z297" si="13">Z267+1</f>
        <v>67</v>
      </c>
      <c r="AA268" s="1062" t="s">
        <v>2875</v>
      </c>
      <c r="AB268" s="1122" t="s">
        <v>2876</v>
      </c>
      <c r="AC268" s="1533"/>
      <c r="AD268" s="1533"/>
      <c r="AE268" s="1533"/>
      <c r="AF268" s="1533"/>
      <c r="AG268" s="1533"/>
      <c r="AH268" s="1334">
        <f t="shared" si="12"/>
        <v>0</v>
      </c>
      <c r="AI268" s="1333"/>
      <c r="AJ268" s="1333"/>
      <c r="AK268" s="1333"/>
    </row>
    <row r="269" spans="1:37">
      <c r="A269" s="1333"/>
      <c r="B269" s="1333"/>
      <c r="C269" s="1333"/>
      <c r="D269" s="1333"/>
      <c r="E269" s="1333"/>
      <c r="F269" s="1333"/>
      <c r="G269" s="1333"/>
      <c r="H269" s="1333"/>
      <c r="I269" s="1333"/>
      <c r="J269" s="1333"/>
      <c r="K269" s="1333"/>
      <c r="L269" s="1333"/>
      <c r="M269" s="1333"/>
      <c r="N269" s="1333"/>
      <c r="O269" s="1333"/>
      <c r="P269" s="1333"/>
      <c r="Q269" s="1333"/>
      <c r="R269" s="1333"/>
      <c r="S269" s="1333"/>
      <c r="T269" s="1333"/>
      <c r="U269" s="1333"/>
      <c r="V269" s="1333"/>
      <c r="W269" s="1333"/>
      <c r="X269" s="1062"/>
      <c r="Y269" s="1333"/>
      <c r="Z269" s="1331">
        <f t="shared" si="13"/>
        <v>68</v>
      </c>
      <c r="AA269" s="1062" t="s">
        <v>2877</v>
      </c>
      <c r="AB269" s="1058" t="s">
        <v>2878</v>
      </c>
      <c r="AC269" s="1533"/>
      <c r="AD269" s="1533"/>
      <c r="AE269" s="1533"/>
      <c r="AF269" s="1533"/>
      <c r="AG269" s="1533"/>
      <c r="AH269" s="1334">
        <f t="shared" si="12"/>
        <v>0</v>
      </c>
      <c r="AI269" s="1333"/>
      <c r="AJ269" s="1333"/>
      <c r="AK269" s="1333"/>
    </row>
    <row r="270" spans="1:37">
      <c r="A270" s="1333"/>
      <c r="B270" s="1333"/>
      <c r="C270" s="1333"/>
      <c r="D270" s="1333"/>
      <c r="E270" s="1333"/>
      <c r="F270" s="1333"/>
      <c r="G270" s="1333"/>
      <c r="H270" s="1333"/>
      <c r="I270" s="1333"/>
      <c r="J270" s="1333"/>
      <c r="K270" s="1333"/>
      <c r="L270" s="1333"/>
      <c r="M270" s="1333"/>
      <c r="N270" s="1333"/>
      <c r="O270" s="1333"/>
      <c r="P270" s="1333"/>
      <c r="Q270" s="1333"/>
      <c r="R270" s="1333"/>
      <c r="S270" s="1333"/>
      <c r="T270" s="1333"/>
      <c r="U270" s="1333"/>
      <c r="V270" s="1333"/>
      <c r="W270" s="1333"/>
      <c r="Y270" s="1333"/>
      <c r="Z270" s="1331">
        <f t="shared" si="13"/>
        <v>69</v>
      </c>
      <c r="AA270" s="1062"/>
      <c r="AB270" s="1058"/>
      <c r="AC270" s="1145">
        <v>0</v>
      </c>
      <c r="AD270" s="1145">
        <v>0</v>
      </c>
      <c r="AE270" s="1145">
        <v>0</v>
      </c>
      <c r="AF270" s="1144"/>
      <c r="AG270" s="1145">
        <v>0</v>
      </c>
      <c r="AH270" s="1529">
        <f t="shared" si="12"/>
        <v>0</v>
      </c>
      <c r="AI270" s="1333"/>
      <c r="AJ270" s="1333"/>
      <c r="AK270" s="1333"/>
    </row>
    <row r="271" spans="1:37">
      <c r="A271" s="1333"/>
      <c r="B271" s="1333"/>
      <c r="C271" s="1333"/>
      <c r="D271" s="1333"/>
      <c r="E271" s="1333"/>
      <c r="F271" s="1333"/>
      <c r="G271" s="1333"/>
      <c r="H271" s="1333"/>
      <c r="I271" s="1333"/>
      <c r="J271" s="1333"/>
      <c r="K271" s="1333"/>
      <c r="L271" s="1333"/>
      <c r="M271" s="1333"/>
      <c r="N271" s="1333"/>
      <c r="O271" s="1333"/>
      <c r="P271" s="1333"/>
      <c r="Q271" s="1333"/>
      <c r="R271" s="1333"/>
      <c r="S271" s="1333"/>
      <c r="T271" s="1333"/>
      <c r="U271" s="1333"/>
      <c r="V271" s="1333"/>
      <c r="W271" s="1333"/>
      <c r="Y271" s="1333"/>
      <c r="Z271" s="1331">
        <f t="shared" si="13"/>
        <v>70</v>
      </c>
      <c r="AA271" s="1330"/>
      <c r="AB271" s="1058"/>
      <c r="AC271" s="1332"/>
      <c r="AD271" s="1332"/>
      <c r="AE271" s="1332"/>
      <c r="AF271" s="1332"/>
      <c r="AG271" s="1332"/>
      <c r="AH271" s="1334"/>
      <c r="AI271" s="1333"/>
      <c r="AJ271" s="1333"/>
      <c r="AK271" s="1333"/>
    </row>
    <row r="272" spans="1:37">
      <c r="A272" s="1333"/>
      <c r="B272" s="1333"/>
      <c r="C272" s="1333"/>
      <c r="D272" s="1333"/>
      <c r="E272" s="1333"/>
      <c r="F272" s="1333"/>
      <c r="G272" s="1333"/>
      <c r="H272" s="1333"/>
      <c r="I272" s="1333"/>
      <c r="J272" s="1333"/>
      <c r="K272" s="1333"/>
      <c r="L272" s="1333"/>
      <c r="M272" s="1333"/>
      <c r="N272" s="1333"/>
      <c r="O272" s="1333"/>
      <c r="P272" s="1333"/>
      <c r="Q272" s="1333"/>
      <c r="R272" s="1333"/>
      <c r="S272" s="1333"/>
      <c r="T272" s="1333"/>
      <c r="U272" s="1333"/>
      <c r="V272" s="1333"/>
      <c r="W272" s="1333"/>
      <c r="Y272" s="1333"/>
      <c r="Z272" s="1331">
        <f t="shared" si="13"/>
        <v>71</v>
      </c>
      <c r="AA272" s="1330"/>
      <c r="AB272" s="1330"/>
      <c r="AC272" s="1332"/>
      <c r="AD272" s="1332"/>
      <c r="AE272" s="1332"/>
      <c r="AF272" s="1332"/>
      <c r="AG272" s="1332"/>
      <c r="AH272" s="1334"/>
      <c r="AI272" s="1333"/>
      <c r="AJ272" s="1333"/>
      <c r="AK272" s="1333"/>
    </row>
    <row r="273" spans="1:37">
      <c r="A273" s="1333"/>
      <c r="B273" s="1333"/>
      <c r="C273" s="1333"/>
      <c r="D273" s="1333"/>
      <c r="E273" s="1333"/>
      <c r="F273" s="1333"/>
      <c r="G273" s="1333"/>
      <c r="H273" s="1333"/>
      <c r="I273" s="1333"/>
      <c r="J273" s="1333"/>
      <c r="K273" s="1333"/>
      <c r="L273" s="1333"/>
      <c r="M273" s="1333"/>
      <c r="N273" s="1333"/>
      <c r="O273" s="1333"/>
      <c r="P273" s="1333"/>
      <c r="Q273" s="1333"/>
      <c r="R273" s="1333"/>
      <c r="S273" s="1333"/>
      <c r="T273" s="1333"/>
      <c r="U273" s="1333"/>
      <c r="V273" s="1333"/>
      <c r="W273" s="1333"/>
      <c r="X273" s="1333"/>
      <c r="Y273" s="1333"/>
      <c r="Z273" s="1331">
        <f t="shared" si="13"/>
        <v>72</v>
      </c>
      <c r="AA273" s="1330"/>
      <c r="AB273" s="1058" t="s">
        <v>1105</v>
      </c>
      <c r="AC273" s="1067">
        <f>SUM(AC202:AC272)</f>
        <v>-48769581</v>
      </c>
      <c r="AD273" s="1067">
        <f>SUM(AD202:AD272)</f>
        <v>-43543160</v>
      </c>
      <c r="AE273" s="1067">
        <f>SUM(AE202:AE272)</f>
        <v>-46632424</v>
      </c>
      <c r="AF273" s="1067"/>
      <c r="AG273" s="1067">
        <f>SUM(AG202:AG272)</f>
        <v>-15623543.136117391</v>
      </c>
      <c r="AH273" s="1334">
        <f>SUM(AH202:AH272)</f>
        <v>-57029546.136117391</v>
      </c>
      <c r="AI273" s="1333"/>
      <c r="AJ273" s="1333"/>
      <c r="AK273" s="1333"/>
    </row>
    <row r="274" spans="1:37">
      <c r="A274" s="1333"/>
      <c r="B274" s="1333"/>
      <c r="C274" s="1333"/>
      <c r="D274" s="1333"/>
      <c r="E274" s="1333"/>
      <c r="F274" s="1333"/>
      <c r="G274" s="1333"/>
      <c r="H274" s="1333"/>
      <c r="I274" s="1333"/>
      <c r="J274" s="1333"/>
      <c r="K274" s="1333"/>
      <c r="L274" s="1333"/>
      <c r="M274" s="1333"/>
      <c r="N274" s="1333"/>
      <c r="O274" s="1333"/>
      <c r="P274" s="1333"/>
      <c r="Q274" s="1333"/>
      <c r="R274" s="1333"/>
      <c r="S274" s="1333"/>
      <c r="T274" s="1333"/>
      <c r="U274" s="1333"/>
      <c r="V274" s="1333"/>
      <c r="W274" s="1333"/>
      <c r="X274" s="1333"/>
      <c r="Y274" s="1333"/>
      <c r="Z274" s="1331">
        <f t="shared" si="13"/>
        <v>73</v>
      </c>
      <c r="AA274" s="1330"/>
      <c r="AB274" s="1330"/>
      <c r="AC274" s="1059"/>
      <c r="AD274" s="1059"/>
      <c r="AE274" s="1059"/>
      <c r="AF274" s="1059"/>
      <c r="AG274" s="1059"/>
      <c r="AH274" s="1334"/>
      <c r="AI274" s="1333"/>
      <c r="AJ274" s="1333"/>
      <c r="AK274" s="1333"/>
    </row>
    <row r="275" spans="1:37">
      <c r="A275" s="1333"/>
      <c r="B275" s="1333"/>
      <c r="C275" s="1333"/>
      <c r="D275" s="1333"/>
      <c r="E275" s="1333"/>
      <c r="F275" s="1333"/>
      <c r="G275" s="1333"/>
      <c r="H275" s="1333"/>
      <c r="I275" s="1333"/>
      <c r="J275" s="1333"/>
      <c r="K275" s="1333"/>
      <c r="L275" s="1333"/>
      <c r="M275" s="1333"/>
      <c r="N275" s="1333"/>
      <c r="O275" s="1333"/>
      <c r="P275" s="1333"/>
      <c r="Q275" s="1333"/>
      <c r="R275" s="1333"/>
      <c r="S275" s="1333"/>
      <c r="T275" s="1333"/>
      <c r="U275" s="1333"/>
      <c r="V275" s="1333"/>
      <c r="W275" s="1333"/>
      <c r="Y275" s="1333"/>
      <c r="Z275" s="1331">
        <f t="shared" si="13"/>
        <v>74</v>
      </c>
      <c r="AA275" s="1330"/>
      <c r="AB275" s="1058" t="s">
        <v>1106</v>
      </c>
      <c r="AC275" s="1059"/>
      <c r="AD275" s="1059"/>
      <c r="AE275" s="1059"/>
      <c r="AF275" s="1059"/>
      <c r="AG275" s="1059"/>
      <c r="AH275" s="1334"/>
      <c r="AI275" s="1333"/>
      <c r="AJ275" s="1333"/>
      <c r="AK275" s="1333"/>
    </row>
    <row r="276" spans="1:37">
      <c r="A276" s="1333"/>
      <c r="B276" s="1333"/>
      <c r="C276" s="1333"/>
      <c r="D276" s="1333"/>
      <c r="E276" s="1333"/>
      <c r="F276" s="1333"/>
      <c r="G276" s="1333"/>
      <c r="H276" s="1333"/>
      <c r="I276" s="1333"/>
      <c r="J276" s="1333"/>
      <c r="K276" s="1333"/>
      <c r="L276" s="1333"/>
      <c r="M276" s="1333"/>
      <c r="N276" s="1333"/>
      <c r="O276" s="1333"/>
      <c r="P276" s="1333"/>
      <c r="Q276" s="1333"/>
      <c r="R276" s="1333"/>
      <c r="S276" s="1333"/>
      <c r="T276" s="1333"/>
      <c r="U276" s="1333"/>
      <c r="V276" s="1333"/>
      <c r="W276" s="1333"/>
      <c r="X276" s="1333"/>
      <c r="Y276" s="1333"/>
      <c r="Z276" s="1331">
        <f t="shared" si="13"/>
        <v>75</v>
      </c>
      <c r="AA276" s="1330"/>
      <c r="AB276" s="1058" t="s">
        <v>2954</v>
      </c>
      <c r="AC276" s="1059"/>
      <c r="AD276" s="1147"/>
      <c r="AE276" s="1059"/>
      <c r="AF276" s="1059"/>
      <c r="AG276" s="1059"/>
      <c r="AH276" s="1334">
        <v>0</v>
      </c>
      <c r="AI276" s="1333"/>
      <c r="AJ276" s="1333"/>
      <c r="AK276" s="1333"/>
    </row>
    <row r="277" spans="1:37">
      <c r="A277" s="1333"/>
      <c r="B277" s="1333"/>
      <c r="C277" s="1333"/>
      <c r="D277" s="1333"/>
      <c r="E277" s="1333"/>
      <c r="F277" s="1333"/>
      <c r="G277" s="1333"/>
      <c r="H277" s="1333"/>
      <c r="I277" s="1333"/>
      <c r="J277" s="1333"/>
      <c r="K277" s="1333"/>
      <c r="L277" s="1333"/>
      <c r="M277" s="1333"/>
      <c r="N277" s="1333"/>
      <c r="O277" s="1333"/>
      <c r="P277" s="1333"/>
      <c r="Q277" s="1333"/>
      <c r="R277" s="1333"/>
      <c r="S277" s="1333"/>
      <c r="T277" s="1333"/>
      <c r="U277" s="1333"/>
      <c r="V277" s="1333"/>
      <c r="W277" s="1333"/>
      <c r="X277" s="1333"/>
      <c r="Y277" s="1333"/>
      <c r="Z277" s="1331">
        <f t="shared" si="13"/>
        <v>76</v>
      </c>
      <c r="AA277" s="1330"/>
      <c r="AB277" s="1058" t="s">
        <v>2955</v>
      </c>
      <c r="AC277" s="1147"/>
      <c r="AD277" s="1147"/>
      <c r="AE277" s="1147"/>
      <c r="AF277" s="1147"/>
      <c r="AG277" s="1147"/>
      <c r="AH277" s="1533">
        <v>45151759.087842837</v>
      </c>
      <c r="AI277" s="1333"/>
      <c r="AJ277" s="1333"/>
      <c r="AK277" s="1333"/>
    </row>
    <row r="278" spans="1:37">
      <c r="A278" s="1333"/>
      <c r="B278" s="1333"/>
      <c r="C278" s="1333"/>
      <c r="D278" s="1333"/>
      <c r="E278" s="1333"/>
      <c r="F278" s="1333"/>
      <c r="G278" s="1333"/>
      <c r="H278" s="1333"/>
      <c r="I278" s="1333"/>
      <c r="J278" s="1333"/>
      <c r="K278" s="1333"/>
      <c r="L278" s="1333"/>
      <c r="M278" s="1333"/>
      <c r="N278" s="1333"/>
      <c r="O278" s="1333"/>
      <c r="P278" s="1333"/>
      <c r="Q278" s="1333"/>
      <c r="R278" s="1333"/>
      <c r="S278" s="1333"/>
      <c r="T278" s="1333"/>
      <c r="U278" s="1333"/>
      <c r="V278" s="1333"/>
      <c r="W278" s="1333"/>
      <c r="X278" s="1333"/>
      <c r="Y278" s="1333"/>
      <c r="Z278" s="1331">
        <f t="shared" si="13"/>
        <v>77</v>
      </c>
      <c r="AA278" s="1330"/>
      <c r="AB278" s="1330"/>
      <c r="AC278" s="1059"/>
      <c r="AD278" s="1059"/>
      <c r="AE278" s="1059"/>
      <c r="AF278" s="1059"/>
      <c r="AG278" s="1059"/>
      <c r="AH278" s="1334"/>
      <c r="AI278" s="1333"/>
      <c r="AJ278" s="1333"/>
      <c r="AK278" s="1333"/>
    </row>
    <row r="279" spans="1:37">
      <c r="A279" s="1333"/>
      <c r="B279" s="1333"/>
      <c r="C279" s="1333"/>
      <c r="D279" s="1333"/>
      <c r="E279" s="1333"/>
      <c r="F279" s="1333"/>
      <c r="G279" s="1333"/>
      <c r="H279" s="1333"/>
      <c r="I279" s="1333"/>
      <c r="J279" s="1333"/>
      <c r="K279" s="1333"/>
      <c r="L279" s="1333"/>
      <c r="M279" s="1333"/>
      <c r="N279" s="1333"/>
      <c r="O279" s="1333"/>
      <c r="P279" s="1333"/>
      <c r="Q279" s="1333"/>
      <c r="R279" s="1333"/>
      <c r="S279" s="1333"/>
      <c r="T279" s="1333"/>
      <c r="U279" s="1333"/>
      <c r="V279" s="1333"/>
      <c r="W279" s="1333"/>
      <c r="X279" s="1333"/>
      <c r="Y279" s="1333"/>
      <c r="Z279" s="1331">
        <f t="shared" si="13"/>
        <v>78</v>
      </c>
      <c r="AA279" s="1330"/>
      <c r="AB279" s="1058" t="s">
        <v>377</v>
      </c>
      <c r="AC279" s="1059"/>
      <c r="AD279" s="1059"/>
      <c r="AE279" s="1059"/>
      <c r="AF279" s="1059"/>
      <c r="AG279" s="1059"/>
      <c r="AH279" s="1334">
        <f t="shared" ref="AH279" si="14">AH273+SUM(AH276:AH277)</f>
        <v>-11877787.048274554</v>
      </c>
      <c r="AI279" s="1333"/>
      <c r="AJ279" s="1333"/>
      <c r="AK279" s="1333"/>
    </row>
    <row r="280" spans="1:37">
      <c r="A280" s="1333"/>
      <c r="B280" s="1333"/>
      <c r="C280" s="1333"/>
      <c r="D280" s="1333"/>
      <c r="E280" s="1333"/>
      <c r="F280" s="1333"/>
      <c r="G280" s="1333"/>
      <c r="H280" s="1333"/>
      <c r="I280" s="1333"/>
      <c r="J280" s="1333"/>
      <c r="K280" s="1333"/>
      <c r="L280" s="1333"/>
      <c r="M280" s="1333"/>
      <c r="N280" s="1333"/>
      <c r="O280" s="1333"/>
      <c r="P280" s="1333"/>
      <c r="Q280" s="1333"/>
      <c r="R280" s="1333"/>
      <c r="S280" s="1333"/>
      <c r="T280" s="1333"/>
      <c r="U280" s="1333"/>
      <c r="V280" s="1333"/>
      <c r="W280" s="1333"/>
      <c r="X280" s="1333"/>
      <c r="Y280" s="1333"/>
      <c r="Z280" s="1331">
        <f t="shared" si="13"/>
        <v>79</v>
      </c>
      <c r="AA280" s="1330"/>
      <c r="AB280" s="1330"/>
      <c r="AC280" s="1059"/>
      <c r="AD280" s="1059"/>
      <c r="AE280" s="1059"/>
      <c r="AF280" s="1059"/>
      <c r="AG280" s="1059"/>
      <c r="AH280" s="1334"/>
      <c r="AI280" s="1333"/>
      <c r="AJ280" s="1333"/>
      <c r="AK280" s="1333"/>
    </row>
    <row r="281" spans="1:37">
      <c r="A281" s="1333"/>
      <c r="B281" s="1333"/>
      <c r="C281" s="1333"/>
      <c r="D281" s="1333"/>
      <c r="E281" s="1333"/>
      <c r="F281" s="1333"/>
      <c r="G281" s="1333"/>
      <c r="H281" s="1333"/>
      <c r="I281" s="1333"/>
      <c r="J281" s="1333"/>
      <c r="K281" s="1333"/>
      <c r="L281" s="1333"/>
      <c r="M281" s="1333"/>
      <c r="N281" s="1333"/>
      <c r="O281" s="1333"/>
      <c r="P281" s="1333"/>
      <c r="Q281" s="1333"/>
      <c r="R281" s="1333"/>
      <c r="S281" s="1333"/>
      <c r="T281" s="1333"/>
      <c r="U281" s="1333"/>
      <c r="V281" s="1333"/>
      <c r="W281" s="1333"/>
      <c r="X281" s="1333"/>
      <c r="Y281" s="1333"/>
      <c r="Z281" s="1331">
        <f t="shared" si="13"/>
        <v>80</v>
      </c>
      <c r="AA281" s="1330"/>
      <c r="AB281" s="1123" t="s">
        <v>2306</v>
      </c>
      <c r="AC281" s="1536"/>
      <c r="AD281" s="1536"/>
      <c r="AE281" s="1536"/>
      <c r="AF281" s="1147"/>
      <c r="AG281" s="1536"/>
      <c r="AH281" s="2058">
        <v>0.89086699999999996</v>
      </c>
      <c r="AI281" s="1333"/>
      <c r="AJ281" s="1333"/>
      <c r="AK281" s="1333"/>
    </row>
    <row r="282" spans="1:37">
      <c r="A282" s="1333"/>
      <c r="B282" s="1333"/>
      <c r="C282" s="1333"/>
      <c r="D282" s="1333"/>
      <c r="E282" s="1333"/>
      <c r="F282" s="1333"/>
      <c r="G282" s="1333"/>
      <c r="H282" s="1333"/>
      <c r="I282" s="1333"/>
      <c r="J282" s="1333"/>
      <c r="K282" s="1333"/>
      <c r="L282" s="1333"/>
      <c r="M282" s="1333"/>
      <c r="N282" s="1333"/>
      <c r="O282" s="1333"/>
      <c r="P282" s="1333"/>
      <c r="Q282" s="1333"/>
      <c r="R282" s="1333"/>
      <c r="S282" s="1333"/>
      <c r="T282" s="1333"/>
      <c r="U282" s="1333"/>
      <c r="V282" s="1333"/>
      <c r="W282" s="1333"/>
      <c r="X282" s="1333"/>
      <c r="Y282" s="1333"/>
      <c r="Z282" s="1331">
        <f t="shared" si="13"/>
        <v>81</v>
      </c>
      <c r="AA282" s="1330"/>
      <c r="AB282" s="1123"/>
      <c r="AC282" s="1059"/>
      <c r="AD282" s="1059"/>
      <c r="AE282" s="1059"/>
      <c r="AF282" s="1059"/>
      <c r="AG282" s="1059"/>
      <c r="AH282" s="1334"/>
      <c r="AI282" s="1333"/>
      <c r="AJ282" s="1333"/>
      <c r="AK282" s="1333"/>
    </row>
    <row r="283" spans="1:37" ht="13.5" thickBot="1">
      <c r="A283" s="1333"/>
      <c r="B283" s="1333"/>
      <c r="C283" s="1333"/>
      <c r="D283" s="1333"/>
      <c r="E283" s="1333"/>
      <c r="F283" s="1333"/>
      <c r="G283" s="1333"/>
      <c r="H283" s="1333"/>
      <c r="I283" s="1333"/>
      <c r="J283" s="1333"/>
      <c r="K283" s="1333"/>
      <c r="L283" s="1333"/>
      <c r="M283" s="1333"/>
      <c r="N283" s="1333"/>
      <c r="O283" s="1333"/>
      <c r="P283" s="1333"/>
      <c r="Q283" s="1333"/>
      <c r="R283" s="1333"/>
      <c r="S283" s="1333"/>
      <c r="T283" s="1333"/>
      <c r="U283" s="1333"/>
      <c r="V283" s="1333"/>
      <c r="W283" s="1333"/>
      <c r="X283" s="1333"/>
      <c r="Y283" s="1333"/>
      <c r="Z283" s="1331">
        <f t="shared" si="13"/>
        <v>82</v>
      </c>
      <c r="AA283" s="1330"/>
      <c r="AB283" s="1330" t="s">
        <v>378</v>
      </c>
      <c r="AC283" s="1059"/>
      <c r="AD283" s="1059"/>
      <c r="AE283" s="1059"/>
      <c r="AF283" s="1059"/>
      <c r="AG283" s="1059"/>
      <c r="AH283" s="1534">
        <f>ROUND(AH279*AH281,2)</f>
        <v>-10581528.51</v>
      </c>
      <c r="AI283" s="1333"/>
      <c r="AJ283" s="1333"/>
      <c r="AK283" s="1333"/>
    </row>
    <row r="284" spans="1:37" ht="13.5" thickTop="1">
      <c r="A284" s="1333"/>
      <c r="B284" s="1333"/>
      <c r="C284" s="1333"/>
      <c r="D284" s="1333"/>
      <c r="E284" s="1333"/>
      <c r="F284" s="1333"/>
      <c r="G284" s="1333"/>
      <c r="H284" s="1333"/>
      <c r="I284" s="1333"/>
      <c r="J284" s="1333"/>
      <c r="K284" s="1333"/>
      <c r="L284" s="1333"/>
      <c r="M284" s="1333"/>
      <c r="N284" s="1333"/>
      <c r="O284" s="1333"/>
      <c r="P284" s="1333"/>
      <c r="Q284" s="1333"/>
      <c r="R284" s="1333"/>
      <c r="S284" s="1333"/>
      <c r="T284" s="1333"/>
      <c r="U284" s="1333"/>
      <c r="V284" s="1333"/>
      <c r="W284" s="1333"/>
      <c r="X284" s="1333"/>
      <c r="Y284" s="1333"/>
      <c r="Z284" s="1331">
        <f t="shared" si="13"/>
        <v>83</v>
      </c>
      <c r="AA284" s="1330"/>
      <c r="AB284" s="1330"/>
      <c r="AC284" s="1059"/>
      <c r="AD284" s="1059"/>
      <c r="AE284" s="1059"/>
      <c r="AF284" s="1059"/>
      <c r="AG284" s="1059"/>
      <c r="AH284" s="1334"/>
      <c r="AI284" s="1333"/>
      <c r="AJ284" s="1333"/>
      <c r="AK284" s="1333"/>
    </row>
    <row r="285" spans="1:37">
      <c r="A285" s="1333"/>
      <c r="B285" s="1333"/>
      <c r="C285" s="1333"/>
      <c r="D285" s="1333"/>
      <c r="E285" s="1333"/>
      <c r="F285" s="1333"/>
      <c r="G285" s="1333"/>
      <c r="H285" s="1333"/>
      <c r="I285" s="1333"/>
      <c r="J285" s="1333"/>
      <c r="K285" s="1333"/>
      <c r="L285" s="1333"/>
      <c r="M285" s="1333"/>
      <c r="N285" s="1333"/>
      <c r="O285" s="1333"/>
      <c r="P285" s="1333"/>
      <c r="Q285" s="1333"/>
      <c r="R285" s="1333"/>
      <c r="S285" s="1333"/>
      <c r="T285" s="1333"/>
      <c r="U285" s="1333"/>
      <c r="V285" s="1333"/>
      <c r="W285" s="1333"/>
      <c r="X285" s="1333"/>
      <c r="Y285" s="1333"/>
      <c r="Z285" s="1331">
        <f t="shared" si="13"/>
        <v>84</v>
      </c>
      <c r="AA285" s="1330"/>
      <c r="AB285" s="1058" t="str">
        <f>"Kentucky Income Tax Expense     @ "&amp;TEXT(SIT,"0.000%")</f>
        <v>Kentucky Income Tax Expense     @ 6.000%</v>
      </c>
      <c r="AC285" s="1059"/>
      <c r="AD285" s="1059"/>
      <c r="AE285" s="1059"/>
      <c r="AF285" s="1059"/>
      <c r="AG285" s="1059"/>
      <c r="AH285" s="1067">
        <f>ROUND(AH283*SIT,0)</f>
        <v>-634892</v>
      </c>
      <c r="AI285" s="1333"/>
      <c r="AJ285" s="1333"/>
      <c r="AK285" s="1333"/>
    </row>
    <row r="286" spans="1:37">
      <c r="A286" s="1333"/>
      <c r="B286" s="1333"/>
      <c r="C286" s="1333"/>
      <c r="D286" s="1333"/>
      <c r="E286" s="1333"/>
      <c r="F286" s="1333"/>
      <c r="G286" s="1333"/>
      <c r="H286" s="1333"/>
      <c r="I286" s="1333"/>
      <c r="J286" s="1333"/>
      <c r="K286" s="1333"/>
      <c r="L286" s="1333"/>
      <c r="M286" s="1333"/>
      <c r="N286" s="1333"/>
      <c r="O286" s="1333"/>
      <c r="P286" s="1333"/>
      <c r="Q286" s="1333"/>
      <c r="R286" s="1333"/>
      <c r="S286" s="1333"/>
      <c r="T286" s="1333"/>
      <c r="U286" s="1333"/>
      <c r="V286" s="1333"/>
      <c r="W286" s="1333"/>
      <c r="X286" s="1333"/>
      <c r="Y286" s="1333"/>
      <c r="Z286" s="1331">
        <f t="shared" si="13"/>
        <v>85</v>
      </c>
      <c r="AA286" s="1330"/>
      <c r="AB286" s="1330" t="s">
        <v>1413</v>
      </c>
      <c r="AC286" s="1147"/>
      <c r="AD286" s="1147"/>
      <c r="AE286" s="1147"/>
      <c r="AF286" s="1144"/>
      <c r="AG286" s="1147"/>
      <c r="AH286" s="1529">
        <v>0</v>
      </c>
      <c r="AI286" s="1333"/>
      <c r="AJ286" s="1333"/>
      <c r="AK286" s="1333"/>
    </row>
    <row r="287" spans="1:37" ht="13.5" thickBot="1">
      <c r="A287" s="1333"/>
      <c r="B287" s="1333"/>
      <c r="C287" s="1333"/>
      <c r="D287" s="1333"/>
      <c r="E287" s="1333"/>
      <c r="F287" s="1333"/>
      <c r="G287" s="1333"/>
      <c r="H287" s="1333"/>
      <c r="I287" s="1333"/>
      <c r="J287" s="1333"/>
      <c r="K287" s="1333"/>
      <c r="L287" s="1333"/>
      <c r="M287" s="1333"/>
      <c r="N287" s="1333"/>
      <c r="O287" s="1333"/>
      <c r="P287" s="1333"/>
      <c r="Q287" s="1333"/>
      <c r="R287" s="1333"/>
      <c r="S287" s="1333"/>
      <c r="T287" s="1333"/>
      <c r="U287" s="1333"/>
      <c r="V287" s="1333"/>
      <c r="W287" s="1333"/>
      <c r="X287" s="1333"/>
      <c r="Y287" s="1333"/>
      <c r="Z287" s="1331">
        <f t="shared" si="13"/>
        <v>86</v>
      </c>
      <c r="AA287" s="1330"/>
      <c r="AB287" s="1058" t="s">
        <v>63</v>
      </c>
      <c r="AC287" s="1059"/>
      <c r="AD287" s="1059"/>
      <c r="AE287" s="1059"/>
      <c r="AF287" s="1059"/>
      <c r="AG287" s="1059"/>
      <c r="AH287" s="1531">
        <f>SUM(AH285:AH286)</f>
        <v>-634892</v>
      </c>
      <c r="AI287" s="1333"/>
      <c r="AJ287" s="1333"/>
      <c r="AK287" s="1333"/>
    </row>
    <row r="288" spans="1:37" ht="13.5" thickTop="1">
      <c r="A288" s="1333"/>
      <c r="B288" s="1333"/>
      <c r="C288" s="1333"/>
      <c r="D288" s="1333"/>
      <c r="E288" s="1333"/>
      <c r="F288" s="1333"/>
      <c r="G288" s="1333"/>
      <c r="H288" s="1333"/>
      <c r="I288" s="1333"/>
      <c r="J288" s="1333"/>
      <c r="K288" s="1333"/>
      <c r="L288" s="1333"/>
      <c r="M288" s="1333"/>
      <c r="N288" s="1333"/>
      <c r="O288" s="1333"/>
      <c r="P288" s="1333"/>
      <c r="Q288" s="1333"/>
      <c r="R288" s="1333"/>
      <c r="S288" s="1333"/>
      <c r="T288" s="1333"/>
      <c r="U288" s="1333"/>
      <c r="V288" s="1333"/>
      <c r="W288" s="1333"/>
      <c r="X288" s="1333"/>
      <c r="Y288" s="1333"/>
      <c r="Z288" s="1331">
        <f t="shared" si="13"/>
        <v>87</v>
      </c>
      <c r="AA288" s="1330"/>
      <c r="AB288" s="1330"/>
      <c r="AC288" s="1059"/>
      <c r="AD288" s="1059"/>
      <c r="AE288" s="1059"/>
      <c r="AF288" s="1059"/>
      <c r="AG288" s="1059"/>
      <c r="AH288" s="1334"/>
      <c r="AI288" s="1333"/>
      <c r="AJ288" s="1333"/>
      <c r="AK288" s="1333"/>
    </row>
    <row r="289" spans="1:37">
      <c r="A289" s="1333"/>
      <c r="B289" s="1333"/>
      <c r="C289" s="1333"/>
      <c r="D289" s="1333"/>
      <c r="E289" s="1333"/>
      <c r="F289" s="1333"/>
      <c r="G289" s="1333"/>
      <c r="H289" s="1333"/>
      <c r="I289" s="1333"/>
      <c r="J289" s="1333"/>
      <c r="K289" s="1333"/>
      <c r="L289" s="1333"/>
      <c r="M289" s="1333"/>
      <c r="N289" s="1333"/>
      <c r="O289" s="1333"/>
      <c r="P289" s="1333"/>
      <c r="Q289" s="1333"/>
      <c r="R289" s="1333"/>
      <c r="S289" s="1333"/>
      <c r="T289" s="1333"/>
      <c r="U289" s="1333"/>
      <c r="V289" s="1333"/>
      <c r="W289" s="1333"/>
      <c r="X289" s="1333"/>
      <c r="Y289" s="1333"/>
      <c r="Z289" s="1331">
        <f t="shared" si="13"/>
        <v>88</v>
      </c>
      <c r="AA289" s="1330"/>
      <c r="AB289" s="1058" t="s">
        <v>2307</v>
      </c>
      <c r="AC289" s="1059"/>
      <c r="AD289" s="1059"/>
      <c r="AE289" s="1059"/>
      <c r="AF289" s="1059"/>
      <c r="AG289" s="1059"/>
      <c r="AH289" s="1334">
        <f>AH273</f>
        <v>-57029546.136117391</v>
      </c>
      <c r="AI289" s="1333"/>
      <c r="AJ289" s="1333"/>
      <c r="AK289" s="1333"/>
    </row>
    <row r="290" spans="1:37">
      <c r="A290" s="1333"/>
      <c r="B290" s="1333"/>
      <c r="C290" s="1333"/>
      <c r="D290" s="1333"/>
      <c r="E290" s="1333"/>
      <c r="F290" s="1333"/>
      <c r="G290" s="1333"/>
      <c r="H290" s="1333"/>
      <c r="I290" s="1333"/>
      <c r="J290" s="1333"/>
      <c r="K290" s="1333"/>
      <c r="L290" s="1333"/>
      <c r="M290" s="1333"/>
      <c r="N290" s="1333"/>
      <c r="O290" s="1333"/>
      <c r="P290" s="1333"/>
      <c r="Q290" s="1333"/>
      <c r="R290" s="1333"/>
      <c r="S290" s="1333"/>
      <c r="T290" s="1333"/>
      <c r="U290" s="1333"/>
      <c r="V290" s="1333"/>
      <c r="W290" s="1333"/>
      <c r="X290" s="1333"/>
      <c r="Y290" s="1333"/>
      <c r="Z290" s="1331">
        <f t="shared" si="13"/>
        <v>89</v>
      </c>
      <c r="AA290" s="1330"/>
      <c r="AB290" s="1058" t="s">
        <v>1756</v>
      </c>
      <c r="AC290" s="1059"/>
      <c r="AD290" s="1059"/>
      <c r="AE290" s="1059"/>
      <c r="AF290" s="1059"/>
      <c r="AG290" s="1059"/>
      <c r="AH290" s="1334">
        <f>-AH285</f>
        <v>634892</v>
      </c>
      <c r="AI290" s="1333"/>
      <c r="AJ290" s="1333"/>
      <c r="AK290" s="1333"/>
    </row>
    <row r="291" spans="1:37">
      <c r="A291" s="1333"/>
      <c r="B291" s="1333"/>
      <c r="C291" s="1333"/>
      <c r="D291" s="1333"/>
      <c r="E291" s="1333"/>
      <c r="F291" s="1333"/>
      <c r="G291" s="1333"/>
      <c r="H291" s="1333"/>
      <c r="I291" s="1333"/>
      <c r="J291" s="1333"/>
      <c r="K291" s="1333"/>
      <c r="L291" s="1333"/>
      <c r="M291" s="1333"/>
      <c r="N291" s="1333"/>
      <c r="O291" s="1333"/>
      <c r="P291" s="1333"/>
      <c r="Q291" s="1333"/>
      <c r="R291" s="1333"/>
      <c r="S291" s="1333"/>
      <c r="T291" s="1333"/>
      <c r="U291" s="1333"/>
      <c r="V291" s="1333"/>
      <c r="W291" s="1333"/>
      <c r="X291" s="1333"/>
      <c r="Y291" s="1333"/>
      <c r="Z291" s="1331">
        <f t="shared" si="13"/>
        <v>90</v>
      </c>
      <c r="AA291" s="1330"/>
      <c r="AB291" s="1123" t="s">
        <v>1415</v>
      </c>
      <c r="AC291" s="1059"/>
      <c r="AD291" s="1059"/>
      <c r="AE291" s="1059"/>
      <c r="AF291" s="1059"/>
      <c r="AG291" s="1059"/>
      <c r="AH291" s="1146">
        <f>-AH286</f>
        <v>0</v>
      </c>
      <c r="AI291" s="1333"/>
      <c r="AJ291" s="1333"/>
      <c r="AK291" s="1333"/>
    </row>
    <row r="292" spans="1:37">
      <c r="A292" s="1333"/>
      <c r="B292" s="1333"/>
      <c r="C292" s="1333"/>
      <c r="D292" s="1333"/>
      <c r="E292" s="1333"/>
      <c r="F292" s="1333"/>
      <c r="G292" s="1333"/>
      <c r="H292" s="1333"/>
      <c r="I292" s="1333"/>
      <c r="J292" s="1333"/>
      <c r="K292" s="1333"/>
      <c r="L292" s="1333"/>
      <c r="M292" s="1333"/>
      <c r="N292" s="1333"/>
      <c r="O292" s="1333"/>
      <c r="P292" s="1333"/>
      <c r="Q292" s="1333"/>
      <c r="R292" s="1333"/>
      <c r="S292" s="1333"/>
      <c r="T292" s="1333"/>
      <c r="U292" s="1333"/>
      <c r="V292" s="1333"/>
      <c r="W292" s="1333"/>
      <c r="X292" s="1333"/>
      <c r="Y292" s="1333"/>
      <c r="Z292" s="1331">
        <f t="shared" si="13"/>
        <v>91</v>
      </c>
      <c r="AA292" s="1330"/>
      <c r="AB292" s="1330"/>
      <c r="AC292" s="1059"/>
      <c r="AD292" s="1059"/>
      <c r="AE292" s="1059"/>
      <c r="AF292" s="1059"/>
      <c r="AG292" s="1535"/>
      <c r="AH292" s="1334"/>
      <c r="AI292" s="1333"/>
      <c r="AJ292" s="1333"/>
      <c r="AK292" s="1333"/>
    </row>
    <row r="293" spans="1:37" ht="13.5" thickBot="1">
      <c r="A293" s="1333"/>
      <c r="B293" s="1333"/>
      <c r="C293" s="1333"/>
      <c r="D293" s="1333"/>
      <c r="E293" s="1333"/>
      <c r="F293" s="1333"/>
      <c r="G293" s="1333"/>
      <c r="H293" s="1333"/>
      <c r="I293" s="1333"/>
      <c r="J293" s="1333"/>
      <c r="K293" s="1333"/>
      <c r="L293" s="1333"/>
      <c r="M293" s="1333"/>
      <c r="N293" s="1333"/>
      <c r="O293" s="1333"/>
      <c r="P293" s="1333"/>
      <c r="Q293" s="1333"/>
      <c r="R293" s="1333"/>
      <c r="S293" s="1333"/>
      <c r="T293" s="1333"/>
      <c r="U293" s="1333"/>
      <c r="V293" s="1333"/>
      <c r="W293" s="1333"/>
      <c r="X293" s="1333"/>
      <c r="Y293" s="1333"/>
      <c r="Z293" s="1331">
        <f t="shared" si="13"/>
        <v>92</v>
      </c>
      <c r="AA293" s="1330"/>
      <c r="AB293" s="1058" t="s">
        <v>1563</v>
      </c>
      <c r="AC293" s="1059"/>
      <c r="AD293" s="1059"/>
      <c r="AE293" s="1059"/>
      <c r="AF293" s="1059"/>
      <c r="AG293" s="1059"/>
      <c r="AH293" s="1530">
        <f t="shared" ref="AH293" si="15">AH273+AH290+AH291</f>
        <v>-56394654.136117391</v>
      </c>
      <c r="AI293" s="1333"/>
      <c r="AJ293" s="1333"/>
      <c r="AK293" s="1333"/>
    </row>
    <row r="294" spans="1:37" ht="13.5" thickTop="1">
      <c r="A294" s="1333"/>
      <c r="B294" s="1333"/>
      <c r="C294" s="1333"/>
      <c r="D294" s="1333"/>
      <c r="E294" s="1333"/>
      <c r="F294" s="1333"/>
      <c r="G294" s="1333"/>
      <c r="H294" s="1333"/>
      <c r="I294" s="1333"/>
      <c r="J294" s="1333"/>
      <c r="K294" s="1333"/>
      <c r="L294" s="1333"/>
      <c r="M294" s="1333"/>
      <c r="N294" s="1333"/>
      <c r="O294" s="1333"/>
      <c r="P294" s="1333"/>
      <c r="Q294" s="1333"/>
      <c r="R294" s="1333"/>
      <c r="S294" s="1333"/>
      <c r="T294" s="1333"/>
      <c r="U294" s="1333"/>
      <c r="V294" s="1333"/>
      <c r="W294" s="1333"/>
      <c r="X294" s="1333"/>
      <c r="Y294" s="1333"/>
      <c r="Z294" s="1331">
        <f t="shared" si="13"/>
        <v>93</v>
      </c>
      <c r="AA294" s="1330"/>
      <c r="AB294" s="1330"/>
      <c r="AC294" s="1059"/>
      <c r="AD294" s="1059"/>
      <c r="AE294" s="1059"/>
      <c r="AF294" s="1059"/>
      <c r="AG294" s="1059"/>
      <c r="AH294" s="1334"/>
      <c r="AI294" s="1333"/>
      <c r="AJ294" s="1333"/>
      <c r="AK294" s="1333"/>
    </row>
    <row r="295" spans="1:37">
      <c r="A295" s="1333"/>
      <c r="B295" s="1333"/>
      <c r="C295" s="1333"/>
      <c r="D295" s="1333"/>
      <c r="E295" s="1333"/>
      <c r="F295" s="1333"/>
      <c r="G295" s="1333"/>
      <c r="H295" s="1333"/>
      <c r="I295" s="1333"/>
      <c r="J295" s="1333"/>
      <c r="K295" s="1333"/>
      <c r="L295" s="1333"/>
      <c r="M295" s="1333"/>
      <c r="N295" s="1333"/>
      <c r="O295" s="1333"/>
      <c r="P295" s="1333"/>
      <c r="Q295" s="1333"/>
      <c r="R295" s="1333"/>
      <c r="S295" s="1333"/>
      <c r="T295" s="1333"/>
      <c r="U295" s="1333"/>
      <c r="V295" s="1333"/>
      <c r="W295" s="1333"/>
      <c r="X295" s="1333"/>
      <c r="Y295" s="1333"/>
      <c r="Z295" s="1331">
        <f t="shared" si="13"/>
        <v>94</v>
      </c>
      <c r="AA295" s="1330"/>
      <c r="AB295" s="1058" t="str">
        <f>"Federal Income Tax Before Credits @ "&amp;TEXT(FIT,"00%")</f>
        <v>Federal Income Tax Before Credits @ 35%</v>
      </c>
      <c r="AC295" s="1059"/>
      <c r="AD295" s="1059"/>
      <c r="AE295" s="1059"/>
      <c r="AF295" s="1059"/>
      <c r="AG295" s="1059"/>
      <c r="AH295" s="1067">
        <f>ROUND(AH293*FIT,0)</f>
        <v>-19738129</v>
      </c>
      <c r="AI295" s="1333"/>
      <c r="AJ295" s="1333"/>
      <c r="AK295" s="1333"/>
    </row>
    <row r="296" spans="1:37">
      <c r="A296" s="1333"/>
      <c r="B296" s="1333"/>
      <c r="C296" s="1333"/>
      <c r="D296" s="1333"/>
      <c r="E296" s="1333"/>
      <c r="F296" s="1333"/>
      <c r="G296" s="1333"/>
      <c r="H296" s="1333"/>
      <c r="I296" s="1333"/>
      <c r="J296" s="1333"/>
      <c r="K296" s="1333"/>
      <c r="L296" s="1333"/>
      <c r="M296" s="1333"/>
      <c r="N296" s="1333"/>
      <c r="O296" s="1333"/>
      <c r="P296" s="1333"/>
      <c r="Q296" s="1333"/>
      <c r="R296" s="1333"/>
      <c r="S296" s="1333"/>
      <c r="T296" s="1333"/>
      <c r="U296" s="1333"/>
      <c r="V296" s="1333"/>
      <c r="W296" s="1333"/>
      <c r="X296" s="1333"/>
      <c r="Y296" s="1333"/>
      <c r="Z296" s="1331">
        <f t="shared" si="13"/>
        <v>95</v>
      </c>
      <c r="AA296" s="1330"/>
      <c r="AB296" s="1123" t="s">
        <v>399</v>
      </c>
      <c r="AC296" s="1059"/>
      <c r="AD296" s="1059"/>
      <c r="AE296" s="1059"/>
      <c r="AF296" s="1059"/>
      <c r="AG296" s="1059"/>
      <c r="AH296" s="1334">
        <f>AD296-AC296+AE296+AG296</f>
        <v>0</v>
      </c>
      <c r="AI296" s="1333"/>
      <c r="AJ296" s="1333"/>
      <c r="AK296" s="1333"/>
    </row>
    <row r="297" spans="1:37" ht="13.5" thickBot="1">
      <c r="A297" s="1333"/>
      <c r="B297" s="1333"/>
      <c r="C297" s="1333"/>
      <c r="D297" s="1333"/>
      <c r="E297" s="1333"/>
      <c r="F297" s="1333"/>
      <c r="G297" s="1333"/>
      <c r="H297" s="1333"/>
      <c r="I297" s="1333"/>
      <c r="J297" s="1333"/>
      <c r="K297" s="1333"/>
      <c r="L297" s="1333"/>
      <c r="M297" s="1333"/>
      <c r="N297" s="1333"/>
      <c r="O297" s="1333"/>
      <c r="P297" s="1333"/>
      <c r="Q297" s="1333"/>
      <c r="R297" s="1333"/>
      <c r="S297" s="1333"/>
      <c r="T297" s="1333"/>
      <c r="U297" s="1333"/>
      <c r="V297" s="1333"/>
      <c r="W297" s="1333"/>
      <c r="X297" s="1333"/>
      <c r="Y297" s="1333"/>
      <c r="Z297" s="1331">
        <f t="shared" si="13"/>
        <v>96</v>
      </c>
      <c r="AA297" s="1330"/>
      <c r="AB297" s="1330" t="s">
        <v>400</v>
      </c>
      <c r="AC297" s="1059"/>
      <c r="AD297" s="1059"/>
      <c r="AE297" s="1059"/>
      <c r="AF297" s="1059"/>
      <c r="AG297" s="1059"/>
      <c r="AH297" s="1531">
        <f>SUM(AH295:AH296)</f>
        <v>-19738129</v>
      </c>
      <c r="AI297" s="1333"/>
      <c r="AJ297" s="1333"/>
      <c r="AK297" s="1333"/>
    </row>
    <row r="298" spans="1:37" ht="13.5" thickTop="1">
      <c r="A298" s="1333"/>
      <c r="B298" s="1333"/>
      <c r="C298" s="1333"/>
      <c r="D298" s="1333"/>
      <c r="E298" s="1333"/>
      <c r="F298" s="1333"/>
      <c r="G298" s="1333"/>
      <c r="H298" s="1333"/>
      <c r="I298" s="1333"/>
      <c r="J298" s="1333"/>
      <c r="K298" s="1333"/>
      <c r="L298" s="1333"/>
      <c r="M298" s="1333"/>
      <c r="N298" s="1333"/>
      <c r="O298" s="1333"/>
      <c r="P298" s="1333"/>
      <c r="Q298" s="1333"/>
      <c r="R298" s="1333"/>
      <c r="S298" s="1333"/>
      <c r="T298" s="1333"/>
      <c r="U298" s="1333"/>
      <c r="V298" s="1333"/>
      <c r="W298" s="1333"/>
      <c r="X298" s="1333"/>
      <c r="Y298" s="1333"/>
      <c r="Z298" s="1330"/>
      <c r="AA298" s="1330"/>
      <c r="AB298" s="1330"/>
      <c r="AC298" s="1332"/>
      <c r="AD298" s="1332"/>
      <c r="AE298" s="1332"/>
      <c r="AF298" s="1332"/>
      <c r="AG298" s="1332"/>
      <c r="AH298" s="1334"/>
      <c r="AI298" s="1333"/>
      <c r="AJ298" s="1333"/>
      <c r="AK298" s="1333"/>
    </row>
    <row r="299" spans="1:37">
      <c r="A299" s="1333"/>
      <c r="B299" s="1333"/>
      <c r="C299" s="1333"/>
      <c r="D299" s="1333"/>
      <c r="E299" s="1333"/>
      <c r="F299" s="1333"/>
      <c r="G299" s="1333"/>
      <c r="H299" s="1333"/>
      <c r="I299" s="1333"/>
      <c r="J299" s="1333"/>
      <c r="K299" s="1333"/>
      <c r="L299" s="1333"/>
      <c r="M299" s="1333"/>
      <c r="N299" s="1333"/>
      <c r="O299" s="1333"/>
      <c r="P299" s="1333"/>
      <c r="Q299" s="1333"/>
      <c r="R299" s="1333"/>
      <c r="S299" s="1333"/>
      <c r="T299" s="1333"/>
      <c r="U299" s="1333"/>
      <c r="V299" s="1333"/>
      <c r="W299" s="1333"/>
      <c r="X299" s="1333"/>
      <c r="Y299" s="1333"/>
      <c r="Z299" s="1333"/>
      <c r="AA299" s="1333"/>
      <c r="AB299" s="1333"/>
      <c r="AC299" s="1333"/>
      <c r="AD299" s="1333"/>
      <c r="AE299" s="1333"/>
      <c r="AF299" s="1333"/>
      <c r="AG299" s="1333"/>
      <c r="AH299" s="1097"/>
      <c r="AI299" s="1333"/>
      <c r="AJ299" s="1333"/>
      <c r="AK299" s="1333"/>
    </row>
    <row r="300" spans="1:37">
      <c r="A300" s="1333"/>
      <c r="B300" s="1333"/>
      <c r="C300" s="1333"/>
      <c r="D300" s="1333"/>
      <c r="E300" s="1333"/>
      <c r="F300" s="1333"/>
      <c r="G300" s="1333"/>
      <c r="H300" s="1333"/>
      <c r="I300" s="1333"/>
      <c r="J300" s="1333"/>
      <c r="K300" s="1333"/>
      <c r="L300" s="1333"/>
      <c r="M300" s="1333"/>
      <c r="N300" s="1333"/>
      <c r="O300" s="1333"/>
      <c r="P300" s="1333"/>
      <c r="Q300" s="1333"/>
      <c r="R300" s="1333"/>
      <c r="S300" s="1333"/>
      <c r="T300" s="1333"/>
      <c r="U300" s="1333"/>
      <c r="V300" s="1333"/>
      <c r="W300" s="1333"/>
      <c r="X300" s="1333"/>
      <c r="Y300" s="1333"/>
      <c r="Z300" s="1333"/>
      <c r="AA300" s="1333"/>
      <c r="AB300" s="1333"/>
      <c r="AC300" s="1333"/>
      <c r="AD300" s="1333"/>
      <c r="AE300" s="1333"/>
      <c r="AF300" s="1333"/>
      <c r="AG300" s="1333"/>
      <c r="AH300" s="1097"/>
      <c r="AI300" s="1333"/>
      <c r="AJ300" s="1333"/>
      <c r="AK300" s="1333"/>
    </row>
    <row r="301" spans="1:37">
      <c r="A301" s="1333"/>
      <c r="B301" s="1333"/>
      <c r="C301" s="1333"/>
      <c r="D301" s="1333"/>
      <c r="E301" s="1333"/>
      <c r="F301" s="1333"/>
      <c r="G301" s="1333"/>
      <c r="H301" s="1333"/>
      <c r="I301" s="1333"/>
      <c r="J301" s="1333"/>
      <c r="K301" s="1333"/>
      <c r="L301" s="1333"/>
      <c r="M301" s="1333"/>
      <c r="N301" s="1333"/>
      <c r="O301" s="1333"/>
      <c r="P301" s="1333"/>
      <c r="Q301" s="1333"/>
      <c r="R301" s="1333"/>
      <c r="S301" s="1333"/>
      <c r="T301" s="1333"/>
      <c r="U301" s="1333"/>
      <c r="V301" s="1333"/>
      <c r="W301" s="1333"/>
      <c r="X301" s="1333"/>
      <c r="Y301" s="1333"/>
      <c r="Z301" s="1333"/>
      <c r="AA301" s="1333"/>
      <c r="AB301" s="1333"/>
      <c r="AC301" s="1333"/>
      <c r="AD301" s="1333"/>
      <c r="AE301" s="1333"/>
      <c r="AF301" s="1333"/>
      <c r="AG301" s="1333"/>
      <c r="AH301" s="1097"/>
      <c r="AI301" s="1333"/>
      <c r="AJ301" s="1333"/>
      <c r="AK301" s="1333"/>
    </row>
    <row r="302" spans="1:37">
      <c r="A302" s="1333"/>
      <c r="B302" s="1333"/>
      <c r="C302" s="1333"/>
      <c r="D302" s="1333"/>
      <c r="E302" s="1333"/>
      <c r="F302" s="1333"/>
      <c r="G302" s="1333"/>
      <c r="H302" s="1333"/>
      <c r="I302" s="1333"/>
      <c r="J302" s="1333"/>
      <c r="K302" s="1333"/>
      <c r="L302" s="1333"/>
      <c r="M302" s="1333"/>
      <c r="N302" s="1333"/>
      <c r="O302" s="1333"/>
      <c r="P302" s="1333"/>
      <c r="Q302" s="1333"/>
      <c r="R302" s="1333"/>
      <c r="S302" s="1333"/>
      <c r="T302" s="1333"/>
      <c r="U302" s="1333"/>
      <c r="V302" s="1333"/>
      <c r="W302" s="1333"/>
      <c r="X302" s="1333"/>
      <c r="Y302" s="1333"/>
      <c r="Z302" s="1333"/>
      <c r="AA302" s="1333"/>
      <c r="AB302" s="1058"/>
      <c r="AC302" s="1332"/>
      <c r="AD302" s="1332"/>
      <c r="AE302" s="1332"/>
      <c r="AF302" s="1332"/>
      <c r="AG302" s="1332"/>
      <c r="AH302" s="1334"/>
      <c r="AI302" s="1333"/>
      <c r="AJ302" s="1333"/>
      <c r="AK302" s="1333"/>
    </row>
    <row r="303" spans="1:37">
      <c r="A303" s="1333"/>
      <c r="B303" s="1333"/>
      <c r="C303" s="1333"/>
      <c r="D303" s="1333"/>
      <c r="E303" s="1333"/>
      <c r="F303" s="1333"/>
      <c r="G303" s="1333"/>
      <c r="H303" s="1333"/>
      <c r="I303" s="1333"/>
      <c r="J303" s="1333"/>
      <c r="K303" s="1333"/>
      <c r="L303" s="1333"/>
      <c r="M303" s="1333"/>
      <c r="N303" s="1333"/>
      <c r="O303" s="1333"/>
      <c r="P303" s="1333"/>
      <c r="Q303" s="1333"/>
      <c r="R303" s="1333"/>
      <c r="S303" s="1333"/>
      <c r="T303" s="1333"/>
      <c r="U303" s="1333"/>
      <c r="V303" s="1333"/>
      <c r="W303" s="1333"/>
      <c r="X303" s="1333"/>
      <c r="Y303" s="1333"/>
      <c r="Z303" s="1333"/>
      <c r="AA303" s="1333"/>
      <c r="AB303" s="1058"/>
      <c r="AC303" s="1059"/>
      <c r="AD303" s="1059"/>
      <c r="AE303" s="1059"/>
      <c r="AF303" s="1059"/>
      <c r="AG303" s="1059"/>
      <c r="AH303" s="1532"/>
      <c r="AI303" s="1333"/>
      <c r="AJ303" s="1333"/>
      <c r="AK303" s="1333"/>
    </row>
    <row r="304" spans="1:37">
      <c r="A304" s="1333"/>
      <c r="B304" s="1333"/>
      <c r="C304" s="1333"/>
      <c r="D304" s="1333"/>
      <c r="E304" s="1333"/>
      <c r="F304" s="1333"/>
      <c r="G304" s="1333"/>
      <c r="H304" s="1333"/>
      <c r="I304" s="1333"/>
      <c r="J304" s="1333"/>
      <c r="K304" s="1333"/>
      <c r="L304" s="1333"/>
      <c r="M304" s="1333"/>
      <c r="N304" s="1333"/>
      <c r="O304" s="1333"/>
      <c r="P304" s="1333"/>
      <c r="Q304" s="1333"/>
      <c r="R304" s="1333"/>
      <c r="S304" s="1333"/>
      <c r="T304" s="1333"/>
      <c r="U304" s="1333"/>
      <c r="V304" s="1333"/>
      <c r="W304" s="1333"/>
      <c r="X304" s="1333"/>
      <c r="Y304" s="1333"/>
      <c r="Z304" s="1333"/>
      <c r="AA304" s="1333"/>
      <c r="AB304" s="1333"/>
      <c r="AC304" s="1333"/>
      <c r="AD304" s="1333"/>
      <c r="AE304" s="1333"/>
      <c r="AF304" s="1333"/>
      <c r="AG304" s="1333"/>
      <c r="AH304" s="1097"/>
      <c r="AI304" s="1333"/>
      <c r="AJ304" s="1333"/>
      <c r="AK304" s="1333"/>
    </row>
    <row r="305" spans="1:37">
      <c r="A305" s="1333"/>
      <c r="B305" s="1333"/>
      <c r="C305" s="1333"/>
      <c r="D305" s="1333"/>
      <c r="E305" s="1333"/>
      <c r="F305" s="1333"/>
      <c r="G305" s="1333"/>
      <c r="H305" s="1333"/>
      <c r="I305" s="1333"/>
      <c r="J305" s="1333"/>
      <c r="K305" s="1333"/>
      <c r="L305" s="1333"/>
      <c r="M305" s="1333"/>
      <c r="N305" s="1333"/>
      <c r="O305" s="1333"/>
      <c r="P305" s="1333"/>
      <c r="Q305" s="1333"/>
      <c r="R305" s="1333"/>
      <c r="S305" s="1333"/>
      <c r="T305" s="1333"/>
      <c r="U305" s="1333"/>
      <c r="V305" s="1333"/>
      <c r="W305" s="1333"/>
      <c r="X305" s="1333"/>
      <c r="Y305" s="1333"/>
      <c r="Z305" s="1333"/>
      <c r="AA305" s="1333"/>
      <c r="AB305" s="1333"/>
      <c r="AC305" s="1148"/>
      <c r="AD305" s="1148"/>
      <c r="AE305" s="1148"/>
      <c r="AF305" s="1333"/>
      <c r="AG305" s="1148"/>
      <c r="AH305" s="1097"/>
      <c r="AI305" s="1333"/>
      <c r="AJ305" s="1333"/>
      <c r="AK305" s="1333"/>
    </row>
    <row r="306" spans="1:37">
      <c r="A306" s="1333"/>
      <c r="B306" s="1333"/>
      <c r="C306" s="1333"/>
      <c r="D306" s="1333"/>
      <c r="E306" s="1333"/>
      <c r="F306" s="1333"/>
      <c r="G306" s="1333"/>
      <c r="H306" s="1333"/>
      <c r="I306" s="1333"/>
      <c r="J306" s="1333"/>
      <c r="K306" s="1333"/>
      <c r="L306" s="1333"/>
      <c r="M306" s="1333"/>
      <c r="N306" s="1333"/>
      <c r="O306" s="1333"/>
      <c r="P306" s="1333"/>
      <c r="Q306" s="1333"/>
      <c r="R306" s="1333"/>
      <c r="S306" s="1333"/>
      <c r="T306" s="1333"/>
      <c r="U306" s="1333"/>
      <c r="V306" s="1333"/>
      <c r="W306" s="1333"/>
      <c r="X306" s="1333"/>
      <c r="Y306" s="1333"/>
      <c r="Z306" s="1333"/>
      <c r="AA306" s="1333"/>
      <c r="AB306" s="1333"/>
      <c r="AC306" s="1333"/>
      <c r="AD306" s="1333"/>
      <c r="AE306" s="1333"/>
      <c r="AF306" s="1333"/>
      <c r="AG306" s="1333"/>
      <c r="AH306" s="1097"/>
      <c r="AI306" s="1333"/>
      <c r="AJ306" s="1333"/>
      <c r="AK306" s="1333"/>
    </row>
    <row r="307" spans="1:37">
      <c r="A307" s="1333"/>
      <c r="B307" s="1333"/>
      <c r="C307" s="1333"/>
      <c r="D307" s="1333"/>
      <c r="E307" s="1333"/>
      <c r="F307" s="1333"/>
      <c r="G307" s="1333"/>
      <c r="H307" s="1333"/>
      <c r="I307" s="1333"/>
      <c r="J307" s="1333"/>
      <c r="K307" s="1333"/>
      <c r="L307" s="1333"/>
      <c r="M307" s="1333"/>
      <c r="N307" s="1333"/>
      <c r="O307" s="1333"/>
      <c r="P307" s="1333"/>
      <c r="Q307" s="1333"/>
      <c r="R307" s="1333"/>
      <c r="S307" s="1333"/>
      <c r="T307" s="1333"/>
      <c r="U307" s="1333"/>
      <c r="V307" s="1333"/>
      <c r="W307" s="1333"/>
      <c r="X307" s="1333"/>
      <c r="Y307" s="1333"/>
      <c r="Z307" s="1333"/>
      <c r="AA307" s="1333"/>
      <c r="AB307" s="1333"/>
      <c r="AC307" s="1333"/>
      <c r="AD307" s="1333"/>
      <c r="AE307" s="1333"/>
      <c r="AF307" s="1333"/>
      <c r="AG307" s="1333"/>
      <c r="AH307" s="1097"/>
      <c r="AI307" s="1333"/>
      <c r="AJ307" s="1333"/>
      <c r="AK307" s="1333"/>
    </row>
    <row r="308" spans="1:37">
      <c r="A308" s="1333"/>
      <c r="B308" s="1333"/>
      <c r="C308" s="1333"/>
      <c r="D308" s="1333"/>
      <c r="E308" s="1333"/>
      <c r="F308" s="1333"/>
      <c r="G308" s="1333"/>
      <c r="H308" s="1333"/>
      <c r="I308" s="1333"/>
      <c r="J308" s="1333"/>
      <c r="K308" s="1333"/>
      <c r="L308" s="1333"/>
      <c r="M308" s="1333"/>
      <c r="N308" s="1333"/>
      <c r="O308" s="1333"/>
      <c r="P308" s="1333"/>
      <c r="Q308" s="1333"/>
      <c r="R308" s="1333"/>
      <c r="S308" s="1333"/>
      <c r="T308" s="1333"/>
      <c r="U308" s="1333"/>
      <c r="V308" s="1333"/>
      <c r="W308" s="1333"/>
      <c r="X308" s="1333"/>
      <c r="Y308" s="1333"/>
      <c r="Z308" s="1333"/>
      <c r="AA308" s="1333"/>
      <c r="AB308" s="1333"/>
      <c r="AC308" s="1333"/>
      <c r="AD308" s="1333"/>
      <c r="AE308" s="1333"/>
      <c r="AF308" s="1333"/>
      <c r="AG308" s="1333"/>
      <c r="AH308" s="1097"/>
      <c r="AI308" s="1333"/>
      <c r="AJ308" s="1333"/>
      <c r="AK308" s="1333"/>
    </row>
    <row r="309" spans="1:37">
      <c r="A309" s="1333"/>
      <c r="B309" s="1333"/>
      <c r="C309" s="1333"/>
      <c r="D309" s="1333"/>
      <c r="E309" s="1333"/>
      <c r="F309" s="1333"/>
      <c r="G309" s="1333"/>
      <c r="H309" s="1333"/>
      <c r="I309" s="1333"/>
      <c r="J309" s="1333"/>
      <c r="K309" s="1333"/>
      <c r="L309" s="1333"/>
      <c r="M309" s="1333"/>
      <c r="N309" s="1333"/>
      <c r="O309" s="1333"/>
      <c r="P309" s="1333"/>
      <c r="Q309" s="1333"/>
      <c r="R309" s="1333"/>
      <c r="S309" s="1333"/>
      <c r="T309" s="1333"/>
      <c r="U309" s="1333"/>
      <c r="V309" s="1333"/>
      <c r="W309" s="1333"/>
      <c r="X309" s="1333"/>
      <c r="Y309" s="1333"/>
      <c r="Z309" s="1333"/>
      <c r="AA309" s="1333"/>
      <c r="AB309" s="1333"/>
      <c r="AC309" s="1333"/>
      <c r="AD309" s="1333"/>
      <c r="AE309" s="1333"/>
      <c r="AF309" s="1333"/>
      <c r="AG309" s="1333"/>
      <c r="AH309" s="1097"/>
      <c r="AI309" s="1333"/>
      <c r="AJ309" s="1333"/>
      <c r="AK309" s="1333"/>
    </row>
    <row r="310" spans="1:37">
      <c r="A310" s="1333"/>
      <c r="B310" s="1333"/>
      <c r="C310" s="1333"/>
      <c r="D310" s="1333"/>
      <c r="E310" s="1333"/>
      <c r="F310" s="1333"/>
      <c r="G310" s="1333"/>
      <c r="H310" s="1333"/>
      <c r="I310" s="1333"/>
      <c r="J310" s="1333"/>
      <c r="K310" s="1333"/>
      <c r="L310" s="1333"/>
      <c r="M310" s="1333"/>
      <c r="N310" s="1333"/>
      <c r="O310" s="1333"/>
      <c r="P310" s="1333"/>
      <c r="Q310" s="1333"/>
      <c r="R310" s="1333"/>
      <c r="S310" s="1333"/>
      <c r="T310" s="1333"/>
      <c r="U310" s="1333"/>
      <c r="V310" s="1333"/>
      <c r="W310" s="1333"/>
      <c r="X310" s="1333"/>
      <c r="Y310" s="1333"/>
      <c r="Z310" s="1333"/>
      <c r="AA310" s="1333"/>
      <c r="AB310" s="1333"/>
      <c r="AC310" s="1333"/>
      <c r="AD310" s="1333"/>
      <c r="AE310" s="1333"/>
      <c r="AF310" s="1333"/>
      <c r="AG310" s="1333"/>
      <c r="AH310" s="1097"/>
      <c r="AI310" s="1333"/>
      <c r="AJ310" s="1333"/>
      <c r="AK310" s="1333"/>
    </row>
    <row r="311" spans="1:37">
      <c r="A311" s="1333"/>
      <c r="B311" s="1333"/>
      <c r="C311" s="1333"/>
      <c r="D311" s="1333"/>
      <c r="E311" s="1333"/>
      <c r="F311" s="1333"/>
      <c r="G311" s="1333"/>
      <c r="H311" s="1333"/>
      <c r="I311" s="1333"/>
      <c r="J311" s="1333"/>
      <c r="K311" s="1333"/>
      <c r="L311" s="1333"/>
      <c r="M311" s="1333"/>
      <c r="N311" s="1333"/>
      <c r="O311" s="1333"/>
      <c r="P311" s="1333"/>
      <c r="Q311" s="1333"/>
      <c r="R311" s="1333"/>
      <c r="S311" s="1333"/>
      <c r="T311" s="1333"/>
      <c r="U311" s="1333"/>
      <c r="V311" s="1333"/>
      <c r="W311" s="1333"/>
      <c r="X311" s="1333"/>
      <c r="Y311" s="1333"/>
      <c r="Z311" s="1333"/>
      <c r="AA311" s="1333"/>
      <c r="AB311" s="1333"/>
      <c r="AC311" s="1333"/>
      <c r="AD311" s="1333"/>
      <c r="AE311" s="1333"/>
      <c r="AF311" s="1333"/>
      <c r="AG311" s="1333"/>
      <c r="AH311" s="1097"/>
      <c r="AI311" s="1333"/>
      <c r="AJ311" s="1333"/>
      <c r="AK311" s="1333"/>
    </row>
    <row r="312" spans="1:37">
      <c r="A312" s="1333"/>
      <c r="B312" s="1333"/>
      <c r="C312" s="1333"/>
      <c r="D312" s="1333"/>
      <c r="E312" s="1333"/>
      <c r="F312" s="1333"/>
      <c r="G312" s="1333"/>
      <c r="H312" s="1333"/>
      <c r="I312" s="1333"/>
      <c r="J312" s="1333"/>
      <c r="K312" s="1333"/>
      <c r="L312" s="1333"/>
      <c r="M312" s="1333"/>
      <c r="N312" s="1333"/>
      <c r="O312" s="1333"/>
      <c r="P312" s="1333"/>
      <c r="Q312" s="1333"/>
      <c r="R312" s="1333"/>
      <c r="S312" s="1333"/>
      <c r="T312" s="1333"/>
      <c r="U312" s="1333"/>
      <c r="V312" s="1333"/>
      <c r="W312" s="1333"/>
      <c r="X312" s="1333"/>
      <c r="Y312" s="1333"/>
      <c r="Z312" s="1333"/>
      <c r="AA312" s="1333"/>
      <c r="AB312" s="1333"/>
      <c r="AC312" s="1333"/>
      <c r="AD312" s="1333"/>
      <c r="AE312" s="1333"/>
      <c r="AF312" s="1333"/>
      <c r="AG312" s="1333"/>
      <c r="AH312" s="1097"/>
      <c r="AI312" s="1333"/>
      <c r="AJ312" s="1333"/>
      <c r="AK312" s="1333"/>
    </row>
    <row r="313" spans="1:37">
      <c r="A313" s="1333"/>
      <c r="B313" s="1333"/>
      <c r="C313" s="1333"/>
      <c r="D313" s="1333"/>
      <c r="E313" s="1333"/>
      <c r="F313" s="1333"/>
      <c r="G313" s="1333"/>
      <c r="H313" s="1333"/>
      <c r="I313" s="1333"/>
      <c r="J313" s="1333"/>
      <c r="K313" s="1333"/>
      <c r="L313" s="1333"/>
      <c r="M313" s="1333"/>
      <c r="N313" s="1333"/>
      <c r="O313" s="1333"/>
      <c r="P313" s="1333"/>
      <c r="Q313" s="1333"/>
      <c r="R313" s="1333"/>
      <c r="S313" s="1333"/>
      <c r="T313" s="1333"/>
      <c r="U313" s="1333"/>
      <c r="V313" s="1333"/>
      <c r="W313" s="1333"/>
      <c r="X313" s="1333"/>
      <c r="Y313" s="1333"/>
      <c r="Z313" s="1333"/>
      <c r="AA313" s="1333"/>
      <c r="AB313" s="1333"/>
      <c r="AC313" s="1333"/>
      <c r="AD313" s="1333"/>
      <c r="AE313" s="1333"/>
      <c r="AF313" s="1333"/>
      <c r="AG313" s="1333"/>
      <c r="AH313" s="1097"/>
      <c r="AI313" s="1333"/>
      <c r="AJ313" s="1333"/>
      <c r="AK313" s="1333"/>
    </row>
    <row r="314" spans="1:37">
      <c r="A314" s="1333"/>
      <c r="B314" s="1333"/>
      <c r="C314" s="1333"/>
      <c r="D314" s="1333"/>
      <c r="E314" s="1333"/>
      <c r="F314" s="1333"/>
      <c r="G314" s="1333"/>
      <c r="H314" s="1333"/>
      <c r="I314" s="1333"/>
      <c r="J314" s="1333"/>
      <c r="K314" s="1333"/>
      <c r="L314" s="1333"/>
      <c r="M314" s="1333"/>
      <c r="N314" s="1333"/>
      <c r="O314" s="1333"/>
      <c r="P314" s="1333"/>
      <c r="Q314" s="1333"/>
      <c r="R314" s="1333"/>
      <c r="S314" s="1333"/>
      <c r="T314" s="1333"/>
      <c r="U314" s="1333"/>
      <c r="V314" s="1333"/>
      <c r="W314" s="1333"/>
      <c r="X314" s="1333"/>
      <c r="Y314" s="1333"/>
      <c r="Z314" s="1333"/>
      <c r="AA314" s="1333"/>
      <c r="AB314" s="1333"/>
      <c r="AC314" s="1333"/>
      <c r="AD314" s="1333"/>
      <c r="AE314" s="1333"/>
      <c r="AF314" s="1333"/>
      <c r="AG314" s="1333"/>
      <c r="AH314" s="1097"/>
      <c r="AI314" s="1333"/>
      <c r="AJ314" s="1333"/>
      <c r="AK314" s="1333"/>
    </row>
    <row r="315" spans="1:37">
      <c r="A315" s="1333"/>
      <c r="B315" s="1333"/>
      <c r="C315" s="1333"/>
      <c r="D315" s="1333"/>
      <c r="E315" s="1333"/>
      <c r="F315" s="1333"/>
      <c r="G315" s="1333"/>
      <c r="H315" s="1333"/>
      <c r="I315" s="1333"/>
      <c r="J315" s="1333"/>
      <c r="K315" s="1333"/>
      <c r="L315" s="1333"/>
      <c r="M315" s="1333"/>
      <c r="N315" s="1333"/>
      <c r="O315" s="1333"/>
      <c r="P315" s="1333"/>
      <c r="Q315" s="1333"/>
      <c r="R315" s="1333"/>
      <c r="S315" s="1333"/>
      <c r="T315" s="1333"/>
      <c r="U315" s="1333"/>
      <c r="V315" s="1333"/>
      <c r="W315" s="1333"/>
      <c r="X315" s="1333"/>
      <c r="Y315" s="1333"/>
      <c r="Z315" s="1333"/>
      <c r="AA315" s="1333"/>
      <c r="AB315" s="1333"/>
      <c r="AC315" s="1333"/>
      <c r="AD315" s="1333"/>
      <c r="AE315" s="1333"/>
      <c r="AF315" s="1333"/>
      <c r="AG315" s="1333"/>
      <c r="AH315" s="1097"/>
      <c r="AI315" s="1333"/>
      <c r="AJ315" s="1333"/>
      <c r="AK315" s="1333"/>
    </row>
    <row r="316" spans="1:37">
      <c r="A316" s="1333"/>
      <c r="B316" s="1333"/>
      <c r="C316" s="1333"/>
      <c r="D316" s="1333"/>
      <c r="E316" s="1333"/>
      <c r="F316" s="1333"/>
      <c r="G316" s="1333"/>
      <c r="H316" s="1333"/>
      <c r="I316" s="1333"/>
      <c r="J316" s="1333"/>
      <c r="K316" s="1333"/>
      <c r="L316" s="1333"/>
      <c r="M316" s="1333"/>
      <c r="N316" s="1333"/>
      <c r="O316" s="1333"/>
      <c r="P316" s="1333"/>
      <c r="Q316" s="1333"/>
      <c r="R316" s="1333"/>
      <c r="S316" s="1333"/>
      <c r="T316" s="1333"/>
      <c r="U316" s="1333"/>
      <c r="V316" s="1333"/>
      <c r="W316" s="1333"/>
      <c r="X316" s="1333"/>
      <c r="Y316" s="1333"/>
      <c r="Z316" s="1333"/>
      <c r="AA316" s="1333"/>
      <c r="AB316" s="1333"/>
      <c r="AC316" s="1333"/>
      <c r="AD316" s="1333"/>
      <c r="AE316" s="1333"/>
      <c r="AF316" s="1333"/>
      <c r="AG316" s="1333"/>
      <c r="AH316" s="1097"/>
      <c r="AI316" s="1333"/>
      <c r="AJ316" s="1333"/>
      <c r="AK316" s="1333"/>
    </row>
    <row r="317" spans="1:37">
      <c r="A317" s="1333"/>
      <c r="B317" s="1333"/>
      <c r="C317" s="1333"/>
      <c r="D317" s="1333"/>
      <c r="E317" s="1333"/>
      <c r="F317" s="1333"/>
      <c r="G317" s="1333"/>
      <c r="H317" s="1333"/>
      <c r="I317" s="1333"/>
      <c r="J317" s="1333"/>
      <c r="K317" s="1333"/>
      <c r="L317" s="1333"/>
      <c r="M317" s="1333"/>
      <c r="N317" s="1333"/>
      <c r="O317" s="1333"/>
      <c r="P317" s="1333"/>
      <c r="Q317" s="1333"/>
      <c r="R317" s="1333"/>
      <c r="S317" s="1333"/>
      <c r="T317" s="1333"/>
      <c r="U317" s="1333"/>
      <c r="V317" s="1333"/>
      <c r="W317" s="1333"/>
      <c r="X317" s="1333"/>
      <c r="Y317" s="1333"/>
      <c r="Z317" s="1333"/>
      <c r="AA317" s="1333"/>
      <c r="AB317" s="1333"/>
      <c r="AC317" s="1333"/>
      <c r="AD317" s="1333"/>
      <c r="AE317" s="1333"/>
      <c r="AF317" s="1333"/>
      <c r="AG317" s="1333"/>
      <c r="AH317" s="1097"/>
      <c r="AI317" s="1333"/>
      <c r="AJ317" s="1333"/>
      <c r="AK317" s="1333"/>
    </row>
    <row r="318" spans="1:37">
      <c r="A318" s="1333"/>
      <c r="B318" s="1333"/>
      <c r="C318" s="1333"/>
      <c r="D318" s="1333"/>
      <c r="E318" s="1333"/>
      <c r="F318" s="1333"/>
      <c r="G318" s="1333"/>
      <c r="H318" s="1333"/>
      <c r="I318" s="1333"/>
      <c r="J318" s="1333"/>
      <c r="K318" s="1333"/>
      <c r="L318" s="1333"/>
      <c r="M318" s="1333"/>
      <c r="N318" s="1333"/>
      <c r="O318" s="1333"/>
      <c r="P318" s="1333"/>
      <c r="Q318" s="1333"/>
      <c r="R318" s="1333"/>
      <c r="S318" s="1333"/>
      <c r="T318" s="1333"/>
      <c r="U318" s="1333"/>
      <c r="V318" s="1333"/>
      <c r="W318" s="1333"/>
      <c r="X318" s="1333"/>
      <c r="Y318" s="1333"/>
      <c r="Z318" s="1333"/>
      <c r="AA318" s="1333"/>
      <c r="AB318" s="1333"/>
      <c r="AC318" s="1333"/>
      <c r="AD318" s="1333"/>
      <c r="AE318" s="1333"/>
      <c r="AF318" s="1333"/>
      <c r="AG318" s="1333"/>
      <c r="AH318" s="1097"/>
      <c r="AI318" s="1333"/>
      <c r="AJ318" s="1333"/>
      <c r="AK318" s="1333"/>
    </row>
    <row r="319" spans="1:37">
      <c r="A319" s="1333"/>
      <c r="B319" s="1333"/>
      <c r="C319" s="1333"/>
      <c r="D319" s="1333"/>
      <c r="E319" s="1333"/>
      <c r="F319" s="1333"/>
      <c r="G319" s="1333"/>
      <c r="H319" s="1333"/>
      <c r="I319" s="1333"/>
      <c r="J319" s="1333"/>
      <c r="K319" s="1333"/>
      <c r="L319" s="1333"/>
      <c r="M319" s="1333"/>
      <c r="N319" s="1333"/>
      <c r="O319" s="1333"/>
      <c r="P319" s="1333"/>
      <c r="Q319" s="1333"/>
      <c r="R319" s="1333"/>
      <c r="S319" s="1333"/>
      <c r="T319" s="1333"/>
      <c r="U319" s="1333"/>
      <c r="V319" s="1333"/>
      <c r="W319" s="1333"/>
      <c r="X319" s="1333"/>
      <c r="Y319" s="1333"/>
      <c r="Z319" s="1333"/>
      <c r="AA319" s="1333"/>
      <c r="AB319" s="1333"/>
      <c r="AC319" s="1333"/>
      <c r="AD319" s="1333"/>
      <c r="AE319" s="1333"/>
      <c r="AF319" s="1333"/>
      <c r="AG319" s="1333"/>
      <c r="AH319" s="1097"/>
      <c r="AI319" s="1333"/>
      <c r="AJ319" s="1333"/>
      <c r="AK319" s="1333"/>
    </row>
    <row r="320" spans="1:37">
      <c r="A320" s="1333"/>
      <c r="B320" s="1333"/>
      <c r="C320" s="1333"/>
      <c r="D320" s="1333"/>
      <c r="E320" s="1333"/>
      <c r="F320" s="1333"/>
      <c r="G320" s="1333"/>
      <c r="H320" s="1333"/>
      <c r="I320" s="1333"/>
      <c r="J320" s="1333"/>
      <c r="K320" s="1333"/>
      <c r="L320" s="1333"/>
      <c r="M320" s="1333"/>
      <c r="N320" s="1333"/>
      <c r="O320" s="1333"/>
      <c r="P320" s="1333"/>
      <c r="Q320" s="1333"/>
      <c r="R320" s="1333"/>
      <c r="S320" s="1333"/>
      <c r="T320" s="1333"/>
      <c r="U320" s="1333"/>
      <c r="V320" s="1333"/>
      <c r="W320" s="1333"/>
      <c r="X320" s="1333"/>
      <c r="Y320" s="1333"/>
      <c r="Z320" s="1333"/>
      <c r="AA320" s="1333"/>
      <c r="AB320" s="1333"/>
      <c r="AC320" s="1333"/>
      <c r="AD320" s="1333"/>
      <c r="AE320" s="1333"/>
      <c r="AF320" s="1333"/>
      <c r="AG320" s="1333"/>
      <c r="AH320" s="1097"/>
      <c r="AI320" s="1333"/>
      <c r="AJ320" s="1333"/>
      <c r="AK320" s="1333"/>
    </row>
    <row r="321" spans="1:37">
      <c r="A321" s="1333"/>
      <c r="B321" s="1333"/>
      <c r="C321" s="1333"/>
      <c r="D321" s="1333"/>
      <c r="E321" s="1333"/>
      <c r="F321" s="1333"/>
      <c r="G321" s="1333"/>
      <c r="H321" s="1333"/>
      <c r="I321" s="1333"/>
      <c r="J321" s="1333"/>
      <c r="K321" s="1333"/>
      <c r="L321" s="1333"/>
      <c r="M321" s="1333"/>
      <c r="N321" s="1333"/>
      <c r="O321" s="1333"/>
      <c r="P321" s="1333"/>
      <c r="Q321" s="1333"/>
      <c r="R321" s="1333"/>
      <c r="S321" s="1333"/>
      <c r="T321" s="1333"/>
      <c r="U321" s="1333"/>
      <c r="V321" s="1333"/>
      <c r="W321" s="1333"/>
      <c r="X321" s="1333"/>
      <c r="Y321" s="1333"/>
      <c r="Z321" s="1333"/>
      <c r="AA321" s="1333"/>
      <c r="AB321" s="1333"/>
      <c r="AC321" s="1333"/>
      <c r="AD321" s="1333"/>
      <c r="AE321" s="1333"/>
      <c r="AF321" s="1333"/>
      <c r="AG321" s="1333"/>
      <c r="AH321" s="1097"/>
      <c r="AI321" s="1333"/>
      <c r="AJ321" s="1333"/>
      <c r="AK321" s="1333"/>
    </row>
    <row r="322" spans="1:37">
      <c r="A322" s="1333"/>
      <c r="B322" s="1333"/>
      <c r="C322" s="1333"/>
      <c r="D322" s="1333"/>
      <c r="E322" s="1333"/>
      <c r="F322" s="1333"/>
      <c r="G322" s="1333"/>
      <c r="H322" s="1333"/>
      <c r="I322" s="1333"/>
      <c r="J322" s="1333"/>
      <c r="K322" s="1333"/>
      <c r="L322" s="1333"/>
      <c r="M322" s="1333"/>
      <c r="N322" s="1333"/>
      <c r="O322" s="1333"/>
      <c r="P322" s="1333"/>
      <c r="Q322" s="1333"/>
      <c r="R322" s="1333"/>
      <c r="S322" s="1333"/>
      <c r="T322" s="1333"/>
      <c r="U322" s="1333"/>
      <c r="V322" s="1333"/>
      <c r="W322" s="1333"/>
      <c r="X322" s="1333"/>
      <c r="Y322" s="1333"/>
      <c r="Z322" s="1333"/>
      <c r="AA322" s="1333"/>
      <c r="AB322" s="1333"/>
      <c r="AC322" s="1333"/>
      <c r="AD322" s="1333"/>
      <c r="AE322" s="1333"/>
      <c r="AF322" s="1333"/>
      <c r="AG322" s="1333"/>
      <c r="AH322" s="1097"/>
      <c r="AI322" s="1333"/>
      <c r="AJ322" s="1333"/>
      <c r="AK322" s="1333"/>
    </row>
    <row r="323" spans="1:37">
      <c r="A323" s="1333"/>
      <c r="B323" s="1333"/>
      <c r="C323" s="1333"/>
      <c r="D323" s="1333"/>
      <c r="E323" s="1333"/>
      <c r="F323" s="1333"/>
      <c r="G323" s="1333"/>
      <c r="H323" s="1333"/>
      <c r="I323" s="1333"/>
      <c r="J323" s="1333"/>
      <c r="K323" s="1333"/>
      <c r="L323" s="1333"/>
      <c r="M323" s="1333"/>
      <c r="N323" s="1333"/>
      <c r="O323" s="1333"/>
      <c r="P323" s="1333"/>
      <c r="Q323" s="1333"/>
      <c r="R323" s="1333"/>
      <c r="S323" s="1333"/>
      <c r="T323" s="1333"/>
      <c r="U323" s="1333"/>
      <c r="V323" s="1333"/>
      <c r="W323" s="1333"/>
      <c r="X323" s="1333"/>
      <c r="Y323" s="1333"/>
      <c r="Z323" s="1333"/>
      <c r="AA323" s="1333"/>
      <c r="AB323" s="1333"/>
      <c r="AC323" s="1333"/>
      <c r="AD323" s="1333"/>
      <c r="AE323" s="1333"/>
      <c r="AF323" s="1333"/>
      <c r="AG323" s="1333"/>
      <c r="AH323" s="1097"/>
      <c r="AI323" s="1333"/>
      <c r="AJ323" s="1333"/>
      <c r="AK323" s="1333"/>
    </row>
    <row r="324" spans="1:37">
      <c r="A324" s="1333"/>
      <c r="B324" s="1333"/>
      <c r="C324" s="1333"/>
      <c r="D324" s="1333"/>
      <c r="E324" s="1333"/>
      <c r="F324" s="1333"/>
      <c r="G324" s="1333"/>
      <c r="H324" s="1333"/>
      <c r="I324" s="1333"/>
      <c r="J324" s="1333"/>
      <c r="K324" s="1333"/>
      <c r="L324" s="1333"/>
      <c r="M324" s="1333"/>
      <c r="N324" s="1333"/>
      <c r="O324" s="1333"/>
      <c r="P324" s="1333"/>
      <c r="Q324" s="1333"/>
      <c r="R324" s="1333"/>
      <c r="S324" s="1333"/>
      <c r="T324" s="1333"/>
      <c r="U324" s="1333"/>
      <c r="V324" s="1333"/>
      <c r="W324" s="1333"/>
      <c r="X324" s="1333"/>
      <c r="Y324" s="1333"/>
      <c r="Z324" s="1333"/>
      <c r="AA324" s="1333"/>
      <c r="AB324" s="1333"/>
      <c r="AC324" s="1333"/>
      <c r="AD324" s="1333"/>
      <c r="AE324" s="1333"/>
      <c r="AF324" s="1333"/>
      <c r="AG324" s="1333"/>
      <c r="AH324" s="1097"/>
      <c r="AI324" s="1333"/>
      <c r="AJ324" s="1333"/>
      <c r="AK324" s="1333"/>
    </row>
    <row r="325" spans="1:37">
      <c r="A325" s="1333"/>
      <c r="B325" s="1333"/>
      <c r="C325" s="1333"/>
      <c r="D325" s="1333"/>
      <c r="E325" s="1333"/>
      <c r="F325" s="1333"/>
      <c r="G325" s="1333"/>
      <c r="H325" s="1333"/>
      <c r="I325" s="1333"/>
      <c r="J325" s="1333"/>
      <c r="K325" s="1333"/>
      <c r="L325" s="1333"/>
      <c r="M325" s="1333"/>
      <c r="N325" s="1333"/>
      <c r="O325" s="1333"/>
      <c r="P325" s="1333"/>
      <c r="Q325" s="1333"/>
      <c r="R325" s="1333"/>
      <c r="S325" s="1333"/>
      <c r="T325" s="1333"/>
      <c r="U325" s="1333"/>
      <c r="V325" s="1333"/>
      <c r="W325" s="1333"/>
      <c r="X325" s="1333"/>
      <c r="Y325" s="1333"/>
      <c r="Z325" s="1333"/>
      <c r="AA325" s="1333"/>
      <c r="AB325" s="1333"/>
      <c r="AC325" s="1333"/>
      <c r="AD325" s="1333"/>
      <c r="AE325" s="1333"/>
      <c r="AF325" s="1333"/>
      <c r="AG325" s="1333"/>
      <c r="AH325" s="1097"/>
      <c r="AI325" s="1333"/>
      <c r="AJ325" s="1333"/>
      <c r="AK325" s="1333"/>
    </row>
    <row r="326" spans="1:37">
      <c r="A326" s="1333"/>
      <c r="B326" s="1333"/>
      <c r="C326" s="1333"/>
      <c r="D326" s="1333"/>
      <c r="E326" s="1333"/>
      <c r="F326" s="1333"/>
      <c r="G326" s="1333"/>
      <c r="H326" s="1333"/>
      <c r="I326" s="1333"/>
      <c r="J326" s="1333"/>
      <c r="K326" s="1333"/>
      <c r="L326" s="1333"/>
      <c r="M326" s="1333"/>
      <c r="N326" s="1333"/>
      <c r="O326" s="1333"/>
      <c r="P326" s="1333"/>
      <c r="Q326" s="1333"/>
      <c r="R326" s="1333"/>
      <c r="S326" s="1333"/>
      <c r="T326" s="1333"/>
      <c r="U326" s="1333"/>
      <c r="V326" s="1333"/>
      <c r="W326" s="1333"/>
      <c r="X326" s="1333"/>
      <c r="Y326" s="1333"/>
      <c r="Z326" s="1333"/>
      <c r="AA326" s="1333"/>
      <c r="AB326" s="1333"/>
      <c r="AC326" s="1333"/>
      <c r="AD326" s="1333"/>
      <c r="AE326" s="1333"/>
      <c r="AF326" s="1333"/>
      <c r="AG326" s="1333"/>
      <c r="AH326" s="1097"/>
      <c r="AI326" s="1333"/>
      <c r="AJ326" s="1333"/>
      <c r="AK326" s="1333"/>
    </row>
    <row r="327" spans="1:37">
      <c r="A327" s="1333"/>
      <c r="B327" s="1333"/>
      <c r="C327" s="1333"/>
      <c r="D327" s="1333"/>
      <c r="E327" s="1333"/>
      <c r="F327" s="1333"/>
      <c r="G327" s="1333"/>
      <c r="H327" s="1333"/>
      <c r="I327" s="1333"/>
      <c r="J327" s="1333"/>
      <c r="K327" s="1333"/>
      <c r="L327" s="1333"/>
      <c r="M327" s="1333"/>
      <c r="N327" s="1333"/>
      <c r="O327" s="1333"/>
      <c r="P327" s="1333"/>
      <c r="Q327" s="1333"/>
      <c r="R327" s="1333"/>
      <c r="S327" s="1333"/>
      <c r="T327" s="1333"/>
      <c r="U327" s="1333"/>
      <c r="V327" s="1333"/>
      <c r="W327" s="1333"/>
      <c r="X327" s="1333"/>
      <c r="Y327" s="1333"/>
      <c r="Z327" s="1333"/>
      <c r="AA327" s="1333"/>
      <c r="AB327" s="1333"/>
      <c r="AC327" s="1333"/>
      <c r="AD327" s="1333"/>
      <c r="AE327" s="1333"/>
      <c r="AF327" s="1333"/>
      <c r="AG327" s="1333"/>
      <c r="AH327" s="1097"/>
      <c r="AI327" s="1333"/>
      <c r="AJ327" s="1333"/>
      <c r="AK327" s="1333"/>
    </row>
    <row r="328" spans="1:37">
      <c r="A328" s="1333"/>
      <c r="B328" s="1333"/>
      <c r="C328" s="1333"/>
      <c r="D328" s="1333"/>
      <c r="E328" s="1333"/>
      <c r="F328" s="1333"/>
      <c r="G328" s="1333"/>
      <c r="H328" s="1333"/>
      <c r="I328" s="1333"/>
      <c r="J328" s="1333"/>
      <c r="K328" s="1333"/>
      <c r="L328" s="1333"/>
      <c r="M328" s="1333"/>
      <c r="N328" s="1333"/>
      <c r="O328" s="1333"/>
      <c r="P328" s="1333"/>
      <c r="Q328" s="1333"/>
      <c r="R328" s="1333"/>
      <c r="S328" s="1333"/>
      <c r="T328" s="1333"/>
      <c r="U328" s="1333"/>
      <c r="V328" s="1333"/>
      <c r="W328" s="1333"/>
      <c r="X328" s="1333"/>
      <c r="Y328" s="1333"/>
      <c r="Z328" s="1333"/>
      <c r="AA328" s="1333"/>
      <c r="AB328" s="1333"/>
      <c r="AC328" s="1333"/>
      <c r="AD328" s="1333"/>
      <c r="AE328" s="1333"/>
      <c r="AF328" s="1333"/>
      <c r="AG328" s="1333"/>
      <c r="AH328" s="1097"/>
      <c r="AI328" s="1333"/>
      <c r="AJ328" s="1333"/>
      <c r="AK328" s="1333"/>
    </row>
    <row r="329" spans="1:37">
      <c r="A329" s="1333"/>
      <c r="B329" s="1333"/>
      <c r="C329" s="1333"/>
      <c r="D329" s="1333"/>
      <c r="E329" s="1333"/>
      <c r="F329" s="1333"/>
      <c r="G329" s="1333"/>
      <c r="H329" s="1333"/>
      <c r="I329" s="1333"/>
      <c r="J329" s="1333"/>
      <c r="K329" s="1333"/>
      <c r="L329" s="1333"/>
      <c r="M329" s="1333"/>
      <c r="N329" s="1333"/>
      <c r="O329" s="1333"/>
      <c r="P329" s="1333"/>
      <c r="Q329" s="1333"/>
      <c r="R329" s="1333"/>
      <c r="S329" s="1333"/>
      <c r="T329" s="1333"/>
      <c r="U329" s="1333"/>
      <c r="V329" s="1333"/>
      <c r="W329" s="1333"/>
      <c r="X329" s="1333"/>
      <c r="Y329" s="1333"/>
      <c r="Z329" s="1333"/>
      <c r="AA329" s="1333"/>
      <c r="AB329" s="1333"/>
      <c r="AC329" s="1333"/>
      <c r="AD329" s="1333"/>
      <c r="AE329" s="1333"/>
      <c r="AF329" s="1333"/>
      <c r="AG329" s="1333"/>
      <c r="AH329" s="1097"/>
      <c r="AI329" s="1333"/>
      <c r="AJ329" s="1333"/>
      <c r="AK329" s="1333"/>
    </row>
    <row r="330" spans="1:37">
      <c r="A330" s="1333"/>
      <c r="B330" s="1333"/>
      <c r="C330" s="1333"/>
      <c r="D330" s="1333"/>
      <c r="E330" s="1333"/>
      <c r="F330" s="1333"/>
      <c r="G330" s="1333"/>
      <c r="H330" s="1333"/>
      <c r="I330" s="1333"/>
      <c r="J330" s="1333"/>
      <c r="K330" s="1333"/>
      <c r="L330" s="1333"/>
      <c r="M330" s="1333"/>
      <c r="N330" s="1333"/>
      <c r="O330" s="1333"/>
      <c r="P330" s="1333"/>
      <c r="Q330" s="1333"/>
      <c r="R330" s="1333"/>
      <c r="S330" s="1333"/>
      <c r="T330" s="1333"/>
      <c r="U330" s="1333"/>
      <c r="V330" s="1333"/>
      <c r="W330" s="1333"/>
      <c r="X330" s="1333"/>
      <c r="Y330" s="1333"/>
      <c r="Z330" s="1333"/>
      <c r="AA330" s="1333"/>
      <c r="AB330" s="1333"/>
      <c r="AC330" s="1333"/>
      <c r="AD330" s="1333"/>
      <c r="AE330" s="1333"/>
      <c r="AF330" s="1333"/>
      <c r="AG330" s="1333"/>
      <c r="AH330" s="1097"/>
      <c r="AI330" s="1333"/>
      <c r="AJ330" s="1333"/>
      <c r="AK330" s="1333"/>
    </row>
    <row r="331" spans="1:37">
      <c r="A331" s="1333"/>
      <c r="B331" s="1333"/>
      <c r="C331" s="1333"/>
      <c r="D331" s="1333"/>
      <c r="E331" s="1333"/>
      <c r="F331" s="1333"/>
      <c r="G331" s="1333"/>
      <c r="H331" s="1333"/>
      <c r="I331" s="1333"/>
      <c r="J331" s="1333"/>
      <c r="K331" s="1333"/>
      <c r="L331" s="1333"/>
      <c r="M331" s="1333"/>
      <c r="N331" s="1333"/>
      <c r="O331" s="1333"/>
      <c r="P331" s="1333"/>
      <c r="Q331" s="1333"/>
      <c r="R331" s="1333"/>
      <c r="S331" s="1333"/>
      <c r="T331" s="1333"/>
      <c r="U331" s="1333"/>
      <c r="V331" s="1333"/>
      <c r="W331" s="1333"/>
      <c r="X331" s="1333"/>
      <c r="Y331" s="1333"/>
      <c r="Z331" s="1333"/>
      <c r="AA331" s="1333"/>
      <c r="AB331" s="1333"/>
      <c r="AC331" s="1333"/>
      <c r="AD331" s="1333"/>
      <c r="AE331" s="1333"/>
      <c r="AF331" s="1333"/>
      <c r="AG331" s="1333"/>
      <c r="AH331" s="1097"/>
      <c r="AI331" s="1333"/>
      <c r="AJ331" s="1333"/>
      <c r="AK331" s="1333"/>
    </row>
    <row r="332" spans="1:37">
      <c r="A332" s="1333"/>
      <c r="B332" s="1333"/>
      <c r="C332" s="1333"/>
      <c r="D332" s="1333"/>
      <c r="E332" s="1333"/>
      <c r="F332" s="1333"/>
      <c r="G332" s="1333"/>
      <c r="H332" s="1333"/>
      <c r="I332" s="1333"/>
      <c r="J332" s="1333"/>
      <c r="K332" s="1333"/>
      <c r="L332" s="1333"/>
      <c r="M332" s="1333"/>
      <c r="N332" s="1333"/>
      <c r="O332" s="1333"/>
      <c r="P332" s="1333"/>
      <c r="Q332" s="1333"/>
      <c r="R332" s="1333"/>
      <c r="S332" s="1333"/>
      <c r="T332" s="1333"/>
      <c r="U332" s="1333"/>
      <c r="V332" s="1333"/>
      <c r="W332" s="1333"/>
      <c r="X332" s="1333"/>
      <c r="Y332" s="1333"/>
      <c r="Z332" s="1333"/>
      <c r="AA332" s="1333"/>
      <c r="AB332" s="1333"/>
      <c r="AC332" s="1333"/>
      <c r="AD332" s="1333"/>
      <c r="AE332" s="1333"/>
      <c r="AF332" s="1333"/>
      <c r="AG332" s="1333"/>
      <c r="AH332" s="1097"/>
      <c r="AI332" s="1333"/>
      <c r="AJ332" s="1333"/>
      <c r="AK332" s="1333"/>
    </row>
    <row r="333" spans="1:37">
      <c r="A333" s="1333"/>
      <c r="B333" s="1333"/>
      <c r="C333" s="1333"/>
      <c r="D333" s="1333"/>
      <c r="E333" s="1333"/>
      <c r="F333" s="1333"/>
      <c r="G333" s="1333"/>
      <c r="H333" s="1333"/>
      <c r="I333" s="1333"/>
      <c r="J333" s="1333"/>
      <c r="K333" s="1333"/>
      <c r="L333" s="1333"/>
      <c r="M333" s="1333"/>
      <c r="N333" s="1333"/>
      <c r="O333" s="1333"/>
      <c r="P333" s="1333"/>
      <c r="Q333" s="1333"/>
      <c r="R333" s="1333"/>
      <c r="S333" s="1333"/>
      <c r="T333" s="1333"/>
      <c r="U333" s="1333"/>
      <c r="V333" s="1333"/>
      <c r="W333" s="1333"/>
      <c r="X333" s="1333"/>
      <c r="Y333" s="1333"/>
      <c r="Z333" s="1333"/>
      <c r="AA333" s="1333"/>
      <c r="AB333" s="1333"/>
      <c r="AC333" s="1333"/>
      <c r="AD333" s="1333"/>
      <c r="AE333" s="1333"/>
      <c r="AF333" s="1333"/>
      <c r="AG333" s="1333"/>
      <c r="AH333" s="1097"/>
      <c r="AI333" s="1333"/>
      <c r="AJ333" s="1333"/>
      <c r="AK333" s="1333"/>
    </row>
    <row r="334" spans="1:37">
      <c r="A334" s="1333"/>
      <c r="B334" s="1333"/>
      <c r="C334" s="1333"/>
      <c r="D334" s="1333"/>
      <c r="E334" s="1333"/>
      <c r="F334" s="1333"/>
      <c r="G334" s="1333"/>
      <c r="H334" s="1333"/>
      <c r="I334" s="1333"/>
      <c r="J334" s="1333"/>
      <c r="K334" s="1333"/>
      <c r="L334" s="1333"/>
      <c r="M334" s="1333"/>
      <c r="N334" s="1333"/>
      <c r="O334" s="1333"/>
      <c r="P334" s="1333"/>
      <c r="Q334" s="1333"/>
      <c r="R334" s="1333"/>
      <c r="S334" s="1333"/>
      <c r="T334" s="1333"/>
      <c r="U334" s="1333"/>
      <c r="V334" s="1333"/>
      <c r="W334" s="1333"/>
      <c r="X334" s="1333"/>
      <c r="Y334" s="1333"/>
      <c r="Z334" s="1333"/>
      <c r="AA334" s="1333"/>
      <c r="AB334" s="1333"/>
      <c r="AC334" s="1333"/>
      <c r="AD334" s="1333"/>
      <c r="AE334" s="1333"/>
      <c r="AF334" s="1333"/>
      <c r="AG334" s="1333"/>
      <c r="AH334" s="1097"/>
      <c r="AI334" s="1333"/>
      <c r="AJ334" s="1333"/>
      <c r="AK334" s="1333"/>
    </row>
    <row r="335" spans="1:37">
      <c r="A335" s="1333"/>
      <c r="B335" s="1333"/>
      <c r="C335" s="1333"/>
      <c r="D335" s="1333"/>
      <c r="E335" s="1333"/>
      <c r="F335" s="1333"/>
      <c r="G335" s="1333"/>
      <c r="H335" s="1333"/>
      <c r="I335" s="1333"/>
      <c r="J335" s="1333"/>
      <c r="K335" s="1333"/>
      <c r="L335" s="1333"/>
      <c r="M335" s="1333"/>
      <c r="N335" s="1333"/>
      <c r="O335" s="1333"/>
      <c r="P335" s="1333"/>
      <c r="Q335" s="1333"/>
      <c r="R335" s="1333"/>
      <c r="S335" s="1333"/>
      <c r="T335" s="1333"/>
      <c r="U335" s="1333"/>
      <c r="V335" s="1333"/>
      <c r="W335" s="1333"/>
      <c r="X335" s="1333"/>
      <c r="Y335" s="1333"/>
      <c r="Z335" s="1333"/>
      <c r="AA335" s="1333"/>
      <c r="AB335" s="1333"/>
      <c r="AC335" s="1333"/>
      <c r="AD335" s="1333"/>
      <c r="AE335" s="1333"/>
      <c r="AF335" s="1333"/>
      <c r="AG335" s="1333"/>
      <c r="AH335" s="1097"/>
      <c r="AI335" s="1333"/>
      <c r="AJ335" s="1333"/>
      <c r="AK335" s="1333"/>
    </row>
    <row r="336" spans="1:37">
      <c r="A336" s="1333"/>
      <c r="B336" s="1333"/>
      <c r="C336" s="1333"/>
      <c r="D336" s="1333"/>
      <c r="E336" s="1333"/>
      <c r="F336" s="1333"/>
      <c r="G336" s="1333"/>
      <c r="H336" s="1333"/>
      <c r="I336" s="1333"/>
      <c r="J336" s="1333"/>
      <c r="K336" s="1333"/>
      <c r="L336" s="1333"/>
      <c r="M336" s="1333"/>
      <c r="N336" s="1333"/>
      <c r="O336" s="1333"/>
      <c r="P336" s="1333"/>
      <c r="Q336" s="1333"/>
      <c r="R336" s="1333"/>
      <c r="S336" s="1333"/>
      <c r="T336" s="1333"/>
      <c r="U336" s="1333"/>
      <c r="V336" s="1333"/>
      <c r="W336" s="1333"/>
      <c r="X336" s="1333"/>
      <c r="Y336" s="1333"/>
      <c r="Z336" s="1074"/>
      <c r="AA336" s="1333"/>
      <c r="AB336" s="1333"/>
      <c r="AC336" s="1333"/>
      <c r="AD336" s="1333"/>
      <c r="AE336" s="1333"/>
      <c r="AF336" s="1333"/>
      <c r="AG336" s="1333"/>
      <c r="AH336" s="1097"/>
      <c r="AI336" s="1333"/>
      <c r="AJ336" s="1333"/>
      <c r="AK336" s="1333"/>
    </row>
    <row r="337" spans="1:37">
      <c r="A337" s="1333"/>
      <c r="B337" s="1333"/>
      <c r="C337" s="1333"/>
      <c r="D337" s="1333"/>
      <c r="E337" s="1333"/>
      <c r="F337" s="1333"/>
      <c r="G337" s="1333"/>
      <c r="H337" s="1333"/>
      <c r="I337" s="1333"/>
      <c r="J337" s="1333"/>
      <c r="K337" s="1333"/>
      <c r="L337" s="1333"/>
      <c r="M337" s="1333"/>
      <c r="N337" s="1333"/>
      <c r="O337" s="1333"/>
      <c r="P337" s="1333"/>
      <c r="Q337" s="1333"/>
      <c r="R337" s="1333"/>
      <c r="S337" s="1333"/>
      <c r="T337" s="1333"/>
      <c r="U337" s="1333"/>
      <c r="V337" s="1333"/>
      <c r="W337" s="1333"/>
      <c r="X337" s="1333"/>
      <c r="Y337" s="1333"/>
      <c r="Z337" s="1074"/>
      <c r="AA337" s="1333"/>
      <c r="AB337" s="1333"/>
      <c r="AC337" s="1333"/>
      <c r="AD337" s="1333"/>
      <c r="AE337" s="1333"/>
      <c r="AF337" s="1333"/>
      <c r="AG337" s="1333"/>
      <c r="AH337" s="1097"/>
      <c r="AI337" s="1333"/>
      <c r="AJ337" s="1333"/>
      <c r="AK337" s="1333"/>
    </row>
    <row r="338" spans="1:37">
      <c r="A338" s="1333"/>
      <c r="B338" s="1333"/>
      <c r="C338" s="1333"/>
      <c r="D338" s="1333"/>
      <c r="E338" s="1333"/>
      <c r="F338" s="1333"/>
      <c r="G338" s="1333"/>
      <c r="H338" s="1333"/>
      <c r="I338" s="1333"/>
      <c r="J338" s="1333"/>
      <c r="K338" s="1333"/>
      <c r="L338" s="1333"/>
      <c r="M338" s="1333"/>
      <c r="N338" s="1333"/>
      <c r="O338" s="1333"/>
      <c r="P338" s="1333"/>
      <c r="Q338" s="1333"/>
      <c r="R338" s="1333"/>
      <c r="S338" s="1333"/>
      <c r="T338" s="1333"/>
      <c r="U338" s="1333"/>
      <c r="V338" s="1333"/>
      <c r="W338" s="1333"/>
      <c r="X338" s="1333"/>
      <c r="Y338" s="1333"/>
      <c r="Z338" s="1333"/>
      <c r="AA338" s="1333"/>
      <c r="AB338" s="1333"/>
      <c r="AC338" s="1333"/>
      <c r="AD338" s="1333"/>
      <c r="AE338" s="1333"/>
      <c r="AF338" s="1333"/>
      <c r="AG338" s="1333"/>
      <c r="AH338" s="1097"/>
      <c r="AI338" s="1333"/>
      <c r="AJ338" s="1333"/>
      <c r="AK338" s="1333"/>
    </row>
    <row r="339" spans="1:37">
      <c r="A339" s="1333"/>
      <c r="B339" s="1333"/>
      <c r="C339" s="1333"/>
      <c r="D339" s="1333"/>
      <c r="E339" s="1333"/>
      <c r="F339" s="1333"/>
      <c r="G339" s="1333"/>
      <c r="H339" s="1333"/>
      <c r="I339" s="1333"/>
      <c r="J339" s="1333"/>
      <c r="K339" s="1333"/>
      <c r="L339" s="1333"/>
      <c r="M339" s="1333"/>
      <c r="N339" s="1333"/>
      <c r="O339" s="1333"/>
      <c r="P339" s="1333"/>
      <c r="Q339" s="1333"/>
      <c r="R339" s="1333"/>
      <c r="S339" s="1333"/>
      <c r="T339" s="1333"/>
      <c r="U339" s="1333"/>
      <c r="V339" s="1333"/>
      <c r="W339" s="1333"/>
      <c r="X339" s="1333"/>
      <c r="Y339" s="1333"/>
      <c r="Z339" s="1333"/>
      <c r="AA339" s="1333"/>
      <c r="AB339" s="1333"/>
      <c r="AC339" s="1333"/>
      <c r="AD339" s="1333"/>
      <c r="AE339" s="1333"/>
      <c r="AF339" s="1333"/>
      <c r="AG339" s="1333"/>
      <c r="AH339" s="1097"/>
      <c r="AI339" s="1333"/>
      <c r="AJ339" s="1333"/>
      <c r="AK339" s="1333"/>
    </row>
    <row r="340" spans="1:37">
      <c r="A340" s="1333"/>
      <c r="B340" s="1333"/>
      <c r="C340" s="1333"/>
      <c r="D340" s="1333"/>
      <c r="E340" s="1333"/>
      <c r="F340" s="1333"/>
      <c r="G340" s="1333"/>
      <c r="H340" s="1333"/>
      <c r="I340" s="1333"/>
      <c r="J340" s="1333"/>
      <c r="K340" s="1333"/>
      <c r="L340" s="1333"/>
      <c r="M340" s="1333"/>
      <c r="N340" s="1333"/>
      <c r="O340" s="1333"/>
      <c r="P340" s="1333"/>
      <c r="Q340" s="1333"/>
      <c r="R340" s="1333"/>
      <c r="S340" s="1333"/>
      <c r="T340" s="1333"/>
      <c r="U340" s="1333"/>
      <c r="V340" s="1333"/>
      <c r="W340" s="1333"/>
      <c r="X340" s="1333"/>
      <c r="Y340" s="1333"/>
      <c r="Z340" s="1333"/>
      <c r="AA340" s="1333"/>
      <c r="AB340" s="1333"/>
      <c r="AC340" s="1333"/>
      <c r="AD340" s="1333"/>
      <c r="AE340" s="1333"/>
      <c r="AF340" s="1333"/>
      <c r="AG340" s="1333"/>
      <c r="AH340" s="1097"/>
      <c r="AI340" s="1333"/>
      <c r="AJ340" s="1333"/>
      <c r="AK340" s="1333"/>
    </row>
    <row r="341" spans="1:37">
      <c r="A341" s="1333"/>
      <c r="B341" s="1333"/>
      <c r="C341" s="1333"/>
      <c r="D341" s="1333"/>
      <c r="E341" s="1333"/>
      <c r="F341" s="1333"/>
      <c r="G341" s="1333"/>
      <c r="H341" s="1333"/>
      <c r="I341" s="1333"/>
      <c r="J341" s="1333"/>
      <c r="K341" s="1333"/>
      <c r="L341" s="1333"/>
      <c r="M341" s="1333"/>
      <c r="N341" s="1333"/>
      <c r="O341" s="1333"/>
      <c r="P341" s="1333"/>
      <c r="Q341" s="1333"/>
      <c r="R341" s="1333"/>
      <c r="S341" s="1333"/>
      <c r="T341" s="1333"/>
      <c r="U341" s="1333"/>
      <c r="V341" s="1333"/>
      <c r="W341" s="1333"/>
      <c r="X341" s="1333"/>
      <c r="Y341" s="1333"/>
      <c r="Z341" s="1333"/>
      <c r="AA341" s="1333"/>
      <c r="AB341" s="1333"/>
      <c r="AC341" s="1333"/>
      <c r="AD341" s="1333"/>
      <c r="AE341" s="1333"/>
      <c r="AF341" s="1333"/>
      <c r="AG341" s="1333"/>
      <c r="AH341" s="1097"/>
      <c r="AI341" s="1333"/>
      <c r="AJ341" s="1333"/>
      <c r="AK341" s="1333"/>
    </row>
    <row r="342" spans="1:37">
      <c r="A342" s="1333"/>
      <c r="B342" s="1333"/>
      <c r="C342" s="1333"/>
      <c r="D342" s="1333"/>
      <c r="E342" s="1333"/>
      <c r="F342" s="1333"/>
      <c r="G342" s="1333"/>
      <c r="H342" s="1333"/>
      <c r="I342" s="1333"/>
      <c r="J342" s="1333"/>
      <c r="K342" s="1333"/>
      <c r="L342" s="1333"/>
      <c r="M342" s="1333"/>
      <c r="N342" s="1333"/>
      <c r="O342" s="1333"/>
      <c r="P342" s="1333"/>
      <c r="Q342" s="1333"/>
      <c r="R342" s="1333"/>
      <c r="S342" s="1333"/>
      <c r="T342" s="1333"/>
      <c r="U342" s="1333"/>
      <c r="V342" s="1333"/>
      <c r="W342" s="1333"/>
      <c r="X342" s="1333"/>
      <c r="Y342" s="1333"/>
      <c r="Z342" s="1333"/>
      <c r="AA342" s="1333"/>
      <c r="AB342" s="1333"/>
      <c r="AC342" s="1333"/>
      <c r="AD342" s="1333"/>
      <c r="AE342" s="1333"/>
      <c r="AF342" s="1333"/>
      <c r="AG342" s="1333"/>
      <c r="AH342" s="1097"/>
      <c r="AI342" s="1333"/>
      <c r="AJ342" s="1333"/>
      <c r="AK342" s="1333"/>
    </row>
    <row r="343" spans="1:37">
      <c r="A343" s="1333"/>
      <c r="B343" s="1333"/>
      <c r="C343" s="1333"/>
      <c r="D343" s="1333"/>
      <c r="E343" s="1333"/>
      <c r="F343" s="1333"/>
      <c r="G343" s="1333"/>
      <c r="H343" s="1333"/>
      <c r="I343" s="1333"/>
      <c r="J343" s="1333"/>
      <c r="K343" s="1333"/>
      <c r="L343" s="1333"/>
      <c r="M343" s="1333"/>
      <c r="N343" s="1333"/>
      <c r="O343" s="1333"/>
      <c r="P343" s="1333"/>
      <c r="Q343" s="1333"/>
      <c r="R343" s="1333"/>
      <c r="S343" s="1333"/>
      <c r="T343" s="1333"/>
      <c r="U343" s="1333"/>
      <c r="V343" s="1333"/>
      <c r="W343" s="1333"/>
      <c r="X343" s="1333"/>
      <c r="Y343" s="1333"/>
      <c r="Z343" s="1333"/>
      <c r="AA343" s="1333"/>
      <c r="AB343" s="1333"/>
      <c r="AC343" s="1333"/>
      <c r="AD343" s="1333"/>
      <c r="AE343" s="1333"/>
      <c r="AF343" s="1333"/>
      <c r="AG343" s="1333"/>
      <c r="AH343" s="1097"/>
      <c r="AI343" s="1333"/>
      <c r="AJ343" s="1333"/>
      <c r="AK343" s="1333"/>
    </row>
    <row r="344" spans="1:37">
      <c r="A344" s="1333"/>
      <c r="B344" s="1333"/>
      <c r="C344" s="1333"/>
      <c r="D344" s="1333"/>
      <c r="E344" s="1333"/>
      <c r="F344" s="1333"/>
      <c r="G344" s="1333"/>
      <c r="H344" s="1333"/>
      <c r="I344" s="1333"/>
      <c r="J344" s="1333"/>
      <c r="K344" s="1333"/>
      <c r="L344" s="1333"/>
      <c r="M344" s="1333"/>
      <c r="N344" s="1333"/>
      <c r="O344" s="1333"/>
      <c r="P344" s="1333"/>
      <c r="Q344" s="1333"/>
      <c r="R344" s="1333"/>
      <c r="S344" s="1333"/>
      <c r="T344" s="1333"/>
      <c r="U344" s="1333"/>
      <c r="V344" s="1333"/>
      <c r="W344" s="1333"/>
      <c r="X344" s="1333"/>
      <c r="Y344" s="1333"/>
      <c r="Z344" s="1333"/>
      <c r="AA344" s="1333"/>
      <c r="AB344" s="1333"/>
      <c r="AC344" s="1333"/>
      <c r="AD344" s="1333"/>
      <c r="AE344" s="1333"/>
      <c r="AF344" s="1333"/>
      <c r="AG344" s="1333"/>
      <c r="AH344" s="1097"/>
      <c r="AI344" s="1333"/>
      <c r="AJ344" s="1333"/>
      <c r="AK344" s="1333"/>
    </row>
    <row r="345" spans="1:37">
      <c r="A345" s="1333"/>
      <c r="B345" s="1333"/>
      <c r="C345" s="1333"/>
      <c r="D345" s="1333"/>
      <c r="E345" s="1333"/>
      <c r="F345" s="1333"/>
      <c r="G345" s="1333"/>
      <c r="H345" s="1333"/>
      <c r="I345" s="1333"/>
      <c r="J345" s="1333"/>
      <c r="K345" s="1333"/>
      <c r="L345" s="1333"/>
      <c r="M345" s="1333"/>
      <c r="N345" s="1333"/>
      <c r="O345" s="1333"/>
      <c r="P345" s="1333"/>
      <c r="Q345" s="1333"/>
      <c r="R345" s="1333"/>
      <c r="S345" s="1333"/>
      <c r="T345" s="1333"/>
      <c r="U345" s="1333"/>
      <c r="V345" s="1333"/>
      <c r="W345" s="1333"/>
      <c r="X345" s="1333"/>
      <c r="Y345" s="1333"/>
      <c r="Z345" s="1333"/>
      <c r="AA345" s="1333"/>
      <c r="AB345" s="1333"/>
      <c r="AC345" s="1333"/>
      <c r="AD345" s="1333"/>
      <c r="AE345" s="1333"/>
      <c r="AF345" s="1333"/>
      <c r="AG345" s="1333"/>
      <c r="AH345" s="1097"/>
      <c r="AI345" s="1333"/>
      <c r="AJ345" s="1333"/>
      <c r="AK345" s="1333"/>
    </row>
    <row r="346" spans="1:37">
      <c r="A346" s="1333"/>
      <c r="B346" s="1333"/>
      <c r="C346" s="1333"/>
      <c r="D346" s="1333"/>
      <c r="E346" s="1333"/>
      <c r="F346" s="1333"/>
      <c r="G346" s="1333"/>
      <c r="H346" s="1333"/>
      <c r="I346" s="1333"/>
      <c r="J346" s="1333"/>
      <c r="K346" s="1333"/>
      <c r="L346" s="1333"/>
      <c r="M346" s="1333"/>
      <c r="N346" s="1333"/>
      <c r="O346" s="1333"/>
      <c r="P346" s="1333"/>
      <c r="Q346" s="1333"/>
      <c r="R346" s="1333"/>
      <c r="S346" s="1333"/>
      <c r="T346" s="1333"/>
      <c r="U346" s="1333"/>
      <c r="V346" s="1333"/>
      <c r="W346" s="1333"/>
      <c r="X346" s="1333"/>
      <c r="Y346" s="1333"/>
      <c r="Z346" s="1333"/>
      <c r="AA346" s="1333"/>
      <c r="AB346" s="1333"/>
      <c r="AC346" s="1333"/>
      <c r="AD346" s="1333"/>
      <c r="AE346" s="1333"/>
      <c r="AF346" s="1333"/>
      <c r="AG346" s="1333"/>
      <c r="AH346" s="1097"/>
      <c r="AI346" s="1333"/>
      <c r="AJ346" s="1333"/>
      <c r="AK346" s="1333"/>
    </row>
    <row r="347" spans="1:37">
      <c r="A347" s="1333"/>
      <c r="B347" s="1333"/>
      <c r="C347" s="1333"/>
      <c r="D347" s="1333"/>
      <c r="E347" s="1333"/>
      <c r="F347" s="1333"/>
      <c r="G347" s="1333"/>
      <c r="H347" s="1333"/>
      <c r="I347" s="1333"/>
      <c r="J347" s="1333"/>
      <c r="K347" s="1333"/>
      <c r="L347" s="1333"/>
      <c r="M347" s="1333"/>
      <c r="N347" s="1333"/>
      <c r="O347" s="1333"/>
      <c r="P347" s="1333"/>
      <c r="Q347" s="1333"/>
      <c r="R347" s="1333"/>
      <c r="S347" s="1333"/>
      <c r="T347" s="1333"/>
      <c r="U347" s="1333"/>
      <c r="V347" s="1333"/>
      <c r="W347" s="1333"/>
      <c r="X347" s="1333"/>
      <c r="Y347" s="1333"/>
      <c r="Z347" s="1333"/>
      <c r="AA347" s="1333"/>
      <c r="AB347" s="1333"/>
      <c r="AC347" s="1333"/>
      <c r="AD347" s="1333"/>
      <c r="AE347" s="1333"/>
      <c r="AF347" s="1333"/>
      <c r="AG347" s="1333"/>
      <c r="AH347" s="1097"/>
      <c r="AI347" s="1333"/>
      <c r="AJ347" s="1333"/>
      <c r="AK347" s="1333"/>
    </row>
    <row r="348" spans="1:37">
      <c r="A348" s="1333"/>
      <c r="B348" s="1333"/>
      <c r="C348" s="1333"/>
      <c r="D348" s="1333"/>
      <c r="E348" s="1333"/>
      <c r="F348" s="1333"/>
      <c r="G348" s="1333"/>
      <c r="H348" s="1333"/>
      <c r="I348" s="1333"/>
      <c r="J348" s="1333"/>
      <c r="K348" s="1333"/>
      <c r="L348" s="1333"/>
      <c r="M348" s="1333"/>
      <c r="N348" s="1333"/>
      <c r="O348" s="1333"/>
      <c r="P348" s="1333"/>
      <c r="Q348" s="1333"/>
      <c r="R348" s="1333"/>
      <c r="S348" s="1333"/>
      <c r="T348" s="1333"/>
      <c r="U348" s="1333"/>
      <c r="V348" s="1333"/>
      <c r="W348" s="1333"/>
      <c r="X348" s="1333"/>
      <c r="Y348" s="1333"/>
      <c r="Z348" s="1333"/>
      <c r="AA348" s="1333"/>
      <c r="AB348" s="1333"/>
      <c r="AC348" s="1333"/>
      <c r="AD348" s="1333"/>
      <c r="AE348" s="1333"/>
      <c r="AF348" s="1333"/>
      <c r="AG348" s="1333"/>
      <c r="AH348" s="1097"/>
      <c r="AI348" s="1333"/>
      <c r="AJ348" s="1333"/>
      <c r="AK348" s="1333"/>
    </row>
    <row r="349" spans="1:37">
      <c r="A349" s="1333"/>
      <c r="B349" s="1333"/>
      <c r="C349" s="1333"/>
      <c r="D349" s="1333"/>
      <c r="E349" s="1333"/>
      <c r="F349" s="1333"/>
      <c r="G349" s="1333"/>
      <c r="H349" s="1333"/>
      <c r="I349" s="1333"/>
      <c r="J349" s="1333"/>
      <c r="K349" s="1333"/>
      <c r="L349" s="1333"/>
      <c r="M349" s="1333"/>
      <c r="N349" s="1333"/>
      <c r="O349" s="1333"/>
      <c r="P349" s="1333"/>
      <c r="Q349" s="1333"/>
      <c r="R349" s="1333"/>
      <c r="S349" s="1333"/>
      <c r="T349" s="1333"/>
      <c r="U349" s="1333"/>
      <c r="V349" s="1333"/>
      <c r="W349" s="1333"/>
      <c r="X349" s="1333"/>
      <c r="Y349" s="1333"/>
      <c r="Z349" s="1333"/>
      <c r="AA349" s="1333"/>
      <c r="AB349" s="1333"/>
      <c r="AC349" s="1333"/>
      <c r="AD349" s="1333"/>
      <c r="AE349" s="1333"/>
      <c r="AF349" s="1333"/>
      <c r="AG349" s="1333"/>
      <c r="AH349" s="1097"/>
      <c r="AI349" s="1333"/>
      <c r="AJ349" s="1333"/>
      <c r="AK349" s="1333"/>
    </row>
    <row r="350" spans="1:37">
      <c r="A350" s="1333"/>
      <c r="B350" s="1333"/>
      <c r="C350" s="1333"/>
      <c r="D350" s="1333"/>
      <c r="E350" s="1333"/>
      <c r="F350" s="1333"/>
      <c r="G350" s="1333"/>
      <c r="H350" s="1333"/>
      <c r="I350" s="1333"/>
      <c r="J350" s="1333"/>
      <c r="K350" s="1333"/>
      <c r="L350" s="1333"/>
      <c r="M350" s="1333"/>
      <c r="N350" s="1333"/>
      <c r="O350" s="1333"/>
      <c r="P350" s="1333"/>
      <c r="Q350" s="1333"/>
      <c r="R350" s="1333"/>
      <c r="S350" s="1333"/>
      <c r="T350" s="1333"/>
      <c r="U350" s="1333"/>
      <c r="V350" s="1333"/>
      <c r="W350" s="1333"/>
      <c r="X350" s="1333"/>
      <c r="Y350" s="1333"/>
      <c r="Z350" s="1333"/>
      <c r="AA350" s="1333"/>
      <c r="AB350" s="1333"/>
      <c r="AC350" s="1333"/>
      <c r="AD350" s="1333"/>
      <c r="AE350" s="1333"/>
      <c r="AF350" s="1333"/>
      <c r="AG350" s="1333"/>
      <c r="AH350" s="1097"/>
      <c r="AI350" s="1333"/>
      <c r="AJ350" s="1333"/>
      <c r="AK350" s="1333"/>
    </row>
    <row r="351" spans="1:37">
      <c r="A351" s="1333"/>
      <c r="B351" s="1333"/>
      <c r="C351" s="1333"/>
      <c r="D351" s="1333"/>
      <c r="E351" s="1333"/>
      <c r="F351" s="1333"/>
      <c r="G351" s="1333"/>
      <c r="H351" s="1333"/>
      <c r="I351" s="1333"/>
      <c r="J351" s="1333"/>
      <c r="K351" s="1333"/>
      <c r="L351" s="1333"/>
      <c r="M351" s="1333"/>
      <c r="N351" s="1333"/>
      <c r="O351" s="1333"/>
      <c r="P351" s="1333"/>
      <c r="Q351" s="1333"/>
      <c r="R351" s="1333"/>
      <c r="S351" s="1333"/>
      <c r="T351" s="1333"/>
      <c r="U351" s="1333"/>
      <c r="V351" s="1333"/>
      <c r="W351" s="1333"/>
      <c r="X351" s="1333"/>
      <c r="Y351" s="1333"/>
      <c r="Z351" s="1333"/>
      <c r="AA351" s="1333"/>
      <c r="AB351" s="1333"/>
      <c r="AC351" s="1333"/>
      <c r="AD351" s="1333"/>
      <c r="AE351" s="1333"/>
      <c r="AF351" s="1333"/>
      <c r="AG351" s="1333"/>
      <c r="AH351" s="1097"/>
      <c r="AI351" s="1333"/>
      <c r="AJ351" s="1333"/>
      <c r="AK351" s="1333"/>
    </row>
    <row r="352" spans="1:37">
      <c r="A352" s="1333"/>
      <c r="B352" s="1333"/>
      <c r="C352" s="1333"/>
      <c r="D352" s="1333"/>
      <c r="E352" s="1333"/>
      <c r="F352" s="1333"/>
      <c r="G352" s="1333"/>
      <c r="H352" s="1333"/>
      <c r="I352" s="1333"/>
      <c r="J352" s="1333"/>
      <c r="K352" s="1333"/>
      <c r="L352" s="1333"/>
      <c r="M352" s="1333"/>
      <c r="N352" s="1333"/>
      <c r="O352" s="1333"/>
      <c r="P352" s="1333"/>
      <c r="Q352" s="1333"/>
      <c r="R352" s="1333"/>
      <c r="S352" s="1333"/>
      <c r="T352" s="1333"/>
      <c r="U352" s="1333"/>
      <c r="V352" s="1333"/>
      <c r="W352" s="1333"/>
      <c r="X352" s="1333"/>
      <c r="Y352" s="1333"/>
      <c r="Z352" s="1333"/>
      <c r="AA352" s="1333"/>
      <c r="AB352" s="1333"/>
      <c r="AC352" s="1333"/>
      <c r="AD352" s="1333"/>
      <c r="AE352" s="1333"/>
      <c r="AF352" s="1333"/>
      <c r="AG352" s="1333"/>
      <c r="AH352" s="1097"/>
      <c r="AI352" s="1333"/>
      <c r="AJ352" s="1333"/>
      <c r="AK352" s="1333"/>
    </row>
    <row r="353" spans="1:37">
      <c r="A353" s="1333"/>
      <c r="B353" s="1333"/>
      <c r="C353" s="1333"/>
      <c r="D353" s="1333"/>
      <c r="E353" s="1333"/>
      <c r="F353" s="1333"/>
      <c r="G353" s="1333"/>
      <c r="H353" s="1333"/>
      <c r="I353" s="1333"/>
      <c r="J353" s="1333"/>
      <c r="K353" s="1333"/>
      <c r="L353" s="1333"/>
      <c r="M353" s="1333"/>
      <c r="N353" s="1333"/>
      <c r="O353" s="1333"/>
      <c r="P353" s="1333"/>
      <c r="Q353" s="1333"/>
      <c r="R353" s="1333"/>
      <c r="S353" s="1333"/>
      <c r="T353" s="1333"/>
      <c r="U353" s="1333"/>
      <c r="V353" s="1333"/>
      <c r="W353" s="1333"/>
      <c r="X353" s="1333"/>
      <c r="Y353" s="1333"/>
      <c r="Z353" s="1333"/>
      <c r="AA353" s="1333"/>
      <c r="AB353" s="1333"/>
      <c r="AC353" s="1333"/>
      <c r="AD353" s="1333"/>
      <c r="AE353" s="1333"/>
      <c r="AF353" s="1333"/>
      <c r="AG353" s="1333"/>
      <c r="AH353" s="1097"/>
      <c r="AI353" s="1333"/>
      <c r="AJ353" s="1333"/>
      <c r="AK353" s="1333"/>
    </row>
    <row r="354" spans="1:37">
      <c r="A354" s="1333"/>
      <c r="B354" s="1333"/>
      <c r="C354" s="1333"/>
      <c r="D354" s="1333"/>
      <c r="E354" s="1333"/>
      <c r="F354" s="1333"/>
      <c r="G354" s="1333"/>
      <c r="H354" s="1333"/>
      <c r="I354" s="1333"/>
      <c r="J354" s="1333"/>
      <c r="K354" s="1333"/>
      <c r="L354" s="1333"/>
      <c r="M354" s="1333"/>
      <c r="N354" s="1333"/>
      <c r="O354" s="1333"/>
      <c r="P354" s="1333"/>
      <c r="Q354" s="1333"/>
      <c r="R354" s="1333"/>
      <c r="S354" s="1333"/>
      <c r="T354" s="1333"/>
      <c r="U354" s="1333"/>
      <c r="V354" s="1333"/>
      <c r="W354" s="1333"/>
      <c r="X354" s="1333"/>
      <c r="Y354" s="1333"/>
      <c r="Z354" s="1333"/>
      <c r="AA354" s="1333"/>
      <c r="AB354" s="1333"/>
      <c r="AC354" s="1333"/>
      <c r="AD354" s="1333"/>
      <c r="AE354" s="1333"/>
      <c r="AF354" s="1333"/>
      <c r="AG354" s="1333"/>
      <c r="AH354" s="1097"/>
      <c r="AI354" s="1333"/>
      <c r="AJ354" s="1333"/>
      <c r="AK354" s="1333"/>
    </row>
    <row r="355" spans="1:37">
      <c r="A355" s="1333"/>
      <c r="B355" s="1333"/>
      <c r="C355" s="1333"/>
      <c r="D355" s="1333"/>
      <c r="E355" s="1333"/>
      <c r="F355" s="1333"/>
      <c r="G355" s="1333"/>
      <c r="H355" s="1333"/>
      <c r="I355" s="1333"/>
      <c r="J355" s="1333"/>
      <c r="K355" s="1333"/>
      <c r="L355" s="1333"/>
      <c r="M355" s="1333"/>
      <c r="N355" s="1333"/>
      <c r="O355" s="1333"/>
      <c r="P355" s="1333"/>
      <c r="Q355" s="1333"/>
      <c r="R355" s="1333"/>
      <c r="S355" s="1333"/>
      <c r="T355" s="1333"/>
      <c r="U355" s="1333"/>
      <c r="V355" s="1333"/>
      <c r="W355" s="1333"/>
      <c r="X355" s="1333"/>
      <c r="Y355" s="1333"/>
      <c r="Z355" s="1333"/>
      <c r="AA355" s="1333"/>
      <c r="AB355" s="1333"/>
      <c r="AC355" s="1333"/>
      <c r="AD355" s="1333"/>
      <c r="AE355" s="1333"/>
      <c r="AF355" s="1333"/>
      <c r="AG355" s="1333"/>
      <c r="AH355" s="1097"/>
      <c r="AI355" s="1333"/>
      <c r="AJ355" s="1333"/>
      <c r="AK355" s="1333"/>
    </row>
    <row r="356" spans="1:37">
      <c r="A356" s="1333"/>
      <c r="B356" s="1333"/>
      <c r="C356" s="1333"/>
      <c r="D356" s="1333"/>
      <c r="E356" s="1333"/>
      <c r="F356" s="1333"/>
      <c r="G356" s="1333"/>
      <c r="H356" s="1333"/>
      <c r="I356" s="1333"/>
      <c r="J356" s="1333"/>
      <c r="K356" s="1333"/>
      <c r="L356" s="1333"/>
      <c r="M356" s="1333"/>
      <c r="N356" s="1333"/>
      <c r="O356" s="1333"/>
      <c r="P356" s="1333"/>
      <c r="Q356" s="1333"/>
      <c r="R356" s="1333"/>
      <c r="S356" s="1333"/>
      <c r="T356" s="1333"/>
      <c r="U356" s="1333"/>
      <c r="V356" s="1333"/>
      <c r="W356" s="1333"/>
      <c r="X356" s="1333"/>
      <c r="Y356" s="1333"/>
      <c r="Z356" s="1333"/>
      <c r="AA356" s="1333"/>
      <c r="AB356" s="1333"/>
      <c r="AC356" s="1333"/>
      <c r="AD356" s="1333"/>
      <c r="AE356" s="1333"/>
      <c r="AF356" s="1333"/>
      <c r="AG356" s="1333"/>
      <c r="AH356" s="1097"/>
      <c r="AI356" s="1333"/>
      <c r="AJ356" s="1333"/>
      <c r="AK356" s="1333"/>
    </row>
    <row r="357" spans="1:37">
      <c r="A357" s="1333"/>
      <c r="B357" s="1333"/>
      <c r="C357" s="1333"/>
      <c r="D357" s="1333"/>
      <c r="E357" s="1333"/>
      <c r="F357" s="1333"/>
      <c r="G357" s="1333"/>
      <c r="H357" s="1333"/>
      <c r="I357" s="1333"/>
      <c r="J357" s="1333"/>
      <c r="K357" s="1333"/>
      <c r="L357" s="1333"/>
      <c r="M357" s="1333"/>
      <c r="N357" s="1333"/>
      <c r="O357" s="1333"/>
      <c r="P357" s="1333"/>
      <c r="Q357" s="1333"/>
      <c r="R357" s="1333"/>
      <c r="S357" s="1333"/>
      <c r="T357" s="1333"/>
      <c r="U357" s="1333"/>
      <c r="V357" s="1333"/>
      <c r="W357" s="1333"/>
      <c r="X357" s="1333"/>
      <c r="Y357" s="1333"/>
      <c r="Z357" s="1333"/>
      <c r="AA357" s="1333"/>
      <c r="AB357" s="1333"/>
      <c r="AC357" s="1333"/>
      <c r="AD357" s="1333"/>
      <c r="AE357" s="1333"/>
      <c r="AF357" s="1333"/>
      <c r="AG357" s="1333"/>
      <c r="AH357" s="1097"/>
      <c r="AI357" s="1333"/>
      <c r="AJ357" s="1333"/>
      <c r="AK357" s="1333"/>
    </row>
    <row r="358" spans="1:37">
      <c r="A358" s="1333"/>
      <c r="B358" s="1333"/>
      <c r="C358" s="1333"/>
      <c r="D358" s="1333"/>
      <c r="E358" s="1333"/>
      <c r="F358" s="1333"/>
      <c r="G358" s="1333"/>
      <c r="H358" s="1333"/>
      <c r="I358" s="1333"/>
      <c r="J358" s="1333"/>
      <c r="K358" s="1333"/>
      <c r="L358" s="1333"/>
      <c r="M358" s="1333"/>
      <c r="N358" s="1333"/>
      <c r="O358" s="1333"/>
      <c r="P358" s="1333"/>
      <c r="Q358" s="1333"/>
      <c r="R358" s="1333"/>
      <c r="S358" s="1333"/>
      <c r="T358" s="1333"/>
      <c r="U358" s="1333"/>
      <c r="V358" s="1333"/>
      <c r="W358" s="1333"/>
      <c r="X358" s="1333"/>
      <c r="Y358" s="1333"/>
      <c r="Z358" s="1333"/>
      <c r="AA358" s="1333"/>
      <c r="AB358" s="1333"/>
      <c r="AC358" s="1333"/>
      <c r="AD358" s="1333"/>
      <c r="AE358" s="1333"/>
      <c r="AF358" s="1333"/>
      <c r="AG358" s="1333"/>
      <c r="AH358" s="1097"/>
      <c r="AI358" s="1333"/>
      <c r="AJ358" s="1333"/>
      <c r="AK358" s="1333"/>
    </row>
    <row r="359" spans="1:37">
      <c r="A359" s="1333"/>
      <c r="B359" s="1333"/>
      <c r="C359" s="1333"/>
      <c r="D359" s="1333"/>
      <c r="E359" s="1333"/>
      <c r="F359" s="1333"/>
      <c r="G359" s="1333"/>
      <c r="H359" s="1333"/>
      <c r="I359" s="1333"/>
      <c r="J359" s="1333"/>
      <c r="K359" s="1333"/>
      <c r="L359" s="1333"/>
      <c r="M359" s="1333"/>
      <c r="N359" s="1333"/>
      <c r="O359" s="1333"/>
      <c r="P359" s="1333"/>
      <c r="Q359" s="1333"/>
      <c r="R359" s="1333"/>
      <c r="S359" s="1333"/>
      <c r="T359" s="1333"/>
      <c r="U359" s="1333"/>
      <c r="V359" s="1333"/>
      <c r="W359" s="1333"/>
      <c r="X359" s="1333"/>
      <c r="Y359" s="1333"/>
      <c r="Z359" s="1333"/>
      <c r="AA359" s="1333"/>
      <c r="AB359" s="1333"/>
      <c r="AC359" s="1333"/>
      <c r="AD359" s="1333"/>
      <c r="AE359" s="1333"/>
      <c r="AF359" s="1333"/>
      <c r="AG359" s="1333"/>
      <c r="AH359" s="1097"/>
      <c r="AI359" s="1333"/>
      <c r="AJ359" s="1333"/>
      <c r="AK359" s="1333"/>
    </row>
    <row r="360" spans="1:37">
      <c r="A360" s="1333"/>
      <c r="B360" s="1333"/>
      <c r="C360" s="1333"/>
      <c r="D360" s="1333"/>
      <c r="E360" s="1333"/>
      <c r="F360" s="1333"/>
      <c r="G360" s="1333"/>
      <c r="H360" s="1333"/>
      <c r="I360" s="1333"/>
      <c r="J360" s="1333"/>
      <c r="K360" s="1333"/>
      <c r="L360" s="1333"/>
      <c r="M360" s="1333"/>
      <c r="N360" s="1333"/>
      <c r="O360" s="1333"/>
      <c r="P360" s="1333"/>
      <c r="Q360" s="1333"/>
      <c r="R360" s="1333"/>
      <c r="S360" s="1333"/>
      <c r="T360" s="1333"/>
      <c r="U360" s="1333"/>
      <c r="V360" s="1333"/>
      <c r="W360" s="1333"/>
      <c r="X360" s="1333"/>
      <c r="Y360" s="1333"/>
      <c r="Z360" s="1333"/>
      <c r="AA360" s="1333"/>
      <c r="AB360" s="1333"/>
      <c r="AC360" s="1333"/>
      <c r="AD360" s="1333"/>
      <c r="AE360" s="1333"/>
      <c r="AF360" s="1333"/>
      <c r="AG360" s="1333"/>
      <c r="AH360" s="1097"/>
      <c r="AI360" s="1333"/>
      <c r="AJ360" s="1333"/>
      <c r="AK360" s="1333"/>
    </row>
    <row r="361" spans="1:37">
      <c r="A361" s="1333"/>
      <c r="B361" s="1333"/>
      <c r="C361" s="1333"/>
      <c r="D361" s="1333"/>
      <c r="E361" s="1333"/>
      <c r="F361" s="1333"/>
      <c r="G361" s="1333"/>
      <c r="H361" s="1333"/>
      <c r="I361" s="1333"/>
      <c r="J361" s="1333"/>
      <c r="K361" s="1333"/>
      <c r="L361" s="1333"/>
      <c r="M361" s="1333"/>
      <c r="N361" s="1333"/>
      <c r="O361" s="1333"/>
      <c r="P361" s="1333"/>
      <c r="Q361" s="1333"/>
      <c r="R361" s="1333"/>
      <c r="S361" s="1333"/>
      <c r="T361" s="1333"/>
      <c r="U361" s="1333"/>
      <c r="V361" s="1333"/>
      <c r="W361" s="1333"/>
      <c r="X361" s="1333"/>
      <c r="Y361" s="1333"/>
      <c r="Z361" s="1333"/>
      <c r="AA361" s="1333"/>
      <c r="AB361" s="1333"/>
      <c r="AC361" s="1333"/>
      <c r="AD361" s="1333"/>
      <c r="AE361" s="1333"/>
      <c r="AF361" s="1333"/>
      <c r="AG361" s="1333"/>
      <c r="AH361" s="1097"/>
      <c r="AI361" s="1333"/>
      <c r="AJ361" s="1333"/>
      <c r="AK361" s="1333"/>
    </row>
    <row r="362" spans="1:37">
      <c r="A362" s="1333"/>
      <c r="B362" s="1333"/>
      <c r="C362" s="1333"/>
      <c r="D362" s="1333"/>
      <c r="E362" s="1333"/>
      <c r="F362" s="1333"/>
      <c r="G362" s="1333"/>
      <c r="H362" s="1333"/>
      <c r="I362" s="1333"/>
      <c r="J362" s="1333"/>
      <c r="K362" s="1333"/>
      <c r="L362" s="1333"/>
      <c r="M362" s="1333"/>
      <c r="N362" s="1333"/>
      <c r="O362" s="1333"/>
      <c r="P362" s="1333"/>
      <c r="Q362" s="1333"/>
      <c r="R362" s="1333"/>
      <c r="S362" s="1333"/>
      <c r="T362" s="1333"/>
      <c r="U362" s="1333"/>
      <c r="V362" s="1333"/>
      <c r="W362" s="1333"/>
      <c r="X362" s="1333"/>
      <c r="Y362" s="1333"/>
      <c r="Z362" s="1333"/>
      <c r="AA362" s="1333"/>
      <c r="AB362" s="1333"/>
      <c r="AC362" s="1333"/>
      <c r="AD362" s="1333"/>
      <c r="AE362" s="1333"/>
      <c r="AF362" s="1333"/>
      <c r="AG362" s="1333"/>
      <c r="AH362" s="1097"/>
      <c r="AI362" s="1333"/>
      <c r="AJ362" s="1333"/>
      <c r="AK362" s="1333"/>
    </row>
    <row r="363" spans="1:37">
      <c r="A363" s="1333"/>
      <c r="B363" s="1333"/>
      <c r="C363" s="1333"/>
      <c r="D363" s="1333"/>
      <c r="E363" s="1333"/>
      <c r="F363" s="1333"/>
      <c r="G363" s="1333"/>
      <c r="H363" s="1333"/>
      <c r="I363" s="1333"/>
      <c r="J363" s="1333"/>
      <c r="K363" s="1333"/>
      <c r="L363" s="1333"/>
      <c r="M363" s="1333"/>
      <c r="N363" s="1333"/>
      <c r="O363" s="1333"/>
      <c r="P363" s="1333"/>
      <c r="Q363" s="1333"/>
      <c r="R363" s="1333"/>
      <c r="S363" s="1333"/>
      <c r="T363" s="1333"/>
      <c r="U363" s="1333"/>
      <c r="V363" s="1333"/>
      <c r="W363" s="1333"/>
      <c r="X363" s="1333"/>
      <c r="Y363" s="1333"/>
      <c r="Z363" s="1333"/>
      <c r="AA363" s="1333"/>
      <c r="AB363" s="1333"/>
      <c r="AC363" s="1333"/>
      <c r="AD363" s="1333"/>
      <c r="AE363" s="1333"/>
      <c r="AF363" s="1333"/>
      <c r="AG363" s="1333"/>
      <c r="AH363" s="1097"/>
      <c r="AI363" s="1333"/>
      <c r="AJ363" s="1333"/>
      <c r="AK363" s="1333"/>
    </row>
    <row r="364" spans="1:37">
      <c r="A364" s="1333"/>
      <c r="B364" s="1333"/>
      <c r="C364" s="1333"/>
      <c r="D364" s="1333"/>
      <c r="E364" s="1333"/>
      <c r="F364" s="1333"/>
      <c r="G364" s="1333"/>
      <c r="H364" s="1333"/>
      <c r="I364" s="1333"/>
      <c r="J364" s="1333"/>
      <c r="K364" s="1333"/>
      <c r="L364" s="1333"/>
      <c r="M364" s="1333"/>
      <c r="N364" s="1333"/>
      <c r="O364" s="1333"/>
      <c r="P364" s="1333"/>
      <c r="Q364" s="1333"/>
      <c r="R364" s="1333"/>
      <c r="S364" s="1333"/>
      <c r="T364" s="1333"/>
      <c r="U364" s="1333"/>
      <c r="V364" s="1333"/>
      <c r="W364" s="1333"/>
      <c r="X364" s="1333"/>
      <c r="Y364" s="1333"/>
      <c r="Z364" s="1333"/>
      <c r="AA364" s="1333"/>
      <c r="AB364" s="1333"/>
      <c r="AC364" s="1333"/>
      <c r="AD364" s="1333"/>
      <c r="AE364" s="1333"/>
      <c r="AF364" s="1333"/>
      <c r="AG364" s="1333"/>
      <c r="AH364" s="1097"/>
      <c r="AI364" s="1333"/>
      <c r="AJ364" s="1333"/>
      <c r="AK364" s="1333"/>
    </row>
    <row r="365" spans="1:37">
      <c r="A365" s="1333"/>
      <c r="B365" s="1333"/>
      <c r="C365" s="1333"/>
      <c r="D365" s="1333"/>
      <c r="E365" s="1333"/>
      <c r="F365" s="1333"/>
      <c r="G365" s="1333"/>
      <c r="H365" s="1333"/>
      <c r="I365" s="1333"/>
      <c r="J365" s="1333"/>
      <c r="K365" s="1333"/>
      <c r="L365" s="1333"/>
      <c r="M365" s="1333"/>
      <c r="N365" s="1333"/>
      <c r="O365" s="1333"/>
      <c r="P365" s="1333"/>
      <c r="Q365" s="1333"/>
      <c r="R365" s="1333"/>
      <c r="S365" s="1333"/>
      <c r="T365" s="1333"/>
      <c r="U365" s="1333"/>
      <c r="V365" s="1333"/>
      <c r="W365" s="1333"/>
      <c r="X365" s="1333"/>
      <c r="Y365" s="1333"/>
      <c r="Z365" s="1333"/>
      <c r="AA365" s="1333"/>
      <c r="AB365" s="1333"/>
      <c r="AC365" s="1333"/>
      <c r="AD365" s="1333"/>
      <c r="AE365" s="1333"/>
      <c r="AF365" s="1333"/>
      <c r="AG365" s="1333"/>
      <c r="AH365" s="1097"/>
      <c r="AI365" s="1333"/>
      <c r="AJ365" s="1333"/>
      <c r="AK365" s="1333"/>
    </row>
  </sheetData>
  <phoneticPr fontId="19" type="noConversion"/>
  <printOptions horizontalCentered="1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  <rowBreaks count="2" manualBreakCount="2">
    <brk id="36" min="2" max="14" man="1"/>
    <brk id="110" min="2" max="14" man="1"/>
  </rowBreaks>
  <ignoredErrors>
    <ignoredError sqref="G16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48">
    <tabColor rgb="FFFFFF66"/>
  </sheetPr>
  <dimension ref="A1:J34"/>
  <sheetViews>
    <sheetView tabSelected="1" view="pageLayout" zoomScaleNormal="90" workbookViewId="0">
      <selection activeCell="G1" sqref="G1"/>
    </sheetView>
  </sheetViews>
  <sheetFormatPr defaultColWidth="16.140625" defaultRowHeight="12.75"/>
  <cols>
    <col min="1" max="1" width="7.5703125" style="18" customWidth="1"/>
    <col min="2" max="2" width="2.5703125" style="18" customWidth="1"/>
    <col min="3" max="3" width="49.140625" style="18" customWidth="1"/>
    <col min="4" max="4" width="4.85546875" style="18" customWidth="1"/>
    <col min="5" max="5" width="19" style="18" customWidth="1"/>
    <col min="6" max="6" width="15.85546875" style="18" customWidth="1"/>
    <col min="7" max="7" width="20" style="18" customWidth="1"/>
    <col min="8" max="8" width="28.42578125" style="18" customWidth="1"/>
    <col min="9" max="9" width="19.28515625" style="18" customWidth="1"/>
    <col min="10" max="10" width="1.5703125" style="18" customWidth="1"/>
    <col min="11" max="11" width="6.85546875" style="18" customWidth="1"/>
    <col min="12" max="12" width="8.28515625" style="18" customWidth="1"/>
    <col min="13" max="13" width="52.28515625" style="18" customWidth="1"/>
    <col min="14" max="14" width="1.85546875" style="18" customWidth="1"/>
    <col min="15" max="16" width="18.42578125" style="18" customWidth="1"/>
    <col min="17" max="17" width="23.7109375" style="18" customWidth="1"/>
    <col min="18" max="18" width="27.140625" style="18" customWidth="1"/>
    <col min="19" max="19" width="18.42578125" style="18" customWidth="1"/>
    <col min="20" max="20" width="7.5703125" style="18" customWidth="1"/>
    <col min="21" max="21" width="8.7109375" style="18" customWidth="1"/>
    <col min="22" max="22" width="56.42578125" style="18" customWidth="1"/>
    <col min="23" max="24" width="19.7109375" style="18" customWidth="1"/>
    <col min="25" max="25" width="1.28515625" style="18" customWidth="1"/>
    <col min="26" max="28" width="19.7109375" style="18" customWidth="1"/>
    <col min="29" max="29" width="21.5703125" style="18" customWidth="1"/>
    <col min="30" max="30" width="16.140625" style="18"/>
    <col min="31" max="31" width="4.5703125" style="18" customWidth="1"/>
    <col min="32" max="32" width="3.28515625" style="18" customWidth="1"/>
    <col min="33" max="33" width="13.5703125" style="18" customWidth="1"/>
    <col min="34" max="34" width="20" style="18" customWidth="1"/>
    <col min="35" max="35" width="2" style="18" customWidth="1"/>
    <col min="36" max="36" width="16.140625" style="18" customWidth="1"/>
    <col min="37" max="37" width="3.28515625" style="18" customWidth="1"/>
    <col min="38" max="38" width="18.7109375" style="18" customWidth="1"/>
    <col min="39" max="39" width="2" style="18" customWidth="1"/>
    <col min="40" max="40" width="17.42578125" style="18" customWidth="1"/>
    <col min="41" max="41" width="3.28515625" style="18" customWidth="1"/>
    <col min="42" max="42" width="14.85546875" style="18" customWidth="1"/>
    <col min="43" max="43" width="2" style="18" customWidth="1"/>
    <col min="44" max="44" width="18.7109375" style="18" customWidth="1"/>
    <col min="45" max="45" width="7.140625" style="18" customWidth="1"/>
    <col min="46" max="46" width="20" style="18" customWidth="1"/>
    <col min="47" max="47" width="16.140625" style="18" customWidth="1"/>
    <col min="48" max="48" width="13.5703125" style="18" customWidth="1"/>
    <col min="49" max="49" width="5.85546875" style="18" customWidth="1"/>
    <col min="50" max="50" width="16.140625" style="18" customWidth="1"/>
    <col min="51" max="51" width="27.7109375" style="18" customWidth="1"/>
    <col min="52" max="52" width="9.7109375" style="18" customWidth="1"/>
    <col min="53" max="53" width="20" style="18" customWidth="1"/>
    <col min="54" max="54" width="11" style="18" customWidth="1"/>
    <col min="55" max="55" width="13.5703125" style="18" customWidth="1"/>
    <col min="56" max="56" width="5.85546875" style="18" customWidth="1"/>
    <col min="57" max="59" width="16.140625" style="18" customWidth="1"/>
    <col min="60" max="16384" width="16.140625" style="18"/>
  </cols>
  <sheetData>
    <row r="1" spans="1:10">
      <c r="A1" s="1050" t="str">
        <f>COMPANY</f>
        <v>DUKE ENERGY KENTUCKY, INC.</v>
      </c>
      <c r="B1" s="1051"/>
      <c r="C1" s="1051"/>
      <c r="D1" s="1051"/>
      <c r="E1" s="1051"/>
      <c r="F1" s="1051"/>
      <c r="G1" s="1051"/>
      <c r="H1" s="1051"/>
      <c r="I1" s="1052"/>
      <c r="J1" s="1052"/>
    </row>
    <row r="2" spans="1:10">
      <c r="A2" s="1050" t="str">
        <f>CASE</f>
        <v>CASE NO. 2017-00321</v>
      </c>
      <c r="B2" s="1051"/>
      <c r="C2" s="1051"/>
      <c r="D2" s="1051"/>
      <c r="E2" s="1051"/>
      <c r="F2" s="1051"/>
      <c r="G2" s="1051"/>
      <c r="H2" s="1051"/>
      <c r="I2" s="1052"/>
      <c r="J2" s="1052"/>
    </row>
    <row r="3" spans="1:10">
      <c r="A3" s="1050" t="s">
        <v>496</v>
      </c>
      <c r="B3" s="1051"/>
      <c r="C3" s="1051"/>
      <c r="D3" s="1051"/>
      <c r="E3" s="1051"/>
      <c r="F3" s="1054"/>
      <c r="G3" s="1051"/>
      <c r="H3" s="1051"/>
      <c r="I3" s="1052"/>
      <c r="J3" s="1052"/>
    </row>
    <row r="4" spans="1:10">
      <c r="A4" s="1050" t="s">
        <v>401</v>
      </c>
      <c r="B4" s="1051"/>
      <c r="C4" s="1051"/>
      <c r="D4" s="1051"/>
      <c r="E4" s="1051"/>
      <c r="F4" s="1054"/>
      <c r="G4" s="1051"/>
      <c r="H4" s="1051"/>
      <c r="I4" s="1052"/>
      <c r="J4" s="1052"/>
    </row>
    <row r="5" spans="1:10">
      <c r="A5" s="1050" t="str">
        <f>PeriodF</f>
        <v>FOR THE TWELVE MONTHS ENDED MARCH 31, 2019</v>
      </c>
      <c r="B5" s="1051"/>
      <c r="C5" s="1051"/>
      <c r="D5" s="1051"/>
      <c r="E5" s="1051"/>
      <c r="F5" s="1054"/>
      <c r="G5" s="1051"/>
      <c r="H5" s="1051"/>
      <c r="I5" s="1052"/>
      <c r="J5" s="1052"/>
    </row>
    <row r="6" spans="1:10">
      <c r="A6" s="1050"/>
      <c r="B6" s="1051"/>
      <c r="C6" s="1051"/>
      <c r="D6" s="1051"/>
      <c r="E6" s="1051"/>
      <c r="F6" s="1054"/>
      <c r="G6" s="1051"/>
      <c r="H6" s="1051"/>
      <c r="I6" s="1055"/>
      <c r="J6" s="1052"/>
    </row>
    <row r="7" spans="1:10">
      <c r="A7" s="1056" t="str">
        <f>DataF</f>
        <v>DATA:  BASE PERIOD  "X" FORECASTED PERIOD</v>
      </c>
      <c r="B7" s="1330"/>
      <c r="C7" s="1330"/>
      <c r="D7" s="1330"/>
      <c r="E7" s="1330"/>
      <c r="F7" s="1057"/>
      <c r="G7" s="1571"/>
      <c r="H7" s="1058" t="s">
        <v>402</v>
      </c>
      <c r="I7" s="1052"/>
      <c r="J7" s="1052"/>
    </row>
    <row r="8" spans="1:10">
      <c r="A8" s="1056" t="str">
        <f>LOGO!$B$15</f>
        <v xml:space="preserve">TYPE OF FILING:  "X" ORIGINAL   UPDATED    REVISED  </v>
      </c>
      <c r="B8" s="1330"/>
      <c r="C8" s="1330"/>
      <c r="D8" s="1330"/>
      <c r="E8" s="1330"/>
      <c r="F8" s="1057"/>
      <c r="G8" s="1571"/>
      <c r="H8" s="1058" t="s">
        <v>620</v>
      </c>
      <c r="I8" s="1052"/>
      <c r="J8" s="1052"/>
    </row>
    <row r="9" spans="1:10">
      <c r="A9" s="1058" t="s">
        <v>1879</v>
      </c>
      <c r="B9" s="1330"/>
      <c r="C9" s="1330"/>
      <c r="D9" s="1330"/>
      <c r="E9" s="1330"/>
      <c r="F9" s="1057"/>
      <c r="G9" s="1571"/>
      <c r="H9" s="1058" t="s">
        <v>622</v>
      </c>
      <c r="I9" s="1052"/>
      <c r="J9" s="1052"/>
    </row>
    <row r="10" spans="1:10">
      <c r="A10" s="1330"/>
      <c r="B10" s="1330"/>
      <c r="C10" s="1330"/>
      <c r="D10" s="1330"/>
      <c r="E10" s="1330"/>
      <c r="F10" s="1330"/>
      <c r="G10" s="1571"/>
      <c r="H10" s="1058" t="str">
        <f>_WIT3</f>
        <v>L. M. BELLUCCI</v>
      </c>
      <c r="I10" s="1052"/>
      <c r="J10" s="1052"/>
    </row>
    <row r="11" spans="1:10">
      <c r="A11" s="1060"/>
      <c r="B11" s="1060"/>
      <c r="C11" s="1061"/>
      <c r="D11" s="1060"/>
      <c r="E11" s="1060"/>
      <c r="F11" s="1060"/>
      <c r="G11" s="1060"/>
      <c r="H11" s="1060"/>
      <c r="I11" s="1052"/>
      <c r="J11" s="1052"/>
    </row>
    <row r="12" spans="1:10">
      <c r="A12" s="1330"/>
      <c r="B12" s="1330"/>
      <c r="C12" s="1330"/>
      <c r="D12" s="1330"/>
      <c r="E12" s="1330"/>
      <c r="F12" s="1330"/>
      <c r="G12" s="1330"/>
      <c r="H12" s="1330"/>
      <c r="I12" s="1052"/>
      <c r="J12" s="1052"/>
    </row>
    <row r="13" spans="1:10">
      <c r="A13" s="1330"/>
      <c r="B13" s="1330"/>
      <c r="C13" s="1330"/>
      <c r="D13" s="1330"/>
      <c r="E13" s="1330"/>
      <c r="F13" s="1062" t="s">
        <v>360</v>
      </c>
      <c r="G13" s="1330"/>
      <c r="H13" s="1330"/>
      <c r="I13" s="1063"/>
      <c r="J13" s="1052"/>
    </row>
    <row r="14" spans="1:10">
      <c r="A14" s="1331" t="s">
        <v>1961</v>
      </c>
      <c r="B14" s="1330"/>
      <c r="C14" s="1330"/>
      <c r="D14" s="1330"/>
      <c r="E14" s="1331" t="s">
        <v>1035</v>
      </c>
      <c r="F14" s="1331" t="s">
        <v>362</v>
      </c>
      <c r="G14" s="1330"/>
      <c r="H14" s="1331" t="s">
        <v>1461</v>
      </c>
      <c r="I14" s="1063"/>
      <c r="J14" s="1052"/>
    </row>
    <row r="15" spans="1:10">
      <c r="A15" s="1331" t="s">
        <v>1854</v>
      </c>
      <c r="B15" s="1330"/>
      <c r="C15" s="1331" t="s">
        <v>240</v>
      </c>
      <c r="D15" s="1330"/>
      <c r="E15" s="1331" t="s">
        <v>403</v>
      </c>
      <c r="F15" s="1331" t="s">
        <v>363</v>
      </c>
      <c r="G15" s="1331" t="s">
        <v>241</v>
      </c>
      <c r="H15" s="1331" t="s">
        <v>404</v>
      </c>
      <c r="I15" s="1064"/>
      <c r="J15" s="1052"/>
    </row>
    <row r="16" spans="1:10">
      <c r="A16" s="1330"/>
      <c r="B16" s="1330"/>
      <c r="C16" s="1330"/>
      <c r="D16" s="1330"/>
      <c r="E16" s="1331" t="s">
        <v>365</v>
      </c>
      <c r="F16" s="1331" t="s">
        <v>318</v>
      </c>
      <c r="G16" s="1331" t="s">
        <v>319</v>
      </c>
      <c r="H16" s="1331" t="s">
        <v>320</v>
      </c>
      <c r="I16" s="1052"/>
      <c r="J16" s="1052"/>
    </row>
    <row r="17" spans="1:10">
      <c r="A17" s="1060"/>
      <c r="B17" s="1060"/>
      <c r="C17" s="1060"/>
      <c r="D17" s="1060"/>
      <c r="E17" s="1060"/>
      <c r="F17" s="1060"/>
      <c r="G17" s="1060"/>
      <c r="H17" s="1060"/>
      <c r="I17" s="1063"/>
      <c r="J17" s="1052"/>
    </row>
    <row r="18" spans="1:10">
      <c r="A18" s="1330"/>
      <c r="B18" s="1330"/>
      <c r="C18" s="1330"/>
      <c r="D18" s="1330"/>
      <c r="E18" s="1065" t="s">
        <v>1150</v>
      </c>
      <c r="F18" s="1330"/>
      <c r="G18" s="1331" t="s">
        <v>1150</v>
      </c>
      <c r="H18" s="1330"/>
      <c r="I18" s="1066"/>
      <c r="J18" s="1052"/>
    </row>
    <row r="19" spans="1:10">
      <c r="A19" s="1330"/>
      <c r="B19" s="1330"/>
      <c r="C19" s="1330"/>
      <c r="D19" s="1330"/>
      <c r="E19" s="1065"/>
      <c r="F19" s="1330"/>
      <c r="G19" s="1331"/>
      <c r="H19" s="1330"/>
      <c r="I19" s="1066"/>
      <c r="J19" s="1052"/>
    </row>
    <row r="20" spans="1:10">
      <c r="A20" s="1330"/>
      <c r="B20" s="1330"/>
      <c r="C20" s="1330"/>
      <c r="D20" s="1330"/>
      <c r="E20" s="1065"/>
      <c r="F20" s="1330"/>
      <c r="G20" s="1331"/>
      <c r="H20" s="1330"/>
      <c r="I20" s="1066"/>
      <c r="J20" s="1052"/>
    </row>
    <row r="21" spans="1:10">
      <c r="A21" s="1330"/>
      <c r="B21" s="1330"/>
      <c r="C21" s="1330"/>
      <c r="D21" s="1330"/>
      <c r="E21" s="1330"/>
      <c r="F21" s="1330"/>
      <c r="G21" s="1330"/>
      <c r="H21" s="1330"/>
      <c r="I21" s="1330"/>
      <c r="J21" s="1330"/>
    </row>
    <row r="22" spans="1:10">
      <c r="A22" s="2800" t="s">
        <v>1884</v>
      </c>
      <c r="B22" s="2800"/>
      <c r="C22" s="2800"/>
      <c r="D22" s="2800"/>
      <c r="E22" s="2800"/>
      <c r="F22" s="2800"/>
      <c r="G22" s="2800"/>
      <c r="H22" s="2800"/>
      <c r="I22" s="1330"/>
      <c r="J22" s="1330"/>
    </row>
    <row r="23" spans="1:10">
      <c r="A23" s="1330"/>
      <c r="B23" s="1330"/>
      <c r="C23" s="1330"/>
      <c r="D23" s="1330"/>
      <c r="E23" s="1330"/>
      <c r="F23" s="1330"/>
      <c r="G23" s="1330"/>
      <c r="H23" s="1330"/>
      <c r="I23" s="1330"/>
      <c r="J23" s="1330"/>
    </row>
    <row r="24" spans="1:10">
      <c r="A24" s="1330"/>
      <c r="B24" s="1330"/>
      <c r="C24" s="1330"/>
      <c r="D24" s="1330"/>
      <c r="E24" s="1330"/>
      <c r="F24" s="1330"/>
      <c r="G24" s="1330"/>
      <c r="H24" s="1330"/>
      <c r="I24" s="1330"/>
      <c r="J24" s="1330"/>
    </row>
    <row r="25" spans="1:10">
      <c r="A25" s="1330"/>
      <c r="B25" s="1330"/>
      <c r="C25" s="1330"/>
      <c r="D25" s="1330"/>
      <c r="E25" s="1330"/>
      <c r="F25" s="1330"/>
      <c r="G25" s="1330"/>
      <c r="H25" s="1330"/>
      <c r="I25" s="1330"/>
      <c r="J25" s="1330"/>
    </row>
    <row r="26" spans="1:10">
      <c r="A26" s="1330"/>
      <c r="B26" s="1330"/>
      <c r="C26" s="1330"/>
      <c r="D26" s="1330"/>
      <c r="E26" s="1330"/>
      <c r="F26" s="1330"/>
      <c r="G26" s="1330"/>
      <c r="H26" s="1330"/>
      <c r="I26" s="1330"/>
      <c r="J26" s="1330"/>
    </row>
    <row r="27" spans="1:10">
      <c r="A27" s="1330"/>
      <c r="B27" s="1330"/>
      <c r="C27" s="1330"/>
      <c r="D27" s="1330"/>
      <c r="E27" s="1330"/>
      <c r="F27" s="1330"/>
      <c r="G27" s="1330"/>
      <c r="H27" s="1330"/>
      <c r="I27" s="1330"/>
      <c r="J27" s="1330"/>
    </row>
    <row r="28" spans="1:10">
      <c r="A28" s="1330"/>
      <c r="B28" s="1330"/>
      <c r="C28" s="1330"/>
      <c r="D28" s="1330"/>
      <c r="E28" s="1330"/>
      <c r="F28" s="1330"/>
      <c r="G28" s="1330"/>
      <c r="H28" s="1330"/>
      <c r="I28" s="1330"/>
      <c r="J28" s="1330"/>
    </row>
    <row r="29" spans="1:10">
      <c r="A29" s="1330"/>
      <c r="B29" s="1330"/>
      <c r="C29" s="1330"/>
      <c r="D29" s="1330"/>
      <c r="E29" s="1330"/>
      <c r="F29" s="1330"/>
      <c r="G29" s="1330"/>
      <c r="H29" s="1330"/>
      <c r="I29" s="1330"/>
      <c r="J29" s="1330"/>
    </row>
    <row r="30" spans="1:10">
      <c r="A30" s="1330"/>
      <c r="B30" s="1330"/>
      <c r="C30" s="1330"/>
      <c r="D30" s="1330"/>
      <c r="E30" s="1330"/>
      <c r="F30" s="1330"/>
      <c r="G30" s="1330"/>
      <c r="H30" s="1330"/>
      <c r="I30" s="1330"/>
      <c r="J30" s="1330"/>
    </row>
    <row r="31" spans="1:10">
      <c r="A31" s="1330"/>
      <c r="B31" s="1330"/>
      <c r="C31" s="1330"/>
      <c r="D31" s="1330"/>
      <c r="E31" s="1330"/>
      <c r="F31" s="1330"/>
      <c r="G31" s="1330"/>
      <c r="H31" s="1330"/>
      <c r="I31" s="1330"/>
      <c r="J31" s="1330"/>
    </row>
    <row r="32" spans="1:10">
      <c r="A32" s="1330"/>
      <c r="B32" s="1330"/>
      <c r="C32" s="1330"/>
      <c r="D32" s="1330"/>
      <c r="E32" s="1330"/>
      <c r="F32" s="1330"/>
      <c r="G32" s="1330"/>
      <c r="H32" s="1330"/>
      <c r="I32" s="1330"/>
      <c r="J32" s="1330"/>
    </row>
    <row r="33" spans="1:10">
      <c r="A33" s="1330"/>
      <c r="B33" s="1330"/>
      <c r="C33" s="1330"/>
      <c r="D33" s="1330"/>
      <c r="E33" s="1330"/>
      <c r="F33" s="1330"/>
      <c r="G33" s="1330"/>
      <c r="H33" s="1330"/>
      <c r="I33" s="1330"/>
      <c r="J33" s="1330"/>
    </row>
    <row r="34" spans="1:10">
      <c r="A34" s="1330"/>
      <c r="B34" s="1330"/>
      <c r="C34" s="1330"/>
      <c r="D34" s="1330"/>
      <c r="E34" s="1330"/>
      <c r="F34" s="1330"/>
      <c r="G34" s="1330"/>
      <c r="H34" s="1330"/>
      <c r="I34" s="1330"/>
      <c r="J34" s="1330"/>
    </row>
  </sheetData>
  <mergeCells count="1">
    <mergeCell ref="A22:H22"/>
  </mergeCells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FFC000"/>
  </sheetPr>
  <dimension ref="A1:R64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7.7109375" style="18" customWidth="1"/>
    <col min="2" max="2" width="2" style="18" customWidth="1"/>
    <col min="3" max="3" width="18.85546875" style="18" customWidth="1"/>
    <col min="4" max="4" width="2.140625" style="18" customWidth="1"/>
    <col min="5" max="5" width="46.140625" style="18" customWidth="1"/>
    <col min="6" max="6" width="1" style="18" customWidth="1"/>
    <col min="7" max="7" width="17.7109375" style="18" customWidth="1"/>
    <col min="8" max="8" width="2" style="18" customWidth="1"/>
    <col min="9" max="9" width="11.5703125" style="18" customWidth="1"/>
    <col min="10" max="10" width="2" style="18" customWidth="1"/>
    <col min="11" max="11" width="14.140625" style="18" customWidth="1"/>
    <col min="12" max="12" width="2" style="18" customWidth="1"/>
    <col min="13" max="13" width="15.42578125" style="18" customWidth="1"/>
    <col min="14" max="14" width="1.28515625" style="18" customWidth="1"/>
    <col min="15" max="15" width="12.140625" style="18" customWidth="1"/>
    <col min="16" max="16" width="0.7109375" style="18" customWidth="1"/>
    <col min="17" max="17" width="18.7109375" style="18" customWidth="1"/>
    <col min="18" max="16384" width="8" style="18"/>
  </cols>
  <sheetData>
    <row r="1" spans="1:18">
      <c r="A1" s="2029" t="str">
        <f>COMPANY</f>
        <v>DUKE ENERGY KENTUCKY, INC.</v>
      </c>
      <c r="B1" s="2030"/>
      <c r="C1" s="2029"/>
      <c r="D1" s="2029"/>
      <c r="E1" s="2030"/>
      <c r="F1" s="2030"/>
      <c r="G1" s="2030"/>
      <c r="H1" s="2030"/>
      <c r="I1" s="2030"/>
      <c r="J1" s="2030"/>
      <c r="K1" s="2030"/>
      <c r="L1" s="2030"/>
      <c r="M1" s="2030"/>
      <c r="N1" s="2030"/>
      <c r="O1" s="2030"/>
      <c r="P1" s="2030"/>
      <c r="Q1" s="2030"/>
      <c r="R1" s="1032"/>
    </row>
    <row r="2" spans="1:18">
      <c r="A2" s="2029" t="str">
        <f>CASE</f>
        <v>CASE NO. 2017-00321</v>
      </c>
      <c r="B2" s="2030"/>
      <c r="C2" s="2030"/>
      <c r="D2" s="2030"/>
      <c r="E2" s="2030"/>
      <c r="F2" s="2030"/>
      <c r="G2" s="2030"/>
      <c r="H2" s="2030"/>
      <c r="I2" s="2030"/>
      <c r="J2" s="2030"/>
      <c r="K2" s="2030"/>
      <c r="L2" s="2030"/>
      <c r="M2" s="2030"/>
      <c r="N2" s="2030"/>
      <c r="O2" s="2030"/>
      <c r="P2" s="2030"/>
      <c r="Q2" s="2030"/>
      <c r="R2" s="1032"/>
    </row>
    <row r="3" spans="1:18">
      <c r="A3" s="2031" t="s">
        <v>1564</v>
      </c>
      <c r="B3" s="2030"/>
      <c r="C3" s="2030"/>
      <c r="D3" s="2030"/>
      <c r="E3" s="2030"/>
      <c r="F3" s="2030"/>
      <c r="G3" s="2030"/>
      <c r="H3" s="2030"/>
      <c r="I3" s="2030"/>
      <c r="J3" s="2030"/>
      <c r="K3" s="2030"/>
      <c r="L3" s="2030"/>
      <c r="M3" s="2030"/>
      <c r="N3" s="2031"/>
      <c r="O3" s="2030"/>
      <c r="P3" s="2030"/>
      <c r="Q3" s="2030"/>
      <c r="R3" s="1032"/>
    </row>
    <row r="4" spans="1:18">
      <c r="A4" s="2031" t="str">
        <f>PERIOD</f>
        <v>FOR THE TWELVE MONTHS ENDED NOVEMBER 30, 2017</v>
      </c>
      <c r="B4" s="2030"/>
      <c r="C4" s="2030"/>
      <c r="D4" s="2030"/>
      <c r="E4" s="2030"/>
      <c r="F4" s="2030"/>
      <c r="G4" s="2030"/>
      <c r="H4" s="2030"/>
      <c r="I4" s="2030"/>
      <c r="J4" s="2030"/>
      <c r="K4" s="2030"/>
      <c r="L4" s="2030"/>
      <c r="M4" s="2030"/>
      <c r="N4" s="2031"/>
      <c r="O4" s="2030"/>
      <c r="P4" s="2030"/>
      <c r="Q4" s="2030"/>
      <c r="R4" s="1032"/>
    </row>
    <row r="5" spans="1:18">
      <c r="A5" s="2029" t="str">
        <f>LOGO!B8</f>
        <v>FOR THE TWELVE MONTHS ENDED MARCH 31, 2019</v>
      </c>
      <c r="B5" s="2030"/>
      <c r="C5" s="2030"/>
      <c r="D5" s="2030"/>
      <c r="E5" s="2030"/>
      <c r="F5" s="2030"/>
      <c r="G5" s="2030"/>
      <c r="H5" s="2030"/>
      <c r="I5" s="2030"/>
      <c r="J5" s="2030"/>
      <c r="K5" s="2030"/>
      <c r="L5" s="2030"/>
      <c r="M5" s="2030"/>
      <c r="N5" s="2030"/>
      <c r="O5" s="2030"/>
      <c r="P5" s="2030"/>
      <c r="Q5" s="2030"/>
      <c r="R5" s="1032"/>
    </row>
    <row r="6" spans="1:18">
      <c r="A6" s="1042"/>
      <c r="B6" s="1042"/>
      <c r="C6" s="1042"/>
      <c r="D6" s="1042"/>
      <c r="E6" s="1042"/>
      <c r="F6" s="1042"/>
      <c r="G6" s="1042"/>
      <c r="H6" s="1042"/>
      <c r="I6" s="1042"/>
      <c r="J6" s="1042"/>
      <c r="K6" s="1042"/>
      <c r="L6" s="1042"/>
      <c r="M6" s="1042"/>
      <c r="N6" s="1042"/>
      <c r="O6" s="1042"/>
      <c r="P6" s="1042"/>
      <c r="Q6" s="1042"/>
      <c r="R6" s="1032"/>
    </row>
    <row r="7" spans="1:18">
      <c r="A7" s="2032" t="str">
        <f>DataB</f>
        <v>DATA: "X" BASE PERIOD  "X" FORECASTED PERIOD</v>
      </c>
      <c r="B7" s="1042"/>
      <c r="C7" s="1042"/>
      <c r="D7" s="1042"/>
      <c r="E7" s="1042"/>
      <c r="F7" s="1042"/>
      <c r="G7" s="1042"/>
      <c r="H7" s="1042"/>
      <c r="I7" s="1042"/>
      <c r="J7" s="1042"/>
      <c r="K7" s="1042"/>
      <c r="L7" s="1042"/>
      <c r="M7" s="1042"/>
      <c r="N7" s="1042"/>
      <c r="O7" s="1996" t="s">
        <v>734</v>
      </c>
      <c r="P7" s="1042"/>
      <c r="Q7" s="1042"/>
      <c r="R7" s="1032"/>
    </row>
    <row r="8" spans="1:18">
      <c r="A8" s="2032" t="str">
        <f>LOGO!B15</f>
        <v xml:space="preserve">TYPE OF FILING:  "X" ORIGINAL   UPDATED    REVISED  </v>
      </c>
      <c r="B8" s="1042"/>
      <c r="C8" s="1042"/>
      <c r="D8" s="1042"/>
      <c r="E8" s="1042"/>
      <c r="F8" s="1042"/>
      <c r="G8" s="1042"/>
      <c r="H8" s="1042"/>
      <c r="I8" s="1042"/>
      <c r="J8" s="1042"/>
      <c r="K8" s="1042"/>
      <c r="L8" s="1042"/>
      <c r="M8" s="1042"/>
      <c r="N8" s="1042"/>
      <c r="O8" s="1996" t="s">
        <v>472</v>
      </c>
      <c r="P8" s="1042"/>
      <c r="Q8" s="1042"/>
      <c r="R8" s="1032"/>
    </row>
    <row r="9" spans="1:18">
      <c r="A9" s="1996" t="s">
        <v>1879</v>
      </c>
      <c r="B9" s="1042"/>
      <c r="C9" s="1042"/>
      <c r="D9" s="1042"/>
      <c r="E9" s="1042"/>
      <c r="F9" s="1042"/>
      <c r="G9" s="1042"/>
      <c r="H9" s="1042"/>
      <c r="I9" s="1042"/>
      <c r="J9" s="1042"/>
      <c r="K9" s="1042"/>
      <c r="L9" s="1042"/>
      <c r="M9" s="1042"/>
      <c r="N9" s="1042"/>
      <c r="O9" s="1996" t="s">
        <v>708</v>
      </c>
      <c r="P9" s="1042"/>
      <c r="Q9" s="1042"/>
      <c r="R9" s="1032"/>
    </row>
    <row r="10" spans="1:18">
      <c r="A10" s="1042"/>
      <c r="B10" s="1042"/>
      <c r="C10" s="1042"/>
      <c r="D10" s="1042"/>
      <c r="E10" s="1042"/>
      <c r="F10" s="1042"/>
      <c r="G10" s="1042"/>
      <c r="H10" s="1042"/>
      <c r="I10" s="1042"/>
      <c r="J10" s="1042"/>
      <c r="K10" s="1042"/>
      <c r="L10" s="1042"/>
      <c r="M10" s="1042"/>
      <c r="N10" s="1042"/>
      <c r="O10" s="2033" t="str">
        <f>"     "&amp;_WIT1</f>
        <v xml:space="preserve">     S. E. LAWLER</v>
      </c>
      <c r="P10" s="1042"/>
      <c r="Q10" s="1042"/>
      <c r="R10" s="1032"/>
    </row>
    <row r="11" spans="1:18">
      <c r="A11" s="2034"/>
      <c r="B11" s="2034"/>
      <c r="C11" s="2034"/>
      <c r="D11" s="2034"/>
      <c r="E11" s="2034"/>
      <c r="F11" s="2034"/>
      <c r="G11" s="2034"/>
      <c r="H11" s="2034"/>
      <c r="I11" s="2034"/>
      <c r="J11" s="2034"/>
      <c r="K11" s="2034"/>
      <c r="L11" s="2034"/>
      <c r="M11" s="2034"/>
      <c r="N11" s="2034"/>
      <c r="O11" s="2034"/>
      <c r="P11" s="2034"/>
      <c r="Q11" s="2034"/>
      <c r="R11" s="1032"/>
    </row>
    <row r="12" spans="1:18">
      <c r="A12" s="2035"/>
      <c r="B12" s="2035"/>
      <c r="C12" s="2035"/>
      <c r="D12" s="2035"/>
      <c r="E12" s="2035"/>
      <c r="F12" s="2035"/>
      <c r="G12" s="2036" t="s">
        <v>1981</v>
      </c>
      <c r="H12" s="2036"/>
      <c r="I12" s="2037"/>
      <c r="J12" s="2037"/>
      <c r="K12" s="2037"/>
      <c r="L12" s="2035"/>
      <c r="M12" s="2036" t="s">
        <v>624</v>
      </c>
      <c r="N12" s="2036"/>
      <c r="O12" s="2037"/>
      <c r="P12" s="2037"/>
      <c r="Q12" s="2037"/>
      <c r="R12" s="1032"/>
    </row>
    <row r="13" spans="1:18">
      <c r="A13" s="2038" t="s">
        <v>1961</v>
      </c>
      <c r="B13" s="1042"/>
      <c r="C13" s="2038" t="s">
        <v>1080</v>
      </c>
      <c r="D13" s="2038"/>
      <c r="E13" s="2038" t="s">
        <v>473</v>
      </c>
      <c r="F13" s="2030"/>
      <c r="G13" s="2039" t="s">
        <v>1035</v>
      </c>
      <c r="H13" s="2038"/>
      <c r="I13" s="2803" t="s">
        <v>1461</v>
      </c>
      <c r="J13" s="2803"/>
      <c r="K13" s="2803"/>
      <c r="L13" s="2030"/>
      <c r="M13" s="2039" t="s">
        <v>1035</v>
      </c>
      <c r="N13" s="2038"/>
      <c r="O13" s="2803" t="s">
        <v>1461</v>
      </c>
      <c r="P13" s="2803"/>
      <c r="Q13" s="2803"/>
      <c r="R13" s="1032"/>
    </row>
    <row r="14" spans="1:18">
      <c r="A14" s="2038" t="s">
        <v>90</v>
      </c>
      <c r="B14" s="1042"/>
      <c r="C14" s="2038" t="s">
        <v>90</v>
      </c>
      <c r="D14" s="2038"/>
      <c r="E14" s="2038" t="s">
        <v>474</v>
      </c>
      <c r="F14" s="2030"/>
      <c r="G14" s="2038" t="s">
        <v>403</v>
      </c>
      <c r="H14" s="2038"/>
      <c r="I14" s="1885" t="s">
        <v>475</v>
      </c>
      <c r="J14" s="1886"/>
      <c r="K14" s="1046" t="s">
        <v>364</v>
      </c>
      <c r="L14" s="2030"/>
      <c r="M14" s="2038" t="s">
        <v>403</v>
      </c>
      <c r="N14" s="2038"/>
      <c r="O14" s="1885" t="s">
        <v>475</v>
      </c>
      <c r="P14" s="1886"/>
      <c r="Q14" s="1046" t="s">
        <v>364</v>
      </c>
      <c r="R14" s="1032"/>
    </row>
    <row r="15" spans="1:18">
      <c r="A15" s="2034"/>
      <c r="B15" s="2034"/>
      <c r="C15" s="2034"/>
      <c r="D15" s="2034"/>
      <c r="E15" s="2040" t="s">
        <v>476</v>
      </c>
      <c r="F15" s="2041"/>
      <c r="G15" s="2034"/>
      <c r="H15" s="2034"/>
      <c r="I15" s="1888"/>
      <c r="J15" s="1887"/>
      <c r="K15" s="1887"/>
      <c r="L15" s="2041"/>
      <c r="M15" s="2034"/>
      <c r="N15" s="2034"/>
      <c r="O15" s="1888"/>
      <c r="P15" s="1887"/>
      <c r="Q15" s="1887"/>
      <c r="R15" s="1032"/>
    </row>
    <row r="16" spans="1:18">
      <c r="A16" s="1042"/>
      <c r="B16" s="1042"/>
      <c r="C16" s="1042"/>
      <c r="D16" s="1042"/>
      <c r="E16" s="1042"/>
      <c r="F16" s="1042"/>
      <c r="G16" s="2038" t="s">
        <v>1150</v>
      </c>
      <c r="H16" s="2038"/>
      <c r="I16" s="2038" t="s">
        <v>363</v>
      </c>
      <c r="J16" s="2030"/>
      <c r="K16" s="2038" t="s">
        <v>1150</v>
      </c>
      <c r="L16" s="1042"/>
      <c r="M16" s="2038" t="s">
        <v>1150</v>
      </c>
      <c r="N16" s="2038"/>
      <c r="O16" s="2038" t="s">
        <v>363</v>
      </c>
      <c r="P16" s="2030"/>
      <c r="Q16" s="2038" t="s">
        <v>1150</v>
      </c>
      <c r="R16" s="1032"/>
    </row>
    <row r="17" spans="1:18">
      <c r="B17" s="1042"/>
      <c r="C17" s="2042"/>
      <c r="D17" s="1042"/>
      <c r="E17" s="1042"/>
      <c r="F17" s="1042"/>
      <c r="G17" s="2038"/>
      <c r="H17" s="2038"/>
      <c r="I17" s="2038"/>
      <c r="J17" s="2030"/>
      <c r="K17" s="2038"/>
      <c r="L17" s="1042"/>
      <c r="M17" s="2038"/>
      <c r="N17" s="2038"/>
      <c r="O17" s="2038"/>
      <c r="P17" s="2030"/>
      <c r="Q17" s="2038"/>
      <c r="R17" s="1032"/>
    </row>
    <row r="18" spans="1:18">
      <c r="A18" s="1041">
        <v>1</v>
      </c>
      <c r="B18" s="1042"/>
      <c r="C18" s="1041">
        <v>500000</v>
      </c>
      <c r="D18" s="1042"/>
      <c r="E18" s="1042" t="s">
        <v>547</v>
      </c>
      <c r="F18" s="1042"/>
      <c r="G18" s="2043">
        <v>0</v>
      </c>
      <c r="H18" s="1042"/>
      <c r="I18" s="1030">
        <f t="shared" ref="I18:I34" si="0">VLOOKUP($E$39,ALLOCTABLE,2)</f>
        <v>100</v>
      </c>
      <c r="J18" s="1042"/>
      <c r="K18" s="1893">
        <f t="shared" ref="K18:K22" si="1">ROUND(G18*(I18/100),2)</f>
        <v>0</v>
      </c>
      <c r="L18" s="2044"/>
      <c r="M18" s="2043">
        <v>1577</v>
      </c>
      <c r="N18" s="1042"/>
      <c r="O18" s="1030">
        <f t="shared" ref="O18:O34" si="2">VLOOKUP($E$39,ALLOCTABLE,2)</f>
        <v>100</v>
      </c>
      <c r="P18" s="1042"/>
      <c r="Q18" s="1893">
        <f t="shared" ref="Q18:Q22" si="3">ROUND(M18*(O18/100),2)</f>
        <v>1577</v>
      </c>
      <c r="R18" s="1526"/>
    </row>
    <row r="19" spans="1:18">
      <c r="A19" s="1041">
        <v>2</v>
      </c>
      <c r="B19" s="1042"/>
      <c r="C19" s="1041">
        <v>501150</v>
      </c>
      <c r="D19" s="1042"/>
      <c r="E19" s="1042" t="s">
        <v>547</v>
      </c>
      <c r="F19" s="1042"/>
      <c r="G19" s="2043">
        <v>0</v>
      </c>
      <c r="H19" s="1042"/>
      <c r="I19" s="1030">
        <f t="shared" si="0"/>
        <v>100</v>
      </c>
      <c r="J19" s="1042"/>
      <c r="K19" s="1893">
        <f t="shared" si="1"/>
        <v>0</v>
      </c>
      <c r="L19" s="2044"/>
      <c r="M19" s="2043">
        <v>72</v>
      </c>
      <c r="N19" s="1042"/>
      <c r="O19" s="1030">
        <f t="shared" si="2"/>
        <v>100</v>
      </c>
      <c r="P19" s="1042"/>
      <c r="Q19" s="1893">
        <f t="shared" si="3"/>
        <v>72</v>
      </c>
      <c r="R19" s="1526"/>
    </row>
    <row r="20" spans="1:18">
      <c r="A20" s="1041">
        <v>3</v>
      </c>
      <c r="B20" s="1042"/>
      <c r="C20" s="1041">
        <v>506000</v>
      </c>
      <c r="D20" s="1042"/>
      <c r="E20" s="1042" t="s">
        <v>547</v>
      </c>
      <c r="F20" s="1042"/>
      <c r="G20" s="2043">
        <v>0</v>
      </c>
      <c r="H20" s="1042"/>
      <c r="I20" s="1030">
        <f t="shared" si="0"/>
        <v>100</v>
      </c>
      <c r="J20" s="1042"/>
      <c r="K20" s="1893">
        <f t="shared" si="1"/>
        <v>0</v>
      </c>
      <c r="L20" s="2044"/>
      <c r="M20" s="2043">
        <v>128</v>
      </c>
      <c r="N20" s="1042"/>
      <c r="O20" s="1030">
        <f t="shared" si="2"/>
        <v>100</v>
      </c>
      <c r="P20" s="1042"/>
      <c r="Q20" s="1893">
        <f t="shared" si="3"/>
        <v>128</v>
      </c>
      <c r="R20" s="1526"/>
    </row>
    <row r="21" spans="1:18">
      <c r="A21" s="1041">
        <v>4</v>
      </c>
      <c r="B21" s="1042"/>
      <c r="C21" s="1041">
        <v>557000</v>
      </c>
      <c r="D21" s="1042"/>
      <c r="E21" s="1042" t="s">
        <v>547</v>
      </c>
      <c r="F21" s="1042"/>
      <c r="G21" s="2043">
        <v>0</v>
      </c>
      <c r="H21" s="1042"/>
      <c r="I21" s="1030">
        <f t="shared" si="0"/>
        <v>100</v>
      </c>
      <c r="J21" s="1042"/>
      <c r="K21" s="1893">
        <f t="shared" si="1"/>
        <v>0</v>
      </c>
      <c r="L21" s="2044"/>
      <c r="M21" s="2043">
        <v>815</v>
      </c>
      <c r="N21" s="1042"/>
      <c r="O21" s="1030">
        <f t="shared" si="2"/>
        <v>100</v>
      </c>
      <c r="P21" s="1042"/>
      <c r="Q21" s="1893">
        <f t="shared" si="3"/>
        <v>815</v>
      </c>
      <c r="R21" s="1526"/>
    </row>
    <row r="22" spans="1:18">
      <c r="A22" s="1041">
        <v>5</v>
      </c>
      <c r="B22" s="1042"/>
      <c r="C22" s="1041">
        <v>903100</v>
      </c>
      <c r="D22" s="1042"/>
      <c r="E22" s="1042" t="s">
        <v>547</v>
      </c>
      <c r="F22" s="1042"/>
      <c r="G22" s="2043">
        <v>0</v>
      </c>
      <c r="H22" s="1042"/>
      <c r="I22" s="1030">
        <f t="shared" si="0"/>
        <v>100</v>
      </c>
      <c r="J22" s="1042"/>
      <c r="K22" s="1893">
        <f t="shared" si="1"/>
        <v>0</v>
      </c>
      <c r="L22" s="2044"/>
      <c r="M22" s="2043">
        <v>11</v>
      </c>
      <c r="N22" s="1042"/>
      <c r="O22" s="1030">
        <f t="shared" si="2"/>
        <v>100</v>
      </c>
      <c r="P22" s="1042"/>
      <c r="Q22" s="1893">
        <f t="shared" si="3"/>
        <v>11</v>
      </c>
      <c r="R22" s="1526"/>
    </row>
    <row r="23" spans="1:18">
      <c r="A23" s="1041">
        <v>6</v>
      </c>
      <c r="B23" s="1042"/>
      <c r="C23" s="1041">
        <v>903200</v>
      </c>
      <c r="D23" s="1042"/>
      <c r="E23" s="46" t="s">
        <v>547</v>
      </c>
      <c r="F23" s="1032"/>
      <c r="G23" s="2043">
        <v>0</v>
      </c>
      <c r="H23" s="1042"/>
      <c r="I23" s="1030">
        <f t="shared" si="0"/>
        <v>100</v>
      </c>
      <c r="J23" s="1042"/>
      <c r="K23" s="1893">
        <f t="shared" ref="K23:K34" si="4">ROUND(G23*(I23/100),2)</f>
        <v>0</v>
      </c>
      <c r="L23" s="2044"/>
      <c r="M23" s="2043">
        <v>10</v>
      </c>
      <c r="N23" s="1042"/>
      <c r="O23" s="1030">
        <f t="shared" si="2"/>
        <v>100</v>
      </c>
      <c r="P23" s="1042"/>
      <c r="Q23" s="1893">
        <f t="shared" ref="Q23:Q34" si="5">ROUND(M23*(O23/100),2)</f>
        <v>10</v>
      </c>
      <c r="R23" s="1526"/>
    </row>
    <row r="24" spans="1:18">
      <c r="A24" s="1041">
        <v>7</v>
      </c>
      <c r="B24" s="1042"/>
      <c r="C24" s="1041">
        <v>903300</v>
      </c>
      <c r="D24" s="1042"/>
      <c r="E24" s="46" t="s">
        <v>547</v>
      </c>
      <c r="F24" s="1032"/>
      <c r="G24" s="2043">
        <v>0</v>
      </c>
      <c r="H24" s="1042"/>
      <c r="I24" s="1030">
        <f t="shared" si="0"/>
        <v>100</v>
      </c>
      <c r="J24" s="1042"/>
      <c r="K24" s="1893">
        <f t="shared" si="4"/>
        <v>0</v>
      </c>
      <c r="L24" s="2044"/>
      <c r="M24" s="2043">
        <v>8</v>
      </c>
      <c r="N24" s="1042"/>
      <c r="O24" s="1030">
        <f t="shared" si="2"/>
        <v>100</v>
      </c>
      <c r="P24" s="1042"/>
      <c r="Q24" s="1893">
        <f t="shared" si="5"/>
        <v>8</v>
      </c>
      <c r="R24" s="1526"/>
    </row>
    <row r="25" spans="1:18">
      <c r="A25" s="1041">
        <v>8</v>
      </c>
      <c r="B25" s="1042"/>
      <c r="C25" s="1041">
        <v>910000</v>
      </c>
      <c r="D25" s="1042"/>
      <c r="E25" s="46" t="s">
        <v>547</v>
      </c>
      <c r="F25" s="1032"/>
      <c r="G25" s="2043">
        <v>0</v>
      </c>
      <c r="H25" s="1042"/>
      <c r="I25" s="1030">
        <f t="shared" si="0"/>
        <v>100</v>
      </c>
      <c r="J25" s="1042"/>
      <c r="K25" s="1893">
        <f t="shared" si="4"/>
        <v>0</v>
      </c>
      <c r="L25" s="2044"/>
      <c r="M25" s="2043">
        <v>37</v>
      </c>
      <c r="N25" s="1042"/>
      <c r="O25" s="1030">
        <f t="shared" si="2"/>
        <v>100</v>
      </c>
      <c r="P25" s="1042"/>
      <c r="Q25" s="1893">
        <f t="shared" si="5"/>
        <v>37</v>
      </c>
      <c r="R25" s="1526"/>
    </row>
    <row r="26" spans="1:18">
      <c r="A26" s="1041">
        <v>9</v>
      </c>
      <c r="B26" s="1042"/>
      <c r="C26" s="1041">
        <v>912000</v>
      </c>
      <c r="D26" s="1042"/>
      <c r="E26" s="46" t="s">
        <v>547</v>
      </c>
      <c r="F26" s="1032"/>
      <c r="G26" s="2043">
        <v>0</v>
      </c>
      <c r="H26" s="1042"/>
      <c r="I26" s="1030">
        <f t="shared" si="0"/>
        <v>100</v>
      </c>
      <c r="J26" s="1042"/>
      <c r="K26" s="1893">
        <f t="shared" si="4"/>
        <v>0</v>
      </c>
      <c r="L26" s="2044"/>
      <c r="M26" s="2043">
        <v>3938</v>
      </c>
      <c r="N26" s="1042"/>
      <c r="O26" s="1030">
        <f t="shared" si="2"/>
        <v>100</v>
      </c>
      <c r="P26" s="1042"/>
      <c r="Q26" s="1893">
        <f t="shared" si="5"/>
        <v>3938</v>
      </c>
      <c r="R26" s="1526"/>
    </row>
    <row r="27" spans="1:18">
      <c r="A27" s="1041">
        <v>10</v>
      </c>
      <c r="B27" s="1042"/>
      <c r="C27" s="1041">
        <v>921100</v>
      </c>
      <c r="D27" s="1042"/>
      <c r="E27" s="46" t="s">
        <v>547</v>
      </c>
      <c r="F27" s="1032"/>
      <c r="G27" s="2043">
        <v>0</v>
      </c>
      <c r="H27" s="1042"/>
      <c r="I27" s="1030">
        <f t="shared" si="0"/>
        <v>100</v>
      </c>
      <c r="J27" s="1042"/>
      <c r="K27" s="1893">
        <f t="shared" si="4"/>
        <v>0</v>
      </c>
      <c r="L27" s="2044"/>
      <c r="M27" s="2043">
        <v>9881</v>
      </c>
      <c r="N27" s="1042"/>
      <c r="O27" s="1030">
        <f t="shared" si="2"/>
        <v>100</v>
      </c>
      <c r="P27" s="1042"/>
      <c r="Q27" s="1893">
        <f t="shared" si="5"/>
        <v>9881</v>
      </c>
      <c r="R27" s="1526"/>
    </row>
    <row r="28" spans="1:18">
      <c r="A28" s="1041">
        <v>11</v>
      </c>
      <c r="B28" s="1042"/>
      <c r="C28" s="1041">
        <v>930230</v>
      </c>
      <c r="D28" s="1042"/>
      <c r="E28" s="1042" t="s">
        <v>547</v>
      </c>
      <c r="F28" s="1032"/>
      <c r="G28" s="2043">
        <v>0</v>
      </c>
      <c r="H28" s="1042"/>
      <c r="I28" s="1030">
        <f t="shared" si="0"/>
        <v>100</v>
      </c>
      <c r="J28" s="1042"/>
      <c r="K28" s="1893">
        <f t="shared" ref="K28:K33" si="6">ROUND(G28*(I28/100),2)</f>
        <v>0</v>
      </c>
      <c r="L28" s="2044"/>
      <c r="M28" s="2043">
        <v>9974</v>
      </c>
      <c r="N28" s="1042"/>
      <c r="O28" s="1030">
        <f t="shared" si="2"/>
        <v>100</v>
      </c>
      <c r="P28" s="1042"/>
      <c r="Q28" s="1893">
        <f t="shared" ref="Q28:Q33" si="7">ROUND(M28*(O28/100),2)</f>
        <v>9974</v>
      </c>
      <c r="R28" s="1526"/>
    </row>
    <row r="29" spans="1:18">
      <c r="A29" s="1041">
        <v>12</v>
      </c>
      <c r="B29" s="1042"/>
      <c r="C29" s="1041">
        <v>930230</v>
      </c>
      <c r="D29" s="1042"/>
      <c r="E29" s="1042" t="s">
        <v>2574</v>
      </c>
      <c r="F29" s="1032"/>
      <c r="G29" s="2043">
        <v>8775</v>
      </c>
      <c r="H29" s="1042"/>
      <c r="I29" s="1030">
        <f t="shared" si="0"/>
        <v>100</v>
      </c>
      <c r="J29" s="1042"/>
      <c r="K29" s="1893">
        <f t="shared" si="6"/>
        <v>8775</v>
      </c>
      <c r="L29" s="2044"/>
      <c r="M29" s="2043">
        <v>0</v>
      </c>
      <c r="N29" s="1042"/>
      <c r="O29" s="1030">
        <f t="shared" si="2"/>
        <v>100</v>
      </c>
      <c r="P29" s="1042"/>
      <c r="Q29" s="1893">
        <f t="shared" si="7"/>
        <v>0</v>
      </c>
      <c r="R29" s="1526"/>
    </row>
    <row r="30" spans="1:18">
      <c r="A30" s="1041">
        <v>13</v>
      </c>
      <c r="B30" s="1042"/>
      <c r="C30" s="1041">
        <v>930230</v>
      </c>
      <c r="D30" s="1042"/>
      <c r="E30" s="1042" t="s">
        <v>2932</v>
      </c>
      <c r="F30" s="1032"/>
      <c r="G30" s="2043">
        <v>885</v>
      </c>
      <c r="H30" s="1042"/>
      <c r="I30" s="1030">
        <f t="shared" si="0"/>
        <v>100</v>
      </c>
      <c r="J30" s="1042"/>
      <c r="K30" s="1893">
        <f t="shared" si="6"/>
        <v>885</v>
      </c>
      <c r="L30" s="2044"/>
      <c r="M30" s="2043">
        <v>0</v>
      </c>
      <c r="N30" s="1042"/>
      <c r="O30" s="1030">
        <f t="shared" si="2"/>
        <v>100</v>
      </c>
      <c r="P30" s="1042"/>
      <c r="Q30" s="1893">
        <f t="shared" si="7"/>
        <v>0</v>
      </c>
      <c r="R30" s="1526"/>
    </row>
    <row r="31" spans="1:18">
      <c r="A31" s="1041">
        <v>14</v>
      </c>
      <c r="B31" s="1042"/>
      <c r="C31" s="1041">
        <v>930230</v>
      </c>
      <c r="D31" s="1042"/>
      <c r="E31" s="1042" t="s">
        <v>2978</v>
      </c>
      <c r="F31" s="1032"/>
      <c r="G31" s="2043">
        <v>1413</v>
      </c>
      <c r="H31" s="1042"/>
      <c r="I31" s="1030">
        <f t="shared" si="0"/>
        <v>100</v>
      </c>
      <c r="J31" s="1042"/>
      <c r="K31" s="1893">
        <f t="shared" si="6"/>
        <v>1413</v>
      </c>
      <c r="L31" s="2044"/>
      <c r="M31" s="2043">
        <v>0</v>
      </c>
      <c r="N31" s="1042"/>
      <c r="O31" s="1030">
        <f t="shared" si="2"/>
        <v>100</v>
      </c>
      <c r="P31" s="1042"/>
      <c r="Q31" s="1893">
        <f t="shared" si="7"/>
        <v>0</v>
      </c>
      <c r="R31" s="1526"/>
    </row>
    <row r="32" spans="1:18">
      <c r="A32" s="1041">
        <v>15</v>
      </c>
      <c r="B32" s="1042"/>
      <c r="C32" s="1041">
        <v>930230</v>
      </c>
      <c r="D32" s="1042"/>
      <c r="E32" s="1042" t="s">
        <v>1642</v>
      </c>
      <c r="F32" s="1032"/>
      <c r="G32" s="2043">
        <v>2998</v>
      </c>
      <c r="H32" s="1042"/>
      <c r="I32" s="1030">
        <f t="shared" si="0"/>
        <v>100</v>
      </c>
      <c r="J32" s="1042"/>
      <c r="K32" s="1893">
        <f t="shared" si="6"/>
        <v>2998</v>
      </c>
      <c r="L32" s="2044"/>
      <c r="M32" s="2043">
        <v>0</v>
      </c>
      <c r="N32" s="1042"/>
      <c r="O32" s="1030">
        <f t="shared" si="2"/>
        <v>100</v>
      </c>
      <c r="P32" s="1042"/>
      <c r="Q32" s="1893">
        <f t="shared" si="7"/>
        <v>0</v>
      </c>
      <c r="R32" s="1526"/>
    </row>
    <row r="33" spans="1:18">
      <c r="A33" s="1041">
        <v>16</v>
      </c>
      <c r="B33" s="1042"/>
      <c r="C33" s="1041">
        <v>426400</v>
      </c>
      <c r="D33" s="1042"/>
      <c r="E33" s="1042" t="s">
        <v>547</v>
      </c>
      <c r="F33" s="1042"/>
      <c r="G33" s="2043">
        <v>0</v>
      </c>
      <c r="H33" s="1042"/>
      <c r="I33" s="1030">
        <f t="shared" si="0"/>
        <v>100</v>
      </c>
      <c r="J33" s="1042"/>
      <c r="K33" s="1893">
        <f t="shared" si="6"/>
        <v>0</v>
      </c>
      <c r="L33" s="2044"/>
      <c r="M33" s="2043">
        <v>57714</v>
      </c>
      <c r="N33" s="1042"/>
      <c r="O33" s="1030">
        <f t="shared" si="2"/>
        <v>100</v>
      </c>
      <c r="P33" s="1042"/>
      <c r="Q33" s="1893">
        <f t="shared" si="7"/>
        <v>57714</v>
      </c>
      <c r="R33" s="1526"/>
    </row>
    <row r="34" spans="1:18">
      <c r="A34" s="1041">
        <v>17</v>
      </c>
      <c r="B34" s="1042"/>
      <c r="C34" s="1041">
        <v>426540</v>
      </c>
      <c r="D34" s="1042"/>
      <c r="E34" s="1042" t="s">
        <v>1642</v>
      </c>
      <c r="F34" s="1032"/>
      <c r="G34" s="2043">
        <v>18</v>
      </c>
      <c r="H34" s="1042"/>
      <c r="I34" s="1030">
        <f t="shared" si="0"/>
        <v>100</v>
      </c>
      <c r="J34" s="1042"/>
      <c r="K34" s="1893">
        <f t="shared" si="4"/>
        <v>18</v>
      </c>
      <c r="L34" s="2044"/>
      <c r="M34" s="2043">
        <v>0</v>
      </c>
      <c r="N34" s="1042"/>
      <c r="O34" s="1030">
        <f t="shared" si="2"/>
        <v>100</v>
      </c>
      <c r="P34" s="1042"/>
      <c r="Q34" s="1893">
        <f t="shared" si="5"/>
        <v>0</v>
      </c>
      <c r="R34" s="1032"/>
    </row>
    <row r="35" spans="1:18">
      <c r="A35" s="1041">
        <v>18</v>
      </c>
      <c r="B35" s="1042"/>
      <c r="C35" s="1042"/>
      <c r="D35" s="1042"/>
      <c r="E35" s="2045" t="s">
        <v>381</v>
      </c>
      <c r="F35" s="1032"/>
      <c r="G35" s="2046">
        <f>SUM(G18:G34)</f>
        <v>14089</v>
      </c>
      <c r="H35" s="1042"/>
      <c r="I35" s="1042"/>
      <c r="J35" s="1042"/>
      <c r="K35" s="2046">
        <f>SUM(K18:K34)</f>
        <v>14089</v>
      </c>
      <c r="L35" s="2044"/>
      <c r="M35" s="2046">
        <f>SUM(M18:M34)</f>
        <v>84165</v>
      </c>
      <c r="N35" s="1042"/>
      <c r="O35" s="1042"/>
      <c r="P35" s="1042"/>
      <c r="Q35" s="2046">
        <f>SUM(Q18:Q34)</f>
        <v>84165</v>
      </c>
      <c r="R35" s="1032"/>
    </row>
    <row r="36" spans="1:18">
      <c r="A36" s="1042"/>
      <c r="B36" s="1042"/>
      <c r="C36" s="1042"/>
      <c r="D36" s="1042"/>
      <c r="E36" s="1032"/>
      <c r="F36" s="1032"/>
      <c r="G36" s="2018"/>
      <c r="H36" s="1042"/>
      <c r="I36" s="1042"/>
      <c r="J36" s="1042"/>
      <c r="K36" s="1042"/>
      <c r="L36" s="1042"/>
      <c r="M36" s="1042"/>
      <c r="N36" s="1042"/>
      <c r="O36" s="1042"/>
      <c r="P36" s="1042"/>
      <c r="Q36" s="1042"/>
      <c r="R36" s="1032"/>
    </row>
    <row r="37" spans="1:18">
      <c r="A37" s="1042"/>
      <c r="F37" s="1032"/>
      <c r="G37" s="1032"/>
      <c r="H37" s="1042"/>
      <c r="I37" s="1042"/>
      <c r="J37" s="1042"/>
      <c r="K37" s="1042"/>
      <c r="L37" s="1042"/>
      <c r="M37" s="1042"/>
      <c r="N37" s="1042"/>
      <c r="O37" s="1042"/>
      <c r="P37" s="1042"/>
      <c r="Q37" s="1042"/>
      <c r="R37" s="1032"/>
    </row>
    <row r="38" spans="1:18">
      <c r="A38" s="1042"/>
      <c r="F38" s="1032"/>
      <c r="G38" s="1032"/>
      <c r="H38" s="1042"/>
      <c r="I38" s="1042"/>
      <c r="J38" s="1042"/>
      <c r="K38" s="1042"/>
      <c r="L38" s="1042"/>
      <c r="M38" s="1042"/>
      <c r="N38" s="1042"/>
      <c r="O38" s="1042"/>
      <c r="P38" s="1042"/>
      <c r="Q38" s="1042"/>
      <c r="R38" s="1032"/>
    </row>
    <row r="39" spans="1:18">
      <c r="A39" s="1042"/>
      <c r="B39" s="1042" t="s">
        <v>880</v>
      </c>
      <c r="C39" s="1042"/>
      <c r="D39" s="1042"/>
      <c r="E39" s="1898" t="s">
        <v>593</v>
      </c>
      <c r="F39" s="1032"/>
      <c r="G39" s="1032"/>
      <c r="H39" s="1042"/>
      <c r="I39" s="1042"/>
      <c r="J39" s="1042"/>
      <c r="K39" s="1042"/>
      <c r="L39" s="1042"/>
      <c r="M39" s="1042"/>
      <c r="N39" s="1042"/>
      <c r="O39" s="1042"/>
      <c r="P39" s="1042"/>
      <c r="Q39" s="1042"/>
      <c r="R39" s="1032"/>
    </row>
    <row r="40" spans="1:18">
      <c r="A40" s="1042"/>
      <c r="B40" s="1877" t="s">
        <v>116</v>
      </c>
      <c r="C40" s="1042"/>
      <c r="D40" s="1042"/>
      <c r="E40" s="1032"/>
      <c r="F40" s="1032"/>
      <c r="G40" s="1032"/>
      <c r="H40" s="1042"/>
      <c r="I40" s="1042"/>
      <c r="J40" s="1042"/>
      <c r="K40" s="1042"/>
      <c r="L40" s="1042"/>
      <c r="M40" s="1042"/>
      <c r="N40" s="1042"/>
      <c r="O40" s="1042"/>
      <c r="P40" s="1042"/>
      <c r="Q40" s="1042"/>
      <c r="R40" s="1032"/>
    </row>
    <row r="41" spans="1:18">
      <c r="A41" s="1042"/>
      <c r="B41" s="1042"/>
      <c r="C41" s="1042"/>
      <c r="D41" s="1042"/>
      <c r="E41" s="1032"/>
      <c r="F41" s="1032"/>
      <c r="G41" s="1032"/>
      <c r="H41" s="1042"/>
      <c r="I41" s="1042"/>
      <c r="J41" s="1042"/>
      <c r="K41" s="1042"/>
      <c r="L41" s="1042"/>
      <c r="M41" s="1042"/>
      <c r="N41" s="1042"/>
      <c r="O41" s="1042"/>
      <c r="P41" s="1042"/>
      <c r="Q41" s="1042"/>
      <c r="R41" s="1032"/>
    </row>
    <row r="42" spans="1:18">
      <c r="A42" s="1042"/>
      <c r="B42" s="1042"/>
      <c r="C42" s="1042"/>
      <c r="D42" s="1042"/>
      <c r="E42" s="1032"/>
      <c r="F42" s="1032"/>
      <c r="G42" s="1032"/>
      <c r="H42" s="1042"/>
      <c r="I42" s="1042"/>
      <c r="J42" s="1042"/>
      <c r="K42" s="1042"/>
      <c r="L42" s="1042"/>
      <c r="M42" s="1042"/>
      <c r="N42" s="1042"/>
      <c r="O42" s="1042"/>
      <c r="P42" s="1042"/>
      <c r="Q42" s="1042"/>
      <c r="R42" s="1032"/>
    </row>
    <row r="43" spans="1:18">
      <c r="A43" s="1042"/>
      <c r="B43" s="1042"/>
      <c r="C43" s="1042"/>
      <c r="D43" s="1042"/>
      <c r="E43" s="1032"/>
      <c r="F43" s="1032"/>
      <c r="G43" s="1032"/>
      <c r="H43" s="1042"/>
      <c r="I43" s="1042"/>
      <c r="J43" s="1042"/>
      <c r="K43" s="1042"/>
      <c r="L43" s="1042"/>
      <c r="M43" s="1042"/>
      <c r="N43" s="1042"/>
      <c r="O43" s="1042"/>
      <c r="P43" s="1042"/>
      <c r="Q43" s="1042"/>
      <c r="R43" s="1032"/>
    </row>
    <row r="44" spans="1:18">
      <c r="A44" s="2047"/>
      <c r="B44" s="2047"/>
      <c r="C44" s="2047"/>
      <c r="D44" s="2047"/>
      <c r="E44" s="2047"/>
      <c r="F44" s="2048"/>
      <c r="G44" s="2048"/>
      <c r="H44" s="1042"/>
      <c r="I44" s="1042"/>
      <c r="J44" s="1042"/>
      <c r="K44" s="1042"/>
      <c r="L44" s="1042"/>
      <c r="M44" s="1042"/>
      <c r="N44" s="1042"/>
      <c r="O44" s="1042"/>
      <c r="P44" s="1042"/>
      <c r="Q44" s="1042"/>
      <c r="R44" s="1032"/>
    </row>
    <row r="45" spans="1:18">
      <c r="A45" s="2049"/>
      <c r="B45" s="2049"/>
      <c r="C45" s="2049"/>
      <c r="D45" s="2049"/>
      <c r="E45" s="2048"/>
      <c r="F45" s="2048"/>
      <c r="G45" s="2048"/>
      <c r="H45" s="1042"/>
      <c r="I45" s="1042"/>
      <c r="J45" s="1042"/>
      <c r="K45" s="1042"/>
      <c r="L45" s="1042"/>
      <c r="M45" s="1042"/>
      <c r="N45" s="1042"/>
      <c r="O45" s="1042"/>
      <c r="P45" s="1042"/>
      <c r="Q45" s="1042"/>
      <c r="R45" s="1032"/>
    </row>
    <row r="46" spans="1:18">
      <c r="A46" s="2049"/>
      <c r="B46" s="2049"/>
      <c r="C46" s="2049"/>
      <c r="D46" s="2049"/>
      <c r="E46" s="2048"/>
      <c r="F46" s="2048"/>
      <c r="G46" s="2048"/>
      <c r="H46" s="1042"/>
      <c r="I46" s="1042"/>
      <c r="J46" s="1042"/>
      <c r="K46" s="1042"/>
      <c r="L46" s="1042"/>
      <c r="M46" s="1042"/>
      <c r="N46" s="1042"/>
      <c r="O46" s="1042"/>
      <c r="P46" s="1042"/>
      <c r="Q46" s="1042"/>
      <c r="R46" s="1032"/>
    </row>
    <row r="47" spans="1:18">
      <c r="A47" s="1042"/>
      <c r="B47" s="1042"/>
      <c r="C47" s="1042"/>
      <c r="D47" s="1042"/>
      <c r="E47" s="1032"/>
      <c r="F47" s="1032"/>
      <c r="G47" s="1032"/>
      <c r="H47" s="1042"/>
      <c r="I47" s="1042"/>
      <c r="J47" s="1042"/>
      <c r="K47" s="1042"/>
      <c r="L47" s="1042"/>
      <c r="M47" s="1042"/>
      <c r="N47" s="1042"/>
      <c r="O47" s="1042"/>
      <c r="P47" s="1042"/>
      <c r="Q47" s="1042"/>
      <c r="R47" s="1032"/>
    </row>
    <row r="48" spans="1:18">
      <c r="A48" s="1042"/>
      <c r="B48" s="1042"/>
      <c r="C48" s="1042"/>
      <c r="D48" s="1042"/>
      <c r="E48" s="1032"/>
      <c r="F48" s="1032"/>
      <c r="G48" s="1032"/>
      <c r="H48" s="1042"/>
      <c r="I48" s="1042"/>
      <c r="J48" s="1042"/>
      <c r="K48" s="1042"/>
      <c r="L48" s="1042"/>
      <c r="M48" s="1042"/>
      <c r="N48" s="1042"/>
      <c r="O48" s="1042"/>
      <c r="P48" s="1042"/>
      <c r="Q48" s="1042"/>
      <c r="R48" s="1032"/>
    </row>
    <row r="49" spans="1:18">
      <c r="A49" s="1042"/>
      <c r="B49" s="1042"/>
      <c r="C49" s="1042"/>
      <c r="D49" s="1042"/>
      <c r="E49" s="1032"/>
      <c r="F49" s="1032"/>
      <c r="G49" s="1032"/>
      <c r="H49" s="1042"/>
      <c r="I49" s="1042"/>
      <c r="J49" s="1042"/>
      <c r="K49" s="1042"/>
      <c r="L49" s="1042"/>
      <c r="M49" s="1042"/>
      <c r="N49" s="1042"/>
      <c r="O49" s="1042"/>
      <c r="P49" s="1042"/>
      <c r="Q49" s="1042"/>
      <c r="R49" s="1032"/>
    </row>
    <row r="50" spans="1:18">
      <c r="A50" s="1041"/>
      <c r="B50" s="1042"/>
      <c r="C50" s="1041"/>
      <c r="D50" s="1042"/>
      <c r="E50" s="46"/>
      <c r="F50" s="1032"/>
      <c r="G50" s="1037"/>
      <c r="H50" s="1042"/>
      <c r="I50" s="1030"/>
      <c r="J50" s="1042"/>
      <c r="K50" s="1037"/>
      <c r="L50" s="1042"/>
      <c r="M50" s="1042"/>
      <c r="N50" s="1042"/>
      <c r="O50" s="1042"/>
      <c r="P50" s="1042"/>
      <c r="Q50" s="1042"/>
      <c r="R50" s="1032"/>
    </row>
    <row r="51" spans="1:18">
      <c r="A51" s="1041"/>
      <c r="B51" s="1042"/>
      <c r="C51" s="1041"/>
      <c r="D51" s="1042"/>
      <c r="E51" s="46"/>
      <c r="F51" s="1032"/>
      <c r="G51" s="1037"/>
      <c r="H51" s="1042"/>
      <c r="I51" s="1030"/>
      <c r="J51" s="1042"/>
      <c r="K51" s="1037"/>
      <c r="L51" s="1042"/>
      <c r="M51" s="1042"/>
      <c r="N51" s="1042"/>
      <c r="O51" s="1042"/>
      <c r="P51" s="1042"/>
      <c r="Q51" s="1042"/>
      <c r="R51" s="1032"/>
    </row>
    <row r="52" spans="1:18">
      <c r="A52" s="1041"/>
      <c r="B52" s="1042"/>
      <c r="C52" s="1041"/>
      <c r="D52" s="1042"/>
      <c r="E52" s="46"/>
      <c r="F52" s="1032"/>
      <c r="G52" s="1037"/>
      <c r="H52" s="1042"/>
      <c r="I52" s="1030"/>
      <c r="J52" s="1042"/>
      <c r="K52" s="1037"/>
      <c r="L52" s="1042"/>
      <c r="M52" s="1042"/>
      <c r="N52" s="1042"/>
      <c r="O52" s="1042"/>
      <c r="P52" s="1042"/>
      <c r="Q52" s="1042"/>
      <c r="R52" s="1032"/>
    </row>
    <row r="53" spans="1:18">
      <c r="A53" s="1041"/>
      <c r="B53" s="1042"/>
      <c r="C53" s="1041"/>
      <c r="D53" s="1042"/>
      <c r="E53" s="46"/>
      <c r="F53" s="1032"/>
      <c r="G53" s="1037"/>
      <c r="H53" s="1042"/>
      <c r="I53" s="1030"/>
      <c r="J53" s="1042"/>
      <c r="K53" s="1037"/>
      <c r="L53" s="1042"/>
      <c r="M53" s="1042"/>
      <c r="N53" s="1042"/>
      <c r="O53" s="1042"/>
      <c r="P53" s="1042"/>
      <c r="Q53" s="1042"/>
      <c r="R53" s="1032"/>
    </row>
    <row r="54" spans="1:18">
      <c r="A54" s="1041"/>
      <c r="B54" s="1042"/>
      <c r="C54" s="1041"/>
      <c r="D54" s="1042"/>
      <c r="E54" s="46"/>
      <c r="F54" s="1032"/>
      <c r="G54" s="1037"/>
      <c r="H54" s="1042"/>
      <c r="I54" s="1030"/>
      <c r="J54" s="1042"/>
      <c r="K54" s="1037"/>
      <c r="L54" s="1042"/>
      <c r="M54" s="1042"/>
      <c r="N54" s="1042"/>
      <c r="O54" s="1042"/>
      <c r="P54" s="1042"/>
      <c r="Q54" s="1042"/>
      <c r="R54" s="1032"/>
    </row>
    <row r="55" spans="1:18">
      <c r="A55" s="1041"/>
      <c r="B55" s="1042"/>
      <c r="C55" s="1041"/>
      <c r="D55" s="1042"/>
      <c r="E55" s="46"/>
      <c r="F55" s="1032"/>
      <c r="G55" s="1037"/>
      <c r="H55" s="1042"/>
      <c r="I55" s="1030"/>
      <c r="J55" s="1042"/>
      <c r="K55" s="1037"/>
      <c r="L55" s="1042"/>
      <c r="M55" s="1042"/>
      <c r="N55" s="1042"/>
      <c r="O55" s="1042"/>
      <c r="P55" s="1042"/>
      <c r="Q55" s="1042"/>
      <c r="R55" s="1032"/>
    </row>
    <row r="56" spans="1:18">
      <c r="A56" s="1041"/>
      <c r="B56" s="1042"/>
      <c r="C56" s="1041"/>
      <c r="D56" s="1042"/>
      <c r="E56" s="46"/>
      <c r="F56" s="1032"/>
      <c r="G56" s="1037"/>
      <c r="H56" s="1042"/>
      <c r="I56" s="1030"/>
      <c r="J56" s="1042"/>
      <c r="K56" s="1037"/>
      <c r="L56" s="1042"/>
      <c r="M56" s="1042"/>
      <c r="N56" s="1042"/>
      <c r="O56" s="1042"/>
      <c r="P56" s="1042"/>
      <c r="Q56" s="1042"/>
      <c r="R56" s="1032"/>
    </row>
    <row r="57" spans="1:18">
      <c r="A57" s="1041"/>
      <c r="B57" s="1042"/>
      <c r="C57" s="1041"/>
      <c r="D57" s="1042"/>
      <c r="E57" s="46"/>
      <c r="F57" s="1032"/>
      <c r="G57" s="1037"/>
      <c r="H57" s="1042"/>
      <c r="I57" s="1030"/>
      <c r="J57" s="1042"/>
      <c r="K57" s="1037"/>
      <c r="L57" s="1042"/>
      <c r="M57" s="1042"/>
      <c r="N57" s="1042"/>
      <c r="O57" s="1042"/>
      <c r="P57" s="1042"/>
      <c r="Q57" s="1042"/>
      <c r="R57" s="1032"/>
    </row>
    <row r="58" spans="1:18">
      <c r="A58" s="1041"/>
      <c r="B58" s="1042"/>
      <c r="C58" s="1041"/>
      <c r="D58" s="1042"/>
      <c r="E58" s="46"/>
      <c r="F58" s="1032"/>
      <c r="G58" s="1037"/>
      <c r="H58" s="1042"/>
      <c r="I58" s="1030"/>
      <c r="J58" s="1042"/>
      <c r="K58" s="1037"/>
      <c r="L58" s="1042"/>
      <c r="M58" s="1042"/>
      <c r="N58" s="1042"/>
      <c r="O58" s="1042"/>
      <c r="P58" s="1042"/>
      <c r="Q58" s="1042"/>
      <c r="R58" s="1032"/>
    </row>
    <row r="59" spans="1:18">
      <c r="A59" s="1041"/>
      <c r="B59" s="1042"/>
      <c r="C59" s="1041"/>
      <c r="D59" s="1042"/>
      <c r="E59" s="46"/>
      <c r="F59" s="1032"/>
      <c r="G59" s="1037"/>
      <c r="H59" s="1042"/>
      <c r="I59" s="1030"/>
      <c r="J59" s="1042"/>
      <c r="K59" s="1037"/>
      <c r="L59" s="1042"/>
      <c r="M59" s="1042"/>
      <c r="N59" s="1042"/>
      <c r="O59" s="1042"/>
      <c r="P59" s="1042"/>
      <c r="Q59" s="1042"/>
      <c r="R59" s="1032"/>
    </row>
    <row r="60" spans="1:18">
      <c r="A60" s="1041"/>
      <c r="B60" s="1042"/>
      <c r="C60" s="1041"/>
      <c r="D60" s="1042"/>
      <c r="E60" s="46"/>
      <c r="F60" s="1032"/>
      <c r="G60" s="1037"/>
      <c r="H60" s="1042"/>
      <c r="I60" s="1030"/>
      <c r="J60" s="1042"/>
      <c r="K60" s="1037"/>
      <c r="L60" s="1042"/>
      <c r="M60" s="1042"/>
      <c r="N60" s="1042"/>
      <c r="O60" s="1042"/>
      <c r="P60" s="1042"/>
      <c r="Q60" s="1042"/>
      <c r="R60" s="1032"/>
    </row>
    <row r="61" spans="1:18">
      <c r="A61" s="1041"/>
      <c r="B61" s="1042"/>
      <c r="C61" s="1041"/>
      <c r="D61" s="1042"/>
      <c r="E61" s="46"/>
      <c r="F61" s="1032"/>
      <c r="G61" s="1037"/>
      <c r="H61" s="1042"/>
      <c r="I61" s="1030"/>
      <c r="J61" s="1042"/>
      <c r="K61" s="1037"/>
      <c r="L61" s="1042"/>
      <c r="M61" s="1042"/>
      <c r="N61" s="1042"/>
      <c r="O61" s="1042"/>
      <c r="P61" s="1042"/>
      <c r="Q61" s="1042"/>
      <c r="R61" s="1032"/>
    </row>
    <row r="62" spans="1:18">
      <c r="A62" s="1041"/>
      <c r="B62" s="1042"/>
      <c r="C62" s="1041"/>
      <c r="D62" s="1042"/>
      <c r="E62" s="46"/>
      <c r="F62" s="1032"/>
      <c r="G62" s="1037"/>
      <c r="H62" s="1042"/>
      <c r="I62" s="1030"/>
      <c r="J62" s="1042"/>
      <c r="K62" s="1037"/>
      <c r="L62" s="1042"/>
      <c r="M62" s="1042"/>
      <c r="N62" s="1042"/>
      <c r="O62" s="1042"/>
      <c r="P62" s="1042"/>
      <c r="Q62" s="1042"/>
      <c r="R62" s="1032"/>
    </row>
    <row r="63" spans="1:18">
      <c r="A63" s="1041"/>
      <c r="B63" s="1042"/>
      <c r="C63" s="1041"/>
      <c r="D63" s="1042"/>
      <c r="E63" s="46"/>
      <c r="F63" s="1032"/>
      <c r="G63" s="1037"/>
      <c r="H63" s="1042"/>
      <c r="I63" s="1030"/>
      <c r="J63" s="1042"/>
      <c r="K63" s="1037"/>
      <c r="L63" s="1042"/>
      <c r="M63" s="1042"/>
      <c r="N63" s="1042"/>
      <c r="O63" s="1042"/>
      <c r="P63" s="1042"/>
      <c r="Q63" s="1042"/>
      <c r="R63" s="1032"/>
    </row>
    <row r="64" spans="1:18">
      <c r="A64" s="1041"/>
      <c r="B64" s="1042"/>
      <c r="C64" s="1041"/>
      <c r="D64" s="1042"/>
      <c r="E64" s="46"/>
      <c r="F64" s="1032"/>
      <c r="G64" s="1037"/>
      <c r="H64" s="1042"/>
      <c r="I64" s="1030"/>
      <c r="J64" s="1042"/>
      <c r="K64" s="1037"/>
      <c r="L64" s="1042"/>
      <c r="M64" s="1042"/>
      <c r="N64" s="1042"/>
      <c r="O64" s="1042"/>
      <c r="P64" s="1042"/>
      <c r="Q64" s="1042"/>
      <c r="R64" s="1032"/>
    </row>
  </sheetData>
  <mergeCells count="2">
    <mergeCell ref="O13:Q13"/>
    <mergeCell ref="I13:K13"/>
  </mergeCells>
  <phoneticPr fontId="19" type="noConversion"/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theme="2" tint="-0.499984740745262"/>
  </sheetPr>
  <dimension ref="A1:R312"/>
  <sheetViews>
    <sheetView tabSelected="1" view="pageLayout" topLeftCell="L295" zoomScaleNormal="80" workbookViewId="0">
      <selection activeCell="G1" sqref="G1"/>
    </sheetView>
  </sheetViews>
  <sheetFormatPr defaultColWidth="15.5703125" defaultRowHeight="12.75"/>
  <cols>
    <col min="1" max="1" width="9.85546875" style="18" customWidth="1"/>
    <col min="2" max="2" width="35.5703125" style="18" customWidth="1"/>
    <col min="3" max="4" width="9.85546875" style="18" customWidth="1"/>
    <col min="5" max="5" width="15.5703125" style="18" customWidth="1"/>
    <col min="6" max="17" width="13" style="18" customWidth="1"/>
    <col min="18" max="23" width="15.5703125" style="18" customWidth="1"/>
    <col min="24" max="16384" width="15.5703125" style="18"/>
  </cols>
  <sheetData>
    <row r="1" spans="1:18">
      <c r="A1" s="14" t="str">
        <f>COMPANY</f>
        <v>DUKE ENERGY KENTUCKY, INC.</v>
      </c>
      <c r="B1" s="14"/>
      <c r="C1" s="15"/>
      <c r="D1" s="15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</row>
    <row r="2" spans="1:18">
      <c r="A2" s="14" t="str">
        <f>CASE</f>
        <v>CASE NO. 2017-00321</v>
      </c>
      <c r="B2" s="14"/>
      <c r="C2" s="15"/>
      <c r="D2" s="15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>
      <c r="A3" s="16" t="s">
        <v>1620</v>
      </c>
      <c r="B3" s="16"/>
      <c r="C3" s="15"/>
      <c r="D3" s="15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8">
      <c r="A4" s="16" t="s">
        <v>624</v>
      </c>
      <c r="B4" s="14"/>
      <c r="C4" s="15"/>
      <c r="D4" s="15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</row>
    <row r="5" spans="1:18">
      <c r="B5" s="14"/>
      <c r="C5" s="15"/>
      <c r="D5" s="15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</row>
    <row r="6" spans="1:18">
      <c r="A6" s="14" t="str">
        <f>DataF</f>
        <v>DATA:  BASE PERIOD  "X" FORECASTED PERIOD</v>
      </c>
      <c r="B6" s="14"/>
      <c r="C6" s="15"/>
      <c r="D6" s="15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</row>
    <row r="7" spans="1:18">
      <c r="A7" s="14" t="str">
        <f>Type</f>
        <v xml:space="preserve">TYPE OF FILING:  "X" ORIGINAL   UPDATED    REVISED  </v>
      </c>
      <c r="B7" s="14"/>
      <c r="C7" s="15"/>
      <c r="D7" s="15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</row>
    <row r="8" spans="1:18">
      <c r="A8" s="14"/>
      <c r="B8" s="14"/>
      <c r="C8" s="15"/>
      <c r="D8" s="15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</row>
    <row r="9" spans="1:18" ht="13.5" thickBot="1">
      <c r="A9" s="15"/>
      <c r="B9" s="15"/>
      <c r="C9" s="15"/>
      <c r="D9" s="15"/>
      <c r="E9" s="17"/>
      <c r="F9" s="2779" t="s">
        <v>1508</v>
      </c>
      <c r="G9" s="2779" t="s">
        <v>1508</v>
      </c>
      <c r="H9" s="2779" t="s">
        <v>1508</v>
      </c>
      <c r="I9" s="2779" t="s">
        <v>1508</v>
      </c>
      <c r="J9" s="2779" t="s">
        <v>1508</v>
      </c>
      <c r="K9" s="2779" t="s">
        <v>1508</v>
      </c>
      <c r="L9" s="2779" t="s">
        <v>1508</v>
      </c>
      <c r="M9" s="2779" t="s">
        <v>1508</v>
      </c>
      <c r="N9" s="2779" t="s">
        <v>1508</v>
      </c>
      <c r="O9" s="2779" t="s">
        <v>1508</v>
      </c>
      <c r="P9" s="2779" t="s">
        <v>1508</v>
      </c>
      <c r="Q9" s="2779" t="s">
        <v>1508</v>
      </c>
      <c r="R9" s="3"/>
    </row>
    <row r="10" spans="1:18" ht="13.5" thickBot="1">
      <c r="A10" s="54" t="s">
        <v>1118</v>
      </c>
      <c r="B10" s="53" t="s">
        <v>1119</v>
      </c>
      <c r="C10" s="54" t="s">
        <v>575</v>
      </c>
      <c r="D10" s="54" t="s">
        <v>943</v>
      </c>
      <c r="E10" s="53" t="s">
        <v>1929</v>
      </c>
      <c r="F10" s="13">
        <f>LOGO!J7</f>
        <v>43220</v>
      </c>
      <c r="G10" s="13">
        <f>LOGO!J8</f>
        <v>43251</v>
      </c>
      <c r="H10" s="13">
        <f>LOGO!J9</f>
        <v>43281</v>
      </c>
      <c r="I10" s="13">
        <f>LOGO!J10</f>
        <v>43312</v>
      </c>
      <c r="J10" s="13">
        <f>LOGO!J11</f>
        <v>43343</v>
      </c>
      <c r="K10" s="13">
        <f>LOGO!J12</f>
        <v>43373</v>
      </c>
      <c r="L10" s="13">
        <f>LOGO!J13</f>
        <v>43404</v>
      </c>
      <c r="M10" s="13">
        <f>LOGO!J14</f>
        <v>43434</v>
      </c>
      <c r="N10" s="13">
        <f>LOGO!J15</f>
        <v>43465</v>
      </c>
      <c r="O10" s="13">
        <f>LOGO!J16</f>
        <v>43496</v>
      </c>
      <c r="P10" s="13">
        <f>LOGO!J17</f>
        <v>43524</v>
      </c>
      <c r="Q10" s="13">
        <f>LOGO!J18</f>
        <v>43555</v>
      </c>
      <c r="R10" s="3"/>
    </row>
    <row r="11" spans="1:18">
      <c r="A11" s="19">
        <f>'BASE PERIOD'!A11</f>
        <v>403002</v>
      </c>
      <c r="B11" s="2770" t="str">
        <f>'BASE PERIOD'!B11</f>
        <v>Depr-Expense</v>
      </c>
      <c r="C11" s="19" t="str">
        <f>'BASE PERIOD'!C11</f>
        <v>DEPR</v>
      </c>
      <c r="D11" s="19">
        <f t="shared" ref="D11:D75" si="0">VALUE(LEFT(A11,3))</f>
        <v>403</v>
      </c>
      <c r="E11" s="1458">
        <f t="shared" ref="E11:E96" si="1">SUM(F11:Q11)</f>
        <v>43420349</v>
      </c>
      <c r="F11" s="1550">
        <v>3460604</v>
      </c>
      <c r="G11" s="1550">
        <v>3499468</v>
      </c>
      <c r="H11" s="1550">
        <v>3503862</v>
      </c>
      <c r="I11" s="1550">
        <v>3540592</v>
      </c>
      <c r="J11" s="1550">
        <v>3537486</v>
      </c>
      <c r="K11" s="1550">
        <v>3542479</v>
      </c>
      <c r="L11" s="1550">
        <v>3561405</v>
      </c>
      <c r="M11" s="1550">
        <v>3565170</v>
      </c>
      <c r="N11" s="1550">
        <v>3649707</v>
      </c>
      <c r="O11" s="1550">
        <v>3865620</v>
      </c>
      <c r="P11" s="1550">
        <v>3867507</v>
      </c>
      <c r="Q11" s="1550">
        <v>3826449</v>
      </c>
      <c r="R11" s="3"/>
    </row>
    <row r="12" spans="1:18">
      <c r="A12" s="19">
        <f>'BASE PERIOD'!A12</f>
        <v>403151</v>
      </c>
      <c r="B12" s="2770" t="str">
        <f>'BASE PERIOD'!B12</f>
        <v>Depreciation Expense - ARO Ash</v>
      </c>
      <c r="C12" s="19" t="str">
        <f>'BASE PERIOD'!C12</f>
        <v>DEPR</v>
      </c>
      <c r="D12" s="19">
        <f t="shared" si="0"/>
        <v>403</v>
      </c>
      <c r="E12" s="1458">
        <f>SUM(F12:Q12)</f>
        <v>0</v>
      </c>
      <c r="F12" s="1550">
        <v>0</v>
      </c>
      <c r="G12" s="1550">
        <v>0</v>
      </c>
      <c r="H12" s="1550">
        <v>0</v>
      </c>
      <c r="I12" s="1550">
        <v>0</v>
      </c>
      <c r="J12" s="1550">
        <v>0</v>
      </c>
      <c r="K12" s="1550">
        <v>0</v>
      </c>
      <c r="L12" s="1550">
        <v>0</v>
      </c>
      <c r="M12" s="1550">
        <v>0</v>
      </c>
      <c r="N12" s="1550">
        <v>0</v>
      </c>
      <c r="O12" s="1550">
        <v>0</v>
      </c>
      <c r="P12" s="1550">
        <v>0</v>
      </c>
      <c r="Q12" s="1550">
        <v>0</v>
      </c>
      <c r="R12" s="3"/>
    </row>
    <row r="13" spans="1:18">
      <c r="A13" s="19">
        <f>'BASE PERIOD'!A13</f>
        <v>404000</v>
      </c>
      <c r="B13" s="2770" t="str">
        <f>'BASE PERIOD'!B13</f>
        <v>Amortization of Deferred Expenses</v>
      </c>
      <c r="C13" s="2783" t="s">
        <v>2616</v>
      </c>
      <c r="D13" s="19">
        <f t="shared" si="0"/>
        <v>404</v>
      </c>
      <c r="E13" s="1458">
        <f>SUM(F13:Q13)</f>
        <v>0</v>
      </c>
      <c r="F13" s="1550">
        <v>0</v>
      </c>
      <c r="G13" s="1550">
        <v>0</v>
      </c>
      <c r="H13" s="1550">
        <v>0</v>
      </c>
      <c r="I13" s="1550">
        <v>0</v>
      </c>
      <c r="J13" s="1550">
        <v>0</v>
      </c>
      <c r="K13" s="1550">
        <v>0</v>
      </c>
      <c r="L13" s="1550">
        <v>0</v>
      </c>
      <c r="M13" s="1550">
        <v>0</v>
      </c>
      <c r="N13" s="1550">
        <v>0</v>
      </c>
      <c r="O13" s="1550">
        <v>0</v>
      </c>
      <c r="P13" s="1550">
        <v>0</v>
      </c>
      <c r="Q13" s="1550">
        <v>0</v>
      </c>
      <c r="R13" s="3"/>
    </row>
    <row r="14" spans="1:18">
      <c r="A14" s="19">
        <f>'BASE PERIOD'!A14</f>
        <v>404200</v>
      </c>
      <c r="B14" s="2770" t="str">
        <f>'BASE PERIOD'!B14</f>
        <v>Amort of Elec Plt - Software</v>
      </c>
      <c r="C14" s="19" t="str">
        <f>'BASE PERIOD'!C14</f>
        <v>DEPR</v>
      </c>
      <c r="D14" s="19">
        <f t="shared" si="0"/>
        <v>404</v>
      </c>
      <c r="E14" s="1458">
        <f t="shared" si="1"/>
        <v>1121913</v>
      </c>
      <c r="F14" s="1550">
        <v>90064</v>
      </c>
      <c r="G14" s="1550">
        <v>90064</v>
      </c>
      <c r="H14" s="1550">
        <v>90064</v>
      </c>
      <c r="I14" s="1550">
        <v>92265</v>
      </c>
      <c r="J14" s="1550">
        <v>92265</v>
      </c>
      <c r="K14" s="1550">
        <v>92265</v>
      </c>
      <c r="L14" s="1550">
        <v>94718</v>
      </c>
      <c r="M14" s="1550">
        <v>94718</v>
      </c>
      <c r="N14" s="1550">
        <v>94718</v>
      </c>
      <c r="O14" s="1550">
        <v>96924</v>
      </c>
      <c r="P14" s="1550">
        <v>96924</v>
      </c>
      <c r="Q14" s="1550">
        <v>96924</v>
      </c>
      <c r="R14" s="3"/>
    </row>
    <row r="15" spans="1:18">
      <c r="A15" s="19">
        <f>'BASE PERIOD'!A15</f>
        <v>407354</v>
      </c>
      <c r="B15" s="2770" t="str">
        <f>'BASE PERIOD'!B15</f>
        <v>DSM Deferral - Electric</v>
      </c>
      <c r="C15" s="19" t="str">
        <f>'BASE PERIOD'!C15</f>
        <v>OTH</v>
      </c>
      <c r="D15" s="19">
        <f t="shared" si="0"/>
        <v>407</v>
      </c>
      <c r="E15" s="1458">
        <f t="shared" si="1"/>
        <v>-82500</v>
      </c>
      <c r="F15" s="1550">
        <v>-11000</v>
      </c>
      <c r="G15" s="1550">
        <v>-11000</v>
      </c>
      <c r="H15" s="1550">
        <v>-11000</v>
      </c>
      <c r="I15" s="1550">
        <v>-11000</v>
      </c>
      <c r="J15" s="1550">
        <v>-11000</v>
      </c>
      <c r="K15" s="1550">
        <v>-11000</v>
      </c>
      <c r="L15" s="1550">
        <v>-11000</v>
      </c>
      <c r="M15" s="1550">
        <v>-11000</v>
      </c>
      <c r="N15" s="1550">
        <v>-11000</v>
      </c>
      <c r="O15" s="1550">
        <v>5500</v>
      </c>
      <c r="P15" s="1550">
        <v>5500</v>
      </c>
      <c r="Q15" s="1550">
        <v>5500</v>
      </c>
      <c r="R15" s="3"/>
    </row>
    <row r="16" spans="1:18">
      <c r="A16" s="19">
        <f>'BASE PERIOD'!A16</f>
        <v>407407</v>
      </c>
      <c r="B16" s="2770" t="str">
        <f>'BASE PERIOD'!B16</f>
        <v>Carrying Charges</v>
      </c>
      <c r="C16" s="19" t="str">
        <f>'BASE PERIOD'!C16</f>
        <v>OTH</v>
      </c>
      <c r="D16" s="19">
        <f t="shared" si="0"/>
        <v>407</v>
      </c>
      <c r="E16" s="1458">
        <f t="shared" si="1"/>
        <v>0</v>
      </c>
      <c r="F16" s="1550">
        <v>0</v>
      </c>
      <c r="G16" s="1550">
        <v>0</v>
      </c>
      <c r="H16" s="1550">
        <v>0</v>
      </c>
      <c r="I16" s="1550">
        <v>0</v>
      </c>
      <c r="J16" s="1550">
        <v>0</v>
      </c>
      <c r="K16" s="1550">
        <v>0</v>
      </c>
      <c r="L16" s="1550">
        <v>0</v>
      </c>
      <c r="M16" s="1550">
        <v>0</v>
      </c>
      <c r="N16" s="1550">
        <v>0</v>
      </c>
      <c r="O16" s="1550">
        <v>0</v>
      </c>
      <c r="P16" s="1550">
        <v>0</v>
      </c>
      <c r="Q16" s="1550">
        <v>0</v>
      </c>
      <c r="R16" s="3"/>
    </row>
    <row r="17" spans="1:18">
      <c r="A17" s="19">
        <f>'BASE PERIOD'!A17</f>
        <v>408040</v>
      </c>
      <c r="B17" s="2770" t="str">
        <f>'BASE PERIOD'!B17</f>
        <v>Taxes Property-Allocated</v>
      </c>
      <c r="C17" s="19" t="str">
        <f>'BASE PERIOD'!C17</f>
        <v>OTHTX</v>
      </c>
      <c r="D17" s="19">
        <f t="shared" si="0"/>
        <v>408</v>
      </c>
      <c r="E17" s="1458">
        <f>SUM(F17:Q17)</f>
        <v>0</v>
      </c>
      <c r="F17" s="1550">
        <v>0</v>
      </c>
      <c r="G17" s="1550">
        <v>0</v>
      </c>
      <c r="H17" s="1550">
        <v>0</v>
      </c>
      <c r="I17" s="1550">
        <v>0</v>
      </c>
      <c r="J17" s="1550">
        <v>0</v>
      </c>
      <c r="K17" s="1550">
        <v>0</v>
      </c>
      <c r="L17" s="1550">
        <v>0</v>
      </c>
      <c r="M17" s="1550">
        <v>0</v>
      </c>
      <c r="N17" s="1550">
        <v>0</v>
      </c>
      <c r="O17" s="1550">
        <v>0</v>
      </c>
      <c r="P17" s="1550">
        <v>0</v>
      </c>
      <c r="Q17" s="1550">
        <v>0</v>
      </c>
      <c r="R17" s="3"/>
    </row>
    <row r="18" spans="1:18">
      <c r="A18" s="19">
        <f>'BASE PERIOD'!A18</f>
        <v>408050</v>
      </c>
      <c r="B18" s="2770" t="str">
        <f>'BASE PERIOD'!B18</f>
        <v>Municipal License-Electric</v>
      </c>
      <c r="C18" s="19" t="str">
        <f>'BASE PERIOD'!C18</f>
        <v>OTHTX</v>
      </c>
      <c r="D18" s="19">
        <f t="shared" si="0"/>
        <v>408</v>
      </c>
      <c r="E18" s="1458">
        <f t="shared" si="1"/>
        <v>0</v>
      </c>
      <c r="F18" s="1550">
        <v>0</v>
      </c>
      <c r="G18" s="1550">
        <v>0</v>
      </c>
      <c r="H18" s="1550">
        <v>0</v>
      </c>
      <c r="I18" s="1550">
        <v>0</v>
      </c>
      <c r="J18" s="1550">
        <v>0</v>
      </c>
      <c r="K18" s="1550">
        <v>0</v>
      </c>
      <c r="L18" s="1550">
        <v>0</v>
      </c>
      <c r="M18" s="1550">
        <v>0</v>
      </c>
      <c r="N18" s="1550">
        <v>0</v>
      </c>
      <c r="O18" s="1550">
        <v>0</v>
      </c>
      <c r="P18" s="1550">
        <v>0</v>
      </c>
      <c r="Q18" s="1550">
        <v>0</v>
      </c>
      <c r="R18" s="3"/>
    </row>
    <row r="19" spans="1:18">
      <c r="A19" s="19">
        <f>'BASE PERIOD'!A19</f>
        <v>408120</v>
      </c>
      <c r="B19" s="2770" t="str">
        <f>'BASE PERIOD'!B19</f>
        <v>Franchise Tax - Non Electric</v>
      </c>
      <c r="C19" s="19" t="str">
        <f>'BASE PERIOD'!C19</f>
        <v>OTHTX</v>
      </c>
      <c r="D19" s="19">
        <f t="shared" si="0"/>
        <v>408</v>
      </c>
      <c r="E19" s="1458">
        <f t="shared" si="1"/>
        <v>0</v>
      </c>
      <c r="F19" s="1550">
        <v>0</v>
      </c>
      <c r="G19" s="1550">
        <v>0</v>
      </c>
      <c r="H19" s="1550">
        <v>0</v>
      </c>
      <c r="I19" s="1550">
        <v>0</v>
      </c>
      <c r="J19" s="1550">
        <v>0</v>
      </c>
      <c r="K19" s="1550">
        <v>0</v>
      </c>
      <c r="L19" s="1550">
        <v>0</v>
      </c>
      <c r="M19" s="1550">
        <v>0</v>
      </c>
      <c r="N19" s="1550">
        <v>0</v>
      </c>
      <c r="O19" s="1550">
        <v>0</v>
      </c>
      <c r="P19" s="1550">
        <v>0</v>
      </c>
      <c r="Q19" s="1550">
        <v>0</v>
      </c>
      <c r="R19" s="3"/>
    </row>
    <row r="20" spans="1:18">
      <c r="A20" s="19">
        <f>'BASE PERIOD'!A20</f>
        <v>408121</v>
      </c>
      <c r="B20" s="2770" t="str">
        <f>'BASE PERIOD'!B20</f>
        <v>Taxes Property-Operating</v>
      </c>
      <c r="C20" s="19" t="str">
        <f>'BASE PERIOD'!C20</f>
        <v>OTHTX</v>
      </c>
      <c r="D20" s="19">
        <f t="shared" si="0"/>
        <v>408</v>
      </c>
      <c r="E20" s="1458">
        <f t="shared" si="1"/>
        <v>10714923</v>
      </c>
      <c r="F20" s="1550">
        <v>841567</v>
      </c>
      <c r="G20" s="1550">
        <v>841567</v>
      </c>
      <c r="H20" s="1550">
        <v>841567</v>
      </c>
      <c r="I20" s="1550">
        <v>841567</v>
      </c>
      <c r="J20" s="1550">
        <v>841567</v>
      </c>
      <c r="K20" s="1550">
        <v>841567</v>
      </c>
      <c r="L20" s="1550">
        <v>841567</v>
      </c>
      <c r="M20" s="1550">
        <v>841567</v>
      </c>
      <c r="N20" s="1550">
        <v>841567</v>
      </c>
      <c r="O20" s="1550">
        <v>1046940</v>
      </c>
      <c r="P20" s="1550">
        <v>1046940</v>
      </c>
      <c r="Q20" s="1550">
        <v>1046940</v>
      </c>
      <c r="R20" s="3"/>
    </row>
    <row r="21" spans="1:18">
      <c r="A21" s="19">
        <f>'BASE PERIOD'!A21</f>
        <v>408150</v>
      </c>
      <c r="B21" s="2770" t="str">
        <f>'BASE PERIOD'!B21</f>
        <v>State Unemployment Tax</v>
      </c>
      <c r="C21" s="19" t="str">
        <f>'BASE PERIOD'!C21</f>
        <v>OTHTX</v>
      </c>
      <c r="D21" s="19">
        <f t="shared" si="0"/>
        <v>408</v>
      </c>
      <c r="E21" s="1458">
        <f t="shared" si="1"/>
        <v>0</v>
      </c>
      <c r="F21" s="1550">
        <v>0</v>
      </c>
      <c r="G21" s="1550">
        <v>0</v>
      </c>
      <c r="H21" s="1550">
        <v>0</v>
      </c>
      <c r="I21" s="1550">
        <v>0</v>
      </c>
      <c r="J21" s="1550">
        <v>0</v>
      </c>
      <c r="K21" s="1550">
        <v>0</v>
      </c>
      <c r="L21" s="1550">
        <v>0</v>
      </c>
      <c r="M21" s="1550">
        <v>0</v>
      </c>
      <c r="N21" s="1550">
        <v>0</v>
      </c>
      <c r="O21" s="1550">
        <v>0</v>
      </c>
      <c r="P21" s="1550">
        <v>0</v>
      </c>
      <c r="Q21" s="1550">
        <v>0</v>
      </c>
      <c r="R21" s="3"/>
    </row>
    <row r="22" spans="1:18">
      <c r="A22" s="19">
        <f>'BASE PERIOD'!A22</f>
        <v>408151</v>
      </c>
      <c r="B22" s="2770" t="str">
        <f>'BASE PERIOD'!B22</f>
        <v>Federal Unemployment Tax</v>
      </c>
      <c r="C22" s="19" t="str">
        <f>'BASE PERIOD'!C22</f>
        <v>OTHTX</v>
      </c>
      <c r="D22" s="19">
        <f t="shared" si="0"/>
        <v>408</v>
      </c>
      <c r="E22" s="1458">
        <f t="shared" si="1"/>
        <v>0</v>
      </c>
      <c r="F22" s="1550">
        <v>0</v>
      </c>
      <c r="G22" s="1550">
        <v>0</v>
      </c>
      <c r="H22" s="1550">
        <v>0</v>
      </c>
      <c r="I22" s="1550">
        <v>0</v>
      </c>
      <c r="J22" s="1550">
        <v>0</v>
      </c>
      <c r="K22" s="1550">
        <v>0</v>
      </c>
      <c r="L22" s="1550">
        <v>0</v>
      </c>
      <c r="M22" s="1550">
        <v>0</v>
      </c>
      <c r="N22" s="1550">
        <v>0</v>
      </c>
      <c r="O22" s="1550">
        <v>0</v>
      </c>
      <c r="P22" s="1550">
        <v>0</v>
      </c>
      <c r="Q22" s="1550">
        <v>0</v>
      </c>
      <c r="R22" s="3"/>
    </row>
    <row r="23" spans="1:18">
      <c r="A23" s="19">
        <f>'BASE PERIOD'!A23</f>
        <v>408152</v>
      </c>
      <c r="B23" s="2770" t="str">
        <f>'BASE PERIOD'!B23</f>
        <v>Employer FICA Tax</v>
      </c>
      <c r="C23" s="19" t="str">
        <f>'BASE PERIOD'!C23</f>
        <v>OTHTX</v>
      </c>
      <c r="D23" s="19">
        <f t="shared" si="0"/>
        <v>408</v>
      </c>
      <c r="E23" s="1458">
        <f t="shared" si="1"/>
        <v>0</v>
      </c>
      <c r="F23" s="1550">
        <v>0</v>
      </c>
      <c r="G23" s="1550">
        <v>0</v>
      </c>
      <c r="H23" s="1550">
        <v>0</v>
      </c>
      <c r="I23" s="1550">
        <v>0</v>
      </c>
      <c r="J23" s="1550">
        <v>0</v>
      </c>
      <c r="K23" s="1550">
        <v>0</v>
      </c>
      <c r="L23" s="1550">
        <v>0</v>
      </c>
      <c r="M23" s="1550">
        <v>0</v>
      </c>
      <c r="N23" s="1550">
        <v>0</v>
      </c>
      <c r="O23" s="1550">
        <v>0</v>
      </c>
      <c r="P23" s="1550">
        <v>0</v>
      </c>
      <c r="Q23" s="1550">
        <v>0</v>
      </c>
      <c r="R23" s="3"/>
    </row>
    <row r="24" spans="1:18">
      <c r="A24" s="19">
        <f>'BASE PERIOD'!A24</f>
        <v>408153</v>
      </c>
      <c r="B24" s="2770" t="str">
        <f>'BASE PERIOD'!B24</f>
        <v>Employer Local Tax</v>
      </c>
      <c r="C24" s="19" t="str">
        <f>'BASE PERIOD'!C24</f>
        <v>OTHTX</v>
      </c>
      <c r="D24" s="19">
        <f>VALUE(LEFT(A24,3))</f>
        <v>408</v>
      </c>
      <c r="E24" s="1458">
        <f>SUM(F24:Q24)</f>
        <v>0</v>
      </c>
      <c r="F24" s="1550">
        <v>0</v>
      </c>
      <c r="G24" s="1550">
        <v>0</v>
      </c>
      <c r="H24" s="1550">
        <v>0</v>
      </c>
      <c r="I24" s="1550">
        <v>0</v>
      </c>
      <c r="J24" s="1550">
        <v>0</v>
      </c>
      <c r="K24" s="1550">
        <v>0</v>
      </c>
      <c r="L24" s="1550">
        <v>0</v>
      </c>
      <c r="M24" s="1550">
        <v>0</v>
      </c>
      <c r="N24" s="1550">
        <v>0</v>
      </c>
      <c r="O24" s="1550">
        <v>0</v>
      </c>
      <c r="P24" s="1550">
        <v>0</v>
      </c>
      <c r="Q24" s="1550">
        <v>0</v>
      </c>
      <c r="R24" s="3"/>
    </row>
    <row r="25" spans="1:18">
      <c r="A25" s="19">
        <f>'BASE PERIOD'!A25</f>
        <v>408205</v>
      </c>
      <c r="B25" s="2770" t="str">
        <f>'BASE PERIOD'!B25</f>
        <v>Highway Use Tax</v>
      </c>
      <c r="C25" s="19" t="str">
        <f>'BASE PERIOD'!C25</f>
        <v>OTHTX</v>
      </c>
      <c r="D25" s="19">
        <f t="shared" si="0"/>
        <v>408</v>
      </c>
      <c r="E25" s="1458">
        <f t="shared" si="1"/>
        <v>0</v>
      </c>
      <c r="F25" s="1550">
        <v>0</v>
      </c>
      <c r="G25" s="1550">
        <v>0</v>
      </c>
      <c r="H25" s="1550">
        <v>0</v>
      </c>
      <c r="I25" s="1550">
        <v>0</v>
      </c>
      <c r="J25" s="1550">
        <v>0</v>
      </c>
      <c r="K25" s="1550">
        <v>0</v>
      </c>
      <c r="L25" s="1550">
        <v>0</v>
      </c>
      <c r="M25" s="1550">
        <v>0</v>
      </c>
      <c r="N25" s="1550">
        <v>0</v>
      </c>
      <c r="O25" s="1550">
        <v>0</v>
      </c>
      <c r="P25" s="1550">
        <v>0</v>
      </c>
      <c r="Q25" s="1550">
        <v>0</v>
      </c>
      <c r="R25" s="3"/>
    </row>
    <row r="26" spans="1:18">
      <c r="A26" s="19">
        <v>408470</v>
      </c>
      <c r="B26" s="2770" t="s">
        <v>2489</v>
      </c>
      <c r="C26" s="19" t="str">
        <f>'BASE PERIOD'!C26</f>
        <v>OTHTX</v>
      </c>
      <c r="D26" s="19">
        <f t="shared" si="0"/>
        <v>408</v>
      </c>
      <c r="E26" s="1458">
        <f>SUM(F26:Q26)</f>
        <v>0</v>
      </c>
      <c r="F26" s="1550">
        <v>0</v>
      </c>
      <c r="G26" s="1550">
        <v>0</v>
      </c>
      <c r="H26" s="1550">
        <v>0</v>
      </c>
      <c r="I26" s="1550">
        <v>0</v>
      </c>
      <c r="J26" s="1550">
        <v>0</v>
      </c>
      <c r="K26" s="1550">
        <v>0</v>
      </c>
      <c r="L26" s="1550">
        <v>0</v>
      </c>
      <c r="M26" s="1550">
        <v>0</v>
      </c>
      <c r="N26" s="1550">
        <v>0</v>
      </c>
      <c r="O26" s="1550">
        <v>0</v>
      </c>
      <c r="P26" s="1550">
        <v>0</v>
      </c>
      <c r="Q26" s="1550">
        <v>0</v>
      </c>
      <c r="R26" s="3"/>
    </row>
    <row r="27" spans="1:18">
      <c r="A27" s="19">
        <f>'BASE PERIOD'!A27</f>
        <v>408700</v>
      </c>
      <c r="B27" s="2770" t="str">
        <f>'BASE PERIOD'!B27</f>
        <v>Fed Social Security Tax-Elec</v>
      </c>
      <c r="C27" s="19" t="str">
        <f>'BASE PERIOD'!C27</f>
        <v>OTHTX</v>
      </c>
      <c r="D27" s="19">
        <f t="shared" si="0"/>
        <v>408</v>
      </c>
      <c r="E27" s="1458">
        <f t="shared" si="1"/>
        <v>0</v>
      </c>
      <c r="F27" s="1550">
        <v>0</v>
      </c>
      <c r="G27" s="1550">
        <v>0</v>
      </c>
      <c r="H27" s="1550">
        <v>0</v>
      </c>
      <c r="I27" s="1550">
        <v>0</v>
      </c>
      <c r="J27" s="1550">
        <v>0</v>
      </c>
      <c r="K27" s="1550">
        <v>0</v>
      </c>
      <c r="L27" s="1550">
        <v>0</v>
      </c>
      <c r="M27" s="1550">
        <v>0</v>
      </c>
      <c r="N27" s="1550">
        <v>0</v>
      </c>
      <c r="O27" s="1550">
        <v>0</v>
      </c>
      <c r="P27" s="1550">
        <v>0</v>
      </c>
      <c r="Q27" s="1550">
        <v>0</v>
      </c>
      <c r="R27" s="3"/>
    </row>
    <row r="28" spans="1:18">
      <c r="A28" s="19">
        <f>'BASE PERIOD'!A28</f>
        <v>408800</v>
      </c>
      <c r="B28" s="2770" t="str">
        <f>'BASE PERIOD'!B28</f>
        <v>Federal Highway Use Tax-Elec</v>
      </c>
      <c r="C28" s="19" t="str">
        <f>'BASE PERIOD'!C28</f>
        <v>OTHTX</v>
      </c>
      <c r="D28" s="19">
        <f t="shared" si="0"/>
        <v>408</v>
      </c>
      <c r="E28" s="1458">
        <f t="shared" si="1"/>
        <v>0</v>
      </c>
      <c r="F28" s="1550">
        <v>0</v>
      </c>
      <c r="G28" s="1550">
        <v>0</v>
      </c>
      <c r="H28" s="1550">
        <v>0</v>
      </c>
      <c r="I28" s="1550">
        <v>0</v>
      </c>
      <c r="J28" s="1550">
        <v>0</v>
      </c>
      <c r="K28" s="1550">
        <v>0</v>
      </c>
      <c r="L28" s="1550">
        <v>0</v>
      </c>
      <c r="M28" s="1550">
        <v>0</v>
      </c>
      <c r="N28" s="1550">
        <v>0</v>
      </c>
      <c r="O28" s="1550">
        <v>0</v>
      </c>
      <c r="P28" s="1550">
        <v>0</v>
      </c>
      <c r="Q28" s="1550">
        <v>0</v>
      </c>
      <c r="R28" s="3"/>
    </row>
    <row r="29" spans="1:18">
      <c r="A29" s="19">
        <f>'BASE PERIOD'!A29</f>
        <v>408851</v>
      </c>
      <c r="B29" s="2770" t="str">
        <f>'BASE PERIOD'!B29</f>
        <v>Sales &amp; Use Tax Exp</v>
      </c>
      <c r="C29" s="19" t="str">
        <f>'BASE PERIOD'!C29</f>
        <v>OTHTX</v>
      </c>
      <c r="D29" s="19">
        <f t="shared" si="0"/>
        <v>408</v>
      </c>
      <c r="E29" s="1458">
        <f t="shared" si="1"/>
        <v>0</v>
      </c>
      <c r="F29" s="1550">
        <v>0</v>
      </c>
      <c r="G29" s="1550">
        <v>0</v>
      </c>
      <c r="H29" s="1550">
        <v>0</v>
      </c>
      <c r="I29" s="1550">
        <v>0</v>
      </c>
      <c r="J29" s="1550">
        <v>0</v>
      </c>
      <c r="K29" s="1550">
        <v>0</v>
      </c>
      <c r="L29" s="1550">
        <v>0</v>
      </c>
      <c r="M29" s="1550">
        <v>0</v>
      </c>
      <c r="N29" s="1550">
        <v>0</v>
      </c>
      <c r="O29" s="1550">
        <v>0</v>
      </c>
      <c r="P29" s="1550">
        <v>0</v>
      </c>
      <c r="Q29" s="1550">
        <v>0</v>
      </c>
      <c r="R29" s="3"/>
    </row>
    <row r="30" spans="1:18">
      <c r="A30" s="19">
        <f>'BASE PERIOD'!A30</f>
        <v>408960</v>
      </c>
      <c r="B30" s="2770" t="str">
        <f>'BASE PERIOD'!B30</f>
        <v>Allocated Payroll Taxes</v>
      </c>
      <c r="C30" s="19" t="str">
        <f>'BASE PERIOD'!C30</f>
        <v>OTHTX</v>
      </c>
      <c r="D30" s="19">
        <f t="shared" si="0"/>
        <v>408</v>
      </c>
      <c r="E30" s="1458">
        <f t="shared" si="1"/>
        <v>2066143</v>
      </c>
      <c r="F30" s="1550">
        <v>168590</v>
      </c>
      <c r="G30" s="1550">
        <v>166523</v>
      </c>
      <c r="H30" s="1550">
        <v>167034</v>
      </c>
      <c r="I30" s="1550">
        <v>166545</v>
      </c>
      <c r="J30" s="1550">
        <v>185895</v>
      </c>
      <c r="K30" s="1550">
        <v>172996</v>
      </c>
      <c r="L30" s="1550">
        <v>167290</v>
      </c>
      <c r="M30" s="1550">
        <v>167318</v>
      </c>
      <c r="N30" s="1550">
        <v>168288</v>
      </c>
      <c r="O30" s="1550">
        <v>177374</v>
      </c>
      <c r="P30" s="1550">
        <v>166520</v>
      </c>
      <c r="Q30" s="1550">
        <v>191770</v>
      </c>
      <c r="R30" s="3"/>
    </row>
    <row r="31" spans="1:18">
      <c r="A31" s="19">
        <f>'BASE PERIOD'!A31</f>
        <v>409102</v>
      </c>
      <c r="B31" s="2770" t="str">
        <f>'BASE PERIOD'!B31</f>
        <v>SIT Exp-Utility</v>
      </c>
      <c r="C31" s="19" t="str">
        <f>'BASE PERIOD'!C31</f>
        <v>FIT</v>
      </c>
      <c r="D31" s="19">
        <f t="shared" si="0"/>
        <v>409</v>
      </c>
      <c r="E31" s="1458">
        <f t="shared" ca="1" si="1"/>
        <v>-280187</v>
      </c>
      <c r="F31" s="64">
        <f ca="1">ROUND(SCH_E1!$K$76/12,0)</f>
        <v>-23349</v>
      </c>
      <c r="G31" s="64">
        <f ca="1">ROUND(SCH_E1!$K$76/12,0)</f>
        <v>-23349</v>
      </c>
      <c r="H31" s="64">
        <f ca="1">ROUND(SCH_E1!$K$76/12,0)</f>
        <v>-23349</v>
      </c>
      <c r="I31" s="64">
        <f ca="1">ROUND(SCH_E1!$K$76/12,0)</f>
        <v>-23349</v>
      </c>
      <c r="J31" s="64">
        <f ca="1">ROUND(SCH_E1!$K$76/12,0)</f>
        <v>-23349</v>
      </c>
      <c r="K31" s="64">
        <f ca="1">ROUND(SCH_E1!$K$76/12,0)</f>
        <v>-23349</v>
      </c>
      <c r="L31" s="64">
        <f ca="1">ROUND(SCH_E1!$K$76/12,0)</f>
        <v>-23349</v>
      </c>
      <c r="M31" s="64">
        <f ca="1">ROUND(SCH_E1!$K$76/12,0)</f>
        <v>-23349</v>
      </c>
      <c r="N31" s="64">
        <f ca="1">ROUND(SCH_E1!$K$76/12,0)</f>
        <v>-23349</v>
      </c>
      <c r="O31" s="64">
        <f ca="1">ROUND(SCH_E1!$K$76/12,0)</f>
        <v>-23349</v>
      </c>
      <c r="P31" s="64">
        <f ca="1">ROUND(SCH_E1!$K$76/12,0)</f>
        <v>-23349</v>
      </c>
      <c r="Q31" s="64">
        <f ca="1">ROUND(SCH_E1!$K$76-SUM(F31:P31),0)</f>
        <v>-23348</v>
      </c>
      <c r="R31" s="3"/>
    </row>
    <row r="32" spans="1:18">
      <c r="A32" s="19">
        <f>'BASE PERIOD'!A32</f>
        <v>409104</v>
      </c>
      <c r="B32" s="2770" t="str">
        <f>'BASE PERIOD'!B32</f>
        <v>Current State Income Tax - PY</v>
      </c>
      <c r="C32" s="19" t="str">
        <f>'BASE PERIOD'!C32</f>
        <v>FIT</v>
      </c>
      <c r="D32" s="19">
        <f t="shared" si="0"/>
        <v>409</v>
      </c>
      <c r="E32" s="1458">
        <f t="shared" si="1"/>
        <v>0</v>
      </c>
      <c r="F32" s="1550">
        <v>0</v>
      </c>
      <c r="G32" s="1550">
        <v>0</v>
      </c>
      <c r="H32" s="1550">
        <v>0</v>
      </c>
      <c r="I32" s="1550">
        <v>0</v>
      </c>
      <c r="J32" s="1550">
        <v>0</v>
      </c>
      <c r="K32" s="1550">
        <v>0</v>
      </c>
      <c r="L32" s="1550">
        <v>0</v>
      </c>
      <c r="M32" s="1550">
        <v>0</v>
      </c>
      <c r="N32" s="1550">
        <v>0</v>
      </c>
      <c r="O32" s="1550">
        <v>0</v>
      </c>
      <c r="P32" s="1550">
        <v>0</v>
      </c>
      <c r="Q32" s="1550">
        <v>0</v>
      </c>
      <c r="R32" s="3"/>
    </row>
    <row r="33" spans="1:18">
      <c r="A33" s="19">
        <f>'BASE PERIOD'!A33</f>
        <v>409190</v>
      </c>
      <c r="B33" s="2770" t="str">
        <f>'BASE PERIOD'!B33</f>
        <v>Federal Income Tax-Electric-CY</v>
      </c>
      <c r="C33" s="19" t="str">
        <f>'BASE PERIOD'!C33</f>
        <v>FIT</v>
      </c>
      <c r="D33" s="19">
        <f t="shared" si="0"/>
        <v>409</v>
      </c>
      <c r="E33" s="1458">
        <f t="shared" ca="1" si="1"/>
        <v>-21224297</v>
      </c>
      <c r="F33" s="64">
        <f ca="1">ROUND(SCH_E1!$K$121/12,0)</f>
        <v>-1768691</v>
      </c>
      <c r="G33" s="64">
        <f ca="1">ROUND(SCH_E1!$K$121/12,0)</f>
        <v>-1768691</v>
      </c>
      <c r="H33" s="64">
        <f ca="1">ROUND(SCH_E1!$K$121/12,0)</f>
        <v>-1768691</v>
      </c>
      <c r="I33" s="64">
        <f ca="1">ROUND(SCH_E1!$K$121/12,0)</f>
        <v>-1768691</v>
      </c>
      <c r="J33" s="64">
        <f ca="1">ROUND(SCH_E1!$K$121/12,0)</f>
        <v>-1768691</v>
      </c>
      <c r="K33" s="64">
        <f ca="1">ROUND(SCH_E1!$K$121/12,0)</f>
        <v>-1768691</v>
      </c>
      <c r="L33" s="64">
        <f ca="1">ROUND(SCH_E1!$K$121/12,0)</f>
        <v>-1768691</v>
      </c>
      <c r="M33" s="64">
        <f ca="1">ROUND(SCH_E1!$K$121/12,0)</f>
        <v>-1768691</v>
      </c>
      <c r="N33" s="64">
        <f ca="1">ROUND(SCH_E1!$K$121/12,0)</f>
        <v>-1768691</v>
      </c>
      <c r="O33" s="64">
        <f ca="1">ROUND(SCH_E1!$K$121/12,0)</f>
        <v>-1768691</v>
      </c>
      <c r="P33" s="64">
        <f ca="1">ROUND(SCH_E1!$K$121/12,0)</f>
        <v>-1768691</v>
      </c>
      <c r="Q33" s="64">
        <f ca="1">ROUND(SCH_E1!$K$121-SUM(F33:P33),0)</f>
        <v>-1768696</v>
      </c>
      <c r="R33" s="3"/>
    </row>
    <row r="34" spans="1:18">
      <c r="A34" s="19">
        <f>'BASE PERIOD'!A34</f>
        <v>409191</v>
      </c>
      <c r="B34" s="2770" t="str">
        <f>'BASE PERIOD'!B34</f>
        <v>Fed Income Tax-Electric-PY</v>
      </c>
      <c r="C34" s="19" t="str">
        <f>'BASE PERIOD'!C34</f>
        <v>FIT</v>
      </c>
      <c r="D34" s="19">
        <f t="shared" si="0"/>
        <v>409</v>
      </c>
      <c r="E34" s="1458">
        <f t="shared" si="1"/>
        <v>0</v>
      </c>
      <c r="F34" s="1550">
        <v>0</v>
      </c>
      <c r="G34" s="1550">
        <v>0</v>
      </c>
      <c r="H34" s="1550">
        <v>0</v>
      </c>
      <c r="I34" s="1550">
        <v>0</v>
      </c>
      <c r="J34" s="1550">
        <v>0</v>
      </c>
      <c r="K34" s="1550">
        <v>0</v>
      </c>
      <c r="L34" s="1550">
        <v>0</v>
      </c>
      <c r="M34" s="1550">
        <v>0</v>
      </c>
      <c r="N34" s="1550">
        <v>0</v>
      </c>
      <c r="O34" s="1550">
        <v>0</v>
      </c>
      <c r="P34" s="1550">
        <v>0</v>
      </c>
      <c r="Q34" s="1550">
        <v>0</v>
      </c>
      <c r="R34" s="3"/>
    </row>
    <row r="35" spans="1:18">
      <c r="A35" s="19">
        <f>'BASE PERIOD'!A35</f>
        <v>409194</v>
      </c>
      <c r="B35" s="2770" t="str">
        <f>'BASE PERIOD'!B35</f>
        <v>Current FIT Elec - PY Audit</v>
      </c>
      <c r="C35" s="19" t="str">
        <f>'BASE PERIOD'!C35</f>
        <v>FIT</v>
      </c>
      <c r="D35" s="19">
        <f t="shared" si="0"/>
        <v>409</v>
      </c>
      <c r="E35" s="1458">
        <f t="shared" si="1"/>
        <v>0</v>
      </c>
      <c r="F35" s="1550">
        <v>0</v>
      </c>
      <c r="G35" s="1550">
        <v>0</v>
      </c>
      <c r="H35" s="1550">
        <v>0</v>
      </c>
      <c r="I35" s="1550">
        <v>0</v>
      </c>
      <c r="J35" s="1550">
        <v>0</v>
      </c>
      <c r="K35" s="1550">
        <v>0</v>
      </c>
      <c r="L35" s="1550">
        <v>0</v>
      </c>
      <c r="M35" s="1550">
        <v>0</v>
      </c>
      <c r="N35" s="1550">
        <v>0</v>
      </c>
      <c r="O35" s="1550">
        <v>0</v>
      </c>
      <c r="P35" s="1550">
        <v>0</v>
      </c>
      <c r="Q35" s="1550">
        <v>0</v>
      </c>
      <c r="R35" s="3"/>
    </row>
    <row r="36" spans="1:18">
      <c r="A36" s="19">
        <f>'BASE PERIOD'!A36</f>
        <v>409195</v>
      </c>
      <c r="B36" s="2770" t="str">
        <f>'BASE PERIOD'!B36</f>
        <v>UTP Tax Expense: Fed Util-PY</v>
      </c>
      <c r="C36" s="19" t="str">
        <f>'BASE PERIOD'!C36</f>
        <v>FIT</v>
      </c>
      <c r="D36" s="19">
        <f t="shared" si="0"/>
        <v>409</v>
      </c>
      <c r="E36" s="1458">
        <f t="shared" si="1"/>
        <v>0</v>
      </c>
      <c r="F36" s="1550">
        <v>0</v>
      </c>
      <c r="G36" s="1550">
        <v>0</v>
      </c>
      <c r="H36" s="1550">
        <v>0</v>
      </c>
      <c r="I36" s="1550">
        <v>0</v>
      </c>
      <c r="J36" s="1550">
        <v>0</v>
      </c>
      <c r="K36" s="1550">
        <v>0</v>
      </c>
      <c r="L36" s="1550">
        <v>0</v>
      </c>
      <c r="M36" s="1550">
        <v>0</v>
      </c>
      <c r="N36" s="1550">
        <v>0</v>
      </c>
      <c r="O36" s="1550">
        <v>0</v>
      </c>
      <c r="P36" s="1550">
        <v>0</v>
      </c>
      <c r="Q36" s="1550">
        <v>0</v>
      </c>
      <c r="R36" s="3"/>
    </row>
    <row r="37" spans="1:18">
      <c r="A37" s="19">
        <f>'BASE PERIOD'!A37</f>
        <v>409197</v>
      </c>
      <c r="B37" s="2770" t="str">
        <f>'BASE PERIOD'!B37</f>
        <v>Current State Inc Tax-Util</v>
      </c>
      <c r="C37" s="19" t="str">
        <f>'BASE PERIOD'!C37</f>
        <v>FIT</v>
      </c>
      <c r="D37" s="19">
        <f t="shared" si="0"/>
        <v>409</v>
      </c>
      <c r="E37" s="1458">
        <f>SUM(F37:Q37)</f>
        <v>0</v>
      </c>
      <c r="F37" s="1550">
        <v>0</v>
      </c>
      <c r="G37" s="1550">
        <v>0</v>
      </c>
      <c r="H37" s="1550">
        <v>0</v>
      </c>
      <c r="I37" s="1550">
        <v>0</v>
      </c>
      <c r="J37" s="1550">
        <v>0</v>
      </c>
      <c r="K37" s="1550">
        <v>0</v>
      </c>
      <c r="L37" s="1550">
        <v>0</v>
      </c>
      <c r="M37" s="1550">
        <v>0</v>
      </c>
      <c r="N37" s="1550">
        <v>0</v>
      </c>
      <c r="O37" s="1550">
        <v>0</v>
      </c>
      <c r="P37" s="1550">
        <v>0</v>
      </c>
      <c r="Q37" s="1550">
        <v>0</v>
      </c>
      <c r="R37" s="3"/>
    </row>
    <row r="38" spans="1:18">
      <c r="A38" s="19">
        <f>'BASE PERIOD'!A38</f>
        <v>410100</v>
      </c>
      <c r="B38" s="2770" t="str">
        <f>'BASE PERIOD'!B38</f>
        <v>DFIT: Utility: Current Year</v>
      </c>
      <c r="C38" s="19" t="str">
        <f>'BASE PERIOD'!C38</f>
        <v>FIT</v>
      </c>
      <c r="D38" s="19">
        <f t="shared" si="0"/>
        <v>410</v>
      </c>
      <c r="E38" s="1458">
        <f t="shared" ca="1" si="1"/>
        <v>24673074</v>
      </c>
      <c r="F38" s="64">
        <f ca="1">ROUND((SCH_E1!$K$123+SCH_E1!$K$124)/12,0)</f>
        <v>2056090</v>
      </c>
      <c r="G38" s="64">
        <f ca="1">ROUND((SCH_E1!$K$123+SCH_E1!$K$124)/12,0)</f>
        <v>2056090</v>
      </c>
      <c r="H38" s="64">
        <f ca="1">ROUND((SCH_E1!$K$123+SCH_E1!$K$124)/12,0)</f>
        <v>2056090</v>
      </c>
      <c r="I38" s="64">
        <f ca="1">ROUND((SCH_E1!$K$123+SCH_E1!$K$124)/12,0)</f>
        <v>2056090</v>
      </c>
      <c r="J38" s="64">
        <f ca="1">ROUND((SCH_E1!$K$123+SCH_E1!$K$124)/12,0)</f>
        <v>2056090</v>
      </c>
      <c r="K38" s="64">
        <f ca="1">ROUND((SCH_E1!$K$123+SCH_E1!$K$124)/12,0)</f>
        <v>2056090</v>
      </c>
      <c r="L38" s="64">
        <f ca="1">ROUND((SCH_E1!$K$123+SCH_E1!$K$124)/12,0)</f>
        <v>2056090</v>
      </c>
      <c r="M38" s="64">
        <f ca="1">ROUND((SCH_E1!$K$123+SCH_E1!$K$124)/12,0)</f>
        <v>2056090</v>
      </c>
      <c r="N38" s="64">
        <f ca="1">ROUND((SCH_E1!$K$123+SCH_E1!$K$124)/12,0)</f>
        <v>2056090</v>
      </c>
      <c r="O38" s="64">
        <f ca="1">ROUND((SCH_E1!$K$123+SCH_E1!$K$124)/12,0)</f>
        <v>2056090</v>
      </c>
      <c r="P38" s="64">
        <f ca="1">ROUND((SCH_E1!$K$123+SCH_E1!$K$124)/12,0)</f>
        <v>2056090</v>
      </c>
      <c r="Q38" s="64">
        <f ca="1">ROUND((SCH_E1!$K$123+SCH_E1!$K$124)-SUM(F38:P38),0)</f>
        <v>2056084</v>
      </c>
      <c r="R38" s="3"/>
    </row>
    <row r="39" spans="1:18">
      <c r="A39" s="19">
        <f>'BASE PERIOD'!A39</f>
        <v>410102</v>
      </c>
      <c r="B39" s="2770" t="str">
        <f>'BASE PERIOD'!B39</f>
        <v>DSIT: Utility: Current Year</v>
      </c>
      <c r="C39" s="19" t="str">
        <f>'BASE PERIOD'!C39</f>
        <v>FIT</v>
      </c>
      <c r="D39" s="19">
        <f t="shared" si="0"/>
        <v>410</v>
      </c>
      <c r="E39" s="1458">
        <f t="shared" ca="1" si="1"/>
        <v>921141</v>
      </c>
      <c r="F39" s="64">
        <f ca="1">ROUND((SCH_E1!$K$104+SCH_E1!$K$105)/12,0)</f>
        <v>76762</v>
      </c>
      <c r="G39" s="64">
        <f ca="1">ROUND((SCH_E1!$K$104+SCH_E1!$K$105)/12,0)</f>
        <v>76762</v>
      </c>
      <c r="H39" s="64">
        <f ca="1">ROUND((SCH_E1!$K$104+SCH_E1!$K$105)/12,0)</f>
        <v>76762</v>
      </c>
      <c r="I39" s="64">
        <f ca="1">ROUND((SCH_E1!$K$104+SCH_E1!$K$105)/12,0)</f>
        <v>76762</v>
      </c>
      <c r="J39" s="64">
        <f ca="1">ROUND((SCH_E1!$K$104+SCH_E1!$K$105)/12,0)</f>
        <v>76762</v>
      </c>
      <c r="K39" s="64">
        <f ca="1">ROUND((SCH_E1!$K$104+SCH_E1!$K$105)/12,0)</f>
        <v>76762</v>
      </c>
      <c r="L39" s="64">
        <f ca="1">ROUND((SCH_E1!$K$104+SCH_E1!$K$105)/12,0)</f>
        <v>76762</v>
      </c>
      <c r="M39" s="64">
        <f ca="1">ROUND((SCH_E1!$K$104+SCH_E1!$K$105)/12,0)</f>
        <v>76762</v>
      </c>
      <c r="N39" s="64">
        <f ca="1">ROUND((SCH_E1!$K$104+SCH_E1!$K$105)/12,0)</f>
        <v>76762</v>
      </c>
      <c r="O39" s="64">
        <f ca="1">ROUND((SCH_E1!$K$104+SCH_E1!$K$105)/12,0)</f>
        <v>76762</v>
      </c>
      <c r="P39" s="64">
        <f ca="1">ROUND((SCH_E1!$K$104+SCH_E1!$K$105)/12,0)</f>
        <v>76762</v>
      </c>
      <c r="Q39" s="64">
        <f ca="1">ROUND((SCH_E1!$K$104+SCH_E1!$K$105)-SUM(F39:P39),0)</f>
        <v>76759</v>
      </c>
      <c r="R39" s="3"/>
    </row>
    <row r="40" spans="1:18">
      <c r="A40" s="19">
        <f>'BASE PERIOD'!A40</f>
        <v>410105</v>
      </c>
      <c r="B40" s="2770" t="str">
        <f>'BASE PERIOD'!B40</f>
        <v>DFIT: Utility: Prior Year</v>
      </c>
      <c r="C40" s="19" t="str">
        <f>'BASE PERIOD'!C40</f>
        <v>FIT</v>
      </c>
      <c r="D40" s="19">
        <f t="shared" si="0"/>
        <v>410</v>
      </c>
      <c r="E40" s="1458">
        <f t="shared" si="1"/>
        <v>0</v>
      </c>
      <c r="F40" s="1550">
        <v>0</v>
      </c>
      <c r="G40" s="1550">
        <v>0</v>
      </c>
      <c r="H40" s="1550">
        <v>0</v>
      </c>
      <c r="I40" s="1550">
        <v>0</v>
      </c>
      <c r="J40" s="1550">
        <v>0</v>
      </c>
      <c r="K40" s="1550">
        <v>0</v>
      </c>
      <c r="L40" s="1550">
        <v>0</v>
      </c>
      <c r="M40" s="1550">
        <v>0</v>
      </c>
      <c r="N40" s="1550">
        <v>0</v>
      </c>
      <c r="O40" s="1550">
        <v>0</v>
      </c>
      <c r="P40" s="1550">
        <v>0</v>
      </c>
      <c r="Q40" s="1550">
        <v>0</v>
      </c>
      <c r="R40" s="3"/>
    </row>
    <row r="41" spans="1:18">
      <c r="A41" s="19">
        <f>'BASE PERIOD'!A41</f>
        <v>410106</v>
      </c>
      <c r="B41" s="2770" t="str">
        <f>'BASE PERIOD'!B41</f>
        <v>DSIT: Utility: Prior Year</v>
      </c>
      <c r="C41" s="19" t="str">
        <f>'BASE PERIOD'!C41</f>
        <v>FIT</v>
      </c>
      <c r="D41" s="19">
        <f t="shared" si="0"/>
        <v>410</v>
      </c>
      <c r="E41" s="1458">
        <f t="shared" si="1"/>
        <v>0</v>
      </c>
      <c r="F41" s="1550">
        <v>0</v>
      </c>
      <c r="G41" s="1550">
        <v>0</v>
      </c>
      <c r="H41" s="1550">
        <v>0</v>
      </c>
      <c r="I41" s="1550">
        <v>0</v>
      </c>
      <c r="J41" s="1550">
        <v>0</v>
      </c>
      <c r="K41" s="1550">
        <v>0</v>
      </c>
      <c r="L41" s="1550">
        <v>0</v>
      </c>
      <c r="M41" s="1550">
        <v>0</v>
      </c>
      <c r="N41" s="1550">
        <v>0</v>
      </c>
      <c r="O41" s="1550">
        <v>0</v>
      </c>
      <c r="P41" s="1550">
        <v>0</v>
      </c>
      <c r="Q41" s="1550">
        <v>0</v>
      </c>
      <c r="R41" s="3"/>
    </row>
    <row r="42" spans="1:18">
      <c r="A42" s="19">
        <f>'BASE PERIOD'!A42</f>
        <v>411051</v>
      </c>
      <c r="B42" s="2770" t="str">
        <f>'BASE PERIOD'!B42</f>
        <v>Accretion Expense-ARO Ash Pond</v>
      </c>
      <c r="C42" s="19" t="str">
        <f>'BASE PERIOD'!C42</f>
        <v>OTH</v>
      </c>
      <c r="D42" s="19">
        <f t="shared" si="0"/>
        <v>411</v>
      </c>
      <c r="E42" s="1458">
        <f t="shared" si="1"/>
        <v>0</v>
      </c>
      <c r="F42" s="1550">
        <v>0</v>
      </c>
      <c r="G42" s="1550">
        <v>0</v>
      </c>
      <c r="H42" s="1550">
        <v>0</v>
      </c>
      <c r="I42" s="1550">
        <v>0</v>
      </c>
      <c r="J42" s="1550">
        <v>0</v>
      </c>
      <c r="K42" s="1550">
        <v>0</v>
      </c>
      <c r="L42" s="1550">
        <v>0</v>
      </c>
      <c r="M42" s="1550">
        <v>0</v>
      </c>
      <c r="N42" s="1550">
        <v>0</v>
      </c>
      <c r="O42" s="1550">
        <v>0</v>
      </c>
      <c r="P42" s="1550">
        <v>0</v>
      </c>
      <c r="Q42" s="1550">
        <v>0</v>
      </c>
      <c r="R42" s="3"/>
    </row>
    <row r="43" spans="1:18">
      <c r="A43" s="19">
        <f>'BASE PERIOD'!A43</f>
        <v>411100</v>
      </c>
      <c r="B43" s="2770" t="str">
        <f>'BASE PERIOD'!B43</f>
        <v>DFIT: Utility: Curr Year CR</v>
      </c>
      <c r="C43" s="19" t="str">
        <f>'BASE PERIOD'!C43</f>
        <v>FIT</v>
      </c>
      <c r="D43" s="19">
        <f t="shared" si="0"/>
        <v>411</v>
      </c>
      <c r="E43" s="1458">
        <f t="shared" si="1"/>
        <v>0</v>
      </c>
      <c r="F43" s="1550">
        <v>0</v>
      </c>
      <c r="G43" s="1550">
        <v>0</v>
      </c>
      <c r="H43" s="1550">
        <v>0</v>
      </c>
      <c r="I43" s="1550">
        <v>0</v>
      </c>
      <c r="J43" s="1550">
        <v>0</v>
      </c>
      <c r="K43" s="1550">
        <v>0</v>
      </c>
      <c r="L43" s="1550">
        <v>0</v>
      </c>
      <c r="M43" s="1550">
        <v>0</v>
      </c>
      <c r="N43" s="1550">
        <v>0</v>
      </c>
      <c r="O43" s="1550">
        <v>0</v>
      </c>
      <c r="P43" s="1550">
        <v>0</v>
      </c>
      <c r="Q43" s="1550">
        <v>0</v>
      </c>
      <c r="R43" s="3"/>
    </row>
    <row r="44" spans="1:18">
      <c r="A44" s="19">
        <f>'BASE PERIOD'!A44</f>
        <v>411101</v>
      </c>
      <c r="B44" s="2770" t="str">
        <f>'BASE PERIOD'!B44</f>
        <v>DSIT: Utility: Curr Year CR</v>
      </c>
      <c r="C44" s="19" t="str">
        <f>'BASE PERIOD'!C44</f>
        <v>FIT</v>
      </c>
      <c r="D44" s="19">
        <f t="shared" si="0"/>
        <v>411</v>
      </c>
      <c r="E44" s="1458">
        <f t="shared" si="1"/>
        <v>0</v>
      </c>
      <c r="F44" s="1550">
        <v>0</v>
      </c>
      <c r="G44" s="1550">
        <v>0</v>
      </c>
      <c r="H44" s="1550">
        <v>0</v>
      </c>
      <c r="I44" s="1550">
        <v>0</v>
      </c>
      <c r="J44" s="1550">
        <v>0</v>
      </c>
      <c r="K44" s="1550">
        <v>0</v>
      </c>
      <c r="L44" s="1550">
        <v>0</v>
      </c>
      <c r="M44" s="1550">
        <v>0</v>
      </c>
      <c r="N44" s="1550">
        <v>0</v>
      </c>
      <c r="O44" s="1550">
        <v>0</v>
      </c>
      <c r="P44" s="1550">
        <v>0</v>
      </c>
      <c r="Q44" s="1550">
        <v>0</v>
      </c>
      <c r="R44" s="3"/>
    </row>
    <row r="45" spans="1:18">
      <c r="A45" s="19">
        <f>'BASE PERIOD'!A45</f>
        <v>411102</v>
      </c>
      <c r="B45" s="2770" t="str">
        <f>'BASE PERIOD'!B45</f>
        <v>DFIT: Utility: Prior Year CR</v>
      </c>
      <c r="C45" s="19" t="str">
        <f>'BASE PERIOD'!C45</f>
        <v>FIT</v>
      </c>
      <c r="D45" s="19">
        <f t="shared" si="0"/>
        <v>411</v>
      </c>
      <c r="E45" s="1458">
        <f t="shared" si="1"/>
        <v>0</v>
      </c>
      <c r="F45" s="1550">
        <v>0</v>
      </c>
      <c r="G45" s="1550">
        <v>0</v>
      </c>
      <c r="H45" s="1550">
        <v>0</v>
      </c>
      <c r="I45" s="1550">
        <v>0</v>
      </c>
      <c r="J45" s="1550">
        <v>0</v>
      </c>
      <c r="K45" s="1550">
        <v>0</v>
      </c>
      <c r="L45" s="1550">
        <v>0</v>
      </c>
      <c r="M45" s="1550">
        <v>0</v>
      </c>
      <c r="N45" s="1550">
        <v>0</v>
      </c>
      <c r="O45" s="1550">
        <v>0</v>
      </c>
      <c r="P45" s="1550">
        <v>0</v>
      </c>
      <c r="Q45" s="1550">
        <v>0</v>
      </c>
      <c r="R45" s="3"/>
    </row>
    <row r="46" spans="1:18">
      <c r="A46" s="19">
        <f>'BASE PERIOD'!A46</f>
        <v>411103</v>
      </c>
      <c r="B46" s="2770" t="str">
        <f>'BASE PERIOD'!B46</f>
        <v>DSIT: Utility: Prior Year CR</v>
      </c>
      <c r="C46" s="19" t="str">
        <f>'BASE PERIOD'!C46</f>
        <v>FIT</v>
      </c>
      <c r="D46" s="19">
        <f t="shared" si="0"/>
        <v>411</v>
      </c>
      <c r="E46" s="1458">
        <f t="shared" si="1"/>
        <v>0</v>
      </c>
      <c r="F46" s="1550">
        <v>0</v>
      </c>
      <c r="G46" s="1550">
        <v>0</v>
      </c>
      <c r="H46" s="1550">
        <v>0</v>
      </c>
      <c r="I46" s="1550">
        <v>0</v>
      </c>
      <c r="J46" s="1550">
        <v>0</v>
      </c>
      <c r="K46" s="1550">
        <v>0</v>
      </c>
      <c r="L46" s="1550">
        <v>0</v>
      </c>
      <c r="M46" s="1550">
        <v>0</v>
      </c>
      <c r="N46" s="1550">
        <v>0</v>
      </c>
      <c r="O46" s="1550">
        <v>0</v>
      </c>
      <c r="P46" s="1550">
        <v>0</v>
      </c>
      <c r="Q46" s="1550">
        <v>0</v>
      </c>
      <c r="R46" s="3"/>
    </row>
    <row r="47" spans="1:18">
      <c r="A47" s="19">
        <f>'BASE PERIOD'!A47</f>
        <v>411106</v>
      </c>
      <c r="B47" s="2770" t="str">
        <f>'BASE PERIOD'!B47</f>
        <v>DFIT:Utility:Prior year</v>
      </c>
      <c r="C47" s="19" t="str">
        <f>'BASE PERIOD'!C47</f>
        <v>FIT</v>
      </c>
      <c r="D47" s="19">
        <f t="shared" si="0"/>
        <v>411</v>
      </c>
      <c r="E47" s="1458">
        <f t="shared" si="1"/>
        <v>0</v>
      </c>
      <c r="F47" s="1550">
        <v>0</v>
      </c>
      <c r="G47" s="1550">
        <v>0</v>
      </c>
      <c r="H47" s="1550">
        <v>0</v>
      </c>
      <c r="I47" s="1550">
        <v>0</v>
      </c>
      <c r="J47" s="1550">
        <v>0</v>
      </c>
      <c r="K47" s="1550">
        <v>0</v>
      </c>
      <c r="L47" s="1550">
        <v>0</v>
      </c>
      <c r="M47" s="1550">
        <v>0</v>
      </c>
      <c r="N47" s="1550">
        <v>0</v>
      </c>
      <c r="O47" s="1550">
        <v>0</v>
      </c>
      <c r="P47" s="1550">
        <v>0</v>
      </c>
      <c r="Q47" s="1550">
        <v>0</v>
      </c>
      <c r="R47" s="3"/>
    </row>
    <row r="48" spans="1:18">
      <c r="A48" s="19">
        <f>'BASE PERIOD'!A48</f>
        <v>411410</v>
      </c>
      <c r="B48" s="2770" t="str">
        <f>'BASE PERIOD'!B48</f>
        <v>Invest Tax Credit Adj-Electric</v>
      </c>
      <c r="C48" s="19" t="str">
        <f>'BASE PERIOD'!C48</f>
        <v>FIT</v>
      </c>
      <c r="D48" s="19">
        <f t="shared" si="0"/>
        <v>411</v>
      </c>
      <c r="E48" s="1458">
        <f t="shared" si="1"/>
        <v>-11316</v>
      </c>
      <c r="F48" s="1550">
        <v>-943</v>
      </c>
      <c r="G48" s="1550">
        <v>-943</v>
      </c>
      <c r="H48" s="1550">
        <v>-943</v>
      </c>
      <c r="I48" s="1550">
        <v>-943</v>
      </c>
      <c r="J48" s="1550">
        <v>-943</v>
      </c>
      <c r="K48" s="1550">
        <v>-943</v>
      </c>
      <c r="L48" s="1550">
        <v>-943</v>
      </c>
      <c r="M48" s="1550">
        <v>-943</v>
      </c>
      <c r="N48" s="1550">
        <v>-943</v>
      </c>
      <c r="O48" s="1550">
        <v>-943</v>
      </c>
      <c r="P48" s="1550">
        <v>-943</v>
      </c>
      <c r="Q48" s="1550">
        <v>-943</v>
      </c>
      <c r="R48" s="3"/>
    </row>
    <row r="49" spans="1:18">
      <c r="A49" s="19">
        <v>426510</v>
      </c>
      <c r="B49" s="2770" t="s">
        <v>1028</v>
      </c>
      <c r="C49" s="19" t="str">
        <f>'BASE PERIOD'!C49</f>
        <v>CO</v>
      </c>
      <c r="D49" s="19">
        <f t="shared" si="0"/>
        <v>426</v>
      </c>
      <c r="E49" s="1458">
        <f t="shared" si="1"/>
        <v>640064</v>
      </c>
      <c r="F49" s="1550">
        <v>4738</v>
      </c>
      <c r="G49" s="1550">
        <v>100541</v>
      </c>
      <c r="H49" s="1550">
        <v>95780</v>
      </c>
      <c r="I49" s="1550">
        <v>19473</v>
      </c>
      <c r="J49" s="1550">
        <v>48608</v>
      </c>
      <c r="K49" s="1550">
        <v>48405</v>
      </c>
      <c r="L49" s="1550">
        <v>-54890</v>
      </c>
      <c r="M49" s="1550">
        <v>-80473</v>
      </c>
      <c r="N49" s="1550">
        <v>45672</v>
      </c>
      <c r="O49" s="1550">
        <v>44016</v>
      </c>
      <c r="P49" s="1550">
        <v>190598</v>
      </c>
      <c r="Q49" s="1550">
        <v>177596</v>
      </c>
      <c r="R49" s="3"/>
    </row>
    <row r="50" spans="1:18">
      <c r="A50" s="19">
        <v>426891</v>
      </c>
      <c r="B50" s="2770" t="s">
        <v>2613</v>
      </c>
      <c r="C50" s="19" t="str">
        <f>'BASE PERIOD'!C50</f>
        <v>CO</v>
      </c>
      <c r="D50" s="19">
        <f t="shared" si="0"/>
        <v>426</v>
      </c>
      <c r="E50" s="1458">
        <f t="shared" si="1"/>
        <v>359226</v>
      </c>
      <c r="F50" s="1550">
        <v>25386</v>
      </c>
      <c r="G50" s="1550">
        <v>29496</v>
      </c>
      <c r="H50" s="1550">
        <v>31959</v>
      </c>
      <c r="I50" s="1550">
        <v>33618</v>
      </c>
      <c r="J50" s="1550">
        <v>34725</v>
      </c>
      <c r="K50" s="1550">
        <v>28347</v>
      </c>
      <c r="L50" s="1550">
        <v>26698</v>
      </c>
      <c r="M50" s="1550">
        <v>28573</v>
      </c>
      <c r="N50" s="1550">
        <v>30803</v>
      </c>
      <c r="O50" s="1550">
        <v>31256</v>
      </c>
      <c r="P50" s="1550">
        <v>29538</v>
      </c>
      <c r="Q50" s="1550">
        <v>28827</v>
      </c>
      <c r="R50" s="3"/>
    </row>
    <row r="51" spans="1:18">
      <c r="A51" s="19">
        <f>'BASE PERIOD'!A51</f>
        <v>440000</v>
      </c>
      <c r="B51" s="2770" t="str">
        <f>'BASE PERIOD'!B51</f>
        <v>Residential</v>
      </c>
      <c r="C51" s="19" t="str">
        <f>'BASE PERIOD'!C51</f>
        <v>REV</v>
      </c>
      <c r="D51" s="19">
        <f t="shared" si="0"/>
        <v>440</v>
      </c>
      <c r="E51" s="1458">
        <f t="shared" si="1"/>
        <v>122782221</v>
      </c>
      <c r="F51" s="1550">
        <v>8934735</v>
      </c>
      <c r="G51" s="1550">
        <v>7925129</v>
      </c>
      <c r="H51" s="1550">
        <v>10013686</v>
      </c>
      <c r="I51" s="1550">
        <v>12520159</v>
      </c>
      <c r="J51" s="1550">
        <v>12272775</v>
      </c>
      <c r="K51" s="1550">
        <v>10919997</v>
      </c>
      <c r="L51" s="1550">
        <v>7896603</v>
      </c>
      <c r="M51" s="1550">
        <v>7889835</v>
      </c>
      <c r="N51" s="1550">
        <v>10359013</v>
      </c>
      <c r="O51" s="1550">
        <v>12282393</v>
      </c>
      <c r="P51" s="1550">
        <v>11329357</v>
      </c>
      <c r="Q51" s="1550">
        <v>10438539</v>
      </c>
      <c r="R51" s="3"/>
    </row>
    <row r="52" spans="1:18">
      <c r="A52" s="19">
        <f>'BASE PERIOD'!A52</f>
        <v>440990</v>
      </c>
      <c r="B52" s="2770" t="str">
        <f>'BASE PERIOD'!B52</f>
        <v>Residential Unbilled Rev</v>
      </c>
      <c r="C52" s="19" t="str">
        <f>'BASE PERIOD'!C52</f>
        <v>REV</v>
      </c>
      <c r="D52" s="19">
        <f t="shared" si="0"/>
        <v>440</v>
      </c>
      <c r="E52" s="1458">
        <f t="shared" si="1"/>
        <v>-3347169</v>
      </c>
      <c r="F52" s="1550">
        <v>-1198901</v>
      </c>
      <c r="G52" s="1550">
        <v>936109</v>
      </c>
      <c r="H52" s="1550">
        <v>1074090</v>
      </c>
      <c r="I52" s="1550">
        <v>20891</v>
      </c>
      <c r="J52" s="1550">
        <v>-847995</v>
      </c>
      <c r="K52" s="1550">
        <v>-2877714</v>
      </c>
      <c r="L52" s="1550">
        <v>-111853</v>
      </c>
      <c r="M52" s="1550">
        <v>1089319</v>
      </c>
      <c r="N52" s="1550">
        <v>776017</v>
      </c>
      <c r="O52" s="1550">
        <v>-504025</v>
      </c>
      <c r="P52" s="1550">
        <v>-1136573</v>
      </c>
      <c r="Q52" s="1550">
        <v>-566534</v>
      </c>
      <c r="R52" s="3"/>
    </row>
    <row r="53" spans="1:18">
      <c r="A53" s="19">
        <f>'BASE PERIOD'!A53</f>
        <v>442100</v>
      </c>
      <c r="B53" s="2770" t="str">
        <f>'BASE PERIOD'!B53</f>
        <v>General Service</v>
      </c>
      <c r="C53" s="19" t="str">
        <f>'BASE PERIOD'!C53</f>
        <v>REV</v>
      </c>
      <c r="D53" s="19">
        <f t="shared" si="0"/>
        <v>442</v>
      </c>
      <c r="E53" s="1458">
        <f t="shared" si="1"/>
        <v>108909601</v>
      </c>
      <c r="F53" s="1550">
        <v>8771351</v>
      </c>
      <c r="G53" s="1550">
        <v>9066821</v>
      </c>
      <c r="H53" s="1550">
        <v>10061979</v>
      </c>
      <c r="I53" s="1550">
        <v>10358521</v>
      </c>
      <c r="J53" s="1550">
        <v>9924206</v>
      </c>
      <c r="K53" s="1550">
        <v>9695212</v>
      </c>
      <c r="L53" s="1550">
        <v>8538247</v>
      </c>
      <c r="M53" s="1550">
        <v>8280785</v>
      </c>
      <c r="N53" s="1550">
        <v>8625375</v>
      </c>
      <c r="O53" s="1550">
        <v>8809699</v>
      </c>
      <c r="P53" s="1550">
        <v>8247499</v>
      </c>
      <c r="Q53" s="1550">
        <v>8529906</v>
      </c>
      <c r="R53" s="3"/>
    </row>
    <row r="54" spans="1:18">
      <c r="A54" s="19">
        <f>'BASE PERIOD'!A54</f>
        <v>442190</v>
      </c>
      <c r="B54" s="2770" t="str">
        <f>'BASE PERIOD'!B54</f>
        <v>General Service Unbilled Rev</v>
      </c>
      <c r="C54" s="19" t="str">
        <f>'BASE PERIOD'!C54</f>
        <v>REV</v>
      </c>
      <c r="D54" s="19">
        <f t="shared" si="0"/>
        <v>442</v>
      </c>
      <c r="E54" s="1458">
        <f t="shared" si="1"/>
        <v>-179600</v>
      </c>
      <c r="F54" s="1550">
        <v>-433197</v>
      </c>
      <c r="G54" s="1550">
        <v>874003</v>
      </c>
      <c r="H54" s="1550">
        <v>599173</v>
      </c>
      <c r="I54" s="1550">
        <v>5613</v>
      </c>
      <c r="J54" s="1550">
        <v>-192897</v>
      </c>
      <c r="K54" s="1550">
        <v>-425194</v>
      </c>
      <c r="L54" s="1550">
        <v>357223</v>
      </c>
      <c r="M54" s="1550">
        <v>-261365</v>
      </c>
      <c r="N54" s="1550">
        <v>-515542</v>
      </c>
      <c r="O54" s="1550">
        <v>-638601</v>
      </c>
      <c r="P54" s="1550">
        <v>129963</v>
      </c>
      <c r="Q54" s="1550">
        <v>321221</v>
      </c>
      <c r="R54" s="3"/>
    </row>
    <row r="55" spans="1:18">
      <c r="A55" s="19">
        <f>'BASE PERIOD'!A55</f>
        <v>442200</v>
      </c>
      <c r="B55" s="2770" t="str">
        <f>'BASE PERIOD'!B55</f>
        <v>Industrial Service</v>
      </c>
      <c r="C55" s="19" t="str">
        <f>'BASE PERIOD'!C55</f>
        <v>REV</v>
      </c>
      <c r="D55" s="19">
        <f t="shared" si="0"/>
        <v>442</v>
      </c>
      <c r="E55" s="1458">
        <f t="shared" si="1"/>
        <v>53376993</v>
      </c>
      <c r="F55" s="1550">
        <v>4483738</v>
      </c>
      <c r="G55" s="1550">
        <v>4878894</v>
      </c>
      <c r="H55" s="1550">
        <v>5023402</v>
      </c>
      <c r="I55" s="1550">
        <v>4831375</v>
      </c>
      <c r="J55" s="1550">
        <v>4645704</v>
      </c>
      <c r="K55" s="1550">
        <v>4412155</v>
      </c>
      <c r="L55" s="1550">
        <v>4261330</v>
      </c>
      <c r="M55" s="1550">
        <v>4158561</v>
      </c>
      <c r="N55" s="1550">
        <v>4015735</v>
      </c>
      <c r="O55" s="1550">
        <v>4010035</v>
      </c>
      <c r="P55" s="1550">
        <v>4238542</v>
      </c>
      <c r="Q55" s="1550">
        <v>4417522</v>
      </c>
      <c r="R55" s="3"/>
    </row>
    <row r="56" spans="1:18">
      <c r="A56" s="19">
        <f>'BASE PERIOD'!A56</f>
        <v>442290</v>
      </c>
      <c r="B56" s="2770" t="str">
        <f>'BASE PERIOD'!B56</f>
        <v>Industrial Svc Unbilled Rev</v>
      </c>
      <c r="C56" s="19" t="str">
        <f>'BASE PERIOD'!C56</f>
        <v>REV</v>
      </c>
      <c r="D56" s="19">
        <f t="shared" si="0"/>
        <v>442</v>
      </c>
      <c r="E56" s="1458">
        <f t="shared" si="1"/>
        <v>-56465</v>
      </c>
      <c r="F56" s="1550">
        <v>45430</v>
      </c>
      <c r="G56" s="1550">
        <v>448945</v>
      </c>
      <c r="H56" s="1550">
        <v>218822</v>
      </c>
      <c r="I56" s="1550">
        <v>-433087</v>
      </c>
      <c r="J56" s="1550">
        <v>-305179</v>
      </c>
      <c r="K56" s="1550">
        <v>-42039</v>
      </c>
      <c r="L56" s="1550">
        <v>-121766</v>
      </c>
      <c r="M56" s="1550">
        <v>-69322</v>
      </c>
      <c r="N56" s="1550">
        <v>-55052</v>
      </c>
      <c r="O56" s="1550">
        <v>55959</v>
      </c>
      <c r="P56" s="1550">
        <v>102788</v>
      </c>
      <c r="Q56" s="1550">
        <v>98036</v>
      </c>
      <c r="R56" s="3"/>
    </row>
    <row r="57" spans="1:18">
      <c r="A57" s="19">
        <f>'BASE PERIOD'!A57</f>
        <v>444000</v>
      </c>
      <c r="B57" s="2770" t="str">
        <f>'BASE PERIOD'!B57</f>
        <v>Public St &amp; Highway Lighting</v>
      </c>
      <c r="C57" s="19" t="str">
        <f>'BASE PERIOD'!C57</f>
        <v>REV</v>
      </c>
      <c r="D57" s="19">
        <f t="shared" si="0"/>
        <v>444</v>
      </c>
      <c r="E57" s="1458">
        <f t="shared" si="1"/>
        <v>1639847</v>
      </c>
      <c r="F57" s="1550">
        <v>135567</v>
      </c>
      <c r="G57" s="1550">
        <v>145591</v>
      </c>
      <c r="H57" s="1550">
        <v>141247</v>
      </c>
      <c r="I57" s="1550">
        <v>139072</v>
      </c>
      <c r="J57" s="1550">
        <v>135897</v>
      </c>
      <c r="K57" s="1550">
        <v>135298</v>
      </c>
      <c r="L57" s="1550">
        <v>134070</v>
      </c>
      <c r="M57" s="1550">
        <v>134995</v>
      </c>
      <c r="N57" s="1550">
        <v>130359</v>
      </c>
      <c r="O57" s="1550">
        <v>134973</v>
      </c>
      <c r="P57" s="1550">
        <v>136931</v>
      </c>
      <c r="Q57" s="1550">
        <v>135847</v>
      </c>
      <c r="R57" s="3"/>
    </row>
    <row r="58" spans="1:18">
      <c r="A58" s="19">
        <f>'BASE PERIOD'!A58</f>
        <v>445000</v>
      </c>
      <c r="B58" s="2770" t="str">
        <f>'BASE PERIOD'!B58</f>
        <v>Other Sales to Public Auth</v>
      </c>
      <c r="C58" s="19" t="str">
        <f>'BASE PERIOD'!C58</f>
        <v>REV</v>
      </c>
      <c r="D58" s="19">
        <f t="shared" si="0"/>
        <v>445</v>
      </c>
      <c r="E58" s="1458">
        <f t="shared" si="1"/>
        <v>19614000</v>
      </c>
      <c r="F58" s="1550">
        <v>1509910</v>
      </c>
      <c r="G58" s="1550">
        <v>1651276</v>
      </c>
      <c r="H58" s="1550">
        <v>1796200</v>
      </c>
      <c r="I58" s="1550">
        <v>1750101</v>
      </c>
      <c r="J58" s="1550">
        <v>1741949</v>
      </c>
      <c r="K58" s="1550">
        <v>1816705</v>
      </c>
      <c r="L58" s="1550">
        <v>1614458</v>
      </c>
      <c r="M58" s="1550">
        <v>1510025</v>
      </c>
      <c r="N58" s="1550">
        <v>1521780</v>
      </c>
      <c r="O58" s="1550">
        <v>1494625</v>
      </c>
      <c r="P58" s="1550">
        <v>1566167</v>
      </c>
      <c r="Q58" s="1550">
        <v>1640804</v>
      </c>
      <c r="R58" s="3"/>
    </row>
    <row r="59" spans="1:18">
      <c r="A59" s="19">
        <f>'BASE PERIOD'!A59</f>
        <v>445090</v>
      </c>
      <c r="B59" s="2770" t="str">
        <f>'BASE PERIOD'!B59</f>
        <v>OPA Unbilled</v>
      </c>
      <c r="C59" s="19" t="str">
        <f>'BASE PERIOD'!C59</f>
        <v>REV</v>
      </c>
      <c r="D59" s="19">
        <f t="shared" si="0"/>
        <v>445</v>
      </c>
      <c r="E59" s="1458">
        <f t="shared" si="1"/>
        <v>324761</v>
      </c>
      <c r="F59" s="1550">
        <v>-15962</v>
      </c>
      <c r="G59" s="1550">
        <v>248175</v>
      </c>
      <c r="H59" s="1550">
        <v>161545</v>
      </c>
      <c r="I59" s="1550">
        <v>1733</v>
      </c>
      <c r="J59" s="1550">
        <v>26614</v>
      </c>
      <c r="K59" s="1550">
        <v>-103873</v>
      </c>
      <c r="L59" s="1550">
        <v>88882</v>
      </c>
      <c r="M59" s="1550">
        <v>-19247</v>
      </c>
      <c r="N59" s="1550">
        <v>-135902</v>
      </c>
      <c r="O59" s="1550">
        <v>-4048</v>
      </c>
      <c r="P59" s="1550">
        <v>-25637</v>
      </c>
      <c r="Q59" s="1550">
        <v>102481</v>
      </c>
      <c r="R59" s="3"/>
    </row>
    <row r="60" spans="1:18">
      <c r="A60" s="19">
        <f>'BASE PERIOD'!A60</f>
        <v>447150</v>
      </c>
      <c r="B60" s="2770" t="str">
        <f>'BASE PERIOD'!B60</f>
        <v>Sales For Resale - Outside</v>
      </c>
      <c r="C60" s="19" t="str">
        <f>'BASE PERIOD'!C60</f>
        <v>REV</v>
      </c>
      <c r="D60" s="19">
        <f t="shared" si="0"/>
        <v>447</v>
      </c>
      <c r="E60" s="1458">
        <f t="shared" si="1"/>
        <v>11959000</v>
      </c>
      <c r="F60" s="1550">
        <v>0</v>
      </c>
      <c r="G60" s="1550">
        <v>403000</v>
      </c>
      <c r="H60" s="1550">
        <v>536000</v>
      </c>
      <c r="I60" s="1550">
        <v>981000</v>
      </c>
      <c r="J60" s="1550">
        <v>345000</v>
      </c>
      <c r="K60" s="1550">
        <v>774000</v>
      </c>
      <c r="L60" s="1550">
        <v>1242000</v>
      </c>
      <c r="M60" s="1550">
        <v>683000</v>
      </c>
      <c r="N60" s="1550">
        <v>436000</v>
      </c>
      <c r="O60" s="1550">
        <v>3588000</v>
      </c>
      <c r="P60" s="1550">
        <v>1603000</v>
      </c>
      <c r="Q60" s="1550">
        <v>1368000</v>
      </c>
      <c r="R60" s="3"/>
    </row>
    <row r="61" spans="1:18">
      <c r="A61" s="19">
        <f>'BASE PERIOD'!A61</f>
        <v>448000</v>
      </c>
      <c r="B61" s="2770" t="str">
        <f>'BASE PERIOD'!B61</f>
        <v>Interdepartmental Sales-Elec</v>
      </c>
      <c r="C61" s="19" t="str">
        <f>'BASE PERIOD'!C61</f>
        <v>REV</v>
      </c>
      <c r="D61" s="19">
        <f t="shared" si="0"/>
        <v>448</v>
      </c>
      <c r="E61" s="1458">
        <f t="shared" si="1"/>
        <v>51773</v>
      </c>
      <c r="F61" s="1550">
        <v>2069</v>
      </c>
      <c r="G61" s="1550">
        <v>1584</v>
      </c>
      <c r="H61" s="1550">
        <v>3215</v>
      </c>
      <c r="I61" s="1550">
        <v>4348</v>
      </c>
      <c r="J61" s="1550">
        <v>3817</v>
      </c>
      <c r="K61" s="1550">
        <v>1726</v>
      </c>
      <c r="L61" s="1550">
        <v>1885</v>
      </c>
      <c r="M61" s="1550">
        <v>4090</v>
      </c>
      <c r="N61" s="1550">
        <v>6734</v>
      </c>
      <c r="O61" s="1550">
        <v>10198</v>
      </c>
      <c r="P61" s="1550">
        <v>7277</v>
      </c>
      <c r="Q61" s="1550">
        <v>4830</v>
      </c>
      <c r="R61" s="3"/>
    </row>
    <row r="62" spans="1:18">
      <c r="A62" s="19">
        <f>'BASE PERIOD'!A62</f>
        <v>449100</v>
      </c>
      <c r="B62" s="2770" t="str">
        <f>'BASE PERIOD'!B62</f>
        <v>Provisions For Rate Refunds</v>
      </c>
      <c r="C62" s="19" t="str">
        <f>'BASE PERIOD'!C62</f>
        <v>REV</v>
      </c>
      <c r="D62" s="19">
        <f t="shared" si="0"/>
        <v>449</v>
      </c>
      <c r="E62" s="1458">
        <f t="shared" si="1"/>
        <v>0</v>
      </c>
      <c r="F62" s="1550">
        <v>0</v>
      </c>
      <c r="G62" s="1550">
        <v>0</v>
      </c>
      <c r="H62" s="1550">
        <v>0</v>
      </c>
      <c r="I62" s="1550">
        <v>0</v>
      </c>
      <c r="J62" s="1550">
        <v>0</v>
      </c>
      <c r="K62" s="1550">
        <v>0</v>
      </c>
      <c r="L62" s="1550">
        <v>0</v>
      </c>
      <c r="M62" s="1550">
        <v>0</v>
      </c>
      <c r="N62" s="1550">
        <v>0</v>
      </c>
      <c r="O62" s="1550">
        <v>0</v>
      </c>
      <c r="P62" s="1550">
        <v>0</v>
      </c>
      <c r="Q62" s="1550">
        <v>0</v>
      </c>
      <c r="R62" s="3"/>
    </row>
    <row r="63" spans="1:18">
      <c r="A63" s="19">
        <f>'BASE PERIOD'!A63</f>
        <v>450100</v>
      </c>
      <c r="B63" s="2770" t="str">
        <f>'BASE PERIOD'!B63</f>
        <v>Late Payment Fees</v>
      </c>
      <c r="C63" s="19" t="str">
        <f>'BASE PERIOD'!C63</f>
        <v>REV</v>
      </c>
      <c r="D63" s="19">
        <f t="shared" si="0"/>
        <v>450</v>
      </c>
      <c r="E63" s="1458">
        <f>SUM(F63:Q63)</f>
        <v>0</v>
      </c>
      <c r="F63" s="1550">
        <v>0</v>
      </c>
      <c r="G63" s="1550">
        <v>0</v>
      </c>
      <c r="H63" s="1550">
        <v>0</v>
      </c>
      <c r="I63" s="1550">
        <v>0</v>
      </c>
      <c r="J63" s="1550">
        <v>0</v>
      </c>
      <c r="K63" s="1550">
        <v>0</v>
      </c>
      <c r="L63" s="1550">
        <v>0</v>
      </c>
      <c r="M63" s="1550">
        <v>0</v>
      </c>
      <c r="N63" s="1550">
        <v>0</v>
      </c>
      <c r="O63" s="1550">
        <v>0</v>
      </c>
      <c r="P63" s="1550">
        <v>0</v>
      </c>
      <c r="Q63" s="1550">
        <v>0</v>
      </c>
      <c r="R63" s="3"/>
    </row>
    <row r="64" spans="1:18">
      <c r="A64" s="19">
        <f>'BASE PERIOD'!A64</f>
        <v>451100</v>
      </c>
      <c r="B64" s="2770" t="str">
        <f>'BASE PERIOD'!B64</f>
        <v>Misc Service Revenue</v>
      </c>
      <c r="C64" s="19" t="str">
        <f>'BASE PERIOD'!C64</f>
        <v>REV</v>
      </c>
      <c r="D64" s="19">
        <f t="shared" si="0"/>
        <v>451</v>
      </c>
      <c r="E64" s="1458">
        <f>SUM(F64:Q64)</f>
        <v>297504</v>
      </c>
      <c r="F64" s="1550">
        <v>24792</v>
      </c>
      <c r="G64" s="1550">
        <v>24792</v>
      </c>
      <c r="H64" s="1550">
        <v>24792</v>
      </c>
      <c r="I64" s="1550">
        <v>24792</v>
      </c>
      <c r="J64" s="1550">
        <v>24792</v>
      </c>
      <c r="K64" s="1550">
        <v>24792</v>
      </c>
      <c r="L64" s="1550">
        <v>24792</v>
      </c>
      <c r="M64" s="1550">
        <v>24792</v>
      </c>
      <c r="N64" s="1550">
        <v>24792</v>
      </c>
      <c r="O64" s="1550">
        <v>24792</v>
      </c>
      <c r="P64" s="1550">
        <v>24792</v>
      </c>
      <c r="Q64" s="1550">
        <v>24792</v>
      </c>
      <c r="R64" s="3"/>
    </row>
    <row r="65" spans="1:18">
      <c r="A65" s="19">
        <f>'BASE PERIOD'!A65</f>
        <v>453625</v>
      </c>
      <c r="B65" s="2770" t="str">
        <f>'BASE PERIOD'!B65</f>
        <v>Intercompany Sales of Water</v>
      </c>
      <c r="C65" s="19" t="str">
        <f>'BASE PERIOD'!C65</f>
        <v>REV</v>
      </c>
      <c r="D65" s="19">
        <f t="shared" si="0"/>
        <v>453</v>
      </c>
      <c r="E65" s="1458">
        <f>SUM(F65:Q65)</f>
        <v>0</v>
      </c>
      <c r="F65" s="1550"/>
      <c r="G65" s="1550"/>
      <c r="H65" s="1550"/>
      <c r="I65" s="1550"/>
      <c r="J65" s="1550"/>
      <c r="K65" s="1550"/>
      <c r="L65" s="1550"/>
      <c r="M65" s="1550"/>
      <c r="N65" s="1550"/>
      <c r="O65" s="1550"/>
      <c r="P65" s="1550"/>
      <c r="Q65" s="1550"/>
      <c r="R65" s="3"/>
    </row>
    <row r="66" spans="1:18">
      <c r="A66" s="19">
        <f>'BASE PERIOD'!A66</f>
        <v>454200</v>
      </c>
      <c r="B66" s="2770" t="str">
        <f>'BASE PERIOD'!B66</f>
        <v>Pole &amp; Line Attachments</v>
      </c>
      <c r="C66" s="19" t="str">
        <f>'BASE PERIOD'!C66</f>
        <v>REV</v>
      </c>
      <c r="D66" s="19">
        <f t="shared" si="0"/>
        <v>454</v>
      </c>
      <c r="E66" s="1458">
        <f>SUM(F66:Q66)</f>
        <v>170004</v>
      </c>
      <c r="F66" s="1550">
        <v>14167</v>
      </c>
      <c r="G66" s="1550">
        <v>14167</v>
      </c>
      <c r="H66" s="1550">
        <v>14167</v>
      </c>
      <c r="I66" s="1550">
        <v>14167</v>
      </c>
      <c r="J66" s="1550">
        <v>14167</v>
      </c>
      <c r="K66" s="1550">
        <v>14167</v>
      </c>
      <c r="L66" s="1550">
        <v>14167</v>
      </c>
      <c r="M66" s="1550">
        <v>14167</v>
      </c>
      <c r="N66" s="1550">
        <v>14167</v>
      </c>
      <c r="O66" s="1550">
        <v>14167</v>
      </c>
      <c r="P66" s="1550">
        <v>14167</v>
      </c>
      <c r="Q66" s="1550">
        <v>14167</v>
      </c>
      <c r="R66" s="3"/>
    </row>
    <row r="67" spans="1:18">
      <c r="A67" s="19">
        <f>'BASE PERIOD'!A67</f>
        <v>454300</v>
      </c>
      <c r="B67" s="2770" t="str">
        <f>'BASE PERIOD'!B67</f>
        <v>Tower Lease Revenues</v>
      </c>
      <c r="C67" s="19" t="str">
        <f>'BASE PERIOD'!C67</f>
        <v>REV</v>
      </c>
      <c r="D67" s="19">
        <f t="shared" si="0"/>
        <v>454</v>
      </c>
      <c r="E67" s="1458">
        <f>SUM(F67:Q67)</f>
        <v>0</v>
      </c>
      <c r="F67" s="1550">
        <v>0</v>
      </c>
      <c r="G67" s="1550">
        <v>0</v>
      </c>
      <c r="H67" s="1550">
        <v>0</v>
      </c>
      <c r="I67" s="1550">
        <v>0</v>
      </c>
      <c r="J67" s="1550">
        <v>0</v>
      </c>
      <c r="K67" s="1550">
        <v>0</v>
      </c>
      <c r="L67" s="1550">
        <v>0</v>
      </c>
      <c r="M67" s="1550">
        <v>0</v>
      </c>
      <c r="N67" s="1550">
        <v>0</v>
      </c>
      <c r="O67" s="1550">
        <v>0</v>
      </c>
      <c r="P67" s="1550">
        <v>0</v>
      </c>
      <c r="Q67" s="1550">
        <v>0</v>
      </c>
      <c r="R67" s="3"/>
    </row>
    <row r="68" spans="1:18">
      <c r="A68" s="19">
        <f>'BASE PERIOD'!A68</f>
        <v>454400</v>
      </c>
      <c r="B68" s="2770" t="str">
        <f>'BASE PERIOD'!B68</f>
        <v>Other Electric Rents</v>
      </c>
      <c r="C68" s="19" t="str">
        <f>'BASE PERIOD'!C68</f>
        <v>REV</v>
      </c>
      <c r="D68" s="19">
        <f t="shared" si="0"/>
        <v>454</v>
      </c>
      <c r="E68" s="1458">
        <f t="shared" si="1"/>
        <v>1058004</v>
      </c>
      <c r="F68" s="1550">
        <v>88167</v>
      </c>
      <c r="G68" s="1550">
        <v>88167</v>
      </c>
      <c r="H68" s="1550">
        <v>88167</v>
      </c>
      <c r="I68" s="1550">
        <v>88167</v>
      </c>
      <c r="J68" s="1550">
        <v>88167</v>
      </c>
      <c r="K68" s="1550">
        <v>88167</v>
      </c>
      <c r="L68" s="1550">
        <v>88167</v>
      </c>
      <c r="M68" s="1550">
        <v>88167</v>
      </c>
      <c r="N68" s="1550">
        <v>88167</v>
      </c>
      <c r="O68" s="1550">
        <v>88167</v>
      </c>
      <c r="P68" s="1550">
        <v>88167</v>
      </c>
      <c r="Q68" s="1550">
        <v>88167</v>
      </c>
      <c r="R68" s="3"/>
    </row>
    <row r="69" spans="1:18">
      <c r="A69" s="19">
        <f>'BASE PERIOD'!A69</f>
        <v>454601</v>
      </c>
      <c r="B69" s="2770" t="str">
        <f>'BASE PERIOD'!B69</f>
        <v>Other Miscellaneous</v>
      </c>
      <c r="C69" s="19" t="str">
        <f>'BASE PERIOD'!C69</f>
        <v>REV</v>
      </c>
      <c r="D69" s="19">
        <f t="shared" si="0"/>
        <v>454</v>
      </c>
      <c r="E69" s="1458">
        <f t="shared" si="1"/>
        <v>0</v>
      </c>
      <c r="F69" s="1550">
        <v>0</v>
      </c>
      <c r="G69" s="1550">
        <v>0</v>
      </c>
      <c r="H69" s="1550">
        <v>0</v>
      </c>
      <c r="I69" s="1550">
        <v>0</v>
      </c>
      <c r="J69" s="1550">
        <v>0</v>
      </c>
      <c r="K69" s="1550">
        <v>0</v>
      </c>
      <c r="L69" s="1550">
        <v>0</v>
      </c>
      <c r="M69" s="1550">
        <v>0</v>
      </c>
      <c r="N69" s="1550">
        <v>0</v>
      </c>
      <c r="O69" s="1550">
        <v>0</v>
      </c>
      <c r="P69" s="1550">
        <v>0</v>
      </c>
      <c r="Q69" s="1550">
        <v>0</v>
      </c>
      <c r="R69" s="3"/>
    </row>
    <row r="70" spans="1:18">
      <c r="A70" s="19">
        <f>'BASE PERIOD'!A70</f>
        <v>456025</v>
      </c>
      <c r="B70" s="2770" t="str">
        <f>'BASE PERIOD'!B70</f>
        <v>RSG Rev - MISO Make Whole</v>
      </c>
      <c r="C70" s="19" t="str">
        <f>'BASE PERIOD'!C70</f>
        <v>REV</v>
      </c>
      <c r="D70" s="19">
        <f t="shared" si="0"/>
        <v>456</v>
      </c>
      <c r="E70" s="1458">
        <f>SUM(F70:Q70)</f>
        <v>0</v>
      </c>
      <c r="F70" s="1550">
        <v>0</v>
      </c>
      <c r="G70" s="1550">
        <v>0</v>
      </c>
      <c r="H70" s="1550">
        <v>0</v>
      </c>
      <c r="I70" s="1550">
        <v>0</v>
      </c>
      <c r="J70" s="1550">
        <v>0</v>
      </c>
      <c r="K70" s="1550">
        <v>0</v>
      </c>
      <c r="L70" s="1550">
        <v>0</v>
      </c>
      <c r="M70" s="1550">
        <v>0</v>
      </c>
      <c r="N70" s="1550">
        <v>0</v>
      </c>
      <c r="O70" s="1550">
        <v>0</v>
      </c>
      <c r="P70" s="1550">
        <v>0</v>
      </c>
      <c r="Q70" s="1550">
        <v>0</v>
      </c>
      <c r="R70" s="3"/>
    </row>
    <row r="71" spans="1:18">
      <c r="A71" s="19">
        <f>'BASE PERIOD'!A71</f>
        <v>456040</v>
      </c>
      <c r="B71" s="2770" t="str">
        <f>'BASE PERIOD'!B71</f>
        <v>Sales Use Tax Coll Fee</v>
      </c>
      <c r="C71" s="19" t="str">
        <f>'BASE PERIOD'!C71</f>
        <v>REV</v>
      </c>
      <c r="D71" s="19">
        <f t="shared" si="0"/>
        <v>456</v>
      </c>
      <c r="E71" s="1458">
        <f t="shared" si="1"/>
        <v>0</v>
      </c>
      <c r="F71" s="1550">
        <v>0</v>
      </c>
      <c r="G71" s="1550">
        <v>0</v>
      </c>
      <c r="H71" s="1550">
        <v>0</v>
      </c>
      <c r="I71" s="1550">
        <v>0</v>
      </c>
      <c r="J71" s="1550">
        <v>0</v>
      </c>
      <c r="K71" s="1550">
        <v>0</v>
      </c>
      <c r="L71" s="1550">
        <v>0</v>
      </c>
      <c r="M71" s="1550">
        <v>0</v>
      </c>
      <c r="N71" s="1550">
        <v>0</v>
      </c>
      <c r="O71" s="1550">
        <v>0</v>
      </c>
      <c r="P71" s="1550">
        <v>0</v>
      </c>
      <c r="Q71" s="1550">
        <v>0</v>
      </c>
      <c r="R71" s="3"/>
    </row>
    <row r="72" spans="1:18">
      <c r="A72" s="19">
        <f>'BASE PERIOD'!A72</f>
        <v>456110</v>
      </c>
      <c r="B72" s="2770" t="str">
        <f>'BASE PERIOD'!B72</f>
        <v>Transmission Charge PTP</v>
      </c>
      <c r="C72" s="19" t="str">
        <f>'BASE PERIOD'!C72</f>
        <v>REV</v>
      </c>
      <c r="D72" s="19">
        <f t="shared" si="0"/>
        <v>456</v>
      </c>
      <c r="E72" s="1458">
        <f t="shared" si="1"/>
        <v>144996</v>
      </c>
      <c r="F72" s="1550">
        <v>12083</v>
      </c>
      <c r="G72" s="1550">
        <v>12083</v>
      </c>
      <c r="H72" s="1550">
        <v>12083</v>
      </c>
      <c r="I72" s="1550">
        <v>12083</v>
      </c>
      <c r="J72" s="1550">
        <v>12083</v>
      </c>
      <c r="K72" s="1550">
        <v>12083</v>
      </c>
      <c r="L72" s="1550">
        <v>12083</v>
      </c>
      <c r="M72" s="1550">
        <v>12083</v>
      </c>
      <c r="N72" s="1550">
        <v>12083</v>
      </c>
      <c r="O72" s="1550">
        <v>12083</v>
      </c>
      <c r="P72" s="1550">
        <v>12083</v>
      </c>
      <c r="Q72" s="1550">
        <v>12083</v>
      </c>
      <c r="R72" s="3"/>
    </row>
    <row r="73" spans="1:18">
      <c r="A73" s="19">
        <f>'BASE PERIOD'!A73</f>
        <v>456111</v>
      </c>
      <c r="B73" s="2770" t="str">
        <f>'BASE PERIOD'!B73</f>
        <v>Other Transmission Revenues</v>
      </c>
      <c r="C73" s="19" t="str">
        <f>'BASE PERIOD'!C73</f>
        <v>REV</v>
      </c>
      <c r="D73" s="19">
        <f t="shared" si="0"/>
        <v>456</v>
      </c>
      <c r="E73" s="1458">
        <f>SUM(F73:Q73)</f>
        <v>2667750</v>
      </c>
      <c r="F73" s="1550">
        <v>224580</v>
      </c>
      <c r="G73" s="1550">
        <v>224580</v>
      </c>
      <c r="H73" s="1550">
        <v>224580</v>
      </c>
      <c r="I73" s="1550">
        <v>224580</v>
      </c>
      <c r="J73" s="1550">
        <v>224580</v>
      </c>
      <c r="K73" s="1550">
        <v>224580</v>
      </c>
      <c r="L73" s="1550">
        <v>224580</v>
      </c>
      <c r="M73" s="1550">
        <v>224580</v>
      </c>
      <c r="N73" s="1550">
        <v>224580</v>
      </c>
      <c r="O73" s="1550">
        <v>215510</v>
      </c>
      <c r="P73" s="1550">
        <v>215510</v>
      </c>
      <c r="Q73" s="1550">
        <v>215510</v>
      </c>
      <c r="R73" s="3"/>
    </row>
    <row r="74" spans="1:18">
      <c r="A74" s="19">
        <f>'BASE PERIOD'!A74</f>
        <v>456610</v>
      </c>
      <c r="B74" s="2770" t="str">
        <f>'BASE PERIOD'!B74</f>
        <v>Other Electric Revenues</v>
      </c>
      <c r="C74" s="19" t="str">
        <f>'BASE PERIOD'!C74</f>
        <v>REV</v>
      </c>
      <c r="D74" s="19">
        <f t="shared" si="0"/>
        <v>456</v>
      </c>
      <c r="E74" s="1458">
        <f>SUM(F74:Q74)</f>
        <v>0</v>
      </c>
      <c r="F74" s="1550"/>
      <c r="G74" s="1550"/>
      <c r="H74" s="1550"/>
      <c r="I74" s="1550"/>
      <c r="J74" s="1550"/>
      <c r="K74" s="1550"/>
      <c r="L74" s="1550"/>
      <c r="M74" s="1550"/>
      <c r="N74" s="1550"/>
      <c r="O74" s="1550"/>
      <c r="P74" s="1550"/>
      <c r="Q74" s="1550"/>
      <c r="R74" s="3"/>
    </row>
    <row r="75" spans="1:18">
      <c r="A75" s="19">
        <f>'BASE PERIOD'!A75</f>
        <v>456970</v>
      </c>
      <c r="B75" s="2770" t="str">
        <f>'BASE PERIOD'!B75</f>
        <v>Wheel Transmission Rev - ED</v>
      </c>
      <c r="C75" s="19" t="str">
        <f>'BASE PERIOD'!C75</f>
        <v>REV</v>
      </c>
      <c r="D75" s="19">
        <f t="shared" si="0"/>
        <v>456</v>
      </c>
      <c r="E75" s="1458">
        <f t="shared" si="1"/>
        <v>24504</v>
      </c>
      <c r="F75" s="1550">
        <v>2042</v>
      </c>
      <c r="G75" s="1550">
        <v>2042</v>
      </c>
      <c r="H75" s="1550">
        <v>2042</v>
      </c>
      <c r="I75" s="1550">
        <v>2042</v>
      </c>
      <c r="J75" s="1550">
        <v>2042</v>
      </c>
      <c r="K75" s="1550">
        <v>2042</v>
      </c>
      <c r="L75" s="1550">
        <v>2042</v>
      </c>
      <c r="M75" s="1550">
        <v>2042</v>
      </c>
      <c r="N75" s="1550">
        <v>2042</v>
      </c>
      <c r="O75" s="1550">
        <v>2042</v>
      </c>
      <c r="P75" s="1550">
        <v>2042</v>
      </c>
      <c r="Q75" s="1550">
        <v>2042</v>
      </c>
      <c r="R75" s="3"/>
    </row>
    <row r="76" spans="1:18">
      <c r="A76" s="19">
        <f>'BASE PERIOD'!A76</f>
        <v>457100</v>
      </c>
      <c r="B76" s="2770" t="str">
        <f>'BASE PERIOD'!B76</f>
        <v>Regional Transmission Service</v>
      </c>
      <c r="C76" s="19" t="str">
        <f>'BASE PERIOD'!C76</f>
        <v>REV</v>
      </c>
      <c r="D76" s="19">
        <f t="shared" ref="D76:D140" si="2">VALUE(LEFT(A76,3))</f>
        <v>457</v>
      </c>
      <c r="E76" s="1458">
        <f>SUM(F76:Q76)</f>
        <v>0</v>
      </c>
      <c r="F76" s="1550">
        <v>0</v>
      </c>
      <c r="G76" s="1550">
        <v>0</v>
      </c>
      <c r="H76" s="1550">
        <v>0</v>
      </c>
      <c r="I76" s="1550">
        <v>0</v>
      </c>
      <c r="J76" s="1550">
        <v>0</v>
      </c>
      <c r="K76" s="1550">
        <v>0</v>
      </c>
      <c r="L76" s="1550">
        <v>0</v>
      </c>
      <c r="M76" s="1550">
        <v>0</v>
      </c>
      <c r="N76" s="1550">
        <v>0</v>
      </c>
      <c r="O76" s="1550">
        <v>0</v>
      </c>
      <c r="P76" s="1550">
        <v>0</v>
      </c>
      <c r="Q76" s="1550">
        <v>0</v>
      </c>
      <c r="R76" s="3"/>
    </row>
    <row r="77" spans="1:18">
      <c r="A77" s="19">
        <f>'BASE PERIOD'!A77</f>
        <v>457105</v>
      </c>
      <c r="B77" s="2770" t="str">
        <f>'BASE PERIOD'!B77</f>
        <v>Scheduling &amp; Dispatch Revenues</v>
      </c>
      <c r="C77" s="19" t="str">
        <f>'BASE PERIOD'!C77</f>
        <v>REV</v>
      </c>
      <c r="D77" s="19">
        <f>VALUE(LEFT(A77,3))</f>
        <v>457</v>
      </c>
      <c r="E77" s="1458">
        <f>SUM(F77:Q77)</f>
        <v>0</v>
      </c>
      <c r="F77" s="1550">
        <v>0</v>
      </c>
      <c r="G77" s="1550">
        <v>0</v>
      </c>
      <c r="H77" s="1550">
        <v>0</v>
      </c>
      <c r="I77" s="1550">
        <v>0</v>
      </c>
      <c r="J77" s="1550">
        <v>0</v>
      </c>
      <c r="K77" s="1550">
        <v>0</v>
      </c>
      <c r="L77" s="1550">
        <v>0</v>
      </c>
      <c r="M77" s="1550">
        <v>0</v>
      </c>
      <c r="N77" s="1550">
        <v>0</v>
      </c>
      <c r="O77" s="1550">
        <v>0</v>
      </c>
      <c r="P77" s="1550">
        <v>0</v>
      </c>
      <c r="Q77" s="1550">
        <v>0</v>
      </c>
      <c r="R77" s="3"/>
    </row>
    <row r="78" spans="1:18">
      <c r="A78" s="19">
        <f>'BASE PERIOD'!A78</f>
        <v>457204</v>
      </c>
      <c r="B78" s="2770" t="str">
        <f>'BASE PERIOD'!B78</f>
        <v>PJM Reactive Rev</v>
      </c>
      <c r="C78" s="19" t="str">
        <f>'BASE PERIOD'!C78</f>
        <v>REV</v>
      </c>
      <c r="D78" s="19">
        <f t="shared" si="2"/>
        <v>457</v>
      </c>
      <c r="E78" s="1458">
        <f>SUM(F78:Q78)</f>
        <v>1881230</v>
      </c>
      <c r="F78" s="1550">
        <v>145608</v>
      </c>
      <c r="G78" s="1550">
        <v>134405</v>
      </c>
      <c r="H78" s="1550">
        <v>153188</v>
      </c>
      <c r="I78" s="1550">
        <v>175953</v>
      </c>
      <c r="J78" s="1550">
        <v>175572</v>
      </c>
      <c r="K78" s="1550">
        <v>165738</v>
      </c>
      <c r="L78" s="1550">
        <v>137659</v>
      </c>
      <c r="M78" s="1550">
        <v>137773</v>
      </c>
      <c r="N78" s="1550">
        <v>159048</v>
      </c>
      <c r="O78" s="1550">
        <v>177993</v>
      </c>
      <c r="P78" s="1550">
        <v>163703</v>
      </c>
      <c r="Q78" s="1550">
        <v>154590</v>
      </c>
      <c r="R78" s="3"/>
    </row>
    <row r="79" spans="1:18">
      <c r="A79" s="19">
        <f>'BASE PERIOD'!A79</f>
        <v>500000</v>
      </c>
      <c r="B79" s="2770" t="str">
        <f>'BASE PERIOD'!B79</f>
        <v>Suprvsn and Engrg - Steam Oper</v>
      </c>
      <c r="C79" s="19" t="str">
        <f>'BASE PERIOD'!C79</f>
        <v>PO</v>
      </c>
      <c r="D79" s="19">
        <f t="shared" si="2"/>
        <v>500</v>
      </c>
      <c r="E79" s="1458">
        <f>SUM(F79:Q79)</f>
        <v>1125130</v>
      </c>
      <c r="F79" s="1550">
        <v>94484</v>
      </c>
      <c r="G79" s="1550">
        <v>91391</v>
      </c>
      <c r="H79" s="1550">
        <v>92395</v>
      </c>
      <c r="I79" s="1550">
        <v>91713</v>
      </c>
      <c r="J79" s="1550">
        <v>98897</v>
      </c>
      <c r="K79" s="1550">
        <v>95997</v>
      </c>
      <c r="L79" s="1550">
        <v>92946</v>
      </c>
      <c r="M79" s="1550">
        <v>93299</v>
      </c>
      <c r="N79" s="1550">
        <v>92089</v>
      </c>
      <c r="O79" s="1550">
        <v>92807</v>
      </c>
      <c r="P79" s="1550">
        <v>91227</v>
      </c>
      <c r="Q79" s="1550">
        <v>97885</v>
      </c>
      <c r="R79" s="3"/>
    </row>
    <row r="80" spans="1:18">
      <c r="A80" s="19">
        <f>'BASE PERIOD'!A80</f>
        <v>501110</v>
      </c>
      <c r="B80" s="2770" t="str">
        <f>'BASE PERIOD'!B80</f>
        <v>Coal Consumed-Fossil Steam</v>
      </c>
      <c r="C80" s="19" t="str">
        <f>'BASE PERIOD'!C80</f>
        <v>Fuel</v>
      </c>
      <c r="D80" s="19">
        <f t="shared" si="2"/>
        <v>501</v>
      </c>
      <c r="E80" s="1458">
        <f>SUM(F80:Q80)</f>
        <v>65505000</v>
      </c>
      <c r="F80" s="1550">
        <v>0</v>
      </c>
      <c r="G80" s="1550">
        <v>2534000</v>
      </c>
      <c r="H80" s="1550">
        <v>5691000</v>
      </c>
      <c r="I80" s="1550">
        <v>6653000</v>
      </c>
      <c r="J80" s="1550">
        <v>6317000</v>
      </c>
      <c r="K80" s="1550">
        <v>5719000</v>
      </c>
      <c r="L80" s="1550">
        <v>6118000</v>
      </c>
      <c r="M80" s="1550">
        <v>5843000</v>
      </c>
      <c r="N80" s="1550">
        <v>6369000</v>
      </c>
      <c r="O80" s="1550">
        <v>7166000</v>
      </c>
      <c r="P80" s="1550">
        <v>6401000</v>
      </c>
      <c r="Q80" s="1550">
        <v>6694000</v>
      </c>
      <c r="R80" s="3"/>
    </row>
    <row r="81" spans="1:18">
      <c r="A81" s="19">
        <f>'BASE PERIOD'!A81</f>
        <v>501150</v>
      </c>
      <c r="B81" s="2770" t="str">
        <f>'BASE PERIOD'!B81</f>
        <v>Coal &amp; Other Fuel Handling</v>
      </c>
      <c r="C81" s="19" t="str">
        <f>'BASE PERIOD'!C81</f>
        <v>PO</v>
      </c>
      <c r="D81" s="19">
        <f t="shared" si="2"/>
        <v>501</v>
      </c>
      <c r="E81" s="1458">
        <f t="shared" si="1"/>
        <v>1769028</v>
      </c>
      <c r="F81" s="1550">
        <v>143207</v>
      </c>
      <c r="G81" s="1550">
        <v>142946</v>
      </c>
      <c r="H81" s="1550">
        <v>143545</v>
      </c>
      <c r="I81" s="1550">
        <v>142850</v>
      </c>
      <c r="J81" s="1550">
        <v>164951</v>
      </c>
      <c r="K81" s="1550">
        <v>142974</v>
      </c>
      <c r="L81" s="1550">
        <v>142930</v>
      </c>
      <c r="M81" s="1550">
        <v>142862</v>
      </c>
      <c r="N81" s="1550">
        <v>143078</v>
      </c>
      <c r="O81" s="1550">
        <v>151641</v>
      </c>
      <c r="P81" s="1550">
        <v>142948</v>
      </c>
      <c r="Q81" s="1550">
        <v>165096</v>
      </c>
      <c r="R81" s="3"/>
    </row>
    <row r="82" spans="1:18">
      <c r="A82" s="19">
        <f>'BASE PERIOD'!A82</f>
        <v>501160</v>
      </c>
      <c r="B82" s="2770" t="str">
        <f>'BASE PERIOD'!B82</f>
        <v>Coal Sampling &amp; Testing</v>
      </c>
      <c r="C82" s="19" t="str">
        <f>'BASE PERIOD'!C82</f>
        <v>PO</v>
      </c>
      <c r="D82" s="19">
        <f t="shared" si="2"/>
        <v>501</v>
      </c>
      <c r="E82" s="1458">
        <f t="shared" si="1"/>
        <v>0</v>
      </c>
      <c r="F82" s="1550">
        <v>0</v>
      </c>
      <c r="G82" s="1550">
        <v>0</v>
      </c>
      <c r="H82" s="1550">
        <v>0</v>
      </c>
      <c r="I82" s="1550">
        <v>0</v>
      </c>
      <c r="J82" s="1550">
        <v>0</v>
      </c>
      <c r="K82" s="1550">
        <v>0</v>
      </c>
      <c r="L82" s="1550">
        <v>0</v>
      </c>
      <c r="M82" s="1550">
        <v>0</v>
      </c>
      <c r="N82" s="1550">
        <v>0</v>
      </c>
      <c r="O82" s="1550">
        <v>0</v>
      </c>
      <c r="P82" s="1550">
        <v>0</v>
      </c>
      <c r="Q82" s="1550">
        <v>0</v>
      </c>
      <c r="R82" s="3"/>
    </row>
    <row r="83" spans="1:18">
      <c r="A83" s="19">
        <f>'BASE PERIOD'!A83</f>
        <v>501190</v>
      </c>
      <c r="B83" s="2770" t="str">
        <f>'BASE PERIOD'!B83</f>
        <v>Sale of Fly Ash-Expenses</v>
      </c>
      <c r="C83" s="19" t="str">
        <f>'BASE PERIOD'!C83</f>
        <v>PO</v>
      </c>
      <c r="D83" s="19">
        <f t="shared" si="2"/>
        <v>501</v>
      </c>
      <c r="E83" s="1458">
        <f>SUM(F83:Q83)</f>
        <v>2347600</v>
      </c>
      <c r="F83" s="1550">
        <v>195475</v>
      </c>
      <c r="G83" s="1550">
        <v>195475</v>
      </c>
      <c r="H83" s="1550">
        <v>195475</v>
      </c>
      <c r="I83" s="1550">
        <v>195475</v>
      </c>
      <c r="J83" s="1550">
        <v>195475</v>
      </c>
      <c r="K83" s="1550">
        <v>195475</v>
      </c>
      <c r="L83" s="1550">
        <v>195475</v>
      </c>
      <c r="M83" s="1550">
        <v>195475</v>
      </c>
      <c r="N83" s="1550">
        <v>191770</v>
      </c>
      <c r="O83" s="1550">
        <v>197300</v>
      </c>
      <c r="P83" s="1550">
        <v>197300</v>
      </c>
      <c r="Q83" s="1550">
        <v>197430</v>
      </c>
      <c r="R83" s="3"/>
    </row>
    <row r="84" spans="1:18">
      <c r="A84" s="19">
        <f>'BASE PERIOD'!A84</f>
        <v>501310</v>
      </c>
      <c r="B84" s="2770" t="str">
        <f>'BASE PERIOD'!B84</f>
        <v>Oil Consumed-Fossil Steam</v>
      </c>
      <c r="C84" s="19" t="str">
        <f>'BASE PERIOD'!C84</f>
        <v>Fuel</v>
      </c>
      <c r="D84" s="19">
        <f t="shared" si="2"/>
        <v>501</v>
      </c>
      <c r="E84" s="1458">
        <f>SUM(F84:Q84)</f>
        <v>0</v>
      </c>
      <c r="F84" s="1550">
        <v>0</v>
      </c>
      <c r="G84" s="1550">
        <v>0</v>
      </c>
      <c r="H84" s="1550">
        <v>0</v>
      </c>
      <c r="I84" s="1550">
        <v>0</v>
      </c>
      <c r="J84" s="1550">
        <v>0</v>
      </c>
      <c r="K84" s="1550">
        <v>0</v>
      </c>
      <c r="L84" s="1550">
        <v>0</v>
      </c>
      <c r="M84" s="1550">
        <v>0</v>
      </c>
      <c r="N84" s="1550">
        <v>0</v>
      </c>
      <c r="O84" s="1550">
        <v>0</v>
      </c>
      <c r="P84" s="1550">
        <v>0</v>
      </c>
      <c r="Q84" s="1550">
        <v>0</v>
      </c>
      <c r="R84" s="3"/>
    </row>
    <row r="85" spans="1:18">
      <c r="A85" s="19">
        <f>'BASE PERIOD'!A85</f>
        <v>501350</v>
      </c>
      <c r="B85" s="2770" t="str">
        <f>'BASE PERIOD'!B85</f>
        <v>Oil Handling Expense</v>
      </c>
      <c r="C85" s="19" t="str">
        <f>'BASE PERIOD'!C85</f>
        <v>PO</v>
      </c>
      <c r="D85" s="19">
        <f t="shared" si="2"/>
        <v>501</v>
      </c>
      <c r="E85" s="1458">
        <f>SUM(F85:Q85)</f>
        <v>0</v>
      </c>
      <c r="F85" s="1550">
        <v>0</v>
      </c>
      <c r="G85" s="1550">
        <v>0</v>
      </c>
      <c r="H85" s="1550">
        <v>0</v>
      </c>
      <c r="I85" s="1550">
        <v>0</v>
      </c>
      <c r="J85" s="1550">
        <v>0</v>
      </c>
      <c r="K85" s="1550">
        <v>0</v>
      </c>
      <c r="L85" s="1550">
        <v>0</v>
      </c>
      <c r="M85" s="1550">
        <v>0</v>
      </c>
      <c r="N85" s="1550">
        <v>0</v>
      </c>
      <c r="O85" s="1550">
        <v>0</v>
      </c>
      <c r="P85" s="1550">
        <v>0</v>
      </c>
      <c r="Q85" s="1550">
        <v>0</v>
      </c>
      <c r="R85" s="3"/>
    </row>
    <row r="86" spans="1:18">
      <c r="A86" s="19">
        <f>'BASE PERIOD'!A86</f>
        <v>501996</v>
      </c>
      <c r="B86" s="2770" t="str">
        <f>'BASE PERIOD'!B86</f>
        <v>Fuel Expense</v>
      </c>
      <c r="C86" s="19" t="str">
        <f>'BASE PERIOD'!C86</f>
        <v>Fuel</v>
      </c>
      <c r="D86" s="19">
        <f t="shared" si="2"/>
        <v>501</v>
      </c>
      <c r="E86" s="1458">
        <f>SUM(F86:Q86)</f>
        <v>8758000</v>
      </c>
      <c r="F86" s="1550">
        <v>0</v>
      </c>
      <c r="G86" s="1550">
        <v>329000</v>
      </c>
      <c r="H86" s="1550">
        <v>392000</v>
      </c>
      <c r="I86" s="1550">
        <v>603000</v>
      </c>
      <c r="J86" s="1550">
        <v>317000</v>
      </c>
      <c r="K86" s="1550">
        <v>689000</v>
      </c>
      <c r="L86" s="1550">
        <v>1038000</v>
      </c>
      <c r="M86" s="1550">
        <v>471000</v>
      </c>
      <c r="N86" s="1550">
        <v>313000</v>
      </c>
      <c r="O86" s="1550">
        <v>2516000</v>
      </c>
      <c r="P86" s="1550">
        <v>1095000</v>
      </c>
      <c r="Q86" s="1550">
        <v>995000</v>
      </c>
      <c r="R86" s="3"/>
    </row>
    <row r="87" spans="1:18">
      <c r="A87" s="19">
        <f>'BASE PERIOD'!A87</f>
        <v>502040</v>
      </c>
      <c r="B87" s="2770" t="str">
        <f>'BASE PERIOD'!B87</f>
        <v>COST OF LIME</v>
      </c>
      <c r="C87" s="19" t="str">
        <f>'BASE PERIOD'!C87</f>
        <v>PO</v>
      </c>
      <c r="D87" s="19">
        <f t="shared" si="2"/>
        <v>502</v>
      </c>
      <c r="E87" s="1458">
        <f t="shared" si="1"/>
        <v>9077251</v>
      </c>
      <c r="F87" s="1550">
        <v>0</v>
      </c>
      <c r="G87" s="1550">
        <v>383145</v>
      </c>
      <c r="H87" s="1550">
        <v>633949</v>
      </c>
      <c r="I87" s="1550">
        <v>1115783</v>
      </c>
      <c r="J87" s="1550">
        <v>1112290</v>
      </c>
      <c r="K87" s="1550">
        <v>373987</v>
      </c>
      <c r="L87" s="1550">
        <v>421348</v>
      </c>
      <c r="M87" s="1550">
        <v>1234868</v>
      </c>
      <c r="N87" s="1550">
        <v>1334237</v>
      </c>
      <c r="O87" s="1550">
        <v>689620</v>
      </c>
      <c r="P87" s="1550">
        <v>714251</v>
      </c>
      <c r="Q87" s="1550">
        <v>1063773</v>
      </c>
      <c r="R87" s="3"/>
    </row>
    <row r="88" spans="1:18">
      <c r="A88" s="19">
        <f>'BASE PERIOD'!A88</f>
        <v>502070</v>
      </c>
      <c r="B88" s="2770" t="str">
        <f>'BASE PERIOD'!B88</f>
        <v>Gypsum - Qualifying</v>
      </c>
      <c r="C88" s="19" t="str">
        <f>'BASE PERIOD'!C88</f>
        <v>PO</v>
      </c>
      <c r="D88" s="19">
        <f t="shared" si="2"/>
        <v>502</v>
      </c>
      <c r="E88" s="1458">
        <f>SUM(F88:Q88)</f>
        <v>25000</v>
      </c>
      <c r="F88" s="1550">
        <v>0</v>
      </c>
      <c r="G88" s="1550">
        <v>0</v>
      </c>
      <c r="H88" s="1550">
        <v>5000</v>
      </c>
      <c r="I88" s="1550">
        <v>5000</v>
      </c>
      <c r="J88" s="1550">
        <v>5000</v>
      </c>
      <c r="K88" s="1550">
        <v>5000</v>
      </c>
      <c r="L88" s="1550">
        <v>5000</v>
      </c>
      <c r="M88" s="1550">
        <v>0</v>
      </c>
      <c r="N88" s="1550">
        <v>0</v>
      </c>
      <c r="O88" s="1550">
        <v>0</v>
      </c>
      <c r="P88" s="1550">
        <v>0</v>
      </c>
      <c r="Q88" s="1550">
        <v>0</v>
      </c>
      <c r="R88" s="3"/>
    </row>
    <row r="89" spans="1:18">
      <c r="A89" s="19">
        <f>'BASE PERIOD'!A89</f>
        <v>502100</v>
      </c>
      <c r="B89" s="2770" t="str">
        <f>'BASE PERIOD'!B89</f>
        <v>Fossil Steam Exp-Other</v>
      </c>
      <c r="C89" s="19" t="str">
        <f>'BASE PERIOD'!C89</f>
        <v>PO</v>
      </c>
      <c r="D89" s="19">
        <f t="shared" si="2"/>
        <v>502</v>
      </c>
      <c r="E89" s="1458">
        <f t="shared" si="1"/>
        <v>13611279</v>
      </c>
      <c r="F89" s="1550">
        <v>760470</v>
      </c>
      <c r="G89" s="1550">
        <v>927564</v>
      </c>
      <c r="H89" s="1550">
        <v>1071486</v>
      </c>
      <c r="I89" s="1550">
        <v>1239097</v>
      </c>
      <c r="J89" s="1550">
        <v>1347627</v>
      </c>
      <c r="K89" s="1550">
        <v>982234</v>
      </c>
      <c r="L89" s="1550">
        <v>1000958</v>
      </c>
      <c r="M89" s="1550">
        <v>1277460</v>
      </c>
      <c r="N89" s="1550">
        <v>1316014</v>
      </c>
      <c r="O89" s="1550">
        <v>1353398</v>
      </c>
      <c r="P89" s="1550">
        <v>1286287</v>
      </c>
      <c r="Q89" s="1550">
        <v>1048684</v>
      </c>
      <c r="R89" s="3"/>
    </row>
    <row r="90" spans="1:18">
      <c r="A90" s="19">
        <f>'BASE PERIOD'!A90</f>
        <v>505000</v>
      </c>
      <c r="B90" s="2770" t="str">
        <f>'BASE PERIOD'!B90</f>
        <v>Electric Expenses-Steam Oper</v>
      </c>
      <c r="C90" s="19" t="str">
        <f>'BASE PERIOD'!C90</f>
        <v>PO</v>
      </c>
      <c r="D90" s="19">
        <f t="shared" si="2"/>
        <v>505</v>
      </c>
      <c r="E90" s="1458">
        <f t="shared" ref="E90:E95" si="3">SUM(F90:Q90)</f>
        <v>598467</v>
      </c>
      <c r="F90" s="1550">
        <v>45972</v>
      </c>
      <c r="G90" s="1550">
        <v>46052</v>
      </c>
      <c r="H90" s="1550">
        <v>46078</v>
      </c>
      <c r="I90" s="1550">
        <v>45965</v>
      </c>
      <c r="J90" s="1550">
        <v>66148</v>
      </c>
      <c r="K90" s="1550">
        <v>46078</v>
      </c>
      <c r="L90" s="1550">
        <v>46038</v>
      </c>
      <c r="M90" s="1550">
        <v>45976</v>
      </c>
      <c r="N90" s="1550">
        <v>46173</v>
      </c>
      <c r="O90" s="1550">
        <v>53417</v>
      </c>
      <c r="P90" s="1550">
        <v>45456</v>
      </c>
      <c r="Q90" s="1550">
        <v>65114</v>
      </c>
      <c r="R90" s="3"/>
    </row>
    <row r="91" spans="1:18">
      <c r="A91" s="19">
        <f>'BASE PERIOD'!A91</f>
        <v>506000</v>
      </c>
      <c r="B91" s="2770" t="str">
        <f>'BASE PERIOD'!B91</f>
        <v>Misc Fossil Power Expenses</v>
      </c>
      <c r="C91" s="19" t="str">
        <f>'BASE PERIOD'!C91</f>
        <v>PO</v>
      </c>
      <c r="D91" s="19">
        <f t="shared" si="2"/>
        <v>506</v>
      </c>
      <c r="E91" s="1458">
        <f t="shared" si="3"/>
        <v>2095135</v>
      </c>
      <c r="F91" s="1550">
        <v>165794</v>
      </c>
      <c r="G91" s="1550">
        <v>109809</v>
      </c>
      <c r="H91" s="1550">
        <v>115408</v>
      </c>
      <c r="I91" s="1550">
        <v>166820</v>
      </c>
      <c r="J91" s="1550">
        <v>114260</v>
      </c>
      <c r="K91" s="1550">
        <v>120698</v>
      </c>
      <c r="L91" s="1550">
        <v>165751</v>
      </c>
      <c r="M91" s="1550">
        <v>111891</v>
      </c>
      <c r="N91" s="1550">
        <v>600786</v>
      </c>
      <c r="O91" s="1550">
        <v>183784</v>
      </c>
      <c r="P91" s="1550">
        <v>113401</v>
      </c>
      <c r="Q91" s="1550">
        <v>126733</v>
      </c>
      <c r="R91" s="3"/>
    </row>
    <row r="92" spans="1:18">
      <c r="A92" s="19">
        <f>'BASE PERIOD'!A92</f>
        <v>509030</v>
      </c>
      <c r="B92" s="2770" t="str">
        <f>'BASE PERIOD'!B92</f>
        <v>SO2 Emission Expense</v>
      </c>
      <c r="C92" s="19" t="str">
        <f>'BASE PERIOD'!C92</f>
        <v>EA</v>
      </c>
      <c r="D92" s="19">
        <f t="shared" si="2"/>
        <v>509</v>
      </c>
      <c r="E92" s="1458">
        <f t="shared" si="3"/>
        <v>2357</v>
      </c>
      <c r="F92" s="1550">
        <v>0</v>
      </c>
      <c r="G92" s="1550">
        <v>214</v>
      </c>
      <c r="H92" s="1550">
        <v>496</v>
      </c>
      <c r="I92" s="1550">
        <v>595</v>
      </c>
      <c r="J92" s="1550">
        <v>552</v>
      </c>
      <c r="K92" s="1550">
        <v>500</v>
      </c>
      <c r="L92" s="1550">
        <v>0</v>
      </c>
      <c r="M92" s="1550">
        <v>0</v>
      </c>
      <c r="N92" s="1550">
        <v>0</v>
      </c>
      <c r="O92" s="1550">
        <v>0</v>
      </c>
      <c r="P92" s="1550">
        <v>0</v>
      </c>
      <c r="Q92" s="1550">
        <v>0</v>
      </c>
      <c r="R92" s="3"/>
    </row>
    <row r="93" spans="1:18">
      <c r="A93" s="19">
        <f>'BASE PERIOD'!A93</f>
        <v>509210</v>
      </c>
      <c r="B93" s="2770" t="str">
        <f>'BASE PERIOD'!B93</f>
        <v>Seasonal NOx Emission Expense</v>
      </c>
      <c r="C93" s="19" t="str">
        <f>'BASE PERIOD'!C93</f>
        <v>EA</v>
      </c>
      <c r="D93" s="19">
        <f t="shared" si="2"/>
        <v>509</v>
      </c>
      <c r="E93" s="1458">
        <f t="shared" si="3"/>
        <v>701</v>
      </c>
      <c r="F93" s="1550">
        <v>0</v>
      </c>
      <c r="G93" s="1550">
        <v>28</v>
      </c>
      <c r="H93" s="1550">
        <v>64</v>
      </c>
      <c r="I93" s="1550">
        <v>76</v>
      </c>
      <c r="J93" s="1550">
        <v>72</v>
      </c>
      <c r="K93" s="1550">
        <v>65</v>
      </c>
      <c r="L93" s="1550">
        <v>71</v>
      </c>
      <c r="M93" s="1550">
        <v>66</v>
      </c>
      <c r="N93" s="1550">
        <v>73</v>
      </c>
      <c r="O93" s="1550">
        <v>63</v>
      </c>
      <c r="P93" s="1550">
        <v>60</v>
      </c>
      <c r="Q93" s="1550">
        <v>63</v>
      </c>
      <c r="R93" s="3"/>
    </row>
    <row r="94" spans="1:18">
      <c r="A94" s="19">
        <f>'BASE PERIOD'!A94</f>
        <v>509212</v>
      </c>
      <c r="B94" s="2770" t="str">
        <f>'BASE PERIOD'!B94</f>
        <v>Annual NOx Emission Expense</v>
      </c>
      <c r="C94" s="19" t="str">
        <f>'BASE PERIOD'!C94</f>
        <v>EA</v>
      </c>
      <c r="D94" s="19">
        <f t="shared" si="2"/>
        <v>509</v>
      </c>
      <c r="E94" s="1458">
        <f t="shared" si="3"/>
        <v>0</v>
      </c>
      <c r="F94" s="1550">
        <v>0</v>
      </c>
      <c r="G94" s="1550">
        <v>0</v>
      </c>
      <c r="H94" s="1550">
        <v>0</v>
      </c>
      <c r="I94" s="1550">
        <v>0</v>
      </c>
      <c r="J94" s="1550">
        <v>0</v>
      </c>
      <c r="K94" s="1550">
        <v>0</v>
      </c>
      <c r="L94" s="1550">
        <v>0</v>
      </c>
      <c r="M94" s="1550">
        <v>0</v>
      </c>
      <c r="N94" s="1550">
        <v>0</v>
      </c>
      <c r="O94" s="1550">
        <v>0</v>
      </c>
      <c r="P94" s="1550">
        <v>0</v>
      </c>
      <c r="Q94" s="1550">
        <v>0</v>
      </c>
      <c r="R94" s="3"/>
    </row>
    <row r="95" spans="1:18">
      <c r="A95" s="19">
        <f>'BASE PERIOD'!A95</f>
        <v>510000</v>
      </c>
      <c r="B95" s="2770" t="str">
        <f>'BASE PERIOD'!B95</f>
        <v>Suprvsn and Engrng-Steam Maint</v>
      </c>
      <c r="C95" s="19" t="str">
        <f>'BASE PERIOD'!C95</f>
        <v>PM</v>
      </c>
      <c r="D95" s="19">
        <f t="shared" si="2"/>
        <v>510</v>
      </c>
      <c r="E95" s="1458">
        <f t="shared" si="3"/>
        <v>2271824</v>
      </c>
      <c r="F95" s="1550">
        <v>194776</v>
      </c>
      <c r="G95" s="1550">
        <v>188968</v>
      </c>
      <c r="H95" s="1550">
        <v>189061</v>
      </c>
      <c r="I95" s="1550">
        <v>188643</v>
      </c>
      <c r="J95" s="1550">
        <v>187149</v>
      </c>
      <c r="K95" s="1550">
        <v>189208</v>
      </c>
      <c r="L95" s="1550">
        <v>194968</v>
      </c>
      <c r="M95" s="1550">
        <v>188683</v>
      </c>
      <c r="N95" s="1550">
        <v>189456</v>
      </c>
      <c r="O95" s="1550">
        <v>185887</v>
      </c>
      <c r="P95" s="1550">
        <v>185541</v>
      </c>
      <c r="Q95" s="1550">
        <v>189484</v>
      </c>
      <c r="R95" s="3"/>
    </row>
    <row r="96" spans="1:18">
      <c r="A96" s="19">
        <f>'BASE PERIOD'!A96</f>
        <v>510100</v>
      </c>
      <c r="B96" s="2770" t="str">
        <f>'BASE PERIOD'!B96</f>
        <v>Suprvsn &amp; Engrng-Steam Maint R</v>
      </c>
      <c r="C96" s="19" t="str">
        <f>'BASE PERIOD'!C96</f>
        <v>PM</v>
      </c>
      <c r="D96" s="19">
        <f t="shared" si="2"/>
        <v>510</v>
      </c>
      <c r="E96" s="1458">
        <f t="shared" si="1"/>
        <v>46543</v>
      </c>
      <c r="F96" s="1550">
        <v>3895</v>
      </c>
      <c r="G96" s="1550">
        <v>3897</v>
      </c>
      <c r="H96" s="1550">
        <v>3896</v>
      </c>
      <c r="I96" s="1550">
        <v>3897</v>
      </c>
      <c r="J96" s="1550">
        <v>3897</v>
      </c>
      <c r="K96" s="1550">
        <v>3896</v>
      </c>
      <c r="L96" s="1550">
        <v>3897</v>
      </c>
      <c r="M96" s="1550">
        <v>3896</v>
      </c>
      <c r="N96" s="1550">
        <v>3897</v>
      </c>
      <c r="O96" s="1550">
        <v>3776</v>
      </c>
      <c r="P96" s="1550">
        <v>3764</v>
      </c>
      <c r="Q96" s="1550">
        <v>3935</v>
      </c>
      <c r="R96" s="3"/>
    </row>
    <row r="97" spans="1:18">
      <c r="A97" s="19">
        <f>'BASE PERIOD'!A97</f>
        <v>511000</v>
      </c>
      <c r="B97" s="2770" t="str">
        <f>'BASE PERIOD'!B97</f>
        <v>Maint of Structures-Steam</v>
      </c>
      <c r="C97" s="19" t="str">
        <f>'BASE PERIOD'!C97</f>
        <v>PM</v>
      </c>
      <c r="D97" s="19">
        <f t="shared" ref="D97" si="4">VALUE(LEFT(A97,3))</f>
        <v>511</v>
      </c>
      <c r="E97" s="1458">
        <f>SUM(F97:Q97)</f>
        <v>2881553</v>
      </c>
      <c r="F97" s="1550">
        <v>235176</v>
      </c>
      <c r="G97" s="1550">
        <v>234522</v>
      </c>
      <c r="H97" s="1550">
        <v>234540</v>
      </c>
      <c r="I97" s="1550">
        <v>234424</v>
      </c>
      <c r="J97" s="1550">
        <v>261037</v>
      </c>
      <c r="K97" s="1550">
        <v>234579</v>
      </c>
      <c r="L97" s="1550">
        <v>234487</v>
      </c>
      <c r="M97" s="1550">
        <v>234420</v>
      </c>
      <c r="N97" s="1550">
        <v>234679</v>
      </c>
      <c r="O97" s="1550">
        <v>246286</v>
      </c>
      <c r="P97" s="1550">
        <v>235226</v>
      </c>
      <c r="Q97" s="1550">
        <v>262177</v>
      </c>
      <c r="R97" s="3"/>
    </row>
    <row r="98" spans="1:18">
      <c r="A98" s="19">
        <f>'BASE PERIOD'!A98</f>
        <v>512100</v>
      </c>
      <c r="B98" s="2770" t="str">
        <f>'BASE PERIOD'!B98</f>
        <v>Maint of Boiler Plant-Other</v>
      </c>
      <c r="C98" s="19" t="str">
        <f>'BASE PERIOD'!C98</f>
        <v>PM</v>
      </c>
      <c r="D98" s="19">
        <f t="shared" si="2"/>
        <v>512</v>
      </c>
      <c r="E98" s="1458">
        <f>SUM(F98:Q98)</f>
        <v>10527395</v>
      </c>
      <c r="F98" s="1550">
        <v>2812128</v>
      </c>
      <c r="G98" s="1550">
        <v>2289625</v>
      </c>
      <c r="H98" s="1550">
        <v>392152</v>
      </c>
      <c r="I98" s="1550">
        <v>379934</v>
      </c>
      <c r="J98" s="1550">
        <v>418278</v>
      </c>
      <c r="K98" s="1550">
        <v>380158</v>
      </c>
      <c r="L98" s="1550">
        <v>380074</v>
      </c>
      <c r="M98" s="1550">
        <v>379955</v>
      </c>
      <c r="N98" s="1550">
        <v>380330</v>
      </c>
      <c r="O98" s="1550">
        <v>64687</v>
      </c>
      <c r="P98" s="1550">
        <v>240293</v>
      </c>
      <c r="Q98" s="1550">
        <v>2409781</v>
      </c>
      <c r="R98" s="3"/>
    </row>
    <row r="99" spans="1:18">
      <c r="A99" s="19">
        <f>'BASE PERIOD'!A99</f>
        <v>513100</v>
      </c>
      <c r="B99" s="2770" t="str">
        <f>'BASE PERIOD'!B99</f>
        <v>Maint of Electric Plant-Other</v>
      </c>
      <c r="C99" s="19" t="str">
        <f>'BASE PERIOD'!C99</f>
        <v>PM</v>
      </c>
      <c r="D99" s="19">
        <f t="shared" si="2"/>
        <v>513</v>
      </c>
      <c r="E99" s="1458">
        <f t="shared" ref="E99:E132" si="5">SUM(F99:Q99)</f>
        <v>5474702</v>
      </c>
      <c r="F99" s="1550">
        <v>1575747</v>
      </c>
      <c r="G99" s="1550">
        <v>1418140</v>
      </c>
      <c r="H99" s="1550">
        <v>142628</v>
      </c>
      <c r="I99" s="1550">
        <v>16481</v>
      </c>
      <c r="J99" s="1550">
        <v>16481</v>
      </c>
      <c r="K99" s="1550">
        <v>16492</v>
      </c>
      <c r="L99" s="1550">
        <v>16482</v>
      </c>
      <c r="M99" s="1550">
        <v>16481</v>
      </c>
      <c r="N99" s="1550">
        <v>16482</v>
      </c>
      <c r="O99" s="1550">
        <v>177476</v>
      </c>
      <c r="P99" s="1550">
        <v>533125</v>
      </c>
      <c r="Q99" s="1550">
        <v>1528687</v>
      </c>
      <c r="R99" s="3"/>
    </row>
    <row r="100" spans="1:18">
      <c r="A100" s="19">
        <f>'BASE PERIOD'!A100</f>
        <v>514000</v>
      </c>
      <c r="B100" s="2770" t="str">
        <f>'BASE PERIOD'!B100</f>
        <v>Maintenance - Misc Steam Plant</v>
      </c>
      <c r="C100" s="19" t="str">
        <f>'BASE PERIOD'!C100</f>
        <v>PM</v>
      </c>
      <c r="D100" s="19">
        <f t="shared" si="2"/>
        <v>514</v>
      </c>
      <c r="E100" s="1458">
        <f t="shared" si="5"/>
        <v>348465</v>
      </c>
      <c r="F100" s="1550">
        <v>26184</v>
      </c>
      <c r="G100" s="1550">
        <v>36625</v>
      </c>
      <c r="H100" s="1550">
        <v>26237</v>
      </c>
      <c r="I100" s="1550">
        <v>26180</v>
      </c>
      <c r="J100" s="1550">
        <v>36261</v>
      </c>
      <c r="K100" s="1550">
        <v>26239</v>
      </c>
      <c r="L100" s="1550">
        <v>26217</v>
      </c>
      <c r="M100" s="1550">
        <v>26185</v>
      </c>
      <c r="N100" s="1550">
        <v>26284</v>
      </c>
      <c r="O100" s="1550">
        <v>30319</v>
      </c>
      <c r="P100" s="1550">
        <v>25956</v>
      </c>
      <c r="Q100" s="1550">
        <v>35778</v>
      </c>
      <c r="R100" s="3"/>
    </row>
    <row r="101" spans="1:18">
      <c r="A101" s="19">
        <f>'BASE PERIOD'!A101</f>
        <v>514300</v>
      </c>
      <c r="B101" s="2770" t="str">
        <f>'BASE PERIOD'!B101</f>
        <v>Maintenance - Misc Steam Plant</v>
      </c>
      <c r="C101" s="19" t="str">
        <f>'BASE PERIOD'!C101</f>
        <v>PM</v>
      </c>
      <c r="D101" s="19">
        <f t="shared" si="2"/>
        <v>514</v>
      </c>
      <c r="E101" s="1458">
        <f t="shared" si="5"/>
        <v>0</v>
      </c>
      <c r="F101" s="1550">
        <v>0</v>
      </c>
      <c r="G101" s="1550">
        <v>0</v>
      </c>
      <c r="H101" s="1550">
        <v>0</v>
      </c>
      <c r="I101" s="1550">
        <v>0</v>
      </c>
      <c r="J101" s="1550">
        <v>0</v>
      </c>
      <c r="K101" s="1550">
        <v>0</v>
      </c>
      <c r="L101" s="1550">
        <v>0</v>
      </c>
      <c r="M101" s="1550">
        <v>0</v>
      </c>
      <c r="N101" s="1550">
        <v>0</v>
      </c>
      <c r="O101" s="1550">
        <v>0</v>
      </c>
      <c r="P101" s="1550">
        <v>0</v>
      </c>
      <c r="Q101" s="1550">
        <v>0</v>
      </c>
      <c r="R101" s="3"/>
    </row>
    <row r="102" spans="1:18">
      <c r="A102" s="19">
        <f>'BASE PERIOD'!A102</f>
        <v>546000</v>
      </c>
      <c r="B102" s="2770" t="str">
        <f>'BASE PERIOD'!B102</f>
        <v>Suprvsn and Enginring-CT Oper</v>
      </c>
      <c r="C102" s="19" t="str">
        <f>'BASE PERIOD'!C102</f>
        <v>PO</v>
      </c>
      <c r="D102" s="19">
        <f t="shared" si="2"/>
        <v>546</v>
      </c>
      <c r="E102" s="1458">
        <f t="shared" si="5"/>
        <v>316008</v>
      </c>
      <c r="F102" s="1550">
        <v>26046</v>
      </c>
      <c r="G102" s="1550">
        <v>26081</v>
      </c>
      <c r="H102" s="1550">
        <v>26086</v>
      </c>
      <c r="I102" s="1550">
        <v>26050</v>
      </c>
      <c r="J102" s="1550">
        <v>25905</v>
      </c>
      <c r="K102" s="1550">
        <v>27827</v>
      </c>
      <c r="L102" s="1550">
        <v>26079</v>
      </c>
      <c r="M102" s="1550">
        <v>26052</v>
      </c>
      <c r="N102" s="1550">
        <v>26143</v>
      </c>
      <c r="O102" s="1550">
        <v>26349</v>
      </c>
      <c r="P102" s="1550">
        <v>25589</v>
      </c>
      <c r="Q102" s="1550">
        <v>27801</v>
      </c>
      <c r="R102" s="3"/>
    </row>
    <row r="103" spans="1:18">
      <c r="A103" s="19">
        <f>'BASE PERIOD'!A103</f>
        <v>547100</v>
      </c>
      <c r="B103" s="2770" t="str">
        <f>'BASE PERIOD'!B103</f>
        <v>Natural Gas</v>
      </c>
      <c r="C103" s="19" t="str">
        <f>'BASE PERIOD'!C103</f>
        <v>Fuel</v>
      </c>
      <c r="D103" s="19">
        <f t="shared" si="2"/>
        <v>547</v>
      </c>
      <c r="E103" s="1458">
        <f t="shared" si="5"/>
        <v>447000</v>
      </c>
      <c r="F103" s="1550">
        <v>0</v>
      </c>
      <c r="G103" s="1550">
        <v>26000</v>
      </c>
      <c r="H103" s="1550">
        <v>77000</v>
      </c>
      <c r="I103" s="1550">
        <v>343000</v>
      </c>
      <c r="J103" s="1550">
        <v>0</v>
      </c>
      <c r="K103" s="1550">
        <v>1000</v>
      </c>
      <c r="L103" s="1550">
        <v>0</v>
      </c>
      <c r="M103" s="1550">
        <v>0</v>
      </c>
      <c r="N103" s="1550">
        <v>0</v>
      </c>
      <c r="O103" s="1550">
        <v>0</v>
      </c>
      <c r="P103" s="1550">
        <v>0</v>
      </c>
      <c r="Q103" s="1550">
        <v>0</v>
      </c>
      <c r="R103" s="3"/>
    </row>
    <row r="104" spans="1:18">
      <c r="A104" s="19">
        <f>'BASE PERIOD'!A104</f>
        <v>547150</v>
      </c>
      <c r="B104" s="2770" t="str">
        <f>'BASE PERIOD'!B104</f>
        <v>Natural Gas Handling-CT</v>
      </c>
      <c r="C104" s="2783" t="s">
        <v>1174</v>
      </c>
      <c r="D104" s="19">
        <f t="shared" si="2"/>
        <v>547</v>
      </c>
      <c r="E104" s="1458">
        <f t="shared" si="5"/>
        <v>11590</v>
      </c>
      <c r="F104" s="1550">
        <v>968</v>
      </c>
      <c r="G104" s="1550">
        <v>968</v>
      </c>
      <c r="H104" s="1550">
        <v>968</v>
      </c>
      <c r="I104" s="1550">
        <v>968</v>
      </c>
      <c r="J104" s="1550">
        <v>968</v>
      </c>
      <c r="K104" s="1550">
        <v>968</v>
      </c>
      <c r="L104" s="1550">
        <v>968</v>
      </c>
      <c r="M104" s="1550">
        <v>968</v>
      </c>
      <c r="N104" s="1550">
        <v>968</v>
      </c>
      <c r="O104" s="1550">
        <v>950</v>
      </c>
      <c r="P104" s="1550">
        <v>950</v>
      </c>
      <c r="Q104" s="1550">
        <v>978</v>
      </c>
      <c r="R104" s="3"/>
    </row>
    <row r="105" spans="1:18">
      <c r="A105" s="19">
        <f>'BASE PERIOD'!A105</f>
        <v>547701</v>
      </c>
      <c r="B105" s="2770" t="str">
        <f>'BASE PERIOD'!B105</f>
        <v>Propane Gas</v>
      </c>
      <c r="C105" s="19" t="str">
        <f>'BASE PERIOD'!C105</f>
        <v>Fuel</v>
      </c>
      <c r="D105" s="19">
        <f t="shared" si="2"/>
        <v>547</v>
      </c>
      <c r="E105" s="1458">
        <f t="shared" si="5"/>
        <v>0</v>
      </c>
      <c r="F105" s="1550">
        <v>0</v>
      </c>
      <c r="G105" s="1550">
        <v>0</v>
      </c>
      <c r="H105" s="1550">
        <v>0</v>
      </c>
      <c r="I105" s="1550">
        <v>0</v>
      </c>
      <c r="J105" s="1550">
        <v>0</v>
      </c>
      <c r="K105" s="1550">
        <v>0</v>
      </c>
      <c r="L105" s="1550">
        <v>0</v>
      </c>
      <c r="M105" s="1550">
        <v>0</v>
      </c>
      <c r="N105" s="1550">
        <v>0</v>
      </c>
      <c r="O105" s="1550">
        <v>0</v>
      </c>
      <c r="P105" s="1550">
        <v>0</v>
      </c>
      <c r="Q105" s="1550">
        <v>0</v>
      </c>
      <c r="R105" s="3"/>
    </row>
    <row r="106" spans="1:18">
      <c r="A106" s="19">
        <f>'BASE PERIOD'!A106</f>
        <v>548100</v>
      </c>
      <c r="B106" s="2770" t="str">
        <f>'BASE PERIOD'!B106</f>
        <v>Generation Expenses-Other CT</v>
      </c>
      <c r="C106" s="19" t="str">
        <f>'BASE PERIOD'!C106</f>
        <v>PO</v>
      </c>
      <c r="D106" s="19">
        <f t="shared" si="2"/>
        <v>548</v>
      </c>
      <c r="E106" s="1458">
        <f t="shared" si="5"/>
        <v>23110</v>
      </c>
      <c r="F106" s="1550">
        <v>1876</v>
      </c>
      <c r="G106" s="1550">
        <v>1889</v>
      </c>
      <c r="H106" s="1550">
        <v>1997</v>
      </c>
      <c r="I106" s="1550">
        <v>1929</v>
      </c>
      <c r="J106" s="1550">
        <v>1886</v>
      </c>
      <c r="K106" s="1550">
        <v>1996</v>
      </c>
      <c r="L106" s="1550">
        <v>1864</v>
      </c>
      <c r="M106" s="1550">
        <v>1885</v>
      </c>
      <c r="N106" s="1550">
        <v>2047</v>
      </c>
      <c r="O106" s="1550">
        <v>1853</v>
      </c>
      <c r="P106" s="1550">
        <v>1851</v>
      </c>
      <c r="Q106" s="1550">
        <v>2037</v>
      </c>
      <c r="R106" s="3"/>
    </row>
    <row r="107" spans="1:18">
      <c r="A107" s="19">
        <f>'BASE PERIOD'!A107</f>
        <v>548200</v>
      </c>
      <c r="B107" s="2770" t="str">
        <f>'BASE PERIOD'!B107</f>
        <v>Prime Movers - Generators- CT</v>
      </c>
      <c r="C107" s="19" t="str">
        <f>'BASE PERIOD'!C107</f>
        <v>PO</v>
      </c>
      <c r="D107" s="19">
        <f t="shared" si="2"/>
        <v>548</v>
      </c>
      <c r="E107" s="1458">
        <f t="shared" si="5"/>
        <v>344747</v>
      </c>
      <c r="F107" s="1550">
        <v>26255</v>
      </c>
      <c r="G107" s="1550">
        <v>26305</v>
      </c>
      <c r="H107" s="1550">
        <v>26322</v>
      </c>
      <c r="I107" s="1550">
        <v>26250</v>
      </c>
      <c r="J107" s="1550">
        <v>38999</v>
      </c>
      <c r="K107" s="1550">
        <v>26322</v>
      </c>
      <c r="L107" s="1550">
        <v>26297</v>
      </c>
      <c r="M107" s="1550">
        <v>26257</v>
      </c>
      <c r="N107" s="1550">
        <v>26381</v>
      </c>
      <c r="O107" s="1550">
        <v>31148</v>
      </c>
      <c r="P107" s="1550">
        <v>25899</v>
      </c>
      <c r="Q107" s="1550">
        <v>38312</v>
      </c>
      <c r="R107" s="3"/>
    </row>
    <row r="108" spans="1:18">
      <c r="A108" s="19">
        <f>'BASE PERIOD'!A108</f>
        <v>549000</v>
      </c>
      <c r="B108" s="2770" t="str">
        <f>'BASE PERIOD'!B108</f>
        <v>Misc-Power Generation Expenses</v>
      </c>
      <c r="C108" s="19" t="str">
        <f>'BASE PERIOD'!C108</f>
        <v>PO</v>
      </c>
      <c r="D108" s="19">
        <f t="shared" si="2"/>
        <v>549</v>
      </c>
      <c r="E108" s="1458">
        <f t="shared" si="5"/>
        <v>805958</v>
      </c>
      <c r="F108" s="1550">
        <v>58729</v>
      </c>
      <c r="G108" s="1550">
        <v>80331</v>
      </c>
      <c r="H108" s="1550">
        <v>66551</v>
      </c>
      <c r="I108" s="1550">
        <v>61552</v>
      </c>
      <c r="J108" s="1550">
        <v>75607</v>
      </c>
      <c r="K108" s="1550">
        <v>66550</v>
      </c>
      <c r="L108" s="1550">
        <v>61201</v>
      </c>
      <c r="M108" s="1550">
        <v>63791</v>
      </c>
      <c r="N108" s="1550">
        <v>64462</v>
      </c>
      <c r="O108" s="1550">
        <v>66798</v>
      </c>
      <c r="P108" s="1550">
        <v>60880</v>
      </c>
      <c r="Q108" s="1550">
        <v>79506</v>
      </c>
      <c r="R108" s="3"/>
    </row>
    <row r="109" spans="1:18">
      <c r="A109" s="19">
        <f>'BASE PERIOD'!A109</f>
        <v>551000</v>
      </c>
      <c r="B109" s="2770" t="str">
        <f>'BASE PERIOD'!B109</f>
        <v>Suprvsn and Enginring-CT Maint</v>
      </c>
      <c r="C109" s="19" t="str">
        <f>'BASE PERIOD'!C109</f>
        <v>PM</v>
      </c>
      <c r="D109" s="19">
        <f t="shared" si="2"/>
        <v>551</v>
      </c>
      <c r="E109" s="1458">
        <f t="shared" si="5"/>
        <v>361559</v>
      </c>
      <c r="F109" s="1550">
        <v>31068</v>
      </c>
      <c r="G109" s="1550">
        <v>32140</v>
      </c>
      <c r="H109" s="1550">
        <v>29096</v>
      </c>
      <c r="I109" s="1550">
        <v>31837</v>
      </c>
      <c r="J109" s="1550">
        <v>28831</v>
      </c>
      <c r="K109" s="1550">
        <v>29193</v>
      </c>
      <c r="L109" s="1550">
        <v>31874</v>
      </c>
      <c r="M109" s="1550">
        <v>29043</v>
      </c>
      <c r="N109" s="1550">
        <v>29916</v>
      </c>
      <c r="O109" s="1550">
        <v>30572</v>
      </c>
      <c r="P109" s="1550">
        <v>28735</v>
      </c>
      <c r="Q109" s="1550">
        <v>29254</v>
      </c>
      <c r="R109" s="3"/>
    </row>
    <row r="110" spans="1:18">
      <c r="A110" s="19">
        <f>'BASE PERIOD'!A110</f>
        <v>552000</v>
      </c>
      <c r="B110" s="2770" t="str">
        <f>'BASE PERIOD'!B110</f>
        <v>Maintenance of Structures-CT</v>
      </c>
      <c r="C110" s="19" t="str">
        <f>'BASE PERIOD'!C110</f>
        <v>PM</v>
      </c>
      <c r="D110" s="19">
        <f t="shared" si="2"/>
        <v>552</v>
      </c>
      <c r="E110" s="1458">
        <f t="shared" si="5"/>
        <v>334337</v>
      </c>
      <c r="F110" s="1550">
        <v>8542</v>
      </c>
      <c r="G110" s="1550">
        <v>52087</v>
      </c>
      <c r="H110" s="1550">
        <v>176542</v>
      </c>
      <c r="I110" s="1550">
        <v>8542</v>
      </c>
      <c r="J110" s="1550">
        <v>8542</v>
      </c>
      <c r="K110" s="1550">
        <v>28543</v>
      </c>
      <c r="L110" s="1550">
        <v>8542</v>
      </c>
      <c r="M110" s="1550">
        <v>8542</v>
      </c>
      <c r="N110" s="1550">
        <v>8573</v>
      </c>
      <c r="O110" s="1550">
        <v>8627</v>
      </c>
      <c r="P110" s="1550">
        <v>8627</v>
      </c>
      <c r="Q110" s="1550">
        <v>8628</v>
      </c>
      <c r="R110" s="3"/>
    </row>
    <row r="111" spans="1:18">
      <c r="A111" s="19">
        <f>'BASE PERIOD'!A111</f>
        <v>553000</v>
      </c>
      <c r="B111" s="2770" t="str">
        <f>'BASE PERIOD'!B111</f>
        <v>Maint-Gentg and Elect Equip-CT</v>
      </c>
      <c r="C111" s="19" t="str">
        <f>'BASE PERIOD'!C111</f>
        <v>PM</v>
      </c>
      <c r="D111" s="19">
        <f t="shared" si="2"/>
        <v>553</v>
      </c>
      <c r="E111" s="1458">
        <f t="shared" si="5"/>
        <v>287717</v>
      </c>
      <c r="F111" s="1550">
        <v>6511</v>
      </c>
      <c r="G111" s="1550">
        <v>54538</v>
      </c>
      <c r="H111" s="1550">
        <v>15611</v>
      </c>
      <c r="I111" s="1550">
        <v>6508</v>
      </c>
      <c r="J111" s="1550">
        <v>8078</v>
      </c>
      <c r="K111" s="1550">
        <v>101132</v>
      </c>
      <c r="L111" s="1550">
        <v>6518</v>
      </c>
      <c r="M111" s="1550">
        <v>6509</v>
      </c>
      <c r="N111" s="1550">
        <v>10111</v>
      </c>
      <c r="O111" s="1550">
        <v>7096</v>
      </c>
      <c r="P111" s="1550">
        <v>6476</v>
      </c>
      <c r="Q111" s="1550">
        <v>58629</v>
      </c>
      <c r="R111" s="3"/>
    </row>
    <row r="112" spans="1:18">
      <c r="A112" s="19">
        <f>'BASE PERIOD'!A112</f>
        <v>554000</v>
      </c>
      <c r="B112" s="2770" t="str">
        <f>'BASE PERIOD'!B112</f>
        <v>Misc Power Generation Plant-CT</v>
      </c>
      <c r="C112" s="19" t="str">
        <f>'BASE PERIOD'!C112</f>
        <v>PM</v>
      </c>
      <c r="D112" s="19">
        <f t="shared" si="2"/>
        <v>554</v>
      </c>
      <c r="E112" s="1458">
        <f>SUM(F112:Q112)</f>
        <v>169788</v>
      </c>
      <c r="F112" s="1550">
        <v>11887</v>
      </c>
      <c r="G112" s="1550">
        <v>32298</v>
      </c>
      <c r="H112" s="1550">
        <v>11901</v>
      </c>
      <c r="I112" s="1550">
        <v>11886</v>
      </c>
      <c r="J112" s="1550">
        <v>14608</v>
      </c>
      <c r="K112" s="1550">
        <v>11901</v>
      </c>
      <c r="L112" s="1550">
        <v>11896</v>
      </c>
      <c r="M112" s="1550">
        <v>11888</v>
      </c>
      <c r="N112" s="1550">
        <v>11930</v>
      </c>
      <c r="O112" s="1550">
        <v>13195</v>
      </c>
      <c r="P112" s="1550">
        <v>11875</v>
      </c>
      <c r="Q112" s="1550">
        <v>14523</v>
      </c>
      <c r="R112" s="3"/>
    </row>
    <row r="113" spans="1:18">
      <c r="A113" s="19">
        <f>'BASE PERIOD'!A113</f>
        <v>555028</v>
      </c>
      <c r="B113" s="2770" t="str">
        <f>'BASE PERIOD'!B113</f>
        <v>Purch Pwr - Non-native - net</v>
      </c>
      <c r="C113" s="19" t="str">
        <f>'BASE PERIOD'!C113</f>
        <v>PP</v>
      </c>
      <c r="D113" s="19">
        <f t="shared" si="2"/>
        <v>555</v>
      </c>
      <c r="E113" s="1458">
        <f t="shared" si="5"/>
        <v>0</v>
      </c>
      <c r="F113" s="1550">
        <v>0</v>
      </c>
      <c r="G113" s="1550">
        <v>0</v>
      </c>
      <c r="H113" s="1550">
        <v>0</v>
      </c>
      <c r="I113" s="1550">
        <v>0</v>
      </c>
      <c r="J113" s="1550">
        <v>0</v>
      </c>
      <c r="K113" s="1550">
        <v>0</v>
      </c>
      <c r="L113" s="1550">
        <v>0</v>
      </c>
      <c r="M113" s="1550">
        <v>0</v>
      </c>
      <c r="N113" s="1550">
        <v>0</v>
      </c>
      <c r="O113" s="1550">
        <v>0</v>
      </c>
      <c r="P113" s="1550">
        <v>0</v>
      </c>
      <c r="Q113" s="1550">
        <v>0</v>
      </c>
      <c r="R113" s="3"/>
    </row>
    <row r="114" spans="1:18">
      <c r="A114" s="19">
        <f>'BASE PERIOD'!A114</f>
        <v>555190</v>
      </c>
      <c r="B114" s="2770" t="str">
        <f>'BASE PERIOD'!B114</f>
        <v>Capacity Purchase Expense</v>
      </c>
      <c r="C114" s="19" t="str">
        <f>'BASE PERIOD'!C114</f>
        <v>PP</v>
      </c>
      <c r="D114" s="19">
        <f t="shared" si="2"/>
        <v>555</v>
      </c>
      <c r="E114" s="1458">
        <f t="shared" si="5"/>
        <v>0</v>
      </c>
      <c r="F114" s="1550">
        <v>0</v>
      </c>
      <c r="G114" s="1550">
        <v>0</v>
      </c>
      <c r="H114" s="1550">
        <v>0</v>
      </c>
      <c r="I114" s="1550">
        <v>0</v>
      </c>
      <c r="J114" s="1550">
        <v>0</v>
      </c>
      <c r="K114" s="1550">
        <v>0</v>
      </c>
      <c r="L114" s="1550">
        <v>0</v>
      </c>
      <c r="M114" s="1550">
        <v>0</v>
      </c>
      <c r="N114" s="1550">
        <v>0</v>
      </c>
      <c r="O114" s="1550">
        <v>0</v>
      </c>
      <c r="P114" s="1550">
        <v>0</v>
      </c>
      <c r="Q114" s="1550">
        <v>0</v>
      </c>
      <c r="R114" s="3"/>
    </row>
    <row r="115" spans="1:18">
      <c r="A115" s="19">
        <f>'BASE PERIOD'!A115</f>
        <v>555202</v>
      </c>
      <c r="B115" s="2770" t="str">
        <f>'BASE PERIOD'!B115</f>
        <v>Purch Power-Fuel Clause</v>
      </c>
      <c r="C115" s="19" t="str">
        <f>'BASE PERIOD'!C115</f>
        <v>PP</v>
      </c>
      <c r="D115" s="19">
        <f t="shared" si="2"/>
        <v>555</v>
      </c>
      <c r="E115" s="1458">
        <f>SUM(F115:Q115)</f>
        <v>37662808</v>
      </c>
      <c r="F115" s="1550">
        <v>9464331</v>
      </c>
      <c r="G115" s="1550">
        <v>6280976</v>
      </c>
      <c r="H115" s="1550">
        <v>3336000</v>
      </c>
      <c r="I115" s="1550">
        <v>2810000</v>
      </c>
      <c r="J115" s="1550">
        <v>2947000</v>
      </c>
      <c r="K115" s="1550">
        <v>1989000</v>
      </c>
      <c r="L115" s="1550">
        <v>1028000</v>
      </c>
      <c r="M115" s="1550">
        <v>1584000</v>
      </c>
      <c r="N115" s="1550">
        <v>2078000</v>
      </c>
      <c r="O115" s="1550">
        <v>2628167</v>
      </c>
      <c r="P115" s="1550">
        <v>2235167</v>
      </c>
      <c r="Q115" s="1550">
        <v>1282167</v>
      </c>
      <c r="R115" s="3"/>
    </row>
    <row r="116" spans="1:18">
      <c r="A116" s="19">
        <f>'BASE PERIOD'!A116</f>
        <v>556000</v>
      </c>
      <c r="B116" s="2770" t="str">
        <f>'BASE PERIOD'!B116</f>
        <v>System Cnts &amp; Load Dispatching</v>
      </c>
      <c r="C116" s="19" t="str">
        <f>'BASE PERIOD'!C116</f>
        <v>OPS</v>
      </c>
      <c r="D116" s="19">
        <f t="shared" si="2"/>
        <v>556</v>
      </c>
      <c r="E116" s="1458">
        <f>SUM(F116:Q116)</f>
        <v>288</v>
      </c>
      <c r="F116" s="1550">
        <v>24</v>
      </c>
      <c r="G116" s="1550">
        <v>24</v>
      </c>
      <c r="H116" s="1550">
        <v>24</v>
      </c>
      <c r="I116" s="1550">
        <v>24</v>
      </c>
      <c r="J116" s="1550">
        <v>24</v>
      </c>
      <c r="K116" s="1550">
        <v>24</v>
      </c>
      <c r="L116" s="1550">
        <v>24</v>
      </c>
      <c r="M116" s="1550">
        <v>24</v>
      </c>
      <c r="N116" s="1550">
        <v>24</v>
      </c>
      <c r="O116" s="1550">
        <v>24</v>
      </c>
      <c r="P116" s="1550">
        <v>24</v>
      </c>
      <c r="Q116" s="1550">
        <v>24</v>
      </c>
      <c r="R116" s="3"/>
    </row>
    <row r="117" spans="1:18">
      <c r="A117" s="19">
        <f>'BASE PERIOD'!A117</f>
        <v>557000</v>
      </c>
      <c r="B117" s="2770" t="str">
        <f>'BASE PERIOD'!B117</f>
        <v>Other Expenses-Oper</v>
      </c>
      <c r="C117" s="19" t="str">
        <f>'BASE PERIOD'!C117</f>
        <v>OPS</v>
      </c>
      <c r="D117" s="19">
        <f t="shared" si="2"/>
        <v>557</v>
      </c>
      <c r="E117" s="1458">
        <f>SUM(F117:Q117)</f>
        <v>8841445</v>
      </c>
      <c r="F117" s="1550">
        <v>776593</v>
      </c>
      <c r="G117" s="1550">
        <v>774614</v>
      </c>
      <c r="H117" s="1550">
        <v>774584</v>
      </c>
      <c r="I117" s="1550">
        <v>776569</v>
      </c>
      <c r="J117" s="1550">
        <v>774615</v>
      </c>
      <c r="K117" s="1550">
        <v>774603</v>
      </c>
      <c r="L117" s="1550">
        <v>776589</v>
      </c>
      <c r="M117" s="1550">
        <v>774609</v>
      </c>
      <c r="N117" s="1550">
        <v>774628</v>
      </c>
      <c r="O117" s="1550">
        <v>622642</v>
      </c>
      <c r="P117" s="1550">
        <v>620590</v>
      </c>
      <c r="Q117" s="1550">
        <v>620809</v>
      </c>
      <c r="R117" s="3"/>
    </row>
    <row r="118" spans="1:18">
      <c r="A118" s="19">
        <f>'BASE PERIOD'!A118</f>
        <v>557450</v>
      </c>
      <c r="B118" s="2770" t="str">
        <f>'BASE PERIOD'!B118</f>
        <v>Commissions/Brokerage Expense</v>
      </c>
      <c r="C118" s="19" t="str">
        <f>'BASE PERIOD'!C118</f>
        <v>OPS</v>
      </c>
      <c r="D118" s="19">
        <f t="shared" si="2"/>
        <v>557</v>
      </c>
      <c r="E118" s="1458">
        <f t="shared" si="5"/>
        <v>0</v>
      </c>
      <c r="F118" s="1550">
        <v>0</v>
      </c>
      <c r="G118" s="1550">
        <v>0</v>
      </c>
      <c r="H118" s="1550">
        <v>0</v>
      </c>
      <c r="I118" s="1550">
        <v>0</v>
      </c>
      <c r="J118" s="1550">
        <v>0</v>
      </c>
      <c r="K118" s="1550">
        <v>0</v>
      </c>
      <c r="L118" s="1550">
        <v>0</v>
      </c>
      <c r="M118" s="1550">
        <v>0</v>
      </c>
      <c r="N118" s="1550">
        <v>0</v>
      </c>
      <c r="O118" s="1550">
        <v>0</v>
      </c>
      <c r="P118" s="1550">
        <v>0</v>
      </c>
      <c r="Q118" s="1550">
        <v>0</v>
      </c>
      <c r="R118" s="3"/>
    </row>
    <row r="119" spans="1:18">
      <c r="A119" s="19">
        <f>'BASE PERIOD'!A119</f>
        <v>557980</v>
      </c>
      <c r="B119" s="2770" t="str">
        <f>'BASE PERIOD'!B119</f>
        <v>Retail Deferred Fuel Expenses</v>
      </c>
      <c r="C119" s="19" t="str">
        <f>'BASE PERIOD'!C119</f>
        <v>Fuel</v>
      </c>
      <c r="D119" s="19">
        <f t="shared" si="2"/>
        <v>557</v>
      </c>
      <c r="E119" s="1458">
        <f>SUM(F119:Q119)</f>
        <v>2298018</v>
      </c>
      <c r="F119" s="1550">
        <v>-1898409</v>
      </c>
      <c r="G119" s="1550">
        <v>1601565</v>
      </c>
      <c r="H119" s="1550">
        <v>2161536</v>
      </c>
      <c r="I119" s="1550">
        <v>453505</v>
      </c>
      <c r="J119" s="1550">
        <v>-325184</v>
      </c>
      <c r="K119" s="1550">
        <v>543501</v>
      </c>
      <c r="L119" s="1550">
        <v>575422</v>
      </c>
      <c r="M119" s="1550">
        <v>-54928</v>
      </c>
      <c r="N119" s="1550">
        <v>-429892</v>
      </c>
      <c r="O119" s="1550">
        <v>-991743</v>
      </c>
      <c r="P119" s="1550">
        <v>-413408</v>
      </c>
      <c r="Q119" s="1550">
        <v>1076053</v>
      </c>
      <c r="R119" s="3"/>
    </row>
    <row r="120" spans="1:18">
      <c r="A120" s="19">
        <f>'BASE PERIOD'!A120</f>
        <v>560000</v>
      </c>
      <c r="B120" s="2770" t="str">
        <f>'BASE PERIOD'!B120</f>
        <v>Supervsn and Engrng-Trans Oper</v>
      </c>
      <c r="C120" s="19" t="str">
        <f>'BASE PERIOD'!C120</f>
        <v>TO</v>
      </c>
      <c r="D120" s="19">
        <f t="shared" si="2"/>
        <v>560</v>
      </c>
      <c r="E120" s="1458">
        <f t="shared" si="5"/>
        <v>39904</v>
      </c>
      <c r="F120" s="1550">
        <v>2689</v>
      </c>
      <c r="G120" s="1550">
        <v>2689</v>
      </c>
      <c r="H120" s="1550">
        <v>2689</v>
      </c>
      <c r="I120" s="1550">
        <v>2689</v>
      </c>
      <c r="J120" s="1550">
        <v>2689</v>
      </c>
      <c r="K120" s="1550">
        <v>2698</v>
      </c>
      <c r="L120" s="1550">
        <v>2652</v>
      </c>
      <c r="M120" s="1550">
        <v>2652</v>
      </c>
      <c r="N120" s="1550">
        <v>10312</v>
      </c>
      <c r="O120" s="1550">
        <v>2715</v>
      </c>
      <c r="P120" s="1550">
        <v>2715</v>
      </c>
      <c r="Q120" s="1550">
        <v>2715</v>
      </c>
      <c r="R120" s="3"/>
    </row>
    <row r="121" spans="1:18">
      <c r="A121" s="19">
        <f>'BASE PERIOD'!A121</f>
        <v>561100</v>
      </c>
      <c r="B121" s="2770" t="str">
        <f>'BASE PERIOD'!B121</f>
        <v>Load Dispatch-Reliability</v>
      </c>
      <c r="C121" s="19" t="str">
        <f>'BASE PERIOD'!C121</f>
        <v>TO</v>
      </c>
      <c r="D121" s="19">
        <f t="shared" si="2"/>
        <v>561</v>
      </c>
      <c r="E121" s="1458">
        <f t="shared" si="5"/>
        <v>124837</v>
      </c>
      <c r="F121" s="1550">
        <v>10381</v>
      </c>
      <c r="G121" s="1550">
        <v>10382</v>
      </c>
      <c r="H121" s="1550">
        <v>10381</v>
      </c>
      <c r="I121" s="1550">
        <v>10382</v>
      </c>
      <c r="J121" s="1550">
        <v>10382</v>
      </c>
      <c r="K121" s="1550">
        <v>10382</v>
      </c>
      <c r="L121" s="1550">
        <v>10382</v>
      </c>
      <c r="M121" s="1550">
        <v>10382</v>
      </c>
      <c r="N121" s="1550">
        <v>10382</v>
      </c>
      <c r="O121" s="1550">
        <v>10460</v>
      </c>
      <c r="P121" s="1550">
        <v>10455</v>
      </c>
      <c r="Q121" s="1550">
        <v>10486</v>
      </c>
      <c r="R121" s="3"/>
    </row>
    <row r="122" spans="1:18">
      <c r="A122" s="19">
        <f>'BASE PERIOD'!A122</f>
        <v>561200</v>
      </c>
      <c r="B122" s="2770" t="str">
        <f>'BASE PERIOD'!B122</f>
        <v>Load Dispatch-Mnitor&amp;OprTrnSys</v>
      </c>
      <c r="C122" s="19" t="str">
        <f>'BASE PERIOD'!C122</f>
        <v>TO</v>
      </c>
      <c r="D122" s="19">
        <f t="shared" si="2"/>
        <v>561</v>
      </c>
      <c r="E122" s="1458">
        <f t="shared" si="5"/>
        <v>685426</v>
      </c>
      <c r="F122" s="1550">
        <v>45242</v>
      </c>
      <c r="G122" s="1550">
        <v>45244</v>
      </c>
      <c r="H122" s="1550">
        <v>45324</v>
      </c>
      <c r="I122" s="1550">
        <v>45326</v>
      </c>
      <c r="J122" s="1550">
        <v>45285</v>
      </c>
      <c r="K122" s="1550">
        <v>45243</v>
      </c>
      <c r="L122" s="1550">
        <v>45245</v>
      </c>
      <c r="M122" s="1550">
        <v>45243</v>
      </c>
      <c r="N122" s="1550">
        <v>45245</v>
      </c>
      <c r="O122" s="1550">
        <v>92663</v>
      </c>
      <c r="P122" s="1550">
        <v>92646</v>
      </c>
      <c r="Q122" s="1550">
        <v>92720</v>
      </c>
      <c r="R122" s="3"/>
    </row>
    <row r="123" spans="1:18">
      <c r="A123" s="19">
        <f>'BASE PERIOD'!A123</f>
        <v>561300</v>
      </c>
      <c r="B123" s="2770" t="str">
        <f>'BASE PERIOD'!B123</f>
        <v>Load Dispatch - TransSvc&amp;Sch</v>
      </c>
      <c r="C123" s="19" t="str">
        <f>'BASE PERIOD'!C123</f>
        <v>TO</v>
      </c>
      <c r="D123" s="19">
        <f t="shared" si="2"/>
        <v>561</v>
      </c>
      <c r="E123" s="1458">
        <f t="shared" si="5"/>
        <v>73607</v>
      </c>
      <c r="F123" s="1550">
        <v>6120</v>
      </c>
      <c r="G123" s="1550">
        <v>6120</v>
      </c>
      <c r="H123" s="1550">
        <v>6120</v>
      </c>
      <c r="I123" s="1550">
        <v>6120</v>
      </c>
      <c r="J123" s="1550">
        <v>6120</v>
      </c>
      <c r="K123" s="1550">
        <v>6120</v>
      </c>
      <c r="L123" s="1550">
        <v>6120</v>
      </c>
      <c r="M123" s="1550">
        <v>6120</v>
      </c>
      <c r="N123" s="1550">
        <v>6121</v>
      </c>
      <c r="O123" s="1550">
        <v>6173</v>
      </c>
      <c r="P123" s="1550">
        <v>6171</v>
      </c>
      <c r="Q123" s="1550">
        <v>6182</v>
      </c>
      <c r="R123" s="3"/>
    </row>
    <row r="124" spans="1:18">
      <c r="A124" s="19">
        <f>'BASE PERIOD'!A124</f>
        <v>561400</v>
      </c>
      <c r="B124" s="2770" t="str">
        <f>'BASE PERIOD'!B124</f>
        <v>Scheduling-Sys Cntrl&amp;Disp Svs</v>
      </c>
      <c r="C124" s="19" t="str">
        <f>'BASE PERIOD'!C124</f>
        <v>TO</v>
      </c>
      <c r="D124" s="19">
        <f t="shared" si="2"/>
        <v>561</v>
      </c>
      <c r="E124" s="1458">
        <f>SUM(F124:Q124)</f>
        <v>1062000</v>
      </c>
      <c r="F124" s="1550">
        <v>82199</v>
      </c>
      <c r="G124" s="1550">
        <v>75875</v>
      </c>
      <c r="H124" s="1550">
        <v>86478</v>
      </c>
      <c r="I124" s="1550">
        <v>99330</v>
      </c>
      <c r="J124" s="1550">
        <v>99114</v>
      </c>
      <c r="K124" s="1550">
        <v>93563</v>
      </c>
      <c r="L124" s="1550">
        <v>77713</v>
      </c>
      <c r="M124" s="1550">
        <v>77776</v>
      </c>
      <c r="N124" s="1550">
        <v>89786</v>
      </c>
      <c r="O124" s="1550">
        <v>100481</v>
      </c>
      <c r="P124" s="1550">
        <v>92415</v>
      </c>
      <c r="Q124" s="1550">
        <v>87270</v>
      </c>
      <c r="R124" s="3"/>
    </row>
    <row r="125" spans="1:18">
      <c r="A125" s="19">
        <f>'BASE PERIOD'!A125</f>
        <v>561500</v>
      </c>
      <c r="B125" s="2770" t="str">
        <f>'BASE PERIOD'!B125</f>
        <v>ReliabilityPlanning&amp;StdsDev</v>
      </c>
      <c r="C125" s="19" t="str">
        <f>'BASE PERIOD'!C125</f>
        <v>TO</v>
      </c>
      <c r="D125" s="19">
        <f t="shared" si="2"/>
        <v>561</v>
      </c>
      <c r="E125" s="1458">
        <f t="shared" si="5"/>
        <v>2586</v>
      </c>
      <c r="F125" s="1550">
        <v>215</v>
      </c>
      <c r="G125" s="1550">
        <v>215</v>
      </c>
      <c r="H125" s="1550">
        <v>215</v>
      </c>
      <c r="I125" s="1550">
        <v>215</v>
      </c>
      <c r="J125" s="1550">
        <v>215</v>
      </c>
      <c r="K125" s="1550">
        <v>215</v>
      </c>
      <c r="L125" s="1550">
        <v>215</v>
      </c>
      <c r="M125" s="1550">
        <v>215</v>
      </c>
      <c r="N125" s="1550">
        <v>215</v>
      </c>
      <c r="O125" s="1550">
        <v>217</v>
      </c>
      <c r="P125" s="1550">
        <v>217</v>
      </c>
      <c r="Q125" s="1550">
        <v>217</v>
      </c>
      <c r="R125" s="3"/>
    </row>
    <row r="126" spans="1:18">
      <c r="A126" s="19">
        <f>'BASE PERIOD'!A126</f>
        <v>561800</v>
      </c>
      <c r="B126" s="2770" t="str">
        <f>'BASE PERIOD'!B126</f>
        <v>ReliabilityPlanning&amp;StdsDev</v>
      </c>
      <c r="C126" s="19" t="str">
        <f>'BASE PERIOD'!C126</f>
        <v>TO</v>
      </c>
      <c r="D126" s="19">
        <f t="shared" ref="D126" si="6">VALUE(LEFT(A126,3))</f>
        <v>561</v>
      </c>
      <c r="E126" s="1458">
        <f t="shared" ref="E126" si="7">SUM(F126:Q126)</f>
        <v>2050560</v>
      </c>
      <c r="F126" s="1550">
        <v>170880</v>
      </c>
      <c r="G126" s="1550">
        <v>170880</v>
      </c>
      <c r="H126" s="1550">
        <v>170880</v>
      </c>
      <c r="I126" s="1550">
        <v>170880</v>
      </c>
      <c r="J126" s="1550">
        <v>170880</v>
      </c>
      <c r="K126" s="1550">
        <v>170880</v>
      </c>
      <c r="L126" s="1550">
        <v>170880</v>
      </c>
      <c r="M126" s="1550">
        <v>170880</v>
      </c>
      <c r="N126" s="1550">
        <v>170880</v>
      </c>
      <c r="O126" s="1550">
        <v>170880</v>
      </c>
      <c r="P126" s="1550">
        <v>170880</v>
      </c>
      <c r="Q126" s="1550">
        <v>170880</v>
      </c>
      <c r="R126" s="3"/>
    </row>
    <row r="127" spans="1:18">
      <c r="A127" s="19">
        <f>'BASE PERIOD'!A127</f>
        <v>562000</v>
      </c>
      <c r="B127" s="2770" t="str">
        <f>'BASE PERIOD'!B127</f>
        <v>Station Expenses</v>
      </c>
      <c r="C127" s="19" t="str">
        <f>'BASE PERIOD'!C127</f>
        <v>TO</v>
      </c>
      <c r="D127" s="19">
        <f t="shared" si="2"/>
        <v>562</v>
      </c>
      <c r="E127" s="1458">
        <f t="shared" si="5"/>
        <v>108794</v>
      </c>
      <c r="F127" s="1550">
        <v>9035</v>
      </c>
      <c r="G127" s="1550">
        <v>9116</v>
      </c>
      <c r="H127" s="1550">
        <v>9072</v>
      </c>
      <c r="I127" s="1550">
        <v>9026</v>
      </c>
      <c r="J127" s="1550">
        <v>9035</v>
      </c>
      <c r="K127" s="1550">
        <v>9154</v>
      </c>
      <c r="L127" s="1550">
        <v>9042</v>
      </c>
      <c r="M127" s="1550">
        <v>9027</v>
      </c>
      <c r="N127" s="1550">
        <v>9042</v>
      </c>
      <c r="O127" s="1550">
        <v>9012</v>
      </c>
      <c r="P127" s="1550">
        <v>9032</v>
      </c>
      <c r="Q127" s="1550">
        <v>9201</v>
      </c>
      <c r="R127" s="3"/>
    </row>
    <row r="128" spans="1:18">
      <c r="A128" s="19">
        <f>'BASE PERIOD'!A128</f>
        <v>563000</v>
      </c>
      <c r="B128" s="2770" t="str">
        <f>'BASE PERIOD'!B128</f>
        <v>Overhead Line Expenses-Trans</v>
      </c>
      <c r="C128" s="19" t="str">
        <f>'BASE PERIOD'!C128</f>
        <v>TO</v>
      </c>
      <c r="D128" s="19">
        <f t="shared" si="2"/>
        <v>563</v>
      </c>
      <c r="E128" s="1458">
        <f t="shared" si="5"/>
        <v>22478</v>
      </c>
      <c r="F128" s="1550">
        <v>1867</v>
      </c>
      <c r="G128" s="1550">
        <v>1884</v>
      </c>
      <c r="H128" s="1550">
        <v>1874</v>
      </c>
      <c r="I128" s="1550">
        <v>1865</v>
      </c>
      <c r="J128" s="1550">
        <v>1867</v>
      </c>
      <c r="K128" s="1550">
        <v>1892</v>
      </c>
      <c r="L128" s="1550">
        <v>1868</v>
      </c>
      <c r="M128" s="1550">
        <v>1865</v>
      </c>
      <c r="N128" s="1550">
        <v>1868</v>
      </c>
      <c r="O128" s="1550">
        <v>1861</v>
      </c>
      <c r="P128" s="1550">
        <v>1865</v>
      </c>
      <c r="Q128" s="1550">
        <v>1902</v>
      </c>
      <c r="R128" s="3"/>
    </row>
    <row r="129" spans="1:18">
      <c r="A129" s="19">
        <f>'BASE PERIOD'!A129</f>
        <v>565000</v>
      </c>
      <c r="B129" s="2770" t="str">
        <f>'BASE PERIOD'!B129</f>
        <v>Transm of Elec By Others</v>
      </c>
      <c r="C129" s="19" t="str">
        <f>'BASE PERIOD'!C129</f>
        <v>TO</v>
      </c>
      <c r="D129" s="19">
        <f t="shared" si="2"/>
        <v>565</v>
      </c>
      <c r="E129" s="1458">
        <f t="shared" si="5"/>
        <v>13361709</v>
      </c>
      <c r="F129" s="1550">
        <f>1245886-170880</f>
        <v>1075006</v>
      </c>
      <c r="G129" s="1550">
        <f t="shared" ref="G129:N129" si="8">1245886-170880</f>
        <v>1075006</v>
      </c>
      <c r="H129" s="1550">
        <f t="shared" si="8"/>
        <v>1075006</v>
      </c>
      <c r="I129" s="1550">
        <f t="shared" si="8"/>
        <v>1075006</v>
      </c>
      <c r="J129" s="1550">
        <f t="shared" si="8"/>
        <v>1075006</v>
      </c>
      <c r="K129" s="1550">
        <f t="shared" si="8"/>
        <v>1075006</v>
      </c>
      <c r="L129" s="1550">
        <f t="shared" si="8"/>
        <v>1075006</v>
      </c>
      <c r="M129" s="1550">
        <f t="shared" si="8"/>
        <v>1075006</v>
      </c>
      <c r="N129" s="1550">
        <f t="shared" si="8"/>
        <v>1075006</v>
      </c>
      <c r="O129" s="1550">
        <f>1399765-170880</f>
        <v>1228885</v>
      </c>
      <c r="P129" s="1550">
        <f t="shared" ref="P129:Q129" si="9">1399765-170880</f>
        <v>1228885</v>
      </c>
      <c r="Q129" s="1550">
        <f t="shared" si="9"/>
        <v>1228885</v>
      </c>
      <c r="R129" s="3"/>
    </row>
    <row r="130" spans="1:18">
      <c r="A130" s="19">
        <f>'BASE PERIOD'!A130</f>
        <v>566000</v>
      </c>
      <c r="B130" s="2770" t="str">
        <f>'BASE PERIOD'!B130</f>
        <v>Misc Trans Exp-Other</v>
      </c>
      <c r="C130" s="19" t="str">
        <f>'BASE PERIOD'!C130</f>
        <v>TO</v>
      </c>
      <c r="D130" s="19">
        <f t="shared" si="2"/>
        <v>566</v>
      </c>
      <c r="E130" s="1458">
        <f t="shared" si="5"/>
        <v>331678</v>
      </c>
      <c r="F130" s="1550">
        <v>67950</v>
      </c>
      <c r="G130" s="1550">
        <v>7414</v>
      </c>
      <c r="H130" s="1550">
        <v>7395</v>
      </c>
      <c r="I130" s="1550">
        <v>67964</v>
      </c>
      <c r="J130" s="1550">
        <v>7365</v>
      </c>
      <c r="K130" s="1550">
        <v>7440</v>
      </c>
      <c r="L130" s="1550">
        <v>67882</v>
      </c>
      <c r="M130" s="1550">
        <v>7358</v>
      </c>
      <c r="N130" s="1550">
        <v>7456</v>
      </c>
      <c r="O130" s="1550">
        <v>68514</v>
      </c>
      <c r="P130" s="1550">
        <v>7356</v>
      </c>
      <c r="Q130" s="1550">
        <v>7584</v>
      </c>
      <c r="R130" s="3"/>
    </row>
    <row r="131" spans="1:18">
      <c r="A131" s="19">
        <f>'BASE PERIOD'!A131</f>
        <v>566100</v>
      </c>
      <c r="B131" s="2770" t="str">
        <f>'BASE PERIOD'!B131</f>
        <v>Misc Trans-Trans Lines Related</v>
      </c>
      <c r="C131" s="19" t="str">
        <f>'BASE PERIOD'!C131</f>
        <v>TO</v>
      </c>
      <c r="D131" s="19">
        <f t="shared" si="2"/>
        <v>566</v>
      </c>
      <c r="E131" s="1458">
        <f t="shared" si="5"/>
        <v>0</v>
      </c>
      <c r="F131" s="1550">
        <v>0</v>
      </c>
      <c r="G131" s="1550">
        <v>0</v>
      </c>
      <c r="H131" s="1550">
        <v>0</v>
      </c>
      <c r="I131" s="1550">
        <v>0</v>
      </c>
      <c r="J131" s="1550">
        <v>0</v>
      </c>
      <c r="K131" s="1550">
        <v>0</v>
      </c>
      <c r="L131" s="1550">
        <v>0</v>
      </c>
      <c r="M131" s="1550">
        <v>0</v>
      </c>
      <c r="N131" s="1550">
        <v>0</v>
      </c>
      <c r="O131" s="1550">
        <v>0</v>
      </c>
      <c r="P131" s="1550">
        <v>0</v>
      </c>
      <c r="Q131" s="1550">
        <v>0</v>
      </c>
      <c r="R131" s="3"/>
    </row>
    <row r="132" spans="1:18">
      <c r="A132" s="19">
        <f>'BASE PERIOD'!A132</f>
        <v>567000</v>
      </c>
      <c r="B132" s="2770" t="str">
        <f>'BASE PERIOD'!B132</f>
        <v>Rents-Trans Oper</v>
      </c>
      <c r="C132" s="19" t="str">
        <f>'BASE PERIOD'!C132</f>
        <v>TO</v>
      </c>
      <c r="D132" s="19">
        <f t="shared" si="2"/>
        <v>567</v>
      </c>
      <c r="E132" s="1458">
        <f t="shared" si="5"/>
        <v>0</v>
      </c>
      <c r="F132" s="1550">
        <v>0</v>
      </c>
      <c r="G132" s="1550">
        <v>0</v>
      </c>
      <c r="H132" s="1550">
        <v>0</v>
      </c>
      <c r="I132" s="1550">
        <v>0</v>
      </c>
      <c r="J132" s="1550">
        <v>0</v>
      </c>
      <c r="K132" s="1550">
        <v>0</v>
      </c>
      <c r="L132" s="1550">
        <v>0</v>
      </c>
      <c r="M132" s="1550">
        <v>0</v>
      </c>
      <c r="N132" s="1550">
        <v>0</v>
      </c>
      <c r="O132" s="1550">
        <v>0</v>
      </c>
      <c r="P132" s="1550">
        <v>0</v>
      </c>
      <c r="Q132" s="1550">
        <v>0</v>
      </c>
      <c r="R132" s="3"/>
    </row>
    <row r="133" spans="1:18">
      <c r="A133" s="19">
        <f>'BASE PERIOD'!A133</f>
        <v>569000</v>
      </c>
      <c r="B133" s="2770" t="str">
        <f>'BASE PERIOD'!B133</f>
        <v>Maint of Structures-Trans</v>
      </c>
      <c r="C133" s="19" t="str">
        <f>'BASE PERIOD'!C133</f>
        <v>TM</v>
      </c>
      <c r="D133" s="19">
        <f t="shared" si="2"/>
        <v>569</v>
      </c>
      <c r="E133" s="1458">
        <f t="shared" ref="E133:E174" si="10">SUM(F133:Q133)</f>
        <v>0</v>
      </c>
      <c r="F133" s="1550">
        <v>0</v>
      </c>
      <c r="G133" s="1550">
        <v>0</v>
      </c>
      <c r="H133" s="1550">
        <v>0</v>
      </c>
      <c r="I133" s="1550">
        <v>0</v>
      </c>
      <c r="J133" s="1550">
        <v>0</v>
      </c>
      <c r="K133" s="1550">
        <v>0</v>
      </c>
      <c r="L133" s="1550">
        <v>0</v>
      </c>
      <c r="M133" s="1550">
        <v>0</v>
      </c>
      <c r="N133" s="1550">
        <v>0</v>
      </c>
      <c r="O133" s="1550">
        <v>0</v>
      </c>
      <c r="P133" s="1550">
        <v>0</v>
      </c>
      <c r="Q133" s="1550">
        <v>0</v>
      </c>
      <c r="R133" s="3"/>
    </row>
    <row r="134" spans="1:18">
      <c r="A134" s="19">
        <f>'BASE PERIOD'!A134</f>
        <v>569100</v>
      </c>
      <c r="B134" s="2770" t="str">
        <f>'BASE PERIOD'!B134</f>
        <v>Maint of Computer Hardware</v>
      </c>
      <c r="C134" s="19" t="str">
        <f>'BASE PERIOD'!C134</f>
        <v>TM</v>
      </c>
      <c r="D134" s="19">
        <f t="shared" si="2"/>
        <v>569</v>
      </c>
      <c r="E134" s="1458">
        <f t="shared" si="10"/>
        <v>0</v>
      </c>
      <c r="F134" s="1550">
        <v>0</v>
      </c>
      <c r="G134" s="1550">
        <v>0</v>
      </c>
      <c r="H134" s="1550">
        <v>0</v>
      </c>
      <c r="I134" s="1550">
        <v>0</v>
      </c>
      <c r="J134" s="1550">
        <v>0</v>
      </c>
      <c r="K134" s="1550">
        <v>0</v>
      </c>
      <c r="L134" s="1550">
        <v>0</v>
      </c>
      <c r="M134" s="1550">
        <v>0</v>
      </c>
      <c r="N134" s="1550">
        <v>0</v>
      </c>
      <c r="O134" s="1550">
        <v>0</v>
      </c>
      <c r="P134" s="1550">
        <v>0</v>
      </c>
      <c r="Q134" s="1550">
        <v>0</v>
      </c>
      <c r="R134" s="3"/>
    </row>
    <row r="135" spans="1:18">
      <c r="A135" s="19">
        <f>'BASE PERIOD'!A135</f>
        <v>569200</v>
      </c>
      <c r="B135" s="2770" t="str">
        <f>'BASE PERIOD'!B135</f>
        <v>Maint of Computer Software</v>
      </c>
      <c r="C135" s="19" t="str">
        <f>'BASE PERIOD'!C135</f>
        <v>TM</v>
      </c>
      <c r="D135" s="19">
        <f t="shared" si="2"/>
        <v>569</v>
      </c>
      <c r="E135" s="1458">
        <f t="shared" si="10"/>
        <v>258690</v>
      </c>
      <c r="F135" s="1550">
        <v>40620</v>
      </c>
      <c r="G135" s="1550">
        <v>23347</v>
      </c>
      <c r="H135" s="1550">
        <v>13827</v>
      </c>
      <c r="I135" s="1550">
        <v>14956</v>
      </c>
      <c r="J135" s="1550">
        <v>14208</v>
      </c>
      <c r="K135" s="1550">
        <v>12473</v>
      </c>
      <c r="L135" s="1550">
        <v>16385</v>
      </c>
      <c r="M135" s="1550">
        <v>12169</v>
      </c>
      <c r="N135" s="1550">
        <v>12238</v>
      </c>
      <c r="O135" s="1550">
        <v>18838</v>
      </c>
      <c r="P135" s="1550">
        <v>49223</v>
      </c>
      <c r="Q135" s="1550">
        <v>30406</v>
      </c>
      <c r="R135" s="3"/>
    </row>
    <row r="136" spans="1:18">
      <c r="A136" s="19">
        <f>'BASE PERIOD'!A136</f>
        <v>570100</v>
      </c>
      <c r="B136" s="2770" t="str">
        <f>'BASE PERIOD'!B136</f>
        <v>Maint  Stat Equip-Other- Trans</v>
      </c>
      <c r="C136" s="19" t="str">
        <f>'BASE PERIOD'!C136</f>
        <v>TM</v>
      </c>
      <c r="D136" s="19">
        <f t="shared" si="2"/>
        <v>570</v>
      </c>
      <c r="E136" s="1458">
        <f t="shared" si="10"/>
        <v>76249</v>
      </c>
      <c r="F136" s="1550">
        <v>6332</v>
      </c>
      <c r="G136" s="1550">
        <v>6385</v>
      </c>
      <c r="H136" s="1550">
        <v>6357</v>
      </c>
      <c r="I136" s="1550">
        <v>6326</v>
      </c>
      <c r="J136" s="1550">
        <v>6332</v>
      </c>
      <c r="K136" s="1550">
        <v>6414</v>
      </c>
      <c r="L136" s="1550">
        <v>6337</v>
      </c>
      <c r="M136" s="1550">
        <v>6327</v>
      </c>
      <c r="N136" s="1550">
        <v>6337</v>
      </c>
      <c r="O136" s="1550">
        <v>6320</v>
      </c>
      <c r="P136" s="1550">
        <v>6333</v>
      </c>
      <c r="Q136" s="1550">
        <v>6449</v>
      </c>
      <c r="R136" s="3"/>
    </row>
    <row r="137" spans="1:18">
      <c r="A137" s="19">
        <f>'BASE PERIOD'!A137</f>
        <v>570200</v>
      </c>
      <c r="B137" s="2770" t="str">
        <f>'BASE PERIOD'!B137</f>
        <v>Main-Cir BrkrsTrnsf Mtrs-Trans</v>
      </c>
      <c r="C137" s="19" t="str">
        <f>'BASE PERIOD'!C137</f>
        <v>TM</v>
      </c>
      <c r="D137" s="19">
        <f t="shared" si="2"/>
        <v>570</v>
      </c>
      <c r="E137" s="1458">
        <f t="shared" si="10"/>
        <v>204428</v>
      </c>
      <c r="F137" s="1550">
        <v>16976</v>
      </c>
      <c r="G137" s="1550">
        <v>17129</v>
      </c>
      <c r="H137" s="1550">
        <v>17046</v>
      </c>
      <c r="I137" s="1550">
        <v>16960</v>
      </c>
      <c r="J137" s="1550">
        <v>16976</v>
      </c>
      <c r="K137" s="1550">
        <v>17200</v>
      </c>
      <c r="L137" s="1550">
        <v>16991</v>
      </c>
      <c r="M137" s="1550">
        <v>16962</v>
      </c>
      <c r="N137" s="1550">
        <v>16991</v>
      </c>
      <c r="O137" s="1550">
        <v>16935</v>
      </c>
      <c r="P137" s="1550">
        <v>16972</v>
      </c>
      <c r="Q137" s="1550">
        <v>17290</v>
      </c>
      <c r="R137" s="3"/>
    </row>
    <row r="138" spans="1:18">
      <c r="A138" s="19">
        <f>'BASE PERIOD'!A138</f>
        <v>571000</v>
      </c>
      <c r="B138" s="2770" t="str">
        <f>'BASE PERIOD'!B138</f>
        <v>Maint of Overhead Lines-Trans</v>
      </c>
      <c r="C138" s="19" t="str">
        <f>'BASE PERIOD'!C138</f>
        <v>TM</v>
      </c>
      <c r="D138" s="19">
        <f t="shared" si="2"/>
        <v>571</v>
      </c>
      <c r="E138" s="1458">
        <f t="shared" si="10"/>
        <v>612194</v>
      </c>
      <c r="F138" s="1550">
        <v>44352</v>
      </c>
      <c r="G138" s="1550">
        <v>44507</v>
      </c>
      <c r="H138" s="1550">
        <v>44423</v>
      </c>
      <c r="I138" s="1550">
        <v>44335</v>
      </c>
      <c r="J138" s="1550">
        <v>44352</v>
      </c>
      <c r="K138" s="1550">
        <v>44580</v>
      </c>
      <c r="L138" s="1550">
        <v>44367</v>
      </c>
      <c r="M138" s="1550">
        <v>44337</v>
      </c>
      <c r="N138" s="1550">
        <v>44367</v>
      </c>
      <c r="O138" s="1550">
        <v>70725</v>
      </c>
      <c r="P138" s="1550">
        <v>70763</v>
      </c>
      <c r="Q138" s="1550">
        <v>71086</v>
      </c>
      <c r="R138" s="3"/>
    </row>
    <row r="139" spans="1:18">
      <c r="A139" s="19">
        <f>'BASE PERIOD'!A139</f>
        <v>575700</v>
      </c>
      <c r="B139" s="2770" t="str">
        <f>'BASE PERIOD'!B139</f>
        <v>Market Faciliation-Mntr&amp;Comp</v>
      </c>
      <c r="C139" s="19" t="str">
        <f>'BASE PERIOD'!C139</f>
        <v>RMO</v>
      </c>
      <c r="D139" s="19">
        <f t="shared" si="2"/>
        <v>575</v>
      </c>
      <c r="E139" s="1458">
        <f t="shared" si="10"/>
        <v>1716657</v>
      </c>
      <c r="F139" s="1550">
        <v>142066</v>
      </c>
      <c r="G139" s="1550">
        <v>142066</v>
      </c>
      <c r="H139" s="1550">
        <v>142066</v>
      </c>
      <c r="I139" s="1550">
        <v>142066</v>
      </c>
      <c r="J139" s="1550">
        <v>142066</v>
      </c>
      <c r="K139" s="1550">
        <v>142066</v>
      </c>
      <c r="L139" s="1550">
        <v>142066</v>
      </c>
      <c r="M139" s="1550">
        <v>142066</v>
      </c>
      <c r="N139" s="1550">
        <v>142066</v>
      </c>
      <c r="O139" s="1550">
        <v>146021</v>
      </c>
      <c r="P139" s="1550">
        <v>146021</v>
      </c>
      <c r="Q139" s="1550">
        <v>146021</v>
      </c>
      <c r="R139" s="3"/>
    </row>
    <row r="140" spans="1:18">
      <c r="A140" s="19">
        <f>'BASE PERIOD'!A140</f>
        <v>580000</v>
      </c>
      <c r="B140" s="2770" t="str">
        <f>'BASE PERIOD'!B140</f>
        <v>Supervsn and Engring-Dist Oper</v>
      </c>
      <c r="C140" s="19" t="str">
        <f>'BASE PERIOD'!C140</f>
        <v>DO</v>
      </c>
      <c r="D140" s="19">
        <f t="shared" si="2"/>
        <v>580</v>
      </c>
      <c r="E140" s="1458">
        <f t="shared" si="10"/>
        <v>163986</v>
      </c>
      <c r="F140" s="1550">
        <v>11536</v>
      </c>
      <c r="G140" s="1550">
        <v>11536</v>
      </c>
      <c r="H140" s="1550">
        <v>11536</v>
      </c>
      <c r="I140" s="1550">
        <v>11536</v>
      </c>
      <c r="J140" s="1550">
        <v>11536</v>
      </c>
      <c r="K140" s="1550">
        <v>11760</v>
      </c>
      <c r="L140" s="1550">
        <v>11264</v>
      </c>
      <c r="M140" s="1550">
        <v>11264</v>
      </c>
      <c r="N140" s="1550">
        <v>31878</v>
      </c>
      <c r="O140" s="1550">
        <v>11647</v>
      </c>
      <c r="P140" s="1550">
        <v>11646</v>
      </c>
      <c r="Q140" s="1550">
        <v>16847</v>
      </c>
      <c r="R140" s="3"/>
    </row>
    <row r="141" spans="1:18">
      <c r="A141" s="19">
        <f>'BASE PERIOD'!A141</f>
        <v>581004</v>
      </c>
      <c r="B141" s="2770" t="str">
        <f>'BASE PERIOD'!B141</f>
        <v>Load Dispatch-Dist of Elec</v>
      </c>
      <c r="C141" s="19" t="str">
        <f>'BASE PERIOD'!C141</f>
        <v>DO</v>
      </c>
      <c r="D141" s="19">
        <f t="shared" ref="D141:D198" si="11">VALUE(LEFT(A141,3))</f>
        <v>581</v>
      </c>
      <c r="E141" s="1458">
        <f t="shared" si="10"/>
        <v>469682</v>
      </c>
      <c r="F141" s="1550">
        <v>40169</v>
      </c>
      <c r="G141" s="1550">
        <v>37730</v>
      </c>
      <c r="H141" s="1550">
        <v>38443</v>
      </c>
      <c r="I141" s="1550">
        <v>37717</v>
      </c>
      <c r="J141" s="1550">
        <v>36789</v>
      </c>
      <c r="K141" s="1550">
        <v>39625</v>
      </c>
      <c r="L141" s="1550">
        <v>38603</v>
      </c>
      <c r="M141" s="1550">
        <v>38859</v>
      </c>
      <c r="N141" s="1550">
        <v>40584</v>
      </c>
      <c r="O141" s="1550">
        <v>41555</v>
      </c>
      <c r="P141" s="1550">
        <v>40810</v>
      </c>
      <c r="Q141" s="1550">
        <v>38798</v>
      </c>
      <c r="R141" s="3"/>
    </row>
    <row r="142" spans="1:18">
      <c r="A142" s="19">
        <f>'BASE PERIOD'!A142</f>
        <v>582100</v>
      </c>
      <c r="B142" s="2770" t="str">
        <f>'BASE PERIOD'!B142</f>
        <v>Station Expenses-Other-Dist</v>
      </c>
      <c r="C142" s="19" t="str">
        <f>'BASE PERIOD'!C142</f>
        <v>DO</v>
      </c>
      <c r="D142" s="19">
        <f t="shared" si="11"/>
        <v>582</v>
      </c>
      <c r="E142" s="1458">
        <f t="shared" si="10"/>
        <v>136438</v>
      </c>
      <c r="F142" s="1550">
        <v>11330</v>
      </c>
      <c r="G142" s="1550">
        <v>11432</v>
      </c>
      <c r="H142" s="1550">
        <v>11377</v>
      </c>
      <c r="I142" s="1550">
        <v>11319</v>
      </c>
      <c r="J142" s="1550">
        <v>11330</v>
      </c>
      <c r="K142" s="1550">
        <v>11479</v>
      </c>
      <c r="L142" s="1550">
        <v>11340</v>
      </c>
      <c r="M142" s="1550">
        <v>11321</v>
      </c>
      <c r="N142" s="1550">
        <v>11340</v>
      </c>
      <c r="O142" s="1550">
        <v>11303</v>
      </c>
      <c r="P142" s="1550">
        <v>11328</v>
      </c>
      <c r="Q142" s="1550">
        <v>11539</v>
      </c>
      <c r="R142" s="3"/>
    </row>
    <row r="143" spans="1:18">
      <c r="A143" s="19">
        <f>'BASE PERIOD'!A143</f>
        <v>583100</v>
      </c>
      <c r="B143" s="2770" t="str">
        <f>'BASE PERIOD'!B143</f>
        <v>Overhead Line Exps-Other-Dist</v>
      </c>
      <c r="C143" s="19" t="str">
        <f>'BASE PERIOD'!C143</f>
        <v>DO</v>
      </c>
      <c r="D143" s="19">
        <f t="shared" si="11"/>
        <v>583</v>
      </c>
      <c r="E143" s="1458">
        <f t="shared" si="10"/>
        <v>584686</v>
      </c>
      <c r="F143" s="1550">
        <v>38654</v>
      </c>
      <c r="G143" s="1550">
        <v>36136</v>
      </c>
      <c r="H143" s="1550">
        <v>70205</v>
      </c>
      <c r="I143" s="1550">
        <v>36123</v>
      </c>
      <c r="J143" s="1550">
        <v>35165</v>
      </c>
      <c r="K143" s="1550">
        <v>71426</v>
      </c>
      <c r="L143" s="1550">
        <v>37038</v>
      </c>
      <c r="M143" s="1550">
        <v>37301</v>
      </c>
      <c r="N143" s="1550">
        <v>72416</v>
      </c>
      <c r="O143" s="1550">
        <v>48474</v>
      </c>
      <c r="P143" s="1550">
        <v>47704</v>
      </c>
      <c r="Q143" s="1550">
        <v>54044</v>
      </c>
      <c r="R143" s="3"/>
    </row>
    <row r="144" spans="1:18">
      <c r="A144" s="19">
        <f>'BASE PERIOD'!A144</f>
        <v>583200</v>
      </c>
      <c r="B144" s="2770" t="str">
        <f>'BASE PERIOD'!B144</f>
        <v>Transf Set Rem Reset Test-Dist</v>
      </c>
      <c r="C144" s="19" t="str">
        <f>'BASE PERIOD'!C144</f>
        <v>DO</v>
      </c>
      <c r="D144" s="19">
        <f t="shared" si="11"/>
        <v>583</v>
      </c>
      <c r="E144" s="1458">
        <f t="shared" si="10"/>
        <v>103922</v>
      </c>
      <c r="F144" s="1550">
        <v>8074</v>
      </c>
      <c r="G144" s="1550">
        <v>8074</v>
      </c>
      <c r="H144" s="1550">
        <v>8074</v>
      </c>
      <c r="I144" s="1550">
        <v>8074</v>
      </c>
      <c r="J144" s="1550">
        <v>8074</v>
      </c>
      <c r="K144" s="1550">
        <v>11175</v>
      </c>
      <c r="L144" s="1550">
        <v>8260</v>
      </c>
      <c r="M144" s="1550">
        <v>8260</v>
      </c>
      <c r="N144" s="1550">
        <v>8260</v>
      </c>
      <c r="O144" s="1550">
        <v>8155</v>
      </c>
      <c r="P144" s="1550">
        <v>8155</v>
      </c>
      <c r="Q144" s="1550">
        <v>11287</v>
      </c>
      <c r="R144" s="3"/>
    </row>
    <row r="145" spans="1:18">
      <c r="A145" s="19">
        <f>'BASE PERIOD'!A145</f>
        <v>584000</v>
      </c>
      <c r="B145" s="2770" t="str">
        <f>'BASE PERIOD'!B145</f>
        <v>Underground Line Expenses-Dist</v>
      </c>
      <c r="C145" s="19" t="str">
        <f>'BASE PERIOD'!C145</f>
        <v>DO</v>
      </c>
      <c r="D145" s="19">
        <f t="shared" si="11"/>
        <v>584</v>
      </c>
      <c r="E145" s="1458">
        <f t="shared" si="10"/>
        <v>505404</v>
      </c>
      <c r="F145" s="1550">
        <v>43310</v>
      </c>
      <c r="G145" s="1550">
        <v>40500</v>
      </c>
      <c r="H145" s="1550">
        <v>41321</v>
      </c>
      <c r="I145" s="1550">
        <v>40484</v>
      </c>
      <c r="J145" s="1550">
        <v>39416</v>
      </c>
      <c r="K145" s="1550">
        <v>42683</v>
      </c>
      <c r="L145" s="1550">
        <v>41506</v>
      </c>
      <c r="M145" s="1550">
        <v>41800</v>
      </c>
      <c r="N145" s="1550">
        <v>43788</v>
      </c>
      <c r="O145" s="1550">
        <v>44878</v>
      </c>
      <c r="P145" s="1550">
        <v>44018</v>
      </c>
      <c r="Q145" s="1550">
        <v>41700</v>
      </c>
      <c r="R145" s="3"/>
    </row>
    <row r="146" spans="1:18">
      <c r="A146" s="19">
        <f>'BASE PERIOD'!A146</f>
        <v>586000</v>
      </c>
      <c r="B146" s="2770" t="str">
        <f>'BASE PERIOD'!B146</f>
        <v>Meter Expenses-Dist</v>
      </c>
      <c r="C146" s="19" t="str">
        <f>'BASE PERIOD'!C146</f>
        <v>DO</v>
      </c>
      <c r="D146" s="19">
        <f t="shared" si="11"/>
        <v>586</v>
      </c>
      <c r="E146" s="1458">
        <f t="shared" si="10"/>
        <v>55056</v>
      </c>
      <c r="F146" s="1550">
        <v>3522</v>
      </c>
      <c r="G146" s="1550">
        <v>3278</v>
      </c>
      <c r="H146" s="1550">
        <v>3350</v>
      </c>
      <c r="I146" s="1550">
        <v>3277</v>
      </c>
      <c r="J146" s="1550">
        <v>3184</v>
      </c>
      <c r="K146" s="1550">
        <v>9617</v>
      </c>
      <c r="L146" s="1550">
        <v>3366</v>
      </c>
      <c r="M146" s="1550">
        <v>3391</v>
      </c>
      <c r="N146" s="1550">
        <v>3564</v>
      </c>
      <c r="O146" s="1550">
        <v>6274</v>
      </c>
      <c r="P146" s="1550">
        <v>3185</v>
      </c>
      <c r="Q146" s="1550">
        <v>9048</v>
      </c>
      <c r="R146" s="3"/>
    </row>
    <row r="147" spans="1:18">
      <c r="A147" s="19">
        <f>'BASE PERIOD'!A147</f>
        <v>587000</v>
      </c>
      <c r="B147" s="2770" t="str">
        <f>'BASE PERIOD'!B147</f>
        <v>Cust Install Exp-Other Dist</v>
      </c>
      <c r="C147" s="19" t="str">
        <f>'BASE PERIOD'!C147</f>
        <v>DO</v>
      </c>
      <c r="D147" s="19">
        <f t="shared" si="11"/>
        <v>587</v>
      </c>
      <c r="E147" s="1458">
        <f t="shared" si="10"/>
        <v>1175448</v>
      </c>
      <c r="F147" s="1550">
        <v>99846</v>
      </c>
      <c r="G147" s="1550">
        <v>94667</v>
      </c>
      <c r="H147" s="1550">
        <v>96180</v>
      </c>
      <c r="I147" s="1550">
        <v>94638</v>
      </c>
      <c r="J147" s="1550">
        <v>92670</v>
      </c>
      <c r="K147" s="1550">
        <v>100032</v>
      </c>
      <c r="L147" s="1550">
        <v>96521</v>
      </c>
      <c r="M147" s="1550">
        <v>97063</v>
      </c>
      <c r="N147" s="1550">
        <v>100728</v>
      </c>
      <c r="O147" s="1550">
        <v>103514</v>
      </c>
      <c r="P147" s="1550">
        <v>101273</v>
      </c>
      <c r="Q147" s="1550">
        <v>98316</v>
      </c>
      <c r="R147" s="3"/>
    </row>
    <row r="148" spans="1:18">
      <c r="A148" s="19">
        <f>'BASE PERIOD'!A148</f>
        <v>588100</v>
      </c>
      <c r="B148" s="2770" t="str">
        <f>'BASE PERIOD'!B148</f>
        <v>Misc Distribution Exp-Other</v>
      </c>
      <c r="C148" s="19" t="str">
        <f>'BASE PERIOD'!C148</f>
        <v>DO</v>
      </c>
      <c r="D148" s="19">
        <f t="shared" si="11"/>
        <v>588</v>
      </c>
      <c r="E148" s="1458">
        <f t="shared" si="10"/>
        <v>3656514</v>
      </c>
      <c r="F148" s="1550">
        <v>304290</v>
      </c>
      <c r="G148" s="1550">
        <v>262916</v>
      </c>
      <c r="H148" s="1550">
        <v>331408</v>
      </c>
      <c r="I148" s="1550">
        <v>296720</v>
      </c>
      <c r="J148" s="1550">
        <v>261122</v>
      </c>
      <c r="K148" s="1550">
        <v>347069</v>
      </c>
      <c r="L148" s="1550">
        <v>299653</v>
      </c>
      <c r="M148" s="1550">
        <v>267620</v>
      </c>
      <c r="N148" s="1550">
        <v>340818</v>
      </c>
      <c r="O148" s="1550">
        <f>313939-431</f>
        <v>313508</v>
      </c>
      <c r="P148" s="1550">
        <f>280672-87</f>
        <v>280585</v>
      </c>
      <c r="Q148" s="1550">
        <f>349797+1008</f>
        <v>350805</v>
      </c>
      <c r="R148" s="3"/>
    </row>
    <row r="149" spans="1:18">
      <c r="A149" s="19">
        <f>'BASE PERIOD'!A149</f>
        <v>589000</v>
      </c>
      <c r="B149" s="2770" t="str">
        <f>'BASE PERIOD'!B149</f>
        <v>Rents-Dist Oper</v>
      </c>
      <c r="C149" s="19" t="str">
        <f>'BASE PERIOD'!C149</f>
        <v>DO</v>
      </c>
      <c r="D149" s="19">
        <f t="shared" si="11"/>
        <v>589</v>
      </c>
      <c r="E149" s="1458">
        <f t="shared" si="10"/>
        <v>65579</v>
      </c>
      <c r="F149" s="1550">
        <v>5624</v>
      </c>
      <c r="G149" s="1550">
        <v>5250</v>
      </c>
      <c r="H149" s="1550">
        <v>5359</v>
      </c>
      <c r="I149" s="1550">
        <v>5248</v>
      </c>
      <c r="J149" s="1550">
        <v>5105</v>
      </c>
      <c r="K149" s="1550">
        <v>5541</v>
      </c>
      <c r="L149" s="1550">
        <v>5384</v>
      </c>
      <c r="M149" s="1550">
        <v>5423</v>
      </c>
      <c r="N149" s="1550">
        <v>5688</v>
      </c>
      <c r="O149" s="1550">
        <v>5832</v>
      </c>
      <c r="P149" s="1550">
        <v>5717</v>
      </c>
      <c r="Q149" s="1550">
        <v>5408</v>
      </c>
      <c r="R149" s="3"/>
    </row>
    <row r="150" spans="1:18">
      <c r="A150" s="19">
        <f>'BASE PERIOD'!A150</f>
        <v>591000</v>
      </c>
      <c r="B150" s="2770" t="str">
        <f>'BASE PERIOD'!B150</f>
        <v>Maintenance of Structures-Dist</v>
      </c>
      <c r="C150" s="19" t="str">
        <f>'BASE PERIOD'!C150</f>
        <v>DM</v>
      </c>
      <c r="D150" s="19">
        <f t="shared" si="11"/>
        <v>591</v>
      </c>
      <c r="E150" s="1458">
        <f t="shared" si="10"/>
        <v>0</v>
      </c>
      <c r="F150" s="1550">
        <v>0</v>
      </c>
      <c r="G150" s="1550">
        <v>0</v>
      </c>
      <c r="H150" s="1550">
        <v>0</v>
      </c>
      <c r="I150" s="1550">
        <v>0</v>
      </c>
      <c r="J150" s="1550">
        <v>0</v>
      </c>
      <c r="K150" s="1550">
        <v>0</v>
      </c>
      <c r="L150" s="1550">
        <v>0</v>
      </c>
      <c r="M150" s="1550">
        <v>0</v>
      </c>
      <c r="N150" s="1550">
        <v>0</v>
      </c>
      <c r="O150" s="1550">
        <v>0</v>
      </c>
      <c r="P150" s="1550">
        <v>0</v>
      </c>
      <c r="Q150" s="1550">
        <v>0</v>
      </c>
      <c r="R150" s="3"/>
    </row>
    <row r="151" spans="1:18">
      <c r="A151" s="19">
        <f>'BASE PERIOD'!A151</f>
        <v>592100</v>
      </c>
      <c r="B151" s="2770" t="str">
        <f>'BASE PERIOD'!B151</f>
        <v>Maint Station Equip-Other-Dist</v>
      </c>
      <c r="C151" s="19" t="str">
        <f>'BASE PERIOD'!C151</f>
        <v>DM</v>
      </c>
      <c r="D151" s="19">
        <f t="shared" si="11"/>
        <v>592</v>
      </c>
      <c r="E151" s="1458">
        <f t="shared" si="10"/>
        <v>135221</v>
      </c>
      <c r="F151" s="1550">
        <v>11231</v>
      </c>
      <c r="G151" s="1550">
        <v>11313</v>
      </c>
      <c r="H151" s="1550">
        <v>11269</v>
      </c>
      <c r="I151" s="1550">
        <v>11223</v>
      </c>
      <c r="J151" s="1550">
        <v>11231</v>
      </c>
      <c r="K151" s="1550">
        <v>11351</v>
      </c>
      <c r="L151" s="1550">
        <v>11239</v>
      </c>
      <c r="M151" s="1550">
        <v>11224</v>
      </c>
      <c r="N151" s="1550">
        <v>11239</v>
      </c>
      <c r="O151" s="1550">
        <v>11230</v>
      </c>
      <c r="P151" s="1550">
        <v>11250</v>
      </c>
      <c r="Q151" s="1550">
        <v>11421</v>
      </c>
      <c r="R151" s="3"/>
    </row>
    <row r="152" spans="1:18">
      <c r="A152" s="19">
        <f>'BASE PERIOD'!A152</f>
        <v>592200</v>
      </c>
      <c r="B152" s="2770" t="str">
        <f>'BASE PERIOD'!B152</f>
        <v>Cir BrkrsTrnsf Mters Rely-Dist</v>
      </c>
      <c r="C152" s="19" t="str">
        <f>'BASE PERIOD'!C152</f>
        <v>DM</v>
      </c>
      <c r="D152" s="19">
        <f t="shared" si="11"/>
        <v>592</v>
      </c>
      <c r="E152" s="1458">
        <f>SUM(F152:Q152)</f>
        <v>284671</v>
      </c>
      <c r="F152" s="1550">
        <v>23637</v>
      </c>
      <c r="G152" s="1550">
        <v>23873</v>
      </c>
      <c r="H152" s="1550">
        <v>23746</v>
      </c>
      <c r="I152" s="1550">
        <v>23612</v>
      </c>
      <c r="J152" s="1550">
        <v>23637</v>
      </c>
      <c r="K152" s="1550">
        <v>23983</v>
      </c>
      <c r="L152" s="1550">
        <v>23660</v>
      </c>
      <c r="M152" s="1550">
        <v>23615</v>
      </c>
      <c r="N152" s="1550">
        <v>23660</v>
      </c>
      <c r="O152" s="1550">
        <v>23548</v>
      </c>
      <c r="P152" s="1550">
        <v>23605</v>
      </c>
      <c r="Q152" s="1550">
        <v>24095</v>
      </c>
      <c r="R152" s="3"/>
    </row>
    <row r="153" spans="1:18">
      <c r="A153" s="19">
        <f>'BASE PERIOD'!A153</f>
        <v>593000</v>
      </c>
      <c r="B153" s="2770" t="str">
        <f>'BASE PERIOD'!B153</f>
        <v>Maint Overhd Lines-Other-Dist</v>
      </c>
      <c r="C153" s="19" t="str">
        <f>'BASE PERIOD'!C153</f>
        <v>DM</v>
      </c>
      <c r="D153" s="19">
        <f t="shared" si="11"/>
        <v>593</v>
      </c>
      <c r="E153" s="1458">
        <f t="shared" si="10"/>
        <v>5662285</v>
      </c>
      <c r="F153" s="1550">
        <v>550973</v>
      </c>
      <c r="G153" s="1550">
        <v>540013</v>
      </c>
      <c r="H153" s="1550">
        <v>545282</v>
      </c>
      <c r="I153" s="1550">
        <v>546557</v>
      </c>
      <c r="J153" s="1550">
        <v>541543</v>
      </c>
      <c r="K153" s="1550">
        <v>557407</v>
      </c>
      <c r="L153" s="1550">
        <v>406692</v>
      </c>
      <c r="M153" s="1550">
        <v>405606</v>
      </c>
      <c r="N153" s="1550">
        <v>416190</v>
      </c>
      <c r="O153" s="1550">
        <v>384726</v>
      </c>
      <c r="P153" s="1550">
        <v>385137</v>
      </c>
      <c r="Q153" s="1550">
        <v>382159</v>
      </c>
      <c r="R153" s="3"/>
    </row>
    <row r="154" spans="1:18">
      <c r="A154" s="19">
        <f>'BASE PERIOD'!A154</f>
        <v>593100</v>
      </c>
      <c r="B154" s="2770" t="str">
        <f>'BASE PERIOD'!B154</f>
        <v>Right-of-Way Maintenance-Dist</v>
      </c>
      <c r="C154" s="19" t="str">
        <f>'BASE PERIOD'!C154</f>
        <v>DM</v>
      </c>
      <c r="D154" s="19">
        <f t="shared" si="11"/>
        <v>593</v>
      </c>
      <c r="E154" s="1458">
        <f t="shared" si="10"/>
        <v>0</v>
      </c>
      <c r="F154" s="1550">
        <v>0</v>
      </c>
      <c r="G154" s="1550">
        <v>0</v>
      </c>
      <c r="H154" s="1550">
        <v>0</v>
      </c>
      <c r="I154" s="1550">
        <v>0</v>
      </c>
      <c r="J154" s="1550">
        <v>0</v>
      </c>
      <c r="K154" s="1550">
        <v>0</v>
      </c>
      <c r="L154" s="1550">
        <v>0</v>
      </c>
      <c r="M154" s="1550">
        <v>0</v>
      </c>
      <c r="N154" s="1550">
        <v>0</v>
      </c>
      <c r="O154" s="1550">
        <v>0</v>
      </c>
      <c r="P154" s="1550">
        <v>0</v>
      </c>
      <c r="Q154" s="1550">
        <v>0</v>
      </c>
      <c r="R154" s="3"/>
    </row>
    <row r="155" spans="1:18">
      <c r="A155" s="19">
        <f>'BASE PERIOD'!A155</f>
        <v>594000</v>
      </c>
      <c r="B155" s="2770" t="str">
        <f>'BASE PERIOD'!B155</f>
        <v>Maint-Underground Lines-Dist</v>
      </c>
      <c r="C155" s="19" t="str">
        <f>'BASE PERIOD'!C155</f>
        <v>DM</v>
      </c>
      <c r="D155" s="19">
        <f t="shared" si="11"/>
        <v>594</v>
      </c>
      <c r="E155" s="1458">
        <f t="shared" si="10"/>
        <v>356244</v>
      </c>
      <c r="F155" s="1550">
        <v>30461</v>
      </c>
      <c r="G155" s="1550">
        <v>28625</v>
      </c>
      <c r="H155" s="1550">
        <v>29162</v>
      </c>
      <c r="I155" s="1550">
        <v>28615</v>
      </c>
      <c r="J155" s="1550">
        <v>27918</v>
      </c>
      <c r="K155" s="1550">
        <v>30051</v>
      </c>
      <c r="L155" s="1550">
        <v>29282</v>
      </c>
      <c r="M155" s="1550">
        <v>29475</v>
      </c>
      <c r="N155" s="1550">
        <v>30773</v>
      </c>
      <c r="O155" s="1550">
        <v>31506</v>
      </c>
      <c r="P155" s="1550">
        <v>30945</v>
      </c>
      <c r="Q155" s="1550">
        <v>29431</v>
      </c>
      <c r="R155" s="3"/>
    </row>
    <row r="156" spans="1:18">
      <c r="A156" s="19">
        <f>'BASE PERIOD'!A156</f>
        <v>595100</v>
      </c>
      <c r="B156" s="2770" t="str">
        <f>'BASE PERIOD'!B156</f>
        <v>Maint Line Transfrs-Other-Dist</v>
      </c>
      <c r="C156" s="19" t="str">
        <f>'BASE PERIOD'!C156</f>
        <v>DM</v>
      </c>
      <c r="D156" s="19">
        <f t="shared" si="11"/>
        <v>595</v>
      </c>
      <c r="E156" s="1458">
        <f t="shared" si="10"/>
        <v>112939</v>
      </c>
      <c r="F156" s="1550">
        <v>9234</v>
      </c>
      <c r="G156" s="1550">
        <v>8975</v>
      </c>
      <c r="H156" s="1550">
        <v>9052</v>
      </c>
      <c r="I156" s="1550">
        <v>8967</v>
      </c>
      <c r="J156" s="1550">
        <v>8876</v>
      </c>
      <c r="K156" s="1550">
        <v>10555</v>
      </c>
      <c r="L156" s="1550">
        <v>9148</v>
      </c>
      <c r="M156" s="1550">
        <v>9163</v>
      </c>
      <c r="N156" s="1550">
        <v>9358</v>
      </c>
      <c r="O156" s="1550">
        <v>9971</v>
      </c>
      <c r="P156" s="1550">
        <v>9227</v>
      </c>
      <c r="Q156" s="1550">
        <v>10413</v>
      </c>
      <c r="R156" s="3"/>
    </row>
    <row r="157" spans="1:18">
      <c r="A157" s="19">
        <f>'BASE PERIOD'!A157</f>
        <v>596000</v>
      </c>
      <c r="B157" s="2770" t="str">
        <f>'BASE PERIOD'!B157</f>
        <v>Maint-StreetLightng/Signl-Dist</v>
      </c>
      <c r="C157" s="19" t="str">
        <f>'BASE PERIOD'!C157</f>
        <v>DM</v>
      </c>
      <c r="D157" s="19">
        <f t="shared" si="11"/>
        <v>596</v>
      </c>
      <c r="E157" s="1458">
        <f t="shared" si="10"/>
        <v>372671</v>
      </c>
      <c r="F157" s="1550">
        <v>31958</v>
      </c>
      <c r="G157" s="1550">
        <v>29837</v>
      </c>
      <c r="H157" s="1550">
        <v>30457</v>
      </c>
      <c r="I157" s="1550">
        <v>29825</v>
      </c>
      <c r="J157" s="1550">
        <v>29019</v>
      </c>
      <c r="K157" s="1550">
        <v>31485</v>
      </c>
      <c r="L157" s="1550">
        <v>30596</v>
      </c>
      <c r="M157" s="1550">
        <v>30819</v>
      </c>
      <c r="N157" s="1550">
        <v>32319</v>
      </c>
      <c r="O157" s="1550">
        <v>33134</v>
      </c>
      <c r="P157" s="1550">
        <v>32486</v>
      </c>
      <c r="Q157" s="1550">
        <v>30736</v>
      </c>
      <c r="R157" s="3"/>
    </row>
    <row r="158" spans="1:18">
      <c r="A158" s="19">
        <f>'BASE PERIOD'!A158</f>
        <v>597000</v>
      </c>
      <c r="B158" s="2770" t="str">
        <f>'BASE PERIOD'!B158</f>
        <v>Maintenance of Meters-Dist</v>
      </c>
      <c r="C158" s="19" t="str">
        <f>'BASE PERIOD'!C158</f>
        <v>DM</v>
      </c>
      <c r="D158" s="19">
        <f t="shared" si="11"/>
        <v>597</v>
      </c>
      <c r="E158" s="1458">
        <f t="shared" si="10"/>
        <v>309662</v>
      </c>
      <c r="F158" s="1550">
        <v>24399</v>
      </c>
      <c r="G158" s="1550">
        <v>24399</v>
      </c>
      <c r="H158" s="1550">
        <v>24399</v>
      </c>
      <c r="I158" s="1550">
        <v>24399</v>
      </c>
      <c r="J158" s="1550">
        <v>24399</v>
      </c>
      <c r="K158" s="1550">
        <v>31976</v>
      </c>
      <c r="L158" s="1550">
        <v>24399</v>
      </c>
      <c r="M158" s="1550">
        <v>24399</v>
      </c>
      <c r="N158" s="1550">
        <v>24399</v>
      </c>
      <c r="O158" s="1550">
        <v>26861</v>
      </c>
      <c r="P158" s="1550">
        <v>23875</v>
      </c>
      <c r="Q158" s="1550">
        <v>31758</v>
      </c>
      <c r="R158" s="3"/>
    </row>
    <row r="159" spans="1:18">
      <c r="A159" s="19">
        <f>'BASE PERIOD'!A159</f>
        <v>901000</v>
      </c>
      <c r="B159" s="2770" t="str">
        <f>'BASE PERIOD'!B159</f>
        <v>Supervision-Cust Accts</v>
      </c>
      <c r="C159" s="19" t="str">
        <f>'BASE PERIOD'!C159</f>
        <v>CO</v>
      </c>
      <c r="D159" s="19">
        <f t="shared" si="11"/>
        <v>901</v>
      </c>
      <c r="E159" s="1458">
        <f t="shared" si="10"/>
        <v>302389</v>
      </c>
      <c r="F159" s="1550">
        <v>24251</v>
      </c>
      <c r="G159" s="1550">
        <v>24254</v>
      </c>
      <c r="H159" s="1550">
        <v>24251</v>
      </c>
      <c r="I159" s="1550">
        <v>24255</v>
      </c>
      <c r="J159" s="1550">
        <v>24255</v>
      </c>
      <c r="K159" s="1550">
        <v>29079</v>
      </c>
      <c r="L159" s="1550">
        <v>24256</v>
      </c>
      <c r="M159" s="1550">
        <v>24253</v>
      </c>
      <c r="N159" s="1550">
        <v>24257</v>
      </c>
      <c r="O159" s="1550">
        <v>26311</v>
      </c>
      <c r="P159" s="1550">
        <v>23883</v>
      </c>
      <c r="Q159" s="1550">
        <v>29084</v>
      </c>
      <c r="R159" s="3"/>
    </row>
    <row r="160" spans="1:18">
      <c r="A160" s="19">
        <f>'BASE PERIOD'!A160</f>
        <v>902000</v>
      </c>
      <c r="B160" s="2770" t="str">
        <f>'BASE PERIOD'!B160</f>
        <v>Meter Reading Expense</v>
      </c>
      <c r="C160" s="19" t="str">
        <f>'BASE PERIOD'!C160</f>
        <v>CO</v>
      </c>
      <c r="D160" s="19">
        <f t="shared" si="11"/>
        <v>902</v>
      </c>
      <c r="E160" s="1458">
        <f t="shared" si="10"/>
        <v>448743</v>
      </c>
      <c r="F160" s="1550">
        <v>46491</v>
      </c>
      <c r="G160" s="1550">
        <v>45650</v>
      </c>
      <c r="H160" s="1550">
        <v>45896</v>
      </c>
      <c r="I160" s="1550">
        <v>45645</v>
      </c>
      <c r="J160" s="1550">
        <v>45325</v>
      </c>
      <c r="K160" s="1550">
        <v>61061</v>
      </c>
      <c r="L160" s="1550">
        <v>45951</v>
      </c>
      <c r="M160" s="1550">
        <v>46039</v>
      </c>
      <c r="N160" s="1550">
        <v>46634</v>
      </c>
      <c r="O160" s="1550">
        <v>7976</v>
      </c>
      <c r="P160" s="1550">
        <v>21380</v>
      </c>
      <c r="Q160" s="1550">
        <v>-9305</v>
      </c>
      <c r="R160" s="3"/>
    </row>
    <row r="161" spans="1:18">
      <c r="A161" s="19">
        <f>'BASE PERIOD'!A161</f>
        <v>903000</v>
      </c>
      <c r="B161" s="2770" t="str">
        <f>'BASE PERIOD'!B161</f>
        <v>Cust Records &amp; Collection Exp</v>
      </c>
      <c r="C161" s="19" t="str">
        <f>'BASE PERIOD'!C161</f>
        <v>CO</v>
      </c>
      <c r="D161" s="19">
        <f t="shared" si="11"/>
        <v>903</v>
      </c>
      <c r="E161" s="1458">
        <f t="shared" si="10"/>
        <v>2279541</v>
      </c>
      <c r="F161" s="1550">
        <v>157300</v>
      </c>
      <c r="G161" s="1550">
        <v>206178</v>
      </c>
      <c r="H161" s="1550">
        <v>158994</v>
      </c>
      <c r="I161" s="1550">
        <v>157760</v>
      </c>
      <c r="J161" s="1550">
        <v>203213</v>
      </c>
      <c r="K161" s="1550">
        <v>172025</v>
      </c>
      <c r="L161" s="1550">
        <v>154915</v>
      </c>
      <c r="M161" s="1550">
        <v>206066</v>
      </c>
      <c r="N161" s="1550">
        <v>214060</v>
      </c>
      <c r="O161" s="1550">
        <v>204487</v>
      </c>
      <c r="P161" s="1550">
        <v>252540</v>
      </c>
      <c r="Q161" s="1550">
        <v>192003</v>
      </c>
      <c r="R161" s="3"/>
    </row>
    <row r="162" spans="1:18">
      <c r="A162" s="19">
        <f>'BASE PERIOD'!A162</f>
        <v>903100</v>
      </c>
      <c r="B162" s="2770" t="str">
        <f>'BASE PERIOD'!B162</f>
        <v>Cust Contracts &amp; Orders-Local</v>
      </c>
      <c r="C162" s="19" t="str">
        <f>'BASE PERIOD'!C162</f>
        <v>CO</v>
      </c>
      <c r="D162" s="19">
        <f t="shared" si="11"/>
        <v>903</v>
      </c>
      <c r="E162" s="1458">
        <f t="shared" si="10"/>
        <v>583713</v>
      </c>
      <c r="F162" s="1550">
        <v>48247</v>
      </c>
      <c r="G162" s="1550">
        <v>48728</v>
      </c>
      <c r="H162" s="1550">
        <v>48043</v>
      </c>
      <c r="I162" s="1550">
        <v>48613</v>
      </c>
      <c r="J162" s="1550">
        <v>49898</v>
      </c>
      <c r="K162" s="1550">
        <v>50424</v>
      </c>
      <c r="L162" s="1550">
        <v>48570</v>
      </c>
      <c r="M162" s="1550">
        <v>46569</v>
      </c>
      <c r="N162" s="1550">
        <v>45392</v>
      </c>
      <c r="O162" s="1550">
        <v>48971</v>
      </c>
      <c r="P162" s="1550">
        <v>49357</v>
      </c>
      <c r="Q162" s="1550">
        <v>50901</v>
      </c>
      <c r="R162" s="3"/>
    </row>
    <row r="163" spans="1:18">
      <c r="A163" s="19">
        <f>'BASE PERIOD'!A163</f>
        <v>903200</v>
      </c>
      <c r="B163" s="2770" t="str">
        <f>'BASE PERIOD'!B163</f>
        <v>Cust Billing &amp; Acct</v>
      </c>
      <c r="C163" s="19" t="str">
        <f>'BASE PERIOD'!C163</f>
        <v>CO</v>
      </c>
      <c r="D163" s="19">
        <f t="shared" si="11"/>
        <v>903</v>
      </c>
      <c r="E163" s="1458">
        <f t="shared" si="10"/>
        <v>877364</v>
      </c>
      <c r="F163" s="1550">
        <v>71260</v>
      </c>
      <c r="G163" s="1550">
        <v>71715</v>
      </c>
      <c r="H163" s="1550">
        <v>71440</v>
      </c>
      <c r="I163" s="1550">
        <v>71605</v>
      </c>
      <c r="J163" s="1550">
        <v>72821</v>
      </c>
      <c r="K163" s="1550">
        <v>81566</v>
      </c>
      <c r="L163" s="1550">
        <v>71610</v>
      </c>
      <c r="M163" s="1550">
        <v>69946</v>
      </c>
      <c r="N163" s="1550">
        <v>68600</v>
      </c>
      <c r="O163" s="1550">
        <v>69059</v>
      </c>
      <c r="P163" s="1550">
        <v>75484</v>
      </c>
      <c r="Q163" s="1550">
        <v>82258</v>
      </c>
      <c r="R163" s="3"/>
    </row>
    <row r="164" spans="1:18">
      <c r="A164" s="19">
        <v>903250</v>
      </c>
      <c r="B164" s="2770" t="s">
        <v>2430</v>
      </c>
      <c r="C164" s="19" t="str">
        <f>'BASE PERIOD'!C164</f>
        <v>CO</v>
      </c>
      <c r="D164" s="19">
        <f t="shared" si="11"/>
        <v>903</v>
      </c>
      <c r="E164" s="1458">
        <f>SUM(F164:Q164)</f>
        <v>-1317889</v>
      </c>
      <c r="F164" s="1550">
        <v>-48061</v>
      </c>
      <c r="G164" s="1550">
        <v>-99548</v>
      </c>
      <c r="H164" s="1550">
        <v>-122506</v>
      </c>
      <c r="I164" s="1550">
        <v>-127680</v>
      </c>
      <c r="J164" s="1550">
        <v>-117202</v>
      </c>
      <c r="K164" s="1550">
        <v>-80438</v>
      </c>
      <c r="L164" s="1550">
        <v>-60979</v>
      </c>
      <c r="M164" s="1550">
        <v>-69721</v>
      </c>
      <c r="N164" s="1550">
        <v>-104192</v>
      </c>
      <c r="O164" s="1550">
        <v>-141603</v>
      </c>
      <c r="P164" s="1550">
        <v>-193070</v>
      </c>
      <c r="Q164" s="1550">
        <v>-152889</v>
      </c>
      <c r="R164" s="3"/>
    </row>
    <row r="165" spans="1:18">
      <c r="A165" s="19">
        <f>'BASE PERIOD'!A165</f>
        <v>903300</v>
      </c>
      <c r="B165" s="2770" t="str">
        <f>'BASE PERIOD'!B165</f>
        <v>Cust Collecting-Local</v>
      </c>
      <c r="C165" s="19" t="str">
        <f>'BASE PERIOD'!C165</f>
        <v>CO</v>
      </c>
      <c r="D165" s="19">
        <f t="shared" si="11"/>
        <v>903</v>
      </c>
      <c r="E165" s="1458">
        <f t="shared" si="10"/>
        <v>521623</v>
      </c>
      <c r="F165" s="1550">
        <v>42820</v>
      </c>
      <c r="G165" s="1550">
        <v>43184</v>
      </c>
      <c r="H165" s="1550">
        <v>42725</v>
      </c>
      <c r="I165" s="1550">
        <v>43096</v>
      </c>
      <c r="J165" s="1550">
        <v>48410</v>
      </c>
      <c r="K165" s="1550">
        <v>45163</v>
      </c>
      <c r="L165" s="1550">
        <v>43100</v>
      </c>
      <c r="M165" s="1550">
        <v>42086</v>
      </c>
      <c r="N165" s="1550">
        <v>40775</v>
      </c>
      <c r="O165" s="1550">
        <v>41014</v>
      </c>
      <c r="P165" s="1550">
        <v>43685</v>
      </c>
      <c r="Q165" s="1550">
        <v>45565</v>
      </c>
      <c r="R165" s="3"/>
    </row>
    <row r="166" spans="1:18">
      <c r="A166" s="19">
        <f>'BASE PERIOD'!A166</f>
        <v>903400</v>
      </c>
      <c r="B166" s="2770" t="str">
        <f>'BASE PERIOD'!B166</f>
        <v>Cust Receiv &amp; Collect Exp-Edp</v>
      </c>
      <c r="C166" s="19" t="str">
        <f>'BASE PERIOD'!C166</f>
        <v>CO</v>
      </c>
      <c r="D166" s="19">
        <f t="shared" si="11"/>
        <v>903</v>
      </c>
      <c r="E166" s="1458">
        <f t="shared" si="10"/>
        <v>88573</v>
      </c>
      <c r="F166" s="1550">
        <v>7166</v>
      </c>
      <c r="G166" s="1550">
        <v>7243</v>
      </c>
      <c r="H166" s="1550">
        <v>7319</v>
      </c>
      <c r="I166" s="1550">
        <v>7396</v>
      </c>
      <c r="J166" s="1550">
        <v>7473</v>
      </c>
      <c r="K166" s="1550">
        <v>7663</v>
      </c>
      <c r="L166" s="1550">
        <v>7636</v>
      </c>
      <c r="M166" s="1550">
        <v>7712</v>
      </c>
      <c r="N166" s="1550">
        <v>7779</v>
      </c>
      <c r="O166" s="1550">
        <v>6901</v>
      </c>
      <c r="P166" s="1550">
        <v>7020</v>
      </c>
      <c r="Q166" s="1550">
        <v>7265</v>
      </c>
      <c r="R166" s="3"/>
    </row>
    <row r="167" spans="1:18">
      <c r="A167" s="19">
        <f>'BASE PERIOD'!A167</f>
        <v>903750</v>
      </c>
      <c r="B167" s="2770" t="str">
        <f>'BASE PERIOD'!B167</f>
        <v>Common - Operating-Cust Accts</v>
      </c>
      <c r="C167" s="19" t="str">
        <f>'BASE PERIOD'!C167</f>
        <v>CO</v>
      </c>
      <c r="D167" s="19">
        <f t="shared" si="11"/>
        <v>903</v>
      </c>
      <c r="E167" s="1458">
        <f t="shared" si="10"/>
        <v>0</v>
      </c>
      <c r="F167" s="1550">
        <v>0</v>
      </c>
      <c r="G167" s="1550">
        <v>0</v>
      </c>
      <c r="H167" s="1550">
        <v>0</v>
      </c>
      <c r="I167" s="1550">
        <v>0</v>
      </c>
      <c r="J167" s="1550">
        <v>0</v>
      </c>
      <c r="K167" s="1550">
        <v>0</v>
      </c>
      <c r="L167" s="1550">
        <v>0</v>
      </c>
      <c r="M167" s="1550">
        <v>0</v>
      </c>
      <c r="N167" s="1550">
        <v>0</v>
      </c>
      <c r="O167" s="1550">
        <v>0</v>
      </c>
      <c r="P167" s="1550">
        <v>0</v>
      </c>
      <c r="Q167" s="1550">
        <v>0</v>
      </c>
      <c r="R167" s="3"/>
    </row>
    <row r="168" spans="1:18">
      <c r="A168" s="19">
        <f>'BASE PERIOD'!A168</f>
        <v>903891</v>
      </c>
      <c r="B168" s="2770" t="str">
        <f>'BASE PERIOD'!B168</f>
        <v>IC Collection Agent Revenue</v>
      </c>
      <c r="C168" s="19" t="str">
        <f>'BASE PERIOD'!C168</f>
        <v>CO</v>
      </c>
      <c r="D168" s="19">
        <f t="shared" si="11"/>
        <v>903</v>
      </c>
      <c r="E168" s="1458">
        <f>SUM(F168:Q168)</f>
        <v>0</v>
      </c>
      <c r="F168" s="1550">
        <v>0</v>
      </c>
      <c r="G168" s="1550">
        <v>0</v>
      </c>
      <c r="H168" s="1550">
        <v>0</v>
      </c>
      <c r="I168" s="1550">
        <v>0</v>
      </c>
      <c r="J168" s="1550">
        <v>0</v>
      </c>
      <c r="K168" s="1550">
        <v>0</v>
      </c>
      <c r="L168" s="1550">
        <v>0</v>
      </c>
      <c r="M168" s="1550">
        <v>0</v>
      </c>
      <c r="N168" s="1550">
        <v>0</v>
      </c>
      <c r="O168" s="1550">
        <v>0</v>
      </c>
      <c r="P168" s="1550">
        <v>0</v>
      </c>
      <c r="Q168" s="1550">
        <v>0</v>
      </c>
      <c r="R168" s="3"/>
    </row>
    <row r="169" spans="1:18">
      <c r="A169" s="19">
        <f>'BASE PERIOD'!A169</f>
        <v>904001</v>
      </c>
      <c r="B169" s="2770" t="str">
        <f>'BASE PERIOD'!B169</f>
        <v>BAD DEBT EXPENSE</v>
      </c>
      <c r="C169" s="19" t="str">
        <f>'BASE PERIOD'!C169</f>
        <v>CO</v>
      </c>
      <c r="D169" s="19">
        <f t="shared" si="11"/>
        <v>904</v>
      </c>
      <c r="E169" s="1458">
        <f t="shared" si="10"/>
        <v>55338</v>
      </c>
      <c r="F169" s="1550">
        <v>4600</v>
      </c>
      <c r="G169" s="1550">
        <v>4600</v>
      </c>
      <c r="H169" s="1550">
        <v>4600</v>
      </c>
      <c r="I169" s="1550">
        <v>4600</v>
      </c>
      <c r="J169" s="1550">
        <v>4600</v>
      </c>
      <c r="K169" s="1550">
        <v>4600</v>
      </c>
      <c r="L169" s="1550">
        <v>4600</v>
      </c>
      <c r="M169" s="1550">
        <v>4600</v>
      </c>
      <c r="N169" s="1550">
        <v>4600</v>
      </c>
      <c r="O169" s="1550">
        <v>4646</v>
      </c>
      <c r="P169" s="1550">
        <v>4646</v>
      </c>
      <c r="Q169" s="1550">
        <v>4646</v>
      </c>
      <c r="R169" s="3"/>
    </row>
    <row r="170" spans="1:18">
      <c r="A170" s="19">
        <f>'BASE PERIOD'!A170</f>
        <v>904003</v>
      </c>
      <c r="B170" s="2770" t="str">
        <f>'BASE PERIOD'!B170</f>
        <v>Cust Acctg-Loss On Sale-A/R</v>
      </c>
      <c r="C170" s="19" t="str">
        <f>'BASE PERIOD'!C170</f>
        <v>CO</v>
      </c>
      <c r="D170" s="19">
        <f t="shared" si="11"/>
        <v>904</v>
      </c>
      <c r="E170" s="1458">
        <f t="shared" si="10"/>
        <v>1910160</v>
      </c>
      <c r="F170" s="1550">
        <v>137908</v>
      </c>
      <c r="G170" s="1550">
        <v>108904</v>
      </c>
      <c r="H170" s="1550">
        <v>145802</v>
      </c>
      <c r="I170" s="1550">
        <v>233461</v>
      </c>
      <c r="J170" s="1550">
        <v>197974</v>
      </c>
      <c r="K170" s="1550">
        <v>137649</v>
      </c>
      <c r="L170" s="1550">
        <v>215342</v>
      </c>
      <c r="M170" s="1550">
        <v>256654</v>
      </c>
      <c r="N170" s="1550">
        <v>173288</v>
      </c>
      <c r="O170" s="1550">
        <v>173431</v>
      </c>
      <c r="P170" s="1550">
        <v>79743</v>
      </c>
      <c r="Q170" s="1550">
        <v>50004</v>
      </c>
      <c r="R170" s="3"/>
    </row>
    <row r="171" spans="1:18">
      <c r="A171" s="19">
        <f>'BASE PERIOD'!A171</f>
        <v>904891</v>
      </c>
      <c r="B171" s="2770" t="str">
        <f>'BASE PERIOD'!B171</f>
        <v>IC Loss on Sale of AR VIE</v>
      </c>
      <c r="C171" s="19" t="str">
        <f>'BASE PERIOD'!C171</f>
        <v>CO</v>
      </c>
      <c r="D171" s="19">
        <f t="shared" si="11"/>
        <v>904</v>
      </c>
      <c r="E171" s="1458">
        <f t="shared" si="10"/>
        <v>0</v>
      </c>
      <c r="F171" s="1550">
        <v>0</v>
      </c>
      <c r="G171" s="1550">
        <v>0</v>
      </c>
      <c r="H171" s="1550">
        <v>0</v>
      </c>
      <c r="I171" s="1550">
        <v>0</v>
      </c>
      <c r="J171" s="1550">
        <v>0</v>
      </c>
      <c r="K171" s="1550">
        <v>0</v>
      </c>
      <c r="L171" s="1550">
        <v>0</v>
      </c>
      <c r="M171" s="1550">
        <v>0</v>
      </c>
      <c r="N171" s="1550">
        <v>0</v>
      </c>
      <c r="O171" s="1550">
        <v>0</v>
      </c>
      <c r="P171" s="1550">
        <v>0</v>
      </c>
      <c r="Q171" s="1550">
        <v>0</v>
      </c>
      <c r="R171" s="3"/>
    </row>
    <row r="172" spans="1:18">
      <c r="A172" s="19">
        <f>'BASE PERIOD'!A172</f>
        <v>905000</v>
      </c>
      <c r="B172" s="2770" t="str">
        <f>'BASE PERIOD'!B172</f>
        <v>Misc Customer Accts Expenses</v>
      </c>
      <c r="C172" s="19" t="str">
        <f>'BASE PERIOD'!C172</f>
        <v>CO</v>
      </c>
      <c r="D172" s="19">
        <f t="shared" si="11"/>
        <v>905</v>
      </c>
      <c r="E172" s="1458">
        <f t="shared" si="10"/>
        <v>0</v>
      </c>
      <c r="F172" s="1550">
        <v>0</v>
      </c>
      <c r="G172" s="1550">
        <v>0</v>
      </c>
      <c r="H172" s="1550">
        <v>0</v>
      </c>
      <c r="I172" s="1550">
        <v>0</v>
      </c>
      <c r="J172" s="1550">
        <v>0</v>
      </c>
      <c r="K172" s="1550">
        <v>0</v>
      </c>
      <c r="L172" s="1550">
        <v>0</v>
      </c>
      <c r="M172" s="1550">
        <v>0</v>
      </c>
      <c r="N172" s="1550">
        <v>0</v>
      </c>
      <c r="O172" s="1550">
        <v>0</v>
      </c>
      <c r="P172" s="1550">
        <v>0</v>
      </c>
      <c r="Q172" s="1550">
        <v>0</v>
      </c>
      <c r="R172" s="3"/>
    </row>
    <row r="173" spans="1:18">
      <c r="A173" s="19">
        <f>'BASE PERIOD'!A173</f>
        <v>908000</v>
      </c>
      <c r="B173" s="2770" t="str">
        <f>'BASE PERIOD'!B173</f>
        <v>Cust Asst Exp-Conservation Pro</v>
      </c>
      <c r="C173" s="19" t="str">
        <f>'BASE PERIOD'!C173</f>
        <v>CSI</v>
      </c>
      <c r="D173" s="19">
        <f t="shared" si="11"/>
        <v>908</v>
      </c>
      <c r="E173" s="1458">
        <f t="shared" si="10"/>
        <v>0</v>
      </c>
      <c r="F173" s="1550">
        <v>0</v>
      </c>
      <c r="G173" s="1550">
        <v>0</v>
      </c>
      <c r="H173" s="1550">
        <v>0</v>
      </c>
      <c r="I173" s="1550">
        <v>0</v>
      </c>
      <c r="J173" s="1550">
        <v>0</v>
      </c>
      <c r="K173" s="1550">
        <v>0</v>
      </c>
      <c r="L173" s="1550">
        <v>0</v>
      </c>
      <c r="M173" s="1550">
        <v>0</v>
      </c>
      <c r="N173" s="1550">
        <v>0</v>
      </c>
      <c r="O173" s="1550">
        <v>0</v>
      </c>
      <c r="P173" s="1550">
        <v>0</v>
      </c>
      <c r="Q173" s="1550">
        <v>0</v>
      </c>
      <c r="R173" s="3"/>
    </row>
    <row r="174" spans="1:18">
      <c r="A174" s="19">
        <f>'BASE PERIOD'!A174</f>
        <v>909650</v>
      </c>
      <c r="B174" s="2770" t="str">
        <f>'BASE PERIOD'!B174</f>
        <v>Misc Advertising Expenses</v>
      </c>
      <c r="C174" s="19" t="str">
        <f>'BASE PERIOD'!C174</f>
        <v>CSI</v>
      </c>
      <c r="D174" s="19">
        <f t="shared" si="11"/>
        <v>909</v>
      </c>
      <c r="E174" s="1458">
        <f t="shared" si="10"/>
        <v>0</v>
      </c>
      <c r="F174" s="1550">
        <v>0</v>
      </c>
      <c r="G174" s="1550">
        <v>0</v>
      </c>
      <c r="H174" s="1550">
        <v>0</v>
      </c>
      <c r="I174" s="1550">
        <v>0</v>
      </c>
      <c r="J174" s="1550">
        <v>0</v>
      </c>
      <c r="K174" s="1550">
        <v>0</v>
      </c>
      <c r="L174" s="1550">
        <v>0</v>
      </c>
      <c r="M174" s="1550">
        <v>0</v>
      </c>
      <c r="N174" s="1550">
        <v>0</v>
      </c>
      <c r="O174" s="1550">
        <v>0</v>
      </c>
      <c r="P174" s="1550">
        <v>0</v>
      </c>
      <c r="Q174" s="1550">
        <v>0</v>
      </c>
      <c r="R174" s="3"/>
    </row>
    <row r="175" spans="1:18">
      <c r="A175" s="19">
        <f>'BASE PERIOD'!A175</f>
        <v>910000</v>
      </c>
      <c r="B175" s="2770" t="str">
        <f>'BASE PERIOD'!B175</f>
        <v>Misc Cust Serv/Inform Exp</v>
      </c>
      <c r="C175" s="19" t="str">
        <f>'BASE PERIOD'!C175</f>
        <v>CSI</v>
      </c>
      <c r="D175" s="19">
        <f t="shared" si="11"/>
        <v>910</v>
      </c>
      <c r="E175" s="1458">
        <f t="shared" ref="E175:E213" si="12">SUM(F175:Q175)</f>
        <v>400820</v>
      </c>
      <c r="F175" s="1550">
        <v>32224</v>
      </c>
      <c r="G175" s="1550">
        <v>34075</v>
      </c>
      <c r="H175" s="1550">
        <v>36392</v>
      </c>
      <c r="I175" s="1550">
        <v>32147</v>
      </c>
      <c r="J175" s="1550">
        <v>31207</v>
      </c>
      <c r="K175" s="1550">
        <v>34676</v>
      </c>
      <c r="L175" s="1550">
        <v>34231</v>
      </c>
      <c r="M175" s="1550">
        <v>29750</v>
      </c>
      <c r="N175" s="1550">
        <v>34501</v>
      </c>
      <c r="O175" s="1550">
        <v>35584</v>
      </c>
      <c r="P175" s="1550">
        <v>33884</v>
      </c>
      <c r="Q175" s="1550">
        <v>32149</v>
      </c>
      <c r="R175" s="3"/>
    </row>
    <row r="176" spans="1:18">
      <c r="A176" s="19">
        <f>'BASE PERIOD'!A176</f>
        <v>910100</v>
      </c>
      <c r="B176" s="2770" t="str">
        <f>'BASE PERIOD'!B176</f>
        <v>Exp-Rs Reg Prod/Svces-CstAccts</v>
      </c>
      <c r="C176" s="19" t="str">
        <f>'BASE PERIOD'!C176</f>
        <v>CSI</v>
      </c>
      <c r="D176" s="19">
        <f t="shared" si="11"/>
        <v>910</v>
      </c>
      <c r="E176" s="1458">
        <f t="shared" si="12"/>
        <v>680378</v>
      </c>
      <c r="F176" s="1550">
        <v>56914</v>
      </c>
      <c r="G176" s="1550">
        <v>56914</v>
      </c>
      <c r="H176" s="1550">
        <v>56914</v>
      </c>
      <c r="I176" s="1550">
        <v>56914</v>
      </c>
      <c r="J176" s="1550">
        <v>56914</v>
      </c>
      <c r="K176" s="1550">
        <v>56914</v>
      </c>
      <c r="L176" s="1550">
        <v>56914</v>
      </c>
      <c r="M176" s="1550">
        <v>57047</v>
      </c>
      <c r="N176" s="1550">
        <v>57047</v>
      </c>
      <c r="O176" s="1550">
        <v>54671</v>
      </c>
      <c r="P176" s="1550">
        <v>56633</v>
      </c>
      <c r="Q176" s="1550">
        <v>56582</v>
      </c>
      <c r="R176" s="3"/>
    </row>
    <row r="177" spans="1:18">
      <c r="A177" s="19">
        <f>'BASE PERIOD'!A177</f>
        <v>912000</v>
      </c>
      <c r="B177" s="2770" t="str">
        <f>'BASE PERIOD'!B177</f>
        <v>Demonstrating &amp; Selling Exp</v>
      </c>
      <c r="C177" s="19" t="str">
        <f>'BASE PERIOD'!C177</f>
        <v>SE</v>
      </c>
      <c r="D177" s="19">
        <f t="shared" si="11"/>
        <v>912</v>
      </c>
      <c r="E177" s="1458">
        <f t="shared" si="12"/>
        <v>793281</v>
      </c>
      <c r="F177" s="1550">
        <v>66201</v>
      </c>
      <c r="G177" s="1550">
        <v>66211</v>
      </c>
      <c r="H177" s="1550">
        <v>66191</v>
      </c>
      <c r="I177" s="1550">
        <v>66214</v>
      </c>
      <c r="J177" s="1550">
        <v>66534</v>
      </c>
      <c r="K177" s="1550">
        <v>66300</v>
      </c>
      <c r="L177" s="1550">
        <v>66323</v>
      </c>
      <c r="M177" s="1550">
        <v>66305</v>
      </c>
      <c r="N177" s="1550">
        <v>66329</v>
      </c>
      <c r="O177" s="1550">
        <v>64967</v>
      </c>
      <c r="P177" s="1550">
        <v>64824</v>
      </c>
      <c r="Q177" s="1550">
        <v>66882</v>
      </c>
      <c r="R177" s="3"/>
    </row>
    <row r="178" spans="1:18">
      <c r="A178" s="19">
        <f>'BASE PERIOD'!A178</f>
        <v>913001</v>
      </c>
      <c r="B178" s="2770" t="str">
        <f>'BASE PERIOD'!B178</f>
        <v>Advertising Expense</v>
      </c>
      <c r="C178" s="19" t="str">
        <f>'BASE PERIOD'!C178</f>
        <v>SE</v>
      </c>
      <c r="D178" s="19">
        <f t="shared" si="11"/>
        <v>913</v>
      </c>
      <c r="E178" s="1458">
        <f t="shared" si="12"/>
        <v>1857</v>
      </c>
      <c r="F178" s="1550">
        <v>155</v>
      </c>
      <c r="G178" s="1550">
        <v>155</v>
      </c>
      <c r="H178" s="1550">
        <v>155</v>
      </c>
      <c r="I178" s="1550">
        <v>155</v>
      </c>
      <c r="J178" s="1550">
        <v>155</v>
      </c>
      <c r="K178" s="1550">
        <v>155</v>
      </c>
      <c r="L178" s="1550">
        <v>155</v>
      </c>
      <c r="M178" s="1550">
        <v>155</v>
      </c>
      <c r="N178" s="1550">
        <v>155</v>
      </c>
      <c r="O178" s="1550">
        <v>153</v>
      </c>
      <c r="P178" s="1550">
        <v>152</v>
      </c>
      <c r="Q178" s="1550">
        <v>157</v>
      </c>
      <c r="R178" s="3"/>
    </row>
    <row r="179" spans="1:18">
      <c r="A179" s="19">
        <f>'BASE PERIOD'!A179</f>
        <v>920000</v>
      </c>
      <c r="B179" s="2770" t="str">
        <f>'BASE PERIOD'!B179</f>
        <v>A &amp; G Salaries</v>
      </c>
      <c r="C179" s="19" t="str">
        <f>'BASE PERIOD'!C179</f>
        <v>AGO</v>
      </c>
      <c r="D179" s="19">
        <f t="shared" si="11"/>
        <v>920</v>
      </c>
      <c r="E179" s="1458">
        <f t="shared" si="12"/>
        <v>4088055</v>
      </c>
      <c r="F179" s="1550">
        <v>434300</v>
      </c>
      <c r="G179" s="1550">
        <v>434367</v>
      </c>
      <c r="H179" s="1550">
        <v>472110</v>
      </c>
      <c r="I179" s="1550">
        <v>434209</v>
      </c>
      <c r="J179" s="1550">
        <v>433819</v>
      </c>
      <c r="K179" s="1550">
        <v>444669</v>
      </c>
      <c r="L179" s="1550">
        <v>434247</v>
      </c>
      <c r="M179" s="1550">
        <v>434133</v>
      </c>
      <c r="N179" s="1550">
        <v>466742</v>
      </c>
      <c r="O179" s="1550">
        <v>122518</v>
      </c>
      <c r="P179" s="1550">
        <v>123249</v>
      </c>
      <c r="Q179" s="1550">
        <v>-146308</v>
      </c>
      <c r="R179" s="3"/>
    </row>
    <row r="180" spans="1:18">
      <c r="A180" s="19">
        <f>'BASE PERIOD'!A180</f>
        <v>921100</v>
      </c>
      <c r="B180" s="2770" t="str">
        <f>'BASE PERIOD'!B180</f>
        <v>Employee Expenses</v>
      </c>
      <c r="C180" s="19" t="str">
        <f>'BASE PERIOD'!C180</f>
        <v>AGO</v>
      </c>
      <c r="D180" s="19">
        <f t="shared" si="11"/>
        <v>921</v>
      </c>
      <c r="E180" s="1458">
        <f t="shared" si="12"/>
        <v>349340</v>
      </c>
      <c r="F180" s="1550">
        <v>28482</v>
      </c>
      <c r="G180" s="1550">
        <v>28048</v>
      </c>
      <c r="H180" s="1550">
        <v>30078</v>
      </c>
      <c r="I180" s="1550">
        <v>27690</v>
      </c>
      <c r="J180" s="1550">
        <v>27938</v>
      </c>
      <c r="K180" s="1550">
        <v>30949</v>
      </c>
      <c r="L180" s="1550">
        <v>28176</v>
      </c>
      <c r="M180" s="1550">
        <v>28564</v>
      </c>
      <c r="N180" s="1550">
        <v>33990</v>
      </c>
      <c r="O180" s="1550">
        <v>27914</v>
      </c>
      <c r="P180" s="1550">
        <v>27894</v>
      </c>
      <c r="Q180" s="1550">
        <v>29617</v>
      </c>
      <c r="R180" s="3"/>
    </row>
    <row r="181" spans="1:18">
      <c r="A181" s="19">
        <f>'BASE PERIOD'!A181</f>
        <v>921101</v>
      </c>
      <c r="B181" s="2770" t="str">
        <f>'BASE PERIOD'!B181</f>
        <v>Employee Exp - NC</v>
      </c>
      <c r="C181" s="19" t="str">
        <f>'BASE PERIOD'!C181</f>
        <v>AGO</v>
      </c>
      <c r="D181" s="19">
        <f t="shared" si="11"/>
        <v>921</v>
      </c>
      <c r="E181" s="1458">
        <f t="shared" si="12"/>
        <v>0</v>
      </c>
      <c r="F181" s="1550">
        <v>0</v>
      </c>
      <c r="G181" s="1550">
        <v>0</v>
      </c>
      <c r="H181" s="1550">
        <v>0</v>
      </c>
      <c r="I181" s="1550">
        <v>0</v>
      </c>
      <c r="J181" s="1550">
        <v>0</v>
      </c>
      <c r="K181" s="1550">
        <v>0</v>
      </c>
      <c r="L181" s="1550">
        <v>0</v>
      </c>
      <c r="M181" s="1550">
        <v>0</v>
      </c>
      <c r="N181" s="1550">
        <v>0</v>
      </c>
      <c r="O181" s="1550">
        <v>0</v>
      </c>
      <c r="P181" s="1550">
        <v>0</v>
      </c>
      <c r="Q181" s="1550">
        <v>0</v>
      </c>
      <c r="R181" s="3"/>
    </row>
    <row r="182" spans="1:18">
      <c r="A182" s="19">
        <f>'BASE PERIOD'!A182</f>
        <v>921110</v>
      </c>
      <c r="B182" s="2770" t="str">
        <f>'BASE PERIOD'!B182</f>
        <v>Relocation Expenses</v>
      </c>
      <c r="C182" s="19" t="str">
        <f>'BASE PERIOD'!C182</f>
        <v>AGO</v>
      </c>
      <c r="D182" s="19">
        <f t="shared" si="11"/>
        <v>921</v>
      </c>
      <c r="E182" s="1458">
        <f t="shared" si="12"/>
        <v>0</v>
      </c>
      <c r="F182" s="1550">
        <v>0</v>
      </c>
      <c r="G182" s="1550">
        <v>0</v>
      </c>
      <c r="H182" s="1550">
        <v>0</v>
      </c>
      <c r="I182" s="1550">
        <v>0</v>
      </c>
      <c r="J182" s="1550">
        <v>0</v>
      </c>
      <c r="K182" s="1550">
        <v>0</v>
      </c>
      <c r="L182" s="1550">
        <v>0</v>
      </c>
      <c r="M182" s="1550">
        <v>0</v>
      </c>
      <c r="N182" s="1550">
        <v>0</v>
      </c>
      <c r="O182" s="1550">
        <v>0</v>
      </c>
      <c r="P182" s="1550">
        <v>0</v>
      </c>
      <c r="Q182" s="1550">
        <v>0</v>
      </c>
      <c r="R182" s="3"/>
    </row>
    <row r="183" spans="1:18">
      <c r="A183" s="19">
        <f>'BASE PERIOD'!A183</f>
        <v>921200</v>
      </c>
      <c r="B183" s="2770" t="str">
        <f>'BASE PERIOD'!B183</f>
        <v>Office Expenses</v>
      </c>
      <c r="C183" s="19" t="str">
        <f>'BASE PERIOD'!C183</f>
        <v>AGO</v>
      </c>
      <c r="D183" s="19">
        <f t="shared" si="11"/>
        <v>921</v>
      </c>
      <c r="E183" s="1458">
        <f t="shared" si="12"/>
        <v>796529</v>
      </c>
      <c r="F183" s="1550">
        <v>57022</v>
      </c>
      <c r="G183" s="1550">
        <v>59230</v>
      </c>
      <c r="H183" s="1550">
        <v>82983</v>
      </c>
      <c r="I183" s="1550">
        <v>57568</v>
      </c>
      <c r="J183" s="1550">
        <v>56474</v>
      </c>
      <c r="K183" s="1550">
        <v>86935</v>
      </c>
      <c r="L183" s="1550">
        <v>56092</v>
      </c>
      <c r="M183" s="1550">
        <v>55421</v>
      </c>
      <c r="N183" s="1550">
        <v>81440</v>
      </c>
      <c r="O183" s="1550">
        <v>59328</v>
      </c>
      <c r="P183" s="1550">
        <v>57893</v>
      </c>
      <c r="Q183" s="1550">
        <v>86143</v>
      </c>
      <c r="R183" s="3"/>
    </row>
    <row r="184" spans="1:18">
      <c r="A184" s="19">
        <f>'BASE PERIOD'!A184</f>
        <v>921300</v>
      </c>
      <c r="B184" s="2770" t="str">
        <f>'BASE PERIOD'!B184</f>
        <v>Telephone And Telegraph Exp</v>
      </c>
      <c r="C184" s="19" t="str">
        <f>'BASE PERIOD'!C184</f>
        <v>AGO</v>
      </c>
      <c r="D184" s="19">
        <f t="shared" si="11"/>
        <v>921</v>
      </c>
      <c r="E184" s="1458">
        <f t="shared" si="12"/>
        <v>0</v>
      </c>
      <c r="F184" s="1550">
        <v>0</v>
      </c>
      <c r="G184" s="1550">
        <v>0</v>
      </c>
      <c r="H184" s="1550">
        <v>0</v>
      </c>
      <c r="I184" s="1550">
        <v>0</v>
      </c>
      <c r="J184" s="1550">
        <v>0</v>
      </c>
      <c r="K184" s="1550">
        <v>0</v>
      </c>
      <c r="L184" s="1550">
        <v>0</v>
      </c>
      <c r="M184" s="1550">
        <v>0</v>
      </c>
      <c r="N184" s="1550">
        <v>0</v>
      </c>
      <c r="O184" s="1550">
        <v>0</v>
      </c>
      <c r="P184" s="1550">
        <v>0</v>
      </c>
      <c r="Q184" s="1550">
        <v>0</v>
      </c>
      <c r="R184" s="3"/>
    </row>
    <row r="185" spans="1:18">
      <c r="A185" s="19">
        <f>'BASE PERIOD'!A185</f>
        <v>921400</v>
      </c>
      <c r="B185" s="2770" t="str">
        <f>'BASE PERIOD'!B185</f>
        <v>Computer Services Expenses</v>
      </c>
      <c r="C185" s="19" t="str">
        <f>'BASE PERIOD'!C185</f>
        <v>AGO</v>
      </c>
      <c r="D185" s="19">
        <f t="shared" si="11"/>
        <v>921</v>
      </c>
      <c r="E185" s="1458">
        <f t="shared" si="12"/>
        <v>192358</v>
      </c>
      <c r="F185" s="1550">
        <v>16694</v>
      </c>
      <c r="G185" s="1550">
        <v>11998</v>
      </c>
      <c r="H185" s="1550">
        <v>34393</v>
      </c>
      <c r="I185" s="1550">
        <v>18976</v>
      </c>
      <c r="J185" s="1550">
        <v>8590</v>
      </c>
      <c r="K185" s="1550">
        <v>9620</v>
      </c>
      <c r="L185" s="1550">
        <v>12884</v>
      </c>
      <c r="M185" s="1550">
        <v>9095</v>
      </c>
      <c r="N185" s="1550">
        <v>13660</v>
      </c>
      <c r="O185" s="1550">
        <v>15265</v>
      </c>
      <c r="P185" s="1550">
        <v>28049</v>
      </c>
      <c r="Q185" s="1550">
        <v>13134</v>
      </c>
      <c r="R185" s="3"/>
    </row>
    <row r="186" spans="1:18">
      <c r="A186" s="19">
        <f>'BASE PERIOD'!A186</f>
        <v>921540</v>
      </c>
      <c r="B186" s="2770" t="str">
        <f>'BASE PERIOD'!B186</f>
        <v>Computer Rent (Go Only)</v>
      </c>
      <c r="C186" s="19" t="str">
        <f>'BASE PERIOD'!C186</f>
        <v>AGO</v>
      </c>
      <c r="D186" s="19">
        <f t="shared" si="11"/>
        <v>921</v>
      </c>
      <c r="E186" s="1458">
        <f t="shared" si="12"/>
        <v>1324</v>
      </c>
      <c r="F186" s="1550">
        <v>44</v>
      </c>
      <c r="G186" s="1550">
        <v>44</v>
      </c>
      <c r="H186" s="1550">
        <v>44</v>
      </c>
      <c r="I186" s="1550">
        <v>836</v>
      </c>
      <c r="J186" s="1550">
        <v>44</v>
      </c>
      <c r="K186" s="1550">
        <v>44</v>
      </c>
      <c r="L186" s="1550">
        <v>44</v>
      </c>
      <c r="M186" s="1550">
        <v>44</v>
      </c>
      <c r="N186" s="1550">
        <v>44</v>
      </c>
      <c r="O186" s="1550">
        <v>44</v>
      </c>
      <c r="P186" s="1550">
        <v>48</v>
      </c>
      <c r="Q186" s="1550">
        <v>44</v>
      </c>
      <c r="R186" s="3"/>
    </row>
    <row r="187" spans="1:18">
      <c r="A187" s="19">
        <f>'BASE PERIOD'!A187</f>
        <v>921600</v>
      </c>
      <c r="B187" s="2770" t="str">
        <f>'BASE PERIOD'!B187</f>
        <v>Other</v>
      </c>
      <c r="C187" s="19" t="str">
        <f>'BASE PERIOD'!C187</f>
        <v>AGO</v>
      </c>
      <c r="D187" s="19">
        <f t="shared" si="11"/>
        <v>921</v>
      </c>
      <c r="E187" s="1458">
        <f t="shared" si="12"/>
        <v>0</v>
      </c>
      <c r="F187" s="1550">
        <v>0</v>
      </c>
      <c r="G187" s="1550">
        <v>0</v>
      </c>
      <c r="H187" s="1550">
        <v>0</v>
      </c>
      <c r="I187" s="1550">
        <v>0</v>
      </c>
      <c r="J187" s="1550">
        <v>0</v>
      </c>
      <c r="K187" s="1550">
        <v>0</v>
      </c>
      <c r="L187" s="1550">
        <v>0</v>
      </c>
      <c r="M187" s="1550">
        <v>0</v>
      </c>
      <c r="N187" s="1550">
        <v>0</v>
      </c>
      <c r="O187" s="1550">
        <v>0</v>
      </c>
      <c r="P187" s="1550">
        <v>0</v>
      </c>
      <c r="Q187" s="1550">
        <v>0</v>
      </c>
      <c r="R187" s="3"/>
    </row>
    <row r="188" spans="1:18">
      <c r="A188" s="19">
        <f>'BASE PERIOD'!A188</f>
        <v>921980</v>
      </c>
      <c r="B188" s="2770" t="str">
        <f>'BASE PERIOD'!B188</f>
        <v>Office Supplies &amp; Expenses</v>
      </c>
      <c r="C188" s="19" t="str">
        <f>'BASE PERIOD'!C188</f>
        <v>AGO</v>
      </c>
      <c r="D188" s="19">
        <f t="shared" si="11"/>
        <v>921</v>
      </c>
      <c r="E188" s="1458">
        <f t="shared" si="12"/>
        <v>1315198</v>
      </c>
      <c r="F188" s="1550">
        <v>110454</v>
      </c>
      <c r="G188" s="1550">
        <v>110460</v>
      </c>
      <c r="H188" s="1550">
        <v>110474</v>
      </c>
      <c r="I188" s="1550">
        <v>110451</v>
      </c>
      <c r="J188" s="1550">
        <v>110446</v>
      </c>
      <c r="K188" s="1550">
        <v>109941</v>
      </c>
      <c r="L188" s="1550">
        <v>110394</v>
      </c>
      <c r="M188" s="1550">
        <v>110374</v>
      </c>
      <c r="N188" s="1550">
        <v>110381</v>
      </c>
      <c r="O188" s="1550">
        <v>107433</v>
      </c>
      <c r="P188" s="1550">
        <v>107546</v>
      </c>
      <c r="Q188" s="1550">
        <v>106844</v>
      </c>
      <c r="R188" s="3"/>
    </row>
    <row r="189" spans="1:18">
      <c r="A189" s="19">
        <f>'BASE PERIOD'!A189</f>
        <v>922000</v>
      </c>
      <c r="B189" s="2770" t="str">
        <f>'BASE PERIOD'!B189</f>
        <v>Admin Expense Transfer</v>
      </c>
      <c r="C189" s="19" t="str">
        <f>'BASE PERIOD'!C189</f>
        <v>AGO</v>
      </c>
      <c r="D189" s="19">
        <f t="shared" si="11"/>
        <v>922</v>
      </c>
      <c r="E189" s="1458">
        <f>SUM(F189:Q189)</f>
        <v>0</v>
      </c>
      <c r="F189" s="1550">
        <v>0</v>
      </c>
      <c r="G189" s="1550">
        <v>0</v>
      </c>
      <c r="H189" s="1550">
        <v>0</v>
      </c>
      <c r="I189" s="1550">
        <v>0</v>
      </c>
      <c r="J189" s="1550">
        <v>0</v>
      </c>
      <c r="K189" s="1550">
        <v>0</v>
      </c>
      <c r="L189" s="1550">
        <v>0</v>
      </c>
      <c r="M189" s="1550">
        <v>0</v>
      </c>
      <c r="N189" s="1550">
        <v>0</v>
      </c>
      <c r="O189" s="1550">
        <v>0</v>
      </c>
      <c r="P189" s="1550">
        <v>0</v>
      </c>
      <c r="Q189" s="1550">
        <v>0</v>
      </c>
      <c r="R189" s="3"/>
    </row>
    <row r="190" spans="1:18">
      <c r="A190" s="19">
        <f>'BASE PERIOD'!A190</f>
        <v>923000</v>
      </c>
      <c r="B190" s="2770" t="str">
        <f>'BASE PERIOD'!B190</f>
        <v>Outside Services Employed</v>
      </c>
      <c r="C190" s="19" t="str">
        <f>'BASE PERIOD'!C190</f>
        <v>AGO</v>
      </c>
      <c r="D190" s="19">
        <f t="shared" si="11"/>
        <v>923</v>
      </c>
      <c r="E190" s="1458">
        <f t="shared" si="12"/>
        <v>2100342</v>
      </c>
      <c r="F190" s="1550">
        <v>138944</v>
      </c>
      <c r="G190" s="1550">
        <v>144676</v>
      </c>
      <c r="H190" s="1550">
        <v>204497</v>
      </c>
      <c r="I190" s="1550">
        <v>127155</v>
      </c>
      <c r="J190" s="1550">
        <v>139577</v>
      </c>
      <c r="K190" s="1550">
        <v>199675</v>
      </c>
      <c r="L190" s="1550">
        <v>143697</v>
      </c>
      <c r="M190" s="1550">
        <v>132595</v>
      </c>
      <c r="N190" s="1550">
        <v>334291</v>
      </c>
      <c r="O190" s="1550">
        <v>163618</v>
      </c>
      <c r="P190" s="1550">
        <v>164056</v>
      </c>
      <c r="Q190" s="1550">
        <v>207561</v>
      </c>
      <c r="R190" s="3"/>
    </row>
    <row r="191" spans="1:18">
      <c r="A191" s="19">
        <f>'BASE PERIOD'!A191</f>
        <v>923980</v>
      </c>
      <c r="B191" s="2770" t="str">
        <f>'BASE PERIOD'!B191</f>
        <v>Outside Services Employee &amp;</v>
      </c>
      <c r="C191" s="19" t="str">
        <f>'BASE PERIOD'!C191</f>
        <v>AGO</v>
      </c>
      <c r="D191" s="19">
        <f t="shared" si="11"/>
        <v>923</v>
      </c>
      <c r="E191" s="1458">
        <f t="shared" si="12"/>
        <v>0</v>
      </c>
      <c r="F191" s="1550">
        <v>0</v>
      </c>
      <c r="G191" s="1550">
        <v>0</v>
      </c>
      <c r="H191" s="1550">
        <v>0</v>
      </c>
      <c r="I191" s="1550">
        <v>0</v>
      </c>
      <c r="J191" s="1550">
        <v>0</v>
      </c>
      <c r="K191" s="1550">
        <v>0</v>
      </c>
      <c r="L191" s="1550">
        <v>0</v>
      </c>
      <c r="M191" s="1550">
        <v>0</v>
      </c>
      <c r="N191" s="1550">
        <v>0</v>
      </c>
      <c r="O191" s="1550">
        <v>0</v>
      </c>
      <c r="P191" s="1550">
        <v>0</v>
      </c>
      <c r="Q191" s="1550">
        <v>0</v>
      </c>
      <c r="R191" s="3"/>
    </row>
    <row r="192" spans="1:18">
      <c r="A192" s="19">
        <f>'BASE PERIOD'!A192</f>
        <v>924000</v>
      </c>
      <c r="B192" s="2770" t="str">
        <f>'BASE PERIOD'!B192</f>
        <v>Property Insurance</v>
      </c>
      <c r="C192" s="19" t="str">
        <f>'BASE PERIOD'!C192</f>
        <v>AGO</v>
      </c>
      <c r="D192" s="19">
        <f t="shared" si="11"/>
        <v>924</v>
      </c>
      <c r="E192" s="1458">
        <f t="shared" si="12"/>
        <v>2363</v>
      </c>
      <c r="F192" s="1550">
        <v>0</v>
      </c>
      <c r="G192" s="1550">
        <v>0</v>
      </c>
      <c r="H192" s="1550">
        <v>0</v>
      </c>
      <c r="I192" s="1550">
        <v>2363</v>
      </c>
      <c r="J192" s="1550">
        <v>0</v>
      </c>
      <c r="K192" s="1550">
        <v>0</v>
      </c>
      <c r="L192" s="1550">
        <v>0</v>
      </c>
      <c r="M192" s="1550">
        <v>0</v>
      </c>
      <c r="N192" s="1550">
        <v>0</v>
      </c>
      <c r="O192" s="1550">
        <v>0</v>
      </c>
      <c r="P192" s="1550">
        <v>0</v>
      </c>
      <c r="Q192" s="1550">
        <v>0</v>
      </c>
      <c r="R192" s="3"/>
    </row>
    <row r="193" spans="1:18">
      <c r="A193" s="19">
        <f>'BASE PERIOD'!A193</f>
        <v>924050</v>
      </c>
      <c r="B193" s="2770" t="str">
        <f>'BASE PERIOD'!B193</f>
        <v>Inter-Co Prop Ins Exp</v>
      </c>
      <c r="C193" s="19" t="str">
        <f>'BASE PERIOD'!C193</f>
        <v>AGO</v>
      </c>
      <c r="D193" s="19">
        <f t="shared" si="11"/>
        <v>924</v>
      </c>
      <c r="E193" s="1458">
        <f t="shared" si="12"/>
        <v>173328</v>
      </c>
      <c r="F193" s="1550">
        <v>14408</v>
      </c>
      <c r="G193" s="1550">
        <v>14408</v>
      </c>
      <c r="H193" s="1550">
        <v>14408</v>
      </c>
      <c r="I193" s="1550">
        <v>14408</v>
      </c>
      <c r="J193" s="1550">
        <v>14408</v>
      </c>
      <c r="K193" s="1550">
        <v>14408</v>
      </c>
      <c r="L193" s="1550">
        <v>14408</v>
      </c>
      <c r="M193" s="1550">
        <v>14408</v>
      </c>
      <c r="N193" s="1550">
        <v>14408</v>
      </c>
      <c r="O193" s="1550">
        <v>14552</v>
      </c>
      <c r="P193" s="1550">
        <v>14552</v>
      </c>
      <c r="Q193" s="1550">
        <v>14552</v>
      </c>
      <c r="R193" s="3"/>
    </row>
    <row r="194" spans="1:18">
      <c r="A194" s="19">
        <f>'BASE PERIOD'!A194</f>
        <v>924980</v>
      </c>
      <c r="B194" s="2770" t="str">
        <f>'BASE PERIOD'!B194</f>
        <v>Property Insurance For Corp.</v>
      </c>
      <c r="C194" s="19" t="str">
        <f>'BASE PERIOD'!C194</f>
        <v>AGO</v>
      </c>
      <c r="D194" s="19">
        <f t="shared" si="11"/>
        <v>924</v>
      </c>
      <c r="E194" s="1458">
        <f t="shared" si="12"/>
        <v>179814</v>
      </c>
      <c r="F194" s="1550">
        <v>14947</v>
      </c>
      <c r="G194" s="1550">
        <v>14947</v>
      </c>
      <c r="H194" s="1550">
        <v>14947</v>
      </c>
      <c r="I194" s="1550">
        <v>14947</v>
      </c>
      <c r="J194" s="1550">
        <v>14947</v>
      </c>
      <c r="K194" s="1550">
        <v>14947</v>
      </c>
      <c r="L194" s="1550">
        <v>14947</v>
      </c>
      <c r="M194" s="1550">
        <v>14947</v>
      </c>
      <c r="N194" s="1550">
        <v>14947</v>
      </c>
      <c r="O194" s="1550">
        <v>15097</v>
      </c>
      <c r="P194" s="1550">
        <v>15097</v>
      </c>
      <c r="Q194" s="1550">
        <v>15097</v>
      </c>
      <c r="R194" s="3"/>
    </row>
    <row r="195" spans="1:18">
      <c r="A195" s="19">
        <f>'BASE PERIOD'!A195</f>
        <v>925000</v>
      </c>
      <c r="B195" s="2770" t="str">
        <f>'BASE PERIOD'!B195</f>
        <v>Injuries &amp; Damages</v>
      </c>
      <c r="C195" s="19" t="str">
        <f>'BASE PERIOD'!C195</f>
        <v>AGO</v>
      </c>
      <c r="D195" s="19">
        <f t="shared" si="11"/>
        <v>925</v>
      </c>
      <c r="E195" s="1458">
        <f t="shared" si="12"/>
        <v>242572</v>
      </c>
      <c r="F195" s="1550">
        <v>20031</v>
      </c>
      <c r="G195" s="1550">
        <v>19961</v>
      </c>
      <c r="H195" s="1550">
        <v>19982</v>
      </c>
      <c r="I195" s="1550">
        <v>19961</v>
      </c>
      <c r="J195" s="1550">
        <v>19934</v>
      </c>
      <c r="K195" s="1550">
        <v>20015</v>
      </c>
      <c r="L195" s="1550">
        <v>19986</v>
      </c>
      <c r="M195" s="1550">
        <v>19993</v>
      </c>
      <c r="N195" s="1550">
        <v>20043</v>
      </c>
      <c r="O195" s="1550">
        <v>20922</v>
      </c>
      <c r="P195" s="1550">
        <v>20901</v>
      </c>
      <c r="Q195" s="1550">
        <v>20843</v>
      </c>
      <c r="R195" s="3"/>
    </row>
    <row r="196" spans="1:18">
      <c r="A196" s="19">
        <f>'BASE PERIOD'!A196</f>
        <v>925050</v>
      </c>
      <c r="B196" s="2770" t="str">
        <f>'BASE PERIOD'!B196</f>
        <v>Intercompany Non-Prop Ins Exp</v>
      </c>
      <c r="C196" s="19" t="str">
        <f>'BASE PERIOD'!C196</f>
        <v>AGO</v>
      </c>
      <c r="D196" s="19">
        <f t="shared" si="11"/>
        <v>925</v>
      </c>
      <c r="E196" s="1458">
        <f>SUM(F196:Q196)</f>
        <v>0</v>
      </c>
      <c r="F196" s="1550">
        <v>0</v>
      </c>
      <c r="G196" s="1550">
        <v>0</v>
      </c>
      <c r="H196" s="1550">
        <v>0</v>
      </c>
      <c r="I196" s="1550">
        <v>0</v>
      </c>
      <c r="J196" s="1550">
        <v>0</v>
      </c>
      <c r="K196" s="1550">
        <v>0</v>
      </c>
      <c r="L196" s="1550">
        <v>0</v>
      </c>
      <c r="M196" s="1550">
        <v>0</v>
      </c>
      <c r="N196" s="1550">
        <v>0</v>
      </c>
      <c r="O196" s="1550">
        <v>0</v>
      </c>
      <c r="P196" s="1550">
        <v>0</v>
      </c>
      <c r="Q196" s="1550">
        <v>0</v>
      </c>
      <c r="R196" s="3"/>
    </row>
    <row r="197" spans="1:18">
      <c r="A197" s="19">
        <f>'BASE PERIOD'!A197</f>
        <v>925051</v>
      </c>
      <c r="B197" s="2770" t="str">
        <f>'BASE PERIOD'!B197</f>
        <v>INTER-CO GEN LIAB EXP</v>
      </c>
      <c r="C197" s="19" t="str">
        <f>'BASE PERIOD'!C197</f>
        <v>AGO</v>
      </c>
      <c r="D197" s="19">
        <f t="shared" si="11"/>
        <v>925</v>
      </c>
      <c r="E197" s="1458">
        <f t="shared" si="12"/>
        <v>827028</v>
      </c>
      <c r="F197" s="1550">
        <v>67550</v>
      </c>
      <c r="G197" s="1550">
        <v>67550</v>
      </c>
      <c r="H197" s="1550">
        <v>67550</v>
      </c>
      <c r="I197" s="1550">
        <v>67550</v>
      </c>
      <c r="J197" s="1550">
        <v>67550</v>
      </c>
      <c r="K197" s="1550">
        <v>67550</v>
      </c>
      <c r="L197" s="1550">
        <v>67550</v>
      </c>
      <c r="M197" s="1550">
        <v>67550</v>
      </c>
      <c r="N197" s="1550">
        <v>67550</v>
      </c>
      <c r="O197" s="1550">
        <v>73026</v>
      </c>
      <c r="P197" s="1550">
        <v>73026</v>
      </c>
      <c r="Q197" s="1550">
        <v>73026</v>
      </c>
      <c r="R197" s="3"/>
    </row>
    <row r="198" spans="1:18">
      <c r="A198" s="19">
        <f>'BASE PERIOD'!A198</f>
        <v>925200</v>
      </c>
      <c r="B198" s="2770" t="str">
        <f>'BASE PERIOD'!B198</f>
        <v>Injuries And Damages-Other</v>
      </c>
      <c r="C198" s="19" t="str">
        <f>'BASE PERIOD'!C198</f>
        <v>AGO</v>
      </c>
      <c r="D198" s="19">
        <f t="shared" si="11"/>
        <v>925</v>
      </c>
      <c r="E198" s="1458">
        <f t="shared" si="12"/>
        <v>0</v>
      </c>
      <c r="F198" s="1550">
        <v>0</v>
      </c>
      <c r="G198" s="1550">
        <v>0</v>
      </c>
      <c r="H198" s="1550">
        <v>0</v>
      </c>
      <c r="I198" s="1550">
        <v>0</v>
      </c>
      <c r="J198" s="1550">
        <v>0</v>
      </c>
      <c r="K198" s="1550">
        <v>0</v>
      </c>
      <c r="L198" s="1550">
        <v>0</v>
      </c>
      <c r="M198" s="1550">
        <v>0</v>
      </c>
      <c r="N198" s="1550">
        <v>0</v>
      </c>
      <c r="O198" s="1550">
        <v>0</v>
      </c>
      <c r="P198" s="1550">
        <v>0</v>
      </c>
      <c r="Q198" s="1550">
        <v>0</v>
      </c>
      <c r="R198" s="3"/>
    </row>
    <row r="199" spans="1:18">
      <c r="A199" s="19">
        <f>'BASE PERIOD'!A199</f>
        <v>925980</v>
      </c>
      <c r="B199" s="2770" t="str">
        <f>'BASE PERIOD'!B199</f>
        <v>Injuries And Damages For Corp.</v>
      </c>
      <c r="C199" s="19" t="str">
        <f>'BASE PERIOD'!C199</f>
        <v>AGO</v>
      </c>
      <c r="D199" s="19">
        <f t="shared" ref="D199:D222" si="13">VALUE(LEFT(A199,3))</f>
        <v>925</v>
      </c>
      <c r="E199" s="1458">
        <f t="shared" si="12"/>
        <v>6255</v>
      </c>
      <c r="F199" s="1550">
        <v>520</v>
      </c>
      <c r="G199" s="1550">
        <v>520</v>
      </c>
      <c r="H199" s="1550">
        <v>520</v>
      </c>
      <c r="I199" s="1550">
        <v>520</v>
      </c>
      <c r="J199" s="1550">
        <v>520</v>
      </c>
      <c r="K199" s="1550">
        <v>520</v>
      </c>
      <c r="L199" s="1550">
        <v>520</v>
      </c>
      <c r="M199" s="1550">
        <v>520</v>
      </c>
      <c r="N199" s="1550">
        <v>520</v>
      </c>
      <c r="O199" s="1550">
        <v>525</v>
      </c>
      <c r="P199" s="1550">
        <v>525</v>
      </c>
      <c r="Q199" s="1550">
        <v>525</v>
      </c>
      <c r="R199" s="3"/>
    </row>
    <row r="200" spans="1:18">
      <c r="A200" s="19">
        <f>'BASE PERIOD'!A200</f>
        <v>926000</v>
      </c>
      <c r="B200" s="2770" t="str">
        <f>'BASE PERIOD'!B200</f>
        <v>EMPL PENSIONS AND BENEFITS</v>
      </c>
      <c r="C200" s="19" t="str">
        <f>'BASE PERIOD'!C200</f>
        <v>AGO</v>
      </c>
      <c r="D200" s="19">
        <f t="shared" si="13"/>
        <v>926</v>
      </c>
      <c r="E200" s="1458">
        <f t="shared" si="12"/>
        <v>3935791</v>
      </c>
      <c r="F200" s="1550">
        <v>315121</v>
      </c>
      <c r="G200" s="1550">
        <v>312199</v>
      </c>
      <c r="H200" s="1550">
        <v>325420</v>
      </c>
      <c r="I200" s="1550">
        <v>309693</v>
      </c>
      <c r="J200" s="1550">
        <v>308917</v>
      </c>
      <c r="K200" s="1550">
        <v>308586</v>
      </c>
      <c r="L200" s="1550">
        <v>308413</v>
      </c>
      <c r="M200" s="1550">
        <v>308192</v>
      </c>
      <c r="N200" s="1550">
        <v>451661</v>
      </c>
      <c r="O200" s="1550">
        <v>375290</v>
      </c>
      <c r="P200" s="1550">
        <v>367430</v>
      </c>
      <c r="Q200" s="1550">
        <v>244869</v>
      </c>
      <c r="R200" s="3"/>
    </row>
    <row r="201" spans="1:18">
      <c r="A201" s="19">
        <f>'BASE PERIOD'!A201</f>
        <v>926430</v>
      </c>
      <c r="B201" s="2770" t="str">
        <f>'BASE PERIOD'!B201</f>
        <v>Employees'Recreation Expense</v>
      </c>
      <c r="C201" s="19" t="str">
        <f>'BASE PERIOD'!C201</f>
        <v>AGO</v>
      </c>
      <c r="D201" s="19">
        <f t="shared" si="13"/>
        <v>926</v>
      </c>
      <c r="E201" s="1458">
        <f>SUM(F201:Q201)</f>
        <v>1695</v>
      </c>
      <c r="F201" s="1550">
        <v>141</v>
      </c>
      <c r="G201" s="1550">
        <v>141</v>
      </c>
      <c r="H201" s="1550">
        <v>141</v>
      </c>
      <c r="I201" s="1550">
        <v>141</v>
      </c>
      <c r="J201" s="1550">
        <v>141</v>
      </c>
      <c r="K201" s="1550">
        <v>141</v>
      </c>
      <c r="L201" s="1550">
        <v>141</v>
      </c>
      <c r="M201" s="1550">
        <v>141</v>
      </c>
      <c r="N201" s="1550">
        <v>141</v>
      </c>
      <c r="O201" s="1550">
        <v>142</v>
      </c>
      <c r="P201" s="1550">
        <v>142</v>
      </c>
      <c r="Q201" s="1550">
        <v>142</v>
      </c>
      <c r="R201" s="3"/>
    </row>
    <row r="202" spans="1:18">
      <c r="A202" s="19">
        <f>'BASE PERIOD'!A202</f>
        <v>926490</v>
      </c>
      <c r="B202" s="2770" t="str">
        <f>'BASE PERIOD'!B202</f>
        <v>Other Employee Benefits</v>
      </c>
      <c r="C202" s="19" t="str">
        <f>'BASE PERIOD'!C202</f>
        <v>AGO</v>
      </c>
      <c r="D202" s="19">
        <f t="shared" si="13"/>
        <v>926</v>
      </c>
      <c r="E202" s="1458">
        <f>SUM(F202:Q202)</f>
        <v>0</v>
      </c>
      <c r="F202" s="1550">
        <v>0</v>
      </c>
      <c r="G202" s="1550">
        <v>0</v>
      </c>
      <c r="H202" s="1550">
        <v>0</v>
      </c>
      <c r="I202" s="1550">
        <v>0</v>
      </c>
      <c r="J202" s="1550">
        <v>0</v>
      </c>
      <c r="K202" s="1550">
        <v>0</v>
      </c>
      <c r="L202" s="1550">
        <v>0</v>
      </c>
      <c r="M202" s="1550">
        <v>0</v>
      </c>
      <c r="N202" s="1550">
        <v>0</v>
      </c>
      <c r="O202" s="1550">
        <v>0</v>
      </c>
      <c r="P202" s="1550">
        <v>0</v>
      </c>
      <c r="Q202" s="1550">
        <v>0</v>
      </c>
      <c r="R202" s="3"/>
    </row>
    <row r="203" spans="1:18">
      <c r="A203" s="19">
        <f>'BASE PERIOD'!A203</f>
        <v>926600</v>
      </c>
      <c r="B203" s="2770" t="str">
        <f>'BASE PERIOD'!B203</f>
        <v>Employee Benefits-Transferred</v>
      </c>
      <c r="C203" s="19" t="str">
        <f>'BASE PERIOD'!C203</f>
        <v>AGO</v>
      </c>
      <c r="D203" s="19">
        <f t="shared" si="13"/>
        <v>926</v>
      </c>
      <c r="E203" s="1458">
        <f t="shared" si="12"/>
        <v>2254165</v>
      </c>
      <c r="F203" s="1550">
        <v>204306</v>
      </c>
      <c r="G203" s="1550">
        <v>176405</v>
      </c>
      <c r="H203" s="1550">
        <v>184964</v>
      </c>
      <c r="I203" s="1550">
        <v>179952</v>
      </c>
      <c r="J203" s="1550">
        <v>164077</v>
      </c>
      <c r="K203" s="1550">
        <v>205510</v>
      </c>
      <c r="L203" s="1550">
        <v>163190</v>
      </c>
      <c r="M203" s="1550">
        <v>159617</v>
      </c>
      <c r="N203" s="1550">
        <v>156093</v>
      </c>
      <c r="O203" s="1550">
        <v>223601</v>
      </c>
      <c r="P203" s="1550">
        <v>210435</v>
      </c>
      <c r="Q203" s="1550">
        <v>226015</v>
      </c>
      <c r="R203" s="3"/>
    </row>
    <row r="204" spans="1:18">
      <c r="A204" s="19">
        <f>'BASE PERIOD'!A204</f>
        <v>928000</v>
      </c>
      <c r="B204" s="2770" t="str">
        <f>'BASE PERIOD'!B204</f>
        <v>Regulatory Expenses</v>
      </c>
      <c r="C204" s="19" t="str">
        <f>'BASE PERIOD'!C204</f>
        <v>AGO</v>
      </c>
      <c r="D204" s="19">
        <f t="shared" si="13"/>
        <v>928</v>
      </c>
      <c r="E204" s="1458">
        <f>SUM(F204:Q204)</f>
        <v>0</v>
      </c>
      <c r="F204" s="1550">
        <v>0</v>
      </c>
      <c r="G204" s="1550">
        <v>0</v>
      </c>
      <c r="H204" s="1550">
        <v>0</v>
      </c>
      <c r="I204" s="1550">
        <v>0</v>
      </c>
      <c r="J204" s="1550">
        <v>0</v>
      </c>
      <c r="K204" s="1550">
        <v>0</v>
      </c>
      <c r="L204" s="1550">
        <v>0</v>
      </c>
      <c r="M204" s="1550">
        <v>0</v>
      </c>
      <c r="N204" s="1550">
        <v>0</v>
      </c>
      <c r="O204" s="1550">
        <v>0</v>
      </c>
      <c r="P204" s="1550">
        <v>0</v>
      </c>
      <c r="Q204" s="1550">
        <v>0</v>
      </c>
      <c r="R204" s="3"/>
    </row>
    <row r="205" spans="1:18">
      <c r="A205" s="19">
        <f>'BASE PERIOD'!A205</f>
        <v>928006</v>
      </c>
      <c r="B205" s="2770" t="str">
        <f>'BASE PERIOD'!B205</f>
        <v>State Reg Comm Proceeding</v>
      </c>
      <c r="C205" s="19" t="str">
        <f>'BASE PERIOD'!C205</f>
        <v>AGO</v>
      </c>
      <c r="D205" s="19">
        <f t="shared" si="13"/>
        <v>928</v>
      </c>
      <c r="E205" s="1458">
        <f t="shared" si="12"/>
        <v>712416</v>
      </c>
      <c r="F205" s="1550">
        <v>59220</v>
      </c>
      <c r="G205" s="1550">
        <v>59220</v>
      </c>
      <c r="H205" s="1550">
        <v>59220</v>
      </c>
      <c r="I205" s="1550">
        <v>59220</v>
      </c>
      <c r="J205" s="1550">
        <v>59220</v>
      </c>
      <c r="K205" s="1550">
        <v>59220</v>
      </c>
      <c r="L205" s="1550">
        <v>59220</v>
      </c>
      <c r="M205" s="1550">
        <v>59220</v>
      </c>
      <c r="N205" s="1550">
        <v>59220</v>
      </c>
      <c r="O205" s="1550">
        <v>59812</v>
      </c>
      <c r="P205" s="1550">
        <v>59812</v>
      </c>
      <c r="Q205" s="1550">
        <v>59812</v>
      </c>
      <c r="R205" s="3"/>
    </row>
    <row r="206" spans="1:18">
      <c r="A206" s="19">
        <v>928030</v>
      </c>
      <c r="B206" s="2770" t="s">
        <v>2491</v>
      </c>
      <c r="C206" s="19" t="str">
        <f>'BASE PERIOD'!C206</f>
        <v>AGO</v>
      </c>
      <c r="D206" s="19">
        <f t="shared" si="13"/>
        <v>928</v>
      </c>
      <c r="E206" s="1458">
        <f>SUM(F206:Q206)</f>
        <v>0</v>
      </c>
      <c r="F206" s="1550">
        <v>0</v>
      </c>
      <c r="G206" s="1550">
        <v>0</v>
      </c>
      <c r="H206" s="1550">
        <v>0</v>
      </c>
      <c r="I206" s="1550">
        <v>0</v>
      </c>
      <c r="J206" s="1550">
        <v>0</v>
      </c>
      <c r="K206" s="1550">
        <v>0</v>
      </c>
      <c r="L206" s="1550">
        <v>0</v>
      </c>
      <c r="M206" s="1550">
        <v>0</v>
      </c>
      <c r="N206" s="1550">
        <v>0</v>
      </c>
      <c r="O206" s="1550">
        <v>0</v>
      </c>
      <c r="P206" s="1550">
        <v>0</v>
      </c>
      <c r="Q206" s="1550">
        <v>0</v>
      </c>
      <c r="R206" s="3"/>
    </row>
    <row r="207" spans="1:18">
      <c r="A207" s="19">
        <f>'BASE PERIOD'!A207</f>
        <v>929000</v>
      </c>
      <c r="B207" s="2770" t="str">
        <f>'BASE PERIOD'!B207</f>
        <v>Duplicate Chrgs-Enrgy To Exp</v>
      </c>
      <c r="C207" s="19" t="str">
        <f>'BASE PERIOD'!C207</f>
        <v>AGO</v>
      </c>
      <c r="D207" s="19">
        <f t="shared" si="13"/>
        <v>929</v>
      </c>
      <c r="E207" s="1458">
        <f t="shared" si="12"/>
        <v>0</v>
      </c>
      <c r="F207" s="1550">
        <v>0</v>
      </c>
      <c r="G207" s="1550">
        <v>0</v>
      </c>
      <c r="H207" s="1550">
        <v>0</v>
      </c>
      <c r="I207" s="1550">
        <v>0</v>
      </c>
      <c r="J207" s="1550">
        <v>0</v>
      </c>
      <c r="K207" s="1550">
        <v>0</v>
      </c>
      <c r="L207" s="1550">
        <v>0</v>
      </c>
      <c r="M207" s="1550">
        <v>0</v>
      </c>
      <c r="N207" s="1550">
        <v>0</v>
      </c>
      <c r="O207" s="1550">
        <v>0</v>
      </c>
      <c r="P207" s="1550">
        <v>0</v>
      </c>
      <c r="Q207" s="1550">
        <v>0</v>
      </c>
      <c r="R207" s="3"/>
    </row>
    <row r="208" spans="1:18">
      <c r="A208" s="19">
        <f>'BASE PERIOD'!A208</f>
        <v>929500</v>
      </c>
      <c r="B208" s="2770" t="str">
        <f>'BASE PERIOD'!B208</f>
        <v>Admin Exp Transf</v>
      </c>
      <c r="C208" s="19" t="str">
        <f>'BASE PERIOD'!C208</f>
        <v>AGO</v>
      </c>
      <c r="D208" s="19">
        <f t="shared" si="13"/>
        <v>929</v>
      </c>
      <c r="E208" s="1458">
        <f t="shared" si="12"/>
        <v>-348693</v>
      </c>
      <c r="F208" s="1550">
        <v>-26685</v>
      </c>
      <c r="G208" s="1550">
        <v>-26685</v>
      </c>
      <c r="H208" s="1550">
        <v>-26685</v>
      </c>
      <c r="I208" s="1550">
        <v>-26685</v>
      </c>
      <c r="J208" s="1550">
        <v>-38500</v>
      </c>
      <c r="K208" s="1550">
        <v>-27555</v>
      </c>
      <c r="L208" s="1550">
        <v>-26685</v>
      </c>
      <c r="M208" s="1550">
        <v>-26685</v>
      </c>
      <c r="N208" s="1550">
        <v>-26685</v>
      </c>
      <c r="O208" s="1550">
        <v>-30962</v>
      </c>
      <c r="P208" s="1550">
        <v>-26221</v>
      </c>
      <c r="Q208" s="1550">
        <v>-38660</v>
      </c>
      <c r="R208" s="3"/>
    </row>
    <row r="209" spans="1:18">
      <c r="A209" s="19">
        <f>'BASE PERIOD'!A209</f>
        <v>930150</v>
      </c>
      <c r="B209" s="2770" t="str">
        <f>'BASE PERIOD'!B209</f>
        <v>Miscellaneous Advertising Exp</v>
      </c>
      <c r="C209" s="19" t="str">
        <f>'BASE PERIOD'!C209</f>
        <v>AGO</v>
      </c>
      <c r="D209" s="19">
        <f t="shared" si="13"/>
        <v>930</v>
      </c>
      <c r="E209" s="1458">
        <f t="shared" si="12"/>
        <v>0</v>
      </c>
      <c r="F209" s="1550">
        <v>0</v>
      </c>
      <c r="G209" s="1550">
        <v>0</v>
      </c>
      <c r="H209" s="1550">
        <v>0</v>
      </c>
      <c r="I209" s="1550">
        <v>0</v>
      </c>
      <c r="J209" s="1550">
        <v>0</v>
      </c>
      <c r="K209" s="1550">
        <v>0</v>
      </c>
      <c r="L209" s="1550">
        <v>0</v>
      </c>
      <c r="M209" s="1550">
        <v>0</v>
      </c>
      <c r="N209" s="1550">
        <v>0</v>
      </c>
      <c r="O209" s="1550">
        <v>0</v>
      </c>
      <c r="P209" s="1550">
        <v>0</v>
      </c>
      <c r="Q209" s="1550">
        <v>0</v>
      </c>
      <c r="R209" s="3"/>
    </row>
    <row r="210" spans="1:18">
      <c r="A210" s="19">
        <f>'BASE PERIOD'!A210</f>
        <v>930200</v>
      </c>
      <c r="B210" s="2770" t="str">
        <f>'BASE PERIOD'!B210</f>
        <v>Misc General Expenses</v>
      </c>
      <c r="C210" s="19" t="str">
        <f>'BASE PERIOD'!C210</f>
        <v>AGO</v>
      </c>
      <c r="D210" s="19">
        <f t="shared" si="13"/>
        <v>930</v>
      </c>
      <c r="E210" s="1458">
        <f t="shared" si="12"/>
        <v>609189</v>
      </c>
      <c r="F210" s="1550">
        <v>49460</v>
      </c>
      <c r="G210" s="1550">
        <v>49428</v>
      </c>
      <c r="H210" s="1550">
        <v>49351</v>
      </c>
      <c r="I210" s="1550">
        <v>49472</v>
      </c>
      <c r="J210" s="1550">
        <v>49503</v>
      </c>
      <c r="K210" s="1550">
        <v>52203</v>
      </c>
      <c r="L210" s="1550">
        <v>49779</v>
      </c>
      <c r="M210" s="1550">
        <v>49887</v>
      </c>
      <c r="N210" s="1550">
        <v>49847</v>
      </c>
      <c r="O210" s="1550">
        <v>59896</v>
      </c>
      <c r="P210" s="1550">
        <v>48308</v>
      </c>
      <c r="Q210" s="1550">
        <v>52055</v>
      </c>
      <c r="R210" s="3"/>
    </row>
    <row r="211" spans="1:18">
      <c r="A211" s="19">
        <f>'BASE PERIOD'!A211</f>
        <v>930210</v>
      </c>
      <c r="B211" s="2770" t="str">
        <f>'BASE PERIOD'!B211</f>
        <v>Industry Association Dues</v>
      </c>
      <c r="C211" s="19" t="str">
        <f>'BASE PERIOD'!C211</f>
        <v>AGO</v>
      </c>
      <c r="D211" s="19">
        <f t="shared" si="13"/>
        <v>930</v>
      </c>
      <c r="E211" s="1458">
        <f t="shared" si="12"/>
        <v>0</v>
      </c>
      <c r="F211" s="1550">
        <v>0</v>
      </c>
      <c r="G211" s="1550">
        <v>0</v>
      </c>
      <c r="H211" s="1550">
        <v>0</v>
      </c>
      <c r="I211" s="1550">
        <v>0</v>
      </c>
      <c r="J211" s="1550">
        <v>0</v>
      </c>
      <c r="K211" s="1550">
        <v>0</v>
      </c>
      <c r="L211" s="1550">
        <v>0</v>
      </c>
      <c r="M211" s="1550">
        <v>0</v>
      </c>
      <c r="N211" s="1550">
        <v>0</v>
      </c>
      <c r="O211" s="1550">
        <v>0</v>
      </c>
      <c r="P211" s="1550">
        <v>0</v>
      </c>
      <c r="Q211" s="1550">
        <v>0</v>
      </c>
      <c r="R211" s="3"/>
    </row>
    <row r="212" spans="1:18">
      <c r="A212" s="19">
        <f>'BASE PERIOD'!A212</f>
        <v>930220</v>
      </c>
      <c r="B212" s="2770" t="str">
        <f>'BASE PERIOD'!B212</f>
        <v>Exp of Servicing Securities</v>
      </c>
      <c r="C212" s="19" t="str">
        <f>'BASE PERIOD'!C212</f>
        <v>AGO</v>
      </c>
      <c r="D212" s="19">
        <f t="shared" si="13"/>
        <v>930</v>
      </c>
      <c r="E212" s="1458">
        <f t="shared" si="12"/>
        <v>23500</v>
      </c>
      <c r="F212" s="1550">
        <v>23500</v>
      </c>
      <c r="G212" s="1550">
        <v>0</v>
      </c>
      <c r="H212" s="1550">
        <v>0</v>
      </c>
      <c r="I212" s="1550">
        <v>0</v>
      </c>
      <c r="J212" s="1550">
        <v>0</v>
      </c>
      <c r="K212" s="1550">
        <v>0</v>
      </c>
      <c r="L212" s="1550">
        <v>0</v>
      </c>
      <c r="M212" s="1550">
        <v>0</v>
      </c>
      <c r="N212" s="1550">
        <v>0</v>
      </c>
      <c r="O212" s="1550">
        <v>0</v>
      </c>
      <c r="P212" s="1550">
        <v>0</v>
      </c>
      <c r="Q212" s="1550">
        <v>0</v>
      </c>
      <c r="R212" s="3"/>
    </row>
    <row r="213" spans="1:18">
      <c r="A213" s="19">
        <f>'BASE PERIOD'!A213</f>
        <v>930230</v>
      </c>
      <c r="B213" s="2770" t="str">
        <f>'BASE PERIOD'!B213</f>
        <v>Dues To Various Organizations</v>
      </c>
      <c r="C213" s="19" t="str">
        <f>'BASE PERIOD'!C213</f>
        <v>AGO</v>
      </c>
      <c r="D213" s="19">
        <f t="shared" si="13"/>
        <v>930</v>
      </c>
      <c r="E213" s="1458">
        <f t="shared" si="12"/>
        <v>28921</v>
      </c>
      <c r="F213" s="1550">
        <v>1956</v>
      </c>
      <c r="G213" s="1550">
        <v>4139</v>
      </c>
      <c r="H213" s="1550">
        <v>1467</v>
      </c>
      <c r="I213" s="1550">
        <v>1550</v>
      </c>
      <c r="J213" s="1550">
        <v>3004</v>
      </c>
      <c r="K213" s="1550">
        <v>1194</v>
      </c>
      <c r="L213" s="1550">
        <v>4219</v>
      </c>
      <c r="M213" s="1550">
        <v>6166</v>
      </c>
      <c r="N213" s="1550">
        <v>1194</v>
      </c>
      <c r="O213" s="1550">
        <v>1219</v>
      </c>
      <c r="P213" s="1550">
        <v>1479</v>
      </c>
      <c r="Q213" s="1550">
        <v>1334</v>
      </c>
      <c r="R213" s="3"/>
    </row>
    <row r="214" spans="1:18">
      <c r="A214" s="19">
        <f>'BASE PERIOD'!A214</f>
        <v>930240</v>
      </c>
      <c r="B214" s="2770" t="str">
        <f>'BASE PERIOD'!B214</f>
        <v>Director'S Expenses</v>
      </c>
      <c r="C214" s="19" t="str">
        <f>'BASE PERIOD'!C214</f>
        <v>AGO</v>
      </c>
      <c r="D214" s="19">
        <f t="shared" si="13"/>
        <v>930</v>
      </c>
      <c r="E214" s="1458">
        <f t="shared" ref="E214:E222" si="14">SUM(F214:Q214)</f>
        <v>19250</v>
      </c>
      <c r="F214" s="1550">
        <v>0</v>
      </c>
      <c r="G214" s="1550">
        <v>19250</v>
      </c>
      <c r="H214" s="1550">
        <v>0</v>
      </c>
      <c r="I214" s="1550">
        <v>0</v>
      </c>
      <c r="J214" s="1550">
        <v>0</v>
      </c>
      <c r="K214" s="1550">
        <v>0</v>
      </c>
      <c r="L214" s="1550">
        <v>0</v>
      </c>
      <c r="M214" s="1550">
        <v>0</v>
      </c>
      <c r="N214" s="1550">
        <v>0</v>
      </c>
      <c r="O214" s="1550">
        <v>0</v>
      </c>
      <c r="P214" s="1550">
        <v>0</v>
      </c>
      <c r="Q214" s="1550">
        <v>0</v>
      </c>
      <c r="R214" s="3"/>
    </row>
    <row r="215" spans="1:18">
      <c r="A215" s="19">
        <f>'BASE PERIOD'!A215</f>
        <v>930250</v>
      </c>
      <c r="B215" s="2770" t="str">
        <f>'BASE PERIOD'!B215</f>
        <v>Buy\Sell Transf Employee Homes</v>
      </c>
      <c r="C215" s="19" t="str">
        <f>'BASE PERIOD'!C215</f>
        <v>AGO</v>
      </c>
      <c r="D215" s="19">
        <f t="shared" si="13"/>
        <v>930</v>
      </c>
      <c r="E215" s="1458">
        <f t="shared" si="14"/>
        <v>20680</v>
      </c>
      <c r="F215" s="1550">
        <v>251</v>
      </c>
      <c r="G215" s="1550">
        <v>251</v>
      </c>
      <c r="H215" s="1550">
        <v>4654</v>
      </c>
      <c r="I215" s="1550">
        <v>251</v>
      </c>
      <c r="J215" s="1550">
        <v>251</v>
      </c>
      <c r="K215" s="1550">
        <v>4654</v>
      </c>
      <c r="L215" s="1550">
        <v>251</v>
      </c>
      <c r="M215" s="1550">
        <v>251</v>
      </c>
      <c r="N215" s="1550">
        <v>4654</v>
      </c>
      <c r="O215" s="1550">
        <v>257</v>
      </c>
      <c r="P215" s="1550">
        <v>254</v>
      </c>
      <c r="Q215" s="1550">
        <v>4701</v>
      </c>
      <c r="R215" s="3"/>
    </row>
    <row r="216" spans="1:18">
      <c r="A216" s="19">
        <f>'BASE PERIOD'!A216</f>
        <v>930600</v>
      </c>
      <c r="B216" s="2770" t="str">
        <f>'BASE PERIOD'!B216</f>
        <v>Leased Circuit Charges - Other</v>
      </c>
      <c r="C216" s="19" t="str">
        <f>'BASE PERIOD'!C216</f>
        <v>AGO</v>
      </c>
      <c r="D216" s="19">
        <f>VALUE(LEFT(A216,3))</f>
        <v>930</v>
      </c>
      <c r="E216" s="1458">
        <f>SUM(F216:Q216)</f>
        <v>0</v>
      </c>
      <c r="F216" s="1550">
        <v>0</v>
      </c>
      <c r="G216" s="1550">
        <v>0</v>
      </c>
      <c r="H216" s="1550">
        <v>0</v>
      </c>
      <c r="I216" s="1550">
        <v>0</v>
      </c>
      <c r="J216" s="1550">
        <v>0</v>
      </c>
      <c r="K216" s="1550">
        <v>0</v>
      </c>
      <c r="L216" s="1550">
        <v>0</v>
      </c>
      <c r="M216" s="1550">
        <v>0</v>
      </c>
      <c r="N216" s="1550">
        <v>0</v>
      </c>
      <c r="O216" s="1550">
        <v>0</v>
      </c>
      <c r="P216" s="1550">
        <v>0</v>
      </c>
      <c r="Q216" s="1550">
        <v>0</v>
      </c>
      <c r="R216" s="3"/>
    </row>
    <row r="217" spans="1:18">
      <c r="A217" s="19">
        <f>'BASE PERIOD'!A217</f>
        <v>930700</v>
      </c>
      <c r="B217" s="2770" t="str">
        <f>'BASE PERIOD'!B217</f>
        <v>Research &amp; Development</v>
      </c>
      <c r="C217" s="19" t="str">
        <f>'BASE PERIOD'!C217</f>
        <v>AGO</v>
      </c>
      <c r="D217" s="19">
        <f t="shared" si="13"/>
        <v>930</v>
      </c>
      <c r="E217" s="1458">
        <f t="shared" si="14"/>
        <v>0</v>
      </c>
      <c r="F217" s="1550">
        <v>0</v>
      </c>
      <c r="G217" s="1550">
        <v>0</v>
      </c>
      <c r="H217" s="1550">
        <v>0</v>
      </c>
      <c r="I217" s="1550">
        <v>0</v>
      </c>
      <c r="J217" s="1550">
        <v>0</v>
      </c>
      <c r="K217" s="1550">
        <v>0</v>
      </c>
      <c r="L217" s="1550">
        <v>0</v>
      </c>
      <c r="M217" s="1550">
        <v>0</v>
      </c>
      <c r="N217" s="1550">
        <v>0</v>
      </c>
      <c r="O217" s="1550">
        <v>0</v>
      </c>
      <c r="P217" s="1550">
        <v>0</v>
      </c>
      <c r="Q217" s="1550">
        <v>0</v>
      </c>
      <c r="R217" s="3"/>
    </row>
    <row r="218" spans="1:18">
      <c r="A218" s="19">
        <f>'BASE PERIOD'!A218</f>
        <v>930940</v>
      </c>
      <c r="B218" s="2770" t="str">
        <f>'BASE PERIOD'!B218</f>
        <v>General Expenses</v>
      </c>
      <c r="C218" s="19" t="str">
        <f>'BASE PERIOD'!C218</f>
        <v>AGO</v>
      </c>
      <c r="D218" s="19">
        <f t="shared" si="13"/>
        <v>930</v>
      </c>
      <c r="E218" s="1458">
        <f t="shared" si="14"/>
        <v>0</v>
      </c>
      <c r="F218" s="1550">
        <v>0</v>
      </c>
      <c r="G218" s="1550">
        <v>0</v>
      </c>
      <c r="H218" s="1550">
        <v>0</v>
      </c>
      <c r="I218" s="1550">
        <v>0</v>
      </c>
      <c r="J218" s="1550">
        <v>0</v>
      </c>
      <c r="K218" s="1550">
        <v>0</v>
      </c>
      <c r="L218" s="1550">
        <v>0</v>
      </c>
      <c r="M218" s="1550">
        <v>0</v>
      </c>
      <c r="N218" s="1550">
        <v>0</v>
      </c>
      <c r="O218" s="1550">
        <v>0</v>
      </c>
      <c r="P218" s="1550">
        <v>0</v>
      </c>
      <c r="Q218" s="1550">
        <v>0</v>
      </c>
      <c r="R218" s="3"/>
    </row>
    <row r="219" spans="1:18">
      <c r="A219" s="19">
        <f>'BASE PERIOD'!A219</f>
        <v>931001</v>
      </c>
      <c r="B219" s="2770" t="str">
        <f>'BASE PERIOD'!B219</f>
        <v>Rents-A&amp;G</v>
      </c>
      <c r="C219" s="19" t="str">
        <f>'BASE PERIOD'!C219</f>
        <v>AGO</v>
      </c>
      <c r="D219" s="19">
        <f t="shared" si="13"/>
        <v>931</v>
      </c>
      <c r="E219" s="1458">
        <f t="shared" si="14"/>
        <v>214588</v>
      </c>
      <c r="F219" s="1550">
        <v>17891</v>
      </c>
      <c r="G219" s="1550">
        <v>17856</v>
      </c>
      <c r="H219" s="1550">
        <v>17844</v>
      </c>
      <c r="I219" s="1550">
        <v>17728</v>
      </c>
      <c r="J219" s="1550">
        <v>17838</v>
      </c>
      <c r="K219" s="1550">
        <v>17854</v>
      </c>
      <c r="L219" s="1550">
        <v>17854</v>
      </c>
      <c r="M219" s="1550">
        <v>17854</v>
      </c>
      <c r="N219" s="1550">
        <v>17854</v>
      </c>
      <c r="O219" s="1550">
        <v>18004</v>
      </c>
      <c r="P219" s="1550">
        <v>18004</v>
      </c>
      <c r="Q219" s="1550">
        <v>18007</v>
      </c>
      <c r="R219" s="3"/>
    </row>
    <row r="220" spans="1:18">
      <c r="A220" s="19">
        <f>'BASE PERIOD'!A220</f>
        <v>931008</v>
      </c>
      <c r="B220" s="2770" t="str">
        <f>'BASE PERIOD'!B220</f>
        <v>A&amp;G Rents-IC</v>
      </c>
      <c r="C220" s="19" t="str">
        <f>'BASE PERIOD'!C220</f>
        <v>AGO</v>
      </c>
      <c r="D220" s="19">
        <f t="shared" si="13"/>
        <v>931</v>
      </c>
      <c r="E220" s="1458">
        <f t="shared" si="14"/>
        <v>1107588</v>
      </c>
      <c r="F220" s="1550">
        <v>92069</v>
      </c>
      <c r="G220" s="1550">
        <v>92069</v>
      </c>
      <c r="H220" s="1550">
        <v>92069</v>
      </c>
      <c r="I220" s="1550">
        <v>92069</v>
      </c>
      <c r="J220" s="1550">
        <v>92069</v>
      </c>
      <c r="K220" s="1550">
        <v>92069</v>
      </c>
      <c r="L220" s="1550">
        <v>92069</v>
      </c>
      <c r="M220" s="1550">
        <v>92069</v>
      </c>
      <c r="N220" s="1550">
        <v>92069</v>
      </c>
      <c r="O220" s="1550">
        <v>92989</v>
      </c>
      <c r="P220" s="1550">
        <v>92989</v>
      </c>
      <c r="Q220" s="1550">
        <v>92989</v>
      </c>
      <c r="R220" s="3"/>
    </row>
    <row r="221" spans="1:18">
      <c r="A221" s="19">
        <f>'BASE PERIOD'!A221</f>
        <v>935100</v>
      </c>
      <c r="B221" s="2770" t="str">
        <f>'BASE PERIOD'!B221</f>
        <v>Maint General Plant-Elec</v>
      </c>
      <c r="C221" s="19" t="str">
        <f>'BASE PERIOD'!C221</f>
        <v>AGM</v>
      </c>
      <c r="D221" s="19">
        <f t="shared" si="13"/>
        <v>935</v>
      </c>
      <c r="E221" s="1458">
        <f t="shared" si="14"/>
        <v>56247</v>
      </c>
      <c r="F221" s="1550">
        <v>4716</v>
      </c>
      <c r="G221" s="1550">
        <v>4628</v>
      </c>
      <c r="H221" s="1550">
        <v>4654</v>
      </c>
      <c r="I221" s="1550">
        <v>4627</v>
      </c>
      <c r="J221" s="1550">
        <v>4594</v>
      </c>
      <c r="K221" s="1550">
        <v>4697</v>
      </c>
      <c r="L221" s="1550">
        <v>4660</v>
      </c>
      <c r="M221" s="1550">
        <v>4669</v>
      </c>
      <c r="N221" s="1550">
        <v>4732</v>
      </c>
      <c r="O221" s="1550">
        <v>4799</v>
      </c>
      <c r="P221" s="1550">
        <v>4772</v>
      </c>
      <c r="Q221" s="1550">
        <v>4699</v>
      </c>
      <c r="R221" s="3"/>
    </row>
    <row r="222" spans="1:18">
      <c r="A222" s="19">
        <f>'BASE PERIOD'!A222</f>
        <v>935200</v>
      </c>
      <c r="B222" s="2770" t="str">
        <f>'BASE PERIOD'!B222</f>
        <v>Cust Infor &amp; Computer Control</v>
      </c>
      <c r="C222" s="19" t="str">
        <f>'BASE PERIOD'!C222</f>
        <v>AGM</v>
      </c>
      <c r="D222" s="19">
        <f t="shared" si="13"/>
        <v>935</v>
      </c>
      <c r="E222" s="1458">
        <f t="shared" si="14"/>
        <v>0</v>
      </c>
      <c r="F222" s="1550">
        <v>0</v>
      </c>
      <c r="G222" s="1550">
        <v>0</v>
      </c>
      <c r="H222" s="1550">
        <v>0</v>
      </c>
      <c r="I222" s="1550">
        <v>0</v>
      </c>
      <c r="J222" s="1550">
        <v>0</v>
      </c>
      <c r="K222" s="1550">
        <v>0</v>
      </c>
      <c r="L222" s="1550">
        <v>0</v>
      </c>
      <c r="M222" s="1550">
        <v>0</v>
      </c>
      <c r="N222" s="1550">
        <v>0</v>
      </c>
      <c r="O222" s="1550">
        <v>0</v>
      </c>
      <c r="P222" s="1550">
        <v>0</v>
      </c>
      <c r="Q222" s="1550">
        <v>0</v>
      </c>
      <c r="R222" s="3"/>
    </row>
    <row r="223" spans="1:18">
      <c r="A223" s="19"/>
      <c r="B223" s="20"/>
      <c r="C223" s="19"/>
      <c r="D223" s="19"/>
      <c r="E223" s="65"/>
      <c r="F223" s="1550"/>
      <c r="G223" s="1550"/>
      <c r="H223" s="1550"/>
      <c r="I223" s="1550"/>
      <c r="J223" s="1550"/>
      <c r="K223" s="1550"/>
      <c r="L223" s="1550"/>
      <c r="M223" s="1550"/>
      <c r="N223" s="1550"/>
      <c r="O223" s="1550"/>
      <c r="P223" s="1550"/>
      <c r="Q223" s="1550"/>
      <c r="R223" s="3"/>
    </row>
    <row r="224" spans="1:18">
      <c r="A224" s="19"/>
      <c r="B224" s="20"/>
      <c r="C224" s="19"/>
      <c r="D224" s="19"/>
      <c r="E224" s="65"/>
      <c r="F224" s="1550"/>
      <c r="G224" s="1550"/>
      <c r="H224" s="1550"/>
      <c r="I224" s="1550"/>
      <c r="J224" s="1550"/>
      <c r="K224" s="1550"/>
      <c r="L224" s="1550"/>
      <c r="M224" s="1550"/>
      <c r="N224" s="1550"/>
      <c r="O224" s="1550"/>
      <c r="P224" s="1550"/>
      <c r="Q224" s="1550"/>
      <c r="R224" s="3"/>
    </row>
    <row r="225" spans="1:18">
      <c r="A225" s="19"/>
      <c r="B225" s="5" t="s">
        <v>1621</v>
      </c>
      <c r="C225" s="4" t="s">
        <v>1412</v>
      </c>
      <c r="D225" s="68"/>
      <c r="E225" s="10">
        <f>SUM(F225:Q225)</f>
        <v>321318954</v>
      </c>
      <c r="F225" s="2">
        <f>SUMIF(CodeF,C225,Forecast1)</f>
        <v>22746179</v>
      </c>
      <c r="G225" s="2">
        <f>SUMIF(CodeF,C225,Forecast2)</f>
        <v>27079763</v>
      </c>
      <c r="H225" s="2">
        <f>SUMIF(CodeF,C225,Forecast3)</f>
        <v>30148378</v>
      </c>
      <c r="I225" s="2">
        <f>SUMIF(CodeF,C225,forecast4)</f>
        <v>30721510</v>
      </c>
      <c r="J225" s="2">
        <f>SUMIF(CodeF,C225,Forecast5)</f>
        <v>28291294</v>
      </c>
      <c r="K225" s="2">
        <f>SUMIF(CodeF,C225,Forecast6)</f>
        <v>24837842</v>
      </c>
      <c r="L225" s="2">
        <f>SUMIF(CodeF,C225,Forecast7)</f>
        <v>24404569</v>
      </c>
      <c r="M225" s="2">
        <f>SUMIF(CodeF,C225,Forecast8)</f>
        <v>23904280</v>
      </c>
      <c r="N225" s="2">
        <f>SUMIF(CodeF,C225,Forecast9)</f>
        <v>25689396</v>
      </c>
      <c r="O225" s="2">
        <f>SUMIF(CodeF,C225,Forecast10)</f>
        <v>29773962</v>
      </c>
      <c r="P225" s="2">
        <f>SUMIF(CodeF,C225,Forecast11)</f>
        <v>26719778</v>
      </c>
      <c r="Q225" s="2">
        <f>SUMIF(CodeF,C225,Forecast12)</f>
        <v>27002003</v>
      </c>
      <c r="R225" s="3"/>
    </row>
    <row r="226" spans="1:18">
      <c r="A226" s="19"/>
      <c r="B226" s="6" t="s">
        <v>1622</v>
      </c>
      <c r="C226" s="4"/>
      <c r="D226" s="68"/>
      <c r="E226" s="9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</row>
    <row r="227" spans="1:18">
      <c r="A227" s="19"/>
      <c r="B227" s="7" t="s">
        <v>1624</v>
      </c>
      <c r="C227" s="4" t="s">
        <v>1623</v>
      </c>
      <c r="D227" s="68"/>
      <c r="E227" s="10">
        <f>SUM(F227:Q227)</f>
        <v>77008018</v>
      </c>
      <c r="F227" s="2">
        <f>SUMIF(CodeF,C227,Forecast1)</f>
        <v>-1898409</v>
      </c>
      <c r="G227" s="2">
        <f>SUMIF(CodeF,C227,Forecast2)</f>
        <v>4490565</v>
      </c>
      <c r="H227" s="2">
        <f>SUMIF(CodeF,C227,Forecast3)</f>
        <v>8321536</v>
      </c>
      <c r="I227" s="2">
        <f>SUMIF(CodeF,C227,forecast4)</f>
        <v>8052505</v>
      </c>
      <c r="J227" s="2">
        <f>SUMIF(CodeF,C227,Forecast5)</f>
        <v>6308816</v>
      </c>
      <c r="K227" s="2">
        <f>SUMIF(CodeF,C227,Forecast6)</f>
        <v>6952501</v>
      </c>
      <c r="L227" s="2">
        <f>SUMIF(CodeF,C227,Forecast7)</f>
        <v>7731422</v>
      </c>
      <c r="M227" s="2">
        <f>SUMIF(CodeF,C227,Forecast8)</f>
        <v>6259072</v>
      </c>
      <c r="N227" s="2">
        <f>SUMIF(CodeF,C227,Forecast9)</f>
        <v>6252108</v>
      </c>
      <c r="O227" s="2">
        <f>SUMIF(CodeF,C227,Forecast10)</f>
        <v>8690257</v>
      </c>
      <c r="P227" s="2">
        <f>SUMIF(CodeF,C227,Forecast11)</f>
        <v>7082592</v>
      </c>
      <c r="Q227" s="2">
        <f>SUMIF(CodeF,C227,Forecast12)</f>
        <v>8765053</v>
      </c>
      <c r="R227" s="3"/>
    </row>
    <row r="228" spans="1:18">
      <c r="A228" s="19"/>
      <c r="B228" s="7" t="s">
        <v>1173</v>
      </c>
      <c r="C228" s="4" t="s">
        <v>1625</v>
      </c>
      <c r="D228" s="68"/>
      <c r="E228" s="10">
        <f>SUM(F228:Q228)</f>
        <v>37662808</v>
      </c>
      <c r="F228" s="2">
        <f>SUMIF(CodeF,C228,Forecast1)</f>
        <v>9464331</v>
      </c>
      <c r="G228" s="2">
        <f>SUMIF(CodeF,C228,Forecast2)</f>
        <v>6280976</v>
      </c>
      <c r="H228" s="2">
        <f>SUMIF(CodeF,C228,Forecast3)</f>
        <v>3336000</v>
      </c>
      <c r="I228" s="2">
        <f>SUMIF(CodeF,C228,forecast4)</f>
        <v>2810000</v>
      </c>
      <c r="J228" s="2">
        <f>SUMIF(CodeF,C228,Forecast5)</f>
        <v>2947000</v>
      </c>
      <c r="K228" s="2">
        <f>SUMIF(CodeF,C228,Forecast6)</f>
        <v>1989000</v>
      </c>
      <c r="L228" s="2">
        <f>SUMIF(CodeF,C228,Forecast7)</f>
        <v>1028000</v>
      </c>
      <c r="M228" s="2">
        <f>SUMIF(CodeF,C228,Forecast8)</f>
        <v>1584000</v>
      </c>
      <c r="N228" s="2">
        <f>SUMIF(CodeF,C228,Forecast9)</f>
        <v>2078000</v>
      </c>
      <c r="O228" s="2">
        <f>SUMIF(CodeF,C228,Forecast10)</f>
        <v>2628167</v>
      </c>
      <c r="P228" s="2">
        <f>SUMIF(CodeF,C228,Forecast11)</f>
        <v>2235167</v>
      </c>
      <c r="Q228" s="2">
        <f>SUMIF(CodeF,C228,Forecast12)</f>
        <v>1282167</v>
      </c>
      <c r="R228" s="3"/>
    </row>
    <row r="229" spans="1:18">
      <c r="A229" s="19"/>
      <c r="B229" s="7" t="s">
        <v>2172</v>
      </c>
      <c r="C229" s="4" t="s">
        <v>2171</v>
      </c>
      <c r="D229" s="68"/>
      <c r="E229" s="10">
        <f>SUM(F229:Q229)</f>
        <v>8841733</v>
      </c>
      <c r="F229" s="2">
        <f>SUMIF(CodeF,C229,Forecast1)</f>
        <v>776617</v>
      </c>
      <c r="G229" s="2">
        <f>SUMIF(CodeF,C229,Forecast2)</f>
        <v>774638</v>
      </c>
      <c r="H229" s="2">
        <f>SUMIF(CodeF,C229,Forecast3)</f>
        <v>774608</v>
      </c>
      <c r="I229" s="2">
        <f>SUMIF(CodeF,C229,forecast4)</f>
        <v>776593</v>
      </c>
      <c r="J229" s="2">
        <f>SUMIF(CodeF,C229,Forecast5)</f>
        <v>774639</v>
      </c>
      <c r="K229" s="2">
        <f>SUMIF(CodeF,C229,Forecast6)</f>
        <v>774627</v>
      </c>
      <c r="L229" s="2">
        <f>SUMIF(CodeF,C229,Forecast7)</f>
        <v>776613</v>
      </c>
      <c r="M229" s="2">
        <f>SUMIF(CodeF,C229,Forecast8)</f>
        <v>774633</v>
      </c>
      <c r="N229" s="2">
        <f>SUMIF(CodeF,C229,Forecast9)</f>
        <v>774652</v>
      </c>
      <c r="O229" s="2">
        <f>SUMIF(CodeF,C229,Forecast10)</f>
        <v>622666</v>
      </c>
      <c r="P229" s="2">
        <f>SUMIF(CodeF,C229,Forecast11)</f>
        <v>620614</v>
      </c>
      <c r="Q229" s="2">
        <f>SUMIF(CodeF,C229,Forecast12)</f>
        <v>620833</v>
      </c>
      <c r="R229" s="3"/>
    </row>
    <row r="230" spans="1:18">
      <c r="A230" s="19"/>
      <c r="B230" s="7" t="s">
        <v>1827</v>
      </c>
      <c r="C230" s="4" t="s">
        <v>346</v>
      </c>
      <c r="D230" s="68"/>
      <c r="E230" s="10">
        <f>SUM(F230:Q230)</f>
        <v>3058</v>
      </c>
      <c r="F230" s="2">
        <f>SUMIF(CodeF,C230,Forecast1)</f>
        <v>0</v>
      </c>
      <c r="G230" s="2">
        <f>SUMIF(CodeF,C230,Forecast2)</f>
        <v>242</v>
      </c>
      <c r="H230" s="2">
        <f>SUMIF(CodeF,C230,Forecast3)</f>
        <v>560</v>
      </c>
      <c r="I230" s="2">
        <f>SUMIF(CodeF,C230,forecast4)</f>
        <v>671</v>
      </c>
      <c r="J230" s="2">
        <f>SUMIF(CodeF,C230,Forecast5)</f>
        <v>624</v>
      </c>
      <c r="K230" s="2">
        <f>SUMIF(CodeF,C230,Forecast6)</f>
        <v>565</v>
      </c>
      <c r="L230" s="2">
        <f>SUMIF(CodeF,C230,Forecast7)</f>
        <v>71</v>
      </c>
      <c r="M230" s="2">
        <f>SUMIF(CodeF,C230,Forecast8)</f>
        <v>66</v>
      </c>
      <c r="N230" s="2">
        <f>SUMIF(CodeF,C230,Forecast9)</f>
        <v>73</v>
      </c>
      <c r="O230" s="2">
        <f>SUMIF(CodeF,C230,Forecast10)</f>
        <v>63</v>
      </c>
      <c r="P230" s="2">
        <f>SUMIF(CodeF,C230,Forecast11)</f>
        <v>60</v>
      </c>
      <c r="Q230" s="2">
        <f>SUMIF(CodeF,C230,Forecast12)</f>
        <v>63</v>
      </c>
      <c r="R230" s="3"/>
    </row>
    <row r="231" spans="1:18">
      <c r="A231" s="19"/>
      <c r="B231" s="6" t="s">
        <v>1101</v>
      </c>
      <c r="C231" s="4"/>
      <c r="D231" s="68"/>
      <c r="E231" s="9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3"/>
    </row>
    <row r="232" spans="1:18">
      <c r="A232" s="19"/>
      <c r="B232" s="7" t="s">
        <v>1194</v>
      </c>
      <c r="C232" s="4" t="s">
        <v>1174</v>
      </c>
      <c r="D232" s="68"/>
      <c r="E232" s="10">
        <f t="shared" ref="E232:E240" si="15">SUM(F232:Q232)</f>
        <v>32150303</v>
      </c>
      <c r="F232" s="2">
        <f t="shared" ref="F232:F240" si="16">SUMIF(CodeF,C232,Forecast1)</f>
        <v>1519276</v>
      </c>
      <c r="G232" s="2">
        <f t="shared" ref="G232:G240" si="17">SUMIF(CodeF,C232,Forecast2)</f>
        <v>2031956</v>
      </c>
      <c r="H232" s="2">
        <f t="shared" ref="H232:H240" si="18">SUMIF(CodeF,C232,Forecast3)</f>
        <v>2425260</v>
      </c>
      <c r="I232" s="2">
        <f t="shared" ref="I232:I240" si="19">SUMIF(CodeF,C232,forecast4)</f>
        <v>3119452</v>
      </c>
      <c r="J232" s="2">
        <f t="shared" ref="J232:J240" si="20">SUMIF(CodeF,C232,Forecast5)</f>
        <v>3248013</v>
      </c>
      <c r="K232" s="2">
        <f t="shared" ref="K232:K240" si="21">SUMIF(CodeF,C232,Forecast6)</f>
        <v>2086106</v>
      </c>
      <c r="L232" s="2">
        <f t="shared" ref="L232:L240" si="22">SUMIF(CodeF,C232,Forecast7)</f>
        <v>2186855</v>
      </c>
      <c r="M232" s="2">
        <f t="shared" ref="M232:M240" si="23">SUMIF(CodeF,C232,Forecast8)</f>
        <v>3220784</v>
      </c>
      <c r="N232" s="2">
        <f t="shared" ref="N232:N240" si="24">SUMIF(CodeF,C232,Forecast9)</f>
        <v>3844148</v>
      </c>
      <c r="O232" s="2">
        <f t="shared" ref="O232:O240" si="25">SUMIF(CodeF,C232,Forecast10)</f>
        <v>2849065</v>
      </c>
      <c r="P232" s="2">
        <f t="shared" ref="P232:P240" si="26">SUMIF(CodeF,C232,Forecast11)</f>
        <v>2706039</v>
      </c>
      <c r="Q232" s="2">
        <f t="shared" ref="Q232:Q240" si="27">SUMIF(CodeF,C232,Forecast12)</f>
        <v>2913349</v>
      </c>
      <c r="R232" s="3"/>
    </row>
    <row r="233" spans="1:18">
      <c r="A233" s="19"/>
      <c r="B233" s="7" t="s">
        <v>2164</v>
      </c>
      <c r="C233" s="67" t="s">
        <v>2165</v>
      </c>
      <c r="D233" s="68"/>
      <c r="E233" s="10">
        <f t="shared" si="15"/>
        <v>6748845</v>
      </c>
      <c r="F233" s="2">
        <f t="shared" si="16"/>
        <v>522106</v>
      </c>
      <c r="G233" s="2">
        <f t="shared" si="17"/>
        <v>590945</v>
      </c>
      <c r="H233" s="2">
        <f t="shared" si="18"/>
        <v>554303</v>
      </c>
      <c r="I233" s="2">
        <f t="shared" si="19"/>
        <v>561842</v>
      </c>
      <c r="J233" s="2">
        <f t="shared" si="20"/>
        <v>620100</v>
      </c>
      <c r="K233" s="2">
        <f t="shared" si="21"/>
        <v>585544</v>
      </c>
      <c r="L233" s="2">
        <f t="shared" si="22"/>
        <v>526809</v>
      </c>
      <c r="M233" s="2">
        <f t="shared" si="23"/>
        <v>582304</v>
      </c>
      <c r="N233" s="2">
        <f t="shared" si="24"/>
        <v>597668</v>
      </c>
      <c r="O233" s="2">
        <f t="shared" si="25"/>
        <v>516465</v>
      </c>
      <c r="P233" s="2">
        <f t="shared" si="26"/>
        <v>584804</v>
      </c>
      <c r="Q233" s="2">
        <f t="shared" si="27"/>
        <v>505955</v>
      </c>
      <c r="R233" s="3"/>
    </row>
    <row r="234" spans="1:18">
      <c r="A234" s="19"/>
      <c r="B234" s="7" t="s">
        <v>2166</v>
      </c>
      <c r="C234" s="67" t="s">
        <v>713</v>
      </c>
      <c r="D234" s="68"/>
      <c r="E234" s="10">
        <f t="shared" si="15"/>
        <v>1081198</v>
      </c>
      <c r="F234" s="2">
        <f t="shared" si="16"/>
        <v>89138</v>
      </c>
      <c r="G234" s="2">
        <f t="shared" si="17"/>
        <v>90989</v>
      </c>
      <c r="H234" s="2">
        <f t="shared" si="18"/>
        <v>93306</v>
      </c>
      <c r="I234" s="2">
        <f t="shared" si="19"/>
        <v>89061</v>
      </c>
      <c r="J234" s="2">
        <f t="shared" si="20"/>
        <v>88121</v>
      </c>
      <c r="K234" s="2">
        <f t="shared" si="21"/>
        <v>91590</v>
      </c>
      <c r="L234" s="2">
        <f t="shared" si="22"/>
        <v>91145</v>
      </c>
      <c r="M234" s="2">
        <f t="shared" si="23"/>
        <v>86797</v>
      </c>
      <c r="N234" s="2">
        <f t="shared" si="24"/>
        <v>91548</v>
      </c>
      <c r="O234" s="2">
        <f t="shared" si="25"/>
        <v>90255</v>
      </c>
      <c r="P234" s="2">
        <f t="shared" si="26"/>
        <v>90517</v>
      </c>
      <c r="Q234" s="2">
        <f t="shared" si="27"/>
        <v>88731</v>
      </c>
      <c r="R234" s="3"/>
    </row>
    <row r="235" spans="1:18">
      <c r="A235" s="19"/>
      <c r="B235" s="7" t="s">
        <v>176</v>
      </c>
      <c r="C235" s="67" t="s">
        <v>2167</v>
      </c>
      <c r="D235" s="68"/>
      <c r="E235" s="10">
        <f t="shared" si="15"/>
        <v>795138</v>
      </c>
      <c r="F235" s="2">
        <f t="shared" si="16"/>
        <v>66356</v>
      </c>
      <c r="G235" s="2">
        <f t="shared" si="17"/>
        <v>66366</v>
      </c>
      <c r="H235" s="2">
        <f t="shared" si="18"/>
        <v>66346</v>
      </c>
      <c r="I235" s="2">
        <f t="shared" si="19"/>
        <v>66369</v>
      </c>
      <c r="J235" s="2">
        <f t="shared" si="20"/>
        <v>66689</v>
      </c>
      <c r="K235" s="2">
        <f t="shared" si="21"/>
        <v>66455</v>
      </c>
      <c r="L235" s="2">
        <f t="shared" si="22"/>
        <v>66478</v>
      </c>
      <c r="M235" s="2">
        <f t="shared" si="23"/>
        <v>66460</v>
      </c>
      <c r="N235" s="2">
        <f t="shared" si="24"/>
        <v>66484</v>
      </c>
      <c r="O235" s="2">
        <f t="shared" si="25"/>
        <v>65120</v>
      </c>
      <c r="P235" s="2">
        <f t="shared" si="26"/>
        <v>64976</v>
      </c>
      <c r="Q235" s="2">
        <f t="shared" si="27"/>
        <v>67039</v>
      </c>
      <c r="R235" s="3"/>
    </row>
    <row r="236" spans="1:18">
      <c r="A236" s="19"/>
      <c r="B236" s="7" t="s">
        <v>1176</v>
      </c>
      <c r="C236" s="4" t="s">
        <v>1175</v>
      </c>
      <c r="D236" s="68"/>
      <c r="E236" s="10">
        <f t="shared" si="15"/>
        <v>17863579</v>
      </c>
      <c r="F236" s="2">
        <f t="shared" si="16"/>
        <v>1471584</v>
      </c>
      <c r="G236" s="2">
        <f t="shared" si="17"/>
        <v>1404825</v>
      </c>
      <c r="H236" s="2">
        <f t="shared" si="18"/>
        <v>1415434</v>
      </c>
      <c r="I236" s="2">
        <f t="shared" si="19"/>
        <v>1488803</v>
      </c>
      <c r="J236" s="2">
        <f t="shared" si="20"/>
        <v>1427958</v>
      </c>
      <c r="K236" s="2">
        <f t="shared" si="21"/>
        <v>1422593</v>
      </c>
      <c r="L236" s="2">
        <f t="shared" si="22"/>
        <v>1467005</v>
      </c>
      <c r="M236" s="2">
        <f t="shared" si="23"/>
        <v>1406524</v>
      </c>
      <c r="N236" s="2">
        <f t="shared" si="24"/>
        <v>1426313</v>
      </c>
      <c r="O236" s="2">
        <f t="shared" si="25"/>
        <v>1691861</v>
      </c>
      <c r="P236" s="2">
        <f t="shared" si="26"/>
        <v>1622637</v>
      </c>
      <c r="Q236" s="2">
        <f t="shared" si="27"/>
        <v>1618042</v>
      </c>
      <c r="R236" s="3"/>
    </row>
    <row r="237" spans="1:18">
      <c r="A237" s="19"/>
      <c r="B237" s="7" t="s">
        <v>2174</v>
      </c>
      <c r="C237" s="4" t="s">
        <v>2173</v>
      </c>
      <c r="D237" s="68"/>
      <c r="E237" s="10">
        <f t="shared" si="15"/>
        <v>1716657</v>
      </c>
      <c r="F237" s="2">
        <f t="shared" si="16"/>
        <v>142066</v>
      </c>
      <c r="G237" s="2">
        <f t="shared" si="17"/>
        <v>142066</v>
      </c>
      <c r="H237" s="2">
        <f t="shared" si="18"/>
        <v>142066</v>
      </c>
      <c r="I237" s="2">
        <f t="shared" si="19"/>
        <v>142066</v>
      </c>
      <c r="J237" s="2">
        <f t="shared" si="20"/>
        <v>142066</v>
      </c>
      <c r="K237" s="2">
        <f t="shared" si="21"/>
        <v>142066</v>
      </c>
      <c r="L237" s="2">
        <f t="shared" si="22"/>
        <v>142066</v>
      </c>
      <c r="M237" s="2">
        <f t="shared" si="23"/>
        <v>142066</v>
      </c>
      <c r="N237" s="2">
        <f t="shared" si="24"/>
        <v>142066</v>
      </c>
      <c r="O237" s="2">
        <f t="shared" si="25"/>
        <v>146021</v>
      </c>
      <c r="P237" s="2">
        <f t="shared" si="26"/>
        <v>146021</v>
      </c>
      <c r="Q237" s="2">
        <f t="shared" si="27"/>
        <v>146021</v>
      </c>
      <c r="R237" s="3"/>
    </row>
    <row r="238" spans="1:18">
      <c r="A238" s="19"/>
      <c r="B238" s="7" t="s">
        <v>1178</v>
      </c>
      <c r="C238" s="4" t="s">
        <v>1177</v>
      </c>
      <c r="D238" s="68"/>
      <c r="E238" s="10">
        <f t="shared" si="15"/>
        <v>6916715</v>
      </c>
      <c r="F238" s="2">
        <f t="shared" si="16"/>
        <v>566355</v>
      </c>
      <c r="G238" s="2">
        <f t="shared" si="17"/>
        <v>511519</v>
      </c>
      <c r="H238" s="2">
        <f t="shared" si="18"/>
        <v>617253</v>
      </c>
      <c r="I238" s="2">
        <f t="shared" si="19"/>
        <v>545136</v>
      </c>
      <c r="J238" s="2">
        <f t="shared" si="20"/>
        <v>504391</v>
      </c>
      <c r="K238" s="2">
        <f t="shared" si="21"/>
        <v>650407</v>
      </c>
      <c r="L238" s="2">
        <f t="shared" si="22"/>
        <v>552935</v>
      </c>
      <c r="M238" s="2">
        <f t="shared" si="23"/>
        <v>522302</v>
      </c>
      <c r="N238" s="2">
        <f t="shared" si="24"/>
        <v>659064</v>
      </c>
      <c r="O238" s="2">
        <f t="shared" si="25"/>
        <v>595140</v>
      </c>
      <c r="P238" s="2">
        <f t="shared" si="26"/>
        <v>554421</v>
      </c>
      <c r="Q238" s="2">
        <f t="shared" si="27"/>
        <v>637792</v>
      </c>
      <c r="R238" s="3"/>
    </row>
    <row r="239" spans="1:18">
      <c r="A239" s="19"/>
      <c r="B239" s="7" t="s">
        <v>248</v>
      </c>
      <c r="C239" s="4" t="s">
        <v>1179</v>
      </c>
      <c r="D239" s="68"/>
      <c r="E239" s="10">
        <f t="shared" si="15"/>
        <v>18853596</v>
      </c>
      <c r="F239" s="2">
        <f t="shared" si="16"/>
        <v>1640626</v>
      </c>
      <c r="G239" s="2">
        <f t="shared" si="17"/>
        <v>1610482</v>
      </c>
      <c r="H239" s="2">
        <f t="shared" si="18"/>
        <v>1760431</v>
      </c>
      <c r="I239" s="2">
        <f t="shared" si="19"/>
        <v>1580025</v>
      </c>
      <c r="J239" s="2">
        <f t="shared" si="20"/>
        <v>1550767</v>
      </c>
      <c r="K239" s="2">
        <f t="shared" si="21"/>
        <v>1713149</v>
      </c>
      <c r="L239" s="2">
        <f t="shared" si="22"/>
        <v>1571396</v>
      </c>
      <c r="M239" s="2">
        <f t="shared" si="23"/>
        <v>1554356</v>
      </c>
      <c r="N239" s="2">
        <f t="shared" si="24"/>
        <v>1964064</v>
      </c>
      <c r="O239" s="2">
        <f t="shared" si="25"/>
        <v>1420490</v>
      </c>
      <c r="P239" s="2">
        <f t="shared" si="26"/>
        <v>1405468</v>
      </c>
      <c r="Q239" s="2">
        <f t="shared" si="27"/>
        <v>1082342</v>
      </c>
      <c r="R239" s="3"/>
    </row>
    <row r="240" spans="1:18">
      <c r="A240" s="19"/>
      <c r="B240" s="7" t="s">
        <v>1028</v>
      </c>
      <c r="C240" s="4" t="s">
        <v>1180</v>
      </c>
      <c r="D240" s="68"/>
      <c r="E240" s="10">
        <f t="shared" si="15"/>
        <v>-82500</v>
      </c>
      <c r="F240" s="2">
        <f t="shared" si="16"/>
        <v>-11000</v>
      </c>
      <c r="G240" s="2">
        <f t="shared" si="17"/>
        <v>-11000</v>
      </c>
      <c r="H240" s="2">
        <f t="shared" si="18"/>
        <v>-11000</v>
      </c>
      <c r="I240" s="2">
        <f t="shared" si="19"/>
        <v>-11000</v>
      </c>
      <c r="J240" s="2">
        <f t="shared" si="20"/>
        <v>-11000</v>
      </c>
      <c r="K240" s="2">
        <f t="shared" si="21"/>
        <v>-11000</v>
      </c>
      <c r="L240" s="2">
        <f t="shared" si="22"/>
        <v>-11000</v>
      </c>
      <c r="M240" s="2">
        <f t="shared" si="23"/>
        <v>-11000</v>
      </c>
      <c r="N240" s="2">
        <f t="shared" si="24"/>
        <v>-11000</v>
      </c>
      <c r="O240" s="2">
        <f t="shared" si="25"/>
        <v>5500</v>
      </c>
      <c r="P240" s="2">
        <f t="shared" si="26"/>
        <v>5500</v>
      </c>
      <c r="Q240" s="2">
        <f t="shared" si="27"/>
        <v>5500</v>
      </c>
      <c r="R240" s="3"/>
    </row>
    <row r="241" spans="1:18">
      <c r="A241" s="19"/>
      <c r="B241" s="6" t="s">
        <v>1103</v>
      </c>
      <c r="C241" s="4"/>
      <c r="D241" s="68"/>
      <c r="E241" s="9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</row>
    <row r="242" spans="1:18">
      <c r="A242" s="19"/>
      <c r="B242" s="7" t="s">
        <v>1194</v>
      </c>
      <c r="C242" s="4" t="s">
        <v>1181</v>
      </c>
      <c r="D242" s="68"/>
      <c r="E242" s="10">
        <f>SUM(F242:Q242)</f>
        <v>22703883</v>
      </c>
      <c r="F242" s="2">
        <f>SUMIF(CodeF,C242,Forecast1)</f>
        <v>4905914</v>
      </c>
      <c r="G242" s="2">
        <f>SUMIF(CodeF,C242,Forecast2)</f>
        <v>4342840</v>
      </c>
      <c r="H242" s="2">
        <f>SUMIF(CodeF,C242,Forecast3)</f>
        <v>1221664</v>
      </c>
      <c r="I242" s="2">
        <f>SUMIF(CodeF,C242,forecast4)</f>
        <v>908332</v>
      </c>
      <c r="J242" s="2">
        <f>SUMIF(CodeF,C242,Forecast5)</f>
        <v>983162</v>
      </c>
      <c r="K242" s="2">
        <f>SUMIF(CodeF,C242,Forecast6)</f>
        <v>1021341</v>
      </c>
      <c r="L242" s="2">
        <f>SUMIF(CodeF,C242,Forecast7)</f>
        <v>914955</v>
      </c>
      <c r="M242" s="2">
        <f>SUMIF(CodeF,C242,Forecast8)</f>
        <v>905602</v>
      </c>
      <c r="N242" s="2">
        <f>SUMIF(CodeF,C242,Forecast9)</f>
        <v>911658</v>
      </c>
      <c r="O242" s="2">
        <f>SUMIF(CodeF,C242,Forecast10)</f>
        <v>767921</v>
      </c>
      <c r="P242" s="2">
        <f>SUMIF(CodeF,C242,Forecast11)</f>
        <v>1279618</v>
      </c>
      <c r="Q242" s="2">
        <f>SUMIF(CodeF,C242,Forecast12)</f>
        <v>4540876</v>
      </c>
      <c r="R242" s="3"/>
    </row>
    <row r="243" spans="1:18">
      <c r="A243" s="19"/>
      <c r="B243" s="7" t="s">
        <v>1176</v>
      </c>
      <c r="C243" s="4" t="s">
        <v>1182</v>
      </c>
      <c r="D243" s="68"/>
      <c r="E243" s="10">
        <f>SUM(F243:Q243)</f>
        <v>1151561</v>
      </c>
      <c r="F243" s="2">
        <f>SUMIF(CodeF,C243,Forecast1)</f>
        <v>108280</v>
      </c>
      <c r="G243" s="2">
        <f>SUMIF(CodeF,C243,Forecast2)</f>
        <v>91368</v>
      </c>
      <c r="H243" s="2">
        <f>SUMIF(CodeF,C243,Forecast3)</f>
        <v>81653</v>
      </c>
      <c r="I243" s="2">
        <f>SUMIF(CodeF,C243,forecast4)</f>
        <v>82577</v>
      </c>
      <c r="J243" s="2">
        <f>SUMIF(CodeF,C243,Forecast5)</f>
        <v>81868</v>
      </c>
      <c r="K243" s="2">
        <f>SUMIF(CodeF,C243,Forecast6)</f>
        <v>80667</v>
      </c>
      <c r="L243" s="2">
        <f>SUMIF(CodeF,C243,Forecast7)</f>
        <v>84080</v>
      </c>
      <c r="M243" s="2">
        <f>SUMIF(CodeF,C243,Forecast8)</f>
        <v>79795</v>
      </c>
      <c r="N243" s="2">
        <f>SUMIF(CodeF,C243,Forecast9)</f>
        <v>79933</v>
      </c>
      <c r="O243" s="2">
        <f>SUMIF(CodeF,C243,Forecast10)</f>
        <v>112818</v>
      </c>
      <c r="P243" s="2">
        <f>SUMIF(CodeF,C243,Forecast11)</f>
        <v>143291</v>
      </c>
      <c r="Q243" s="2">
        <f>SUMIF(CodeF,C243,Forecast12)</f>
        <v>125231</v>
      </c>
      <c r="R243" s="3"/>
    </row>
    <row r="244" spans="1:18">
      <c r="A244" s="19"/>
      <c r="B244" s="7" t="s">
        <v>2174</v>
      </c>
      <c r="C244" s="4" t="s">
        <v>2175</v>
      </c>
      <c r="D244" s="68"/>
      <c r="E244" s="10">
        <f>SUM(F244:Q244)</f>
        <v>0</v>
      </c>
      <c r="F244" s="2">
        <f>SUMIF(CodeF,C244,Forecast1)</f>
        <v>0</v>
      </c>
      <c r="G244" s="2">
        <f>SUMIF(CodeF,C244,Forecast2)</f>
        <v>0</v>
      </c>
      <c r="H244" s="2">
        <f>SUMIF(CodeF,C244,Forecast3)</f>
        <v>0</v>
      </c>
      <c r="I244" s="2">
        <f>SUMIF(CodeF,C244,forecast4)</f>
        <v>0</v>
      </c>
      <c r="J244" s="2">
        <f>SUMIF(CodeF,C244,Forecast5)</f>
        <v>0</v>
      </c>
      <c r="K244" s="2">
        <f>SUMIF(CodeF,C244,Forecast6)</f>
        <v>0</v>
      </c>
      <c r="L244" s="2">
        <f>SUMIF(CodeF,C244,Forecast7)</f>
        <v>0</v>
      </c>
      <c r="M244" s="2">
        <f>SUMIF(CodeF,C244,Forecast8)</f>
        <v>0</v>
      </c>
      <c r="N244" s="2">
        <f>SUMIF(CodeF,C244,Forecast9)</f>
        <v>0</v>
      </c>
      <c r="O244" s="2">
        <f>SUMIF(CodeF,C244,Forecast10)</f>
        <v>0</v>
      </c>
      <c r="P244" s="2">
        <f>SUMIF(CodeF,C244,Forecast11)</f>
        <v>0</v>
      </c>
      <c r="Q244" s="2">
        <f>SUMIF(CodeF,C244,Forecast12)</f>
        <v>0</v>
      </c>
      <c r="R244" s="3"/>
    </row>
    <row r="245" spans="1:18">
      <c r="A245" s="19"/>
      <c r="B245" s="7" t="s">
        <v>1178</v>
      </c>
      <c r="C245" s="4" t="s">
        <v>1183</v>
      </c>
      <c r="D245" s="68"/>
      <c r="E245" s="10">
        <f>SUM(F245:Q245)</f>
        <v>7233693</v>
      </c>
      <c r="F245" s="2">
        <f>SUMIF(CodeF,C245,Forecast1)</f>
        <v>681893</v>
      </c>
      <c r="G245" s="2">
        <f>SUMIF(CodeF,C245,Forecast2)</f>
        <v>667035</v>
      </c>
      <c r="H245" s="2">
        <f>SUMIF(CodeF,C245,Forecast3)</f>
        <v>673367</v>
      </c>
      <c r="I245" s="2">
        <f>SUMIF(CodeF,C245,forecast4)</f>
        <v>673198</v>
      </c>
      <c r="J245" s="2">
        <f>SUMIF(CodeF,C245,Forecast5)</f>
        <v>666623</v>
      </c>
      <c r="K245" s="2">
        <f>SUMIF(CodeF,C245,Forecast6)</f>
        <v>696808</v>
      </c>
      <c r="L245" s="2">
        <f>SUMIF(CodeF,C245,Forecast7)</f>
        <v>535016</v>
      </c>
      <c r="M245" s="2">
        <f>SUMIF(CodeF,C245,Forecast8)</f>
        <v>534301</v>
      </c>
      <c r="N245" s="2">
        <f>SUMIF(CodeF,C245,Forecast9)</f>
        <v>547938</v>
      </c>
      <c r="O245" s="2">
        <f>SUMIF(CodeF,C245,Forecast10)</f>
        <v>520976</v>
      </c>
      <c r="P245" s="2">
        <f>SUMIF(CodeF,C245,Forecast11)</f>
        <v>516525</v>
      </c>
      <c r="Q245" s="2">
        <f>SUMIF(CodeF,C245,Forecast12)</f>
        <v>520013</v>
      </c>
      <c r="R245" s="3"/>
    </row>
    <row r="246" spans="1:18">
      <c r="A246" s="19"/>
      <c r="B246" s="7" t="s">
        <v>248</v>
      </c>
      <c r="C246" s="4" t="s">
        <v>1184</v>
      </c>
      <c r="D246" s="68"/>
      <c r="E246" s="10">
        <f>SUM(F246:Q246)</f>
        <v>56247</v>
      </c>
      <c r="F246" s="2">
        <f>SUMIF(CodeF,C246,Forecast1)</f>
        <v>4716</v>
      </c>
      <c r="G246" s="2">
        <f>SUMIF(CodeF,C246,Forecast2)</f>
        <v>4628</v>
      </c>
      <c r="H246" s="2">
        <f>SUMIF(CodeF,C246,Forecast3)</f>
        <v>4654</v>
      </c>
      <c r="I246" s="2">
        <f>SUMIF(CodeF,C246,forecast4)</f>
        <v>4627</v>
      </c>
      <c r="J246" s="2">
        <f>SUMIF(CodeF,C246,Forecast5)</f>
        <v>4594</v>
      </c>
      <c r="K246" s="2">
        <f>SUMIF(CodeF,C246,Forecast6)</f>
        <v>4697</v>
      </c>
      <c r="L246" s="2">
        <f>SUMIF(CodeF,C246,Forecast7)</f>
        <v>4660</v>
      </c>
      <c r="M246" s="2">
        <f>SUMIF(CodeF,C246,Forecast8)</f>
        <v>4669</v>
      </c>
      <c r="N246" s="2">
        <f>SUMIF(CodeF,C246,Forecast9)</f>
        <v>4732</v>
      </c>
      <c r="O246" s="2">
        <f>SUMIF(CodeF,C246,Forecast10)</f>
        <v>4799</v>
      </c>
      <c r="P246" s="2">
        <f>SUMIF(CodeF,C246,Forecast11)</f>
        <v>4772</v>
      </c>
      <c r="Q246" s="2">
        <f>SUMIF(CodeF,C246,Forecast12)</f>
        <v>4699</v>
      </c>
      <c r="R246" s="3"/>
    </row>
    <row r="247" spans="1:18">
      <c r="A247" s="19"/>
      <c r="B247" s="8" t="s">
        <v>1185</v>
      </c>
      <c r="C247" s="4"/>
      <c r="D247" s="68"/>
      <c r="E247" s="9">
        <f>SUM(E232:E240)+SUM(E242:E246)</f>
        <v>117188915</v>
      </c>
      <c r="F247" s="9">
        <f>SUM(F232:F240)+SUM(F242:F246)</f>
        <v>11707310</v>
      </c>
      <c r="G247" s="9">
        <f t="shared" ref="G247:Q247" si="28">SUM(G232:G240)+SUM(G242:G246)</f>
        <v>11544019</v>
      </c>
      <c r="H247" s="9">
        <f t="shared" si="28"/>
        <v>9044737</v>
      </c>
      <c r="I247" s="9">
        <f t="shared" si="28"/>
        <v>9250488</v>
      </c>
      <c r="J247" s="9">
        <f t="shared" si="28"/>
        <v>9373352</v>
      </c>
      <c r="K247" s="9">
        <f t="shared" si="28"/>
        <v>8550423</v>
      </c>
      <c r="L247" s="9">
        <f t="shared" si="28"/>
        <v>8132400</v>
      </c>
      <c r="M247" s="9">
        <f t="shared" si="28"/>
        <v>9094960</v>
      </c>
      <c r="N247" s="9">
        <f t="shared" si="28"/>
        <v>10324616</v>
      </c>
      <c r="O247" s="9">
        <f t="shared" si="28"/>
        <v>8786431</v>
      </c>
      <c r="P247" s="9">
        <f t="shared" si="28"/>
        <v>9124589</v>
      </c>
      <c r="Q247" s="9">
        <f t="shared" si="28"/>
        <v>12255590</v>
      </c>
      <c r="R247" s="3"/>
    </row>
    <row r="248" spans="1:18">
      <c r="A248" s="19"/>
      <c r="B248" s="69" t="s">
        <v>2178</v>
      </c>
      <c r="C248" s="4"/>
      <c r="D248" s="68"/>
      <c r="E248" s="9">
        <f>E247+E227+E228+E229+E230</f>
        <v>240704532</v>
      </c>
      <c r="F248" s="9">
        <f t="shared" ref="F248:Q248" si="29">F247+F227+F228+F229+F230</f>
        <v>20049849</v>
      </c>
      <c r="G248" s="9">
        <f t="shared" si="29"/>
        <v>23090440</v>
      </c>
      <c r="H248" s="9">
        <f t="shared" si="29"/>
        <v>21477441</v>
      </c>
      <c r="I248" s="9">
        <f t="shared" si="29"/>
        <v>20890257</v>
      </c>
      <c r="J248" s="9">
        <f t="shared" si="29"/>
        <v>19404431</v>
      </c>
      <c r="K248" s="9">
        <f t="shared" si="29"/>
        <v>18267116</v>
      </c>
      <c r="L248" s="9">
        <f t="shared" si="29"/>
        <v>17668506</v>
      </c>
      <c r="M248" s="9">
        <f t="shared" si="29"/>
        <v>17712731</v>
      </c>
      <c r="N248" s="9">
        <f t="shared" si="29"/>
        <v>19429449</v>
      </c>
      <c r="O248" s="9">
        <f t="shared" si="29"/>
        <v>20727584</v>
      </c>
      <c r="P248" s="9">
        <f t="shared" si="29"/>
        <v>19063022</v>
      </c>
      <c r="Q248" s="9">
        <f t="shared" si="29"/>
        <v>22923706</v>
      </c>
      <c r="R248" s="3"/>
    </row>
    <row r="249" spans="1:18">
      <c r="A249" s="19"/>
      <c r="B249" s="5" t="s">
        <v>179</v>
      </c>
      <c r="C249" s="4" t="s">
        <v>1186</v>
      </c>
      <c r="D249" s="68"/>
      <c r="E249" s="10">
        <f>SUM(F249:Q249)</f>
        <v>44542262</v>
      </c>
      <c r="F249" s="2">
        <f>SUMIF(CodeF,C249,Forecast1)</f>
        <v>3550668</v>
      </c>
      <c r="G249" s="2">
        <f>SUMIF(CodeF,C249,Forecast2)</f>
        <v>3589532</v>
      </c>
      <c r="H249" s="2">
        <f>SUMIF(CodeF,C249,Forecast3)</f>
        <v>3593926</v>
      </c>
      <c r="I249" s="2">
        <f>SUMIF(CodeF,C249,forecast4)</f>
        <v>3632857</v>
      </c>
      <c r="J249" s="2">
        <f>SUMIF(CodeF,C249,Forecast5)</f>
        <v>3629751</v>
      </c>
      <c r="K249" s="2">
        <f>SUMIF(CodeF,C249,Forecast6)</f>
        <v>3634744</v>
      </c>
      <c r="L249" s="2">
        <f>SUMIF(CodeF,C249,Forecast7)</f>
        <v>3656123</v>
      </c>
      <c r="M249" s="2">
        <f>SUMIF(CodeF,C249,Forecast8)</f>
        <v>3659888</v>
      </c>
      <c r="N249" s="2">
        <f>SUMIF(CodeF,C249,Forecast9)</f>
        <v>3744425</v>
      </c>
      <c r="O249" s="2">
        <f>SUMIF(CodeF,C249,Forecast10)</f>
        <v>3962544</v>
      </c>
      <c r="P249" s="2">
        <f>SUMIF(CodeF,C249,Forecast11)</f>
        <v>3964431</v>
      </c>
      <c r="Q249" s="2">
        <f>SUMIF(CodeF,C249,Forecast12)</f>
        <v>3923373</v>
      </c>
      <c r="R249" s="3"/>
    </row>
    <row r="250" spans="1:18">
      <c r="A250" s="19"/>
      <c r="B250" s="5" t="s">
        <v>1187</v>
      </c>
      <c r="C250" s="67" t="s">
        <v>2616</v>
      </c>
      <c r="D250" s="68"/>
      <c r="E250" s="10">
        <f>SUM(F250:Q250)</f>
        <v>0</v>
      </c>
      <c r="F250" s="2">
        <f>SUMIF(CodeF,C250,Forecast1)</f>
        <v>0</v>
      </c>
      <c r="G250" s="2">
        <f>SUMIF(CodeF,C250,Forecast2)</f>
        <v>0</v>
      </c>
      <c r="H250" s="2">
        <f>SUMIF(CodeF,C250,Forecast3)</f>
        <v>0</v>
      </c>
      <c r="I250" s="2">
        <f>SUMIF(CodeF,C250,forecast4)</f>
        <v>0</v>
      </c>
      <c r="J250" s="2">
        <f>SUMIF(CodeF,C250,Forecast5)</f>
        <v>0</v>
      </c>
      <c r="K250" s="2">
        <f>SUMIF(CodeF,C250,Forecast6)</f>
        <v>0</v>
      </c>
      <c r="L250" s="2">
        <f>SUMIF(CodeF,C250,Forecast7)</f>
        <v>0</v>
      </c>
      <c r="M250" s="2">
        <f>SUMIF(CodeF,C250,Forecast8)</f>
        <v>0</v>
      </c>
      <c r="N250" s="2">
        <f>SUMIF(CodeF,C250,Forecast9)</f>
        <v>0</v>
      </c>
      <c r="O250" s="2">
        <f>SUMIF(CodeF,C250,Forecast10)</f>
        <v>0</v>
      </c>
      <c r="P250" s="2">
        <f>SUMIF(CodeF,C250,Forecast11)</f>
        <v>0</v>
      </c>
      <c r="Q250" s="2">
        <f>SUMIF(CodeF,C250,Forecast12)</f>
        <v>0</v>
      </c>
      <c r="R250" s="3"/>
    </row>
    <row r="251" spans="1:18">
      <c r="A251" s="19"/>
      <c r="B251" s="5" t="s">
        <v>951</v>
      </c>
      <c r="C251" s="4" t="s">
        <v>1188</v>
      </c>
      <c r="D251" s="68"/>
      <c r="E251" s="10">
        <f>SUM(F251:Q251)</f>
        <v>12781066</v>
      </c>
      <c r="F251" s="2">
        <f>SUMIF(CodeF,C251,Forecast1)</f>
        <v>1010157</v>
      </c>
      <c r="G251" s="2">
        <f>SUMIF(CodeF,C251,Forecast2)</f>
        <v>1008090</v>
      </c>
      <c r="H251" s="2">
        <f>SUMIF(CodeF,C251,Forecast3)</f>
        <v>1008601</v>
      </c>
      <c r="I251" s="2">
        <f>SUMIF(CodeF,C251,forecast4)</f>
        <v>1008112</v>
      </c>
      <c r="J251" s="2">
        <f>SUMIF(CodeF,C251,Forecast5)</f>
        <v>1027462</v>
      </c>
      <c r="K251" s="2">
        <f>SUMIF(CodeF,C251,Forecast6)</f>
        <v>1014563</v>
      </c>
      <c r="L251" s="2">
        <f>SUMIF(CodeF,C251,Forecast7)</f>
        <v>1008857</v>
      </c>
      <c r="M251" s="2">
        <f>SUMIF(CodeF,C251,Forecast8)</f>
        <v>1008885</v>
      </c>
      <c r="N251" s="2">
        <f>SUMIF(CodeF,C251,Forecast9)</f>
        <v>1009855</v>
      </c>
      <c r="O251" s="2">
        <f>SUMIF(CodeF,C251,Forecast10)</f>
        <v>1224314</v>
      </c>
      <c r="P251" s="2">
        <f>SUMIF(CodeF,C251,Forecast11)</f>
        <v>1213460</v>
      </c>
      <c r="Q251" s="2">
        <f>SUMIF(CodeF,C251,Forecast12)</f>
        <v>1238710</v>
      </c>
      <c r="R251" s="3"/>
    </row>
    <row r="252" spans="1:18">
      <c r="A252" s="19"/>
      <c r="B252" s="5" t="s">
        <v>1190</v>
      </c>
      <c r="C252" s="4" t="s">
        <v>1189</v>
      </c>
      <c r="D252" s="68"/>
      <c r="E252" s="10">
        <f ca="1">SUM(F252:Q252)</f>
        <v>4078415</v>
      </c>
      <c r="F252" s="2">
        <f ca="1">SUMIF(CodeF,C252,Forecast1)</f>
        <v>339869</v>
      </c>
      <c r="G252" s="2">
        <f ca="1">SUMIF(CodeF,C252,Forecast2)</f>
        <v>339869</v>
      </c>
      <c r="H252" s="2">
        <f ca="1">SUMIF(CodeF,C252,Forecast3)</f>
        <v>339869</v>
      </c>
      <c r="I252" s="2">
        <f ca="1">SUMIF(CodeF,C252,forecast4)</f>
        <v>339869</v>
      </c>
      <c r="J252" s="2">
        <f ca="1">SUMIF(CodeF,C252,Forecast5)</f>
        <v>339869</v>
      </c>
      <c r="K252" s="2">
        <f ca="1">SUMIF(CodeF,C252,Forecast6)</f>
        <v>339869</v>
      </c>
      <c r="L252" s="2">
        <f ca="1">SUMIF(CodeF,C252,Forecast7)</f>
        <v>339869</v>
      </c>
      <c r="M252" s="2">
        <f ca="1">SUMIF(CodeF,C252,Forecast8)</f>
        <v>339869</v>
      </c>
      <c r="N252" s="2">
        <f ca="1">SUMIF(CodeF,C252,Forecast9)</f>
        <v>339869</v>
      </c>
      <c r="O252" s="2">
        <f ca="1">SUMIF(CodeF,C252,Forecast10)</f>
        <v>339869</v>
      </c>
      <c r="P252" s="2">
        <f ca="1">SUMIF(CodeF,C252,Forecast11)</f>
        <v>339869</v>
      </c>
      <c r="Q252" s="2">
        <f ca="1">SUMIF(CodeF,C252,Forecast12)</f>
        <v>339856</v>
      </c>
      <c r="R252" s="3"/>
    </row>
    <row r="253" spans="1:18">
      <c r="A253" s="19"/>
      <c r="B253" s="5"/>
      <c r="C253" s="4"/>
      <c r="D253" s="4"/>
      <c r="E253" s="9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</row>
    <row r="254" spans="1:18">
      <c r="A254" s="19"/>
      <c r="B254" s="5" t="s">
        <v>569</v>
      </c>
      <c r="C254" s="4"/>
      <c r="D254" s="4"/>
      <c r="E254" s="9">
        <f ca="1">E225-E227-E228-E229-E230-E247-E249-E250-E251-E252</f>
        <v>19212679</v>
      </c>
      <c r="F254" s="1523">
        <f ca="1">F225-F227-F228-F229-F230-F247-F249-F250-F251-F252</f>
        <v>-2204364</v>
      </c>
      <c r="G254" s="9">
        <f t="shared" ref="G254:Q254" ca="1" si="30">G225-G227-G228-G229-G230-G247-G249-G250-G251-G252</f>
        <v>-948168</v>
      </c>
      <c r="H254" s="9">
        <f t="shared" ca="1" si="30"/>
        <v>3728541</v>
      </c>
      <c r="I254" s="9">
        <f t="shared" ca="1" si="30"/>
        <v>4850415</v>
      </c>
      <c r="J254" s="9">
        <f t="shared" ca="1" si="30"/>
        <v>3889781</v>
      </c>
      <c r="K254" s="9">
        <f t="shared" ca="1" si="30"/>
        <v>1581550</v>
      </c>
      <c r="L254" s="9">
        <f t="shared" ca="1" si="30"/>
        <v>1731214</v>
      </c>
      <c r="M254" s="9">
        <f t="shared" ca="1" si="30"/>
        <v>1182907</v>
      </c>
      <c r="N254" s="9">
        <f t="shared" ca="1" si="30"/>
        <v>1165798</v>
      </c>
      <c r="O254" s="9">
        <f t="shared" ca="1" si="30"/>
        <v>3519651</v>
      </c>
      <c r="P254" s="9">
        <f t="shared" ca="1" si="30"/>
        <v>2138996</v>
      </c>
      <c r="Q254" s="9">
        <f t="shared" ca="1" si="30"/>
        <v>-1423642</v>
      </c>
      <c r="R254" s="3"/>
    </row>
    <row r="255" spans="1:18">
      <c r="A255" s="19"/>
      <c r="B255" s="5"/>
      <c r="C255" s="4"/>
      <c r="D255" s="4"/>
      <c r="E255" s="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</row>
    <row r="256" spans="1:18">
      <c r="A256" s="19"/>
      <c r="B256" s="5" t="s">
        <v>942</v>
      </c>
      <c r="C256" s="4"/>
      <c r="D256" s="4"/>
      <c r="E256" s="9">
        <f ca="1">E254+E252</f>
        <v>23291094</v>
      </c>
      <c r="F256" s="1523">
        <f>F225-F227-F228-F229-F230-F247-F249-F250-F251</f>
        <v>-1864495</v>
      </c>
      <c r="G256" s="1523">
        <f t="shared" ref="G256:Q256" si="31">G225-G227-G228-G229-G230-G247-G249-G250-G251</f>
        <v>-608299</v>
      </c>
      <c r="H256" s="1523">
        <f t="shared" si="31"/>
        <v>4068410</v>
      </c>
      <c r="I256" s="1523">
        <f t="shared" si="31"/>
        <v>5190284</v>
      </c>
      <c r="J256" s="1523">
        <f t="shared" si="31"/>
        <v>4229650</v>
      </c>
      <c r="K256" s="1523">
        <f t="shared" si="31"/>
        <v>1921419</v>
      </c>
      <c r="L256" s="1523">
        <f t="shared" si="31"/>
        <v>2071083</v>
      </c>
      <c r="M256" s="1523">
        <f t="shared" si="31"/>
        <v>1522776</v>
      </c>
      <c r="N256" s="1523">
        <f t="shared" si="31"/>
        <v>1505667</v>
      </c>
      <c r="O256" s="1523">
        <f t="shared" si="31"/>
        <v>3859520</v>
      </c>
      <c r="P256" s="1523">
        <f t="shared" si="31"/>
        <v>2478865</v>
      </c>
      <c r="Q256" s="1523">
        <f t="shared" si="31"/>
        <v>-1083786</v>
      </c>
      <c r="R256" s="3"/>
    </row>
    <row r="257" spans="1:18">
      <c r="A257" s="19"/>
      <c r="B257" s="20"/>
      <c r="C257" s="19"/>
      <c r="D257" s="19"/>
      <c r="E257" s="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</row>
    <row r="258" spans="1:18" s="1376" customFormat="1">
      <c r="A258" s="1418"/>
      <c r="B258" s="1419"/>
      <c r="C258" s="1418"/>
      <c r="D258" s="1418"/>
      <c r="E258" s="1420"/>
      <c r="F258" s="1355"/>
      <c r="G258" s="1355"/>
      <c r="H258" s="1355"/>
      <c r="I258" s="1355"/>
      <c r="J258" s="1355"/>
      <c r="K258" s="1355"/>
      <c r="L258" s="1355"/>
      <c r="M258" s="1355"/>
      <c r="N258" s="1355"/>
      <c r="O258" s="1355"/>
      <c r="P258" s="1355"/>
      <c r="Q258" s="1355"/>
      <c r="R258" s="1421"/>
    </row>
    <row r="259" spans="1:18" s="1376" customFormat="1">
      <c r="A259" s="1418"/>
      <c r="B259" s="1419"/>
      <c r="C259" s="1418"/>
      <c r="D259" s="1418"/>
      <c r="E259" s="1420"/>
      <c r="F259" s="1420"/>
      <c r="G259" s="1354"/>
      <c r="H259" s="1354"/>
      <c r="I259" s="1354"/>
      <c r="J259" s="1354"/>
      <c r="K259" s="1354"/>
      <c r="L259" s="1354"/>
      <c r="M259" s="1354"/>
      <c r="N259" s="1354"/>
      <c r="O259" s="1354"/>
      <c r="P259" s="1354"/>
      <c r="Q259" s="1354"/>
      <c r="R259" s="1421"/>
    </row>
    <row r="260" spans="1:18" s="1376" customFormat="1">
      <c r="A260" s="1418"/>
      <c r="B260" s="1419"/>
      <c r="C260" s="1418"/>
      <c r="E260" s="1420"/>
      <c r="F260" s="1420"/>
      <c r="G260" s="1420"/>
      <c r="H260" s="1420"/>
      <c r="I260" s="1420"/>
      <c r="J260" s="1420"/>
      <c r="K260" s="1420"/>
      <c r="L260" s="1420"/>
      <c r="M260" s="1420"/>
      <c r="N260" s="1420"/>
      <c r="O260" s="1420"/>
      <c r="P260" s="1420"/>
      <c r="Q260" s="1420"/>
      <c r="R260" s="1421"/>
    </row>
    <row r="312" spans="8:8">
      <c r="H312" s="18">
        <f>SUM(E320:E339)</f>
        <v>0</v>
      </c>
    </row>
  </sheetData>
  <phoneticPr fontId="19" type="noConversion"/>
  <pageMargins left="0.75" right="0.75" top="1" bottom="1" header="0.5" footer="0.5"/>
  <pageSetup scale="59" orientation="landscape" blackAndWhite="1" r:id="rId1"/>
  <headerFooter alignWithMargins="0">
    <oddHeader>&amp;C&amp;A&amp;R&amp;"Times New Roman,Bold"KyPSC Case No. 2017-00321
STAFF-DR-01-071 SFRs Attachment
Page &amp;P of &amp;N</oddHeader>
    <oddFooter>Page &amp;P</oddFooter>
  </headerFooter>
  <rowBreaks count="2" manualBreakCount="2">
    <brk id="192" max="16" man="1"/>
    <brk id="222" max="16" man="1"/>
  </rowBreaks>
  <colBreaks count="1" manualBreakCount="1">
    <brk id="11" max="253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FFC000"/>
  </sheetPr>
  <dimension ref="A1:V86"/>
  <sheetViews>
    <sheetView tabSelected="1" view="pageLayout" topLeftCell="A13" zoomScaleNormal="90" workbookViewId="0">
      <selection activeCell="G1" sqref="G1"/>
    </sheetView>
  </sheetViews>
  <sheetFormatPr defaultColWidth="8" defaultRowHeight="12.75"/>
  <cols>
    <col min="1" max="1" width="6" style="18" customWidth="1"/>
    <col min="2" max="2" width="1.85546875" style="18" customWidth="1"/>
    <col min="3" max="3" width="20" style="18" customWidth="1"/>
    <col min="4" max="4" width="1.140625" style="18" customWidth="1"/>
    <col min="5" max="5" width="40.140625" style="18" customWidth="1"/>
    <col min="6" max="6" width="1.28515625" style="18" customWidth="1"/>
    <col min="7" max="7" width="15" style="18" customWidth="1"/>
    <col min="8" max="8" width="1.28515625" style="18" customWidth="1"/>
    <col min="9" max="9" width="12.7109375" style="18" customWidth="1"/>
    <col min="10" max="10" width="1.28515625" style="18" customWidth="1"/>
    <col min="11" max="11" width="15" style="18" customWidth="1"/>
    <col min="12" max="12" width="1.28515625" style="18" customWidth="1"/>
    <col min="13" max="13" width="15" style="18" customWidth="1"/>
    <col min="14" max="14" width="1.28515625" style="18" customWidth="1"/>
    <col min="15" max="15" width="12.5703125" style="18" customWidth="1"/>
    <col min="16" max="16" width="0.85546875" style="18" customWidth="1"/>
    <col min="17" max="17" width="17.28515625" style="18" customWidth="1"/>
    <col min="18" max="16384" width="8" style="18"/>
  </cols>
  <sheetData>
    <row r="1" spans="1:22">
      <c r="A1" s="2023" t="str">
        <f>COMPANY</f>
        <v>DUKE ENERGY KENTUCKY, INC.</v>
      </c>
      <c r="B1" s="1883"/>
      <c r="C1" s="2023"/>
      <c r="D1" s="2023"/>
      <c r="E1" s="1883"/>
      <c r="F1" s="1883"/>
      <c r="G1" s="1883"/>
      <c r="H1" s="1883"/>
      <c r="I1" s="1883"/>
      <c r="J1" s="1883"/>
      <c r="K1" s="1883"/>
      <c r="L1" s="1883"/>
      <c r="M1" s="1883"/>
      <c r="N1" s="1883"/>
      <c r="O1" s="1883"/>
      <c r="P1" s="1883"/>
      <c r="Q1" s="1883"/>
      <c r="R1" s="1045"/>
      <c r="S1" s="1045"/>
      <c r="T1" s="1045"/>
      <c r="U1" s="1045"/>
      <c r="V1" s="1045"/>
    </row>
    <row r="2" spans="1:22">
      <c r="A2" s="2023" t="str">
        <f>CASE</f>
        <v>CASE NO. 2017-00321</v>
      </c>
      <c r="B2" s="1883"/>
      <c r="C2" s="1883"/>
      <c r="D2" s="1883"/>
      <c r="E2" s="1883"/>
      <c r="F2" s="1883"/>
      <c r="G2" s="1883"/>
      <c r="H2" s="1883"/>
      <c r="I2" s="1883"/>
      <c r="J2" s="1883"/>
      <c r="K2" s="1883"/>
      <c r="L2" s="1883"/>
      <c r="M2" s="1883"/>
      <c r="N2" s="1883"/>
      <c r="O2" s="1883"/>
      <c r="P2" s="1883"/>
      <c r="Q2" s="1883"/>
      <c r="R2" s="1045"/>
      <c r="S2" s="1045"/>
      <c r="T2" s="1045"/>
      <c r="U2" s="1045"/>
      <c r="V2" s="1045"/>
    </row>
    <row r="3" spans="1:22">
      <c r="A3" s="2024" t="s">
        <v>881</v>
      </c>
      <c r="B3" s="1883"/>
      <c r="C3" s="1883"/>
      <c r="D3" s="1883"/>
      <c r="E3" s="1883"/>
      <c r="F3" s="1883"/>
      <c r="G3" s="1883"/>
      <c r="H3" s="1883"/>
      <c r="I3" s="1883"/>
      <c r="J3" s="1883"/>
      <c r="K3" s="1883"/>
      <c r="L3" s="1883"/>
      <c r="M3" s="1883"/>
      <c r="N3" s="2024"/>
      <c r="O3" s="1883"/>
      <c r="P3" s="1883"/>
      <c r="Q3" s="1883"/>
      <c r="R3" s="1045"/>
      <c r="S3" s="1045"/>
      <c r="T3" s="1045"/>
      <c r="U3" s="1045"/>
      <c r="V3" s="1045"/>
    </row>
    <row r="4" spans="1:22">
      <c r="A4" s="2024" t="str">
        <f>PERIOD</f>
        <v>FOR THE TWELVE MONTHS ENDED NOVEMBER 30, 2017</v>
      </c>
      <c r="B4" s="1883"/>
      <c r="C4" s="1883"/>
      <c r="D4" s="1883"/>
      <c r="E4" s="1883"/>
      <c r="F4" s="1883"/>
      <c r="G4" s="1883"/>
      <c r="H4" s="1883"/>
      <c r="I4" s="1883"/>
      <c r="J4" s="1883"/>
      <c r="K4" s="1883"/>
      <c r="L4" s="1883"/>
      <c r="M4" s="1883"/>
      <c r="N4" s="2024"/>
      <c r="O4" s="1883"/>
      <c r="P4" s="1883"/>
      <c r="Q4" s="1883"/>
      <c r="R4" s="1045"/>
      <c r="S4" s="1045"/>
      <c r="T4" s="1045"/>
      <c r="U4" s="1045"/>
      <c r="V4" s="1045"/>
    </row>
    <row r="5" spans="1:22">
      <c r="A5" s="2023" t="str">
        <f>PeriodF</f>
        <v>FOR THE TWELVE MONTHS ENDED MARCH 31, 2019</v>
      </c>
      <c r="B5" s="1883"/>
      <c r="C5" s="1883"/>
      <c r="D5" s="1883"/>
      <c r="E5" s="1883"/>
      <c r="F5" s="1883"/>
      <c r="G5" s="1883"/>
      <c r="H5" s="1883"/>
      <c r="I5" s="1883"/>
      <c r="J5" s="1883"/>
      <c r="K5" s="1883"/>
      <c r="L5" s="1883"/>
      <c r="M5" s="1883"/>
      <c r="N5" s="1883"/>
      <c r="O5" s="1883"/>
      <c r="P5" s="1883"/>
      <c r="Q5" s="1883"/>
      <c r="R5" s="1045"/>
      <c r="S5" s="1045"/>
      <c r="T5" s="1045"/>
      <c r="U5" s="1045"/>
      <c r="V5" s="1045"/>
    </row>
    <row r="6" spans="1:22">
      <c r="A6" s="1045"/>
      <c r="B6" s="1045"/>
      <c r="C6" s="1045"/>
      <c r="D6" s="1045"/>
      <c r="E6" s="1045"/>
      <c r="F6" s="1045"/>
      <c r="G6" s="1045"/>
      <c r="H6" s="1045"/>
      <c r="I6" s="1045"/>
      <c r="J6" s="1045"/>
      <c r="K6" s="1045"/>
      <c r="L6" s="1045"/>
      <c r="M6" s="1045"/>
      <c r="N6" s="1045"/>
      <c r="O6" s="1045"/>
      <c r="P6" s="1045"/>
      <c r="Q6" s="1045"/>
      <c r="R6" s="1045"/>
      <c r="S6" s="1045"/>
      <c r="T6" s="1045"/>
      <c r="U6" s="1045"/>
      <c r="V6" s="1045"/>
    </row>
    <row r="7" spans="1:22">
      <c r="A7" s="2025" t="str">
        <f>DataB</f>
        <v>DATA: "X" BASE PERIOD  "X" FORECASTED PERIOD</v>
      </c>
      <c r="B7" s="1045"/>
      <c r="C7" s="1045"/>
      <c r="D7" s="1045"/>
      <c r="E7" s="1045"/>
      <c r="F7" s="1045"/>
      <c r="G7" s="1045"/>
      <c r="H7" s="1045"/>
      <c r="I7" s="1045"/>
      <c r="J7" s="1045"/>
      <c r="K7" s="1045"/>
      <c r="L7" s="1045"/>
      <c r="M7" s="1045"/>
      <c r="N7" s="1045"/>
      <c r="O7" s="1047" t="s">
        <v>1229</v>
      </c>
      <c r="P7" s="1047"/>
      <c r="Q7" s="1045"/>
      <c r="R7" s="1045"/>
      <c r="S7" s="1045"/>
      <c r="T7" s="1045"/>
      <c r="U7" s="1045"/>
      <c r="V7" s="1045"/>
    </row>
    <row r="8" spans="1:22">
      <c r="A8" s="2025" t="str">
        <f>Type</f>
        <v xml:space="preserve">TYPE OF FILING:  "X" ORIGINAL   UPDATED    REVISED  </v>
      </c>
      <c r="B8" s="1045"/>
      <c r="C8" s="1045"/>
      <c r="D8" s="1045"/>
      <c r="E8" s="1045"/>
      <c r="F8" s="1045"/>
      <c r="G8" s="1045"/>
      <c r="H8" s="1045"/>
      <c r="I8" s="1045"/>
      <c r="J8" s="1045"/>
      <c r="K8" s="1045"/>
      <c r="L8" s="1045"/>
      <c r="M8" s="1045"/>
      <c r="N8" s="1045"/>
      <c r="O8" s="1047" t="s">
        <v>1230</v>
      </c>
      <c r="P8" s="1047"/>
      <c r="Q8" s="1045"/>
      <c r="R8" s="1045"/>
      <c r="S8" s="1045"/>
      <c r="T8" s="1045"/>
      <c r="U8" s="1045"/>
      <c r="V8" s="1045"/>
    </row>
    <row r="9" spans="1:22">
      <c r="A9" s="1047" t="s">
        <v>1879</v>
      </c>
      <c r="B9" s="1045"/>
      <c r="C9" s="1045"/>
      <c r="D9" s="1045"/>
      <c r="E9" s="1045"/>
      <c r="F9" s="1045"/>
      <c r="G9" s="1045"/>
      <c r="H9" s="1045"/>
      <c r="I9" s="1045"/>
      <c r="J9" s="1045"/>
      <c r="K9" s="1045"/>
      <c r="L9" s="1045"/>
      <c r="M9" s="1045"/>
      <c r="N9" s="1045"/>
      <c r="O9" s="1047" t="s">
        <v>1231</v>
      </c>
      <c r="P9" s="1047"/>
      <c r="Q9" s="1045"/>
      <c r="R9" s="1045"/>
      <c r="S9" s="1045"/>
      <c r="T9" s="1045"/>
      <c r="U9" s="1045"/>
      <c r="V9" s="1045"/>
    </row>
    <row r="10" spans="1:22">
      <c r="A10" s="1045"/>
      <c r="B10" s="1045"/>
      <c r="C10" s="1045"/>
      <c r="D10" s="1045"/>
      <c r="E10" s="1045"/>
      <c r="F10" s="1045"/>
      <c r="G10" s="1045"/>
      <c r="H10" s="1045"/>
      <c r="I10" s="1045"/>
      <c r="J10" s="1045"/>
      <c r="K10" s="1045"/>
      <c r="L10" s="1045"/>
      <c r="M10" s="1045"/>
      <c r="N10" s="1045"/>
      <c r="O10" s="1045" t="str">
        <f>"  "&amp;_WIT1</f>
        <v xml:space="preserve">  S. E. LAWLER</v>
      </c>
      <c r="P10" s="1045"/>
      <c r="Q10" s="1571"/>
      <c r="R10" s="1045"/>
      <c r="S10" s="1045"/>
      <c r="T10" s="1045"/>
      <c r="U10" s="1045"/>
      <c r="V10" s="1045"/>
    </row>
    <row r="11" spans="1:22">
      <c r="A11" s="1887"/>
      <c r="B11" s="1887"/>
      <c r="C11" s="1887"/>
      <c r="D11" s="1887"/>
      <c r="E11" s="1887"/>
      <c r="F11" s="1887"/>
      <c r="G11" s="1887"/>
      <c r="H11" s="1887"/>
      <c r="I11" s="1887"/>
      <c r="J11" s="1887"/>
      <c r="K11" s="1887"/>
      <c r="L11" s="1887"/>
      <c r="M11" s="1887"/>
      <c r="N11" s="1887"/>
      <c r="O11" s="1887"/>
      <c r="P11" s="1887"/>
      <c r="Q11" s="1887"/>
      <c r="R11" s="1045"/>
      <c r="S11" s="1045"/>
      <c r="T11" s="1045"/>
      <c r="U11" s="1045"/>
      <c r="V11" s="1045"/>
    </row>
    <row r="12" spans="1:22">
      <c r="A12" s="1879"/>
      <c r="B12" s="1879"/>
      <c r="C12" s="1879"/>
      <c r="D12" s="1879"/>
      <c r="E12" s="1879"/>
      <c r="F12" s="1879"/>
      <c r="G12" s="1880" t="s">
        <v>1981</v>
      </c>
      <c r="H12" s="1880"/>
      <c r="I12" s="1880"/>
      <c r="J12" s="1881"/>
      <c r="K12" s="1881"/>
      <c r="L12" s="1879"/>
      <c r="M12" s="1880" t="s">
        <v>624</v>
      </c>
      <c r="N12" s="1880"/>
      <c r="O12" s="1880"/>
      <c r="P12" s="1881"/>
      <c r="Q12" s="1881"/>
      <c r="R12" s="1045"/>
      <c r="S12" s="1045"/>
      <c r="T12" s="1045"/>
      <c r="U12" s="1045"/>
      <c r="V12" s="1045"/>
    </row>
    <row r="13" spans="1:22">
      <c r="A13" s="1882" t="s">
        <v>1961</v>
      </c>
      <c r="B13" s="1045"/>
      <c r="C13" s="1882" t="s">
        <v>1080</v>
      </c>
      <c r="D13" s="1882"/>
      <c r="E13" s="1882" t="s">
        <v>382</v>
      </c>
      <c r="F13" s="1883"/>
      <c r="G13" s="1884" t="s">
        <v>1035</v>
      </c>
      <c r="H13" s="1882"/>
      <c r="I13" s="2804" t="s">
        <v>1461</v>
      </c>
      <c r="J13" s="2803"/>
      <c r="K13" s="2803"/>
      <c r="L13" s="1883"/>
      <c r="M13" s="1884" t="s">
        <v>1035</v>
      </c>
      <c r="N13" s="1882"/>
      <c r="O13" s="2804" t="s">
        <v>1461</v>
      </c>
      <c r="P13" s="2803"/>
      <c r="Q13" s="2803"/>
      <c r="R13" s="1045"/>
      <c r="S13" s="1045"/>
      <c r="T13" s="1045"/>
      <c r="U13" s="1045"/>
      <c r="V13" s="1045"/>
    </row>
    <row r="14" spans="1:22">
      <c r="A14" s="1882" t="s">
        <v>90</v>
      </c>
      <c r="B14" s="1045"/>
      <c r="C14" s="1882" t="s">
        <v>90</v>
      </c>
      <c r="D14" s="1882"/>
      <c r="E14" s="1882" t="s">
        <v>383</v>
      </c>
      <c r="F14" s="1883"/>
      <c r="G14" s="1882" t="s">
        <v>403</v>
      </c>
      <c r="H14" s="1882"/>
      <c r="I14" s="1885" t="s">
        <v>475</v>
      </c>
      <c r="J14" s="1886"/>
      <c r="K14" s="1046" t="s">
        <v>364</v>
      </c>
      <c r="L14" s="1883"/>
      <c r="M14" s="1882" t="s">
        <v>403</v>
      </c>
      <c r="N14" s="1882"/>
      <c r="O14" s="1885" t="s">
        <v>475</v>
      </c>
      <c r="P14" s="1886"/>
      <c r="Q14" s="1046" t="s">
        <v>364</v>
      </c>
      <c r="R14" s="1045"/>
      <c r="S14" s="1045"/>
      <c r="T14" s="1045"/>
      <c r="U14" s="1045"/>
      <c r="V14" s="1045"/>
    </row>
    <row r="15" spans="1:22">
      <c r="A15" s="1887"/>
      <c r="B15" s="1887"/>
      <c r="C15" s="1887"/>
      <c r="D15" s="1887"/>
      <c r="E15" s="1887"/>
      <c r="F15" s="1887"/>
      <c r="G15" s="1887"/>
      <c r="H15" s="1887"/>
      <c r="I15" s="1888" t="s">
        <v>296</v>
      </c>
      <c r="J15" s="1887"/>
      <c r="K15" s="1887"/>
      <c r="L15" s="1887"/>
      <c r="M15" s="1887"/>
      <c r="N15" s="1887"/>
      <c r="O15" s="1888" t="s">
        <v>296</v>
      </c>
      <c r="P15" s="1887"/>
      <c r="Q15" s="1887"/>
      <c r="R15" s="1045"/>
      <c r="S15" s="1045"/>
      <c r="T15" s="1045"/>
      <c r="U15" s="1045"/>
      <c r="V15" s="1045"/>
    </row>
    <row r="16" spans="1:22">
      <c r="A16" s="1045"/>
      <c r="B16" s="1045"/>
      <c r="C16" s="1045"/>
      <c r="D16" s="1045"/>
      <c r="E16" s="1045"/>
      <c r="F16" s="1045"/>
      <c r="G16" s="1882" t="s">
        <v>1150</v>
      </c>
      <c r="H16" s="1882"/>
      <c r="I16" s="1882" t="s">
        <v>363</v>
      </c>
      <c r="J16" s="1889"/>
      <c r="K16" s="1882" t="s">
        <v>1150</v>
      </c>
      <c r="L16" s="1045"/>
      <c r="M16" s="1882" t="s">
        <v>1150</v>
      </c>
      <c r="N16" s="1882"/>
      <c r="O16" s="1882" t="s">
        <v>363</v>
      </c>
      <c r="P16" s="1889"/>
      <c r="Q16" s="1882" t="s">
        <v>1150</v>
      </c>
      <c r="R16" s="1045"/>
      <c r="S16" s="1045"/>
      <c r="T16" s="1045"/>
      <c r="U16" s="1045"/>
      <c r="V16" s="1045"/>
    </row>
    <row r="17" spans="1:22">
      <c r="B17" s="1045"/>
      <c r="C17" s="2026"/>
      <c r="D17" s="1045"/>
      <c r="E17" s="1045"/>
      <c r="F17" s="1045"/>
      <c r="G17" s="1044"/>
      <c r="H17" s="1045"/>
      <c r="I17" s="1045"/>
      <c r="J17" s="1045"/>
      <c r="K17" s="1045"/>
      <c r="L17" s="1045"/>
      <c r="M17" s="1882"/>
      <c r="N17" s="1882"/>
      <c r="O17" s="1882"/>
      <c r="P17" s="1889"/>
      <c r="Q17" s="1882"/>
      <c r="R17" s="1045"/>
      <c r="S17" s="1045"/>
      <c r="T17" s="1045"/>
      <c r="U17" s="1045"/>
      <c r="V17" s="1045"/>
    </row>
    <row r="18" spans="1:22">
      <c r="A18" s="1046">
        <v>1</v>
      </c>
      <c r="B18" s="1045"/>
      <c r="C18" s="1046">
        <v>426100</v>
      </c>
      <c r="D18" s="1045"/>
      <c r="E18" s="1047" t="s">
        <v>2979</v>
      </c>
      <c r="F18" s="1045"/>
      <c r="G18" s="1891">
        <v>28</v>
      </c>
      <c r="H18" s="1892"/>
      <c r="I18" s="1030">
        <f t="shared" ref="I18:I47" si="0">VLOOKUP($E$69,ALLOCTABLE,2)</f>
        <v>100</v>
      </c>
      <c r="J18" s="1042"/>
      <c r="K18" s="1893">
        <f t="shared" ref="K18:K62" si="1">ROUND(G18*(I18/100),2)</f>
        <v>28</v>
      </c>
      <c r="L18" s="2027"/>
      <c r="M18" s="1891">
        <v>0</v>
      </c>
      <c r="N18" s="1892"/>
      <c r="O18" s="1030">
        <f t="shared" ref="O18:O47" si="2">VLOOKUP($E$69,ALLOCTABLE,2)</f>
        <v>100</v>
      </c>
      <c r="P18" s="1042"/>
      <c r="Q18" s="1893">
        <f t="shared" ref="Q18:Q62" si="3">ROUND(M18*(O18/100),2)</f>
        <v>0</v>
      </c>
      <c r="R18" s="1045"/>
      <c r="S18" s="1045"/>
      <c r="T18" s="1045"/>
      <c r="U18" s="1045"/>
      <c r="V18" s="1045"/>
    </row>
    <row r="19" spans="1:22">
      <c r="A19" s="1882">
        <v>2</v>
      </c>
      <c r="B19" s="1045"/>
      <c r="C19" s="1046">
        <v>426100</v>
      </c>
      <c r="D19" s="1046"/>
      <c r="E19" s="1047" t="s">
        <v>2551</v>
      </c>
      <c r="F19" s="1045"/>
      <c r="G19" s="1891">
        <v>2360</v>
      </c>
      <c r="H19" s="1892"/>
      <c r="I19" s="1030">
        <f t="shared" si="0"/>
        <v>100</v>
      </c>
      <c r="J19" s="1042"/>
      <c r="K19" s="1893">
        <f t="shared" si="1"/>
        <v>2360</v>
      </c>
      <c r="L19" s="2027"/>
      <c r="M19" s="1891">
        <v>0</v>
      </c>
      <c r="N19" s="1892"/>
      <c r="O19" s="1030">
        <f t="shared" si="2"/>
        <v>100</v>
      </c>
      <c r="P19" s="1042"/>
      <c r="Q19" s="1893">
        <f t="shared" si="3"/>
        <v>0</v>
      </c>
      <c r="R19" s="1045"/>
      <c r="S19" s="1045"/>
      <c r="T19" s="1045"/>
      <c r="U19" s="1045"/>
      <c r="V19" s="1045"/>
    </row>
    <row r="20" spans="1:22">
      <c r="A20" s="1882">
        <v>3</v>
      </c>
      <c r="B20" s="1045"/>
      <c r="C20" s="1046">
        <v>426100</v>
      </c>
      <c r="D20" s="1046"/>
      <c r="E20" s="1047" t="s">
        <v>2552</v>
      </c>
      <c r="F20" s="1045"/>
      <c r="G20" s="1891">
        <v>148</v>
      </c>
      <c r="H20" s="1892"/>
      <c r="I20" s="1030">
        <f t="shared" si="0"/>
        <v>100</v>
      </c>
      <c r="J20" s="1042"/>
      <c r="K20" s="1893">
        <f t="shared" si="1"/>
        <v>148</v>
      </c>
      <c r="L20" s="2027"/>
      <c r="M20" s="1891">
        <v>0</v>
      </c>
      <c r="N20" s="1892"/>
      <c r="O20" s="1030">
        <f t="shared" si="2"/>
        <v>100</v>
      </c>
      <c r="P20" s="1042"/>
      <c r="Q20" s="1893">
        <f t="shared" si="3"/>
        <v>0</v>
      </c>
      <c r="R20" s="1045"/>
      <c r="S20" s="1045"/>
      <c r="T20" s="1045"/>
      <c r="U20" s="1045"/>
      <c r="V20" s="1045"/>
    </row>
    <row r="21" spans="1:22">
      <c r="A21" s="1046">
        <v>4</v>
      </c>
      <c r="B21" s="1045"/>
      <c r="C21" s="1046">
        <v>426100</v>
      </c>
      <c r="D21" s="1046"/>
      <c r="E21" s="1047" t="s">
        <v>2553</v>
      </c>
      <c r="F21" s="1045"/>
      <c r="G21" s="1891">
        <v>148</v>
      </c>
      <c r="H21" s="1892"/>
      <c r="I21" s="1030">
        <f t="shared" si="0"/>
        <v>100</v>
      </c>
      <c r="J21" s="1042"/>
      <c r="K21" s="1893">
        <f t="shared" si="1"/>
        <v>148</v>
      </c>
      <c r="L21" s="2027"/>
      <c r="M21" s="1891">
        <v>0</v>
      </c>
      <c r="N21" s="1892"/>
      <c r="O21" s="1030">
        <f t="shared" si="2"/>
        <v>100</v>
      </c>
      <c r="P21" s="1042"/>
      <c r="Q21" s="1893">
        <f t="shared" si="3"/>
        <v>0</v>
      </c>
      <c r="R21" s="1045"/>
      <c r="S21" s="1045"/>
      <c r="T21" s="1045"/>
      <c r="U21" s="1045"/>
      <c r="V21" s="1045"/>
    </row>
    <row r="22" spans="1:22">
      <c r="A22" s="1046">
        <v>5</v>
      </c>
      <c r="B22" s="1045"/>
      <c r="C22" s="1046">
        <v>426100</v>
      </c>
      <c r="D22" s="1046"/>
      <c r="E22" s="1047" t="s">
        <v>2554</v>
      </c>
      <c r="F22" s="1045"/>
      <c r="G22" s="1891">
        <v>1829</v>
      </c>
      <c r="H22" s="1892"/>
      <c r="I22" s="1030">
        <f t="shared" si="0"/>
        <v>100</v>
      </c>
      <c r="J22" s="1042"/>
      <c r="K22" s="1893">
        <f t="shared" si="1"/>
        <v>1829</v>
      </c>
      <c r="L22" s="2027"/>
      <c r="M22" s="1891">
        <v>0</v>
      </c>
      <c r="N22" s="1892"/>
      <c r="O22" s="1030">
        <f t="shared" si="2"/>
        <v>100</v>
      </c>
      <c r="P22" s="1042"/>
      <c r="Q22" s="1893">
        <f t="shared" si="3"/>
        <v>0</v>
      </c>
      <c r="R22" s="1045"/>
      <c r="S22" s="1045"/>
      <c r="T22" s="1045"/>
      <c r="U22" s="1045"/>
      <c r="V22" s="1045"/>
    </row>
    <row r="23" spans="1:22">
      <c r="A23" s="1882">
        <v>6</v>
      </c>
      <c r="B23" s="1045"/>
      <c r="C23" s="1046">
        <v>426100</v>
      </c>
      <c r="D23" s="1046"/>
      <c r="E23" s="1047" t="s">
        <v>2980</v>
      </c>
      <c r="F23" s="1045"/>
      <c r="G23" s="1891">
        <v>2950</v>
      </c>
      <c r="H23" s="1892"/>
      <c r="I23" s="1030">
        <f t="shared" si="0"/>
        <v>100</v>
      </c>
      <c r="J23" s="1042"/>
      <c r="K23" s="1893">
        <f t="shared" si="1"/>
        <v>2950</v>
      </c>
      <c r="L23" s="2027"/>
      <c r="M23" s="1891">
        <v>0</v>
      </c>
      <c r="N23" s="1892"/>
      <c r="O23" s="1030">
        <f t="shared" si="2"/>
        <v>100</v>
      </c>
      <c r="P23" s="1042"/>
      <c r="Q23" s="1893">
        <f t="shared" si="3"/>
        <v>0</v>
      </c>
      <c r="R23" s="1045"/>
      <c r="S23" s="1045"/>
      <c r="T23" s="1045"/>
      <c r="U23" s="1045"/>
      <c r="V23" s="1045"/>
    </row>
    <row r="24" spans="1:22">
      <c r="A24" s="1882">
        <v>7</v>
      </c>
      <c r="B24" s="1045"/>
      <c r="C24" s="1046">
        <v>426100</v>
      </c>
      <c r="D24" s="1046"/>
      <c r="E24" s="1047" t="s">
        <v>2566</v>
      </c>
      <c r="F24" s="1045"/>
      <c r="G24" s="1891">
        <v>590</v>
      </c>
      <c r="H24" s="1892"/>
      <c r="I24" s="1030">
        <f t="shared" si="0"/>
        <v>100</v>
      </c>
      <c r="J24" s="1042"/>
      <c r="K24" s="1893">
        <f t="shared" si="1"/>
        <v>590</v>
      </c>
      <c r="L24" s="2027"/>
      <c r="M24" s="1891">
        <v>0</v>
      </c>
      <c r="N24" s="1892"/>
      <c r="O24" s="1030">
        <f t="shared" si="2"/>
        <v>100</v>
      </c>
      <c r="P24" s="1042"/>
      <c r="Q24" s="1893">
        <f t="shared" si="3"/>
        <v>0</v>
      </c>
      <c r="R24" s="1045"/>
      <c r="S24" s="1045"/>
      <c r="T24" s="1045"/>
      <c r="U24" s="1045"/>
      <c r="V24" s="1045"/>
    </row>
    <row r="25" spans="1:22">
      <c r="A25" s="1046">
        <v>8</v>
      </c>
      <c r="B25" s="1045"/>
      <c r="C25" s="1046">
        <v>426100</v>
      </c>
      <c r="D25" s="1046"/>
      <c r="E25" s="1047" t="s">
        <v>2555</v>
      </c>
      <c r="F25" s="1045"/>
      <c r="G25" s="1891">
        <v>148</v>
      </c>
      <c r="H25" s="1892"/>
      <c r="I25" s="1030">
        <f t="shared" si="0"/>
        <v>100</v>
      </c>
      <c r="J25" s="1042"/>
      <c r="K25" s="1893">
        <f t="shared" si="1"/>
        <v>148</v>
      </c>
      <c r="L25" s="2027"/>
      <c r="M25" s="1891">
        <v>0</v>
      </c>
      <c r="N25" s="1892"/>
      <c r="O25" s="1030">
        <f t="shared" si="2"/>
        <v>100</v>
      </c>
      <c r="P25" s="1042"/>
      <c r="Q25" s="1893">
        <f t="shared" si="3"/>
        <v>0</v>
      </c>
      <c r="R25" s="1045"/>
      <c r="S25" s="1045"/>
      <c r="T25" s="1045"/>
      <c r="U25" s="1045"/>
      <c r="V25" s="1045"/>
    </row>
    <row r="26" spans="1:22">
      <c r="A26" s="1046">
        <v>9</v>
      </c>
      <c r="B26" s="1045"/>
      <c r="C26" s="1046">
        <v>426100</v>
      </c>
      <c r="D26" s="1046"/>
      <c r="E26" s="1047" t="s">
        <v>2556</v>
      </c>
      <c r="F26" s="1045"/>
      <c r="G26" s="1891">
        <v>29500</v>
      </c>
      <c r="H26" s="1892"/>
      <c r="I26" s="1030">
        <f t="shared" si="0"/>
        <v>100</v>
      </c>
      <c r="J26" s="1042"/>
      <c r="K26" s="1893">
        <f t="shared" si="1"/>
        <v>29500</v>
      </c>
      <c r="L26" s="2027"/>
      <c r="M26" s="1891">
        <v>0</v>
      </c>
      <c r="N26" s="1892"/>
      <c r="O26" s="1030">
        <f t="shared" si="2"/>
        <v>100</v>
      </c>
      <c r="P26" s="1042"/>
      <c r="Q26" s="1893">
        <f t="shared" si="3"/>
        <v>0</v>
      </c>
      <c r="R26" s="1045"/>
      <c r="S26" s="1045"/>
      <c r="T26" s="1045"/>
      <c r="U26" s="1045"/>
      <c r="V26" s="1045"/>
    </row>
    <row r="27" spans="1:22">
      <c r="A27" s="1882">
        <v>10</v>
      </c>
      <c r="B27" s="1045"/>
      <c r="C27" s="1046">
        <v>426100</v>
      </c>
      <c r="D27" s="1046"/>
      <c r="E27" s="1047" t="s">
        <v>2573</v>
      </c>
      <c r="F27" s="1045"/>
      <c r="G27" s="1891">
        <v>148</v>
      </c>
      <c r="H27" s="1892"/>
      <c r="I27" s="1030">
        <f t="shared" si="0"/>
        <v>100</v>
      </c>
      <c r="J27" s="1042"/>
      <c r="K27" s="1893">
        <f t="shared" si="1"/>
        <v>148</v>
      </c>
      <c r="L27" s="2027"/>
      <c r="M27" s="1891">
        <v>0</v>
      </c>
      <c r="N27" s="1892"/>
      <c r="O27" s="1030">
        <f t="shared" si="2"/>
        <v>100</v>
      </c>
      <c r="P27" s="1042"/>
      <c r="Q27" s="1893">
        <f t="shared" si="3"/>
        <v>0</v>
      </c>
      <c r="R27" s="1045"/>
      <c r="S27" s="1045"/>
      <c r="T27" s="1045"/>
      <c r="U27" s="1045"/>
      <c r="V27" s="1045"/>
    </row>
    <row r="28" spans="1:22">
      <c r="A28" s="1882">
        <v>11</v>
      </c>
      <c r="B28" s="1045"/>
      <c r="C28" s="1046">
        <v>426100</v>
      </c>
      <c r="D28" s="1046"/>
      <c r="E28" s="1047" t="s">
        <v>2981</v>
      </c>
      <c r="F28" s="1045"/>
      <c r="G28" s="1891">
        <v>155</v>
      </c>
      <c r="H28" s="1892"/>
      <c r="I28" s="1030">
        <f t="shared" si="0"/>
        <v>100</v>
      </c>
      <c r="J28" s="1042"/>
      <c r="K28" s="1893">
        <f t="shared" si="1"/>
        <v>155</v>
      </c>
      <c r="L28" s="2027"/>
      <c r="M28" s="1891">
        <v>0</v>
      </c>
      <c r="N28" s="1892"/>
      <c r="O28" s="1030">
        <f t="shared" si="2"/>
        <v>100</v>
      </c>
      <c r="P28" s="1042"/>
      <c r="Q28" s="1893">
        <f t="shared" si="3"/>
        <v>0</v>
      </c>
      <c r="R28" s="1045"/>
      <c r="S28" s="1045"/>
      <c r="T28" s="1045"/>
      <c r="U28" s="1045"/>
      <c r="V28" s="1045"/>
    </row>
    <row r="29" spans="1:22">
      <c r="A29" s="1046">
        <v>12</v>
      </c>
      <c r="B29" s="1045"/>
      <c r="C29" s="1046">
        <v>426100</v>
      </c>
      <c r="D29" s="1046"/>
      <c r="E29" s="1047" t="s">
        <v>2982</v>
      </c>
      <c r="F29" s="1045"/>
      <c r="G29" s="1891">
        <v>59543</v>
      </c>
      <c r="H29" s="1892"/>
      <c r="I29" s="1030">
        <f t="shared" si="0"/>
        <v>100</v>
      </c>
      <c r="J29" s="1042"/>
      <c r="K29" s="1893">
        <f t="shared" ref="K29" si="4">ROUND(G29*(I29/100),2)</f>
        <v>59543</v>
      </c>
      <c r="L29" s="2027"/>
      <c r="M29" s="1891">
        <v>0</v>
      </c>
      <c r="N29" s="1892"/>
      <c r="O29" s="1030">
        <f t="shared" si="2"/>
        <v>100</v>
      </c>
      <c r="P29" s="1042"/>
      <c r="Q29" s="1893">
        <f t="shared" ref="Q29" si="5">ROUND(M29*(O29/100),2)</f>
        <v>0</v>
      </c>
      <c r="R29" s="1045"/>
      <c r="S29" s="1045"/>
      <c r="T29" s="1045"/>
      <c r="U29" s="1045"/>
      <c r="V29" s="1045"/>
    </row>
    <row r="30" spans="1:22">
      <c r="A30" s="1046">
        <v>13</v>
      </c>
      <c r="B30" s="1045"/>
      <c r="C30" s="1046">
        <v>426100</v>
      </c>
      <c r="D30" s="1046"/>
      <c r="E30" s="1047" t="s">
        <v>1568</v>
      </c>
      <c r="F30" s="1045"/>
      <c r="G30" s="1891">
        <v>354</v>
      </c>
      <c r="H30" s="1892"/>
      <c r="I30" s="1030">
        <f t="shared" si="0"/>
        <v>100</v>
      </c>
      <c r="J30" s="1042"/>
      <c r="K30" s="1893">
        <f t="shared" si="1"/>
        <v>354</v>
      </c>
      <c r="L30" s="2027"/>
      <c r="M30" s="1891">
        <v>0</v>
      </c>
      <c r="N30" s="1892"/>
      <c r="O30" s="1030">
        <f t="shared" si="2"/>
        <v>100</v>
      </c>
      <c r="P30" s="1042"/>
      <c r="Q30" s="1893">
        <f t="shared" si="3"/>
        <v>0</v>
      </c>
      <c r="R30" s="1045"/>
      <c r="S30" s="1045"/>
      <c r="T30" s="1045"/>
      <c r="U30" s="1045"/>
      <c r="V30" s="1045"/>
    </row>
    <row r="31" spans="1:22">
      <c r="A31" s="1882">
        <v>14</v>
      </c>
      <c r="B31" s="1045"/>
      <c r="C31" s="1046">
        <v>426100</v>
      </c>
      <c r="D31" s="1046"/>
      <c r="E31" s="1047" t="s">
        <v>2989</v>
      </c>
      <c r="F31" s="1045"/>
      <c r="G31" s="1891">
        <v>885</v>
      </c>
      <c r="H31" s="1892"/>
      <c r="I31" s="1030">
        <f t="shared" si="0"/>
        <v>100</v>
      </c>
      <c r="J31" s="1042"/>
      <c r="K31" s="1893">
        <f t="shared" ref="K31" si="6">ROUND(G31*(I31/100),2)</f>
        <v>885</v>
      </c>
      <c r="L31" s="2027"/>
      <c r="M31" s="1891">
        <v>0</v>
      </c>
      <c r="N31" s="1892"/>
      <c r="O31" s="1030">
        <f t="shared" si="2"/>
        <v>100</v>
      </c>
      <c r="P31" s="1042"/>
      <c r="Q31" s="1893">
        <f t="shared" ref="Q31" si="7">ROUND(M31*(O31/100),2)</f>
        <v>0</v>
      </c>
      <c r="R31" s="1045"/>
      <c r="S31" s="1045"/>
      <c r="T31" s="1045"/>
      <c r="U31" s="1045"/>
      <c r="V31" s="1045"/>
    </row>
    <row r="32" spans="1:22">
      <c r="A32" s="1882">
        <v>15</v>
      </c>
      <c r="B32" s="1045"/>
      <c r="C32" s="1046">
        <v>426100</v>
      </c>
      <c r="D32" s="1046"/>
      <c r="E32" s="1047" t="s">
        <v>2567</v>
      </c>
      <c r="F32" s="1045"/>
      <c r="G32" s="1891">
        <v>148</v>
      </c>
      <c r="H32" s="1892"/>
      <c r="I32" s="1030">
        <f t="shared" si="0"/>
        <v>100</v>
      </c>
      <c r="J32" s="1042"/>
      <c r="K32" s="1893">
        <f t="shared" si="1"/>
        <v>148</v>
      </c>
      <c r="L32" s="2027"/>
      <c r="M32" s="1891">
        <v>0</v>
      </c>
      <c r="N32" s="1892"/>
      <c r="O32" s="1030">
        <f t="shared" si="2"/>
        <v>100</v>
      </c>
      <c r="P32" s="1042"/>
      <c r="Q32" s="1893">
        <f t="shared" si="3"/>
        <v>0</v>
      </c>
      <c r="R32" s="1045"/>
      <c r="S32" s="1045"/>
      <c r="T32" s="1045"/>
      <c r="U32" s="1045"/>
      <c r="V32" s="1045"/>
    </row>
    <row r="33" spans="1:22">
      <c r="A33" s="1046">
        <v>16</v>
      </c>
      <c r="B33" s="1045"/>
      <c r="C33" s="1046">
        <v>426100</v>
      </c>
      <c r="D33" s="1046"/>
      <c r="E33" s="1047" t="s">
        <v>2988</v>
      </c>
      <c r="F33" s="1045"/>
      <c r="G33" s="1891">
        <v>11800</v>
      </c>
      <c r="H33" s="1892"/>
      <c r="I33" s="1030">
        <f t="shared" si="0"/>
        <v>100</v>
      </c>
      <c r="J33" s="1042"/>
      <c r="K33" s="1893">
        <f t="shared" ref="K33" si="8">ROUND(G33*(I33/100),2)</f>
        <v>11800</v>
      </c>
      <c r="L33" s="2027"/>
      <c r="M33" s="1891">
        <v>0</v>
      </c>
      <c r="N33" s="1892"/>
      <c r="O33" s="1030">
        <f t="shared" si="2"/>
        <v>100</v>
      </c>
      <c r="P33" s="1042"/>
      <c r="Q33" s="1893">
        <f t="shared" ref="Q33" si="9">ROUND(M33*(O33/100),2)</f>
        <v>0</v>
      </c>
      <c r="R33" s="1045"/>
      <c r="S33" s="1045"/>
      <c r="T33" s="1045"/>
      <c r="U33" s="1045"/>
      <c r="V33" s="1045"/>
    </row>
    <row r="34" spans="1:22">
      <c r="A34" s="1046">
        <v>17</v>
      </c>
      <c r="B34" s="1045"/>
      <c r="C34" s="1046">
        <v>426100</v>
      </c>
      <c r="D34" s="1046"/>
      <c r="E34" s="1047" t="s">
        <v>2987</v>
      </c>
      <c r="F34" s="1045"/>
      <c r="G34" s="1891">
        <v>2006</v>
      </c>
      <c r="H34" s="1892"/>
      <c r="I34" s="1030">
        <f t="shared" si="0"/>
        <v>100</v>
      </c>
      <c r="J34" s="1042"/>
      <c r="K34" s="1893">
        <f t="shared" ref="K34" si="10">ROUND(G34*(I34/100),2)</f>
        <v>2006</v>
      </c>
      <c r="L34" s="2027"/>
      <c r="M34" s="1891">
        <v>0</v>
      </c>
      <c r="N34" s="1892"/>
      <c r="O34" s="1030">
        <f t="shared" si="2"/>
        <v>100</v>
      </c>
      <c r="P34" s="1042"/>
      <c r="Q34" s="1893">
        <f t="shared" ref="Q34" si="11">ROUND(M34*(O34/100),2)</f>
        <v>0</v>
      </c>
      <c r="R34" s="1045"/>
      <c r="S34" s="1045"/>
      <c r="T34" s="1045"/>
      <c r="U34" s="1045"/>
      <c r="V34" s="1045"/>
    </row>
    <row r="35" spans="1:22">
      <c r="A35" s="1882">
        <v>18</v>
      </c>
      <c r="B35" s="1045"/>
      <c r="C35" s="1046">
        <v>426100</v>
      </c>
      <c r="D35" s="1046"/>
      <c r="E35" s="1047" t="s">
        <v>2557</v>
      </c>
      <c r="F35" s="1045"/>
      <c r="G35" s="1891">
        <v>27</v>
      </c>
      <c r="H35" s="1892"/>
      <c r="I35" s="1030">
        <f t="shared" si="0"/>
        <v>100</v>
      </c>
      <c r="J35" s="1042"/>
      <c r="K35" s="1893">
        <f>ROUND(G35*(I35/100),2)</f>
        <v>27</v>
      </c>
      <c r="L35" s="2027"/>
      <c r="M35" s="1891">
        <v>0</v>
      </c>
      <c r="N35" s="1892"/>
      <c r="O35" s="1030">
        <f t="shared" si="2"/>
        <v>100</v>
      </c>
      <c r="P35" s="1042"/>
      <c r="Q35" s="1893">
        <f>ROUND(M35*(O35/100),2)</f>
        <v>0</v>
      </c>
      <c r="R35" s="1045"/>
      <c r="S35" s="1045"/>
      <c r="T35" s="1045"/>
      <c r="U35" s="1045"/>
      <c r="V35" s="1045"/>
    </row>
    <row r="36" spans="1:22">
      <c r="A36" s="1882">
        <v>19</v>
      </c>
      <c r="B36" s="1045"/>
      <c r="C36" s="1046">
        <v>426100</v>
      </c>
      <c r="D36" s="1046"/>
      <c r="E36" s="1047" t="s">
        <v>2896</v>
      </c>
      <c r="F36" s="1045"/>
      <c r="G36" s="1891">
        <v>295</v>
      </c>
      <c r="H36" s="1892"/>
      <c r="I36" s="1030">
        <f t="shared" si="0"/>
        <v>100</v>
      </c>
      <c r="J36" s="1042"/>
      <c r="K36" s="1893">
        <f t="shared" ref="K36" si="12">ROUND(G36*(I36/100),2)</f>
        <v>295</v>
      </c>
      <c r="L36" s="2027"/>
      <c r="M36" s="1891">
        <v>0</v>
      </c>
      <c r="N36" s="1892"/>
      <c r="O36" s="1030">
        <f t="shared" si="2"/>
        <v>100</v>
      </c>
      <c r="P36" s="1042"/>
      <c r="Q36" s="1893">
        <f t="shared" ref="Q36" si="13">ROUND(M36*(O36/100),2)</f>
        <v>0</v>
      </c>
      <c r="R36" s="1045"/>
      <c r="S36" s="1045"/>
      <c r="T36" s="1045"/>
      <c r="U36" s="1045"/>
      <c r="V36" s="1045"/>
    </row>
    <row r="37" spans="1:22">
      <c r="A37" s="1046">
        <v>20</v>
      </c>
      <c r="B37" s="1045"/>
      <c r="C37" s="1046">
        <v>426100</v>
      </c>
      <c r="D37" s="1046"/>
      <c r="E37" s="1047" t="s">
        <v>2568</v>
      </c>
      <c r="F37" s="1045"/>
      <c r="G37" s="1891">
        <v>1062</v>
      </c>
      <c r="H37" s="1892"/>
      <c r="I37" s="1030">
        <f t="shared" si="0"/>
        <v>100</v>
      </c>
      <c r="J37" s="1042"/>
      <c r="K37" s="1893">
        <f t="shared" si="1"/>
        <v>1062</v>
      </c>
      <c r="L37" s="2027"/>
      <c r="M37" s="1891">
        <v>0</v>
      </c>
      <c r="N37" s="1892"/>
      <c r="O37" s="1030">
        <f t="shared" si="2"/>
        <v>100</v>
      </c>
      <c r="P37" s="1042"/>
      <c r="Q37" s="1893">
        <f t="shared" si="3"/>
        <v>0</v>
      </c>
      <c r="R37" s="1045"/>
      <c r="S37" s="1045"/>
      <c r="T37" s="1045"/>
      <c r="U37" s="1045"/>
      <c r="V37" s="1045"/>
    </row>
    <row r="38" spans="1:22">
      <c r="A38" s="1046">
        <v>21</v>
      </c>
      <c r="B38" s="1045"/>
      <c r="C38" s="1046">
        <v>426100</v>
      </c>
      <c r="D38" s="1046"/>
      <c r="E38" s="1047" t="s">
        <v>2978</v>
      </c>
      <c r="F38" s="1045"/>
      <c r="G38" s="1891">
        <v>1475</v>
      </c>
      <c r="H38" s="1892"/>
      <c r="I38" s="1030">
        <f t="shared" si="0"/>
        <v>100</v>
      </c>
      <c r="J38" s="1042"/>
      <c r="K38" s="1893">
        <f t="shared" ref="K38" si="14">ROUND(G38*(I38/100),2)</f>
        <v>1475</v>
      </c>
      <c r="L38" s="2027"/>
      <c r="M38" s="1891">
        <v>0</v>
      </c>
      <c r="N38" s="1892"/>
      <c r="O38" s="1030">
        <f t="shared" si="2"/>
        <v>100</v>
      </c>
      <c r="P38" s="1042"/>
      <c r="Q38" s="1893">
        <f t="shared" ref="Q38" si="15">ROUND(M38*(O38/100),2)</f>
        <v>0</v>
      </c>
      <c r="R38" s="1045"/>
      <c r="S38" s="1045"/>
      <c r="T38" s="1045"/>
      <c r="U38" s="1045"/>
      <c r="V38" s="1045"/>
    </row>
    <row r="39" spans="1:22">
      <c r="A39" s="1882">
        <v>22</v>
      </c>
      <c r="B39" s="1045"/>
      <c r="C39" s="1046">
        <v>426100</v>
      </c>
      <c r="D39" s="1046"/>
      <c r="E39" s="1047" t="s">
        <v>2986</v>
      </c>
      <c r="F39" s="1045"/>
      <c r="G39" s="1891">
        <v>443</v>
      </c>
      <c r="H39" s="1892"/>
      <c r="I39" s="1030">
        <f t="shared" si="0"/>
        <v>100</v>
      </c>
      <c r="J39" s="1042"/>
      <c r="K39" s="1893">
        <f t="shared" ref="K39" si="16">ROUND(G39*(I39/100),2)</f>
        <v>443</v>
      </c>
      <c r="L39" s="2027"/>
      <c r="M39" s="1891">
        <v>0</v>
      </c>
      <c r="N39" s="1892"/>
      <c r="O39" s="1030">
        <f t="shared" si="2"/>
        <v>100</v>
      </c>
      <c r="P39" s="1042"/>
      <c r="Q39" s="1893">
        <f t="shared" ref="Q39" si="17">ROUND(M39*(O39/100),2)</f>
        <v>0</v>
      </c>
      <c r="R39" s="1045"/>
      <c r="S39" s="1045"/>
      <c r="T39" s="1045"/>
      <c r="U39" s="1045"/>
      <c r="V39" s="1045"/>
    </row>
    <row r="40" spans="1:22">
      <c r="A40" s="1882">
        <v>23</v>
      </c>
      <c r="B40" s="1045"/>
      <c r="C40" s="1046">
        <v>426100</v>
      </c>
      <c r="D40" s="1046"/>
      <c r="E40" s="1047" t="s">
        <v>2985</v>
      </c>
      <c r="F40" s="1045"/>
      <c r="G40" s="1891">
        <v>369</v>
      </c>
      <c r="H40" s="1892"/>
      <c r="I40" s="1030">
        <f t="shared" si="0"/>
        <v>100</v>
      </c>
      <c r="J40" s="1042"/>
      <c r="K40" s="1893">
        <f t="shared" ref="K40" si="18">ROUND(G40*(I40/100),2)</f>
        <v>369</v>
      </c>
      <c r="L40" s="2027"/>
      <c r="M40" s="1891">
        <v>0</v>
      </c>
      <c r="N40" s="1892"/>
      <c r="O40" s="1030">
        <f t="shared" si="2"/>
        <v>100</v>
      </c>
      <c r="P40" s="1042"/>
      <c r="Q40" s="1893">
        <f t="shared" ref="Q40" si="19">ROUND(M40*(O40/100),2)</f>
        <v>0</v>
      </c>
      <c r="R40" s="1045"/>
      <c r="S40" s="1045"/>
      <c r="T40" s="1045"/>
      <c r="U40" s="1045"/>
      <c r="V40" s="1045"/>
    </row>
    <row r="41" spans="1:22">
      <c r="A41" s="1046">
        <v>24</v>
      </c>
      <c r="B41" s="1045"/>
      <c r="C41" s="1046">
        <v>426100</v>
      </c>
      <c r="D41" s="1046"/>
      <c r="E41" s="1047" t="s">
        <v>2897</v>
      </c>
      <c r="F41" s="1045"/>
      <c r="G41" s="1891">
        <v>2065</v>
      </c>
      <c r="H41" s="1892"/>
      <c r="I41" s="1030">
        <f t="shared" si="0"/>
        <v>100</v>
      </c>
      <c r="J41" s="1042"/>
      <c r="K41" s="1893">
        <f t="shared" ref="K41" si="20">ROUND(G41*(I41/100),2)</f>
        <v>2065</v>
      </c>
      <c r="L41" s="2027"/>
      <c r="M41" s="1891">
        <v>0</v>
      </c>
      <c r="N41" s="1892"/>
      <c r="O41" s="1030">
        <f t="shared" si="2"/>
        <v>100</v>
      </c>
      <c r="P41" s="1042"/>
      <c r="Q41" s="1893">
        <f t="shared" ref="Q41" si="21">ROUND(M41*(O41/100),2)</f>
        <v>0</v>
      </c>
      <c r="R41" s="1045"/>
      <c r="S41" s="1045"/>
      <c r="T41" s="1045"/>
      <c r="U41" s="1045"/>
      <c r="V41" s="1045"/>
    </row>
    <row r="42" spans="1:22">
      <c r="A42" s="1046">
        <v>25</v>
      </c>
      <c r="B42" s="1045"/>
      <c r="C42" s="1046">
        <v>426100</v>
      </c>
      <c r="D42" s="1046"/>
      <c r="E42" s="1047" t="s">
        <v>2558</v>
      </c>
      <c r="F42" s="1045"/>
      <c r="G42" s="1891">
        <v>148</v>
      </c>
      <c r="H42" s="1892"/>
      <c r="I42" s="1030">
        <f t="shared" si="0"/>
        <v>100</v>
      </c>
      <c r="J42" s="1042"/>
      <c r="K42" s="1893">
        <f t="shared" si="1"/>
        <v>148</v>
      </c>
      <c r="L42" s="2027"/>
      <c r="M42" s="1891">
        <v>0</v>
      </c>
      <c r="N42" s="1892"/>
      <c r="O42" s="1030">
        <f t="shared" si="2"/>
        <v>100</v>
      </c>
      <c r="P42" s="1042"/>
      <c r="Q42" s="1893">
        <f t="shared" si="3"/>
        <v>0</v>
      </c>
      <c r="R42" s="1045"/>
      <c r="S42" s="1045"/>
      <c r="T42" s="1045"/>
      <c r="U42" s="1045"/>
      <c r="V42" s="1045"/>
    </row>
    <row r="43" spans="1:22">
      <c r="A43" s="1882">
        <v>26</v>
      </c>
      <c r="B43" s="1045"/>
      <c r="C43" s="1046">
        <v>426100</v>
      </c>
      <c r="D43" s="1046"/>
      <c r="E43" s="1047" t="s">
        <v>2898</v>
      </c>
      <c r="F43" s="1045"/>
      <c r="G43" s="1891">
        <v>75</v>
      </c>
      <c r="H43" s="1892"/>
      <c r="I43" s="1030">
        <f t="shared" si="0"/>
        <v>100</v>
      </c>
      <c r="J43" s="1042"/>
      <c r="K43" s="1893">
        <f t="shared" ref="K43" si="22">ROUND(G43*(I43/100),2)</f>
        <v>75</v>
      </c>
      <c r="L43" s="2027"/>
      <c r="M43" s="1891">
        <v>0</v>
      </c>
      <c r="N43" s="1892"/>
      <c r="O43" s="1030">
        <f t="shared" si="2"/>
        <v>100</v>
      </c>
      <c r="P43" s="1042"/>
      <c r="Q43" s="1893">
        <f t="shared" ref="Q43" si="23">ROUND(M43*(O43/100),2)</f>
        <v>0</v>
      </c>
      <c r="R43" s="1045"/>
      <c r="S43" s="1045"/>
      <c r="T43" s="1045"/>
      <c r="U43" s="1045"/>
      <c r="V43" s="1045"/>
    </row>
    <row r="44" spans="1:22">
      <c r="A44" s="1882">
        <v>27</v>
      </c>
      <c r="B44" s="1045"/>
      <c r="C44" s="1046">
        <v>426100</v>
      </c>
      <c r="D44" s="1046"/>
      <c r="E44" s="1047" t="s">
        <v>2903</v>
      </c>
      <c r="F44" s="1045"/>
      <c r="G44" s="1891">
        <v>100</v>
      </c>
      <c r="H44" s="1892"/>
      <c r="I44" s="1030">
        <f t="shared" si="0"/>
        <v>100</v>
      </c>
      <c r="J44" s="1042"/>
      <c r="K44" s="1893">
        <f t="shared" ref="K44" si="24">ROUND(G44*(I44/100),2)</f>
        <v>100</v>
      </c>
      <c r="L44" s="2027"/>
      <c r="M44" s="1891">
        <v>0</v>
      </c>
      <c r="N44" s="1892"/>
      <c r="O44" s="1030">
        <f t="shared" si="2"/>
        <v>100</v>
      </c>
      <c r="P44" s="1042"/>
      <c r="Q44" s="1893">
        <f t="shared" ref="Q44" si="25">ROUND(M44*(O44/100),2)</f>
        <v>0</v>
      </c>
      <c r="R44" s="1045"/>
      <c r="S44" s="1045"/>
      <c r="T44" s="1045"/>
      <c r="U44" s="1045"/>
      <c r="V44" s="1045"/>
    </row>
    <row r="45" spans="1:22">
      <c r="A45" s="1046">
        <v>28</v>
      </c>
      <c r="B45" s="1045"/>
      <c r="C45" s="1046">
        <v>426100</v>
      </c>
      <c r="D45" s="1046"/>
      <c r="E45" s="1047" t="s">
        <v>2570</v>
      </c>
      <c r="F45" s="1045"/>
      <c r="G45" s="1891">
        <v>797</v>
      </c>
      <c r="H45" s="1892"/>
      <c r="I45" s="1030">
        <f t="shared" si="0"/>
        <v>100</v>
      </c>
      <c r="J45" s="1042"/>
      <c r="K45" s="1893">
        <f t="shared" si="1"/>
        <v>797</v>
      </c>
      <c r="L45" s="2027"/>
      <c r="M45" s="1891">
        <v>0</v>
      </c>
      <c r="N45" s="1892"/>
      <c r="O45" s="1030">
        <f t="shared" si="2"/>
        <v>100</v>
      </c>
      <c r="P45" s="1042"/>
      <c r="Q45" s="1893">
        <f t="shared" si="3"/>
        <v>0</v>
      </c>
      <c r="R45" s="1045"/>
      <c r="S45" s="1045"/>
      <c r="T45" s="1045"/>
      <c r="U45" s="1045"/>
      <c r="V45" s="1045"/>
    </row>
    <row r="46" spans="1:22">
      <c r="A46" s="1046">
        <v>29</v>
      </c>
      <c r="B46" s="1045"/>
      <c r="C46" s="1046">
        <v>426100</v>
      </c>
      <c r="D46" s="1046"/>
      <c r="E46" s="1047" t="s">
        <v>2559</v>
      </c>
      <c r="F46" s="1045"/>
      <c r="G46" s="1891">
        <v>3377</v>
      </c>
      <c r="H46" s="1892"/>
      <c r="I46" s="1030">
        <f t="shared" si="0"/>
        <v>100</v>
      </c>
      <c r="J46" s="1042"/>
      <c r="K46" s="1893">
        <f t="shared" si="1"/>
        <v>3377</v>
      </c>
      <c r="L46" s="2027"/>
      <c r="M46" s="1891">
        <v>0</v>
      </c>
      <c r="N46" s="1892"/>
      <c r="O46" s="1030">
        <f t="shared" si="2"/>
        <v>100</v>
      </c>
      <c r="P46" s="1042"/>
      <c r="Q46" s="1893">
        <f t="shared" si="3"/>
        <v>0</v>
      </c>
      <c r="R46" s="1045"/>
      <c r="S46" s="1045"/>
      <c r="T46" s="1045"/>
      <c r="U46" s="1045"/>
      <c r="V46" s="1045"/>
    </row>
    <row r="47" spans="1:22">
      <c r="A47" s="1882">
        <v>30</v>
      </c>
      <c r="B47" s="1045"/>
      <c r="C47" s="1046">
        <v>426100</v>
      </c>
      <c r="D47" s="1046"/>
      <c r="E47" s="1047" t="s">
        <v>2984</v>
      </c>
      <c r="F47" s="1045"/>
      <c r="G47" s="1891">
        <v>590</v>
      </c>
      <c r="H47" s="1892"/>
      <c r="I47" s="1030">
        <f t="shared" si="0"/>
        <v>100</v>
      </c>
      <c r="J47" s="1042"/>
      <c r="K47" s="1893">
        <f t="shared" ref="K47" si="26">ROUND(G47*(I47/100),2)</f>
        <v>590</v>
      </c>
      <c r="L47" s="2027"/>
      <c r="M47" s="1891">
        <v>0</v>
      </c>
      <c r="N47" s="1892"/>
      <c r="O47" s="1030">
        <f t="shared" si="2"/>
        <v>100</v>
      </c>
      <c r="P47" s="1042"/>
      <c r="Q47" s="1893">
        <f t="shared" ref="Q47" si="27">ROUND(M47*(O47/100),2)</f>
        <v>0</v>
      </c>
      <c r="R47" s="1045"/>
      <c r="S47" s="1045"/>
      <c r="T47" s="1045"/>
      <c r="U47" s="1045"/>
      <c r="V47" s="1045"/>
    </row>
    <row r="48" spans="1:22">
      <c r="A48" s="1882">
        <v>31</v>
      </c>
      <c r="B48" s="1045"/>
      <c r="C48" s="1046">
        <v>426512</v>
      </c>
      <c r="D48" s="1046"/>
      <c r="E48" s="1047" t="s">
        <v>2560</v>
      </c>
      <c r="F48" s="1045"/>
      <c r="G48" s="1891">
        <v>20806</v>
      </c>
      <c r="H48" s="1892"/>
      <c r="I48" s="1030">
        <f t="shared" ref="I48:I64" si="28">VLOOKUP($E$69,ALLOCTABLE,2)</f>
        <v>100</v>
      </c>
      <c r="J48" s="1042"/>
      <c r="K48" s="1893">
        <f t="shared" ref="K48" si="29">ROUND(G48*(I48/100),2)</f>
        <v>20806</v>
      </c>
      <c r="L48" s="2027"/>
      <c r="M48" s="1891">
        <v>0</v>
      </c>
      <c r="N48" s="1892"/>
      <c r="O48" s="1030">
        <f t="shared" ref="O48:O64" si="30">VLOOKUP($E$69,ALLOCTABLE,2)</f>
        <v>100</v>
      </c>
      <c r="P48" s="1042"/>
      <c r="Q48" s="1893">
        <f t="shared" ref="Q48" si="31">ROUND(M48*(O48/100),2)</f>
        <v>0</v>
      </c>
      <c r="R48" s="1045"/>
      <c r="S48" s="1045"/>
      <c r="T48" s="1045"/>
      <c r="U48" s="1045"/>
      <c r="V48" s="1045"/>
    </row>
    <row r="49" spans="1:22">
      <c r="A49" s="1046">
        <v>32</v>
      </c>
      <c r="B49" s="1045"/>
      <c r="C49" s="1046">
        <v>426100</v>
      </c>
      <c r="D49" s="1046"/>
      <c r="E49" s="1047" t="s">
        <v>2899</v>
      </c>
      <c r="F49" s="1045"/>
      <c r="G49" s="1891">
        <v>5900</v>
      </c>
      <c r="H49" s="1892"/>
      <c r="I49" s="1030">
        <f t="shared" si="28"/>
        <v>100</v>
      </c>
      <c r="J49" s="1042"/>
      <c r="K49" s="1893">
        <f t="shared" si="1"/>
        <v>5900</v>
      </c>
      <c r="L49" s="2027"/>
      <c r="M49" s="1891">
        <v>0</v>
      </c>
      <c r="N49" s="1892"/>
      <c r="O49" s="1030">
        <f t="shared" si="30"/>
        <v>100</v>
      </c>
      <c r="P49" s="1042"/>
      <c r="Q49" s="1893">
        <f t="shared" si="3"/>
        <v>0</v>
      </c>
      <c r="R49" s="1045"/>
      <c r="S49" s="1045"/>
      <c r="T49" s="1045"/>
      <c r="U49" s="1045"/>
      <c r="V49" s="1045"/>
    </row>
    <row r="50" spans="1:22">
      <c r="A50" s="1046">
        <v>33</v>
      </c>
      <c r="B50" s="1045"/>
      <c r="C50" s="1046">
        <v>426100</v>
      </c>
      <c r="D50" s="1046"/>
      <c r="E50" s="1047" t="s">
        <v>2900</v>
      </c>
      <c r="F50" s="1045"/>
      <c r="G50" s="1891">
        <v>2950</v>
      </c>
      <c r="H50" s="1892"/>
      <c r="I50" s="1030">
        <f t="shared" si="28"/>
        <v>100</v>
      </c>
      <c r="J50" s="1042"/>
      <c r="K50" s="1893">
        <f t="shared" ref="K50" si="32">ROUND(G50*(I50/100),2)</f>
        <v>2950</v>
      </c>
      <c r="L50" s="2027"/>
      <c r="M50" s="1891">
        <v>0</v>
      </c>
      <c r="N50" s="1892"/>
      <c r="O50" s="1030">
        <f t="shared" si="30"/>
        <v>100</v>
      </c>
      <c r="P50" s="1042"/>
      <c r="Q50" s="1893">
        <f t="shared" ref="Q50" si="33">ROUND(M50*(O50/100),2)</f>
        <v>0</v>
      </c>
      <c r="R50" s="1045"/>
      <c r="S50" s="1045"/>
      <c r="T50" s="1045"/>
      <c r="U50" s="1045"/>
      <c r="V50" s="1045"/>
    </row>
    <row r="51" spans="1:22">
      <c r="A51" s="1882">
        <v>34</v>
      </c>
      <c r="B51" s="1045"/>
      <c r="C51" s="1046">
        <v>426100</v>
      </c>
      <c r="D51" s="1046"/>
      <c r="E51" s="1047" t="s">
        <v>2561</v>
      </c>
      <c r="F51" s="1045"/>
      <c r="G51" s="1891">
        <v>885</v>
      </c>
      <c r="H51" s="1892"/>
      <c r="I51" s="1030">
        <f t="shared" si="28"/>
        <v>100</v>
      </c>
      <c r="J51" s="1042"/>
      <c r="K51" s="1893">
        <f t="shared" si="1"/>
        <v>885</v>
      </c>
      <c r="L51" s="2027"/>
      <c r="M51" s="1891">
        <v>0</v>
      </c>
      <c r="N51" s="1892"/>
      <c r="O51" s="1030">
        <f t="shared" si="30"/>
        <v>100</v>
      </c>
      <c r="P51" s="1042"/>
      <c r="Q51" s="1893">
        <f t="shared" si="3"/>
        <v>0</v>
      </c>
      <c r="R51" s="1045"/>
      <c r="S51" s="1045"/>
      <c r="T51" s="1045"/>
      <c r="U51" s="1045"/>
      <c r="V51" s="1045"/>
    </row>
    <row r="52" spans="1:22">
      <c r="A52" s="1882">
        <v>35</v>
      </c>
      <c r="B52" s="1045"/>
      <c r="C52" s="1046">
        <v>426100</v>
      </c>
      <c r="D52" s="1046"/>
      <c r="E52" s="1047" t="s">
        <v>2901</v>
      </c>
      <c r="F52" s="1045"/>
      <c r="G52" s="1891">
        <v>1000</v>
      </c>
      <c r="H52" s="1892"/>
      <c r="I52" s="1030">
        <f t="shared" si="28"/>
        <v>100</v>
      </c>
      <c r="J52" s="1042"/>
      <c r="K52" s="1893">
        <f t="shared" ref="K52" si="34">ROUND(G52*(I52/100),2)</f>
        <v>1000</v>
      </c>
      <c r="L52" s="2027"/>
      <c r="M52" s="1891">
        <v>0</v>
      </c>
      <c r="N52" s="1892"/>
      <c r="O52" s="1030">
        <f t="shared" si="30"/>
        <v>100</v>
      </c>
      <c r="P52" s="1042"/>
      <c r="Q52" s="1893">
        <f t="shared" ref="Q52" si="35">ROUND(M52*(O52/100),2)</f>
        <v>0</v>
      </c>
      <c r="R52" s="1045"/>
      <c r="S52" s="1045"/>
      <c r="T52" s="1045"/>
      <c r="U52" s="1045"/>
      <c r="V52" s="1045"/>
    </row>
    <row r="53" spans="1:22">
      <c r="A53" s="1046">
        <v>36</v>
      </c>
      <c r="B53" s="1045"/>
      <c r="C53" s="1046">
        <v>426100</v>
      </c>
      <c r="D53" s="1046"/>
      <c r="E53" s="1047" t="s">
        <v>2562</v>
      </c>
      <c r="F53" s="1045"/>
      <c r="G53" s="1891">
        <v>541</v>
      </c>
      <c r="H53" s="1892"/>
      <c r="I53" s="1030">
        <f t="shared" si="28"/>
        <v>100</v>
      </c>
      <c r="J53" s="1042"/>
      <c r="K53" s="1893">
        <f t="shared" si="1"/>
        <v>541</v>
      </c>
      <c r="L53" s="2027"/>
      <c r="M53" s="1891">
        <v>0</v>
      </c>
      <c r="N53" s="1892"/>
      <c r="O53" s="1030">
        <f t="shared" si="30"/>
        <v>100</v>
      </c>
      <c r="P53" s="1042"/>
      <c r="Q53" s="1893">
        <f t="shared" si="3"/>
        <v>0</v>
      </c>
      <c r="R53" s="1045"/>
      <c r="S53" s="1045"/>
      <c r="T53" s="1045"/>
      <c r="U53" s="1045"/>
      <c r="V53" s="1045"/>
    </row>
    <row r="54" spans="1:22">
      <c r="A54" s="1046">
        <v>37</v>
      </c>
      <c r="B54" s="1045"/>
      <c r="C54" s="1046">
        <v>426100</v>
      </c>
      <c r="D54" s="1046"/>
      <c r="E54" s="1047" t="s">
        <v>2563</v>
      </c>
      <c r="F54" s="1045"/>
      <c r="G54" s="1891">
        <v>148</v>
      </c>
      <c r="H54" s="1892"/>
      <c r="I54" s="1030">
        <f t="shared" si="28"/>
        <v>100</v>
      </c>
      <c r="J54" s="1042"/>
      <c r="K54" s="1893">
        <f t="shared" si="1"/>
        <v>148</v>
      </c>
      <c r="L54" s="2027"/>
      <c r="M54" s="1891">
        <v>0</v>
      </c>
      <c r="N54" s="1892"/>
      <c r="O54" s="1030">
        <f t="shared" si="30"/>
        <v>100</v>
      </c>
      <c r="P54" s="1042"/>
      <c r="Q54" s="1893">
        <f t="shared" si="3"/>
        <v>0</v>
      </c>
      <c r="R54" s="1045"/>
      <c r="S54" s="1045"/>
      <c r="T54" s="1045"/>
      <c r="U54" s="1045"/>
      <c r="V54" s="1045"/>
    </row>
    <row r="55" spans="1:22">
      <c r="A55" s="1882">
        <v>38</v>
      </c>
      <c r="B55" s="1045"/>
      <c r="C55" s="1046">
        <v>426100</v>
      </c>
      <c r="D55" s="1046"/>
      <c r="E55" s="1047" t="s">
        <v>2564</v>
      </c>
      <c r="F55" s="1045"/>
      <c r="G55" s="1891">
        <v>4600</v>
      </c>
      <c r="H55" s="1892"/>
      <c r="I55" s="1030">
        <f t="shared" si="28"/>
        <v>100</v>
      </c>
      <c r="J55" s="1042"/>
      <c r="K55" s="1893">
        <f t="shared" si="1"/>
        <v>4600</v>
      </c>
      <c r="L55" s="2027"/>
      <c r="M55" s="1891">
        <v>0</v>
      </c>
      <c r="N55" s="1892"/>
      <c r="O55" s="1030">
        <f t="shared" si="30"/>
        <v>100</v>
      </c>
      <c r="P55" s="1042"/>
      <c r="Q55" s="1893">
        <f t="shared" si="3"/>
        <v>0</v>
      </c>
      <c r="R55" s="1045"/>
      <c r="S55" s="1045"/>
      <c r="T55" s="1045"/>
      <c r="U55" s="1045"/>
      <c r="V55" s="1045"/>
    </row>
    <row r="56" spans="1:22">
      <c r="A56" s="1882">
        <v>39</v>
      </c>
      <c r="B56" s="1045"/>
      <c r="C56" s="1046">
        <v>426100</v>
      </c>
      <c r="D56" s="1046"/>
      <c r="E56" s="1047" t="s">
        <v>2565</v>
      </c>
      <c r="F56" s="1045"/>
      <c r="G56" s="1891">
        <v>835</v>
      </c>
      <c r="H56" s="1892"/>
      <c r="I56" s="1030">
        <f t="shared" si="28"/>
        <v>100</v>
      </c>
      <c r="J56" s="1042"/>
      <c r="K56" s="1893">
        <f t="shared" si="1"/>
        <v>835</v>
      </c>
      <c r="L56" s="2027"/>
      <c r="M56" s="1891">
        <v>0</v>
      </c>
      <c r="N56" s="1892"/>
      <c r="O56" s="1030">
        <f t="shared" si="30"/>
        <v>100</v>
      </c>
      <c r="P56" s="1042"/>
      <c r="Q56" s="1893">
        <f t="shared" si="3"/>
        <v>0</v>
      </c>
      <c r="R56" s="1045"/>
      <c r="S56" s="1045"/>
      <c r="T56" s="1045"/>
      <c r="U56" s="1045"/>
      <c r="V56" s="1045"/>
    </row>
    <row r="57" spans="1:22">
      <c r="A57" s="1046">
        <v>40</v>
      </c>
      <c r="B57" s="1045"/>
      <c r="C57" s="1046">
        <v>426100</v>
      </c>
      <c r="D57" s="1046"/>
      <c r="E57" s="1047" t="s">
        <v>2983</v>
      </c>
      <c r="F57" s="1045"/>
      <c r="G57" s="1891">
        <v>738</v>
      </c>
      <c r="H57" s="1892"/>
      <c r="I57" s="1030">
        <f t="shared" si="28"/>
        <v>100</v>
      </c>
      <c r="J57" s="1042"/>
      <c r="K57" s="1893">
        <f t="shared" ref="K57" si="36">ROUND(G57*(I57/100),2)</f>
        <v>738</v>
      </c>
      <c r="L57" s="2027"/>
      <c r="M57" s="1891">
        <v>0</v>
      </c>
      <c r="N57" s="1892"/>
      <c r="O57" s="1030">
        <f t="shared" si="30"/>
        <v>100</v>
      </c>
      <c r="P57" s="1042"/>
      <c r="Q57" s="1893">
        <f t="shared" ref="Q57" si="37">ROUND(M57*(O57/100),2)</f>
        <v>0</v>
      </c>
      <c r="R57" s="1045"/>
      <c r="S57" s="1045"/>
      <c r="T57" s="1045"/>
      <c r="U57" s="1045"/>
      <c r="V57" s="1045"/>
    </row>
    <row r="58" spans="1:22">
      <c r="A58" s="1046">
        <v>41</v>
      </c>
      <c r="B58" s="1045"/>
      <c r="C58" s="1046">
        <v>426100</v>
      </c>
      <c r="D58" s="1046"/>
      <c r="E58" s="1047" t="s">
        <v>2571</v>
      </c>
      <c r="F58" s="1045"/>
      <c r="G58" s="1891">
        <v>148</v>
      </c>
      <c r="H58" s="1892"/>
      <c r="I58" s="1030">
        <f t="shared" si="28"/>
        <v>100</v>
      </c>
      <c r="J58" s="1042"/>
      <c r="K58" s="1893">
        <f t="shared" si="1"/>
        <v>148</v>
      </c>
      <c r="L58" s="2027"/>
      <c r="M58" s="1891">
        <v>0</v>
      </c>
      <c r="N58" s="1892"/>
      <c r="O58" s="1030">
        <f t="shared" si="30"/>
        <v>100</v>
      </c>
      <c r="P58" s="1042"/>
      <c r="Q58" s="1893">
        <f t="shared" si="3"/>
        <v>0</v>
      </c>
      <c r="R58" s="1045"/>
      <c r="S58" s="1045"/>
      <c r="T58" s="1045"/>
      <c r="U58" s="1045"/>
      <c r="V58" s="1045"/>
    </row>
    <row r="59" spans="1:22">
      <c r="A59" s="1882">
        <v>42</v>
      </c>
      <c r="B59" s="1045"/>
      <c r="C59" s="1046">
        <v>426100</v>
      </c>
      <c r="D59" s="1046"/>
      <c r="E59" s="1047" t="s">
        <v>2990</v>
      </c>
      <c r="F59" s="1045"/>
      <c r="G59" s="1891">
        <v>802</v>
      </c>
      <c r="H59" s="1892"/>
      <c r="I59" s="1030">
        <f t="shared" si="28"/>
        <v>100</v>
      </c>
      <c r="J59" s="1042"/>
      <c r="K59" s="1893">
        <f t="shared" ref="K59" si="38">ROUND(G59*(I59/100),2)</f>
        <v>802</v>
      </c>
      <c r="L59" s="2027"/>
      <c r="M59" s="1891">
        <v>0</v>
      </c>
      <c r="N59" s="1892"/>
      <c r="O59" s="1030">
        <f t="shared" si="30"/>
        <v>100</v>
      </c>
      <c r="P59" s="1042"/>
      <c r="Q59" s="1893">
        <f t="shared" ref="Q59" si="39">ROUND(M59*(O59/100),2)</f>
        <v>0</v>
      </c>
      <c r="R59" s="1045"/>
      <c r="S59" s="1045"/>
      <c r="T59" s="1045"/>
      <c r="U59" s="1045"/>
      <c r="V59" s="1045"/>
    </row>
    <row r="60" spans="1:22">
      <c r="A60" s="1882">
        <v>43</v>
      </c>
      <c r="B60" s="1045"/>
      <c r="C60" s="1046">
        <v>426100</v>
      </c>
      <c r="D60" s="1046"/>
      <c r="E60" s="1047" t="s">
        <v>2569</v>
      </c>
      <c r="F60" s="1045"/>
      <c r="G60" s="1891">
        <v>9098</v>
      </c>
      <c r="H60" s="1892"/>
      <c r="I60" s="1030">
        <f t="shared" si="28"/>
        <v>100</v>
      </c>
      <c r="J60" s="1042"/>
      <c r="K60" s="1893">
        <f t="shared" si="1"/>
        <v>9098</v>
      </c>
      <c r="L60" s="2027"/>
      <c r="M60" s="1891">
        <v>0</v>
      </c>
      <c r="N60" s="1892"/>
      <c r="O60" s="1030">
        <f t="shared" si="30"/>
        <v>100</v>
      </c>
      <c r="P60" s="1042"/>
      <c r="Q60" s="1893">
        <f t="shared" si="3"/>
        <v>0</v>
      </c>
      <c r="R60" s="1045"/>
      <c r="S60" s="1045"/>
      <c r="T60" s="1045"/>
      <c r="U60" s="1045"/>
      <c r="V60" s="1045"/>
    </row>
    <row r="61" spans="1:22">
      <c r="A61" s="1046">
        <v>44</v>
      </c>
      <c r="B61" s="1045"/>
      <c r="C61" s="1046">
        <v>426100</v>
      </c>
      <c r="D61" s="1046"/>
      <c r="E61" s="1047" t="s">
        <v>2902</v>
      </c>
      <c r="F61" s="1045"/>
      <c r="G61" s="1891">
        <v>60</v>
      </c>
      <c r="H61" s="1892"/>
      <c r="I61" s="1030">
        <f t="shared" si="28"/>
        <v>100</v>
      </c>
      <c r="J61" s="1042"/>
      <c r="K61" s="1893">
        <f t="shared" ref="K61" si="40">ROUND(G61*(I61/100),2)</f>
        <v>60</v>
      </c>
      <c r="L61" s="2027"/>
      <c r="M61" s="1891">
        <v>0</v>
      </c>
      <c r="N61" s="1892"/>
      <c r="O61" s="1030">
        <f t="shared" si="30"/>
        <v>100</v>
      </c>
      <c r="P61" s="1042"/>
      <c r="Q61" s="1893">
        <f t="shared" ref="Q61" si="41">ROUND(M61*(O61/100),2)</f>
        <v>0</v>
      </c>
      <c r="R61" s="1045"/>
      <c r="S61" s="1045"/>
      <c r="T61" s="1045"/>
      <c r="U61" s="1045"/>
      <c r="V61" s="1045"/>
    </row>
    <row r="62" spans="1:22">
      <c r="A62" s="1046">
        <v>45</v>
      </c>
      <c r="B62" s="1045"/>
      <c r="C62" s="1046">
        <v>426100</v>
      </c>
      <c r="D62" s="1046"/>
      <c r="E62" s="1047" t="s">
        <v>2572</v>
      </c>
      <c r="F62" s="1045"/>
      <c r="G62" s="1891">
        <v>885</v>
      </c>
      <c r="H62" s="1892"/>
      <c r="I62" s="1030">
        <f t="shared" si="28"/>
        <v>100</v>
      </c>
      <c r="J62" s="1042"/>
      <c r="K62" s="1893">
        <f t="shared" si="1"/>
        <v>885</v>
      </c>
      <c r="L62" s="2027"/>
      <c r="M62" s="1891">
        <v>0</v>
      </c>
      <c r="N62" s="1892"/>
      <c r="O62" s="1030">
        <f t="shared" si="30"/>
        <v>100</v>
      </c>
      <c r="P62" s="1042"/>
      <c r="Q62" s="1893">
        <f t="shared" si="3"/>
        <v>0</v>
      </c>
      <c r="R62" s="1045"/>
      <c r="S62" s="1045"/>
      <c r="T62" s="1045"/>
      <c r="U62" s="1045"/>
      <c r="V62" s="1045"/>
    </row>
    <row r="63" spans="1:22">
      <c r="A63" s="1882">
        <v>46</v>
      </c>
      <c r="B63" s="1045"/>
      <c r="C63" s="1046">
        <v>426100</v>
      </c>
      <c r="D63" s="1048"/>
      <c r="E63" s="1047" t="s">
        <v>1642</v>
      </c>
      <c r="F63" s="1048"/>
      <c r="G63" s="1891">
        <f>2340+11+70+236+62+667-1079+71+413+93+68-8</f>
        <v>2944</v>
      </c>
      <c r="H63" s="1048"/>
      <c r="I63" s="1036">
        <f t="shared" si="28"/>
        <v>100</v>
      </c>
      <c r="J63" s="1032"/>
      <c r="K63" s="1893">
        <f>ROUND(G63*(I63/100),2)</f>
        <v>2944</v>
      </c>
      <c r="L63" s="2027"/>
      <c r="M63" s="1891">
        <v>0</v>
      </c>
      <c r="N63" s="1048"/>
      <c r="O63" s="1036">
        <f t="shared" si="30"/>
        <v>100</v>
      </c>
      <c r="P63" s="1032"/>
      <c r="Q63" s="1893">
        <f t="shared" ref="Q63:Q64" si="42">ROUND(M63*(O63/100),2)</f>
        <v>0</v>
      </c>
      <c r="R63" s="1048"/>
      <c r="S63" s="1048"/>
      <c r="T63" s="1048"/>
      <c r="U63" s="1048"/>
      <c r="V63" s="1048"/>
    </row>
    <row r="64" spans="1:22">
      <c r="A64" s="1882">
        <v>47</v>
      </c>
      <c r="B64" s="1045"/>
      <c r="C64" s="1046">
        <v>426100</v>
      </c>
      <c r="D64" s="1045"/>
      <c r="E64" s="46" t="s">
        <v>547</v>
      </c>
      <c r="F64" s="1045"/>
      <c r="G64" s="1895">
        <v>0</v>
      </c>
      <c r="H64" s="1045"/>
      <c r="I64" s="1030">
        <f t="shared" si="28"/>
        <v>100</v>
      </c>
      <c r="J64" s="1042"/>
      <c r="K64" s="1512">
        <f t="shared" ref="K64" si="43">ROUND(G64*(I64/100),2)</f>
        <v>0</v>
      </c>
      <c r="L64" s="1513"/>
      <c r="M64" s="1895">
        <v>189187</v>
      </c>
      <c r="N64" s="1045"/>
      <c r="O64" s="1030">
        <f t="shared" si="30"/>
        <v>100</v>
      </c>
      <c r="P64" s="1042"/>
      <c r="Q64" s="1512">
        <f t="shared" si="42"/>
        <v>189187</v>
      </c>
      <c r="R64" s="1045"/>
      <c r="S64" s="1045"/>
      <c r="T64" s="1045"/>
      <c r="U64" s="1045"/>
      <c r="V64" s="1045"/>
    </row>
    <row r="65" spans="1:22">
      <c r="A65" s="1046">
        <v>48</v>
      </c>
      <c r="B65" s="1045"/>
      <c r="C65" s="1046"/>
      <c r="D65" s="1045"/>
      <c r="E65" s="1047"/>
      <c r="F65" s="1045"/>
      <c r="G65" s="1049"/>
      <c r="H65" s="1045"/>
      <c r="I65" s="1030"/>
      <c r="J65" s="1042"/>
      <c r="K65" s="1037"/>
      <c r="L65" s="1045"/>
      <c r="M65" s="1045"/>
      <c r="N65" s="1045"/>
      <c r="O65" s="1030"/>
      <c r="P65" s="1042"/>
      <c r="Q65" s="1893"/>
      <c r="R65" s="1045"/>
      <c r="S65" s="1045"/>
      <c r="T65" s="1045"/>
      <c r="U65" s="1045"/>
      <c r="V65" s="1045"/>
    </row>
    <row r="66" spans="1:22" ht="13.5" thickBot="1">
      <c r="A66" s="1046">
        <v>49</v>
      </c>
      <c r="B66" s="1045"/>
      <c r="C66" s="1045"/>
      <c r="D66" s="1045"/>
      <c r="E66" s="1045" t="s">
        <v>546</v>
      </c>
      <c r="F66" s="1045"/>
      <c r="G66" s="1896">
        <f>SUM(G18:G64)</f>
        <v>175903</v>
      </c>
      <c r="H66" s="2027"/>
      <c r="I66" s="2027"/>
      <c r="J66" s="2027"/>
      <c r="K66" s="1896">
        <f>SUM(K18:K64)</f>
        <v>175903</v>
      </c>
      <c r="L66" s="1045"/>
      <c r="M66" s="1896">
        <f>SUM(M18:M64)</f>
        <v>189187</v>
      </c>
      <c r="N66" s="1045"/>
      <c r="O66" s="1897"/>
      <c r="P66" s="1048"/>
      <c r="Q66" s="1896">
        <f>SUM(Q18:Q64)</f>
        <v>189187</v>
      </c>
      <c r="R66" s="1045"/>
      <c r="S66" s="1045"/>
      <c r="T66" s="1045"/>
      <c r="U66" s="1045"/>
      <c r="V66" s="1045"/>
    </row>
    <row r="67" spans="1:22" ht="13.5" thickTop="1">
      <c r="A67" s="1045"/>
      <c r="B67" s="1045"/>
      <c r="C67" s="1045"/>
      <c r="D67" s="1045"/>
      <c r="E67" s="1045"/>
      <c r="F67" s="1045"/>
      <c r="G67" s="1045"/>
      <c r="H67" s="1045"/>
      <c r="I67" s="1045"/>
      <c r="J67" s="1045"/>
      <c r="K67" s="1045"/>
      <c r="L67" s="1045"/>
      <c r="M67" s="1045"/>
      <c r="N67" s="1045"/>
      <c r="O67" s="1045"/>
      <c r="P67" s="1045"/>
      <c r="Q67" s="1045"/>
      <c r="R67" s="1045"/>
      <c r="S67" s="1045"/>
      <c r="T67" s="1045"/>
      <c r="U67" s="1045"/>
      <c r="V67" s="1045"/>
    </row>
    <row r="68" spans="1:22">
      <c r="A68" s="1045"/>
      <c r="B68" s="1045"/>
      <c r="C68" s="1045"/>
      <c r="D68" s="1045"/>
      <c r="E68" s="1045"/>
      <c r="F68" s="1045"/>
      <c r="G68" s="2028"/>
      <c r="H68" s="1045"/>
      <c r="I68" s="1045"/>
      <c r="J68" s="1045"/>
      <c r="K68" s="1045"/>
      <c r="L68" s="1045"/>
      <c r="M68" s="1045"/>
      <c r="N68" s="1045"/>
      <c r="O68" s="1045"/>
      <c r="P68" s="1045"/>
      <c r="Q68" s="1045"/>
      <c r="R68" s="1045"/>
      <c r="S68" s="1045"/>
      <c r="T68" s="1045"/>
      <c r="U68" s="1045"/>
      <c r="V68" s="1045"/>
    </row>
    <row r="69" spans="1:22">
      <c r="A69" s="1045"/>
      <c r="B69" s="1042" t="s">
        <v>880</v>
      </c>
      <c r="C69" s="1045"/>
      <c r="D69" s="1042"/>
      <c r="E69" s="1898" t="s">
        <v>593</v>
      </c>
      <c r="F69" s="1045"/>
      <c r="G69" s="1045"/>
      <c r="H69" s="1045"/>
      <c r="I69" s="1045"/>
      <c r="J69" s="1045"/>
      <c r="K69" s="1045"/>
      <c r="L69" s="1045"/>
      <c r="M69" s="1045"/>
      <c r="N69" s="1045"/>
      <c r="O69" s="1045"/>
      <c r="P69" s="1045"/>
      <c r="Q69" s="1045"/>
      <c r="R69" s="1045"/>
      <c r="S69" s="1045"/>
      <c r="T69" s="1045"/>
      <c r="U69" s="1045"/>
      <c r="V69" s="1045"/>
    </row>
    <row r="70" spans="1:22">
      <c r="A70" s="1045"/>
      <c r="B70" s="1877"/>
      <c r="C70" s="1045"/>
      <c r="D70" s="1045"/>
      <c r="E70" s="1045"/>
      <c r="F70" s="1045"/>
      <c r="G70" s="1045"/>
      <c r="H70" s="1045"/>
      <c r="I70" s="1045"/>
      <c r="J70" s="1045"/>
      <c r="K70" s="1045"/>
      <c r="L70" s="1045"/>
      <c r="M70" s="1045"/>
      <c r="N70" s="1045"/>
      <c r="O70" s="1045"/>
      <c r="P70" s="1045"/>
      <c r="Q70" s="1045"/>
      <c r="R70" s="1045"/>
      <c r="S70" s="1045"/>
      <c r="T70" s="1045"/>
      <c r="U70" s="1045"/>
      <c r="V70" s="1045"/>
    </row>
    <row r="71" spans="1:22">
      <c r="A71" s="1045"/>
      <c r="B71" s="1877"/>
      <c r="C71" s="1045"/>
      <c r="D71" s="1045"/>
      <c r="E71" s="1045"/>
      <c r="F71" s="1045"/>
      <c r="G71" s="1045"/>
      <c r="H71" s="1045"/>
      <c r="I71" s="1045"/>
      <c r="J71" s="1045"/>
      <c r="K71" s="1045"/>
      <c r="L71" s="1045"/>
      <c r="M71" s="1045"/>
      <c r="N71" s="1045"/>
      <c r="O71" s="1045"/>
      <c r="P71" s="1045"/>
      <c r="Q71" s="1045"/>
      <c r="R71" s="1045"/>
      <c r="S71" s="1045"/>
      <c r="T71" s="1045"/>
      <c r="U71" s="1045"/>
      <c r="V71" s="1045"/>
    </row>
    <row r="72" spans="1:22">
      <c r="A72" s="1045"/>
      <c r="B72" s="1045"/>
      <c r="C72" s="1045"/>
      <c r="D72" s="1045"/>
      <c r="E72" s="1045"/>
      <c r="F72" s="1045"/>
      <c r="G72" s="1045"/>
      <c r="H72" s="1045"/>
      <c r="I72" s="1045"/>
      <c r="J72" s="1045"/>
      <c r="K72" s="1045"/>
      <c r="L72" s="1045"/>
      <c r="M72" s="1045"/>
      <c r="N72" s="1045"/>
      <c r="O72" s="1045"/>
      <c r="P72" s="1045"/>
      <c r="Q72" s="1045"/>
      <c r="R72" s="1045"/>
      <c r="S72" s="1045"/>
      <c r="T72" s="1045"/>
      <c r="U72" s="1045"/>
      <c r="V72" s="1045"/>
    </row>
    <row r="73" spans="1:22">
      <c r="A73" s="1045"/>
      <c r="B73" s="1045"/>
      <c r="C73" s="1045"/>
      <c r="D73" s="1045"/>
      <c r="E73" s="1045"/>
      <c r="F73" s="1045"/>
      <c r="G73" s="1045"/>
      <c r="H73" s="1045"/>
      <c r="I73" s="1045"/>
      <c r="J73" s="1045"/>
      <c r="K73" s="1045"/>
      <c r="L73" s="1045"/>
      <c r="M73" s="1045"/>
      <c r="N73" s="1045"/>
      <c r="O73" s="1045"/>
      <c r="P73" s="1045"/>
      <c r="Q73" s="1045"/>
      <c r="R73" s="1045"/>
      <c r="S73" s="1045"/>
      <c r="T73" s="1045"/>
      <c r="U73" s="1045"/>
      <c r="V73" s="1045"/>
    </row>
    <row r="74" spans="1:22">
      <c r="A74" s="1045"/>
      <c r="B74" s="1045"/>
      <c r="C74" s="1045"/>
      <c r="D74" s="1045"/>
      <c r="E74" s="1045"/>
      <c r="F74" s="1045"/>
      <c r="G74" s="1045"/>
      <c r="H74" s="1045"/>
      <c r="I74" s="1045"/>
      <c r="J74" s="1045"/>
      <c r="K74" s="1045"/>
      <c r="L74" s="1045"/>
      <c r="M74" s="1045"/>
      <c r="N74" s="1045"/>
      <c r="O74" s="1045"/>
      <c r="P74" s="1045"/>
      <c r="Q74" s="1045"/>
      <c r="R74" s="1045"/>
      <c r="S74" s="1045"/>
      <c r="T74" s="1045"/>
      <c r="U74" s="1045"/>
      <c r="V74" s="1045"/>
    </row>
    <row r="75" spans="1:22">
      <c r="A75" s="1045"/>
      <c r="B75" s="1045"/>
      <c r="C75" s="1045"/>
      <c r="D75" s="1045"/>
      <c r="E75" s="1045"/>
      <c r="F75" s="1045"/>
      <c r="G75" s="1045"/>
      <c r="H75" s="1045"/>
      <c r="I75" s="1045"/>
      <c r="J75" s="1045"/>
      <c r="K75" s="1045"/>
      <c r="L75" s="1045"/>
      <c r="M75" s="1045"/>
      <c r="N75" s="1045"/>
      <c r="O75" s="1045"/>
      <c r="P75" s="1045"/>
      <c r="Q75" s="1045"/>
      <c r="R75" s="1045"/>
      <c r="S75" s="1045"/>
      <c r="T75" s="1045"/>
      <c r="U75" s="1045"/>
      <c r="V75" s="1045"/>
    </row>
    <row r="76" spans="1:22">
      <c r="A76" s="1045"/>
      <c r="B76" s="1045"/>
      <c r="C76" s="1045"/>
      <c r="D76" s="1045"/>
      <c r="E76" s="1045"/>
      <c r="F76" s="1045"/>
      <c r="G76" s="1045"/>
      <c r="H76" s="1045"/>
      <c r="I76" s="1045"/>
      <c r="J76" s="1045"/>
      <c r="K76" s="1045"/>
      <c r="L76" s="1045"/>
      <c r="M76" s="1045"/>
      <c r="N76" s="1045"/>
      <c r="O76" s="1045"/>
      <c r="P76" s="1045"/>
      <c r="Q76" s="1045"/>
      <c r="R76" s="1045"/>
      <c r="S76" s="1045"/>
      <c r="T76" s="1045"/>
      <c r="U76" s="1045"/>
      <c r="V76" s="1045"/>
    </row>
    <row r="77" spans="1:22">
      <c r="A77" s="1045"/>
      <c r="B77" s="1045"/>
      <c r="C77" s="1045"/>
      <c r="D77" s="1045"/>
      <c r="E77" s="1045"/>
      <c r="F77" s="1045"/>
      <c r="G77" s="1045"/>
      <c r="H77" s="1045"/>
      <c r="I77" s="1045"/>
      <c r="J77" s="1045"/>
      <c r="K77" s="1045"/>
      <c r="L77" s="1045"/>
      <c r="M77" s="1045"/>
      <c r="N77" s="1045"/>
      <c r="O77" s="1045"/>
      <c r="P77" s="1045"/>
      <c r="Q77" s="1045"/>
      <c r="R77" s="1045"/>
      <c r="S77" s="1045"/>
      <c r="T77" s="1045"/>
      <c r="U77" s="1045"/>
      <c r="V77" s="1045"/>
    </row>
    <row r="78" spans="1:22">
      <c r="A78" s="1045"/>
      <c r="B78" s="1045"/>
      <c r="C78" s="1045"/>
      <c r="D78" s="1045"/>
      <c r="E78" s="1045"/>
      <c r="F78" s="1045"/>
      <c r="G78" s="1045"/>
      <c r="H78" s="1045"/>
      <c r="I78" s="1045"/>
      <c r="J78" s="1045"/>
      <c r="K78" s="1045"/>
      <c r="L78" s="1045"/>
      <c r="M78" s="1045"/>
      <c r="N78" s="1045"/>
      <c r="O78" s="1045"/>
      <c r="P78" s="1045"/>
      <c r="Q78" s="1045"/>
      <c r="R78" s="1045"/>
      <c r="S78" s="1045"/>
      <c r="T78" s="1045"/>
      <c r="U78" s="1045"/>
      <c r="V78" s="1045"/>
    </row>
    <row r="79" spans="1:22">
      <c r="A79" s="1045"/>
      <c r="B79" s="1045"/>
      <c r="C79" s="1045"/>
      <c r="D79" s="1045"/>
      <c r="E79" s="1045"/>
      <c r="F79" s="1045"/>
      <c r="G79" s="1045"/>
      <c r="H79" s="1045"/>
      <c r="I79" s="1045"/>
      <c r="J79" s="1045"/>
      <c r="K79" s="1045"/>
      <c r="L79" s="1045"/>
      <c r="M79" s="1045"/>
      <c r="N79" s="1045"/>
      <c r="O79" s="1045"/>
      <c r="P79" s="1045"/>
      <c r="Q79" s="1045"/>
      <c r="R79" s="1045"/>
      <c r="S79" s="1045"/>
      <c r="T79" s="1045"/>
      <c r="U79" s="1045"/>
      <c r="V79" s="1045"/>
    </row>
    <row r="80" spans="1:22">
      <c r="A80" s="1045"/>
      <c r="B80" s="1045"/>
      <c r="C80" s="1045"/>
      <c r="D80" s="1045"/>
      <c r="E80" s="1045"/>
      <c r="F80" s="1045"/>
      <c r="G80" s="1045"/>
      <c r="H80" s="1045"/>
      <c r="I80" s="1045"/>
      <c r="J80" s="1045"/>
      <c r="K80" s="1045"/>
      <c r="L80" s="1045"/>
      <c r="M80" s="1045"/>
      <c r="N80" s="1045"/>
      <c r="O80" s="1045"/>
      <c r="P80" s="1045"/>
      <c r="Q80" s="1045"/>
      <c r="R80" s="1045"/>
      <c r="S80" s="1045"/>
      <c r="T80" s="1045"/>
      <c r="U80" s="1045"/>
      <c r="V80" s="1045"/>
    </row>
    <row r="81" spans="1:22">
      <c r="A81" s="1045"/>
      <c r="B81" s="1045"/>
      <c r="C81" s="1045"/>
      <c r="D81" s="1045"/>
      <c r="E81" s="1045"/>
      <c r="F81" s="1045"/>
      <c r="G81" s="1045"/>
      <c r="H81" s="1045"/>
      <c r="I81" s="1045"/>
      <c r="J81" s="1045"/>
      <c r="K81" s="1045"/>
      <c r="L81" s="1045"/>
      <c r="M81" s="1045"/>
      <c r="N81" s="1045"/>
      <c r="O81" s="1045"/>
      <c r="P81" s="1045"/>
      <c r="Q81" s="1045"/>
      <c r="R81" s="1045"/>
      <c r="S81" s="1045"/>
      <c r="T81" s="1045"/>
      <c r="U81" s="1045"/>
      <c r="V81" s="1045"/>
    </row>
    <row r="82" spans="1:22">
      <c r="A82" s="1045"/>
      <c r="B82" s="1045"/>
      <c r="C82" s="1045"/>
      <c r="D82" s="1045"/>
      <c r="E82" s="1045"/>
      <c r="F82" s="1045"/>
      <c r="G82" s="1045"/>
      <c r="H82" s="1045"/>
      <c r="I82" s="1045"/>
      <c r="J82" s="1045"/>
      <c r="K82" s="1045"/>
      <c r="L82" s="1045"/>
      <c r="M82" s="1045"/>
      <c r="N82" s="1045"/>
      <c r="O82" s="1045"/>
      <c r="P82" s="1045"/>
      <c r="Q82" s="1045"/>
      <c r="R82" s="1045"/>
      <c r="S82" s="1045"/>
      <c r="T82" s="1045"/>
      <c r="U82" s="1045"/>
      <c r="V82" s="1045"/>
    </row>
    <row r="83" spans="1:22">
      <c r="A83" s="1045"/>
      <c r="B83" s="1045"/>
      <c r="C83" s="1045"/>
      <c r="D83" s="1045"/>
      <c r="E83" s="1045"/>
      <c r="F83" s="1045"/>
      <c r="G83" s="1045"/>
      <c r="H83" s="1045"/>
      <c r="I83" s="1045"/>
      <c r="J83" s="1045"/>
      <c r="K83" s="1045"/>
      <c r="L83" s="1045"/>
      <c r="M83" s="1045"/>
      <c r="N83" s="1045"/>
      <c r="O83" s="1045"/>
      <c r="P83" s="1045"/>
      <c r="Q83" s="1045"/>
      <c r="R83" s="1045"/>
      <c r="S83" s="1045"/>
      <c r="T83" s="1045"/>
      <c r="U83" s="1045"/>
      <c r="V83" s="1045"/>
    </row>
    <row r="84" spans="1:22">
      <c r="A84" s="1045"/>
      <c r="B84" s="1045"/>
      <c r="C84" s="1045"/>
      <c r="D84" s="1045"/>
      <c r="E84" s="1045"/>
      <c r="F84" s="1045"/>
      <c r="G84" s="1045"/>
      <c r="H84" s="1045"/>
      <c r="I84" s="1045"/>
      <c r="J84" s="1045"/>
      <c r="K84" s="1045"/>
      <c r="L84" s="1045"/>
      <c r="M84" s="1045"/>
      <c r="N84" s="1045"/>
      <c r="O84" s="1045"/>
      <c r="P84" s="1045"/>
      <c r="Q84" s="1045"/>
      <c r="R84" s="1045"/>
      <c r="S84" s="1045"/>
      <c r="T84" s="1045"/>
      <c r="U84" s="1045"/>
      <c r="V84" s="1045"/>
    </row>
    <row r="85" spans="1:22">
      <c r="A85" s="1045"/>
      <c r="B85" s="1045"/>
      <c r="C85" s="1045"/>
      <c r="D85" s="1045"/>
      <c r="E85" s="1045"/>
      <c r="F85" s="1045"/>
      <c r="G85" s="1045"/>
      <c r="H85" s="1045"/>
      <c r="I85" s="1045"/>
      <c r="J85" s="1045"/>
      <c r="K85" s="1045"/>
      <c r="L85" s="1045"/>
      <c r="M85" s="1045"/>
      <c r="N85" s="1045"/>
      <c r="O85" s="1045"/>
      <c r="P85" s="1045"/>
      <c r="Q85" s="1045"/>
      <c r="R85" s="1045"/>
      <c r="S85" s="1045"/>
      <c r="T85" s="1045"/>
      <c r="U85" s="1045"/>
      <c r="V85" s="1045"/>
    </row>
    <row r="86" spans="1:22">
      <c r="A86" s="1045"/>
      <c r="B86" s="1045"/>
      <c r="C86" s="1045"/>
      <c r="D86" s="1045"/>
      <c r="E86" s="1045"/>
      <c r="F86" s="1045"/>
      <c r="G86" s="1045"/>
      <c r="H86" s="1045"/>
      <c r="I86" s="1045"/>
      <c r="J86" s="1045"/>
      <c r="K86" s="1045"/>
      <c r="L86" s="1045"/>
      <c r="M86" s="1045"/>
      <c r="N86" s="1045"/>
      <c r="O86" s="1045"/>
      <c r="P86" s="1045"/>
      <c r="Q86" s="1045"/>
      <c r="R86" s="1045"/>
      <c r="S86" s="1045"/>
      <c r="T86" s="1045"/>
      <c r="U86" s="1045"/>
      <c r="V86" s="1045"/>
    </row>
  </sheetData>
  <mergeCells count="2">
    <mergeCell ref="O13:Q13"/>
    <mergeCell ref="I13:K13"/>
  </mergeCells>
  <phoneticPr fontId="19" type="noConversion"/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FFC000"/>
  </sheetPr>
  <dimension ref="A1:V59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6" style="18" customWidth="1"/>
    <col min="2" max="2" width="2" style="18" customWidth="1"/>
    <col min="3" max="3" width="17.85546875" style="18" customWidth="1"/>
    <col min="4" max="4" width="2.5703125" style="18" customWidth="1"/>
    <col min="5" max="5" width="41.140625" style="18" customWidth="1"/>
    <col min="6" max="6" width="1.85546875" style="18" customWidth="1"/>
    <col min="7" max="7" width="14.5703125" style="18" customWidth="1"/>
    <col min="8" max="8" width="1.42578125" style="18" customWidth="1"/>
    <col min="9" max="9" width="14.42578125" style="18" customWidth="1"/>
    <col min="10" max="10" width="1.28515625" style="18" customWidth="1"/>
    <col min="11" max="11" width="14.5703125" style="18" customWidth="1"/>
    <col min="12" max="12" width="3" style="18" customWidth="1"/>
    <col min="13" max="13" width="16.140625" style="18" customWidth="1"/>
    <col min="14" max="14" width="1.28515625" style="18" customWidth="1"/>
    <col min="15" max="15" width="14.5703125" style="18" customWidth="1"/>
    <col min="16" max="16" width="1.85546875" style="18" customWidth="1"/>
    <col min="17" max="17" width="18.7109375" style="18" customWidth="1"/>
    <col min="18" max="16384" width="8" style="18"/>
  </cols>
  <sheetData>
    <row r="1" spans="1:22">
      <c r="A1" s="2011" t="str">
        <f>COMPANY</f>
        <v>DUKE ENERGY KENTUCKY, INC.</v>
      </c>
      <c r="B1" s="1994"/>
      <c r="C1" s="2011"/>
      <c r="D1" s="2011"/>
      <c r="E1" s="1994"/>
      <c r="F1" s="1994"/>
      <c r="G1" s="1994"/>
      <c r="H1" s="1994"/>
      <c r="I1" s="1994"/>
      <c r="J1" s="1994"/>
      <c r="K1" s="1994"/>
      <c r="L1" s="1994"/>
      <c r="M1" s="1994"/>
      <c r="N1" s="1994"/>
      <c r="O1" s="1994"/>
      <c r="P1" s="1994"/>
      <c r="Q1" s="1994"/>
      <c r="R1" s="1043"/>
      <c r="S1" s="1043"/>
      <c r="T1" s="1043"/>
      <c r="U1" s="1043"/>
      <c r="V1" s="1043"/>
    </row>
    <row r="2" spans="1:22">
      <c r="A2" s="2011" t="str">
        <f>CASE</f>
        <v>CASE NO. 2017-00321</v>
      </c>
      <c r="B2" s="1994"/>
      <c r="C2" s="1994"/>
      <c r="D2" s="1994"/>
      <c r="E2" s="1994"/>
      <c r="F2" s="1994"/>
      <c r="G2" s="1994"/>
      <c r="H2" s="1994"/>
      <c r="I2" s="1994"/>
      <c r="J2" s="1994"/>
      <c r="K2" s="1994"/>
      <c r="L2" s="1994"/>
      <c r="M2" s="1994"/>
      <c r="N2" s="1994"/>
      <c r="O2" s="1994"/>
      <c r="P2" s="1994"/>
      <c r="Q2" s="1994"/>
      <c r="R2" s="1043"/>
      <c r="S2" s="1043"/>
      <c r="T2" s="1043"/>
      <c r="U2" s="1043"/>
      <c r="V2" s="1043"/>
    </row>
    <row r="3" spans="1:22">
      <c r="A3" s="2012" t="s">
        <v>385</v>
      </c>
      <c r="B3" s="1994"/>
      <c r="C3" s="1994"/>
      <c r="D3" s="1994"/>
      <c r="E3" s="1994"/>
      <c r="F3" s="1994"/>
      <c r="G3" s="1994"/>
      <c r="H3" s="1994"/>
      <c r="I3" s="1994"/>
      <c r="J3" s="1994"/>
      <c r="K3" s="1994"/>
      <c r="L3" s="1994"/>
      <c r="M3" s="1994"/>
      <c r="N3" s="2012"/>
      <c r="O3" s="1994"/>
      <c r="P3" s="1994"/>
      <c r="Q3" s="1994"/>
      <c r="R3" s="1043"/>
      <c r="S3" s="1043"/>
      <c r="T3" s="1043"/>
      <c r="U3" s="1043"/>
      <c r="V3" s="1043"/>
    </row>
    <row r="4" spans="1:22">
      <c r="A4" s="2012" t="str">
        <f>PERIOD</f>
        <v>FOR THE TWELVE MONTHS ENDED NOVEMBER 30, 2017</v>
      </c>
      <c r="B4" s="1994"/>
      <c r="C4" s="1994"/>
      <c r="D4" s="1994"/>
      <c r="E4" s="1994"/>
      <c r="F4" s="1994"/>
      <c r="G4" s="1994"/>
      <c r="H4" s="1994"/>
      <c r="I4" s="1994"/>
      <c r="J4" s="1994"/>
      <c r="K4" s="1994"/>
      <c r="L4" s="1994"/>
      <c r="M4" s="1994"/>
      <c r="N4" s="2012"/>
      <c r="O4" s="1994"/>
      <c r="P4" s="1994"/>
      <c r="Q4" s="1994"/>
      <c r="R4" s="1043"/>
      <c r="S4" s="1043"/>
      <c r="T4" s="1043"/>
      <c r="U4" s="1043"/>
      <c r="V4" s="1043"/>
    </row>
    <row r="5" spans="1:22">
      <c r="A5" s="2011" t="str">
        <f>PeriodF</f>
        <v>FOR THE TWELVE MONTHS ENDED MARCH 31, 2019</v>
      </c>
      <c r="B5" s="1994"/>
      <c r="C5" s="1994"/>
      <c r="D5" s="1994"/>
      <c r="E5" s="1994"/>
      <c r="F5" s="1994"/>
      <c r="G5" s="1994"/>
      <c r="H5" s="1994"/>
      <c r="I5" s="1994"/>
      <c r="J5" s="1994"/>
      <c r="K5" s="1994"/>
      <c r="L5" s="1994"/>
      <c r="M5" s="1994"/>
      <c r="N5" s="1994"/>
      <c r="O5" s="1994"/>
      <c r="P5" s="1994"/>
      <c r="Q5" s="1994"/>
      <c r="R5" s="1043"/>
      <c r="S5" s="1043"/>
      <c r="T5" s="1043"/>
      <c r="U5" s="1043"/>
      <c r="V5" s="1043"/>
    </row>
    <row r="6" spans="1:22">
      <c r="A6" s="1043"/>
      <c r="B6" s="1043"/>
      <c r="C6" s="1043"/>
      <c r="D6" s="1043"/>
      <c r="E6" s="1043"/>
      <c r="F6" s="1043"/>
      <c r="G6" s="1043"/>
      <c r="H6" s="1043"/>
      <c r="I6" s="1043"/>
      <c r="J6" s="1043"/>
      <c r="K6" s="1043"/>
      <c r="L6" s="1043"/>
      <c r="M6" s="1043"/>
      <c r="N6" s="1043"/>
      <c r="O6" s="1043"/>
      <c r="P6" s="1043"/>
      <c r="Q6" s="1043"/>
      <c r="R6" s="1043"/>
      <c r="S6" s="1043"/>
      <c r="T6" s="1043"/>
      <c r="U6" s="1043"/>
      <c r="V6" s="1043"/>
    </row>
    <row r="7" spans="1:22">
      <c r="A7" s="2013" t="str">
        <f>DataB</f>
        <v>DATA: "X" BASE PERIOD  "X" FORECASTED PERIOD</v>
      </c>
      <c r="B7" s="1043"/>
      <c r="C7" s="1043"/>
      <c r="D7" s="1043"/>
      <c r="E7" s="1043"/>
      <c r="F7" s="1043"/>
      <c r="G7" s="1043"/>
      <c r="H7" s="1043"/>
      <c r="I7" s="1043"/>
      <c r="J7" s="1043"/>
      <c r="K7" s="1043"/>
      <c r="L7" s="1043"/>
      <c r="M7" s="1043"/>
      <c r="N7" s="1043"/>
      <c r="O7" s="2014" t="s">
        <v>386</v>
      </c>
      <c r="P7" s="1043"/>
      <c r="Q7" s="1043"/>
      <c r="R7" s="1043"/>
      <c r="S7" s="1043"/>
      <c r="T7" s="1043"/>
      <c r="U7" s="1043"/>
      <c r="V7" s="1043"/>
    </row>
    <row r="8" spans="1:22">
      <c r="A8" s="2013" t="str">
        <f>LOGO!B15</f>
        <v xml:space="preserve">TYPE OF FILING:  "X" ORIGINAL   UPDATED    REVISED  </v>
      </c>
      <c r="B8" s="1043"/>
      <c r="C8" s="1043"/>
      <c r="D8" s="1043"/>
      <c r="E8" s="1043"/>
      <c r="F8" s="1043"/>
      <c r="G8" s="1043"/>
      <c r="H8" s="1043"/>
      <c r="I8" s="1043"/>
      <c r="J8" s="1043"/>
      <c r="K8" s="1043"/>
      <c r="L8" s="1043"/>
      <c r="M8" s="1043"/>
      <c r="N8" s="1043"/>
      <c r="O8" s="2014" t="s">
        <v>620</v>
      </c>
      <c r="P8" s="1043"/>
      <c r="Q8" s="1043"/>
      <c r="R8" s="1043"/>
      <c r="S8" s="1043"/>
      <c r="T8" s="1043"/>
      <c r="U8" s="1043"/>
      <c r="V8" s="1043"/>
    </row>
    <row r="9" spans="1:22">
      <c r="A9" s="2014" t="s">
        <v>1879</v>
      </c>
      <c r="B9" s="1043"/>
      <c r="C9" s="1043"/>
      <c r="D9" s="1043"/>
      <c r="E9" s="1043"/>
      <c r="F9" s="1043"/>
      <c r="G9" s="1043"/>
      <c r="H9" s="1043"/>
      <c r="I9" s="1043"/>
      <c r="J9" s="1043"/>
      <c r="K9" s="1043"/>
      <c r="L9" s="1043"/>
      <c r="M9" s="1043"/>
      <c r="N9" s="1043"/>
      <c r="O9" s="2014" t="s">
        <v>622</v>
      </c>
      <c r="P9" s="1043"/>
      <c r="Q9" s="1043"/>
      <c r="R9" s="1043"/>
      <c r="S9" s="1043"/>
      <c r="T9" s="1043"/>
      <c r="U9" s="1043"/>
      <c r="V9" s="1043"/>
    </row>
    <row r="10" spans="1:22">
      <c r="A10" s="1043"/>
      <c r="B10" s="1043"/>
      <c r="C10" s="1043"/>
      <c r="D10" s="1043"/>
      <c r="E10" s="1043"/>
      <c r="F10" s="1043"/>
      <c r="G10" s="1043"/>
      <c r="H10" s="1043"/>
      <c r="I10" s="1043"/>
      <c r="J10" s="1043"/>
      <c r="K10" s="1043"/>
      <c r="L10" s="1043"/>
      <c r="M10" s="1043"/>
      <c r="N10" s="1043"/>
      <c r="O10" s="1043" t="str">
        <f>LOGO!G6</f>
        <v>S. E. LAWLER</v>
      </c>
      <c r="P10" s="1043"/>
      <c r="Q10" s="1043"/>
      <c r="R10" s="1043"/>
      <c r="S10" s="1043"/>
      <c r="T10" s="1043"/>
      <c r="U10" s="1043"/>
      <c r="V10" s="1043"/>
    </row>
    <row r="11" spans="1:22">
      <c r="A11" s="1970"/>
      <c r="B11" s="1970"/>
      <c r="C11" s="1970"/>
      <c r="D11" s="1970"/>
      <c r="E11" s="1970"/>
      <c r="F11" s="1970"/>
      <c r="G11" s="1970"/>
      <c r="H11" s="1970"/>
      <c r="I11" s="1970"/>
      <c r="J11" s="1970"/>
      <c r="K11" s="1970"/>
      <c r="L11" s="1970"/>
      <c r="M11" s="1970"/>
      <c r="N11" s="1970"/>
      <c r="O11" s="1970"/>
      <c r="P11" s="1970"/>
      <c r="Q11" s="1970"/>
      <c r="R11" s="1043"/>
      <c r="S11" s="1043"/>
      <c r="T11" s="1043"/>
      <c r="U11" s="1043"/>
      <c r="V11" s="1043"/>
    </row>
    <row r="12" spans="1:22">
      <c r="A12" s="2015"/>
      <c r="B12" s="2015"/>
      <c r="C12" s="2015"/>
      <c r="D12" s="2015"/>
      <c r="E12" s="2015"/>
      <c r="F12" s="2015"/>
      <c r="G12" s="1880" t="s">
        <v>1981</v>
      </c>
      <c r="H12" s="1959"/>
      <c r="I12" s="1959"/>
      <c r="J12" s="1959"/>
      <c r="K12" s="1959"/>
      <c r="L12" s="2015"/>
      <c r="M12" s="1880" t="s">
        <v>624</v>
      </c>
      <c r="N12" s="1959"/>
      <c r="O12" s="1959"/>
      <c r="P12" s="1959"/>
      <c r="Q12" s="1959"/>
      <c r="R12" s="1043"/>
      <c r="S12" s="1043"/>
      <c r="T12" s="1043"/>
      <c r="U12" s="1043"/>
      <c r="V12" s="1043"/>
    </row>
    <row r="13" spans="1:22">
      <c r="A13" s="1963" t="s">
        <v>1961</v>
      </c>
      <c r="B13" s="1043"/>
      <c r="C13" s="1963" t="s">
        <v>1080</v>
      </c>
      <c r="D13" s="1963"/>
      <c r="E13" s="1963" t="s">
        <v>387</v>
      </c>
      <c r="F13" s="1994"/>
      <c r="G13" s="1961" t="s">
        <v>1035</v>
      </c>
      <c r="H13" s="1963"/>
      <c r="I13" s="2805" t="s">
        <v>1461</v>
      </c>
      <c r="J13" s="2805"/>
      <c r="K13" s="2805"/>
      <c r="L13" s="1994"/>
      <c r="M13" s="1961" t="s">
        <v>1035</v>
      </c>
      <c r="N13" s="1963"/>
      <c r="O13" s="2805" t="s">
        <v>1461</v>
      </c>
      <c r="P13" s="2805"/>
      <c r="Q13" s="2805"/>
      <c r="R13" s="1043"/>
      <c r="S13" s="1043"/>
      <c r="T13" s="1043"/>
      <c r="U13" s="1043"/>
      <c r="V13" s="1043"/>
    </row>
    <row r="14" spans="1:22">
      <c r="A14" s="1963" t="s">
        <v>90</v>
      </c>
      <c r="B14" s="1043"/>
      <c r="C14" s="1963" t="s">
        <v>90</v>
      </c>
      <c r="D14" s="1963"/>
      <c r="E14" s="1963" t="s">
        <v>383</v>
      </c>
      <c r="F14" s="1994"/>
      <c r="G14" s="1963" t="s">
        <v>403</v>
      </c>
      <c r="H14" s="1963"/>
      <c r="I14" s="1964" t="s">
        <v>475</v>
      </c>
      <c r="J14" s="1994"/>
      <c r="K14" s="1965" t="s">
        <v>364</v>
      </c>
      <c r="L14" s="1994"/>
      <c r="M14" s="1963" t="s">
        <v>403</v>
      </c>
      <c r="N14" s="1963"/>
      <c r="O14" s="1964" t="s">
        <v>475</v>
      </c>
      <c r="P14" s="1994"/>
      <c r="Q14" s="1965" t="s">
        <v>364</v>
      </c>
      <c r="R14" s="1043"/>
      <c r="S14" s="1043"/>
      <c r="T14" s="1043"/>
      <c r="U14" s="1043"/>
      <c r="V14" s="1043"/>
    </row>
    <row r="15" spans="1:22">
      <c r="A15" s="1970"/>
      <c r="B15" s="1970"/>
      <c r="C15" s="1970"/>
      <c r="D15" s="1970"/>
      <c r="E15" s="1970"/>
      <c r="F15" s="1970"/>
      <c r="G15" s="1970"/>
      <c r="H15" s="1970"/>
      <c r="I15" s="1971" t="s">
        <v>296</v>
      </c>
      <c r="J15" s="1970"/>
      <c r="K15" s="1970"/>
      <c r="L15" s="1970"/>
      <c r="M15" s="1970"/>
      <c r="N15" s="1970"/>
      <c r="O15" s="1971" t="s">
        <v>296</v>
      </c>
      <c r="P15" s="1970"/>
      <c r="Q15" s="1970"/>
      <c r="R15" s="1043"/>
      <c r="S15" s="1043"/>
      <c r="T15" s="1043"/>
      <c r="U15" s="1043"/>
      <c r="V15" s="1043"/>
    </row>
    <row r="16" spans="1:22">
      <c r="A16" s="1043"/>
      <c r="B16" s="1043"/>
      <c r="C16" s="1043"/>
      <c r="D16" s="1043"/>
      <c r="E16" s="1043"/>
      <c r="F16" s="1043"/>
      <c r="G16" s="1963" t="s">
        <v>1150</v>
      </c>
      <c r="H16" s="1963"/>
      <c r="I16" s="1963" t="s">
        <v>363</v>
      </c>
      <c r="J16" s="1994"/>
      <c r="K16" s="1963" t="s">
        <v>1150</v>
      </c>
      <c r="L16" s="1043"/>
      <c r="M16" s="1963" t="s">
        <v>1150</v>
      </c>
      <c r="N16" s="1963"/>
      <c r="O16" s="1963" t="s">
        <v>363</v>
      </c>
      <c r="P16" s="1994"/>
      <c r="Q16" s="1963" t="s">
        <v>1150</v>
      </c>
      <c r="R16" s="1043"/>
      <c r="S16" s="1043"/>
      <c r="T16" s="1043"/>
      <c r="U16" s="1043"/>
      <c r="V16" s="1043"/>
    </row>
    <row r="17" spans="1:22">
      <c r="A17" s="1038"/>
      <c r="B17" s="1033"/>
      <c r="C17" s="1039"/>
      <c r="D17" s="1033"/>
      <c r="E17" s="1033"/>
      <c r="F17" s="1033"/>
      <c r="G17" s="1031"/>
      <c r="H17" s="1032"/>
      <c r="I17" s="1032"/>
      <c r="J17" s="1033"/>
      <c r="K17" s="1033"/>
      <c r="L17" s="1033"/>
      <c r="M17" s="1034"/>
      <c r="N17" s="1034"/>
      <c r="O17" s="1033"/>
      <c r="P17" s="1033"/>
      <c r="Q17" s="1034"/>
      <c r="R17" s="1043"/>
      <c r="S17" s="1043"/>
      <c r="T17" s="1043"/>
      <c r="U17" s="1043"/>
      <c r="V17" s="1043"/>
    </row>
    <row r="18" spans="1:22">
      <c r="A18" s="1038"/>
      <c r="B18" s="1032"/>
      <c r="C18" s="1877" t="s">
        <v>1559</v>
      </c>
      <c r="D18" s="1032"/>
      <c r="E18" s="46"/>
      <c r="F18" s="1032"/>
      <c r="G18" s="1035"/>
      <c r="H18" s="1032"/>
      <c r="I18" s="1036"/>
      <c r="J18" s="1032"/>
      <c r="K18" s="1037"/>
      <c r="L18" s="1033"/>
      <c r="M18" s="1035"/>
      <c r="N18" s="1892"/>
      <c r="O18" s="1036"/>
      <c r="P18" s="1032"/>
      <c r="Q18" s="1037"/>
      <c r="R18" s="1043"/>
      <c r="S18" s="1043"/>
      <c r="T18" s="1043"/>
      <c r="U18" s="1043"/>
      <c r="V18" s="1043"/>
    </row>
    <row r="19" spans="1:22">
      <c r="A19" s="1038"/>
      <c r="B19" s="1032"/>
      <c r="C19" s="1038"/>
      <c r="D19" s="1032"/>
      <c r="E19" s="46"/>
      <c r="F19" s="1032"/>
      <c r="G19" s="1035"/>
      <c r="H19" s="1032"/>
      <c r="I19" s="1036"/>
      <c r="J19" s="1032"/>
      <c r="K19" s="1037"/>
      <c r="L19" s="1033"/>
      <c r="M19" s="1035"/>
      <c r="N19" s="1892"/>
      <c r="O19" s="1036"/>
      <c r="P19" s="1032"/>
      <c r="Q19" s="1037"/>
      <c r="R19" s="1043"/>
      <c r="S19" s="1043"/>
      <c r="T19" s="1043"/>
      <c r="U19" s="1043"/>
      <c r="V19" s="1043"/>
    </row>
    <row r="20" spans="1:22">
      <c r="A20" s="1038"/>
      <c r="B20" s="1032"/>
      <c r="C20" s="1038"/>
      <c r="D20" s="1032"/>
      <c r="E20" s="46"/>
      <c r="F20" s="1032"/>
      <c r="G20" s="1035"/>
      <c r="H20" s="1032"/>
      <c r="I20" s="1036"/>
      <c r="J20" s="1032"/>
      <c r="K20" s="1037"/>
      <c r="L20" s="1033"/>
      <c r="M20" s="1035"/>
      <c r="N20" s="1892"/>
      <c r="O20" s="1036"/>
      <c r="P20" s="1032"/>
      <c r="Q20" s="1037"/>
      <c r="R20" s="1043"/>
      <c r="S20" s="1043"/>
      <c r="T20" s="1043"/>
      <c r="U20" s="1043"/>
      <c r="V20" s="1043"/>
    </row>
    <row r="21" spans="1:22">
      <c r="A21" s="1038"/>
      <c r="B21" s="1032"/>
      <c r="C21" s="1039"/>
      <c r="D21" s="1032"/>
      <c r="E21" s="46"/>
      <c r="F21" s="1032"/>
      <c r="G21" s="1035"/>
      <c r="H21" s="1032"/>
      <c r="I21" s="1036"/>
      <c r="J21" s="1032"/>
      <c r="K21" s="1037"/>
      <c r="L21" s="1033"/>
      <c r="M21" s="1035"/>
      <c r="N21" s="1892"/>
      <c r="O21" s="1036"/>
      <c r="P21" s="1032"/>
      <c r="Q21" s="1037"/>
      <c r="R21" s="1043"/>
      <c r="S21" s="1043"/>
      <c r="T21" s="1043"/>
      <c r="U21" s="1043"/>
      <c r="V21" s="1043"/>
    </row>
    <row r="22" spans="1:22">
      <c r="A22" s="1038"/>
      <c r="B22" s="1032"/>
      <c r="C22" s="1038"/>
      <c r="D22" s="1032"/>
      <c r="E22" s="46"/>
      <c r="F22" s="1032"/>
      <c r="G22" s="1035"/>
      <c r="H22" s="1032"/>
      <c r="I22" s="1036"/>
      <c r="J22" s="1032"/>
      <c r="K22" s="1037"/>
      <c r="L22" s="1033"/>
      <c r="M22" s="1035"/>
      <c r="N22" s="1892"/>
      <c r="O22" s="1036"/>
      <c r="P22" s="1032"/>
      <c r="Q22" s="1037"/>
      <c r="R22" s="1043"/>
      <c r="S22" s="1043"/>
      <c r="T22" s="1043"/>
      <c r="U22" s="1043"/>
      <c r="V22" s="1043"/>
    </row>
    <row r="23" spans="1:22">
      <c r="A23" s="1038"/>
      <c r="B23" s="1032"/>
      <c r="C23" s="1038"/>
      <c r="D23" s="1032"/>
      <c r="E23" s="46"/>
      <c r="F23" s="1032"/>
      <c r="G23" s="1035"/>
      <c r="H23" s="1032"/>
      <c r="I23" s="1036"/>
      <c r="J23" s="1032"/>
      <c r="K23" s="1037"/>
      <c r="L23" s="1033"/>
      <c r="M23" s="1035"/>
      <c r="N23" s="1892"/>
      <c r="O23" s="1036"/>
      <c r="P23" s="1032"/>
      <c r="Q23" s="1037"/>
      <c r="R23" s="1043"/>
      <c r="S23" s="1043"/>
      <c r="T23" s="1043"/>
      <c r="U23" s="1043"/>
      <c r="V23" s="1043"/>
    </row>
    <row r="24" spans="1:22">
      <c r="A24" s="1038"/>
      <c r="B24" s="1032"/>
      <c r="C24" s="1038"/>
      <c r="D24" s="1032"/>
      <c r="E24" s="46"/>
      <c r="F24" s="1032"/>
      <c r="G24" s="1035"/>
      <c r="H24" s="1032"/>
      <c r="I24" s="1036"/>
      <c r="J24" s="1032"/>
      <c r="K24" s="1037"/>
      <c r="L24" s="1033"/>
      <c r="M24" s="1035"/>
      <c r="N24" s="1892"/>
      <c r="O24" s="1036"/>
      <c r="P24" s="1032"/>
      <c r="Q24" s="1037"/>
      <c r="R24" s="1043"/>
      <c r="S24" s="1043"/>
      <c r="T24" s="1043"/>
      <c r="U24" s="1043"/>
      <c r="V24" s="1043"/>
    </row>
    <row r="25" spans="1:22">
      <c r="A25" s="1038"/>
      <c r="B25" s="1032"/>
      <c r="C25" s="1038"/>
      <c r="D25" s="1032"/>
      <c r="E25" s="46"/>
      <c r="F25" s="1032"/>
      <c r="G25" s="1035"/>
      <c r="H25" s="1032"/>
      <c r="I25" s="1036"/>
      <c r="J25" s="1032"/>
      <c r="K25" s="1037"/>
      <c r="L25" s="1033"/>
      <c r="M25" s="1035"/>
      <c r="N25" s="1892"/>
      <c r="O25" s="1036"/>
      <c r="P25" s="1032"/>
      <c r="Q25" s="1037"/>
      <c r="R25" s="1043"/>
      <c r="S25" s="1043"/>
      <c r="T25" s="1043"/>
      <c r="U25" s="1043"/>
      <c r="V25" s="1043"/>
    </row>
    <row r="26" spans="1:22">
      <c r="A26" s="1038"/>
      <c r="B26" s="1032"/>
      <c r="C26" s="1038"/>
      <c r="D26" s="1032"/>
      <c r="E26" s="46"/>
      <c r="F26" s="1032"/>
      <c r="G26" s="1035"/>
      <c r="H26" s="1032"/>
      <c r="I26" s="1036"/>
      <c r="J26" s="1032"/>
      <c r="K26" s="1037"/>
      <c r="L26" s="1033"/>
      <c r="M26" s="1035"/>
      <c r="N26" s="1892"/>
      <c r="O26" s="1036"/>
      <c r="P26" s="1032"/>
      <c r="Q26" s="1037"/>
      <c r="R26" s="1043"/>
      <c r="S26" s="1043"/>
      <c r="T26" s="1043"/>
      <c r="U26" s="1043"/>
      <c r="V26" s="1043"/>
    </row>
    <row r="27" spans="1:22">
      <c r="A27" s="1038"/>
      <c r="B27" s="1032"/>
      <c r="C27" s="1038"/>
      <c r="D27" s="1032"/>
      <c r="E27" s="46"/>
      <c r="F27" s="1032"/>
      <c r="G27" s="1035"/>
      <c r="H27" s="1032"/>
      <c r="I27" s="1036"/>
      <c r="J27" s="1032"/>
      <c r="K27" s="1037"/>
      <c r="L27" s="1033"/>
      <c r="M27" s="1035"/>
      <c r="N27" s="1892"/>
      <c r="O27" s="1036"/>
      <c r="P27" s="1032"/>
      <c r="Q27" s="1037"/>
      <c r="R27" s="1043"/>
      <c r="S27" s="1043"/>
      <c r="T27" s="1043"/>
      <c r="U27" s="1043"/>
      <c r="V27" s="1043"/>
    </row>
    <row r="28" spans="1:22">
      <c r="A28" s="1038"/>
      <c r="B28" s="1032"/>
      <c r="C28" s="1038"/>
      <c r="D28" s="1032"/>
      <c r="E28" s="46"/>
      <c r="F28" s="1032"/>
      <c r="G28" s="1035"/>
      <c r="H28" s="1032"/>
      <c r="I28" s="1036"/>
      <c r="J28" s="1032"/>
      <c r="K28" s="1037"/>
      <c r="L28" s="1033"/>
      <c r="M28" s="1035"/>
      <c r="N28" s="1892"/>
      <c r="O28" s="1036"/>
      <c r="P28" s="1032"/>
      <c r="Q28" s="1037"/>
      <c r="R28" s="1043"/>
      <c r="S28" s="1043"/>
      <c r="T28" s="1043"/>
      <c r="U28" s="1043"/>
      <c r="V28" s="1043"/>
    </row>
    <row r="29" spans="1:22">
      <c r="A29" s="1038"/>
      <c r="B29" s="1032"/>
      <c r="C29" s="1038"/>
      <c r="D29" s="1032"/>
      <c r="E29" s="46"/>
      <c r="F29" s="1032"/>
      <c r="G29" s="1035"/>
      <c r="H29" s="1032"/>
      <c r="I29" s="1036"/>
      <c r="J29" s="1032"/>
      <c r="K29" s="1037"/>
      <c r="L29" s="1033"/>
      <c r="M29" s="1035"/>
      <c r="N29" s="1892"/>
      <c r="O29" s="1036"/>
      <c r="P29" s="1032"/>
      <c r="Q29" s="1037"/>
      <c r="R29" s="1043"/>
      <c r="S29" s="1043"/>
      <c r="T29" s="1043"/>
      <c r="U29" s="1043"/>
      <c r="V29" s="1043"/>
    </row>
    <row r="30" spans="1:22">
      <c r="A30" s="1038"/>
      <c r="B30" s="1032"/>
      <c r="C30" s="1038"/>
      <c r="D30" s="1032"/>
      <c r="E30" s="46"/>
      <c r="F30" s="1032"/>
      <c r="G30" s="1035"/>
      <c r="H30" s="1032"/>
      <c r="I30" s="1036"/>
      <c r="J30" s="1032"/>
      <c r="K30" s="1037"/>
      <c r="L30" s="1033"/>
      <c r="M30" s="1035"/>
      <c r="N30" s="1892"/>
      <c r="O30" s="1036"/>
      <c r="P30" s="1032"/>
      <c r="Q30" s="1037"/>
      <c r="R30" s="1043"/>
      <c r="S30" s="1043"/>
      <c r="T30" s="1043"/>
      <c r="U30" s="1043"/>
      <c r="V30" s="1043"/>
    </row>
    <row r="31" spans="1:22">
      <c r="A31" s="1038"/>
      <c r="B31" s="1032"/>
      <c r="C31" s="1038"/>
      <c r="D31" s="2016"/>
      <c r="E31" s="46"/>
      <c r="F31" s="1032"/>
      <c r="G31" s="1035"/>
      <c r="H31" s="1032"/>
      <c r="I31" s="1036"/>
      <c r="J31" s="1032"/>
      <c r="K31" s="1037"/>
      <c r="L31" s="1033"/>
      <c r="M31" s="1035"/>
      <c r="N31" s="1892"/>
      <c r="O31" s="1036"/>
      <c r="P31" s="1032"/>
      <c r="Q31" s="1037"/>
      <c r="R31" s="1043"/>
      <c r="S31" s="1043"/>
      <c r="T31" s="1043"/>
      <c r="U31" s="1043"/>
      <c r="V31" s="1043"/>
    </row>
    <row r="32" spans="1:22">
      <c r="A32" s="1038"/>
      <c r="B32" s="1032"/>
      <c r="C32" s="1038"/>
      <c r="D32" s="1032"/>
      <c r="E32" s="46"/>
      <c r="F32" s="1032"/>
      <c r="G32" s="1035"/>
      <c r="H32" s="1032"/>
      <c r="I32" s="1036"/>
      <c r="J32" s="1032"/>
      <c r="K32" s="1037"/>
      <c r="L32" s="1033"/>
      <c r="M32" s="1035"/>
      <c r="N32" s="1033"/>
      <c r="O32" s="1036"/>
      <c r="P32" s="1032"/>
      <c r="Q32" s="1037"/>
      <c r="R32" s="1043"/>
      <c r="S32" s="1043"/>
      <c r="T32" s="1043"/>
      <c r="U32" s="1043"/>
      <c r="V32" s="1043"/>
    </row>
    <row r="33" spans="1:22">
      <c r="A33" s="1033"/>
      <c r="B33" s="1033"/>
      <c r="C33" s="2017"/>
      <c r="D33" s="1033"/>
      <c r="E33" s="1033"/>
      <c r="F33" s="1033"/>
      <c r="G33" s="2018"/>
      <c r="H33" s="1033"/>
      <c r="I33" s="1033"/>
      <c r="J33" s="1033"/>
      <c r="K33" s="2018"/>
      <c r="L33" s="1033"/>
      <c r="M33" s="2018"/>
      <c r="N33" s="1033"/>
      <c r="O33" s="1033"/>
      <c r="P33" s="1033"/>
      <c r="Q33" s="2018"/>
      <c r="R33" s="1043"/>
      <c r="S33" s="1043"/>
      <c r="T33" s="1043"/>
      <c r="U33" s="1043"/>
      <c r="V33" s="1043"/>
    </row>
    <row r="34" spans="1:22">
      <c r="A34" s="1033"/>
      <c r="B34" s="1033"/>
      <c r="C34" s="2017"/>
      <c r="D34" s="1033"/>
      <c r="E34" s="1033"/>
      <c r="F34" s="1033"/>
      <c r="G34" s="1033"/>
      <c r="H34" s="1033"/>
      <c r="I34" s="1033"/>
      <c r="J34" s="1033"/>
      <c r="K34" s="1033"/>
      <c r="L34" s="1033"/>
      <c r="M34" s="2019"/>
      <c r="N34" s="1033"/>
      <c r="O34" s="1033"/>
      <c r="P34" s="1033"/>
      <c r="Q34" s="1033"/>
      <c r="R34" s="1043"/>
      <c r="S34" s="1043"/>
      <c r="T34" s="1043"/>
      <c r="U34" s="1043"/>
      <c r="V34" s="1043"/>
    </row>
    <row r="35" spans="1:22">
      <c r="A35" s="1033"/>
      <c r="B35" s="1032"/>
      <c r="C35" s="1032"/>
      <c r="D35" s="1032"/>
      <c r="E35" s="1898"/>
      <c r="F35" s="1033"/>
      <c r="G35" s="2020"/>
      <c r="H35" s="1033"/>
      <c r="I35" s="1033"/>
      <c r="J35" s="1033"/>
      <c r="K35" s="1033"/>
      <c r="L35" s="1033"/>
      <c r="M35" s="2021"/>
      <c r="N35" s="1033"/>
      <c r="O35" s="1033"/>
      <c r="P35" s="1033"/>
      <c r="Q35" s="2021"/>
      <c r="R35" s="1043"/>
      <c r="S35" s="1043"/>
      <c r="T35" s="1043"/>
      <c r="U35" s="1043"/>
      <c r="V35" s="1043"/>
    </row>
    <row r="36" spans="1:22">
      <c r="A36" s="1033"/>
      <c r="B36" s="2022"/>
      <c r="C36" s="1033"/>
      <c r="D36" s="1033"/>
      <c r="E36" s="1033"/>
      <c r="F36" s="1033"/>
      <c r="G36" s="1033"/>
      <c r="H36" s="1033"/>
      <c r="I36" s="1033"/>
      <c r="J36" s="1033"/>
      <c r="K36" s="1033"/>
      <c r="L36" s="1033"/>
      <c r="M36" s="1033"/>
      <c r="N36" s="1033"/>
      <c r="O36" s="1033"/>
      <c r="P36" s="1033"/>
      <c r="Q36" s="1033"/>
      <c r="R36" s="1043"/>
      <c r="S36" s="1043"/>
      <c r="T36" s="1043"/>
      <c r="U36" s="1043"/>
      <c r="V36" s="1043"/>
    </row>
    <row r="37" spans="1:22">
      <c r="A37" s="1033"/>
      <c r="B37" s="1033"/>
      <c r="C37" s="1033"/>
      <c r="D37" s="1033"/>
      <c r="E37" s="1033"/>
      <c r="F37" s="1033"/>
      <c r="G37" s="1033"/>
      <c r="H37" s="1033"/>
      <c r="I37" s="1033"/>
      <c r="J37" s="1033"/>
      <c r="K37" s="1033"/>
      <c r="L37" s="1033"/>
      <c r="M37" s="1033"/>
      <c r="N37" s="1033"/>
      <c r="O37" s="1033"/>
      <c r="P37" s="1033"/>
      <c r="Q37" s="1033"/>
      <c r="R37" s="1043"/>
      <c r="S37" s="1043"/>
      <c r="T37" s="1043"/>
      <c r="U37" s="1043"/>
      <c r="V37" s="1043"/>
    </row>
    <row r="38" spans="1:22">
      <c r="A38" s="1043"/>
      <c r="B38" s="1043"/>
      <c r="C38" s="1043"/>
      <c r="D38" s="1043"/>
      <c r="E38" s="1043"/>
      <c r="F38" s="1043"/>
      <c r="G38" s="1043"/>
      <c r="H38" s="1043"/>
      <c r="I38" s="1043"/>
      <c r="J38" s="1043"/>
      <c r="K38" s="1043"/>
      <c r="L38" s="1033"/>
      <c r="M38" s="1033"/>
      <c r="N38" s="1033"/>
      <c r="O38" s="1033"/>
      <c r="P38" s="1033"/>
      <c r="Q38" s="1033"/>
      <c r="R38" s="1043"/>
      <c r="S38" s="1043"/>
      <c r="T38" s="1043"/>
      <c r="U38" s="1043"/>
      <c r="V38" s="1043"/>
    </row>
    <row r="39" spans="1:22">
      <c r="A39" s="1043"/>
      <c r="B39" s="1043"/>
      <c r="C39" s="1043"/>
      <c r="D39" s="1043"/>
      <c r="E39" s="1043"/>
      <c r="F39" s="1043"/>
      <c r="G39" s="1043"/>
      <c r="H39" s="1043"/>
      <c r="I39" s="1043"/>
      <c r="J39" s="1043"/>
      <c r="K39" s="1043"/>
      <c r="L39" s="1043"/>
      <c r="M39" s="1043"/>
      <c r="N39" s="1043"/>
      <c r="O39" s="1043"/>
      <c r="P39" s="1043"/>
      <c r="Q39" s="1043"/>
      <c r="R39" s="1043"/>
      <c r="S39" s="1043"/>
      <c r="T39" s="1043"/>
      <c r="U39" s="1043"/>
      <c r="V39" s="1043"/>
    </row>
    <row r="40" spans="1:22">
      <c r="A40" s="1040"/>
      <c r="B40" s="1040"/>
      <c r="C40" s="1040"/>
      <c r="D40" s="1040"/>
      <c r="E40" s="1040"/>
      <c r="F40" s="1043"/>
      <c r="G40" s="1043"/>
      <c r="H40" s="1043"/>
      <c r="I40" s="1043"/>
      <c r="J40" s="1043"/>
      <c r="K40" s="1043"/>
      <c r="L40" s="1043"/>
      <c r="M40" s="1043"/>
      <c r="N40" s="1043"/>
      <c r="O40" s="1043"/>
      <c r="P40" s="1043"/>
      <c r="Q40" s="1043"/>
      <c r="R40" s="1043"/>
      <c r="S40" s="1043"/>
      <c r="T40" s="1043"/>
      <c r="U40" s="1043"/>
      <c r="V40" s="1043"/>
    </row>
    <row r="41" spans="1:22">
      <c r="A41" s="1043"/>
      <c r="B41" s="1043"/>
      <c r="C41" s="1043"/>
      <c r="D41" s="1043"/>
      <c r="E41" s="1043"/>
      <c r="F41" s="1043"/>
      <c r="G41" s="1043"/>
      <c r="H41" s="1043"/>
      <c r="I41" s="1043"/>
      <c r="J41" s="1043"/>
      <c r="K41" s="1043"/>
      <c r="L41" s="1043"/>
      <c r="M41" s="1043"/>
      <c r="N41" s="1043"/>
      <c r="O41" s="1043"/>
      <c r="P41" s="1043"/>
      <c r="Q41" s="1043"/>
      <c r="R41" s="1043"/>
      <c r="S41" s="1043"/>
      <c r="T41" s="1043"/>
      <c r="U41" s="1043"/>
      <c r="V41" s="1043"/>
    </row>
    <row r="42" spans="1:22">
      <c r="A42" s="1043"/>
      <c r="B42" s="1043"/>
      <c r="C42" s="1043"/>
      <c r="D42" s="1043"/>
      <c r="E42" s="1043"/>
      <c r="F42" s="1043"/>
      <c r="G42" s="1043"/>
      <c r="H42" s="1043"/>
      <c r="I42" s="1043"/>
      <c r="J42" s="1043"/>
      <c r="K42" s="1043"/>
      <c r="L42" s="1043"/>
      <c r="M42" s="1043"/>
      <c r="N42" s="1043"/>
      <c r="O42" s="1043"/>
      <c r="P42" s="1043"/>
      <c r="Q42" s="1043"/>
      <c r="R42" s="1043"/>
      <c r="S42" s="1043"/>
      <c r="T42" s="1043"/>
      <c r="U42" s="1043"/>
      <c r="V42" s="1043"/>
    </row>
    <row r="43" spans="1:22">
      <c r="A43" s="1043"/>
      <c r="B43" s="1043"/>
      <c r="C43" s="1041"/>
      <c r="D43" s="1042"/>
      <c r="E43" s="46"/>
      <c r="F43" s="1032"/>
      <c r="G43" s="1035"/>
      <c r="H43" s="1043"/>
      <c r="I43" s="1043"/>
      <c r="J43" s="1043"/>
      <c r="K43" s="1043"/>
      <c r="L43" s="1043"/>
      <c r="M43" s="1043"/>
      <c r="N43" s="1043"/>
      <c r="O43" s="1043"/>
      <c r="P43" s="1043"/>
      <c r="Q43" s="1043"/>
      <c r="R43" s="1043"/>
      <c r="S43" s="1043"/>
      <c r="T43" s="1043"/>
      <c r="U43" s="1043"/>
      <c r="V43" s="1043"/>
    </row>
    <row r="44" spans="1:22">
      <c r="A44" s="1043"/>
      <c r="B44" s="1043"/>
      <c r="C44" s="1041"/>
      <c r="D44" s="1042"/>
      <c r="E44" s="46"/>
      <c r="F44" s="1032"/>
      <c r="G44" s="1035"/>
      <c r="H44" s="1043"/>
      <c r="I44" s="1043"/>
      <c r="J44" s="1043"/>
      <c r="K44" s="1043"/>
      <c r="L44" s="1043"/>
      <c r="M44" s="1043"/>
      <c r="N44" s="1043"/>
      <c r="O44" s="1043"/>
      <c r="P44" s="1043"/>
      <c r="Q44" s="1043"/>
      <c r="R44" s="1043"/>
      <c r="S44" s="1043"/>
      <c r="T44" s="1043"/>
      <c r="U44" s="1043"/>
      <c r="V44" s="1043"/>
    </row>
    <row r="45" spans="1:22">
      <c r="A45" s="1043"/>
      <c r="B45" s="1043"/>
      <c r="C45" s="1041"/>
      <c r="D45" s="1042"/>
      <c r="E45" s="46"/>
      <c r="F45" s="1032"/>
      <c r="G45" s="1035"/>
      <c r="H45" s="1043"/>
      <c r="I45" s="1043"/>
      <c r="J45" s="1043"/>
      <c r="K45" s="1043"/>
      <c r="L45" s="1043"/>
      <c r="M45" s="1043"/>
      <c r="N45" s="1043"/>
      <c r="O45" s="1043"/>
      <c r="P45" s="1043"/>
      <c r="Q45" s="1043"/>
      <c r="R45" s="1043"/>
      <c r="S45" s="1043"/>
      <c r="T45" s="1043"/>
      <c r="U45" s="1043"/>
      <c r="V45" s="1043"/>
    </row>
    <row r="46" spans="1:22">
      <c r="A46" s="1043"/>
      <c r="B46" s="1043"/>
      <c r="C46" s="1041"/>
      <c r="D46" s="1042"/>
      <c r="E46" s="46"/>
      <c r="F46" s="1032"/>
      <c r="G46" s="1035"/>
      <c r="H46" s="1043"/>
      <c r="I46" s="1043"/>
      <c r="J46" s="1043"/>
      <c r="K46" s="1043"/>
      <c r="L46" s="1043"/>
      <c r="M46" s="1043"/>
      <c r="N46" s="1043"/>
      <c r="O46" s="1043"/>
      <c r="P46" s="1043"/>
      <c r="Q46" s="1043"/>
      <c r="R46" s="1043"/>
      <c r="S46" s="1043"/>
      <c r="T46" s="1043"/>
      <c r="U46" s="1043"/>
      <c r="V46" s="1043"/>
    </row>
    <row r="47" spans="1:22">
      <c r="A47" s="1043"/>
      <c r="B47" s="1043"/>
      <c r="C47" s="1041"/>
      <c r="D47" s="1042"/>
      <c r="E47" s="46"/>
      <c r="F47" s="1032"/>
      <c r="G47" s="1035"/>
      <c r="H47" s="1043"/>
      <c r="I47" s="1043"/>
      <c r="J47" s="1043"/>
      <c r="K47" s="1043"/>
      <c r="L47" s="1043"/>
      <c r="M47" s="1043"/>
      <c r="N47" s="1043"/>
      <c r="O47" s="1043"/>
      <c r="P47" s="1043"/>
      <c r="Q47" s="1043"/>
      <c r="R47" s="1043"/>
      <c r="S47" s="1043"/>
      <c r="T47" s="1043"/>
      <c r="U47" s="1043"/>
      <c r="V47" s="1043"/>
    </row>
    <row r="48" spans="1:22">
      <c r="A48" s="1043"/>
      <c r="B48" s="1043"/>
      <c r="C48" s="1041"/>
      <c r="D48" s="1042"/>
      <c r="E48" s="46"/>
      <c r="F48" s="1032"/>
      <c r="G48" s="1035"/>
      <c r="H48" s="1043"/>
      <c r="I48" s="1043"/>
      <c r="J48" s="1043"/>
      <c r="K48" s="1043"/>
      <c r="L48" s="1043"/>
      <c r="M48" s="1043"/>
      <c r="N48" s="1043"/>
      <c r="O48" s="1043"/>
      <c r="P48" s="1043"/>
      <c r="Q48" s="1043"/>
      <c r="R48" s="1043"/>
      <c r="S48" s="1043"/>
      <c r="T48" s="1043"/>
      <c r="U48" s="1043"/>
      <c r="V48" s="1043"/>
    </row>
    <row r="49" spans="1:22">
      <c r="A49" s="1043"/>
      <c r="B49" s="1043"/>
      <c r="C49" s="1041"/>
      <c r="D49" s="1042"/>
      <c r="E49" s="46"/>
      <c r="F49" s="1032"/>
      <c r="G49" s="1035"/>
      <c r="H49" s="1043"/>
      <c r="I49" s="1043"/>
      <c r="J49" s="1043"/>
      <c r="K49" s="1043"/>
      <c r="L49" s="1043"/>
      <c r="M49" s="1043"/>
      <c r="N49" s="1043"/>
      <c r="O49" s="1043"/>
      <c r="P49" s="1043"/>
      <c r="Q49" s="1043"/>
      <c r="R49" s="1043"/>
      <c r="S49" s="1043"/>
      <c r="T49" s="1043"/>
      <c r="U49" s="1043"/>
      <c r="V49" s="1043"/>
    </row>
    <row r="50" spans="1:22">
      <c r="A50" s="1043"/>
      <c r="B50" s="1043"/>
      <c r="C50" s="1041"/>
      <c r="D50" s="1042"/>
      <c r="E50" s="46"/>
      <c r="F50" s="1032"/>
      <c r="G50" s="1035"/>
      <c r="H50" s="1043"/>
      <c r="I50" s="1043"/>
      <c r="J50" s="1043"/>
      <c r="K50" s="1043"/>
      <c r="L50" s="1043"/>
      <c r="M50" s="1043"/>
      <c r="N50" s="1043"/>
      <c r="O50" s="1043"/>
      <c r="P50" s="1043"/>
      <c r="Q50" s="1043"/>
      <c r="R50" s="1043"/>
      <c r="S50" s="1043"/>
      <c r="T50" s="1043"/>
      <c r="U50" s="1043"/>
      <c r="V50" s="1043"/>
    </row>
    <row r="51" spans="1:22">
      <c r="A51" s="1043"/>
      <c r="B51" s="1043"/>
      <c r="C51" s="1041"/>
      <c r="D51" s="1042"/>
      <c r="E51" s="46"/>
      <c r="F51" s="1032"/>
      <c r="G51" s="1035"/>
      <c r="H51" s="1043"/>
      <c r="I51" s="1043"/>
      <c r="J51" s="1043"/>
      <c r="K51" s="1043"/>
      <c r="L51" s="1043"/>
      <c r="M51" s="1043"/>
      <c r="N51" s="1043"/>
      <c r="O51" s="1043"/>
      <c r="P51" s="1043"/>
      <c r="Q51" s="1043"/>
      <c r="R51" s="1043"/>
      <c r="S51" s="1043"/>
      <c r="T51" s="1043"/>
      <c r="U51" s="1043"/>
      <c r="V51" s="1043"/>
    </row>
    <row r="52" spans="1:22">
      <c r="A52" s="1043"/>
      <c r="B52" s="1043"/>
      <c r="C52" s="1041"/>
      <c r="D52" s="1042"/>
      <c r="E52" s="46"/>
      <c r="F52" s="1032"/>
      <c r="G52" s="1035"/>
      <c r="H52" s="1043"/>
      <c r="I52" s="1043"/>
      <c r="J52" s="1043"/>
      <c r="K52" s="1043"/>
      <c r="L52" s="1043"/>
      <c r="M52" s="1043"/>
      <c r="N52" s="1043"/>
      <c r="O52" s="1043"/>
      <c r="P52" s="1043"/>
      <c r="Q52" s="1043"/>
      <c r="R52" s="1043"/>
      <c r="S52" s="1043"/>
      <c r="T52" s="1043"/>
      <c r="U52" s="1043"/>
      <c r="V52" s="1043"/>
    </row>
    <row r="53" spans="1:22">
      <c r="A53" s="1043"/>
      <c r="B53" s="1043"/>
      <c r="C53" s="1041"/>
      <c r="D53" s="1042"/>
      <c r="E53" s="46"/>
      <c r="F53" s="1032"/>
      <c r="G53" s="1035"/>
      <c r="H53" s="1043"/>
      <c r="I53" s="1043"/>
      <c r="J53" s="1043"/>
      <c r="K53" s="1043"/>
      <c r="L53" s="1043"/>
      <c r="M53" s="1043"/>
      <c r="N53" s="1043"/>
      <c r="O53" s="1043"/>
      <c r="P53" s="1043"/>
      <c r="Q53" s="1043"/>
      <c r="R53" s="1043"/>
      <c r="S53" s="1043"/>
      <c r="T53" s="1043"/>
      <c r="U53" s="1043"/>
      <c r="V53" s="1043"/>
    </row>
    <row r="54" spans="1:22">
      <c r="A54" s="1043"/>
      <c r="B54" s="1043"/>
      <c r="C54" s="1043"/>
      <c r="D54" s="1043"/>
      <c r="E54" s="1043"/>
      <c r="F54" s="1043"/>
      <c r="G54" s="1043"/>
      <c r="H54" s="1043"/>
      <c r="I54" s="1043"/>
      <c r="J54" s="1043"/>
      <c r="K54" s="1043"/>
      <c r="L54" s="1043"/>
      <c r="M54" s="1043"/>
      <c r="N54" s="1043"/>
      <c r="O54" s="1043"/>
      <c r="P54" s="1043"/>
      <c r="Q54" s="1043"/>
      <c r="R54" s="1043"/>
      <c r="S54" s="1043"/>
      <c r="T54" s="1043"/>
      <c r="U54" s="1043"/>
      <c r="V54" s="1043"/>
    </row>
    <row r="55" spans="1:22">
      <c r="A55" s="1043"/>
      <c r="B55" s="1043"/>
      <c r="C55" s="1043"/>
      <c r="D55" s="1043"/>
      <c r="E55" s="1043"/>
      <c r="F55" s="1043"/>
      <c r="G55" s="1043"/>
      <c r="H55" s="1043"/>
      <c r="I55" s="1043"/>
      <c r="J55" s="1043"/>
      <c r="K55" s="1043"/>
      <c r="L55" s="1043"/>
      <c r="M55" s="1043"/>
      <c r="N55" s="1043"/>
      <c r="O55" s="1043"/>
      <c r="P55" s="1043"/>
      <c r="Q55" s="1043"/>
      <c r="R55" s="1043"/>
      <c r="S55" s="1043"/>
      <c r="T55" s="1043"/>
      <c r="U55" s="1043"/>
      <c r="V55" s="1043"/>
    </row>
    <row r="56" spans="1:22">
      <c r="A56" s="1043"/>
      <c r="B56" s="1043"/>
      <c r="C56" s="1043"/>
      <c r="D56" s="1043"/>
      <c r="E56" s="1043"/>
      <c r="F56" s="1043"/>
      <c r="G56" s="1043"/>
      <c r="H56" s="1043"/>
      <c r="I56" s="1043"/>
      <c r="J56" s="1043"/>
      <c r="K56" s="1043"/>
      <c r="L56" s="1043"/>
      <c r="M56" s="1043"/>
      <c r="N56" s="1043"/>
      <c r="O56" s="1043"/>
      <c r="P56" s="1043"/>
      <c r="Q56" s="1043"/>
      <c r="R56" s="1043"/>
      <c r="S56" s="1043"/>
      <c r="T56" s="1043"/>
      <c r="U56" s="1043"/>
      <c r="V56" s="1043"/>
    </row>
    <row r="57" spans="1:22">
      <c r="A57" s="1043"/>
      <c r="B57" s="1043"/>
      <c r="C57" s="1043"/>
      <c r="D57" s="1043"/>
      <c r="E57" s="1043"/>
      <c r="F57" s="1043"/>
      <c r="G57" s="1043"/>
      <c r="H57" s="1043"/>
      <c r="I57" s="1043"/>
      <c r="J57" s="1043"/>
      <c r="K57" s="1043"/>
      <c r="L57" s="1043"/>
      <c r="M57" s="1043"/>
      <c r="N57" s="1043"/>
      <c r="O57" s="1043"/>
      <c r="P57" s="1043"/>
      <c r="Q57" s="1043"/>
      <c r="R57" s="1043"/>
      <c r="S57" s="1043"/>
      <c r="T57" s="1043"/>
      <c r="U57" s="1043"/>
      <c r="V57" s="1043"/>
    </row>
    <row r="58" spans="1:22">
      <c r="A58" s="1043"/>
      <c r="B58" s="1043"/>
      <c r="C58" s="1043"/>
      <c r="D58" s="1043"/>
      <c r="E58" s="1043"/>
      <c r="F58" s="1043"/>
      <c r="G58" s="1043"/>
      <c r="H58" s="1043"/>
      <c r="I58" s="1043"/>
      <c r="J58" s="1043"/>
      <c r="K58" s="1043"/>
      <c r="L58" s="1043"/>
      <c r="M58" s="1043"/>
      <c r="N58" s="1043"/>
      <c r="O58" s="1043"/>
      <c r="P58" s="1043"/>
      <c r="Q58" s="1043"/>
      <c r="R58" s="1043"/>
      <c r="S58" s="1043"/>
      <c r="T58" s="1043"/>
      <c r="U58" s="1043"/>
      <c r="V58" s="1043"/>
    </row>
    <row r="59" spans="1:22">
      <c r="A59" s="1043"/>
      <c r="B59" s="1043"/>
      <c r="C59" s="1043"/>
      <c r="D59" s="1043"/>
      <c r="E59" s="1043"/>
      <c r="F59" s="1043"/>
      <c r="G59" s="1043"/>
      <c r="H59" s="1043"/>
      <c r="I59" s="1043"/>
      <c r="J59" s="1043"/>
      <c r="K59" s="1043"/>
      <c r="L59" s="1043"/>
      <c r="M59" s="1043"/>
      <c r="N59" s="1043"/>
      <c r="O59" s="1043"/>
      <c r="P59" s="1043"/>
      <c r="Q59" s="1043"/>
      <c r="R59" s="1043"/>
      <c r="S59" s="1043"/>
      <c r="T59" s="1043"/>
      <c r="U59" s="1043"/>
      <c r="V59" s="1043"/>
    </row>
  </sheetData>
  <mergeCells count="2">
    <mergeCell ref="O13:Q13"/>
    <mergeCell ref="I13:K13"/>
  </mergeCells>
  <phoneticPr fontId="19" type="noConversion"/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FFC000"/>
  </sheetPr>
  <dimension ref="A1:V48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6" style="18" customWidth="1"/>
    <col min="2" max="2" width="1.42578125" style="18" customWidth="1"/>
    <col min="3" max="3" width="12.85546875" style="18" customWidth="1"/>
    <col min="4" max="4" width="4.140625" style="18" customWidth="1"/>
    <col min="5" max="5" width="37.85546875" style="18" customWidth="1"/>
    <col min="6" max="6" width="3.140625" style="18" customWidth="1"/>
    <col min="7" max="7" width="14.42578125" style="18" customWidth="1"/>
    <col min="8" max="8" width="1.28515625" style="18" customWidth="1"/>
    <col min="9" max="9" width="13.42578125" style="18" customWidth="1"/>
    <col min="10" max="10" width="1.140625" style="18" customWidth="1"/>
    <col min="11" max="11" width="14.42578125" style="18" customWidth="1"/>
    <col min="12" max="12" width="2.28515625" style="18" customWidth="1"/>
    <col min="13" max="13" width="14.85546875" style="18" customWidth="1"/>
    <col min="14" max="14" width="1.5703125" style="18" customWidth="1"/>
    <col min="15" max="15" width="12.28515625" style="18" customWidth="1"/>
    <col min="16" max="16" width="1" style="18" customWidth="1"/>
    <col min="17" max="17" width="13.140625" style="18" customWidth="1"/>
    <col min="18" max="16384" width="8" style="18"/>
  </cols>
  <sheetData>
    <row r="1" spans="1:22">
      <c r="A1" s="1988" t="str">
        <f>COMPANY</f>
        <v>DUKE ENERGY KENTUCKY, INC.</v>
      </c>
      <c r="B1" s="1989"/>
      <c r="C1" s="1988"/>
      <c r="D1" s="1989"/>
      <c r="E1" s="1989"/>
      <c r="F1" s="1989"/>
      <c r="G1" s="1989"/>
      <c r="H1" s="1989"/>
      <c r="I1" s="1989"/>
      <c r="J1" s="1989"/>
      <c r="K1" s="1989"/>
      <c r="L1" s="1989"/>
      <c r="M1" s="1989"/>
      <c r="N1" s="1989"/>
      <c r="O1" s="1989"/>
      <c r="P1" s="1989"/>
      <c r="Q1" s="1989"/>
      <c r="R1" s="1028"/>
      <c r="S1" s="1028"/>
      <c r="T1" s="1028"/>
      <c r="U1" s="1028"/>
      <c r="V1" s="1028"/>
    </row>
    <row r="2" spans="1:22">
      <c r="A2" s="1988" t="str">
        <f>CASE</f>
        <v>CASE NO. 2017-00321</v>
      </c>
      <c r="B2" s="1989"/>
      <c r="C2" s="1989"/>
      <c r="D2" s="1989"/>
      <c r="E2" s="1989"/>
      <c r="F2" s="1989"/>
      <c r="G2" s="1989"/>
      <c r="H2" s="1989"/>
      <c r="I2" s="1989"/>
      <c r="J2" s="1989"/>
      <c r="K2" s="1989"/>
      <c r="L2" s="1989"/>
      <c r="M2" s="1989"/>
      <c r="N2" s="1989"/>
      <c r="O2" s="1989"/>
      <c r="P2" s="1989"/>
      <c r="Q2" s="1989"/>
      <c r="R2" s="1028"/>
      <c r="S2" s="1028"/>
      <c r="T2" s="1028"/>
      <c r="U2" s="1028"/>
      <c r="V2" s="1028"/>
    </row>
    <row r="3" spans="1:22">
      <c r="A3" s="1990" t="s">
        <v>388</v>
      </c>
      <c r="B3" s="1989"/>
      <c r="C3" s="1989"/>
      <c r="D3" s="1989"/>
      <c r="E3" s="1989"/>
      <c r="F3" s="1989"/>
      <c r="G3" s="1989"/>
      <c r="H3" s="1989"/>
      <c r="I3" s="1989"/>
      <c r="J3" s="1989"/>
      <c r="K3" s="1989"/>
      <c r="L3" s="1989"/>
      <c r="M3" s="1989"/>
      <c r="N3" s="1990"/>
      <c r="O3" s="1989"/>
      <c r="P3" s="1989"/>
      <c r="Q3" s="1989"/>
      <c r="R3" s="1028"/>
      <c r="S3" s="1028"/>
      <c r="T3" s="1028"/>
      <c r="U3" s="1028"/>
      <c r="V3" s="1028"/>
    </row>
    <row r="4" spans="1:22">
      <c r="A4" s="1988" t="str">
        <f>PERIOD</f>
        <v>FOR THE TWELVE MONTHS ENDED NOVEMBER 30, 2017</v>
      </c>
      <c r="B4" s="1989"/>
      <c r="C4" s="1989"/>
      <c r="D4" s="1989"/>
      <c r="E4" s="1989"/>
      <c r="F4" s="1989"/>
      <c r="G4" s="1989"/>
      <c r="H4" s="1989"/>
      <c r="I4" s="1989"/>
      <c r="J4" s="1989"/>
      <c r="K4" s="1989"/>
      <c r="L4" s="1989"/>
      <c r="M4" s="1989"/>
      <c r="N4" s="1989"/>
      <c r="O4" s="1989"/>
      <c r="P4" s="1989"/>
      <c r="Q4" s="1989"/>
      <c r="R4" s="1028"/>
      <c r="S4" s="1028"/>
      <c r="T4" s="1028"/>
      <c r="U4" s="1028"/>
      <c r="V4" s="1028"/>
    </row>
    <row r="5" spans="1:22">
      <c r="A5" s="1988" t="str">
        <f>PeriodF</f>
        <v>FOR THE TWELVE MONTHS ENDED MARCH 31, 2019</v>
      </c>
      <c r="B5" s="1989"/>
      <c r="C5" s="1989"/>
      <c r="D5" s="1989"/>
      <c r="E5" s="1989"/>
      <c r="F5" s="1989"/>
      <c r="G5" s="1989"/>
      <c r="H5" s="1989"/>
      <c r="I5" s="1989"/>
      <c r="J5" s="1989"/>
      <c r="K5" s="1989"/>
      <c r="L5" s="1989"/>
      <c r="M5" s="1989"/>
      <c r="N5" s="1989"/>
      <c r="O5" s="1989"/>
      <c r="P5" s="1989"/>
      <c r="Q5" s="1989"/>
      <c r="R5" s="1028"/>
      <c r="S5" s="1028"/>
      <c r="T5" s="1028"/>
      <c r="U5" s="1028"/>
      <c r="V5" s="1028"/>
    </row>
    <row r="6" spans="1:22">
      <c r="A6" s="1028"/>
      <c r="B6" s="1028"/>
      <c r="C6" s="1028"/>
      <c r="D6" s="1028"/>
      <c r="E6" s="1028"/>
      <c r="F6" s="1028"/>
      <c r="G6" s="1028"/>
      <c r="H6" s="1028"/>
      <c r="I6" s="1028"/>
      <c r="J6" s="1028"/>
      <c r="K6" s="1028"/>
      <c r="L6" s="1028"/>
      <c r="M6" s="1028"/>
      <c r="N6" s="1028"/>
      <c r="O6" s="1028"/>
      <c r="P6" s="1028"/>
      <c r="Q6" s="1028"/>
      <c r="R6" s="1028"/>
      <c r="S6" s="1028"/>
      <c r="T6" s="1028"/>
      <c r="U6" s="1028"/>
      <c r="V6" s="1028"/>
    </row>
    <row r="7" spans="1:22">
      <c r="A7" s="1991" t="str">
        <f>DataB</f>
        <v>DATA: "X" BASE PERIOD  "X" FORECASTED PERIOD</v>
      </c>
      <c r="B7" s="1028"/>
      <c r="C7" s="1028"/>
      <c r="D7" s="1028"/>
      <c r="E7" s="1028"/>
      <c r="F7" s="1028"/>
      <c r="G7" s="1028"/>
      <c r="H7" s="1028"/>
      <c r="I7" s="1028"/>
      <c r="J7" s="1028"/>
      <c r="K7" s="1028"/>
      <c r="L7" s="1028"/>
      <c r="M7" s="1028"/>
      <c r="N7" s="1028"/>
      <c r="O7" s="1992" t="s">
        <v>389</v>
      </c>
      <c r="P7" s="1028"/>
      <c r="Q7" s="1028"/>
      <c r="R7" s="1028"/>
      <c r="S7" s="1028"/>
      <c r="T7" s="1028"/>
      <c r="U7" s="1028"/>
      <c r="V7" s="1028"/>
    </row>
    <row r="8" spans="1:22">
      <c r="A8" s="1991" t="str">
        <f>Type</f>
        <v xml:space="preserve">TYPE OF FILING:  "X" ORIGINAL   UPDATED    REVISED  </v>
      </c>
      <c r="B8" s="1028"/>
      <c r="C8" s="1028"/>
      <c r="D8" s="1028"/>
      <c r="E8" s="1028"/>
      <c r="F8" s="1028"/>
      <c r="G8" s="1028"/>
      <c r="H8" s="1028"/>
      <c r="I8" s="1028"/>
      <c r="J8" s="1028"/>
      <c r="K8" s="1028"/>
      <c r="L8" s="1028"/>
      <c r="M8" s="1028"/>
      <c r="N8" s="1028"/>
      <c r="O8" s="1992" t="s">
        <v>620</v>
      </c>
      <c r="P8" s="1028"/>
      <c r="Q8" s="1028"/>
      <c r="R8" s="1028"/>
      <c r="S8" s="1028"/>
      <c r="T8" s="1028"/>
      <c r="U8" s="1028"/>
      <c r="V8" s="1028"/>
    </row>
    <row r="9" spans="1:22">
      <c r="A9" s="1992" t="s">
        <v>1879</v>
      </c>
      <c r="B9" s="1028"/>
      <c r="C9" s="1028"/>
      <c r="D9" s="1028"/>
      <c r="E9" s="1028"/>
      <c r="F9" s="1028"/>
      <c r="G9" s="1028"/>
      <c r="H9" s="1028"/>
      <c r="I9" s="1028"/>
      <c r="J9" s="1028"/>
      <c r="K9" s="1028"/>
      <c r="L9" s="1028"/>
      <c r="M9" s="1028"/>
      <c r="N9" s="1028"/>
      <c r="O9" s="1992" t="s">
        <v>622</v>
      </c>
      <c r="P9" s="1028"/>
      <c r="Q9" s="1028"/>
      <c r="R9" s="1028"/>
      <c r="S9" s="1028"/>
      <c r="T9" s="1028"/>
      <c r="U9" s="1028"/>
      <c r="V9" s="1028"/>
    </row>
    <row r="10" spans="1:22">
      <c r="A10" s="1028"/>
      <c r="B10" s="1028"/>
      <c r="C10" s="1028"/>
      <c r="D10" s="1028"/>
      <c r="E10" s="1028"/>
      <c r="F10" s="1028"/>
      <c r="G10" s="1028"/>
      <c r="H10" s="1028"/>
      <c r="I10" s="1028"/>
      <c r="J10" s="1028"/>
      <c r="K10" s="1028"/>
      <c r="L10" s="1028"/>
      <c r="M10" s="1028"/>
      <c r="N10" s="1028"/>
      <c r="O10" s="1028" t="str">
        <f>LOGO!G6</f>
        <v>S. E. LAWLER</v>
      </c>
      <c r="P10" s="1028"/>
      <c r="Q10" s="1028"/>
      <c r="R10" s="1028"/>
      <c r="S10" s="1028"/>
      <c r="T10" s="1028"/>
      <c r="U10" s="1028"/>
      <c r="V10" s="1028"/>
    </row>
    <row r="11" spans="1:22">
      <c r="A11" s="1972"/>
      <c r="B11" s="1972"/>
      <c r="C11" s="1972"/>
      <c r="D11" s="1972"/>
      <c r="E11" s="1972"/>
      <c r="F11" s="1972"/>
      <c r="G11" s="1972"/>
      <c r="H11" s="1972"/>
      <c r="I11" s="1972"/>
      <c r="J11" s="1972"/>
      <c r="K11" s="1972"/>
      <c r="L11" s="1972"/>
      <c r="M11" s="1972"/>
      <c r="N11" s="1972"/>
      <c r="O11" s="1972"/>
      <c r="P11" s="1972"/>
      <c r="Q11" s="1972"/>
      <c r="R11" s="1028"/>
      <c r="S11" s="1028"/>
      <c r="T11" s="1028"/>
      <c r="U11" s="1028"/>
      <c r="V11" s="1028"/>
    </row>
    <row r="12" spans="1:22">
      <c r="A12" s="1993"/>
      <c r="B12" s="1993"/>
      <c r="C12" s="1993"/>
      <c r="D12" s="1993"/>
      <c r="E12" s="1993"/>
      <c r="F12" s="1993"/>
      <c r="G12" s="1880" t="s">
        <v>1981</v>
      </c>
      <c r="H12" s="1959"/>
      <c r="I12" s="1959"/>
      <c r="J12" s="1959"/>
      <c r="K12" s="1959"/>
      <c r="L12" s="1993"/>
      <c r="M12" s="1880" t="s">
        <v>624</v>
      </c>
      <c r="N12" s="1959"/>
      <c r="O12" s="1959"/>
      <c r="P12" s="1959"/>
      <c r="Q12" s="1959"/>
      <c r="R12" s="1028"/>
      <c r="S12" s="1028"/>
      <c r="T12" s="1028"/>
      <c r="U12" s="1028"/>
      <c r="V12" s="1028"/>
    </row>
    <row r="13" spans="1:22">
      <c r="A13" s="1974" t="s">
        <v>1961</v>
      </c>
      <c r="B13" s="1028"/>
      <c r="C13" s="1974" t="s">
        <v>1080</v>
      </c>
      <c r="D13" s="1028"/>
      <c r="E13" s="1974" t="s">
        <v>390</v>
      </c>
      <c r="F13" s="1988"/>
      <c r="G13" s="1961" t="s">
        <v>1035</v>
      </c>
      <c r="H13" s="1963"/>
      <c r="I13" s="2805" t="s">
        <v>1461</v>
      </c>
      <c r="J13" s="2805"/>
      <c r="K13" s="2805"/>
      <c r="L13" s="1988"/>
      <c r="M13" s="1962" t="s">
        <v>1035</v>
      </c>
      <c r="N13" s="1974"/>
      <c r="O13" s="2806" t="s">
        <v>1461</v>
      </c>
      <c r="P13" s="2806"/>
      <c r="Q13" s="2806"/>
      <c r="R13" s="1028"/>
      <c r="S13" s="1028"/>
      <c r="T13" s="1028"/>
      <c r="U13" s="1028"/>
      <c r="V13" s="1028"/>
    </row>
    <row r="14" spans="1:22">
      <c r="A14" s="1974" t="s">
        <v>90</v>
      </c>
      <c r="B14" s="1028"/>
      <c r="C14" s="1974" t="s">
        <v>90</v>
      </c>
      <c r="D14" s="1028"/>
      <c r="E14" s="1974" t="s">
        <v>391</v>
      </c>
      <c r="F14" s="1988"/>
      <c r="G14" s="1963" t="s">
        <v>403</v>
      </c>
      <c r="H14" s="1963"/>
      <c r="I14" s="1964" t="s">
        <v>475</v>
      </c>
      <c r="J14" s="1994"/>
      <c r="K14" s="1965" t="s">
        <v>364</v>
      </c>
      <c r="L14" s="1988"/>
      <c r="M14" s="1974" t="s">
        <v>403</v>
      </c>
      <c r="N14" s="1974"/>
      <c r="O14" s="1966" t="s">
        <v>475</v>
      </c>
      <c r="P14" s="1989"/>
      <c r="Q14" s="1967" t="s">
        <v>364</v>
      </c>
      <c r="R14" s="1028"/>
      <c r="S14" s="1028"/>
      <c r="T14" s="1028"/>
      <c r="U14" s="1028"/>
      <c r="V14" s="1028"/>
    </row>
    <row r="15" spans="1:22">
      <c r="A15" s="1972"/>
      <c r="B15" s="1972"/>
      <c r="C15" s="1972"/>
      <c r="D15" s="1972"/>
      <c r="E15" s="1972"/>
      <c r="F15" s="1972"/>
      <c r="G15" s="1970"/>
      <c r="H15" s="1970"/>
      <c r="I15" s="1971" t="s">
        <v>296</v>
      </c>
      <c r="J15" s="1970"/>
      <c r="K15" s="1970"/>
      <c r="L15" s="1972"/>
      <c r="M15" s="1972"/>
      <c r="N15" s="1972"/>
      <c r="O15" s="1973" t="s">
        <v>296</v>
      </c>
      <c r="P15" s="1972"/>
      <c r="Q15" s="1972"/>
      <c r="R15" s="1028"/>
      <c r="S15" s="1028"/>
      <c r="T15" s="1028"/>
      <c r="U15" s="1028"/>
      <c r="V15" s="1028"/>
    </row>
    <row r="16" spans="1:22">
      <c r="A16" s="1028"/>
      <c r="B16" s="1028"/>
      <c r="C16" s="1028"/>
      <c r="D16" s="1028"/>
      <c r="E16" s="1028"/>
      <c r="F16" s="1028"/>
      <c r="G16" s="1963" t="s">
        <v>1150</v>
      </c>
      <c r="H16" s="1963"/>
      <c r="I16" s="1963" t="s">
        <v>363</v>
      </c>
      <c r="J16" s="1994"/>
      <c r="K16" s="1963" t="s">
        <v>1150</v>
      </c>
      <c r="L16" s="1028"/>
      <c r="M16" s="1974" t="s">
        <v>1150</v>
      </c>
      <c r="N16" s="1974"/>
      <c r="O16" s="1974" t="s">
        <v>363</v>
      </c>
      <c r="P16" s="1989"/>
      <c r="Q16" s="1974" t="s">
        <v>1150</v>
      </c>
      <c r="R16" s="1028"/>
      <c r="S16" s="1028"/>
      <c r="T16" s="1028"/>
      <c r="U16" s="1028"/>
      <c r="V16" s="1028"/>
    </row>
    <row r="17" spans="1:22">
      <c r="A17" s="1028"/>
      <c r="B17" s="1028"/>
      <c r="C17" s="1028"/>
      <c r="D17" s="1028"/>
      <c r="E17" s="1028"/>
      <c r="F17" s="1028"/>
      <c r="G17" s="1028"/>
      <c r="H17" s="1028"/>
      <c r="I17" s="1028"/>
      <c r="J17" s="1028"/>
      <c r="K17" s="1028"/>
      <c r="L17" s="1028"/>
      <c r="M17" s="1995"/>
      <c r="N17" s="1995"/>
      <c r="O17" s="1028"/>
      <c r="P17" s="1028"/>
      <c r="Q17" s="1995"/>
      <c r="R17" s="1028"/>
      <c r="S17" s="1028"/>
      <c r="T17" s="1028"/>
      <c r="U17" s="1028"/>
      <c r="V17" s="1028"/>
    </row>
    <row r="18" spans="1:22">
      <c r="A18" s="1967">
        <v>1</v>
      </c>
      <c r="B18" s="1996"/>
      <c r="C18" s="1046">
        <v>912000</v>
      </c>
      <c r="D18" s="1028"/>
      <c r="E18" s="1028" t="s">
        <v>2930</v>
      </c>
      <c r="F18" s="1997"/>
      <c r="G18" s="1998">
        <v>7</v>
      </c>
      <c r="H18" s="1028"/>
      <c r="I18" s="1029">
        <f t="shared" ref="I18:I25" si="0">VLOOKUP($E$30,ALLOCTABLE,2)</f>
        <v>100</v>
      </c>
      <c r="J18" s="1030"/>
      <c r="K18" s="1999">
        <f t="shared" ref="K18:K24" si="1">ROUND(G18*(I18/100),2)</f>
        <v>7</v>
      </c>
      <c r="L18" s="1525"/>
      <c r="M18" s="1998">
        <v>0</v>
      </c>
      <c r="N18" s="1028"/>
      <c r="O18" s="1029">
        <f t="shared" ref="O18:O25" si="2">VLOOKUP($E$30,ALLOCTABLE,2)</f>
        <v>100</v>
      </c>
      <c r="P18" s="1030"/>
      <c r="Q18" s="1999">
        <f t="shared" ref="Q18:Q24" si="3">ROUND(M18*(O18/100),2)</f>
        <v>0</v>
      </c>
      <c r="R18" s="1028"/>
      <c r="S18" s="1028"/>
      <c r="T18" s="1028"/>
      <c r="U18" s="1028"/>
      <c r="V18" s="1028"/>
    </row>
    <row r="19" spans="1:22">
      <c r="A19" s="1967">
        <v>2</v>
      </c>
      <c r="B19" s="1996"/>
      <c r="C19" s="1046">
        <v>500000</v>
      </c>
      <c r="D19" s="1028"/>
      <c r="E19" s="1028" t="s">
        <v>2991</v>
      </c>
      <c r="F19" s="1997"/>
      <c r="G19" s="1998">
        <v>230</v>
      </c>
      <c r="H19" s="1028"/>
      <c r="I19" s="1029">
        <f t="shared" si="0"/>
        <v>100</v>
      </c>
      <c r="J19" s="1030"/>
      <c r="K19" s="1999">
        <f t="shared" ref="K19:K20" si="4">ROUND(G19*(I19/100),2)</f>
        <v>230</v>
      </c>
      <c r="L19" s="1525"/>
      <c r="M19" s="1998">
        <v>0</v>
      </c>
      <c r="N19" s="1028"/>
      <c r="O19" s="1029">
        <f t="shared" si="2"/>
        <v>100</v>
      </c>
      <c r="P19" s="1030"/>
      <c r="Q19" s="1999">
        <f t="shared" ref="Q19:Q20" si="5">ROUND(M19*(O19/100),2)</f>
        <v>0</v>
      </c>
      <c r="R19" s="1028"/>
      <c r="S19" s="1028"/>
      <c r="T19" s="1028"/>
      <c r="U19" s="1028"/>
      <c r="V19" s="1028"/>
    </row>
    <row r="20" spans="1:22">
      <c r="A20" s="1967">
        <v>3</v>
      </c>
      <c r="B20" s="1996"/>
      <c r="C20" s="1046">
        <v>500000</v>
      </c>
      <c r="D20" s="1028"/>
      <c r="E20" s="1028" t="s">
        <v>2992</v>
      </c>
      <c r="F20" s="1997"/>
      <c r="G20" s="1998">
        <v>139</v>
      </c>
      <c r="H20" s="1028"/>
      <c r="I20" s="1029">
        <f t="shared" si="0"/>
        <v>100</v>
      </c>
      <c r="J20" s="1030"/>
      <c r="K20" s="1999">
        <f t="shared" si="4"/>
        <v>139</v>
      </c>
      <c r="L20" s="1525"/>
      <c r="M20" s="1998">
        <v>0</v>
      </c>
      <c r="N20" s="1028"/>
      <c r="O20" s="1029">
        <f t="shared" si="2"/>
        <v>100</v>
      </c>
      <c r="P20" s="1030"/>
      <c r="Q20" s="1999">
        <f t="shared" si="5"/>
        <v>0</v>
      </c>
      <c r="R20" s="1028"/>
      <c r="S20" s="1028"/>
      <c r="T20" s="1028"/>
      <c r="U20" s="1028"/>
      <c r="V20" s="1028"/>
    </row>
    <row r="21" spans="1:22">
      <c r="A21" s="1967">
        <v>4</v>
      </c>
      <c r="B21" s="1996"/>
      <c r="C21" s="1046">
        <v>926000</v>
      </c>
      <c r="D21" s="1028"/>
      <c r="E21" s="1028" t="s">
        <v>2931</v>
      </c>
      <c r="F21" s="1997"/>
      <c r="G21" s="1998">
        <v>4659</v>
      </c>
      <c r="H21" s="1028"/>
      <c r="I21" s="1029">
        <f t="shared" si="0"/>
        <v>100</v>
      </c>
      <c r="J21" s="1030"/>
      <c r="K21" s="1999">
        <f t="shared" si="1"/>
        <v>4659</v>
      </c>
      <c r="L21" s="1525"/>
      <c r="M21" s="1998">
        <v>0</v>
      </c>
      <c r="N21" s="1028"/>
      <c r="O21" s="1029">
        <f t="shared" si="2"/>
        <v>100</v>
      </c>
      <c r="P21" s="1030"/>
      <c r="Q21" s="1999">
        <f t="shared" si="3"/>
        <v>0</v>
      </c>
      <c r="R21" s="1028"/>
      <c r="S21" s="1028"/>
      <c r="T21" s="1028"/>
      <c r="U21" s="1028"/>
      <c r="V21" s="1028"/>
    </row>
    <row r="22" spans="1:22">
      <c r="A22" s="1967">
        <v>5</v>
      </c>
      <c r="B22" s="1996"/>
      <c r="C22" s="1046">
        <v>920000</v>
      </c>
      <c r="D22" s="1028"/>
      <c r="E22" s="1028" t="s">
        <v>2993</v>
      </c>
      <c r="F22" s="1997"/>
      <c r="G22" s="1998">
        <v>959</v>
      </c>
      <c r="H22" s="1028"/>
      <c r="I22" s="1029">
        <f t="shared" si="0"/>
        <v>100</v>
      </c>
      <c r="J22" s="1030"/>
      <c r="K22" s="1999">
        <f t="shared" ref="K22:K23" si="6">ROUND(G22*(I22/100),2)</f>
        <v>959</v>
      </c>
      <c r="L22" s="1525"/>
      <c r="M22" s="1998">
        <v>0</v>
      </c>
      <c r="N22" s="1028"/>
      <c r="O22" s="1029">
        <f t="shared" si="2"/>
        <v>100</v>
      </c>
      <c r="P22" s="1030"/>
      <c r="Q22" s="1999">
        <f t="shared" ref="Q22:Q23" si="7">ROUND(M22*(O22/100),2)</f>
        <v>0</v>
      </c>
      <c r="R22" s="1028"/>
      <c r="S22" s="1028"/>
      <c r="T22" s="1028"/>
      <c r="U22" s="1028"/>
      <c r="V22" s="1028"/>
    </row>
    <row r="23" spans="1:22">
      <c r="A23" s="1967">
        <v>6</v>
      </c>
      <c r="B23" s="1996"/>
      <c r="C23" s="1046">
        <v>920000</v>
      </c>
      <c r="D23" s="1028"/>
      <c r="E23" s="1028" t="s">
        <v>2994</v>
      </c>
      <c r="F23" s="1997"/>
      <c r="G23" s="1998">
        <v>96</v>
      </c>
      <c r="H23" s="1028"/>
      <c r="I23" s="1029">
        <f t="shared" si="0"/>
        <v>100</v>
      </c>
      <c r="J23" s="1030"/>
      <c r="K23" s="1999">
        <f t="shared" si="6"/>
        <v>96</v>
      </c>
      <c r="L23" s="1525"/>
      <c r="M23" s="1998">
        <v>0</v>
      </c>
      <c r="N23" s="1028"/>
      <c r="O23" s="1029">
        <f t="shared" si="2"/>
        <v>100</v>
      </c>
      <c r="P23" s="1030"/>
      <c r="Q23" s="1999">
        <f t="shared" si="7"/>
        <v>0</v>
      </c>
      <c r="R23" s="1028"/>
      <c r="S23" s="1028"/>
      <c r="T23" s="1028"/>
      <c r="U23" s="1028"/>
      <c r="V23" s="1028"/>
    </row>
    <row r="24" spans="1:22">
      <c r="A24" s="1967">
        <v>7</v>
      </c>
      <c r="B24" s="1996"/>
      <c r="C24" s="1967" t="s">
        <v>1209</v>
      </c>
      <c r="D24" s="1028"/>
      <c r="E24" s="1028" t="s">
        <v>1642</v>
      </c>
      <c r="F24" s="1997"/>
      <c r="G24" s="1998">
        <v>-1521</v>
      </c>
      <c r="H24" s="1028"/>
      <c r="I24" s="1029">
        <f t="shared" si="0"/>
        <v>100</v>
      </c>
      <c r="J24" s="1030"/>
      <c r="K24" s="1999">
        <f t="shared" si="1"/>
        <v>-1521</v>
      </c>
      <c r="L24" s="1525"/>
      <c r="M24" s="1998">
        <v>0</v>
      </c>
      <c r="N24" s="1028"/>
      <c r="O24" s="1029">
        <f t="shared" si="2"/>
        <v>100</v>
      </c>
      <c r="P24" s="1030"/>
      <c r="Q24" s="1999">
        <f t="shared" si="3"/>
        <v>0</v>
      </c>
      <c r="R24" s="1028"/>
      <c r="S24" s="1028"/>
      <c r="T24" s="1028"/>
      <c r="U24" s="1028"/>
      <c r="V24" s="1028"/>
    </row>
    <row r="25" spans="1:22">
      <c r="A25" s="1967">
        <v>8</v>
      </c>
      <c r="B25" s="1028"/>
      <c r="C25" s="1967" t="s">
        <v>1209</v>
      </c>
      <c r="D25" s="1028"/>
      <c r="E25" s="46" t="s">
        <v>3215</v>
      </c>
      <c r="F25" s="1028"/>
      <c r="G25" s="1998">
        <v>0</v>
      </c>
      <c r="H25" s="1028"/>
      <c r="I25" s="1029">
        <f t="shared" si="0"/>
        <v>100</v>
      </c>
      <c r="J25" s="1030"/>
      <c r="K25" s="1524">
        <f>ROUND(G25*(I25/100),2)</f>
        <v>0</v>
      </c>
      <c r="L25" s="1525"/>
      <c r="M25" s="2000">
        <v>15701</v>
      </c>
      <c r="N25" s="1028"/>
      <c r="O25" s="1029">
        <f t="shared" si="2"/>
        <v>100</v>
      </c>
      <c r="P25" s="1030"/>
      <c r="Q25" s="1524">
        <f>ROUND(M25*(O25/100),2)</f>
        <v>15701</v>
      </c>
      <c r="R25" s="1028"/>
      <c r="S25" s="1028"/>
      <c r="T25" s="1028"/>
      <c r="U25" s="1028"/>
      <c r="V25" s="1028"/>
    </row>
    <row r="26" spans="1:22">
      <c r="A26" s="1967">
        <v>9</v>
      </c>
      <c r="B26" s="1028"/>
      <c r="C26" s="1967"/>
      <c r="D26" s="1028"/>
      <c r="E26" s="1028"/>
      <c r="F26" s="1028"/>
      <c r="G26" s="2001"/>
      <c r="H26" s="1028"/>
      <c r="I26" s="1029"/>
      <c r="J26" s="1030"/>
      <c r="K26" s="1999"/>
      <c r="L26" s="1525"/>
      <c r="M26" s="1998"/>
      <c r="N26" s="1028"/>
      <c r="O26" s="1029"/>
      <c r="P26" s="1030"/>
      <c r="Q26" s="1999"/>
      <c r="R26" s="1028"/>
      <c r="S26" s="1028"/>
      <c r="T26" s="1028"/>
      <c r="U26" s="1028"/>
      <c r="V26" s="1028"/>
    </row>
    <row r="27" spans="1:22" ht="13.5" thickBot="1">
      <c r="A27" s="1967">
        <v>10</v>
      </c>
      <c r="B27" s="1992"/>
      <c r="C27" s="1028"/>
      <c r="D27" s="1028"/>
      <c r="E27" s="2002" t="s">
        <v>1793</v>
      </c>
      <c r="F27" s="2003"/>
      <c r="G27" s="2004">
        <f>SUM(G18:G25)</f>
        <v>4569</v>
      </c>
      <c r="H27" s="2005"/>
      <c r="I27" s="1995"/>
      <c r="J27" s="1995"/>
      <c r="K27" s="2004">
        <f>SUM(K18:K25)</f>
        <v>4569</v>
      </c>
      <c r="L27" s="2006"/>
      <c r="M27" s="2004">
        <f>SUM(M18:M25)</f>
        <v>15701</v>
      </c>
      <c r="N27" s="2005"/>
      <c r="O27" s="1995"/>
      <c r="P27" s="1995"/>
      <c r="Q27" s="2004">
        <f>SUM(Q18:Q25)</f>
        <v>15701</v>
      </c>
      <c r="R27" s="1028"/>
      <c r="S27" s="1028"/>
      <c r="T27" s="1028"/>
      <c r="U27" s="1028"/>
      <c r="V27" s="1028"/>
    </row>
    <row r="28" spans="1:22" ht="13.5" thickTop="1">
      <c r="A28" s="1967"/>
      <c r="B28" s="1992"/>
      <c r="C28" s="1028"/>
      <c r="D28" s="1028"/>
      <c r="E28" s="2003"/>
      <c r="F28" s="2003"/>
      <c r="G28" s="2007"/>
      <c r="H28" s="2003"/>
      <c r="I28" s="2003"/>
      <c r="J28" s="2003"/>
      <c r="K28" s="2007"/>
      <c r="L28" s="2007"/>
      <c r="M28" s="2008"/>
      <c r="N28" s="2005"/>
      <c r="O28" s="1995"/>
      <c r="P28" s="1995"/>
      <c r="Q28" s="2008"/>
      <c r="R28" s="1995"/>
      <c r="S28" s="1028"/>
      <c r="T28" s="1028"/>
      <c r="U28" s="1028"/>
      <c r="V28" s="1028"/>
    </row>
    <row r="29" spans="1:22">
      <c r="A29" s="2009"/>
      <c r="B29" s="1028"/>
      <c r="C29" s="1028"/>
      <c r="D29" s="1028"/>
      <c r="E29" s="1028"/>
      <c r="F29" s="1028"/>
      <c r="G29" s="2010"/>
      <c r="H29" s="1028"/>
      <c r="I29" s="1028"/>
      <c r="J29" s="1028"/>
      <c r="K29" s="1028"/>
      <c r="L29" s="1028"/>
      <c r="M29" s="1028"/>
      <c r="N29" s="1028"/>
      <c r="O29" s="1028"/>
      <c r="P29" s="1028"/>
      <c r="Q29" s="1028"/>
      <c r="R29" s="1028"/>
      <c r="S29" s="1028"/>
      <c r="T29" s="1028"/>
      <c r="U29" s="1028"/>
      <c r="V29" s="1028"/>
    </row>
    <row r="30" spans="1:22">
      <c r="A30" s="2009"/>
      <c r="B30" s="1028"/>
      <c r="C30" s="1028" t="s">
        <v>384</v>
      </c>
      <c r="D30" s="1028"/>
      <c r="E30" s="1987" t="s">
        <v>593</v>
      </c>
      <c r="F30" s="1028"/>
      <c r="G30" s="1028"/>
      <c r="H30" s="1028"/>
      <c r="I30" s="1028"/>
      <c r="J30" s="1028"/>
      <c r="K30" s="1028"/>
      <c r="L30" s="1028"/>
      <c r="M30" s="1028"/>
      <c r="N30" s="1028"/>
      <c r="O30" s="1028"/>
      <c r="P30" s="1028"/>
      <c r="Q30" s="1028"/>
      <c r="R30" s="1028"/>
      <c r="S30" s="1028"/>
      <c r="T30" s="1028"/>
      <c r="U30" s="1028"/>
      <c r="V30" s="1028"/>
    </row>
    <row r="31" spans="1:22">
      <c r="A31" s="2009"/>
      <c r="B31" s="1028"/>
      <c r="C31" s="1997"/>
      <c r="D31" s="1028"/>
      <c r="E31" s="1028"/>
      <c r="F31" s="1028"/>
      <c r="G31" s="1028"/>
      <c r="H31" s="1028"/>
      <c r="I31" s="1028"/>
      <c r="J31" s="1028"/>
      <c r="K31" s="1028"/>
      <c r="L31" s="1028"/>
      <c r="M31" s="1028"/>
      <c r="N31" s="1028"/>
      <c r="O31" s="1028"/>
      <c r="P31" s="1028"/>
      <c r="Q31" s="1028"/>
      <c r="R31" s="1028"/>
      <c r="S31" s="1028"/>
      <c r="T31" s="1028"/>
      <c r="U31" s="1028"/>
      <c r="V31" s="1028"/>
    </row>
    <row r="32" spans="1:22">
      <c r="A32" s="2009"/>
      <c r="B32" s="1028"/>
      <c r="C32" s="1028"/>
      <c r="D32" s="1028"/>
      <c r="E32" s="1028"/>
      <c r="F32" s="1028"/>
      <c r="G32" s="1028"/>
      <c r="H32" s="1028"/>
      <c r="I32" s="1028"/>
      <c r="J32" s="1028"/>
      <c r="K32" s="1028"/>
      <c r="L32" s="1028"/>
      <c r="M32" s="1028"/>
      <c r="N32" s="1028"/>
      <c r="O32" s="1028"/>
      <c r="P32" s="1028"/>
      <c r="Q32" s="1028"/>
      <c r="R32" s="1028"/>
      <c r="S32" s="1028"/>
      <c r="T32" s="1028"/>
      <c r="U32" s="1028"/>
      <c r="V32" s="1028"/>
    </row>
    <row r="33" spans="1:22">
      <c r="A33" s="2009"/>
      <c r="B33" s="1028"/>
      <c r="C33" s="1028"/>
      <c r="D33" s="1028"/>
      <c r="E33" s="1028"/>
      <c r="F33" s="1028"/>
      <c r="G33" s="1028"/>
      <c r="H33" s="1028"/>
      <c r="I33" s="1028"/>
      <c r="J33" s="1028"/>
      <c r="K33" s="1028"/>
      <c r="L33" s="1028"/>
      <c r="M33" s="1028"/>
      <c r="N33" s="1028"/>
      <c r="O33" s="1028"/>
      <c r="P33" s="1028"/>
      <c r="Q33" s="1028"/>
      <c r="R33" s="1028"/>
      <c r="S33" s="1028"/>
      <c r="T33" s="1028"/>
      <c r="U33" s="1028"/>
      <c r="V33" s="1028"/>
    </row>
    <row r="34" spans="1:22">
      <c r="A34" s="1028"/>
      <c r="B34" s="1028"/>
      <c r="C34" s="1028"/>
      <c r="D34" s="1028"/>
      <c r="E34" s="1028"/>
      <c r="F34" s="1028"/>
      <c r="G34" s="1028"/>
      <c r="H34" s="1028"/>
      <c r="I34" s="1028"/>
      <c r="J34" s="1028"/>
      <c r="K34" s="1028"/>
      <c r="L34" s="1028"/>
      <c r="M34" s="1028"/>
      <c r="N34" s="1028"/>
      <c r="O34" s="1028"/>
      <c r="P34" s="1028"/>
      <c r="Q34" s="1028"/>
      <c r="R34" s="1028"/>
      <c r="S34" s="1028"/>
      <c r="T34" s="1028"/>
      <c r="U34" s="1028"/>
      <c r="V34" s="1028"/>
    </row>
    <row r="35" spans="1:22">
      <c r="A35" s="1040"/>
      <c r="B35" s="1040"/>
      <c r="C35" s="1040"/>
      <c r="D35" s="1040"/>
      <c r="E35" s="1040"/>
      <c r="F35" s="1028"/>
      <c r="G35" s="1028"/>
      <c r="H35" s="1028"/>
      <c r="I35" s="1028"/>
      <c r="J35" s="1028"/>
      <c r="K35" s="1028"/>
      <c r="L35" s="1028"/>
      <c r="M35" s="1028"/>
      <c r="N35" s="1028"/>
      <c r="O35" s="1028"/>
      <c r="P35" s="1028"/>
      <c r="Q35" s="1028"/>
      <c r="R35" s="1028"/>
      <c r="S35" s="1028"/>
      <c r="T35" s="1028"/>
      <c r="U35" s="1028"/>
      <c r="V35" s="1028"/>
    </row>
    <row r="36" spans="1:22">
      <c r="A36" s="1040"/>
      <c r="B36" s="1028"/>
      <c r="C36" s="1028"/>
      <c r="D36" s="1028"/>
      <c r="E36" s="1028"/>
      <c r="F36" s="1028"/>
      <c r="G36" s="1028"/>
      <c r="H36" s="1028"/>
      <c r="I36" s="1028"/>
      <c r="J36" s="1028"/>
      <c r="K36" s="1028"/>
      <c r="L36" s="1028"/>
      <c r="M36" s="1028"/>
      <c r="N36" s="1028"/>
      <c r="O36" s="1028"/>
      <c r="P36" s="1028"/>
      <c r="Q36" s="1028"/>
      <c r="R36" s="1028"/>
      <c r="S36" s="1028"/>
      <c r="T36" s="1028"/>
      <c r="U36" s="1028"/>
      <c r="V36" s="1028"/>
    </row>
    <row r="37" spans="1:22">
      <c r="A37" s="1028"/>
      <c r="B37" s="1028"/>
      <c r="C37" s="1028"/>
      <c r="D37" s="1028"/>
      <c r="E37" s="1028"/>
      <c r="F37" s="1028"/>
      <c r="G37" s="1028"/>
      <c r="H37" s="1028"/>
      <c r="I37" s="1028"/>
      <c r="J37" s="1028"/>
      <c r="K37" s="1028"/>
      <c r="L37" s="1028"/>
      <c r="M37" s="1028"/>
      <c r="N37" s="1028"/>
      <c r="O37" s="1028"/>
      <c r="P37" s="1028"/>
      <c r="Q37" s="1028"/>
      <c r="R37" s="1028"/>
      <c r="S37" s="1028"/>
      <c r="T37" s="1028"/>
      <c r="U37" s="1028"/>
      <c r="V37" s="1028"/>
    </row>
    <row r="38" spans="1:22">
      <c r="A38" s="1028"/>
      <c r="B38" s="1028"/>
      <c r="C38" s="1028"/>
      <c r="D38" s="1028"/>
      <c r="E38" s="1028"/>
      <c r="F38" s="1028"/>
      <c r="G38" s="1028"/>
      <c r="H38" s="1028"/>
      <c r="I38" s="1028"/>
      <c r="J38" s="1028"/>
      <c r="K38" s="1028"/>
      <c r="L38" s="1028"/>
      <c r="M38" s="1028"/>
      <c r="N38" s="1028"/>
      <c r="O38" s="1028"/>
      <c r="P38" s="1028"/>
      <c r="Q38" s="1028"/>
      <c r="R38" s="1028"/>
      <c r="S38" s="1028"/>
      <c r="T38" s="1028"/>
      <c r="U38" s="1028"/>
      <c r="V38" s="1028"/>
    </row>
    <row r="39" spans="1:22">
      <c r="A39" s="1028"/>
      <c r="B39" s="1028"/>
      <c r="C39" s="1028"/>
      <c r="D39" s="1028"/>
      <c r="E39" s="1028"/>
      <c r="F39" s="1028"/>
      <c r="G39" s="1028"/>
      <c r="H39" s="1028"/>
      <c r="I39" s="1028"/>
      <c r="J39" s="1028"/>
      <c r="K39" s="1028"/>
      <c r="L39" s="1028"/>
      <c r="M39" s="1028"/>
      <c r="N39" s="1028"/>
      <c r="O39" s="1028"/>
      <c r="P39" s="1028"/>
      <c r="Q39" s="1028"/>
      <c r="R39" s="1028"/>
      <c r="S39" s="1028"/>
      <c r="T39" s="1028"/>
      <c r="U39" s="1028"/>
      <c r="V39" s="1028"/>
    </row>
    <row r="40" spans="1:22">
      <c r="A40" s="1028"/>
      <c r="B40" s="1028"/>
      <c r="C40" s="1028"/>
      <c r="D40" s="1028"/>
      <c r="E40" s="1028"/>
      <c r="F40" s="1028"/>
      <c r="G40" s="1028"/>
      <c r="H40" s="1028"/>
      <c r="I40" s="1028"/>
      <c r="J40" s="1028"/>
      <c r="K40" s="1028"/>
      <c r="L40" s="1028"/>
      <c r="M40" s="1028"/>
      <c r="N40" s="1028"/>
      <c r="O40" s="1028"/>
      <c r="P40" s="1028"/>
      <c r="Q40" s="1028"/>
      <c r="R40" s="1028"/>
      <c r="S40" s="1028"/>
      <c r="T40" s="1028"/>
      <c r="U40" s="1028"/>
      <c r="V40" s="1028"/>
    </row>
    <row r="41" spans="1:22">
      <c r="A41" s="1028"/>
      <c r="B41" s="1028"/>
      <c r="C41" s="1028"/>
      <c r="D41" s="1028"/>
      <c r="E41" s="1028"/>
      <c r="F41" s="1028"/>
      <c r="G41" s="1028"/>
      <c r="H41" s="1028"/>
      <c r="I41" s="1028"/>
      <c r="J41" s="1028"/>
      <c r="K41" s="1028"/>
      <c r="L41" s="1028"/>
      <c r="M41" s="1028"/>
      <c r="N41" s="1028"/>
      <c r="O41" s="1028"/>
      <c r="P41" s="1028"/>
      <c r="Q41" s="1028"/>
      <c r="R41" s="1028"/>
      <c r="S41" s="1028"/>
      <c r="T41" s="1028"/>
      <c r="U41" s="1028"/>
      <c r="V41" s="1028"/>
    </row>
    <row r="42" spans="1:22">
      <c r="A42" s="1028"/>
      <c r="B42" s="1028"/>
      <c r="C42" s="1028"/>
      <c r="D42" s="1028"/>
      <c r="E42" s="1028"/>
      <c r="F42" s="1028"/>
      <c r="G42" s="1028"/>
      <c r="H42" s="1028"/>
      <c r="I42" s="1028"/>
      <c r="J42" s="1028"/>
      <c r="K42" s="1028"/>
      <c r="L42" s="1028"/>
      <c r="M42" s="1028"/>
      <c r="N42" s="1028"/>
      <c r="O42" s="1028"/>
      <c r="P42" s="1028"/>
      <c r="Q42" s="1028"/>
      <c r="R42" s="1028"/>
      <c r="S42" s="1028"/>
      <c r="T42" s="1028"/>
      <c r="U42" s="1028"/>
      <c r="V42" s="1028"/>
    </row>
    <row r="43" spans="1:22">
      <c r="A43" s="1028"/>
      <c r="B43" s="1028"/>
      <c r="C43" s="1028"/>
      <c r="D43" s="1028"/>
      <c r="E43" s="1028"/>
      <c r="F43" s="1028"/>
      <c r="G43" s="1028"/>
      <c r="H43" s="1028"/>
      <c r="I43" s="1028"/>
      <c r="J43" s="1028"/>
      <c r="K43" s="1028"/>
      <c r="L43" s="1028"/>
      <c r="M43" s="1028"/>
      <c r="N43" s="1028"/>
      <c r="O43" s="1028"/>
      <c r="P43" s="1028"/>
      <c r="Q43" s="1028"/>
      <c r="R43" s="1028"/>
      <c r="S43" s="1028"/>
      <c r="T43" s="1028"/>
      <c r="U43" s="1028"/>
      <c r="V43" s="1028"/>
    </row>
    <row r="44" spans="1:22">
      <c r="A44" s="1028"/>
      <c r="B44" s="1028"/>
      <c r="C44" s="1028"/>
      <c r="D44" s="1028"/>
      <c r="E44" s="1028"/>
      <c r="F44" s="1028"/>
      <c r="G44" s="1028"/>
      <c r="H44" s="1028"/>
      <c r="I44" s="1028"/>
      <c r="J44" s="1028"/>
      <c r="K44" s="1028"/>
      <c r="L44" s="1028"/>
      <c r="M44" s="1028"/>
      <c r="N44" s="1028"/>
      <c r="O44" s="1028"/>
      <c r="P44" s="1028"/>
      <c r="Q44" s="1028"/>
      <c r="R44" s="1028"/>
      <c r="S44" s="1028"/>
      <c r="T44" s="1028"/>
      <c r="U44" s="1028"/>
      <c r="V44" s="1028"/>
    </row>
    <row r="45" spans="1:22">
      <c r="A45" s="1028"/>
      <c r="B45" s="1028"/>
      <c r="C45" s="1028"/>
      <c r="D45" s="1028"/>
      <c r="E45" s="1028"/>
      <c r="F45" s="1028"/>
      <c r="G45" s="1028"/>
      <c r="H45" s="1028"/>
      <c r="I45" s="1028"/>
      <c r="J45" s="1028"/>
      <c r="K45" s="1028"/>
      <c r="L45" s="1028"/>
      <c r="M45" s="1028"/>
      <c r="N45" s="1028"/>
      <c r="O45" s="1028"/>
      <c r="P45" s="1028"/>
      <c r="Q45" s="1028"/>
      <c r="R45" s="1028"/>
      <c r="S45" s="1028"/>
      <c r="T45" s="1028"/>
      <c r="U45" s="1028"/>
      <c r="V45" s="1028"/>
    </row>
    <row r="46" spans="1:22">
      <c r="A46" s="1028"/>
      <c r="B46" s="1028"/>
      <c r="C46" s="1028"/>
      <c r="D46" s="1028"/>
      <c r="E46" s="1028"/>
      <c r="F46" s="1028"/>
      <c r="G46" s="1028"/>
      <c r="H46" s="1028"/>
      <c r="I46" s="1028"/>
      <c r="J46" s="1028"/>
      <c r="K46" s="1028"/>
      <c r="L46" s="1028"/>
      <c r="M46" s="1028"/>
      <c r="N46" s="1028"/>
      <c r="O46" s="1028"/>
      <c r="P46" s="1028"/>
      <c r="Q46" s="1028"/>
      <c r="R46" s="1028"/>
      <c r="S46" s="1028"/>
      <c r="T46" s="1028"/>
      <c r="U46" s="1028"/>
      <c r="V46" s="1028"/>
    </row>
    <row r="47" spans="1:22">
      <c r="A47" s="1028"/>
      <c r="B47" s="1028"/>
      <c r="C47" s="1028"/>
      <c r="D47" s="1028"/>
      <c r="E47" s="1028"/>
      <c r="F47" s="1028"/>
      <c r="G47" s="1028"/>
      <c r="H47" s="1028"/>
      <c r="I47" s="1028"/>
      <c r="J47" s="1028"/>
      <c r="K47" s="1028"/>
      <c r="L47" s="1028"/>
      <c r="M47" s="1028"/>
      <c r="N47" s="1028"/>
      <c r="O47" s="1028"/>
      <c r="P47" s="1028"/>
      <c r="Q47" s="1028"/>
      <c r="R47" s="1028"/>
      <c r="S47" s="1028"/>
      <c r="T47" s="1028"/>
      <c r="U47" s="1028"/>
      <c r="V47" s="1028"/>
    </row>
    <row r="48" spans="1:22">
      <c r="A48" s="1028"/>
      <c r="B48" s="1028"/>
      <c r="C48" s="1028"/>
      <c r="D48" s="1028"/>
      <c r="E48" s="1028"/>
      <c r="F48" s="1028"/>
      <c r="G48" s="1028"/>
      <c r="H48" s="1028"/>
      <c r="I48" s="1028"/>
      <c r="J48" s="1028"/>
      <c r="K48" s="1028"/>
      <c r="L48" s="1028"/>
      <c r="M48" s="1028"/>
      <c r="N48" s="1028"/>
      <c r="O48" s="1028"/>
      <c r="P48" s="1028"/>
      <c r="Q48" s="1028"/>
      <c r="R48" s="1028"/>
      <c r="S48" s="1028"/>
      <c r="T48" s="1028"/>
      <c r="U48" s="1028"/>
      <c r="V48" s="1028"/>
    </row>
  </sheetData>
  <mergeCells count="2">
    <mergeCell ref="O13:Q13"/>
    <mergeCell ref="I13:K13"/>
  </mergeCells>
  <phoneticPr fontId="19" type="noConversion"/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FFC000"/>
  </sheetPr>
  <dimension ref="A1:V50"/>
  <sheetViews>
    <sheetView tabSelected="1" view="pageLayout" topLeftCell="C1" zoomScaleNormal="90" workbookViewId="0">
      <selection activeCell="G1" sqref="G1"/>
    </sheetView>
  </sheetViews>
  <sheetFormatPr defaultColWidth="16.140625" defaultRowHeight="12.75"/>
  <cols>
    <col min="1" max="1" width="16.140625" style="18"/>
    <col min="2" max="2" width="18.140625" style="18" customWidth="1"/>
    <col min="3" max="3" width="5.85546875" style="18" customWidth="1"/>
    <col min="4" max="4" width="14.5703125" style="18" customWidth="1"/>
    <col min="5" max="5" width="18.85546875" style="18" customWidth="1"/>
    <col min="6" max="6" width="9.7109375" style="18" customWidth="1"/>
    <col min="7" max="7" width="20" style="18" customWidth="1"/>
    <col min="8" max="8" width="11" style="18" customWidth="1"/>
    <col min="9" max="9" width="14.7109375" style="18" customWidth="1"/>
    <col min="10" max="10" width="12.5703125" style="18" customWidth="1"/>
    <col min="11" max="11" width="14.7109375" style="18" customWidth="1"/>
    <col min="12" max="12" width="3" style="18" customWidth="1"/>
    <col min="13" max="13" width="16.140625" style="18" hidden="1" customWidth="1"/>
    <col min="14" max="14" width="1.7109375" style="18" hidden="1" customWidth="1"/>
    <col min="15" max="15" width="16.140625" style="18" hidden="1" customWidth="1"/>
    <col min="16" max="16" width="2" style="18" hidden="1" customWidth="1"/>
    <col min="17" max="19" width="14.5703125" style="18" customWidth="1"/>
    <col min="20" max="20" width="5.42578125" style="18" customWidth="1"/>
    <col min="21" max="21" width="7.5703125" style="18" customWidth="1"/>
    <col min="22" max="22" width="2.85546875" style="18" customWidth="1"/>
    <col min="23" max="23" width="42.5703125" style="18" customWidth="1"/>
    <col min="24" max="16384" width="16.140625" style="18"/>
  </cols>
  <sheetData>
    <row r="1" spans="1:22">
      <c r="A1" s="1949"/>
      <c r="B1" s="1950"/>
      <c r="C1" s="1951" t="str">
        <f>COMPANY</f>
        <v>DUKE ENERGY KENTUCKY, INC.</v>
      </c>
      <c r="D1" s="1952"/>
      <c r="E1" s="1952"/>
      <c r="F1" s="1952"/>
      <c r="G1" s="1952"/>
      <c r="H1" s="1952"/>
      <c r="I1" s="1952"/>
      <c r="J1" s="1952"/>
      <c r="K1" s="1952"/>
      <c r="L1" s="1952"/>
      <c r="M1" s="1952"/>
      <c r="N1" s="1953"/>
      <c r="O1" s="1952"/>
      <c r="P1" s="1953"/>
      <c r="Q1" s="1952"/>
      <c r="R1" s="1952"/>
      <c r="S1" s="1952"/>
      <c r="T1" s="1949"/>
      <c r="U1" s="1949"/>
      <c r="V1" s="1949"/>
    </row>
    <row r="2" spans="1:22">
      <c r="A2" s="1949"/>
      <c r="B2" s="1950"/>
      <c r="C2" s="1951" t="str">
        <f>CASE</f>
        <v>CASE NO. 2017-00321</v>
      </c>
      <c r="D2" s="1952"/>
      <c r="E2" s="1952"/>
      <c r="F2" s="1952"/>
      <c r="G2" s="1952"/>
      <c r="H2" s="1952"/>
      <c r="I2" s="1952"/>
      <c r="J2" s="1952"/>
      <c r="K2" s="1952"/>
      <c r="L2" s="1952"/>
      <c r="M2" s="1952"/>
      <c r="N2" s="1953"/>
      <c r="O2" s="1952"/>
      <c r="P2" s="1953"/>
      <c r="Q2" s="1952"/>
      <c r="R2" s="1952"/>
      <c r="S2" s="1952"/>
      <c r="T2" s="1949"/>
      <c r="U2" s="1949"/>
      <c r="V2" s="1949"/>
    </row>
    <row r="3" spans="1:22">
      <c r="A3" s="1949"/>
      <c r="B3" s="1950"/>
      <c r="C3" s="1951" t="s">
        <v>3247</v>
      </c>
      <c r="D3" s="1952"/>
      <c r="E3" s="1952"/>
      <c r="F3" s="1952"/>
      <c r="G3" s="1952"/>
      <c r="H3" s="1952"/>
      <c r="I3" s="1952"/>
      <c r="J3" s="1952"/>
      <c r="K3" s="1952"/>
      <c r="L3" s="1952"/>
      <c r="M3" s="1952"/>
      <c r="N3" s="1953"/>
      <c r="O3" s="1952"/>
      <c r="P3" s="1953"/>
      <c r="Q3" s="1952"/>
      <c r="R3" s="1952"/>
      <c r="S3" s="1952"/>
      <c r="T3" s="1949"/>
      <c r="U3" s="1949"/>
      <c r="V3" s="1949"/>
    </row>
    <row r="4" spans="1:22">
      <c r="A4" s="1949"/>
      <c r="B4" s="1950"/>
      <c r="C4" s="1951" t="str">
        <f>PERIOD</f>
        <v>FOR THE TWELVE MONTHS ENDED NOVEMBER 30, 2017</v>
      </c>
      <c r="D4" s="1952"/>
      <c r="E4" s="1952"/>
      <c r="F4" s="1952"/>
      <c r="G4" s="1952"/>
      <c r="H4" s="1952"/>
      <c r="I4" s="1952"/>
      <c r="J4" s="1952"/>
      <c r="K4" s="1952"/>
      <c r="L4" s="1952"/>
      <c r="M4" s="1952"/>
      <c r="N4" s="1953"/>
      <c r="O4" s="1952"/>
      <c r="P4" s="1953"/>
      <c r="Q4" s="1952"/>
      <c r="R4" s="1952"/>
      <c r="S4" s="1952"/>
      <c r="T4" s="1949"/>
      <c r="U4" s="1949"/>
      <c r="V4" s="1949"/>
    </row>
    <row r="5" spans="1:22">
      <c r="A5" s="1949"/>
      <c r="B5" s="1950"/>
      <c r="C5" s="1951" t="str">
        <f>PeriodF</f>
        <v>FOR THE TWELVE MONTHS ENDED MARCH 31, 2019</v>
      </c>
      <c r="D5" s="1952"/>
      <c r="E5" s="1952"/>
      <c r="F5" s="1952"/>
      <c r="G5" s="1952"/>
      <c r="H5" s="1952"/>
      <c r="I5" s="1952"/>
      <c r="J5" s="1952"/>
      <c r="K5" s="1952"/>
      <c r="L5" s="1952"/>
      <c r="M5" s="1952"/>
      <c r="N5" s="1953"/>
      <c r="O5" s="1952"/>
      <c r="P5" s="1953"/>
      <c r="Q5" s="1952"/>
      <c r="R5" s="1952"/>
      <c r="S5" s="1952"/>
      <c r="T5" s="1949"/>
      <c r="U5" s="1949"/>
      <c r="V5" s="1949"/>
    </row>
    <row r="6" spans="1:22">
      <c r="A6" s="1949"/>
      <c r="B6" s="1950"/>
      <c r="C6" s="1949"/>
      <c r="D6" s="1949"/>
      <c r="E6" s="1949"/>
      <c r="F6" s="1949"/>
      <c r="G6" s="1949"/>
      <c r="H6" s="1949"/>
      <c r="I6" s="1949"/>
      <c r="J6" s="1949"/>
      <c r="K6" s="1949"/>
      <c r="L6" s="1949"/>
      <c r="M6" s="1949"/>
      <c r="N6" s="1954"/>
      <c r="O6" s="1949"/>
      <c r="P6" s="1954"/>
      <c r="Q6" s="1949"/>
      <c r="R6" s="1949"/>
      <c r="S6" s="1949"/>
      <c r="T6" s="1949"/>
      <c r="U6" s="1949"/>
      <c r="V6" s="1949"/>
    </row>
    <row r="7" spans="1:22">
      <c r="A7" s="1949"/>
      <c r="B7" s="1950"/>
      <c r="C7" s="1955" t="str">
        <f>DataB</f>
        <v>DATA: "X" BASE PERIOD  "X" FORECASTED PERIOD</v>
      </c>
      <c r="D7" s="1949"/>
      <c r="E7" s="1949"/>
      <c r="F7" s="1949"/>
      <c r="G7" s="1949"/>
      <c r="H7" s="1949"/>
      <c r="I7" s="1949"/>
      <c r="J7" s="1949"/>
      <c r="K7" s="1949"/>
      <c r="L7" s="1949"/>
      <c r="M7" s="1949"/>
      <c r="N7" s="1954"/>
      <c r="O7" s="1949"/>
      <c r="P7" s="1956"/>
      <c r="Q7" s="1949"/>
      <c r="R7" s="2740" t="s">
        <v>1794</v>
      </c>
      <c r="S7" s="1949"/>
      <c r="T7" s="1949"/>
      <c r="U7" s="1949"/>
      <c r="V7" s="1949"/>
    </row>
    <row r="8" spans="1:22">
      <c r="A8" s="1949"/>
      <c r="B8" s="1950"/>
      <c r="C8" s="1955" t="str">
        <f>Type</f>
        <v xml:space="preserve">TYPE OF FILING:  "X" ORIGINAL   UPDATED    REVISED  </v>
      </c>
      <c r="D8" s="1949"/>
      <c r="E8" s="1949"/>
      <c r="F8" s="1949"/>
      <c r="G8" s="1949"/>
      <c r="H8" s="1949"/>
      <c r="I8" s="1949"/>
      <c r="J8" s="1949"/>
      <c r="K8" s="1949"/>
      <c r="L8" s="1949"/>
      <c r="M8" s="1949"/>
      <c r="N8" s="1954"/>
      <c r="O8" s="1949"/>
      <c r="P8" s="1956"/>
      <c r="Q8" s="1949"/>
      <c r="R8" s="2740" t="s">
        <v>620</v>
      </c>
      <c r="S8" s="1949"/>
      <c r="T8" s="1949"/>
      <c r="U8" s="1949"/>
      <c r="V8" s="1949"/>
    </row>
    <row r="9" spans="1:22">
      <c r="A9" s="1949"/>
      <c r="B9" s="1950"/>
      <c r="C9" s="2740" t="s">
        <v>1372</v>
      </c>
      <c r="D9" s="1949"/>
      <c r="E9" s="1949"/>
      <c r="F9" s="1949"/>
      <c r="G9" s="1949"/>
      <c r="H9" s="1949"/>
      <c r="I9" s="1949"/>
      <c r="J9" s="1949"/>
      <c r="K9" s="1949"/>
      <c r="L9" s="1949"/>
      <c r="M9" s="1949"/>
      <c r="N9" s="1954"/>
      <c r="O9" s="1949"/>
      <c r="P9" s="1956"/>
      <c r="Q9" s="1949"/>
      <c r="R9" s="2740" t="s">
        <v>622</v>
      </c>
      <c r="S9" s="1949"/>
      <c r="T9" s="1949"/>
      <c r="U9" s="1949"/>
      <c r="V9" s="1949"/>
    </row>
    <row r="10" spans="1:22">
      <c r="A10" s="1949"/>
      <c r="B10" s="1950"/>
      <c r="C10" s="1949"/>
      <c r="D10" s="1949"/>
      <c r="E10" s="1949"/>
      <c r="F10" s="1949"/>
      <c r="G10" s="1949"/>
      <c r="H10" s="1949"/>
      <c r="I10" s="1949"/>
      <c r="J10" s="1949"/>
      <c r="K10" s="1949"/>
      <c r="L10" s="1949"/>
      <c r="M10" s="1949"/>
      <c r="N10" s="1954"/>
      <c r="O10" s="1949"/>
      <c r="P10" s="1957"/>
      <c r="Q10" s="1949"/>
      <c r="R10" s="2740" t="str">
        <f>LOGO!$G$6</f>
        <v>S. E. LAWLER</v>
      </c>
      <c r="S10" s="1949"/>
      <c r="T10" s="1949"/>
      <c r="U10" s="1949"/>
      <c r="V10" s="1949"/>
    </row>
    <row r="11" spans="1:22">
      <c r="A11" s="1949"/>
      <c r="B11" s="1950"/>
      <c r="C11" s="1958"/>
      <c r="D11" s="1958"/>
      <c r="E11" s="1958"/>
      <c r="F11" s="1958"/>
      <c r="G11" s="1958"/>
      <c r="H11" s="1958"/>
      <c r="I11" s="1958"/>
      <c r="J11" s="1958"/>
      <c r="K11" s="1958"/>
      <c r="L11" s="1958"/>
      <c r="M11" s="1958"/>
      <c r="N11" s="1958"/>
      <c r="O11" s="1958"/>
      <c r="P11" s="1958"/>
      <c r="Q11" s="1958"/>
      <c r="R11" s="1958"/>
      <c r="S11" s="1958"/>
      <c r="T11" s="1949"/>
      <c r="U11" s="1949"/>
      <c r="V11" s="1949"/>
    </row>
    <row r="12" spans="1:22">
      <c r="A12" s="1949"/>
      <c r="B12" s="1950"/>
      <c r="C12" s="1949"/>
      <c r="D12" s="1949"/>
      <c r="E12" s="1949"/>
      <c r="F12" s="1949"/>
      <c r="G12" s="1949"/>
      <c r="H12" s="1949"/>
      <c r="I12" s="1880" t="s">
        <v>1981</v>
      </c>
      <c r="J12" s="1959"/>
      <c r="K12" s="1959"/>
      <c r="L12" s="1949"/>
      <c r="M12" s="1949"/>
      <c r="N12" s="1954"/>
      <c r="O12" s="1949"/>
      <c r="P12" s="1957"/>
      <c r="Q12" s="1880" t="s">
        <v>624</v>
      </c>
      <c r="R12" s="1959"/>
      <c r="S12" s="1959"/>
      <c r="T12" s="1960"/>
      <c r="U12" s="1949"/>
      <c r="V12" s="1949"/>
    </row>
    <row r="13" spans="1:22">
      <c r="A13" s="1949"/>
      <c r="B13" s="1950"/>
      <c r="C13" s="1960" t="s">
        <v>1961</v>
      </c>
      <c r="D13" s="1960" t="s">
        <v>1080</v>
      </c>
      <c r="E13" s="1949"/>
      <c r="F13" s="1949"/>
      <c r="G13" s="1949"/>
      <c r="H13" s="1949"/>
      <c r="I13" s="1961" t="s">
        <v>1035</v>
      </c>
      <c r="J13" s="2805" t="s">
        <v>1461</v>
      </c>
      <c r="K13" s="2805"/>
      <c r="L13" s="1949"/>
      <c r="M13" s="1949"/>
      <c r="N13" s="1957"/>
      <c r="O13" s="1960" t="s">
        <v>1795</v>
      </c>
      <c r="P13" s="1957"/>
      <c r="Q13" s="1962" t="s">
        <v>1035</v>
      </c>
      <c r="R13" s="2806" t="s">
        <v>1461</v>
      </c>
      <c r="S13" s="2806"/>
      <c r="T13" s="1960"/>
      <c r="U13" s="1949"/>
      <c r="V13" s="1949"/>
    </row>
    <row r="14" spans="1:22">
      <c r="A14" s="1949"/>
      <c r="B14" s="1950"/>
      <c r="C14" s="1960" t="s">
        <v>1854</v>
      </c>
      <c r="D14" s="1960" t="s">
        <v>1796</v>
      </c>
      <c r="E14" s="2807" t="s">
        <v>1797</v>
      </c>
      <c r="F14" s="2807"/>
      <c r="G14" s="2807"/>
      <c r="H14" s="1949"/>
      <c r="I14" s="1963" t="s">
        <v>1872</v>
      </c>
      <c r="J14" s="1964" t="s">
        <v>475</v>
      </c>
      <c r="K14" s="1965" t="s">
        <v>364</v>
      </c>
      <c r="L14" s="1949"/>
      <c r="M14" s="1960" t="s">
        <v>647</v>
      </c>
      <c r="N14" s="1957"/>
      <c r="O14" s="1960" t="s">
        <v>647</v>
      </c>
      <c r="P14" s="1957"/>
      <c r="Q14" s="1963" t="s">
        <v>1872</v>
      </c>
      <c r="R14" s="1966" t="s">
        <v>475</v>
      </c>
      <c r="S14" s="1967" t="s">
        <v>364</v>
      </c>
      <c r="T14" s="1960"/>
      <c r="U14" s="1949"/>
      <c r="V14" s="1949"/>
    </row>
    <row r="15" spans="1:22">
      <c r="A15" s="1949"/>
      <c r="B15" s="1950"/>
      <c r="C15" s="1968"/>
      <c r="D15" s="1969"/>
      <c r="E15" s="1969"/>
      <c r="F15" s="1969"/>
      <c r="G15" s="1969"/>
      <c r="H15" s="1969"/>
      <c r="I15" s="1970"/>
      <c r="J15" s="1971" t="s">
        <v>296</v>
      </c>
      <c r="K15" s="1970"/>
      <c r="L15" s="1969"/>
      <c r="M15" s="1968"/>
      <c r="N15" s="1958"/>
      <c r="O15" s="1968"/>
      <c r="P15" s="1958"/>
      <c r="Q15" s="1972"/>
      <c r="R15" s="1973" t="s">
        <v>296</v>
      </c>
      <c r="S15" s="1972"/>
      <c r="T15" s="1960"/>
      <c r="U15" s="1949"/>
      <c r="V15" s="1949"/>
    </row>
    <row r="16" spans="1:22">
      <c r="A16" s="1949"/>
      <c r="B16" s="1950"/>
      <c r="C16" s="1949"/>
      <c r="D16" s="1949"/>
      <c r="E16" s="1949"/>
      <c r="F16" s="1949"/>
      <c r="G16" s="1949"/>
      <c r="H16" s="1949"/>
      <c r="I16" s="1963" t="s">
        <v>1150</v>
      </c>
      <c r="J16" s="1963" t="s">
        <v>363</v>
      </c>
      <c r="K16" s="1963" t="s">
        <v>1150</v>
      </c>
      <c r="L16" s="1949"/>
      <c r="M16" s="1960" t="s">
        <v>1150</v>
      </c>
      <c r="N16" s="1957"/>
      <c r="O16" s="1960" t="s">
        <v>1150</v>
      </c>
      <c r="P16" s="1957"/>
      <c r="Q16" s="1974" t="s">
        <v>1150</v>
      </c>
      <c r="R16" s="1974" t="s">
        <v>363</v>
      </c>
      <c r="S16" s="1974" t="s">
        <v>1150</v>
      </c>
      <c r="T16" s="1975"/>
      <c r="U16" s="1949"/>
      <c r="V16" s="1949"/>
    </row>
    <row r="17" spans="1:22">
      <c r="A17" s="1949"/>
      <c r="B17" s="1950"/>
      <c r="C17" s="1960">
        <v>1</v>
      </c>
      <c r="D17" s="1949"/>
      <c r="E17" s="1976" t="s">
        <v>1742</v>
      </c>
      <c r="F17" s="1949"/>
      <c r="G17" s="1949"/>
      <c r="H17" s="1949"/>
      <c r="I17" s="1949"/>
      <c r="J17" s="1949"/>
      <c r="K17" s="1949"/>
      <c r="L17" s="1949"/>
      <c r="M17" s="1949"/>
      <c r="N17" s="1954"/>
      <c r="O17" s="1949"/>
      <c r="P17" s="1954"/>
      <c r="Q17" s="1949"/>
      <c r="R17" s="1949"/>
      <c r="S17" s="1949"/>
      <c r="T17" s="1949"/>
      <c r="U17" s="1949"/>
      <c r="V17" s="1949"/>
    </row>
    <row r="18" spans="1:22">
      <c r="A18" s="1949"/>
      <c r="B18" s="1977">
        <v>908</v>
      </c>
      <c r="C18" s="1960">
        <v>2</v>
      </c>
      <c r="D18" s="1977">
        <v>908</v>
      </c>
      <c r="E18" s="1978" t="str">
        <f>'SCH_C2.1 - Base Period'!F226</f>
        <v xml:space="preserve">  Customer Assistance Activities</v>
      </c>
      <c r="F18" s="1949"/>
      <c r="G18" s="1949"/>
      <c r="H18" s="1949"/>
      <c r="I18" s="1462">
        <f t="array" ref="I18">SUM(IF(FERCBP=B18,AmountBP))</f>
        <v>56329</v>
      </c>
      <c r="J18" s="1979">
        <f>VLOOKUP($F$35,ALLOCTABLE,2)</f>
        <v>100</v>
      </c>
      <c r="K18" s="1978">
        <f>ROUND(I18*(J18/100),0)</f>
        <v>56329</v>
      </c>
      <c r="L18" s="1949"/>
      <c r="M18" s="1980">
        <v>0</v>
      </c>
      <c r="N18" s="1981"/>
      <c r="O18" s="1978">
        <f ca="1">Q18-M18</f>
        <v>0</v>
      </c>
      <c r="P18" s="1982"/>
      <c r="Q18" s="1462">
        <f t="array" aca="1" ref="Q18" ca="1">SUM(IF(FERCBP=B18,AmountFP))</f>
        <v>0</v>
      </c>
      <c r="R18" s="1979">
        <f>VLOOKUP($F$35,ALLOCTABLE,2)</f>
        <v>100</v>
      </c>
      <c r="S18" s="1978">
        <f ca="1">ROUND(Q18*(R18/100),0)</f>
        <v>0</v>
      </c>
      <c r="T18" s="1949"/>
      <c r="U18" s="1949"/>
      <c r="V18" s="1949"/>
    </row>
    <row r="19" spans="1:22">
      <c r="A19" s="1949"/>
      <c r="B19" s="1977">
        <v>909</v>
      </c>
      <c r="C19" s="1960">
        <v>3</v>
      </c>
      <c r="D19" s="1977">
        <v>909</v>
      </c>
      <c r="E19" s="1978" t="str">
        <f>'SCH_C2.1 - Base Period'!F227</f>
        <v xml:space="preserve">  Informational &amp; Instructional Adver.</v>
      </c>
      <c r="F19" s="1949"/>
      <c r="G19" s="1949"/>
      <c r="H19" s="1949"/>
      <c r="I19" s="1462">
        <f t="array" ref="I19">SUM(IF(FERCBP=B19,AmountBP))</f>
        <v>2327</v>
      </c>
      <c r="J19" s="1979">
        <f>VLOOKUP($F$35,ALLOCTABLE,2)</f>
        <v>100</v>
      </c>
      <c r="K19" s="1978">
        <f>ROUND(I19*(J19/100),0)</f>
        <v>2327</v>
      </c>
      <c r="L19" s="1983"/>
      <c r="M19" s="1980">
        <v>0</v>
      </c>
      <c r="N19" s="1981"/>
      <c r="O19" s="1978">
        <f ca="1">Q19-M19</f>
        <v>0</v>
      </c>
      <c r="P19" s="1982"/>
      <c r="Q19" s="1462">
        <f t="array" aca="1" ref="Q19" ca="1">SUM(IF(FERCBP=B19,AmountFP))</f>
        <v>0</v>
      </c>
      <c r="R19" s="1979">
        <f>VLOOKUP($F$35,ALLOCTABLE,2)</f>
        <v>100</v>
      </c>
      <c r="S19" s="1978">
        <f ca="1">ROUND(Q19*(R19/100),0)</f>
        <v>0</v>
      </c>
      <c r="T19" s="1949"/>
      <c r="U19" s="1949"/>
      <c r="V19" s="1949"/>
    </row>
    <row r="20" spans="1:22">
      <c r="A20" s="1949"/>
      <c r="B20" s="1977">
        <v>910</v>
      </c>
      <c r="C20" s="1960">
        <v>4</v>
      </c>
      <c r="D20" s="1977">
        <v>910</v>
      </c>
      <c r="E20" s="1978" t="str">
        <f>'SCH_C2.1 - Base Period'!F228</f>
        <v xml:space="preserve">  Misc. Cust. Serv. &amp; Info.</v>
      </c>
      <c r="F20" s="1949"/>
      <c r="G20" s="1949"/>
      <c r="H20" s="1949"/>
      <c r="I20" s="1462">
        <f t="array" ref="I20">SUM(IF(FERCBP=B20,AmountBP))</f>
        <v>839421</v>
      </c>
      <c r="J20" s="1979">
        <f>VLOOKUP($F$35,ALLOCTABLE,2)</f>
        <v>100</v>
      </c>
      <c r="K20" s="1978">
        <f>ROUND(I20*(J20/100),0)</f>
        <v>839421</v>
      </c>
      <c r="L20" s="1983"/>
      <c r="M20" s="1980">
        <v>0</v>
      </c>
      <c r="N20" s="1981"/>
      <c r="O20" s="1978">
        <f ca="1">Q20-M20</f>
        <v>1081198</v>
      </c>
      <c r="P20" s="1982"/>
      <c r="Q20" s="1462">
        <f t="array" aca="1" ref="Q20" ca="1">SUM(IF(FERCBP=B20,AmountFP))</f>
        <v>1081198</v>
      </c>
      <c r="R20" s="1979">
        <f>VLOOKUP($F$35,ALLOCTABLE,2)</f>
        <v>100</v>
      </c>
      <c r="S20" s="1978">
        <f ca="1">ROUND(Q20*(R20/100),0)</f>
        <v>1081198</v>
      </c>
      <c r="T20" s="1949"/>
      <c r="U20" s="1949"/>
      <c r="V20" s="1949"/>
    </row>
    <row r="21" spans="1:22">
      <c r="A21" s="1949"/>
      <c r="B21" s="1977"/>
      <c r="C21" s="1960">
        <v>5</v>
      </c>
      <c r="D21" s="1960"/>
      <c r="E21" s="2740" t="s">
        <v>1753</v>
      </c>
      <c r="F21" s="1949"/>
      <c r="G21" s="1949"/>
      <c r="H21" s="1949"/>
      <c r="I21" s="1984">
        <f>SUM(I18:I20)</f>
        <v>898077</v>
      </c>
      <c r="J21" s="1985"/>
      <c r="K21" s="1984">
        <f>SUM(K18:K20)</f>
        <v>898077</v>
      </c>
      <c r="L21" s="1949"/>
      <c r="M21" s="1984">
        <f>SUM(M18:M20)</f>
        <v>0</v>
      </c>
      <c r="N21" s="1982"/>
      <c r="O21" s="1984">
        <f ca="1">SUM(O18:O20)</f>
        <v>1081198</v>
      </c>
      <c r="P21" s="1982"/>
      <c r="Q21" s="1984">
        <f ca="1">SUM(Q18:Q20)</f>
        <v>1081198</v>
      </c>
      <c r="R21" s="1985"/>
      <c r="S21" s="1984">
        <f ca="1">SUM(S18:S20)</f>
        <v>1081198</v>
      </c>
      <c r="T21" s="1949"/>
      <c r="U21" s="1949"/>
      <c r="V21" s="1949"/>
    </row>
    <row r="22" spans="1:22">
      <c r="A22" s="1949"/>
      <c r="B22" s="1977"/>
      <c r="C22" s="1960">
        <v>6</v>
      </c>
      <c r="D22" s="1960"/>
      <c r="E22" s="2740"/>
      <c r="F22" s="1949"/>
      <c r="G22" s="1949"/>
      <c r="H22" s="1949"/>
      <c r="I22" s="1978"/>
      <c r="J22" s="1979"/>
      <c r="K22" s="1978"/>
      <c r="L22" s="1983"/>
      <c r="M22" s="1980"/>
      <c r="N22" s="1981"/>
      <c r="O22" s="1978"/>
      <c r="P22" s="1982"/>
      <c r="Q22" s="1978"/>
      <c r="R22" s="1979"/>
      <c r="S22" s="1978"/>
      <c r="T22" s="1949"/>
      <c r="U22" s="1949"/>
      <c r="V22" s="1949"/>
    </row>
    <row r="23" spans="1:22">
      <c r="A23" s="1949"/>
      <c r="B23" s="1977"/>
      <c r="C23" s="1960">
        <v>7</v>
      </c>
      <c r="D23" s="1960"/>
      <c r="E23" s="1976" t="s">
        <v>176</v>
      </c>
      <c r="F23" s="1949"/>
      <c r="G23" s="1949"/>
      <c r="H23" s="1949"/>
      <c r="I23" s="1978"/>
      <c r="J23" s="1979"/>
      <c r="K23" s="1978"/>
      <c r="L23" s="1983"/>
      <c r="M23" s="1980"/>
      <c r="N23" s="1981"/>
      <c r="O23" s="1978"/>
      <c r="P23" s="1982"/>
      <c r="Q23" s="1978"/>
      <c r="R23" s="1979"/>
      <c r="S23" s="1978"/>
      <c r="T23" s="1949"/>
      <c r="U23" s="1949"/>
      <c r="V23" s="1949"/>
    </row>
    <row r="24" spans="1:22">
      <c r="A24" s="1949"/>
      <c r="B24" s="1977">
        <v>911</v>
      </c>
      <c r="C24" s="1960">
        <v>8</v>
      </c>
      <c r="D24" s="1977">
        <v>911</v>
      </c>
      <c r="E24" s="1978" t="str">
        <f>'SCH_C2.1 - Base Period'!F235</f>
        <v xml:space="preserve">  Supervision</v>
      </c>
      <c r="F24" s="1949"/>
      <c r="G24" s="1949"/>
      <c r="H24" s="1949"/>
      <c r="I24" s="1462">
        <f t="array" ref="I24">SUM(IF(FERCBP=B24,AmountBP))</f>
        <v>0</v>
      </c>
      <c r="J24" s="1979">
        <f>VLOOKUP($F$35,ALLOCTABLE,2)</f>
        <v>100</v>
      </c>
      <c r="K24" s="1978">
        <f>ROUND(I24*(J24/100),0)</f>
        <v>0</v>
      </c>
      <c r="L24" s="1983"/>
      <c r="M24" s="1980">
        <v>0</v>
      </c>
      <c r="N24" s="1981"/>
      <c r="O24" s="1978">
        <f ca="1">Q24-M24</f>
        <v>0</v>
      </c>
      <c r="P24" s="1982"/>
      <c r="Q24" s="1462">
        <f t="array" aca="1" ref="Q24" ca="1">SUM(IF(FERCBP=B24,AmountFP))</f>
        <v>0</v>
      </c>
      <c r="R24" s="1979">
        <f>VLOOKUP($F$35,ALLOCTABLE,2)</f>
        <v>100</v>
      </c>
      <c r="S24" s="1978">
        <f ca="1">ROUND(Q24*(R24/100),0)</f>
        <v>0</v>
      </c>
      <c r="T24" s="1949"/>
      <c r="U24" s="1949"/>
      <c r="V24" s="1949"/>
    </row>
    <row r="25" spans="1:22">
      <c r="A25" s="1949"/>
      <c r="B25" s="1977">
        <v>912</v>
      </c>
      <c r="C25" s="1960">
        <v>9</v>
      </c>
      <c r="D25" s="1977">
        <v>912</v>
      </c>
      <c r="E25" s="1978" t="str">
        <f>'SCH_C2.1 - Base Period'!F236</f>
        <v xml:space="preserve">  Demonstrating &amp; Selling Exp</v>
      </c>
      <c r="F25" s="1949"/>
      <c r="G25" s="1949"/>
      <c r="H25" s="1949"/>
      <c r="I25" s="1462">
        <f t="array" ref="I25">SUM(IF(FERCBP=B25,AmountBP))</f>
        <v>908839</v>
      </c>
      <c r="J25" s="1979">
        <f>VLOOKUP($F$35,ALLOCTABLE,2)</f>
        <v>100</v>
      </c>
      <c r="K25" s="1978">
        <f>ROUND(I25*(J25/100),0)</f>
        <v>908839</v>
      </c>
      <c r="L25" s="1983"/>
      <c r="M25" s="1980">
        <v>0</v>
      </c>
      <c r="N25" s="1981"/>
      <c r="O25" s="1978">
        <f ca="1">Q25-M25</f>
        <v>793281</v>
      </c>
      <c r="P25" s="1982"/>
      <c r="Q25" s="1462">
        <f t="array" aca="1" ref="Q25" ca="1">SUM(IF(FERCBP=B25,AmountFP))</f>
        <v>793281</v>
      </c>
      <c r="R25" s="1979">
        <f>VLOOKUP($F$35,ALLOCTABLE,2)</f>
        <v>100</v>
      </c>
      <c r="S25" s="1978">
        <f ca="1">ROUND(Q25*(R25/100),0)</f>
        <v>793281</v>
      </c>
      <c r="T25" s="1949"/>
      <c r="U25" s="1949"/>
      <c r="V25" s="1949"/>
    </row>
    <row r="26" spans="1:22">
      <c r="A26" s="1949"/>
      <c r="B26" s="1977">
        <v>913</v>
      </c>
      <c r="C26" s="1960">
        <v>10</v>
      </c>
      <c r="D26" s="1977">
        <v>913</v>
      </c>
      <c r="E26" s="1978" t="str">
        <f>'SCH_C2.1 - Base Period'!F237</f>
        <v xml:space="preserve">  Advertising</v>
      </c>
      <c r="F26" s="1949"/>
      <c r="G26" s="1949"/>
      <c r="H26" s="1949"/>
      <c r="I26" s="1462">
        <f t="array" ref="I26">SUM(IF(FERCBP=B26,AmountBP))</f>
        <v>37800</v>
      </c>
      <c r="J26" s="1979">
        <f>VLOOKUP($F$35,ALLOCTABLE,2)</f>
        <v>100</v>
      </c>
      <c r="K26" s="1978">
        <f>ROUND(I26*(J26/100),0)</f>
        <v>37800</v>
      </c>
      <c r="L26" s="1983"/>
      <c r="M26" s="1980"/>
      <c r="N26" s="1981"/>
      <c r="O26" s="1978"/>
      <c r="P26" s="1982"/>
      <c r="Q26" s="1462">
        <f t="array" aca="1" ref="Q26" ca="1">SUM(IF(FERCBP=B26,AmountFP))</f>
        <v>1857</v>
      </c>
      <c r="R26" s="1979">
        <f>VLOOKUP($F$35,ALLOCTABLE,2)</f>
        <v>100</v>
      </c>
      <c r="S26" s="1978">
        <f ca="1">ROUND(Q26*(R26/100),0)</f>
        <v>1857</v>
      </c>
      <c r="T26" s="1949"/>
      <c r="U26" s="1949"/>
      <c r="V26" s="1949"/>
    </row>
    <row r="27" spans="1:22">
      <c r="A27" s="1949"/>
      <c r="B27" s="1977"/>
      <c r="C27" s="1960">
        <v>11</v>
      </c>
      <c r="D27" s="1977"/>
      <c r="E27" s="2740" t="s">
        <v>1754</v>
      </c>
      <c r="F27" s="1949"/>
      <c r="G27" s="1949"/>
      <c r="H27" s="1949"/>
      <c r="I27" s="1984">
        <f>SUM(I24:I26)</f>
        <v>946639</v>
      </c>
      <c r="J27" s="1979"/>
      <c r="K27" s="1984">
        <f>SUM(K24:K26)</f>
        <v>946639</v>
      </c>
      <c r="L27" s="1983"/>
      <c r="M27" s="1980"/>
      <c r="N27" s="1981"/>
      <c r="O27" s="1978"/>
      <c r="P27" s="1982"/>
      <c r="Q27" s="1984">
        <f ca="1">SUM(Q24:Q26)</f>
        <v>795138</v>
      </c>
      <c r="R27" s="1979"/>
      <c r="S27" s="1984">
        <f ca="1">SUM(S24:S26)</f>
        <v>795138</v>
      </c>
      <c r="T27" s="1949"/>
      <c r="U27" s="1949"/>
      <c r="V27" s="1949"/>
    </row>
    <row r="28" spans="1:22">
      <c r="A28" s="1949"/>
      <c r="B28" s="1977"/>
      <c r="C28" s="1960">
        <v>12</v>
      </c>
      <c r="D28" s="1977"/>
      <c r="E28" s="1978"/>
      <c r="F28" s="1949"/>
      <c r="G28" s="1949"/>
      <c r="H28" s="1949"/>
      <c r="I28" s="1978"/>
      <c r="J28" s="1979"/>
      <c r="K28" s="1978"/>
      <c r="L28" s="1983"/>
      <c r="M28" s="1980"/>
      <c r="N28" s="1981"/>
      <c r="O28" s="1978"/>
      <c r="P28" s="1982"/>
      <c r="Q28" s="1978"/>
      <c r="R28" s="1979"/>
      <c r="S28" s="1978"/>
      <c r="T28" s="1949"/>
      <c r="U28" s="1949"/>
      <c r="V28" s="1949"/>
    </row>
    <row r="29" spans="1:22">
      <c r="A29" s="1949"/>
      <c r="B29" s="1977"/>
      <c r="C29" s="1960">
        <v>13</v>
      </c>
      <c r="D29" s="1960"/>
      <c r="E29" s="1976" t="s">
        <v>1960</v>
      </c>
      <c r="F29" s="1949"/>
      <c r="G29" s="1949"/>
      <c r="H29" s="1949"/>
      <c r="I29" s="1978"/>
      <c r="J29" s="1979"/>
      <c r="K29" s="1978"/>
      <c r="L29" s="1983"/>
      <c r="M29" s="1980"/>
      <c r="N29" s="1981"/>
      <c r="O29" s="1978"/>
      <c r="P29" s="1982"/>
      <c r="Q29" s="1978"/>
      <c r="R29" s="1979"/>
      <c r="S29" s="1978"/>
      <c r="T29" s="1949"/>
      <c r="U29" s="1949"/>
      <c r="V29" s="1949"/>
    </row>
    <row r="30" spans="1:22">
      <c r="A30" s="1949"/>
      <c r="B30" s="1977">
        <v>930150</v>
      </c>
      <c r="C30" s="1960">
        <v>14</v>
      </c>
      <c r="D30" s="1977">
        <v>930150</v>
      </c>
      <c r="E30" s="1978" t="str">
        <f>'SCH_C2.1 - Base Period'!F267</f>
        <v xml:space="preserve">  Miscellaneous Advertising Exp</v>
      </c>
      <c r="F30" s="1949"/>
      <c r="G30" s="1949"/>
      <c r="H30" s="1949"/>
      <c r="I30" s="1462">
        <f t="shared" ref="I30" si="0">ROUND(VLOOKUP(B30,BasePeriod,5,FALSE),0)</f>
        <v>11346</v>
      </c>
      <c r="J30" s="1979">
        <f>VLOOKUP($F$35,ALLOCTABLE,2)</f>
        <v>100</v>
      </c>
      <c r="K30" s="1978">
        <f t="shared" ref="K30" si="1">ROUND(I30*(J30/100),0)</f>
        <v>11346</v>
      </c>
      <c r="L30" s="1983"/>
      <c r="M30" s="1980">
        <v>0</v>
      </c>
      <c r="N30" s="1981"/>
      <c r="O30" s="1978">
        <f>Q30-M30</f>
        <v>0</v>
      </c>
      <c r="P30" s="1982"/>
      <c r="Q30" s="1462">
        <f t="shared" ref="Q30" si="2">ROUND(VLOOKUP(B30,FPERIOD,5,FALSE),0)</f>
        <v>0</v>
      </c>
      <c r="R30" s="1979">
        <f>VLOOKUP($F$35,ALLOCTABLE,2)</f>
        <v>100</v>
      </c>
      <c r="S30" s="1978">
        <f t="shared" ref="S30" si="3">ROUND(Q30*(R30/100),0)</f>
        <v>0</v>
      </c>
      <c r="T30" s="1949"/>
      <c r="U30" s="1949"/>
      <c r="V30" s="1949"/>
    </row>
    <row r="31" spans="1:22">
      <c r="A31" s="1949"/>
      <c r="B31" s="1977"/>
      <c r="C31" s="1960">
        <v>15</v>
      </c>
      <c r="D31" s="1960"/>
      <c r="E31" s="2740" t="s">
        <v>1755</v>
      </c>
      <c r="F31" s="1949"/>
      <c r="G31" s="1949"/>
      <c r="H31" s="1949"/>
      <c r="I31" s="1984">
        <f>SUM(I30:I30)</f>
        <v>11346</v>
      </c>
      <c r="J31" s="1979"/>
      <c r="K31" s="1984">
        <f>SUM(K30:K30)</f>
        <v>11346</v>
      </c>
      <c r="L31" s="1983"/>
      <c r="M31" s="1980">
        <v>0</v>
      </c>
      <c r="N31" s="1981"/>
      <c r="O31" s="1978">
        <f>Q31-M31</f>
        <v>0</v>
      </c>
      <c r="P31" s="1982"/>
      <c r="Q31" s="1984">
        <f>SUM(Q30:Q30)</f>
        <v>0</v>
      </c>
      <c r="R31" s="1979"/>
      <c r="S31" s="1984">
        <f>SUM(S30:S30)</f>
        <v>0</v>
      </c>
      <c r="T31" s="1949"/>
      <c r="U31" s="1949"/>
      <c r="V31" s="1949"/>
    </row>
    <row r="32" spans="1:22">
      <c r="A32" s="1949"/>
      <c r="B32" s="1977"/>
      <c r="C32" s="1955"/>
      <c r="D32" s="1960"/>
      <c r="E32" s="2740"/>
      <c r="F32" s="1949"/>
      <c r="G32" s="1949"/>
      <c r="H32" s="1949"/>
      <c r="I32" s="1978"/>
      <c r="J32" s="1978"/>
      <c r="K32" s="1978"/>
      <c r="L32" s="1983"/>
      <c r="M32" s="1980"/>
      <c r="N32" s="1981"/>
      <c r="O32" s="1978"/>
      <c r="P32" s="1982"/>
      <c r="Q32" s="1982"/>
      <c r="R32" s="1983"/>
      <c r="S32" s="1982"/>
      <c r="T32" s="1949"/>
      <c r="U32" s="1949"/>
      <c r="V32" s="1949"/>
    </row>
    <row r="33" spans="1:22">
      <c r="A33" s="1949"/>
      <c r="B33" s="1977"/>
      <c r="C33" s="1955"/>
      <c r="D33" s="1986"/>
      <c r="E33" s="2740"/>
      <c r="F33" s="1949"/>
      <c r="G33" s="1949"/>
      <c r="H33" s="1949"/>
      <c r="I33" s="1978"/>
      <c r="J33" s="1978"/>
      <c r="K33" s="1978"/>
      <c r="L33" s="1983"/>
      <c r="M33" s="1980"/>
      <c r="N33" s="1981"/>
      <c r="O33" s="1978"/>
      <c r="P33" s="1982"/>
      <c r="Q33" s="1982"/>
      <c r="R33" s="1983"/>
      <c r="S33" s="1982"/>
      <c r="T33" s="1949"/>
      <c r="U33" s="1949"/>
      <c r="V33" s="1949"/>
    </row>
    <row r="34" spans="1:22">
      <c r="A34" s="1949"/>
      <c r="B34" s="1950"/>
      <c r="C34" s="1949"/>
      <c r="D34" s="1949"/>
      <c r="E34" s="1949"/>
      <c r="F34" s="1949"/>
      <c r="G34" s="1949"/>
      <c r="H34" s="1949"/>
      <c r="I34" s="1949"/>
      <c r="J34" s="1949"/>
      <c r="K34" s="1949"/>
      <c r="L34" s="1949"/>
      <c r="M34" s="1949"/>
      <c r="N34" s="1954"/>
      <c r="O34" s="1949"/>
      <c r="P34" s="1954"/>
      <c r="Q34" s="1949"/>
      <c r="R34" s="1949"/>
      <c r="S34" s="1949"/>
      <c r="T34" s="1949"/>
      <c r="U34" s="1949"/>
      <c r="V34" s="1949"/>
    </row>
    <row r="35" spans="1:22">
      <c r="A35" s="1949"/>
      <c r="B35" s="1950"/>
      <c r="C35" s="1949"/>
      <c r="D35" s="1028" t="s">
        <v>384</v>
      </c>
      <c r="E35" s="1028"/>
      <c r="F35" s="1987" t="s">
        <v>593</v>
      </c>
      <c r="G35" s="1949"/>
      <c r="H35" s="1949"/>
      <c r="I35" s="1949"/>
      <c r="J35" s="1949"/>
      <c r="K35" s="1949"/>
      <c r="L35" s="1949"/>
      <c r="M35" s="1949"/>
      <c r="N35" s="1954"/>
      <c r="O35" s="1949"/>
      <c r="P35" s="1954"/>
      <c r="Q35" s="1949"/>
      <c r="R35" s="1949"/>
      <c r="S35" s="1949"/>
      <c r="T35" s="1949"/>
      <c r="U35" s="1949"/>
      <c r="V35" s="1949"/>
    </row>
    <row r="36" spans="1:22">
      <c r="A36" s="1949"/>
      <c r="B36" s="1950"/>
      <c r="C36" s="1949"/>
      <c r="D36" s="1949"/>
      <c r="E36" s="1949"/>
      <c r="F36" s="1949"/>
      <c r="G36" s="1949"/>
      <c r="H36" s="1949"/>
      <c r="I36" s="1949"/>
      <c r="J36" s="1949"/>
      <c r="K36" s="1949"/>
      <c r="L36" s="1949"/>
      <c r="M36" s="1949"/>
      <c r="N36" s="1954"/>
      <c r="O36" s="1949"/>
      <c r="P36" s="1954"/>
      <c r="Q36" s="1949"/>
      <c r="R36" s="1949"/>
      <c r="S36" s="1949"/>
      <c r="T36" s="1949"/>
      <c r="U36" s="1949"/>
      <c r="V36" s="1949"/>
    </row>
    <row r="37" spans="1:22">
      <c r="A37" s="1949"/>
      <c r="B37" s="1950"/>
      <c r="C37" s="1949"/>
      <c r="D37" s="1949"/>
      <c r="E37" s="1949"/>
      <c r="F37" s="1949"/>
      <c r="G37" s="1949"/>
      <c r="H37" s="1949"/>
      <c r="I37" s="1949"/>
      <c r="J37" s="1949"/>
      <c r="K37" s="1949"/>
      <c r="L37" s="1949"/>
      <c r="M37" s="1949"/>
      <c r="N37" s="1954"/>
      <c r="O37" s="1949"/>
      <c r="P37" s="1954"/>
      <c r="Q37" s="1949"/>
      <c r="R37" s="1949"/>
      <c r="S37" s="1949"/>
      <c r="T37" s="1949"/>
      <c r="U37" s="1949"/>
      <c r="V37" s="1949"/>
    </row>
    <row r="38" spans="1:22">
      <c r="A38" s="1949"/>
      <c r="B38" s="1950"/>
      <c r="C38" s="1949"/>
      <c r="D38" s="1949"/>
      <c r="E38" s="1949"/>
      <c r="F38" s="1949"/>
      <c r="G38" s="1949"/>
      <c r="H38" s="1949"/>
      <c r="I38" s="1949"/>
      <c r="J38" s="1949"/>
      <c r="K38" s="1949"/>
      <c r="L38" s="1949"/>
      <c r="M38" s="1949"/>
      <c r="N38" s="1954"/>
      <c r="O38" s="1949"/>
      <c r="P38" s="1954"/>
      <c r="Q38" s="1949"/>
      <c r="R38" s="1949"/>
      <c r="S38" s="1949"/>
      <c r="T38" s="1949"/>
      <c r="U38" s="1949"/>
      <c r="V38" s="1949"/>
    </row>
    <row r="39" spans="1:22">
      <c r="A39" s="1949"/>
      <c r="B39" s="1950"/>
      <c r="C39" s="1949"/>
      <c r="D39" s="1949"/>
      <c r="E39" s="1949"/>
      <c r="F39" s="1949"/>
      <c r="G39" s="1949"/>
      <c r="H39" s="1949"/>
      <c r="I39" s="1949"/>
      <c r="J39" s="1949"/>
      <c r="K39" s="1949"/>
      <c r="L39" s="1949"/>
      <c r="M39" s="1949"/>
      <c r="N39" s="1954"/>
      <c r="O39" s="1949"/>
      <c r="P39" s="1954"/>
      <c r="Q39" s="1949"/>
      <c r="R39" s="1949"/>
      <c r="S39" s="1949"/>
      <c r="T39" s="1949"/>
      <c r="U39" s="1949"/>
      <c r="V39" s="1949"/>
    </row>
    <row r="40" spans="1:22">
      <c r="A40" s="1949"/>
      <c r="B40" s="1950"/>
      <c r="C40" s="1949"/>
      <c r="D40" s="1949"/>
      <c r="E40" s="1949"/>
      <c r="F40" s="1949"/>
      <c r="G40" s="1949"/>
      <c r="H40" s="1949"/>
      <c r="I40" s="1949"/>
      <c r="J40" s="1949"/>
      <c r="K40" s="1949"/>
      <c r="L40" s="1949"/>
      <c r="M40" s="1949"/>
      <c r="N40" s="1954"/>
      <c r="O40" s="1949"/>
      <c r="P40" s="1954"/>
      <c r="Q40" s="1949"/>
      <c r="R40" s="1949"/>
      <c r="S40" s="1949"/>
      <c r="T40" s="1949"/>
      <c r="U40" s="234"/>
      <c r="V40" s="234"/>
    </row>
    <row r="41" spans="1:22">
      <c r="A41" s="1949"/>
      <c r="B41" s="1950"/>
      <c r="C41" s="1949"/>
      <c r="D41" s="1949"/>
      <c r="E41" s="1949"/>
      <c r="F41" s="1949"/>
      <c r="G41" s="1949"/>
      <c r="H41" s="1949"/>
      <c r="I41" s="1949"/>
      <c r="J41" s="1949"/>
      <c r="K41" s="1949"/>
      <c r="L41" s="1949"/>
      <c r="M41" s="1949"/>
      <c r="N41" s="1954"/>
      <c r="O41" s="1949"/>
      <c r="P41" s="1954"/>
      <c r="Q41" s="1949"/>
      <c r="R41" s="1949"/>
      <c r="S41" s="1949"/>
      <c r="T41" s="1949"/>
      <c r="U41" s="234"/>
      <c r="V41" s="234"/>
    </row>
    <row r="42" spans="1:22">
      <c r="A42" s="1949"/>
      <c r="B42" s="1950"/>
      <c r="C42" s="1949"/>
      <c r="D42" s="1949"/>
      <c r="E42" s="1949"/>
      <c r="F42" s="1949"/>
      <c r="G42" s="1949"/>
      <c r="H42" s="1949"/>
      <c r="I42" s="1949"/>
      <c r="J42" s="1949"/>
      <c r="K42" s="1949"/>
      <c r="L42" s="1949"/>
      <c r="M42" s="1949"/>
      <c r="N42" s="1954"/>
      <c r="O42" s="1949"/>
      <c r="P42" s="1954"/>
      <c r="Q42" s="1949"/>
      <c r="R42" s="1949"/>
      <c r="S42" s="1949"/>
      <c r="T42" s="1949"/>
      <c r="U42" s="234"/>
      <c r="V42" s="234"/>
    </row>
    <row r="43" spans="1:22">
      <c r="A43" s="1949"/>
      <c r="B43" s="1950"/>
      <c r="C43" s="1949"/>
      <c r="D43" s="1949"/>
      <c r="E43" s="1949"/>
      <c r="F43" s="1949"/>
      <c r="G43" s="1949"/>
      <c r="H43" s="1949"/>
      <c r="I43" s="1949"/>
      <c r="J43" s="1949"/>
      <c r="K43" s="1949"/>
      <c r="L43" s="1949"/>
      <c r="M43" s="1949"/>
      <c r="N43" s="1954"/>
      <c r="O43" s="1949"/>
      <c r="P43" s="1954"/>
      <c r="Q43" s="1949"/>
      <c r="R43" s="1949"/>
      <c r="S43" s="1949"/>
      <c r="T43" s="1949"/>
      <c r="U43" s="402"/>
      <c r="V43" s="234"/>
    </row>
    <row r="44" spans="1:22">
      <c r="A44" s="1949"/>
      <c r="B44" s="1950"/>
      <c r="C44" s="1949"/>
      <c r="D44" s="1949"/>
      <c r="E44" s="1949"/>
      <c r="F44" s="1949"/>
      <c r="G44" s="1949"/>
      <c r="H44" s="1949"/>
      <c r="I44" s="1949"/>
      <c r="J44" s="1949"/>
      <c r="K44" s="1949"/>
      <c r="L44" s="1949"/>
      <c r="M44" s="1949"/>
      <c r="N44" s="1954"/>
      <c r="O44" s="1949"/>
      <c r="P44" s="1954"/>
      <c r="Q44" s="1949"/>
      <c r="R44" s="1949"/>
      <c r="S44" s="1949"/>
      <c r="T44" s="1949"/>
      <c r="U44" s="234"/>
      <c r="V44" s="234"/>
    </row>
    <row r="45" spans="1:22">
      <c r="A45" s="1949"/>
      <c r="B45" s="1950"/>
      <c r="C45" s="1949"/>
      <c r="D45" s="1949"/>
      <c r="E45" s="1949"/>
      <c r="F45" s="1949"/>
      <c r="G45" s="1949"/>
      <c r="H45" s="1949"/>
      <c r="I45" s="1949"/>
      <c r="J45" s="1949"/>
      <c r="K45" s="1949"/>
      <c r="L45" s="1949"/>
      <c r="M45" s="1949"/>
      <c r="N45" s="1954"/>
      <c r="O45" s="1949"/>
      <c r="P45" s="1954"/>
      <c r="Q45" s="1949"/>
      <c r="R45" s="1949"/>
      <c r="S45" s="1949"/>
      <c r="T45" s="1949"/>
      <c r="U45" s="234"/>
      <c r="V45" s="234"/>
    </row>
    <row r="46" spans="1:22">
      <c r="A46" s="1949"/>
      <c r="B46" s="1950"/>
      <c r="C46" s="1949"/>
      <c r="D46" s="1949"/>
      <c r="E46" s="1949"/>
      <c r="F46" s="1949"/>
      <c r="G46" s="1949"/>
      <c r="H46" s="1949"/>
      <c r="I46" s="1949"/>
      <c r="J46" s="1949"/>
      <c r="K46" s="1949"/>
      <c r="L46" s="1949"/>
      <c r="M46" s="1949"/>
      <c r="N46" s="1954"/>
      <c r="O46" s="1949"/>
      <c r="P46" s="1954"/>
      <c r="Q46" s="1949"/>
      <c r="R46" s="1949"/>
      <c r="S46" s="1949"/>
      <c r="T46" s="1949"/>
      <c r="U46" s="249"/>
      <c r="V46" s="249"/>
    </row>
    <row r="47" spans="1:22">
      <c r="A47" s="1949"/>
      <c r="B47" s="1950"/>
      <c r="C47" s="1949"/>
      <c r="D47" s="1949"/>
      <c r="E47" s="1949"/>
      <c r="F47" s="1949"/>
      <c r="G47" s="1949"/>
      <c r="H47" s="1949"/>
      <c r="I47" s="1949"/>
      <c r="J47" s="1949"/>
      <c r="K47" s="1949"/>
      <c r="L47" s="1949"/>
      <c r="M47" s="1949"/>
      <c r="N47" s="1954"/>
      <c r="O47" s="1949"/>
      <c r="P47" s="1954"/>
      <c r="Q47" s="1949"/>
      <c r="R47" s="1949"/>
      <c r="S47" s="1949"/>
      <c r="T47" s="1949"/>
      <c r="U47" s="410"/>
      <c r="V47" s="410"/>
    </row>
    <row r="48" spans="1:22">
      <c r="A48" s="1949"/>
      <c r="B48" s="1950"/>
      <c r="C48" s="1949"/>
      <c r="D48" s="1949"/>
      <c r="E48" s="1949"/>
      <c r="F48" s="1949"/>
      <c r="G48" s="1949"/>
      <c r="H48" s="1949"/>
      <c r="I48" s="1949"/>
      <c r="J48" s="1949"/>
      <c r="K48" s="1949"/>
      <c r="L48" s="1949"/>
      <c r="M48" s="1949"/>
      <c r="N48" s="1954"/>
      <c r="O48" s="1949"/>
      <c r="P48" s="1954"/>
      <c r="Q48" s="1949"/>
      <c r="R48" s="1949"/>
      <c r="S48" s="1949"/>
      <c r="T48" s="1949"/>
      <c r="U48" s="234"/>
      <c r="V48" s="234"/>
    </row>
    <row r="49" spans="1:22">
      <c r="A49" s="1949"/>
      <c r="B49" s="1950"/>
      <c r="C49" s="1949"/>
      <c r="D49" s="1949"/>
      <c r="E49" s="1949"/>
      <c r="F49" s="1949"/>
      <c r="G49" s="1949"/>
      <c r="H49" s="1949"/>
      <c r="I49" s="1949"/>
      <c r="J49" s="1949"/>
      <c r="K49" s="1949"/>
      <c r="L49" s="1949"/>
      <c r="M49" s="1949"/>
      <c r="N49" s="1954"/>
      <c r="O49" s="1949"/>
      <c r="P49" s="1954"/>
      <c r="Q49" s="1949"/>
      <c r="R49" s="1949"/>
      <c r="S49" s="1949"/>
      <c r="T49" s="1949"/>
      <c r="U49" s="234"/>
      <c r="V49" s="234"/>
    </row>
    <row r="50" spans="1:22">
      <c r="A50" s="1949"/>
      <c r="B50" s="1950"/>
      <c r="C50" s="1949"/>
      <c r="D50" s="1949"/>
      <c r="E50" s="1949"/>
      <c r="F50" s="1949"/>
      <c r="G50" s="1949"/>
      <c r="H50" s="1949"/>
      <c r="I50" s="1949"/>
      <c r="J50" s="1949"/>
      <c r="K50" s="1949"/>
      <c r="L50" s="1949"/>
      <c r="M50" s="1949"/>
      <c r="N50" s="1954"/>
      <c r="O50" s="1949"/>
      <c r="P50" s="1954"/>
      <c r="Q50" s="1949"/>
      <c r="R50" s="1949"/>
      <c r="S50" s="1949"/>
      <c r="T50" s="1949"/>
      <c r="U50" s="234"/>
      <c r="V50" s="234"/>
    </row>
  </sheetData>
  <mergeCells count="3">
    <mergeCell ref="E14:G14"/>
    <mergeCell ref="J13:K13"/>
    <mergeCell ref="R13:S13"/>
  </mergeCells>
  <phoneticPr fontId="19" type="noConversion"/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FFC000"/>
  </sheetPr>
  <dimension ref="A1:AC176"/>
  <sheetViews>
    <sheetView tabSelected="1" view="pageLayout" topLeftCell="A4" zoomScaleNormal="70" workbookViewId="0">
      <selection activeCell="G1" sqref="G1"/>
    </sheetView>
  </sheetViews>
  <sheetFormatPr defaultColWidth="8" defaultRowHeight="12.75"/>
  <cols>
    <col min="1" max="1" width="6.140625" style="18" customWidth="1"/>
    <col min="2" max="2" width="1.140625" style="18" customWidth="1"/>
    <col min="3" max="3" width="36.85546875" style="18" customWidth="1"/>
    <col min="4" max="4" width="1.140625" style="18" customWidth="1"/>
    <col min="5" max="5" width="17.5703125" style="18" customWidth="1"/>
    <col min="6" max="6" width="18.85546875" style="18" customWidth="1"/>
    <col min="7" max="7" width="19" style="18" customWidth="1"/>
    <col min="8" max="8" width="16.140625" style="18" customWidth="1"/>
    <col min="9" max="9" width="14.85546875" style="18" customWidth="1"/>
    <col min="10" max="10" width="14.28515625" style="18" customWidth="1"/>
    <col min="11" max="11" width="16.5703125" style="18" customWidth="1"/>
    <col min="12" max="13" width="8" style="18" customWidth="1"/>
    <col min="14" max="14" width="36.7109375" style="18" customWidth="1"/>
    <col min="15" max="27" width="11.85546875" style="18" customWidth="1"/>
    <col min="28" max="16384" width="8" style="18"/>
  </cols>
  <sheetData>
    <row r="1" spans="1:29">
      <c r="A1" s="984" t="str">
        <f>COMPANY</f>
        <v>DUKE ENERGY KENTUCKY, INC.</v>
      </c>
      <c r="B1" s="985"/>
      <c r="C1" s="984"/>
      <c r="D1" s="985"/>
      <c r="E1" s="985"/>
      <c r="F1" s="985"/>
      <c r="G1" s="985"/>
      <c r="H1" s="985"/>
      <c r="I1" s="985"/>
      <c r="J1" s="985"/>
      <c r="K1" s="985"/>
      <c r="L1" s="986"/>
      <c r="M1" s="965"/>
      <c r="N1" s="987"/>
      <c r="O1" s="965"/>
      <c r="P1" s="976"/>
      <c r="Q1" s="976"/>
      <c r="R1" s="976"/>
      <c r="S1" s="988"/>
      <c r="T1" s="976"/>
      <c r="U1" s="976"/>
      <c r="V1" s="976"/>
      <c r="W1" s="976"/>
      <c r="X1" s="976"/>
      <c r="Y1" s="976"/>
      <c r="Z1" s="976"/>
      <c r="AA1" s="976"/>
      <c r="AB1" s="986"/>
      <c r="AC1" s="986"/>
    </row>
    <row r="2" spans="1:29">
      <c r="A2" s="984" t="str">
        <f>CASE</f>
        <v>CASE NO. 2017-00321</v>
      </c>
      <c r="B2" s="985"/>
      <c r="C2" s="985"/>
      <c r="D2" s="985"/>
      <c r="E2" s="985"/>
      <c r="F2" s="985"/>
      <c r="G2" s="985"/>
      <c r="H2" s="985"/>
      <c r="I2" s="985"/>
      <c r="J2" s="985"/>
      <c r="K2" s="985"/>
      <c r="L2" s="986"/>
      <c r="M2" s="967"/>
      <c r="N2" s="965"/>
      <c r="O2" s="967"/>
      <c r="P2" s="989"/>
      <c r="Q2" s="989"/>
      <c r="R2" s="989"/>
      <c r="S2" s="989"/>
      <c r="T2" s="989"/>
      <c r="U2" s="989"/>
      <c r="V2" s="989"/>
      <c r="W2" s="989"/>
      <c r="X2" s="976"/>
      <c r="Y2" s="976"/>
      <c r="Z2" s="976"/>
      <c r="AA2" s="976"/>
      <c r="AB2" s="986"/>
      <c r="AC2" s="986"/>
    </row>
    <row r="3" spans="1:29">
      <c r="A3" s="990" t="s">
        <v>1643</v>
      </c>
      <c r="B3" s="985"/>
      <c r="C3" s="985"/>
      <c r="D3" s="985"/>
      <c r="E3" s="985"/>
      <c r="F3" s="985"/>
      <c r="G3" s="990"/>
      <c r="H3" s="990"/>
      <c r="I3" s="985"/>
      <c r="J3" s="985"/>
      <c r="K3" s="985"/>
      <c r="L3" s="986"/>
      <c r="M3" s="967"/>
      <c r="N3" s="991"/>
      <c r="O3" s="967"/>
      <c r="P3" s="989"/>
      <c r="Q3" s="989"/>
      <c r="R3" s="989"/>
      <c r="S3" s="989"/>
      <c r="T3" s="989"/>
      <c r="U3" s="989"/>
      <c r="V3" s="989"/>
      <c r="W3" s="989"/>
      <c r="X3" s="976"/>
      <c r="Y3" s="976"/>
      <c r="Z3" s="976"/>
      <c r="AA3" s="976"/>
      <c r="AB3" s="986"/>
      <c r="AC3" s="986"/>
    </row>
    <row r="4" spans="1:29">
      <c r="A4" s="984" t="str">
        <f>PERIOD</f>
        <v>FOR THE TWELVE MONTHS ENDED NOVEMBER 30, 2017</v>
      </c>
      <c r="B4" s="985"/>
      <c r="C4" s="985"/>
      <c r="D4" s="985"/>
      <c r="E4" s="985"/>
      <c r="F4" s="985"/>
      <c r="G4" s="985"/>
      <c r="H4" s="985"/>
      <c r="I4" s="985"/>
      <c r="J4" s="985"/>
      <c r="K4" s="985"/>
      <c r="L4" s="986"/>
      <c r="M4" s="965"/>
      <c r="N4" s="965"/>
      <c r="O4" s="965"/>
      <c r="P4" s="976"/>
      <c r="Q4" s="976"/>
      <c r="R4" s="976"/>
      <c r="S4" s="976"/>
      <c r="T4" s="976"/>
      <c r="U4" s="976"/>
      <c r="V4" s="976"/>
      <c r="W4" s="976"/>
      <c r="X4" s="976"/>
      <c r="Y4" s="976"/>
      <c r="Z4" s="976"/>
      <c r="AA4" s="976"/>
      <c r="AB4" s="986"/>
      <c r="AC4" s="986"/>
    </row>
    <row r="5" spans="1:29">
      <c r="A5" s="986"/>
      <c r="B5" s="986"/>
      <c r="C5" s="986"/>
      <c r="D5" s="986"/>
      <c r="E5" s="986"/>
      <c r="F5" s="986"/>
      <c r="G5" s="986"/>
      <c r="H5" s="986"/>
      <c r="I5" s="986"/>
      <c r="J5" s="986"/>
      <c r="K5" s="986"/>
      <c r="L5" s="986"/>
      <c r="M5" s="986"/>
      <c r="N5" s="986"/>
      <c r="O5" s="986"/>
      <c r="P5" s="986"/>
      <c r="Q5" s="986"/>
      <c r="R5" s="986"/>
      <c r="S5" s="986"/>
      <c r="T5" s="986"/>
      <c r="U5" s="986"/>
      <c r="V5" s="986"/>
      <c r="W5" s="986"/>
      <c r="X5" s="986"/>
      <c r="Y5" s="986"/>
      <c r="Z5" s="986"/>
      <c r="AA5" s="986"/>
      <c r="AB5" s="986"/>
      <c r="AC5" s="986"/>
    </row>
    <row r="6" spans="1:29">
      <c r="A6" s="992" t="str">
        <f>Data</f>
        <v>DATA: "X" BASE PERIOD   FORECASTED PERIOD</v>
      </c>
      <c r="B6" s="986"/>
      <c r="C6" s="986"/>
      <c r="D6" s="986"/>
      <c r="E6" s="986"/>
      <c r="F6" s="986"/>
      <c r="G6" s="986"/>
      <c r="H6" s="986"/>
      <c r="I6" s="986"/>
      <c r="J6" s="543" t="s">
        <v>1373</v>
      </c>
      <c r="K6" s="986"/>
      <c r="L6" s="986"/>
      <c r="M6" s="986"/>
      <c r="N6" s="986"/>
      <c r="O6" s="986"/>
      <c r="P6" s="986"/>
      <c r="Q6" s="986"/>
      <c r="R6" s="986"/>
      <c r="S6" s="986"/>
      <c r="T6" s="986"/>
      <c r="U6" s="986"/>
      <c r="V6" s="986"/>
      <c r="W6" s="986"/>
      <c r="X6" s="986"/>
      <c r="Y6" s="986"/>
      <c r="Z6" s="986"/>
      <c r="AA6" s="986"/>
      <c r="AB6" s="986"/>
      <c r="AC6" s="986"/>
    </row>
    <row r="7" spans="1:29">
      <c r="A7" s="992" t="str">
        <f>Type</f>
        <v xml:space="preserve">TYPE OF FILING:  "X" ORIGINAL   UPDATED    REVISED  </v>
      </c>
      <c r="B7" s="986"/>
      <c r="C7" s="986"/>
      <c r="D7" s="986"/>
      <c r="E7" s="986"/>
      <c r="F7" s="986"/>
      <c r="G7" s="986"/>
      <c r="H7" s="986"/>
      <c r="I7" s="986"/>
      <c r="J7" s="543" t="s">
        <v>1458</v>
      </c>
      <c r="K7" s="986"/>
      <c r="L7" s="986"/>
      <c r="M7" s="986"/>
      <c r="N7" s="986"/>
      <c r="O7" s="986"/>
      <c r="P7" s="986"/>
      <c r="Q7" s="986"/>
      <c r="R7" s="986"/>
      <c r="S7" s="986"/>
      <c r="T7" s="986"/>
      <c r="U7" s="986"/>
      <c r="V7" s="986"/>
      <c r="W7" s="986"/>
      <c r="X7" s="986"/>
      <c r="Y7" s="986"/>
      <c r="Z7" s="986"/>
      <c r="AA7" s="986"/>
      <c r="AB7" s="986"/>
      <c r="AC7" s="986"/>
    </row>
    <row r="8" spans="1:29">
      <c r="A8" s="543" t="s">
        <v>1131</v>
      </c>
      <c r="B8" s="986"/>
      <c r="C8" s="986"/>
      <c r="D8" s="986"/>
      <c r="E8" s="986"/>
      <c r="F8" s="986"/>
      <c r="G8" s="986"/>
      <c r="H8" s="986"/>
      <c r="I8" s="986"/>
      <c r="J8" s="543" t="s">
        <v>622</v>
      </c>
      <c r="K8" s="986"/>
      <c r="L8" s="986"/>
      <c r="M8" s="986"/>
      <c r="N8" s="986"/>
      <c r="O8" s="986"/>
      <c r="P8" s="986"/>
      <c r="Q8" s="986"/>
      <c r="R8" s="986"/>
      <c r="S8" s="986"/>
      <c r="T8" s="986"/>
      <c r="U8" s="986"/>
      <c r="V8" s="986"/>
      <c r="W8" s="986"/>
      <c r="X8" s="986"/>
      <c r="Y8" s="986"/>
      <c r="Z8" s="986"/>
      <c r="AA8" s="986"/>
      <c r="AB8" s="986"/>
      <c r="AC8" s="986"/>
    </row>
    <row r="9" spans="1:29">
      <c r="A9" s="986"/>
      <c r="B9" s="986"/>
      <c r="C9" s="986"/>
      <c r="D9" s="986"/>
      <c r="E9" s="986"/>
      <c r="F9" s="986"/>
      <c r="G9" s="986"/>
      <c r="H9" s="986"/>
      <c r="I9" s="986"/>
      <c r="J9" s="986" t="str">
        <f>_WIT1</f>
        <v>S. E. LAWLER</v>
      </c>
      <c r="K9" s="1571"/>
      <c r="L9" s="986"/>
      <c r="M9" s="986"/>
      <c r="N9" s="986"/>
      <c r="O9" s="986"/>
      <c r="P9" s="986"/>
      <c r="Q9" s="986"/>
      <c r="R9" s="986"/>
      <c r="S9" s="986"/>
      <c r="T9" s="986"/>
      <c r="U9" s="986"/>
      <c r="V9" s="986"/>
      <c r="W9" s="986"/>
      <c r="X9" s="986"/>
      <c r="Y9" s="986"/>
      <c r="Z9" s="986"/>
      <c r="AA9" s="986"/>
      <c r="AB9" s="986"/>
      <c r="AC9" s="986"/>
    </row>
    <row r="10" spans="1:29">
      <c r="A10" s="993"/>
      <c r="B10" s="993"/>
      <c r="C10" s="993"/>
      <c r="D10" s="993"/>
      <c r="E10" s="993"/>
      <c r="F10" s="993"/>
      <c r="G10" s="993"/>
      <c r="H10" s="993"/>
      <c r="I10" s="993"/>
      <c r="J10" s="993"/>
      <c r="K10" s="993"/>
      <c r="L10" s="986"/>
      <c r="M10" s="986"/>
      <c r="N10" s="986"/>
      <c r="O10" s="986"/>
      <c r="P10" s="986"/>
      <c r="Q10" s="986"/>
      <c r="R10" s="986"/>
      <c r="S10" s="986"/>
      <c r="T10" s="986"/>
      <c r="U10" s="986"/>
      <c r="V10" s="986"/>
      <c r="W10" s="986"/>
      <c r="X10" s="986"/>
      <c r="Y10" s="986"/>
      <c r="Z10" s="986"/>
      <c r="AA10" s="986"/>
      <c r="AB10" s="986"/>
      <c r="AC10" s="986"/>
    </row>
    <row r="11" spans="1:29">
      <c r="A11" s="986"/>
      <c r="B11" s="986"/>
      <c r="C11" s="994"/>
      <c r="D11" s="984"/>
      <c r="E11" s="995" t="s">
        <v>1645</v>
      </c>
      <c r="F11" s="996"/>
      <c r="G11" s="994"/>
      <c r="H11" s="994"/>
      <c r="I11" s="997"/>
      <c r="J11" s="985"/>
      <c r="K11" s="986"/>
      <c r="L11" s="986"/>
      <c r="M11" s="986"/>
      <c r="N11" s="986"/>
      <c r="O11" s="986"/>
      <c r="P11" s="986"/>
      <c r="Q11" s="986"/>
      <c r="R11" s="986"/>
      <c r="S11" s="986"/>
      <c r="T11" s="986"/>
      <c r="U11" s="986"/>
      <c r="V11" s="986"/>
      <c r="W11" s="986"/>
      <c r="X11" s="986"/>
      <c r="Y11" s="986"/>
      <c r="Z11" s="986"/>
      <c r="AA11" s="986"/>
      <c r="AB11" s="986"/>
      <c r="AC11" s="986"/>
    </row>
    <row r="12" spans="1:29">
      <c r="A12" s="994" t="s">
        <v>1961</v>
      </c>
      <c r="B12" s="986"/>
      <c r="C12" s="986"/>
      <c r="D12" s="998"/>
      <c r="E12" s="995" t="s">
        <v>1646</v>
      </c>
      <c r="F12" s="994" t="s">
        <v>1647</v>
      </c>
      <c r="G12" s="994" t="s">
        <v>1648</v>
      </c>
      <c r="H12" s="994"/>
      <c r="I12" s="999" t="s">
        <v>806</v>
      </c>
      <c r="J12" s="985"/>
      <c r="K12" s="996"/>
      <c r="L12" s="986"/>
      <c r="M12" s="986"/>
      <c r="N12" s="986"/>
      <c r="O12" s="986"/>
      <c r="P12" s="986"/>
      <c r="Q12" s="986"/>
      <c r="R12" s="986"/>
      <c r="S12" s="986"/>
      <c r="T12" s="986"/>
      <c r="U12" s="986"/>
      <c r="V12" s="986"/>
      <c r="W12" s="986"/>
      <c r="X12" s="986"/>
      <c r="Y12" s="986"/>
      <c r="Z12" s="986"/>
      <c r="AA12" s="986"/>
      <c r="AB12" s="986"/>
      <c r="AC12" s="986"/>
    </row>
    <row r="13" spans="1:29">
      <c r="A13" s="994" t="s">
        <v>90</v>
      </c>
      <c r="B13" s="986"/>
      <c r="C13" s="994" t="s">
        <v>1649</v>
      </c>
      <c r="D13" s="998"/>
      <c r="E13" s="995" t="s">
        <v>1643</v>
      </c>
      <c r="F13" s="994" t="s">
        <v>1643</v>
      </c>
      <c r="G13" s="994" t="s">
        <v>1643</v>
      </c>
      <c r="H13" s="994" t="s">
        <v>2487</v>
      </c>
      <c r="I13" s="999" t="s">
        <v>809</v>
      </c>
      <c r="J13" s="985" t="s">
        <v>1498</v>
      </c>
      <c r="K13" s="996" t="s">
        <v>1035</v>
      </c>
      <c r="L13" s="986"/>
      <c r="M13" s="986"/>
      <c r="N13" s="986"/>
      <c r="O13" s="986"/>
      <c r="P13" s="986"/>
      <c r="Q13" s="986"/>
      <c r="R13" s="986"/>
      <c r="S13" s="986"/>
      <c r="T13" s="986"/>
      <c r="U13" s="986"/>
      <c r="V13" s="986"/>
      <c r="W13" s="986"/>
      <c r="X13" s="986"/>
      <c r="Y13" s="986"/>
      <c r="Z13" s="986"/>
      <c r="AA13" s="986"/>
      <c r="AB13" s="986"/>
      <c r="AC13" s="986"/>
    </row>
    <row r="14" spans="1:29">
      <c r="A14" s="993"/>
      <c r="B14" s="993"/>
      <c r="C14" s="1000" t="s">
        <v>296</v>
      </c>
      <c r="D14" s="993"/>
      <c r="E14" s="1000" t="s">
        <v>210</v>
      </c>
      <c r="F14" s="1000" t="s">
        <v>303</v>
      </c>
      <c r="G14" s="1000" t="s">
        <v>944</v>
      </c>
      <c r="H14" s="1000" t="s">
        <v>1935</v>
      </c>
      <c r="I14" s="1000" t="s">
        <v>298</v>
      </c>
      <c r="J14" s="1000" t="s">
        <v>300</v>
      </c>
      <c r="K14" s="1000" t="s">
        <v>11</v>
      </c>
      <c r="L14" s="986"/>
      <c r="M14" s="986"/>
      <c r="N14" s="986"/>
      <c r="O14" s="986"/>
      <c r="P14" s="986"/>
      <c r="Q14" s="986"/>
      <c r="R14" s="986"/>
      <c r="S14" s="986"/>
      <c r="T14" s="986"/>
      <c r="U14" s="986"/>
      <c r="V14" s="986"/>
      <c r="W14" s="986"/>
      <c r="X14" s="986"/>
      <c r="Y14" s="986"/>
      <c r="Z14" s="986"/>
      <c r="AA14" s="986"/>
      <c r="AB14" s="986"/>
      <c r="AC14" s="986"/>
    </row>
    <row r="15" spans="1:29">
      <c r="A15" s="1363"/>
      <c r="B15" s="1363"/>
      <c r="C15" s="1362"/>
      <c r="D15" s="1363"/>
      <c r="E15" s="1362"/>
      <c r="F15" s="1362"/>
      <c r="G15" s="1362"/>
      <c r="H15" s="1362"/>
      <c r="I15" s="1362"/>
      <c r="J15" s="1362"/>
      <c r="K15" s="1362"/>
      <c r="L15" s="986"/>
      <c r="M15" s="986"/>
      <c r="N15" s="986"/>
      <c r="O15" s="986"/>
      <c r="P15" s="986"/>
      <c r="Q15" s="986"/>
      <c r="R15" s="986"/>
      <c r="S15" s="986"/>
      <c r="T15" s="986"/>
      <c r="U15" s="986"/>
      <c r="V15" s="986"/>
      <c r="W15" s="986"/>
      <c r="X15" s="986"/>
      <c r="Y15" s="986"/>
      <c r="Z15" s="986"/>
      <c r="AA15" s="986"/>
      <c r="AB15" s="986"/>
      <c r="AC15" s="986"/>
    </row>
    <row r="16" spans="1:29">
      <c r="A16" s="995">
        <v>1</v>
      </c>
      <c r="B16" s="986"/>
      <c r="C16" s="1001" t="s">
        <v>282</v>
      </c>
      <c r="D16" s="986"/>
      <c r="E16" s="1002"/>
      <c r="F16" s="1003"/>
      <c r="G16" s="1003"/>
      <c r="H16" s="1003"/>
      <c r="I16" s="1004"/>
      <c r="J16" s="1005"/>
      <c r="K16" s="1009">
        <f>SUM(E16:J16)</f>
        <v>0</v>
      </c>
      <c r="L16" s="986"/>
      <c r="M16" s="986"/>
      <c r="N16" s="986"/>
      <c r="O16" s="986"/>
      <c r="P16" s="986"/>
      <c r="Q16" s="986"/>
      <c r="R16" s="986"/>
      <c r="S16" s="986"/>
      <c r="T16" s="986"/>
      <c r="U16" s="986"/>
      <c r="V16" s="986"/>
      <c r="W16" s="986"/>
      <c r="X16" s="986"/>
      <c r="Y16" s="986"/>
      <c r="Z16" s="986"/>
      <c r="AA16" s="986"/>
      <c r="AB16" s="986"/>
      <c r="AC16" s="986"/>
    </row>
    <row r="17" spans="1:29">
      <c r="A17" s="995">
        <v>2</v>
      </c>
      <c r="B17" s="986"/>
      <c r="C17" s="986"/>
      <c r="D17" s="986"/>
      <c r="E17" s="1006"/>
      <c r="F17" s="1007"/>
      <c r="G17" s="1007"/>
      <c r="H17" s="1007"/>
      <c r="I17" s="1008"/>
      <c r="J17" s="1006"/>
      <c r="K17" s="1009"/>
      <c r="L17" s="986"/>
      <c r="M17" s="986"/>
      <c r="N17" s="986"/>
      <c r="O17" s="986"/>
      <c r="P17" s="986"/>
      <c r="Q17" s="986"/>
      <c r="R17" s="986"/>
      <c r="S17" s="986"/>
      <c r="T17" s="986"/>
      <c r="U17" s="986"/>
      <c r="V17" s="986"/>
      <c r="W17" s="986"/>
      <c r="X17" s="986"/>
      <c r="Y17" s="986"/>
      <c r="Z17" s="986"/>
      <c r="AA17" s="986"/>
      <c r="AB17" s="986"/>
      <c r="AC17" s="986"/>
    </row>
    <row r="18" spans="1:29">
      <c r="A18" s="995">
        <v>3</v>
      </c>
      <c r="B18" s="986"/>
      <c r="C18" s="1001" t="s">
        <v>283</v>
      </c>
      <c r="D18" s="986"/>
      <c r="E18" s="1010"/>
      <c r="F18" s="1011"/>
      <c r="G18" s="1007"/>
      <c r="H18" s="1007"/>
      <c r="I18" s="1008"/>
      <c r="J18" s="1010">
        <f>O53</f>
        <v>0</v>
      </c>
      <c r="K18" s="1009">
        <f>SUM(E18:J18)</f>
        <v>0</v>
      </c>
      <c r="L18" s="986"/>
      <c r="M18" s="986"/>
      <c r="N18" s="986"/>
      <c r="O18" s="986"/>
      <c r="P18" s="986"/>
      <c r="Q18" s="986"/>
      <c r="R18" s="986"/>
      <c r="S18" s="986"/>
      <c r="T18" s="986"/>
      <c r="U18" s="986"/>
      <c r="V18" s="986"/>
      <c r="W18" s="986"/>
      <c r="X18" s="986"/>
      <c r="Y18" s="986"/>
      <c r="Z18" s="986"/>
      <c r="AA18" s="986"/>
      <c r="AB18" s="986"/>
      <c r="AC18" s="986"/>
    </row>
    <row r="19" spans="1:29">
      <c r="A19" s="995">
        <v>4</v>
      </c>
      <c r="B19" s="986"/>
      <c r="C19" s="986"/>
      <c r="D19" s="986"/>
      <c r="E19" s="1010"/>
      <c r="F19" s="1010"/>
      <c r="G19" s="1010"/>
      <c r="H19" s="1010"/>
      <c r="I19" s="1012"/>
      <c r="J19" s="1010"/>
      <c r="K19" s="1009"/>
      <c r="L19" s="986"/>
      <c r="M19" s="986"/>
      <c r="N19" s="986"/>
      <c r="O19" s="986"/>
      <c r="P19" s="986"/>
      <c r="Q19" s="986"/>
      <c r="R19" s="986"/>
      <c r="S19" s="986"/>
      <c r="T19" s="986"/>
      <c r="U19" s="986"/>
      <c r="V19" s="986"/>
      <c r="W19" s="986"/>
      <c r="X19" s="986"/>
      <c r="Y19" s="986"/>
      <c r="Z19" s="986"/>
      <c r="AA19" s="986"/>
      <c r="AB19" s="986"/>
      <c r="AC19" s="986"/>
    </row>
    <row r="20" spans="1:29">
      <c r="A20" s="995">
        <v>5</v>
      </c>
      <c r="B20" s="543"/>
      <c r="C20" s="1001" t="s">
        <v>284</v>
      </c>
      <c r="D20" s="986"/>
      <c r="E20" s="1013"/>
      <c r="F20" s="1011"/>
      <c r="G20" s="1013"/>
      <c r="H20" s="1013"/>
      <c r="I20" s="1014"/>
      <c r="J20" s="1011"/>
      <c r="K20" s="1009">
        <f>SUM(E20:J20)</f>
        <v>0</v>
      </c>
      <c r="L20" s="986"/>
      <c r="M20" s="986"/>
      <c r="N20" s="986"/>
      <c r="O20" s="986"/>
      <c r="P20" s="986"/>
      <c r="Q20" s="986"/>
      <c r="R20" s="986"/>
      <c r="S20" s="986"/>
      <c r="T20" s="986"/>
      <c r="U20" s="986"/>
      <c r="V20" s="986"/>
      <c r="W20" s="986"/>
      <c r="X20" s="986"/>
      <c r="Y20" s="986"/>
      <c r="Z20" s="986"/>
      <c r="AA20" s="986"/>
      <c r="AB20" s="986"/>
      <c r="AC20" s="986"/>
    </row>
    <row r="21" spans="1:29">
      <c r="A21" s="995">
        <v>6</v>
      </c>
      <c r="B21" s="543"/>
      <c r="C21" s="986"/>
      <c r="D21" s="986"/>
      <c r="E21" s="1013"/>
      <c r="F21" s="1011"/>
      <c r="G21" s="1013"/>
      <c r="H21" s="1013"/>
      <c r="I21" s="1014"/>
      <c r="J21" s="1011"/>
      <c r="K21" s="1009"/>
      <c r="L21" s="986"/>
      <c r="M21" s="986"/>
      <c r="N21" s="986"/>
      <c r="O21" s="986"/>
      <c r="P21" s="986"/>
      <c r="Q21" s="986"/>
      <c r="R21" s="986"/>
      <c r="S21" s="986"/>
      <c r="T21" s="986"/>
      <c r="U21" s="986"/>
      <c r="V21" s="986"/>
      <c r="W21" s="986"/>
      <c r="X21" s="986"/>
      <c r="Y21" s="986"/>
      <c r="Z21" s="986"/>
      <c r="AA21" s="986"/>
      <c r="AB21" s="986"/>
      <c r="AC21" s="986"/>
    </row>
    <row r="22" spans="1:29">
      <c r="A22" s="995">
        <v>7</v>
      </c>
      <c r="B22" s="986"/>
      <c r="C22" s="1001" t="s">
        <v>285</v>
      </c>
      <c r="D22" s="986"/>
      <c r="E22" s="1010"/>
      <c r="F22" s="1010"/>
      <c r="G22" s="1010"/>
      <c r="H22" s="1010"/>
      <c r="I22" s="1012"/>
      <c r="J22" s="1010"/>
      <c r="K22" s="1009"/>
      <c r="L22" s="986"/>
      <c r="M22" s="986"/>
      <c r="N22" s="986"/>
      <c r="O22" s="986"/>
      <c r="P22" s="986"/>
      <c r="Q22" s="986"/>
      <c r="R22" s="986"/>
      <c r="S22" s="986"/>
      <c r="T22" s="986"/>
      <c r="U22" s="986"/>
      <c r="V22" s="986"/>
      <c r="W22" s="986"/>
      <c r="X22" s="986"/>
      <c r="Y22" s="986"/>
      <c r="Z22" s="986"/>
      <c r="AA22" s="986"/>
      <c r="AB22" s="986"/>
      <c r="AC22" s="986"/>
    </row>
    <row r="23" spans="1:29">
      <c r="A23" s="995">
        <v>8</v>
      </c>
      <c r="B23" s="986"/>
      <c r="C23" s="986"/>
      <c r="D23" s="986"/>
      <c r="E23" s="1010"/>
      <c r="F23" s="1010"/>
      <c r="G23" s="1010"/>
      <c r="H23" s="1010"/>
      <c r="I23" s="1012"/>
      <c r="J23" s="1010"/>
      <c r="K23" s="1009"/>
      <c r="L23" s="986"/>
      <c r="M23" s="986"/>
      <c r="N23" s="986"/>
      <c r="O23" s="986"/>
      <c r="P23" s="986"/>
      <c r="Q23" s="986"/>
      <c r="R23" s="986"/>
      <c r="S23" s="986"/>
      <c r="T23" s="986"/>
      <c r="U23" s="986"/>
      <c r="V23" s="986"/>
      <c r="W23" s="986"/>
      <c r="X23" s="986"/>
      <c r="Y23" s="986"/>
      <c r="Z23" s="986"/>
      <c r="AA23" s="986"/>
      <c r="AB23" s="986"/>
      <c r="AC23" s="986"/>
    </row>
    <row r="24" spans="1:29">
      <c r="A24" s="995">
        <v>9</v>
      </c>
      <c r="B24" s="986"/>
      <c r="C24" s="1001" t="s">
        <v>286</v>
      </c>
      <c r="D24" s="986"/>
      <c r="E24" s="1010"/>
      <c r="F24" s="1010"/>
      <c r="G24" s="1010">
        <f>O60</f>
        <v>1801</v>
      </c>
      <c r="H24" s="1010">
        <f>O61</f>
        <v>2384</v>
      </c>
      <c r="I24" s="1012"/>
      <c r="J24" s="1010"/>
      <c r="K24" s="1009">
        <f>SUM(E24:J24)</f>
        <v>4185</v>
      </c>
      <c r="L24" s="986"/>
      <c r="M24" s="986"/>
      <c r="N24" s="986"/>
      <c r="O24" s="986"/>
      <c r="P24" s="986"/>
      <c r="Q24" s="986"/>
      <c r="R24" s="986"/>
      <c r="S24" s="986"/>
      <c r="T24" s="986"/>
      <c r="U24" s="986"/>
      <c r="V24" s="986"/>
      <c r="W24" s="986"/>
      <c r="X24" s="986"/>
      <c r="Y24" s="986"/>
      <c r="Z24" s="986"/>
      <c r="AA24" s="986"/>
      <c r="AB24" s="986"/>
      <c r="AC24" s="986"/>
    </row>
    <row r="25" spans="1:29">
      <c r="A25" s="995">
        <v>10</v>
      </c>
      <c r="B25" s="986"/>
      <c r="C25" s="986"/>
      <c r="D25" s="986"/>
      <c r="E25" s="1010"/>
      <c r="F25" s="1010"/>
      <c r="G25" s="1010"/>
      <c r="H25" s="1010"/>
      <c r="I25" s="1010"/>
      <c r="J25" s="1010"/>
      <c r="K25" s="1009"/>
      <c r="L25" s="986"/>
      <c r="M25" s="986"/>
      <c r="N25" s="986"/>
      <c r="O25" s="986"/>
      <c r="P25" s="986"/>
      <c r="Q25" s="986"/>
      <c r="R25" s="986"/>
      <c r="S25" s="986"/>
      <c r="T25" s="986"/>
      <c r="U25" s="986"/>
      <c r="V25" s="986"/>
      <c r="W25" s="986"/>
      <c r="X25" s="986"/>
      <c r="Y25" s="986"/>
      <c r="Z25" s="986"/>
      <c r="AA25" s="986"/>
      <c r="AB25" s="986"/>
      <c r="AC25" s="986"/>
    </row>
    <row r="26" spans="1:29">
      <c r="A26" s="995">
        <v>11</v>
      </c>
      <c r="B26" s="986"/>
      <c r="C26" s="1001" t="s">
        <v>287</v>
      </c>
      <c r="D26" s="986"/>
      <c r="E26" s="1010"/>
      <c r="F26" s="1010"/>
      <c r="G26" s="1010"/>
      <c r="H26" s="1010"/>
      <c r="I26" s="1010"/>
      <c r="J26" s="1010">
        <f>O64</f>
        <v>33212</v>
      </c>
      <c r="K26" s="1009">
        <f>SUM(E26:J26)</f>
        <v>33212</v>
      </c>
      <c r="L26" s="986"/>
      <c r="M26" s="986"/>
      <c r="N26" s="986"/>
      <c r="O26" s="986"/>
      <c r="P26" s="986"/>
      <c r="Q26" s="986"/>
      <c r="R26" s="986"/>
      <c r="S26" s="986"/>
      <c r="T26" s="986"/>
      <c r="U26" s="986"/>
      <c r="V26" s="986"/>
      <c r="W26" s="986"/>
      <c r="X26" s="986"/>
      <c r="Y26" s="986"/>
      <c r="Z26" s="986"/>
      <c r="AA26" s="986"/>
      <c r="AB26" s="986"/>
      <c r="AC26" s="986"/>
    </row>
    <row r="27" spans="1:29">
      <c r="A27" s="995">
        <v>12</v>
      </c>
      <c r="B27" s="986"/>
      <c r="C27" s="986"/>
      <c r="D27" s="986"/>
      <c r="E27" s="1010"/>
      <c r="F27" s="1010"/>
      <c r="G27" s="1010"/>
      <c r="H27" s="1010"/>
      <c r="I27" s="1010"/>
      <c r="J27" s="1010"/>
      <c r="K27" s="1009"/>
      <c r="L27" s="986"/>
      <c r="M27" s="986"/>
      <c r="N27" s="986"/>
      <c r="O27" s="986"/>
      <c r="P27" s="986"/>
      <c r="Q27" s="986"/>
      <c r="R27" s="986"/>
      <c r="S27" s="986"/>
      <c r="T27" s="986"/>
      <c r="U27" s="986"/>
      <c r="V27" s="986"/>
      <c r="W27" s="986"/>
      <c r="X27" s="986"/>
      <c r="Y27" s="986"/>
      <c r="Z27" s="986"/>
      <c r="AA27" s="986"/>
      <c r="AB27" s="986"/>
      <c r="AC27" s="986"/>
    </row>
    <row r="28" spans="1:29">
      <c r="A28" s="995">
        <v>13</v>
      </c>
      <c r="B28" s="986"/>
      <c r="C28" s="1001" t="s">
        <v>225</v>
      </c>
      <c r="D28" s="986"/>
      <c r="E28" s="1010"/>
      <c r="F28" s="1010"/>
      <c r="G28" s="1010"/>
      <c r="H28" s="1010"/>
      <c r="I28" s="1010"/>
      <c r="J28" s="1010">
        <f>O66</f>
        <v>14076</v>
      </c>
      <c r="K28" s="1009">
        <f>SUM(E28:J28)</f>
        <v>14076</v>
      </c>
      <c r="L28" s="986"/>
      <c r="M28" s="986"/>
      <c r="N28" s="986"/>
      <c r="O28" s="986"/>
      <c r="P28" s="986"/>
      <c r="Q28" s="986"/>
      <c r="R28" s="986"/>
      <c r="S28" s="986"/>
      <c r="T28" s="986"/>
      <c r="U28" s="986"/>
      <c r="V28" s="986"/>
      <c r="W28" s="986"/>
      <c r="X28" s="986"/>
      <c r="Y28" s="986"/>
      <c r="Z28" s="986"/>
      <c r="AA28" s="986"/>
      <c r="AB28" s="986"/>
      <c r="AC28" s="986"/>
    </row>
    <row r="29" spans="1:29">
      <c r="A29" s="995">
        <v>14</v>
      </c>
      <c r="B29" s="986"/>
      <c r="C29" s="986"/>
      <c r="D29" s="986"/>
      <c r="E29" s="1010"/>
      <c r="F29" s="1010"/>
      <c r="G29" s="1010"/>
      <c r="H29" s="1010"/>
      <c r="I29" s="1010"/>
      <c r="J29" s="1010"/>
      <c r="K29" s="1009"/>
      <c r="L29" s="986"/>
      <c r="M29" s="986"/>
      <c r="N29" s="986"/>
      <c r="O29" s="986"/>
      <c r="P29" s="986"/>
      <c r="Q29" s="986"/>
      <c r="R29" s="986"/>
      <c r="S29" s="986"/>
      <c r="T29" s="986"/>
      <c r="U29" s="986"/>
      <c r="V29" s="986"/>
      <c r="W29" s="986"/>
      <c r="X29" s="986"/>
      <c r="Y29" s="986"/>
      <c r="Z29" s="986"/>
      <c r="AA29" s="986"/>
      <c r="AB29" s="986"/>
      <c r="AC29" s="986"/>
    </row>
    <row r="30" spans="1:29">
      <c r="A30" s="995">
        <v>15</v>
      </c>
      <c r="B30" s="986"/>
      <c r="C30" s="986" t="s">
        <v>1929</v>
      </c>
      <c r="D30" s="986"/>
      <c r="E30" s="1015">
        <f t="shared" ref="E30:K30" si="0">SUM(E16:E28)</f>
        <v>0</v>
      </c>
      <c r="F30" s="1015">
        <f t="shared" si="0"/>
        <v>0</v>
      </c>
      <c r="G30" s="1015">
        <f t="shared" si="0"/>
        <v>1801</v>
      </c>
      <c r="H30" s="1015">
        <f t="shared" si="0"/>
        <v>2384</v>
      </c>
      <c r="I30" s="1015">
        <f t="shared" si="0"/>
        <v>0</v>
      </c>
      <c r="J30" s="1015">
        <f t="shared" si="0"/>
        <v>47288</v>
      </c>
      <c r="K30" s="1015">
        <f t="shared" si="0"/>
        <v>51473</v>
      </c>
      <c r="L30" s="986"/>
      <c r="M30" s="986"/>
      <c r="N30" s="986"/>
      <c r="O30" s="986"/>
      <c r="P30" s="986"/>
      <c r="Q30" s="986"/>
      <c r="R30" s="986"/>
      <c r="S30" s="986"/>
      <c r="T30" s="986"/>
      <c r="U30" s="986"/>
      <c r="V30" s="986"/>
      <c r="W30" s="986"/>
      <c r="X30" s="986"/>
      <c r="Y30" s="986"/>
      <c r="Z30" s="986"/>
      <c r="AA30" s="986"/>
      <c r="AB30" s="986"/>
      <c r="AC30" s="986"/>
    </row>
    <row r="31" spans="1:29">
      <c r="A31" s="995">
        <v>16</v>
      </c>
      <c r="B31" s="986"/>
      <c r="C31" s="986"/>
      <c r="D31" s="986"/>
      <c r="E31" s="1015"/>
      <c r="F31" s="1015"/>
      <c r="G31" s="1015"/>
      <c r="H31" s="1015"/>
      <c r="I31" s="1015"/>
      <c r="J31" s="1015"/>
      <c r="K31" s="1016"/>
      <c r="L31" s="986"/>
      <c r="M31" s="986"/>
      <c r="N31" s="986"/>
      <c r="O31" s="986"/>
      <c r="P31" s="986"/>
      <c r="Q31" s="986"/>
      <c r="R31" s="986"/>
      <c r="S31" s="986"/>
      <c r="T31" s="986"/>
      <c r="U31" s="986"/>
      <c r="V31" s="986"/>
      <c r="W31" s="986"/>
      <c r="X31" s="986"/>
      <c r="Y31" s="986"/>
      <c r="Z31" s="986"/>
      <c r="AA31" s="986"/>
      <c r="AB31" s="986"/>
      <c r="AC31" s="986"/>
    </row>
    <row r="32" spans="1:29">
      <c r="A32" s="995">
        <v>17</v>
      </c>
      <c r="B32" s="986"/>
      <c r="C32" s="986" t="s">
        <v>288</v>
      </c>
      <c r="D32" s="986"/>
      <c r="E32" s="1015"/>
      <c r="F32" s="1015"/>
      <c r="G32" s="1015"/>
      <c r="H32" s="1015"/>
      <c r="I32" s="1015"/>
      <c r="J32" s="1015"/>
      <c r="K32" s="1016"/>
      <c r="L32" s="986"/>
      <c r="M32" s="986"/>
      <c r="N32" s="986"/>
      <c r="O32" s="986"/>
      <c r="P32" s="986"/>
      <c r="Q32" s="986"/>
      <c r="R32" s="986"/>
      <c r="S32" s="986"/>
      <c r="T32" s="986"/>
      <c r="U32" s="986"/>
      <c r="V32" s="986"/>
      <c r="W32" s="986"/>
      <c r="X32" s="986"/>
      <c r="Y32" s="986"/>
      <c r="Z32" s="986"/>
      <c r="AA32" s="986"/>
      <c r="AB32" s="986"/>
      <c r="AC32" s="986"/>
    </row>
    <row r="33" spans="1:29">
      <c r="A33" s="995">
        <v>18</v>
      </c>
      <c r="B33" s="986"/>
      <c r="C33" s="986" t="s">
        <v>289</v>
      </c>
      <c r="D33" s="986"/>
      <c r="E33" s="1015">
        <f t="shared" ref="E33:J33" si="1">E30</f>
        <v>0</v>
      </c>
      <c r="F33" s="1015">
        <f t="shared" si="1"/>
        <v>0</v>
      </c>
      <c r="G33" s="1015">
        <f t="shared" si="1"/>
        <v>1801</v>
      </c>
      <c r="H33" s="1015">
        <f t="shared" si="1"/>
        <v>2384</v>
      </c>
      <c r="I33" s="1015">
        <f t="shared" si="1"/>
        <v>0</v>
      </c>
      <c r="J33" s="1015">
        <f t="shared" si="1"/>
        <v>47288</v>
      </c>
      <c r="K33" s="1016">
        <f>SUM(E33:J33)</f>
        <v>51473</v>
      </c>
      <c r="L33" s="986"/>
      <c r="M33" s="986"/>
      <c r="N33" s="986"/>
      <c r="O33" s="986"/>
      <c r="P33" s="986"/>
      <c r="Q33" s="986"/>
      <c r="R33" s="986"/>
      <c r="S33" s="986"/>
      <c r="T33" s="986"/>
      <c r="U33" s="986"/>
      <c r="V33" s="986"/>
      <c r="W33" s="986"/>
      <c r="X33" s="986"/>
      <c r="Y33" s="986"/>
      <c r="Z33" s="986"/>
      <c r="AA33" s="986"/>
      <c r="AB33" s="986"/>
      <c r="AC33" s="986"/>
    </row>
    <row r="34" spans="1:29">
      <c r="A34" s="986"/>
      <c r="B34" s="986"/>
      <c r="C34" s="986"/>
      <c r="D34" s="986"/>
      <c r="E34" s="1002"/>
      <c r="F34" s="1002"/>
      <c r="G34" s="1002"/>
      <c r="H34" s="1002"/>
      <c r="I34" s="1002"/>
      <c r="J34" s="1002"/>
      <c r="K34" s="1002"/>
      <c r="L34" s="986"/>
      <c r="M34" s="986"/>
      <c r="N34" s="986"/>
      <c r="O34" s="986"/>
      <c r="P34" s="986"/>
      <c r="Q34" s="986"/>
      <c r="R34" s="986"/>
      <c r="S34" s="986"/>
      <c r="T34" s="986"/>
      <c r="U34" s="986"/>
      <c r="V34" s="986"/>
      <c r="W34" s="986"/>
      <c r="X34" s="986"/>
      <c r="Y34" s="986"/>
      <c r="Z34" s="986"/>
      <c r="AA34" s="986"/>
      <c r="AB34" s="986"/>
      <c r="AC34" s="986"/>
    </row>
    <row r="35" spans="1:29">
      <c r="A35" s="986"/>
      <c r="B35" s="986"/>
      <c r="C35" s="986"/>
      <c r="D35" s="986"/>
      <c r="E35" s="1002"/>
      <c r="F35" s="1002"/>
      <c r="G35" s="1002"/>
      <c r="H35" s="1002"/>
      <c r="I35" s="1002"/>
      <c r="J35" s="1002"/>
      <c r="K35" s="1002"/>
      <c r="L35" s="986"/>
      <c r="M35" s="986"/>
      <c r="N35" s="986"/>
      <c r="O35" s="986"/>
      <c r="P35" s="986"/>
      <c r="Q35" s="986"/>
      <c r="R35" s="986"/>
      <c r="S35" s="986"/>
      <c r="T35" s="986"/>
      <c r="U35" s="986"/>
      <c r="V35" s="986"/>
      <c r="W35" s="986"/>
      <c r="X35" s="986"/>
      <c r="Y35" s="986"/>
      <c r="Z35" s="986"/>
      <c r="AA35" s="986"/>
      <c r="AB35" s="986"/>
      <c r="AC35" s="986"/>
    </row>
    <row r="36" spans="1:29" ht="14.25">
      <c r="A36" s="986"/>
      <c r="B36" s="986"/>
      <c r="C36" s="1017"/>
      <c r="D36" s="986"/>
      <c r="E36" s="1002"/>
      <c r="F36" s="1002"/>
      <c r="G36" s="1002"/>
      <c r="H36" s="1002"/>
      <c r="I36" s="1002"/>
      <c r="J36" s="1002"/>
      <c r="K36" s="1002"/>
      <c r="L36" s="986"/>
      <c r="M36" s="986"/>
      <c r="N36" s="986"/>
      <c r="O36" s="986"/>
      <c r="P36" s="986"/>
      <c r="Q36" s="986"/>
      <c r="R36" s="986"/>
      <c r="S36" s="986"/>
      <c r="T36" s="986"/>
      <c r="U36" s="986"/>
      <c r="V36" s="986"/>
      <c r="W36" s="986"/>
      <c r="X36" s="986"/>
      <c r="Y36" s="986"/>
      <c r="Z36" s="986"/>
      <c r="AA36" s="986"/>
      <c r="AB36" s="986"/>
      <c r="AC36" s="986"/>
    </row>
    <row r="37" spans="1:29">
      <c r="A37" s="986"/>
      <c r="B37" s="986"/>
      <c r="C37" s="986"/>
      <c r="D37" s="986"/>
      <c r="E37" s="986"/>
      <c r="F37" s="986"/>
      <c r="G37" s="986"/>
      <c r="H37" s="986"/>
      <c r="I37" s="986"/>
      <c r="J37" s="986"/>
      <c r="K37" s="986"/>
      <c r="L37" s="986"/>
      <c r="M37" s="856" t="str">
        <f>COMPANY</f>
        <v>DUKE ENERGY KENTUCKY, INC.</v>
      </c>
      <c r="N37" s="968"/>
      <c r="O37" s="968"/>
      <c r="P37" s="968"/>
      <c r="Q37" s="968"/>
      <c r="R37" s="1018"/>
      <c r="S37" s="968"/>
      <c r="T37" s="968"/>
      <c r="U37" s="965"/>
      <c r="V37" s="968"/>
      <c r="W37" s="968"/>
      <c r="X37" s="965"/>
      <c r="Y37" s="856" t="s">
        <v>831</v>
      </c>
      <c r="Z37" s="965"/>
      <c r="AA37" s="965"/>
      <c r="AB37" s="986"/>
      <c r="AC37" s="986"/>
    </row>
    <row r="38" spans="1:29">
      <c r="A38" s="986"/>
      <c r="B38" s="986"/>
      <c r="C38" s="986"/>
      <c r="D38" s="986"/>
      <c r="E38" s="986"/>
      <c r="F38" s="986"/>
      <c r="G38" s="986"/>
      <c r="H38" s="986"/>
      <c r="I38" s="986"/>
      <c r="J38" s="986"/>
      <c r="K38" s="986"/>
      <c r="L38" s="986"/>
      <c r="M38" s="856" t="str">
        <f>CASE</f>
        <v>CASE NO. 2017-00321</v>
      </c>
      <c r="N38" s="968"/>
      <c r="O38" s="968"/>
      <c r="P38" s="968"/>
      <c r="Q38" s="968"/>
      <c r="R38" s="1018"/>
      <c r="S38" s="968"/>
      <c r="T38" s="968"/>
      <c r="U38" s="965"/>
      <c r="V38" s="968"/>
      <c r="W38" s="968"/>
      <c r="X38" s="965"/>
      <c r="Y38" s="856" t="s">
        <v>622</v>
      </c>
      <c r="Z38" s="965"/>
      <c r="AA38" s="965"/>
      <c r="AB38" s="986"/>
      <c r="AC38" s="986"/>
    </row>
    <row r="39" spans="1:29">
      <c r="A39" s="986"/>
      <c r="B39" s="986"/>
      <c r="C39" s="986"/>
      <c r="D39" s="986"/>
      <c r="E39" s="986"/>
      <c r="F39" s="986"/>
      <c r="G39" s="986"/>
      <c r="H39" s="986"/>
      <c r="I39" s="986"/>
      <c r="J39" s="986"/>
      <c r="K39" s="986"/>
      <c r="L39" s="986"/>
      <c r="M39" s="1019" t="str">
        <f>A71</f>
        <v>ADVERTISING</v>
      </c>
      <c r="N39" s="968"/>
      <c r="O39" s="968"/>
      <c r="P39" s="968"/>
      <c r="Q39" s="968"/>
      <c r="R39" s="1018"/>
      <c r="S39" s="968"/>
      <c r="T39" s="968"/>
      <c r="U39" s="965"/>
      <c r="V39" s="968"/>
      <c r="W39" s="968"/>
      <c r="X39" s="965"/>
      <c r="Y39" s="856" t="str">
        <f>_WIT1</f>
        <v>S. E. LAWLER</v>
      </c>
      <c r="Z39" s="965"/>
      <c r="AA39" s="965"/>
      <c r="AB39" s="986"/>
      <c r="AC39" s="986"/>
    </row>
    <row r="40" spans="1:29">
      <c r="A40" s="986"/>
      <c r="B40" s="986"/>
      <c r="C40" s="986"/>
      <c r="D40" s="986"/>
      <c r="E40" s="986"/>
      <c r="F40" s="986"/>
      <c r="G40" s="986"/>
      <c r="H40" s="986"/>
      <c r="I40" s="986"/>
      <c r="J40" s="986"/>
      <c r="K40" s="986"/>
      <c r="L40" s="986"/>
      <c r="M40" s="1020" t="str">
        <f>Data</f>
        <v>DATA: "X" BASE PERIOD   FORECASTED PERIOD</v>
      </c>
      <c r="N40" s="968"/>
      <c r="O40" s="968"/>
      <c r="P40" s="968"/>
      <c r="Q40" s="968"/>
      <c r="R40" s="1018"/>
      <c r="S40" s="968"/>
      <c r="T40" s="968"/>
      <c r="U40" s="965"/>
      <c r="V40" s="968"/>
      <c r="W40" s="968"/>
      <c r="X40" s="965"/>
      <c r="Y40" s="965"/>
      <c r="Z40" s="965"/>
      <c r="AA40" s="965"/>
      <c r="AB40" s="986"/>
      <c r="AC40" s="986"/>
    </row>
    <row r="41" spans="1:29">
      <c r="A41" s="986"/>
      <c r="B41" s="986"/>
      <c r="C41" s="986"/>
      <c r="D41" s="986"/>
      <c r="E41" s="986"/>
      <c r="F41" s="986"/>
      <c r="G41" s="986"/>
      <c r="H41" s="986"/>
      <c r="I41" s="986"/>
      <c r="J41" s="986"/>
      <c r="K41" s="986"/>
      <c r="L41" s="986"/>
      <c r="M41" s="856" t="str">
        <f>PERIOD</f>
        <v>FOR THE TWELVE MONTHS ENDED NOVEMBER 30, 2017</v>
      </c>
      <c r="N41" s="968"/>
      <c r="O41" s="968"/>
      <c r="P41" s="968"/>
      <c r="Q41" s="968"/>
      <c r="R41" s="968"/>
      <c r="S41" s="968"/>
      <c r="T41" s="968"/>
      <c r="U41" s="968"/>
      <c r="V41" s="968"/>
      <c r="W41" s="968"/>
      <c r="X41" s="965"/>
      <c r="Y41" s="965"/>
      <c r="Z41" s="965"/>
      <c r="AA41" s="965"/>
      <c r="AB41" s="986"/>
      <c r="AC41" s="986"/>
    </row>
    <row r="42" spans="1:29">
      <c r="A42" s="986"/>
      <c r="B42" s="986"/>
      <c r="C42" s="986"/>
      <c r="D42" s="986"/>
      <c r="E42" s="986"/>
      <c r="F42" s="986"/>
      <c r="G42" s="986"/>
      <c r="H42" s="986"/>
      <c r="I42" s="986"/>
      <c r="J42" s="986"/>
      <c r="K42" s="986"/>
      <c r="L42" s="986"/>
      <c r="M42" s="965"/>
      <c r="N42" s="965"/>
      <c r="O42" s="965"/>
      <c r="P42" s="965"/>
      <c r="Q42" s="965"/>
      <c r="R42" s="965"/>
      <c r="S42" s="965"/>
      <c r="T42" s="965"/>
      <c r="U42" s="965"/>
      <c r="V42" s="965"/>
      <c r="W42" s="965"/>
      <c r="X42" s="965"/>
      <c r="Y42" s="965"/>
      <c r="Z42" s="965"/>
      <c r="AA42" s="965"/>
      <c r="AB42" s="986"/>
      <c r="AC42" s="986"/>
    </row>
    <row r="43" spans="1:29">
      <c r="A43" s="986"/>
      <c r="B43" s="986"/>
      <c r="C43" s="986"/>
      <c r="D43" s="986"/>
      <c r="E43" s="986"/>
      <c r="F43" s="986"/>
      <c r="G43" s="986"/>
      <c r="H43" s="986"/>
      <c r="I43" s="986"/>
      <c r="J43" s="986"/>
      <c r="K43" s="986"/>
      <c r="L43" s="986"/>
      <c r="M43" s="965"/>
      <c r="N43" s="965"/>
      <c r="O43" s="965"/>
      <c r="P43" s="965"/>
      <c r="Q43" s="965"/>
      <c r="R43" s="965"/>
      <c r="S43" s="965"/>
      <c r="T43" s="965"/>
      <c r="U43" s="856"/>
      <c r="V43" s="965"/>
      <c r="W43" s="965"/>
      <c r="X43" s="965"/>
      <c r="Y43" s="965"/>
      <c r="Z43" s="965"/>
      <c r="AA43" s="965"/>
      <c r="AB43" s="986"/>
      <c r="AC43" s="986"/>
    </row>
    <row r="44" spans="1:29">
      <c r="A44" s="986"/>
      <c r="B44" s="986"/>
      <c r="C44" s="986"/>
      <c r="D44" s="986"/>
      <c r="E44" s="986"/>
      <c r="F44" s="986"/>
      <c r="G44" s="986"/>
      <c r="H44" s="986"/>
      <c r="I44" s="986"/>
      <c r="J44" s="986"/>
      <c r="K44" s="986"/>
      <c r="L44" s="986"/>
      <c r="M44" s="969"/>
      <c r="N44" s="969"/>
      <c r="O44" s="969"/>
      <c r="P44" s="969"/>
      <c r="Q44" s="969"/>
      <c r="R44" s="969"/>
      <c r="S44" s="969"/>
      <c r="T44" s="969"/>
      <c r="U44" s="969"/>
      <c r="V44" s="969"/>
      <c r="W44" s="969"/>
      <c r="X44" s="969"/>
      <c r="Y44" s="969"/>
      <c r="Z44" s="969"/>
      <c r="AA44" s="969"/>
      <c r="AB44" s="986"/>
      <c r="AC44" s="986"/>
    </row>
    <row r="45" spans="1:29">
      <c r="A45" s="986"/>
      <c r="B45" s="986"/>
      <c r="C45" s="986"/>
      <c r="D45" s="986"/>
      <c r="E45" s="986"/>
      <c r="F45" s="986"/>
      <c r="G45" s="986"/>
      <c r="H45" s="986"/>
      <c r="I45" s="986"/>
      <c r="J45" s="986"/>
      <c r="K45" s="986"/>
      <c r="L45" s="986"/>
      <c r="M45" s="965"/>
      <c r="N45" s="971"/>
      <c r="O45" s="1021"/>
      <c r="P45" s="1021"/>
      <c r="Q45" s="1021"/>
      <c r="R45" s="971"/>
      <c r="S45" s="971"/>
      <c r="T45" s="965"/>
      <c r="U45" s="965"/>
      <c r="V45" s="965"/>
      <c r="W45" s="965"/>
      <c r="X45" s="965"/>
      <c r="Y45" s="965"/>
      <c r="Z45" s="965"/>
      <c r="AA45" s="965"/>
      <c r="AB45" s="986"/>
      <c r="AC45" s="986"/>
    </row>
    <row r="46" spans="1:29">
      <c r="A46" s="986"/>
      <c r="B46" s="986"/>
      <c r="C46" s="986"/>
      <c r="D46" s="986"/>
      <c r="E46" s="986"/>
      <c r="F46" s="986"/>
      <c r="G46" s="986"/>
      <c r="H46" s="986"/>
      <c r="I46" s="986"/>
      <c r="J46" s="986"/>
      <c r="K46" s="986"/>
      <c r="L46" s="986"/>
      <c r="M46" s="971" t="s">
        <v>1240</v>
      </c>
      <c r="N46" s="971"/>
      <c r="O46" s="970"/>
      <c r="P46" s="970"/>
      <c r="Q46" s="970"/>
      <c r="R46" s="971"/>
      <c r="S46" s="971"/>
      <c r="T46" s="971"/>
      <c r="U46" s="971"/>
      <c r="V46" s="971"/>
      <c r="W46" s="971"/>
      <c r="X46" s="971"/>
      <c r="Y46" s="971"/>
      <c r="Z46" s="971"/>
      <c r="AA46" s="971"/>
      <c r="AB46" s="986"/>
      <c r="AC46" s="986"/>
    </row>
    <row r="47" spans="1:29">
      <c r="A47" s="986"/>
      <c r="B47" s="986"/>
      <c r="C47" s="986"/>
      <c r="D47" s="986"/>
      <c r="E47" s="986"/>
      <c r="F47" s="986"/>
      <c r="G47" s="986"/>
      <c r="H47" s="986"/>
      <c r="I47" s="986"/>
      <c r="J47" s="986"/>
      <c r="K47" s="986"/>
      <c r="L47" s="986"/>
      <c r="M47" s="971" t="s">
        <v>1241</v>
      </c>
      <c r="N47" s="971" t="s">
        <v>830</v>
      </c>
      <c r="O47" s="971" t="s">
        <v>1929</v>
      </c>
      <c r="P47" s="857">
        <f>LOGO!$I$7</f>
        <v>42735</v>
      </c>
      <c r="Q47" s="857">
        <f>LOGO!$I$8</f>
        <v>42766</v>
      </c>
      <c r="R47" s="857">
        <f>LOGO!$I$9</f>
        <v>42794</v>
      </c>
      <c r="S47" s="857">
        <f>LOGO!$I$10</f>
        <v>42825</v>
      </c>
      <c r="T47" s="857">
        <f>LOGO!$I$11</f>
        <v>42855</v>
      </c>
      <c r="U47" s="857">
        <f>LOGO!$I$12</f>
        <v>42886</v>
      </c>
      <c r="V47" s="857">
        <f>LOGO!$I$13</f>
        <v>42916</v>
      </c>
      <c r="W47" s="857">
        <f>LOGO!$I$14</f>
        <v>42947</v>
      </c>
      <c r="X47" s="857">
        <f>LOGO!$I$15</f>
        <v>42978</v>
      </c>
      <c r="Y47" s="857">
        <f>LOGO!$I$16</f>
        <v>43008</v>
      </c>
      <c r="Z47" s="857">
        <f>LOGO!$I$17</f>
        <v>43039</v>
      </c>
      <c r="AA47" s="857">
        <f>LOGO!$I$18</f>
        <v>43069</v>
      </c>
      <c r="AB47" s="986"/>
      <c r="AC47" s="986"/>
    </row>
    <row r="48" spans="1:29">
      <c r="A48" s="986"/>
      <c r="B48" s="986"/>
      <c r="C48" s="986"/>
      <c r="D48" s="986"/>
      <c r="E48" s="986"/>
      <c r="F48" s="986"/>
      <c r="G48" s="986"/>
      <c r="H48" s="986"/>
      <c r="I48" s="986"/>
      <c r="J48" s="986"/>
      <c r="K48" s="986"/>
      <c r="L48" s="986"/>
      <c r="M48" s="969"/>
      <c r="N48" s="969"/>
      <c r="O48" s="969"/>
      <c r="P48" s="969"/>
      <c r="Q48" s="969"/>
      <c r="R48" s="969"/>
      <c r="S48" s="969"/>
      <c r="T48" s="969"/>
      <c r="U48" s="969"/>
      <c r="V48" s="969"/>
      <c r="W48" s="969"/>
      <c r="X48" s="969"/>
      <c r="Y48" s="969"/>
      <c r="Z48" s="969"/>
      <c r="AA48" s="969"/>
      <c r="AB48" s="986"/>
      <c r="AC48" s="986"/>
    </row>
    <row r="49" spans="1:29">
      <c r="A49" s="986"/>
      <c r="B49" s="986"/>
      <c r="C49" s="986"/>
      <c r="D49" s="986"/>
      <c r="E49" s="986"/>
      <c r="F49" s="986"/>
      <c r="G49" s="986"/>
      <c r="H49" s="986"/>
      <c r="I49" s="986"/>
      <c r="J49" s="986"/>
      <c r="K49" s="986"/>
      <c r="L49" s="986"/>
      <c r="M49" s="965"/>
      <c r="N49" s="965"/>
      <c r="O49" s="971" t="s">
        <v>1150</v>
      </c>
      <c r="P49" s="971" t="s">
        <v>1150</v>
      </c>
      <c r="Q49" s="971" t="s">
        <v>1150</v>
      </c>
      <c r="R49" s="971" t="s">
        <v>1150</v>
      </c>
      <c r="S49" s="971" t="s">
        <v>1150</v>
      </c>
      <c r="T49" s="971" t="s">
        <v>1150</v>
      </c>
      <c r="U49" s="971" t="s">
        <v>1150</v>
      </c>
      <c r="V49" s="971" t="s">
        <v>1150</v>
      </c>
      <c r="W49" s="971" t="s">
        <v>1150</v>
      </c>
      <c r="X49" s="971" t="s">
        <v>1150</v>
      </c>
      <c r="Y49" s="971" t="s">
        <v>1150</v>
      </c>
      <c r="Z49" s="971" t="s">
        <v>1150</v>
      </c>
      <c r="AA49" s="971" t="s">
        <v>1150</v>
      </c>
      <c r="AB49" s="986"/>
      <c r="AC49" s="986"/>
    </row>
    <row r="50" spans="1:29">
      <c r="A50" s="986"/>
      <c r="B50" s="986"/>
      <c r="C50" s="986"/>
      <c r="D50" s="986"/>
      <c r="E50" s="986"/>
      <c r="F50" s="986"/>
      <c r="G50" s="986"/>
      <c r="H50" s="986"/>
      <c r="I50" s="986"/>
      <c r="J50" s="986"/>
      <c r="K50" s="986"/>
      <c r="L50" s="986"/>
      <c r="M50" s="1022"/>
      <c r="N50" s="1023"/>
      <c r="O50" s="965"/>
      <c r="P50" s="965"/>
      <c r="Q50" s="965"/>
      <c r="R50" s="967"/>
      <c r="S50" s="967"/>
      <c r="T50" s="967"/>
      <c r="U50" s="967"/>
      <c r="V50" s="965"/>
      <c r="W50" s="965"/>
      <c r="X50" s="965"/>
      <c r="Y50" s="965"/>
      <c r="Z50" s="965"/>
      <c r="AA50" s="965"/>
      <c r="AB50" s="986"/>
      <c r="AC50" s="986"/>
    </row>
    <row r="51" spans="1:29">
      <c r="A51" s="986"/>
      <c r="B51" s="986"/>
      <c r="C51" s="986"/>
      <c r="D51" s="986"/>
      <c r="E51" s="986"/>
      <c r="F51" s="986"/>
      <c r="G51" s="986"/>
      <c r="H51" s="986"/>
      <c r="I51" s="986"/>
      <c r="J51" s="986"/>
      <c r="K51" s="986"/>
      <c r="L51" s="986"/>
      <c r="M51" s="1022">
        <v>1</v>
      </c>
      <c r="N51" s="1001" t="s">
        <v>282</v>
      </c>
      <c r="O51" s="966">
        <f>SUM(P51:AA51)</f>
        <v>0</v>
      </c>
      <c r="P51" s="973">
        <v>0</v>
      </c>
      <c r="Q51" s="973">
        <v>0</v>
      </c>
      <c r="R51" s="973">
        <v>0</v>
      </c>
      <c r="S51" s="973">
        <v>0</v>
      </c>
      <c r="T51" s="973">
        <v>0</v>
      </c>
      <c r="U51" s="973">
        <v>0</v>
      </c>
      <c r="V51" s="973">
        <v>0</v>
      </c>
      <c r="W51" s="973">
        <v>0</v>
      </c>
      <c r="X51" s="973">
        <v>0</v>
      </c>
      <c r="Y51" s="973">
        <v>0</v>
      </c>
      <c r="Z51" s="973">
        <v>0</v>
      </c>
      <c r="AA51" s="973">
        <v>0</v>
      </c>
      <c r="AB51" s="986"/>
      <c r="AC51" s="986"/>
    </row>
    <row r="52" spans="1:29">
      <c r="A52" s="986"/>
      <c r="B52" s="986"/>
      <c r="C52" s="986"/>
      <c r="D52" s="986"/>
      <c r="E52" s="986"/>
      <c r="F52" s="986"/>
      <c r="G52" s="986"/>
      <c r="H52" s="986"/>
      <c r="I52" s="986"/>
      <c r="J52" s="986"/>
      <c r="K52" s="986"/>
      <c r="L52" s="986"/>
      <c r="M52" s="971">
        <v>2</v>
      </c>
      <c r="N52" s="986"/>
      <c r="O52" s="966"/>
      <c r="P52" s="973"/>
      <c r="Q52" s="973"/>
      <c r="R52" s="973"/>
      <c r="S52" s="973"/>
      <c r="T52" s="973"/>
      <c r="U52" s="973"/>
      <c r="V52" s="973"/>
      <c r="W52" s="973"/>
      <c r="X52" s="973"/>
      <c r="Y52" s="973"/>
      <c r="Z52" s="973"/>
      <c r="AA52" s="973"/>
      <c r="AB52" s="986"/>
      <c r="AC52" s="986"/>
    </row>
    <row r="53" spans="1:29">
      <c r="A53" s="986"/>
      <c r="B53" s="986"/>
      <c r="C53" s="986"/>
      <c r="D53" s="986"/>
      <c r="E53" s="986"/>
      <c r="F53" s="986"/>
      <c r="G53" s="986"/>
      <c r="H53" s="986"/>
      <c r="I53" s="986"/>
      <c r="J53" s="986"/>
      <c r="K53" s="986"/>
      <c r="L53" s="986"/>
      <c r="M53" s="1022">
        <v>3</v>
      </c>
      <c r="N53" s="1001" t="s">
        <v>283</v>
      </c>
      <c r="O53" s="966">
        <f>SUM(P53:AA53)</f>
        <v>0</v>
      </c>
      <c r="P53" s="973">
        <v>0</v>
      </c>
      <c r="Q53" s="973">
        <v>0</v>
      </c>
      <c r="R53" s="973">
        <v>0</v>
      </c>
      <c r="S53" s="973">
        <v>0</v>
      </c>
      <c r="T53" s="973">
        <v>0</v>
      </c>
      <c r="U53" s="973">
        <v>0</v>
      </c>
      <c r="V53" s="973">
        <v>0</v>
      </c>
      <c r="W53" s="973">
        <v>0</v>
      </c>
      <c r="X53" s="973">
        <v>0</v>
      </c>
      <c r="Y53" s="973">
        <v>0</v>
      </c>
      <c r="Z53" s="973">
        <v>0</v>
      </c>
      <c r="AA53" s="973">
        <v>0</v>
      </c>
      <c r="AB53" s="986"/>
      <c r="AC53" s="986"/>
    </row>
    <row r="54" spans="1:29">
      <c r="A54" s="986"/>
      <c r="B54" s="986"/>
      <c r="C54" s="986"/>
      <c r="D54" s="986"/>
      <c r="E54" s="986"/>
      <c r="F54" s="986"/>
      <c r="G54" s="986"/>
      <c r="H54" s="986"/>
      <c r="I54" s="986"/>
      <c r="J54" s="986"/>
      <c r="K54" s="986"/>
      <c r="L54" s="986"/>
      <c r="M54" s="1022">
        <v>4</v>
      </c>
      <c r="N54" s="986"/>
      <c r="O54" s="966"/>
      <c r="P54" s="973"/>
      <c r="Q54" s="973"/>
      <c r="R54" s="973"/>
      <c r="S54" s="973"/>
      <c r="T54" s="973"/>
      <c r="U54" s="973"/>
      <c r="V54" s="973"/>
      <c r="W54" s="973"/>
      <c r="X54" s="973"/>
      <c r="Y54" s="973"/>
      <c r="Z54" s="973"/>
      <c r="AA54" s="973"/>
      <c r="AB54" s="986"/>
      <c r="AC54" s="986"/>
    </row>
    <row r="55" spans="1:29">
      <c r="A55" s="986"/>
      <c r="B55" s="986"/>
      <c r="C55" s="986"/>
      <c r="D55" s="986"/>
      <c r="E55" s="986"/>
      <c r="F55" s="986"/>
      <c r="G55" s="986"/>
      <c r="H55" s="986"/>
      <c r="I55" s="986"/>
      <c r="J55" s="986"/>
      <c r="K55" s="986"/>
      <c r="L55" s="986"/>
      <c r="M55" s="1022">
        <v>5</v>
      </c>
      <c r="N55" s="1001" t="s">
        <v>284</v>
      </c>
      <c r="O55" s="966">
        <f>SUM(P55:AA55)</f>
        <v>0</v>
      </c>
      <c r="P55" s="973">
        <v>0</v>
      </c>
      <c r="Q55" s="973">
        <v>0</v>
      </c>
      <c r="R55" s="973">
        <v>0</v>
      </c>
      <c r="S55" s="973">
        <v>0</v>
      </c>
      <c r="T55" s="973">
        <v>0</v>
      </c>
      <c r="U55" s="973">
        <v>0</v>
      </c>
      <c r="V55" s="973">
        <v>0</v>
      </c>
      <c r="W55" s="973">
        <v>0</v>
      </c>
      <c r="X55" s="973">
        <v>0</v>
      </c>
      <c r="Y55" s="973">
        <v>0</v>
      </c>
      <c r="Z55" s="973">
        <v>0</v>
      </c>
      <c r="AA55" s="973">
        <v>0</v>
      </c>
      <c r="AB55" s="986"/>
      <c r="AC55" s="986"/>
    </row>
    <row r="56" spans="1:29">
      <c r="A56" s="986"/>
      <c r="B56" s="986"/>
      <c r="C56" s="986"/>
      <c r="D56" s="986"/>
      <c r="E56" s="986"/>
      <c r="F56" s="986"/>
      <c r="G56" s="986"/>
      <c r="H56" s="986"/>
      <c r="I56" s="986"/>
      <c r="J56" s="986"/>
      <c r="K56" s="986"/>
      <c r="L56" s="986"/>
      <c r="M56" s="971">
        <v>6</v>
      </c>
      <c r="N56" s="986"/>
      <c r="O56" s="966"/>
      <c r="P56" s="973"/>
      <c r="Q56" s="973"/>
      <c r="R56" s="973"/>
      <c r="S56" s="973"/>
      <c r="T56" s="973"/>
      <c r="U56" s="973"/>
      <c r="V56" s="973"/>
      <c r="W56" s="973"/>
      <c r="X56" s="973"/>
      <c r="Y56" s="973"/>
      <c r="Z56" s="973"/>
      <c r="AA56" s="973"/>
      <c r="AB56" s="986"/>
      <c r="AC56" s="986"/>
    </row>
    <row r="57" spans="1:29">
      <c r="A57" s="986"/>
      <c r="B57" s="986"/>
      <c r="C57" s="986"/>
      <c r="D57" s="986"/>
      <c r="E57" s="986"/>
      <c r="F57" s="986"/>
      <c r="G57" s="986"/>
      <c r="H57" s="986"/>
      <c r="I57" s="986"/>
      <c r="J57" s="986"/>
      <c r="K57" s="986"/>
      <c r="L57" s="986"/>
      <c r="M57" s="1022">
        <v>7</v>
      </c>
      <c r="N57" s="1001" t="s">
        <v>285</v>
      </c>
      <c r="O57" s="966">
        <f>SUM(P57:AA57)</f>
        <v>0</v>
      </c>
      <c r="P57" s="973">
        <v>0</v>
      </c>
      <c r="Q57" s="973">
        <v>0</v>
      </c>
      <c r="R57" s="973">
        <v>0</v>
      </c>
      <c r="S57" s="973">
        <v>0</v>
      </c>
      <c r="T57" s="973">
        <v>0</v>
      </c>
      <c r="U57" s="973">
        <v>0</v>
      </c>
      <c r="V57" s="973">
        <v>0</v>
      </c>
      <c r="W57" s="973">
        <v>0</v>
      </c>
      <c r="X57" s="973">
        <v>0</v>
      </c>
      <c r="Y57" s="973">
        <v>0</v>
      </c>
      <c r="Z57" s="973">
        <v>0</v>
      </c>
      <c r="AA57" s="973">
        <v>0</v>
      </c>
      <c r="AB57" s="986"/>
      <c r="AC57" s="986"/>
    </row>
    <row r="58" spans="1:29">
      <c r="A58" s="986"/>
      <c r="B58" s="986"/>
      <c r="C58" s="986"/>
      <c r="D58" s="986"/>
      <c r="E58" s="986"/>
      <c r="F58" s="986"/>
      <c r="G58" s="986"/>
      <c r="H58" s="986"/>
      <c r="I58" s="986"/>
      <c r="J58" s="986"/>
      <c r="K58" s="986"/>
      <c r="L58" s="986"/>
      <c r="M58" s="1022">
        <v>8</v>
      </c>
      <c r="N58" s="986"/>
      <c r="AB58" s="986"/>
      <c r="AC58" s="986"/>
    </row>
    <row r="59" spans="1:29">
      <c r="A59" s="986"/>
      <c r="B59" s="986"/>
      <c r="C59" s="986"/>
      <c r="D59" s="986"/>
      <c r="E59" s="986"/>
      <c r="F59" s="986"/>
      <c r="G59" s="986"/>
      <c r="H59" s="986"/>
      <c r="I59" s="986"/>
      <c r="J59" s="986"/>
      <c r="K59" s="986"/>
      <c r="L59" s="986"/>
      <c r="M59" s="1022">
        <v>9</v>
      </c>
      <c r="N59" s="1001" t="s">
        <v>286</v>
      </c>
      <c r="AB59" s="986"/>
      <c r="AC59" s="986"/>
    </row>
    <row r="60" spans="1:29">
      <c r="A60" s="986"/>
      <c r="B60" s="986"/>
      <c r="C60" s="986"/>
      <c r="D60" s="986"/>
      <c r="E60" s="986"/>
      <c r="F60" s="986"/>
      <c r="G60" s="986"/>
      <c r="H60" s="986"/>
      <c r="I60" s="986"/>
      <c r="J60" s="986"/>
      <c r="K60" s="986"/>
      <c r="L60" s="986"/>
      <c r="M60" s="971">
        <v>10</v>
      </c>
      <c r="N60" s="986" t="s">
        <v>2485</v>
      </c>
      <c r="O60" s="966">
        <f>SUM(P60:AA60)</f>
        <v>1801</v>
      </c>
      <c r="P60" s="973">
        <v>2043</v>
      </c>
      <c r="Q60" s="973">
        <v>3</v>
      </c>
      <c r="R60" s="973">
        <v>-245</v>
      </c>
      <c r="S60" s="973">
        <v>0</v>
      </c>
      <c r="T60" s="973">
        <v>0</v>
      </c>
      <c r="U60" s="973">
        <v>0</v>
      </c>
      <c r="V60" s="973"/>
      <c r="W60" s="973"/>
      <c r="X60" s="973"/>
      <c r="Y60" s="973"/>
      <c r="Z60" s="973"/>
      <c r="AA60" s="973"/>
      <c r="AB60" s="986"/>
      <c r="AC60" s="986"/>
    </row>
    <row r="61" spans="1:29">
      <c r="A61" s="986"/>
      <c r="B61" s="986"/>
      <c r="C61" s="986"/>
      <c r="D61" s="986"/>
      <c r="E61" s="986"/>
      <c r="F61" s="986"/>
      <c r="G61" s="986"/>
      <c r="H61" s="986"/>
      <c r="I61" s="986"/>
      <c r="J61" s="986"/>
      <c r="K61" s="986"/>
      <c r="L61" s="986"/>
      <c r="M61" s="1022">
        <v>11</v>
      </c>
      <c r="N61" s="986" t="s">
        <v>2486</v>
      </c>
      <c r="O61" s="966">
        <f>SUM(P61:AA61)</f>
        <v>2384</v>
      </c>
      <c r="P61" s="973">
        <f>140+560</f>
        <v>700</v>
      </c>
      <c r="Q61" s="973">
        <v>1192</v>
      </c>
      <c r="R61" s="973">
        <v>0</v>
      </c>
      <c r="S61" s="973">
        <v>492</v>
      </c>
      <c r="T61" s="973"/>
      <c r="U61" s="973"/>
      <c r="V61" s="973"/>
      <c r="W61" s="973"/>
      <c r="AB61" s="986"/>
      <c r="AC61" s="986"/>
    </row>
    <row r="62" spans="1:29">
      <c r="A62" s="986"/>
      <c r="B62" s="986"/>
      <c r="C62" s="986"/>
      <c r="D62" s="986"/>
      <c r="E62" s="986"/>
      <c r="F62" s="986"/>
      <c r="G62" s="986"/>
      <c r="H62" s="986"/>
      <c r="I62" s="986"/>
      <c r="J62" s="986"/>
      <c r="K62" s="986"/>
      <c r="L62" s="986"/>
      <c r="M62" s="1022">
        <v>12</v>
      </c>
      <c r="N62" s="986"/>
      <c r="O62" s="974">
        <f>SUM(O60:O61)</f>
        <v>4185</v>
      </c>
      <c r="P62" s="974">
        <f t="shared" ref="P62" si="2">SUM(P60:P61)</f>
        <v>2743</v>
      </c>
      <c r="Q62" s="974">
        <f t="shared" ref="Q62:AA62" si="3">SUM(Q60:Q61)</f>
        <v>1195</v>
      </c>
      <c r="R62" s="974">
        <f t="shared" si="3"/>
        <v>-245</v>
      </c>
      <c r="S62" s="974">
        <f t="shared" si="3"/>
        <v>492</v>
      </c>
      <c r="T62" s="974">
        <f t="shared" si="3"/>
        <v>0</v>
      </c>
      <c r="U62" s="974">
        <f t="shared" si="3"/>
        <v>0</v>
      </c>
      <c r="V62" s="974">
        <f t="shared" si="3"/>
        <v>0</v>
      </c>
      <c r="W62" s="974">
        <f t="shared" si="3"/>
        <v>0</v>
      </c>
      <c r="X62" s="974">
        <f t="shared" si="3"/>
        <v>0</v>
      </c>
      <c r="Y62" s="974">
        <f t="shared" si="3"/>
        <v>0</v>
      </c>
      <c r="Z62" s="974">
        <f t="shared" si="3"/>
        <v>0</v>
      </c>
      <c r="AA62" s="974">
        <f t="shared" si="3"/>
        <v>0</v>
      </c>
      <c r="AB62" s="986"/>
      <c r="AC62" s="986"/>
    </row>
    <row r="63" spans="1:29">
      <c r="A63" s="986"/>
      <c r="B63" s="986"/>
      <c r="C63" s="986"/>
      <c r="D63" s="986"/>
      <c r="E63" s="986"/>
      <c r="F63" s="986"/>
      <c r="G63" s="986"/>
      <c r="H63" s="986"/>
      <c r="I63" s="986"/>
      <c r="J63" s="986"/>
      <c r="K63" s="986"/>
      <c r="L63" s="986"/>
      <c r="M63" s="1022">
        <v>13</v>
      </c>
      <c r="N63" s="986"/>
      <c r="O63" s="978"/>
      <c r="P63" s="978"/>
      <c r="Q63" s="978"/>
      <c r="R63" s="978"/>
      <c r="S63" s="978"/>
      <c r="T63" s="978"/>
      <c r="U63" s="978"/>
      <c r="V63" s="978"/>
      <c r="W63" s="978"/>
      <c r="X63" s="978"/>
      <c r="Y63" s="978"/>
      <c r="Z63" s="978"/>
      <c r="AA63" s="978"/>
      <c r="AB63" s="986"/>
      <c r="AC63" s="986"/>
    </row>
    <row r="64" spans="1:29">
      <c r="A64" s="986"/>
      <c r="B64" s="986"/>
      <c r="C64" s="986"/>
      <c r="D64" s="986"/>
      <c r="E64" s="986"/>
      <c r="F64" s="986"/>
      <c r="G64" s="986"/>
      <c r="H64" s="986"/>
      <c r="I64" s="986"/>
      <c r="J64" s="986"/>
      <c r="K64" s="986"/>
      <c r="L64" s="986"/>
      <c r="M64" s="971">
        <v>14</v>
      </c>
      <c r="N64" s="1001" t="s">
        <v>287</v>
      </c>
      <c r="O64" s="966">
        <f>SUM(P64:AA64)</f>
        <v>33212</v>
      </c>
      <c r="P64" s="973">
        <f>10951+5653</f>
        <v>16604</v>
      </c>
      <c r="Q64" s="973">
        <f>1303+130</f>
        <v>1433</v>
      </c>
      <c r="R64" s="973">
        <f>1115+92+769</f>
        <v>1976</v>
      </c>
      <c r="S64" s="973">
        <f>1653+104-171+193</f>
        <v>1779</v>
      </c>
      <c r="T64" s="973">
        <f>279+2460+177+861</f>
        <v>3777</v>
      </c>
      <c r="U64" s="973">
        <f>2634+215+4794</f>
        <v>7643</v>
      </c>
      <c r="V64" s="973">
        <v>0</v>
      </c>
      <c r="W64" s="973">
        <v>0</v>
      </c>
      <c r="X64" s="973">
        <v>0</v>
      </c>
      <c r="Y64" s="973">
        <v>0</v>
      </c>
      <c r="Z64" s="973">
        <v>0</v>
      </c>
      <c r="AA64" s="973">
        <v>0</v>
      </c>
      <c r="AB64" s="986"/>
      <c r="AC64" s="986"/>
    </row>
    <row r="65" spans="1:29">
      <c r="A65" s="986"/>
      <c r="B65" s="986"/>
      <c r="C65" s="986"/>
      <c r="D65" s="986"/>
      <c r="E65" s="986"/>
      <c r="F65" s="986"/>
      <c r="G65" s="986"/>
      <c r="H65" s="986"/>
      <c r="I65" s="986"/>
      <c r="J65" s="986"/>
      <c r="K65" s="986"/>
      <c r="L65" s="986"/>
      <c r="M65" s="1022">
        <v>15</v>
      </c>
      <c r="N65" s="1001"/>
      <c r="O65" s="966"/>
      <c r="P65" s="973"/>
      <c r="Q65" s="973"/>
      <c r="R65" s="973"/>
      <c r="S65" s="973"/>
      <c r="T65" s="973"/>
      <c r="U65" s="973"/>
      <c r="V65" s="973"/>
      <c r="W65" s="973"/>
      <c r="X65" s="973"/>
      <c r="Y65" s="973"/>
      <c r="Z65" s="973"/>
      <c r="AA65" s="973"/>
      <c r="AB65" s="986"/>
      <c r="AC65" s="986"/>
    </row>
    <row r="66" spans="1:29">
      <c r="A66" s="986"/>
      <c r="B66" s="986"/>
      <c r="C66" s="986"/>
      <c r="D66" s="986"/>
      <c r="E66" s="986"/>
      <c r="F66" s="986"/>
      <c r="G66" s="986"/>
      <c r="H66" s="986"/>
      <c r="I66" s="986"/>
      <c r="J66" s="986"/>
      <c r="K66" s="986"/>
      <c r="L66" s="986"/>
      <c r="M66" s="1022">
        <v>16</v>
      </c>
      <c r="N66" s="1001" t="s">
        <v>225</v>
      </c>
      <c r="O66" s="966">
        <f>SUM(P66:AA66)</f>
        <v>14076</v>
      </c>
      <c r="P66" s="973">
        <f>-58+16+1479-584-3+1424-205+40+3</f>
        <v>2112</v>
      </c>
      <c r="Q66" s="973">
        <f>1713</f>
        <v>1713</v>
      </c>
      <c r="R66" s="973">
        <f>1850-2</f>
        <v>1848</v>
      </c>
      <c r="S66" s="973">
        <v>1153</v>
      </c>
      <c r="T66" s="973">
        <f>2168+2+31</f>
        <v>2201</v>
      </c>
      <c r="U66" s="973">
        <v>4119</v>
      </c>
      <c r="V66" s="973">
        <v>155</v>
      </c>
      <c r="W66" s="973">
        <v>155</v>
      </c>
      <c r="X66" s="973">
        <v>155</v>
      </c>
      <c r="Y66" s="973">
        <v>155</v>
      </c>
      <c r="Z66" s="973">
        <v>155</v>
      </c>
      <c r="AA66" s="973">
        <v>155</v>
      </c>
      <c r="AB66" s="986"/>
      <c r="AC66" s="986"/>
    </row>
    <row r="67" spans="1:29">
      <c r="A67" s="986"/>
      <c r="B67" s="986"/>
      <c r="C67" s="986"/>
      <c r="D67" s="986"/>
      <c r="E67" s="986"/>
      <c r="F67" s="986"/>
      <c r="G67" s="986"/>
      <c r="H67" s="986"/>
      <c r="I67" s="986"/>
      <c r="J67" s="986"/>
      <c r="K67" s="986"/>
      <c r="L67" s="986"/>
      <c r="M67" s="1022">
        <v>17</v>
      </c>
      <c r="N67" s="986"/>
      <c r="O67" s="977"/>
      <c r="P67" s="1025"/>
      <c r="Q67" s="973"/>
      <c r="R67" s="978"/>
      <c r="S67" s="1026"/>
      <c r="T67" s="983"/>
      <c r="U67" s="1025"/>
      <c r="V67" s="981"/>
      <c r="W67" s="975"/>
      <c r="X67" s="976"/>
      <c r="Y67" s="976"/>
      <c r="Z67" s="976"/>
      <c r="AA67" s="976"/>
      <c r="AB67" s="986"/>
      <c r="AC67" s="986"/>
    </row>
    <row r="68" spans="1:29" ht="13.5" thickBot="1">
      <c r="A68" s="986"/>
      <c r="B68" s="986"/>
      <c r="C68" s="986"/>
      <c r="D68" s="986"/>
      <c r="E68" s="986"/>
      <c r="F68" s="986"/>
      <c r="G68" s="986"/>
      <c r="H68" s="986"/>
      <c r="I68" s="986"/>
      <c r="J68" s="986"/>
      <c r="K68" s="986"/>
      <c r="L68" s="986"/>
      <c r="M68" s="1022">
        <v>18</v>
      </c>
      <c r="N68" s="987" t="s">
        <v>826</v>
      </c>
      <c r="O68" s="980">
        <f t="shared" ref="O68:AA68" si="4">O51+O53+O55+O57+O62+O64+O66</f>
        <v>51473</v>
      </c>
      <c r="P68" s="980">
        <f t="shared" si="4"/>
        <v>21459</v>
      </c>
      <c r="Q68" s="980">
        <f t="shared" si="4"/>
        <v>4341</v>
      </c>
      <c r="R68" s="980">
        <f t="shared" si="4"/>
        <v>3579</v>
      </c>
      <c r="S68" s="980">
        <f t="shared" si="4"/>
        <v>3424</v>
      </c>
      <c r="T68" s="980">
        <f t="shared" si="4"/>
        <v>5978</v>
      </c>
      <c r="U68" s="980">
        <f t="shared" si="4"/>
        <v>11762</v>
      </c>
      <c r="V68" s="980">
        <f t="shared" si="4"/>
        <v>155</v>
      </c>
      <c r="W68" s="980">
        <f t="shared" si="4"/>
        <v>155</v>
      </c>
      <c r="X68" s="980">
        <f t="shared" si="4"/>
        <v>155</v>
      </c>
      <c r="Y68" s="980">
        <f t="shared" si="4"/>
        <v>155</v>
      </c>
      <c r="Z68" s="980">
        <f t="shared" si="4"/>
        <v>155</v>
      </c>
      <c r="AA68" s="980">
        <f t="shared" si="4"/>
        <v>155</v>
      </c>
      <c r="AB68" s="986"/>
      <c r="AC68" s="986"/>
    </row>
    <row r="69" spans="1:29" ht="13.5" thickTop="1">
      <c r="A69" s="984" t="str">
        <f>COMPANY</f>
        <v>DUKE ENERGY KENTUCKY, INC.</v>
      </c>
      <c r="B69" s="985"/>
      <c r="C69" s="984"/>
      <c r="D69" s="985"/>
      <c r="E69" s="985"/>
      <c r="F69" s="985"/>
      <c r="G69" s="985"/>
      <c r="H69" s="985"/>
      <c r="I69" s="985"/>
      <c r="J69" s="985"/>
      <c r="K69" s="985"/>
      <c r="L69" s="986"/>
      <c r="M69" s="965"/>
      <c r="N69" s="987"/>
      <c r="O69" s="965"/>
      <c r="P69" s="976"/>
      <c r="Q69" s="976"/>
      <c r="R69" s="976"/>
      <c r="S69" s="988"/>
      <c r="T69" s="976"/>
      <c r="U69" s="976"/>
      <c r="V69" s="976"/>
      <c r="W69" s="976"/>
      <c r="X69" s="976"/>
      <c r="Y69" s="976"/>
      <c r="Z69" s="976"/>
      <c r="AA69" s="976"/>
      <c r="AB69" s="986"/>
      <c r="AC69" s="986"/>
    </row>
    <row r="70" spans="1:29">
      <c r="A70" s="984" t="str">
        <f>CASE</f>
        <v>CASE NO. 2017-00321</v>
      </c>
      <c r="B70" s="985"/>
      <c r="C70" s="985"/>
      <c r="D70" s="985"/>
      <c r="E70" s="985"/>
      <c r="F70" s="985"/>
      <c r="G70" s="985"/>
      <c r="H70" s="985"/>
      <c r="I70" s="985"/>
      <c r="J70" s="985"/>
      <c r="K70" s="985"/>
      <c r="L70" s="986"/>
      <c r="M70" s="986"/>
      <c r="N70" s="986"/>
      <c r="O70" s="966">
        <f>SUM(P70:AA70)</f>
        <v>51473</v>
      </c>
      <c r="P70" s="1010">
        <f>'BASE PERIOD'!F174+'BASE PERIOD'!F178+'BASE PERIOD'!F209</f>
        <v>21459</v>
      </c>
      <c r="Q70" s="1010">
        <f>'BASE PERIOD'!G174+'BASE PERIOD'!G178+'BASE PERIOD'!G209</f>
        <v>4341</v>
      </c>
      <c r="R70" s="1010">
        <f>'BASE PERIOD'!H174+'BASE PERIOD'!H178+'BASE PERIOD'!H209</f>
        <v>3579</v>
      </c>
      <c r="S70" s="1010">
        <f>'BASE PERIOD'!I174+'BASE PERIOD'!I178+'BASE PERIOD'!I209</f>
        <v>3424</v>
      </c>
      <c r="T70" s="1010">
        <f>'BASE PERIOD'!J174+'BASE PERIOD'!J178+'BASE PERIOD'!J209</f>
        <v>5978</v>
      </c>
      <c r="U70" s="1010">
        <f>'BASE PERIOD'!K174+'BASE PERIOD'!K178+'BASE PERIOD'!K209</f>
        <v>11762</v>
      </c>
      <c r="V70" s="1010">
        <f>'BASE PERIOD'!L174+'BASE PERIOD'!L178+'BASE PERIOD'!L209</f>
        <v>155</v>
      </c>
      <c r="W70" s="1010">
        <f>'BASE PERIOD'!M174+'BASE PERIOD'!M178+'BASE PERIOD'!M209</f>
        <v>155</v>
      </c>
      <c r="X70" s="1010">
        <f>'BASE PERIOD'!N174+'BASE PERIOD'!N178+'BASE PERIOD'!N209</f>
        <v>155</v>
      </c>
      <c r="Y70" s="1010">
        <f>'BASE PERIOD'!O174+'BASE PERIOD'!O178+'BASE PERIOD'!O209</f>
        <v>155</v>
      </c>
      <c r="Z70" s="1010">
        <f>'BASE PERIOD'!P174+'BASE PERIOD'!P178+'BASE PERIOD'!P209</f>
        <v>155</v>
      </c>
      <c r="AA70" s="1010">
        <f>'BASE PERIOD'!Q174+'BASE PERIOD'!Q178+'BASE PERIOD'!Q209</f>
        <v>155</v>
      </c>
      <c r="AB70" s="986"/>
      <c r="AC70" s="986"/>
    </row>
    <row r="71" spans="1:29">
      <c r="A71" s="990" t="s">
        <v>1643</v>
      </c>
      <c r="B71" s="985"/>
      <c r="C71" s="985"/>
      <c r="D71" s="985"/>
      <c r="E71" s="985"/>
      <c r="F71" s="985"/>
      <c r="G71" s="990"/>
      <c r="H71" s="990"/>
      <c r="I71" s="985"/>
      <c r="J71" s="985"/>
      <c r="K71" s="985"/>
      <c r="L71" s="986"/>
      <c r="M71" s="986"/>
      <c r="N71" s="986"/>
      <c r="O71" s="966">
        <f>SUM(P71:AA71)</f>
        <v>0</v>
      </c>
      <c r="P71" s="1010">
        <f>P70-P68</f>
        <v>0</v>
      </c>
      <c r="Q71" s="1010">
        <f t="shared" ref="Q71:AA71" si="5">Q70-Q68</f>
        <v>0</v>
      </c>
      <c r="R71" s="1010">
        <f t="shared" si="5"/>
        <v>0</v>
      </c>
      <c r="S71" s="1010">
        <f t="shared" si="5"/>
        <v>0</v>
      </c>
      <c r="T71" s="1010">
        <f t="shared" si="5"/>
        <v>0</v>
      </c>
      <c r="U71" s="1010">
        <f t="shared" si="5"/>
        <v>0</v>
      </c>
      <c r="V71" s="1010">
        <f t="shared" si="5"/>
        <v>0</v>
      </c>
      <c r="W71" s="1010">
        <f t="shared" si="5"/>
        <v>0</v>
      </c>
      <c r="X71" s="1010">
        <f t="shared" si="5"/>
        <v>0</v>
      </c>
      <c r="Y71" s="1010">
        <f t="shared" si="5"/>
        <v>0</v>
      </c>
      <c r="Z71" s="1010">
        <f t="shared" si="5"/>
        <v>0</v>
      </c>
      <c r="AA71" s="1010">
        <f t="shared" si="5"/>
        <v>0</v>
      </c>
      <c r="AB71" s="986"/>
      <c r="AC71" s="986"/>
    </row>
    <row r="72" spans="1:29">
      <c r="A72" s="984" t="str">
        <f>PeriodF</f>
        <v>FOR THE TWELVE MONTHS ENDED MARCH 31, 2019</v>
      </c>
      <c r="B72" s="985"/>
      <c r="C72" s="985"/>
      <c r="D72" s="985"/>
      <c r="E72" s="985"/>
      <c r="F72" s="985"/>
      <c r="G72" s="985"/>
      <c r="H72" s="985"/>
      <c r="I72" s="985"/>
      <c r="J72" s="985"/>
      <c r="K72" s="985"/>
      <c r="L72" s="986"/>
      <c r="M72" s="986"/>
      <c r="N72" s="986"/>
      <c r="O72" s="986"/>
      <c r="P72" s="986"/>
      <c r="Q72" s="986"/>
      <c r="R72" s="986"/>
      <c r="S72" s="986"/>
      <c r="T72" s="986"/>
      <c r="U72" s="986"/>
      <c r="V72" s="986"/>
      <c r="W72" s="986"/>
      <c r="X72" s="986"/>
      <c r="Y72" s="986"/>
      <c r="Z72" s="986"/>
      <c r="AA72" s="986"/>
      <c r="AB72" s="986"/>
      <c r="AC72" s="986"/>
    </row>
    <row r="73" spans="1:29">
      <c r="A73" s="986"/>
      <c r="B73" s="986"/>
      <c r="C73" s="986"/>
      <c r="D73" s="986"/>
      <c r="E73" s="986"/>
      <c r="F73" s="986"/>
      <c r="G73" s="986"/>
      <c r="H73" s="986"/>
      <c r="I73" s="986"/>
      <c r="J73" s="986"/>
      <c r="K73" s="986"/>
      <c r="L73" s="986"/>
      <c r="M73" s="986"/>
      <c r="N73" s="986"/>
      <c r="O73" s="986"/>
      <c r="P73" s="986"/>
      <c r="Q73" s="986"/>
      <c r="R73" s="986"/>
      <c r="S73" s="986"/>
      <c r="T73" s="986"/>
      <c r="U73" s="986"/>
      <c r="V73" s="986"/>
      <c r="W73" s="986"/>
      <c r="X73" s="986"/>
      <c r="Y73" s="986"/>
      <c r="Z73" s="986"/>
      <c r="AA73" s="986"/>
      <c r="AB73" s="986"/>
      <c r="AC73" s="986"/>
    </row>
    <row r="74" spans="1:29">
      <c r="A74" s="992" t="str">
        <f>DataF</f>
        <v>DATA:  BASE PERIOD  "X" FORECASTED PERIOD</v>
      </c>
      <c r="B74" s="986"/>
      <c r="C74" s="986"/>
      <c r="D74" s="986"/>
      <c r="E74" s="986"/>
      <c r="F74" s="986"/>
      <c r="G74" s="986"/>
      <c r="H74" s="986"/>
      <c r="I74" s="986"/>
      <c r="J74" s="543" t="s">
        <v>1373</v>
      </c>
      <c r="K74" s="986"/>
      <c r="L74" s="986"/>
      <c r="M74" s="986"/>
      <c r="N74" s="986"/>
      <c r="O74" s="986"/>
      <c r="P74" s="986"/>
      <c r="Q74" s="986"/>
      <c r="R74" s="986"/>
      <c r="S74" s="986"/>
      <c r="T74" s="986"/>
      <c r="U74" s="986"/>
      <c r="V74" s="986"/>
      <c r="W74" s="986"/>
      <c r="X74" s="986"/>
      <c r="Y74" s="986"/>
      <c r="Z74" s="986"/>
      <c r="AA74" s="986"/>
      <c r="AB74" s="986"/>
      <c r="AC74" s="986"/>
    </row>
    <row r="75" spans="1:29">
      <c r="A75" s="992" t="str">
        <f>Type</f>
        <v xml:space="preserve">TYPE OF FILING:  "X" ORIGINAL   UPDATED    REVISED  </v>
      </c>
      <c r="B75" s="986"/>
      <c r="C75" s="986"/>
      <c r="D75" s="986"/>
      <c r="E75" s="986"/>
      <c r="F75" s="986"/>
      <c r="G75" s="986"/>
      <c r="H75" s="986"/>
      <c r="I75" s="986"/>
      <c r="J75" s="543" t="s">
        <v>86</v>
      </c>
      <c r="K75" s="986"/>
      <c r="L75" s="986"/>
      <c r="M75" s="986"/>
      <c r="N75" s="986"/>
      <c r="O75" s="986"/>
      <c r="P75" s="986"/>
      <c r="Q75" s="986"/>
      <c r="R75" s="986"/>
      <c r="S75" s="986"/>
      <c r="T75" s="986"/>
      <c r="U75" s="986"/>
      <c r="V75" s="986"/>
      <c r="W75" s="986"/>
      <c r="X75" s="986"/>
      <c r="Y75" s="986"/>
      <c r="Z75" s="986"/>
      <c r="AA75" s="986"/>
      <c r="AB75" s="986"/>
      <c r="AC75" s="986"/>
    </row>
    <row r="76" spans="1:29">
      <c r="A76" s="543" t="str">
        <f>A8</f>
        <v>WORK PAPER REFERENCE NO(S).: WPF-4a, WPF-4b</v>
      </c>
      <c r="B76" s="986"/>
      <c r="C76" s="986"/>
      <c r="D76" s="986"/>
      <c r="E76" s="986"/>
      <c r="F76" s="986"/>
      <c r="G76" s="986"/>
      <c r="H76" s="986"/>
      <c r="I76" s="986"/>
      <c r="J76" s="543" t="s">
        <v>622</v>
      </c>
      <c r="K76" s="986"/>
      <c r="L76" s="986"/>
      <c r="M76" s="986"/>
      <c r="N76" s="986"/>
      <c r="O76" s="986"/>
      <c r="P76" s="986"/>
      <c r="Q76" s="986"/>
      <c r="R76" s="986"/>
      <c r="S76" s="986"/>
      <c r="T76" s="986"/>
      <c r="U76" s="986"/>
      <c r="V76" s="986"/>
      <c r="W76" s="986"/>
      <c r="X76" s="986"/>
      <c r="Y76" s="986"/>
      <c r="Z76" s="986"/>
      <c r="AA76" s="986"/>
      <c r="AB76" s="986"/>
      <c r="AC76" s="986"/>
    </row>
    <row r="77" spans="1:29">
      <c r="A77" s="986"/>
      <c r="B77" s="986"/>
      <c r="C77" s="986"/>
      <c r="D77" s="986"/>
      <c r="E77" s="986"/>
      <c r="F77" s="986"/>
      <c r="G77" s="986"/>
      <c r="H77" s="986"/>
      <c r="I77" s="986"/>
      <c r="J77" s="986" t="str">
        <f>_WIT1</f>
        <v>S. E. LAWLER</v>
      </c>
      <c r="K77" s="1571"/>
      <c r="L77" s="986"/>
      <c r="M77" s="986"/>
      <c r="N77" s="986"/>
      <c r="O77" s="986"/>
      <c r="P77" s="986"/>
      <c r="Q77" s="986"/>
      <c r="R77" s="986"/>
      <c r="S77" s="986"/>
      <c r="T77" s="986"/>
      <c r="U77" s="986"/>
      <c r="V77" s="986"/>
      <c r="W77" s="986"/>
      <c r="X77" s="986"/>
      <c r="Y77" s="986"/>
      <c r="Z77" s="986"/>
      <c r="AA77" s="986"/>
      <c r="AB77" s="986"/>
      <c r="AC77" s="986"/>
    </row>
    <row r="78" spans="1:29">
      <c r="A78" s="993"/>
      <c r="B78" s="993"/>
      <c r="C78" s="993"/>
      <c r="D78" s="993"/>
      <c r="E78" s="993"/>
      <c r="F78" s="993"/>
      <c r="G78" s="993"/>
      <c r="H78" s="993"/>
      <c r="I78" s="993"/>
      <c r="J78" s="993"/>
      <c r="K78" s="993"/>
      <c r="L78" s="986"/>
      <c r="M78" s="986"/>
      <c r="N78" s="986"/>
      <c r="O78" s="986"/>
      <c r="P78" s="986"/>
      <c r="Q78" s="986"/>
      <c r="R78" s="986"/>
      <c r="S78" s="986"/>
      <c r="T78" s="986"/>
      <c r="U78" s="986"/>
      <c r="V78" s="986"/>
      <c r="W78" s="986"/>
      <c r="X78" s="986"/>
      <c r="Y78" s="986"/>
      <c r="Z78" s="986"/>
      <c r="AA78" s="986"/>
      <c r="AB78" s="986"/>
      <c r="AC78" s="986"/>
    </row>
    <row r="79" spans="1:29">
      <c r="A79" s="986"/>
      <c r="B79" s="986"/>
      <c r="C79" s="994"/>
      <c r="D79" s="984"/>
      <c r="E79" s="995" t="s">
        <v>1645</v>
      </c>
      <c r="F79" s="996"/>
      <c r="G79" s="994"/>
      <c r="H79" s="994"/>
      <c r="I79" s="997"/>
      <c r="J79" s="985"/>
      <c r="K79" s="986"/>
      <c r="L79" s="986"/>
      <c r="M79" s="986"/>
      <c r="N79" s="986"/>
      <c r="O79" s="986"/>
      <c r="P79" s="986"/>
      <c r="Q79" s="986"/>
      <c r="R79" s="986"/>
      <c r="S79" s="986"/>
      <c r="T79" s="986"/>
      <c r="U79" s="986"/>
      <c r="V79" s="986"/>
      <c r="W79" s="986"/>
      <c r="X79" s="986"/>
      <c r="Y79" s="986"/>
      <c r="Z79" s="986"/>
      <c r="AA79" s="986"/>
      <c r="AB79" s="986"/>
      <c r="AC79" s="986"/>
    </row>
    <row r="80" spans="1:29">
      <c r="A80" s="994" t="s">
        <v>1961</v>
      </c>
      <c r="B80" s="986"/>
      <c r="C80" s="986"/>
      <c r="D80" s="998"/>
      <c r="E80" s="995" t="s">
        <v>1646</v>
      </c>
      <c r="F80" s="994" t="s">
        <v>1647</v>
      </c>
      <c r="G80" s="994" t="s">
        <v>1648</v>
      </c>
      <c r="H80" s="994"/>
      <c r="I80" s="999" t="s">
        <v>806</v>
      </c>
      <c r="J80" s="985"/>
      <c r="K80" s="996"/>
      <c r="L80" s="986"/>
      <c r="M80" s="986"/>
      <c r="N80" s="986"/>
      <c r="O80" s="986"/>
      <c r="P80" s="986"/>
      <c r="Q80" s="986"/>
      <c r="R80" s="986"/>
      <c r="S80" s="986"/>
      <c r="T80" s="986"/>
      <c r="U80" s="986"/>
      <c r="V80" s="986"/>
      <c r="W80" s="986"/>
      <c r="X80" s="986"/>
      <c r="Y80" s="986"/>
      <c r="Z80" s="986"/>
      <c r="AA80" s="986"/>
      <c r="AB80" s="986"/>
      <c r="AC80" s="986"/>
    </row>
    <row r="81" spans="1:29" ht="14.25">
      <c r="A81" s="994" t="s">
        <v>90</v>
      </c>
      <c r="B81" s="986"/>
      <c r="C81" s="994" t="s">
        <v>1649</v>
      </c>
      <c r="D81" s="998"/>
      <c r="E81" s="995" t="s">
        <v>1643</v>
      </c>
      <c r="F81" s="994" t="s">
        <v>1643</v>
      </c>
      <c r="G81" s="994" t="s">
        <v>1643</v>
      </c>
      <c r="H81" s="994" t="s">
        <v>2487</v>
      </c>
      <c r="I81" s="999" t="s">
        <v>809</v>
      </c>
      <c r="J81" s="985" t="s">
        <v>1498</v>
      </c>
      <c r="K81" s="996" t="s">
        <v>2332</v>
      </c>
      <c r="L81" s="986"/>
      <c r="M81" s="986"/>
      <c r="N81" s="986"/>
      <c r="O81" s="986"/>
      <c r="P81" s="986"/>
      <c r="Q81" s="986"/>
      <c r="R81" s="986"/>
      <c r="S81" s="986"/>
      <c r="T81" s="986"/>
      <c r="U81" s="986"/>
      <c r="V81" s="986"/>
      <c r="W81" s="986"/>
      <c r="X81" s="986"/>
      <c r="Y81" s="986"/>
      <c r="Z81" s="986"/>
      <c r="AA81" s="986"/>
      <c r="AB81" s="986"/>
      <c r="AC81" s="986"/>
    </row>
    <row r="82" spans="1:29">
      <c r="A82" s="993"/>
      <c r="B82" s="993"/>
      <c r="C82" s="1000" t="s">
        <v>296</v>
      </c>
      <c r="D82" s="993"/>
      <c r="E82" s="1000" t="s">
        <v>210</v>
      </c>
      <c r="F82" s="1000" t="s">
        <v>303</v>
      </c>
      <c r="G82" s="1000" t="s">
        <v>944</v>
      </c>
      <c r="H82" s="1000" t="s">
        <v>1935</v>
      </c>
      <c r="I82" s="1000" t="s">
        <v>298</v>
      </c>
      <c r="J82" s="1000" t="s">
        <v>300</v>
      </c>
      <c r="K82" s="1000" t="s">
        <v>11</v>
      </c>
      <c r="L82" s="986"/>
      <c r="M82" s="986"/>
      <c r="N82" s="986"/>
      <c r="O82" s="986"/>
      <c r="P82" s="986"/>
      <c r="Q82" s="986"/>
      <c r="R82" s="986"/>
      <c r="S82" s="986"/>
      <c r="T82" s="986"/>
      <c r="U82" s="986"/>
      <c r="V82" s="986"/>
      <c r="W82" s="986"/>
      <c r="X82" s="986"/>
      <c r="Y82" s="986"/>
      <c r="Z82" s="986"/>
      <c r="AA82" s="986"/>
      <c r="AB82" s="986"/>
      <c r="AC82" s="986"/>
    </row>
    <row r="83" spans="1:29">
      <c r="A83" s="1363"/>
      <c r="B83" s="1363"/>
      <c r="C83" s="1362"/>
      <c r="D83" s="1363"/>
      <c r="E83" s="1362"/>
      <c r="F83" s="1362"/>
      <c r="G83" s="1362"/>
      <c r="H83" s="1362"/>
      <c r="I83" s="1362"/>
      <c r="J83" s="1362"/>
      <c r="K83" s="1362"/>
      <c r="L83" s="986"/>
      <c r="M83" s="986"/>
      <c r="N83" s="986"/>
      <c r="O83" s="986"/>
      <c r="P83" s="986"/>
      <c r="Q83" s="986"/>
      <c r="R83" s="986"/>
      <c r="S83" s="986"/>
      <c r="T83" s="986"/>
      <c r="U83" s="986"/>
      <c r="V83" s="986"/>
      <c r="W83" s="986"/>
      <c r="X83" s="986"/>
      <c r="Y83" s="986"/>
      <c r="Z83" s="986"/>
      <c r="AA83" s="986"/>
      <c r="AB83" s="986"/>
      <c r="AC83" s="986"/>
    </row>
    <row r="84" spans="1:29">
      <c r="A84" s="995">
        <v>1</v>
      </c>
      <c r="B84" s="986"/>
      <c r="C84" s="1001" t="s">
        <v>282</v>
      </c>
      <c r="D84" s="986"/>
      <c r="E84" s="1002"/>
      <c r="F84" s="1003"/>
      <c r="G84" s="1003"/>
      <c r="H84" s="1003"/>
      <c r="I84" s="1004"/>
      <c r="J84" s="1005"/>
      <c r="K84" s="1009">
        <f>SUM(E84:J84)</f>
        <v>0</v>
      </c>
      <c r="L84" s="986"/>
      <c r="M84" s="986"/>
      <c r="N84" s="986"/>
      <c r="O84" s="986"/>
      <c r="P84" s="986"/>
      <c r="Q84" s="986"/>
      <c r="R84" s="986"/>
      <c r="S84" s="986"/>
      <c r="T84" s="986"/>
      <c r="U84" s="986"/>
      <c r="V84" s="986"/>
      <c r="W84" s="986"/>
      <c r="X84" s="986"/>
      <c r="Y84" s="986"/>
      <c r="Z84" s="986"/>
      <c r="AA84" s="986"/>
      <c r="AB84" s="986"/>
      <c r="AC84" s="986"/>
    </row>
    <row r="85" spans="1:29">
      <c r="A85" s="995">
        <v>2</v>
      </c>
      <c r="B85" s="986"/>
      <c r="C85" s="986"/>
      <c r="D85" s="986"/>
      <c r="E85" s="1006"/>
      <c r="F85" s="1007"/>
      <c r="G85" s="1007"/>
      <c r="H85" s="1007"/>
      <c r="I85" s="1008"/>
      <c r="J85" s="1006"/>
      <c r="K85" s="1009"/>
      <c r="L85" s="986"/>
      <c r="M85" s="986"/>
      <c r="N85" s="986"/>
      <c r="O85" s="986"/>
      <c r="P85" s="986"/>
      <c r="Q85" s="986"/>
      <c r="R85" s="986"/>
      <c r="S85" s="986"/>
      <c r="T85" s="986"/>
      <c r="U85" s="986"/>
      <c r="V85" s="986"/>
      <c r="W85" s="986"/>
      <c r="X85" s="986"/>
      <c r="Y85" s="986"/>
      <c r="Z85" s="986"/>
      <c r="AA85" s="986"/>
      <c r="AB85" s="986"/>
      <c r="AC85" s="986"/>
    </row>
    <row r="86" spans="1:29">
      <c r="A86" s="995">
        <v>3</v>
      </c>
      <c r="B86" s="986"/>
      <c r="C86" s="1001" t="s">
        <v>283</v>
      </c>
      <c r="D86" s="986"/>
      <c r="E86" s="1006"/>
      <c r="F86" s="1007"/>
      <c r="G86" s="1007"/>
      <c r="H86" s="1007"/>
      <c r="I86" s="1008"/>
      <c r="J86" s="1006"/>
      <c r="K86" s="1009">
        <f>SUM(E86:J86)</f>
        <v>0</v>
      </c>
      <c r="L86" s="986"/>
      <c r="M86" s="986"/>
      <c r="N86" s="986"/>
      <c r="O86" s="986"/>
      <c r="P86" s="986"/>
      <c r="Q86" s="986"/>
      <c r="R86" s="986"/>
      <c r="S86" s="986"/>
      <c r="T86" s="986"/>
      <c r="U86" s="986"/>
      <c r="V86" s="986"/>
      <c r="W86" s="986"/>
      <c r="X86" s="986"/>
      <c r="Y86" s="986"/>
      <c r="Z86" s="986"/>
      <c r="AA86" s="986"/>
      <c r="AB86" s="986"/>
      <c r="AC86" s="986"/>
    </row>
    <row r="87" spans="1:29">
      <c r="A87" s="995">
        <v>4</v>
      </c>
      <c r="B87" s="986"/>
      <c r="C87" s="986"/>
      <c r="D87" s="986"/>
      <c r="E87" s="1010"/>
      <c r="F87" s="1010"/>
      <c r="G87" s="1010"/>
      <c r="H87" s="1010"/>
      <c r="I87" s="1012"/>
      <c r="J87" s="1010"/>
      <c r="K87" s="1009"/>
      <c r="L87" s="986"/>
      <c r="M87" s="986"/>
      <c r="N87" s="986"/>
      <c r="O87" s="986"/>
      <c r="P87" s="986"/>
      <c r="Q87" s="986"/>
      <c r="R87" s="986"/>
      <c r="S87" s="986"/>
      <c r="T87" s="986"/>
      <c r="U87" s="986"/>
      <c r="V87" s="986"/>
      <c r="W87" s="986"/>
      <c r="X87" s="986"/>
      <c r="Y87" s="986"/>
      <c r="Z87" s="986"/>
      <c r="AA87" s="986"/>
      <c r="AB87" s="986"/>
      <c r="AC87" s="986"/>
    </row>
    <row r="88" spans="1:29">
      <c r="A88" s="995">
        <v>5</v>
      </c>
      <c r="B88" s="543"/>
      <c r="C88" s="1001" t="s">
        <v>284</v>
      </c>
      <c r="D88" s="986"/>
      <c r="E88" s="1013"/>
      <c r="F88" s="1011"/>
      <c r="G88" s="1013"/>
      <c r="H88" s="1013"/>
      <c r="I88" s="1014"/>
      <c r="J88" s="1011"/>
      <c r="K88" s="1009">
        <f>SUM(E88:J88)</f>
        <v>0</v>
      </c>
      <c r="L88" s="1027"/>
      <c r="M88" s="986"/>
      <c r="N88" s="986"/>
      <c r="O88" s="986"/>
      <c r="P88" s="986"/>
      <c r="Q88" s="986"/>
      <c r="R88" s="986"/>
      <c r="S88" s="986"/>
      <c r="T88" s="986"/>
      <c r="U88" s="986"/>
      <c r="V88" s="986"/>
      <c r="W88" s="986"/>
      <c r="X88" s="986"/>
      <c r="Y88" s="986"/>
      <c r="Z88" s="986"/>
      <c r="AA88" s="986"/>
      <c r="AB88" s="986"/>
      <c r="AC88" s="986"/>
    </row>
    <row r="89" spans="1:29">
      <c r="A89" s="995">
        <v>6</v>
      </c>
      <c r="B89" s="543"/>
      <c r="C89" s="986"/>
      <c r="D89" s="986"/>
      <c r="E89" s="1013"/>
      <c r="F89" s="1011"/>
      <c r="G89" s="1013"/>
      <c r="H89" s="1013"/>
      <c r="I89" s="1014"/>
      <c r="J89" s="1011"/>
      <c r="K89" s="1009"/>
      <c r="L89" s="1011"/>
      <c r="M89" s="986"/>
      <c r="N89" s="986"/>
      <c r="O89" s="986"/>
      <c r="P89" s="986"/>
      <c r="Q89" s="986"/>
      <c r="R89" s="986"/>
      <c r="S89" s="986"/>
      <c r="T89" s="986"/>
      <c r="U89" s="986"/>
      <c r="V89" s="986"/>
      <c r="W89" s="986"/>
      <c r="X89" s="986"/>
      <c r="Y89" s="986"/>
      <c r="Z89" s="986"/>
      <c r="AA89" s="986"/>
      <c r="AB89" s="986"/>
      <c r="AC89" s="986"/>
    </row>
    <row r="90" spans="1:29">
      <c r="A90" s="995">
        <v>7</v>
      </c>
      <c r="B90" s="986"/>
      <c r="C90" s="1001" t="s">
        <v>285</v>
      </c>
      <c r="D90" s="986"/>
      <c r="E90" s="1010"/>
      <c r="F90" s="1010"/>
      <c r="G90" s="1010"/>
      <c r="H90" s="1010"/>
      <c r="I90" s="1012"/>
      <c r="J90" s="1010"/>
      <c r="K90" s="1009">
        <f>SUM(E90:J90)</f>
        <v>0</v>
      </c>
      <c r="L90" s="986"/>
      <c r="M90" s="986"/>
      <c r="N90" s="986"/>
      <c r="O90" s="986"/>
      <c r="P90" s="986"/>
      <c r="Q90" s="986"/>
      <c r="R90" s="986"/>
      <c r="S90" s="986"/>
      <c r="T90" s="986"/>
      <c r="U90" s="986"/>
      <c r="V90" s="986"/>
      <c r="W90" s="986"/>
      <c r="X90" s="986"/>
      <c r="Y90" s="986"/>
      <c r="Z90" s="986"/>
      <c r="AA90" s="986"/>
      <c r="AB90" s="986"/>
      <c r="AC90" s="986"/>
    </row>
    <row r="91" spans="1:29">
      <c r="A91" s="995">
        <v>8</v>
      </c>
      <c r="B91" s="986"/>
      <c r="C91" s="986"/>
      <c r="D91" s="986"/>
      <c r="E91" s="1010"/>
      <c r="F91" s="1010"/>
      <c r="G91" s="1010"/>
      <c r="H91" s="1010"/>
      <c r="I91" s="1012"/>
      <c r="J91" s="1010"/>
      <c r="K91" s="1009"/>
      <c r="L91" s="986"/>
      <c r="M91" s="986"/>
      <c r="N91" s="986"/>
      <c r="O91" s="986"/>
      <c r="P91" s="986"/>
      <c r="Q91" s="986"/>
      <c r="R91" s="986"/>
      <c r="S91" s="986"/>
      <c r="T91" s="986"/>
      <c r="U91" s="986"/>
      <c r="V91" s="986"/>
      <c r="W91" s="986"/>
      <c r="X91" s="986"/>
      <c r="Y91" s="986"/>
      <c r="Z91" s="986"/>
      <c r="AA91" s="986"/>
      <c r="AB91" s="986"/>
      <c r="AC91" s="986"/>
    </row>
    <row r="92" spans="1:29">
      <c r="A92" s="995">
        <v>9</v>
      </c>
      <c r="B92" s="986"/>
      <c r="C92" s="1001" t="s">
        <v>286</v>
      </c>
      <c r="D92" s="986"/>
      <c r="E92" s="1010"/>
      <c r="F92" s="1010"/>
      <c r="G92" s="1010"/>
      <c r="H92" s="1010"/>
      <c r="I92" s="1012"/>
      <c r="J92" s="1010"/>
      <c r="K92" s="1009">
        <f>SUM(E92:J92)</f>
        <v>0</v>
      </c>
      <c r="L92" s="986"/>
      <c r="M92" s="986"/>
      <c r="N92" s="986"/>
      <c r="O92" s="986"/>
      <c r="P92" s="986"/>
      <c r="Q92" s="986"/>
      <c r="R92" s="986"/>
      <c r="S92" s="986"/>
      <c r="T92" s="986"/>
      <c r="U92" s="986"/>
      <c r="V92" s="986"/>
      <c r="W92" s="986"/>
      <c r="X92" s="986"/>
      <c r="Y92" s="986"/>
      <c r="Z92" s="986"/>
      <c r="AA92" s="986"/>
      <c r="AB92" s="986"/>
      <c r="AC92" s="986"/>
    </row>
    <row r="93" spans="1:29">
      <c r="A93" s="995">
        <v>10</v>
      </c>
      <c r="B93" s="986"/>
      <c r="C93" s="986"/>
      <c r="D93" s="986"/>
      <c r="E93" s="1010"/>
      <c r="F93" s="1010"/>
      <c r="G93" s="1010"/>
      <c r="H93" s="1010"/>
      <c r="I93" s="1010"/>
      <c r="J93" s="1010"/>
      <c r="K93" s="1009"/>
      <c r="L93" s="986"/>
      <c r="M93" s="986"/>
      <c r="N93" s="986"/>
      <c r="O93" s="986"/>
      <c r="P93" s="986"/>
      <c r="Q93" s="986"/>
      <c r="R93" s="986"/>
      <c r="S93" s="986"/>
      <c r="T93" s="986"/>
      <c r="U93" s="986"/>
      <c r="V93" s="986"/>
      <c r="W93" s="986"/>
      <c r="X93" s="986"/>
      <c r="Y93" s="986"/>
      <c r="Z93" s="986"/>
      <c r="AA93" s="986"/>
      <c r="AB93" s="986"/>
      <c r="AC93" s="986"/>
    </row>
    <row r="94" spans="1:29">
      <c r="A94" s="995">
        <v>11</v>
      </c>
      <c r="B94" s="986"/>
      <c r="C94" s="1001" t="s">
        <v>287</v>
      </c>
      <c r="D94" s="986"/>
      <c r="E94" s="1010"/>
      <c r="F94" s="1010"/>
      <c r="G94" s="1010"/>
      <c r="H94" s="1010"/>
      <c r="I94" s="1010"/>
      <c r="J94" s="1010"/>
      <c r="K94" s="1009">
        <f>SUM(E94:J94)</f>
        <v>0</v>
      </c>
      <c r="L94" s="986"/>
      <c r="M94" s="986"/>
      <c r="N94" s="986"/>
      <c r="O94" s="986"/>
      <c r="P94" s="986"/>
      <c r="Q94" s="986"/>
      <c r="R94" s="986"/>
      <c r="S94" s="986"/>
      <c r="T94" s="986"/>
      <c r="U94" s="986"/>
      <c r="V94" s="986"/>
      <c r="W94" s="986"/>
      <c r="X94" s="986"/>
      <c r="Y94" s="986"/>
      <c r="Z94" s="986"/>
      <c r="AA94" s="986"/>
      <c r="AB94" s="986"/>
      <c r="AC94" s="986"/>
    </row>
    <row r="95" spans="1:29">
      <c r="A95" s="995">
        <v>12</v>
      </c>
      <c r="B95" s="986"/>
      <c r="C95" s="986"/>
      <c r="D95" s="986"/>
      <c r="E95" s="1010"/>
      <c r="F95" s="1010"/>
      <c r="G95" s="1010"/>
      <c r="H95" s="1010"/>
      <c r="I95" s="1010"/>
      <c r="J95" s="1010"/>
      <c r="K95" s="1009"/>
      <c r="L95" s="986"/>
      <c r="M95" s="986"/>
      <c r="N95" s="986"/>
      <c r="O95" s="986"/>
      <c r="P95" s="986"/>
      <c r="Q95" s="986"/>
      <c r="R95" s="986"/>
      <c r="S95" s="986"/>
      <c r="T95" s="986"/>
      <c r="U95" s="986"/>
      <c r="V95" s="986"/>
      <c r="W95" s="986"/>
      <c r="X95" s="986"/>
      <c r="Y95" s="986"/>
      <c r="Z95" s="986"/>
      <c r="AA95" s="986"/>
      <c r="AB95" s="986"/>
      <c r="AC95" s="986"/>
    </row>
    <row r="96" spans="1:29">
      <c r="A96" s="995">
        <v>13</v>
      </c>
      <c r="B96" s="986"/>
      <c r="C96" s="1001" t="s">
        <v>225</v>
      </c>
      <c r="D96" s="986"/>
      <c r="E96" s="1010"/>
      <c r="F96" s="1010"/>
      <c r="G96" s="1010"/>
      <c r="H96" s="1010"/>
      <c r="I96" s="1010"/>
      <c r="J96" s="1010">
        <f>O135</f>
        <v>1857</v>
      </c>
      <c r="K96" s="1009">
        <f>SUM(E96:J96)</f>
        <v>1857</v>
      </c>
      <c r="L96" s="986"/>
      <c r="M96" s="986"/>
      <c r="N96" s="986"/>
      <c r="O96" s="986"/>
      <c r="P96" s="986"/>
      <c r="Q96" s="986"/>
      <c r="R96" s="986"/>
      <c r="S96" s="986"/>
      <c r="T96" s="986"/>
      <c r="U96" s="986"/>
      <c r="V96" s="986"/>
      <c r="W96" s="986"/>
      <c r="X96" s="986"/>
      <c r="Y96" s="986"/>
      <c r="Z96" s="986"/>
      <c r="AA96" s="986"/>
      <c r="AB96" s="986"/>
      <c r="AC96" s="986"/>
    </row>
    <row r="97" spans="1:29">
      <c r="A97" s="995">
        <v>14</v>
      </c>
      <c r="B97" s="986"/>
      <c r="C97" s="986"/>
      <c r="D97" s="986"/>
      <c r="E97" s="1010"/>
      <c r="F97" s="1010"/>
      <c r="G97" s="1010"/>
      <c r="H97" s="1010"/>
      <c r="I97" s="1010"/>
      <c r="J97" s="1010"/>
      <c r="K97" s="1009"/>
      <c r="L97" s="986"/>
      <c r="M97" s="986"/>
      <c r="N97" s="986"/>
      <c r="O97" s="986"/>
      <c r="P97" s="986"/>
      <c r="Q97" s="986"/>
      <c r="R97" s="986"/>
      <c r="S97" s="986"/>
      <c r="T97" s="986"/>
      <c r="U97" s="986"/>
      <c r="V97" s="986"/>
      <c r="W97" s="986"/>
      <c r="X97" s="986"/>
      <c r="Y97" s="986"/>
      <c r="Z97" s="986"/>
      <c r="AA97" s="986"/>
      <c r="AB97" s="986"/>
      <c r="AC97" s="986"/>
    </row>
    <row r="98" spans="1:29">
      <c r="A98" s="995">
        <v>15</v>
      </c>
      <c r="B98" s="986"/>
      <c r="C98" s="986" t="s">
        <v>1929</v>
      </c>
      <c r="D98" s="986"/>
      <c r="E98" s="1015">
        <f t="shared" ref="E98:K98" si="6">SUM(E84:E97)</f>
        <v>0</v>
      </c>
      <c r="F98" s="1015">
        <f t="shared" si="6"/>
        <v>0</v>
      </c>
      <c r="G98" s="1015">
        <f t="shared" si="6"/>
        <v>0</v>
      </c>
      <c r="H98" s="1015">
        <f>SUM(H84:H97)</f>
        <v>0</v>
      </c>
      <c r="I98" s="1015">
        <f t="shared" si="6"/>
        <v>0</v>
      </c>
      <c r="J98" s="1015">
        <f t="shared" si="6"/>
        <v>1857</v>
      </c>
      <c r="K98" s="1015">
        <f t="shared" si="6"/>
        <v>1857</v>
      </c>
      <c r="L98" s="986"/>
      <c r="M98" s="986"/>
      <c r="N98" s="986"/>
      <c r="O98" s="986"/>
      <c r="P98" s="986"/>
      <c r="Q98" s="986"/>
      <c r="R98" s="986"/>
      <c r="S98" s="986"/>
      <c r="T98" s="986"/>
      <c r="U98" s="986"/>
      <c r="V98" s="986"/>
      <c r="W98" s="986"/>
      <c r="X98" s="986"/>
      <c r="Y98" s="986"/>
      <c r="Z98" s="986"/>
      <c r="AA98" s="986"/>
      <c r="AB98" s="986"/>
      <c r="AC98" s="986"/>
    </row>
    <row r="99" spans="1:29">
      <c r="A99" s="995">
        <v>16</v>
      </c>
      <c r="B99" s="986"/>
      <c r="C99" s="986"/>
      <c r="D99" s="986"/>
      <c r="E99" s="1015"/>
      <c r="F99" s="1015"/>
      <c r="G99" s="1015"/>
      <c r="H99" s="1015"/>
      <c r="I99" s="1015"/>
      <c r="J99" s="1015"/>
      <c r="K99" s="1016"/>
      <c r="L99" s="986"/>
      <c r="M99" s="986"/>
      <c r="N99" s="986"/>
      <c r="O99" s="986"/>
      <c r="P99" s="986"/>
      <c r="Q99" s="986"/>
      <c r="R99" s="986"/>
      <c r="S99" s="986"/>
      <c r="T99" s="986"/>
      <c r="U99" s="986"/>
      <c r="V99" s="986"/>
      <c r="W99" s="986"/>
      <c r="X99" s="986"/>
      <c r="Y99" s="986"/>
      <c r="Z99" s="986"/>
      <c r="AA99" s="986"/>
      <c r="AB99" s="986"/>
      <c r="AC99" s="986"/>
    </row>
    <row r="100" spans="1:29">
      <c r="A100" s="995">
        <v>17</v>
      </c>
      <c r="B100" s="986"/>
      <c r="C100" s="986" t="s">
        <v>288</v>
      </c>
      <c r="D100" s="986"/>
      <c r="E100" s="1015"/>
      <c r="F100" s="1015"/>
      <c r="G100" s="1015"/>
      <c r="H100" s="1015"/>
      <c r="I100" s="1015"/>
      <c r="J100" s="1015"/>
      <c r="K100" s="1016"/>
      <c r="L100" s="986"/>
      <c r="M100" s="986"/>
      <c r="N100" s="986"/>
      <c r="O100" s="986"/>
      <c r="P100" s="986"/>
      <c r="Q100" s="986"/>
      <c r="R100" s="986"/>
      <c r="S100" s="986"/>
      <c r="T100" s="986"/>
      <c r="U100" s="986"/>
      <c r="V100" s="986"/>
      <c r="W100" s="986"/>
      <c r="X100" s="986"/>
      <c r="Y100" s="986"/>
      <c r="Z100" s="986"/>
      <c r="AA100" s="986"/>
      <c r="AB100" s="986"/>
      <c r="AC100" s="986"/>
    </row>
    <row r="101" spans="1:29">
      <c r="A101" s="995">
        <v>18</v>
      </c>
      <c r="B101" s="986"/>
      <c r="C101" s="986" t="s">
        <v>289</v>
      </c>
      <c r="D101" s="986"/>
      <c r="E101" s="1015">
        <f t="shared" ref="E101:J101" si="7">E98</f>
        <v>0</v>
      </c>
      <c r="F101" s="1015">
        <f t="shared" si="7"/>
        <v>0</v>
      </c>
      <c r="G101" s="1015">
        <f t="shared" si="7"/>
        <v>0</v>
      </c>
      <c r="H101" s="1015">
        <f t="shared" si="7"/>
        <v>0</v>
      </c>
      <c r="I101" s="1015">
        <f t="shared" si="7"/>
        <v>0</v>
      </c>
      <c r="J101" s="1015">
        <f t="shared" si="7"/>
        <v>1857</v>
      </c>
      <c r="K101" s="1016">
        <f>SUM(E101:J101)</f>
        <v>1857</v>
      </c>
      <c r="L101" s="986"/>
      <c r="M101" s="986"/>
      <c r="N101" s="986"/>
      <c r="O101" s="986"/>
      <c r="P101" s="986"/>
      <c r="Q101" s="986"/>
      <c r="R101" s="986"/>
      <c r="S101" s="986"/>
      <c r="T101" s="986"/>
      <c r="U101" s="986"/>
      <c r="V101" s="986"/>
      <c r="W101" s="986"/>
      <c r="X101" s="986"/>
      <c r="Y101" s="986"/>
      <c r="Z101" s="986"/>
      <c r="AA101" s="986"/>
      <c r="AB101" s="986"/>
      <c r="AC101" s="986"/>
    </row>
    <row r="102" spans="1:29">
      <c r="A102" s="986"/>
      <c r="B102" s="986"/>
      <c r="C102" s="986"/>
      <c r="D102" s="986"/>
      <c r="E102" s="1002"/>
      <c r="F102" s="1002"/>
      <c r="G102" s="1002"/>
      <c r="H102" s="1002"/>
      <c r="I102" s="1002"/>
      <c r="J102" s="1002"/>
      <c r="K102" s="1002"/>
      <c r="L102" s="986"/>
      <c r="M102" s="986"/>
      <c r="N102" s="986"/>
      <c r="O102" s="986"/>
      <c r="P102" s="986"/>
      <c r="Q102" s="986"/>
      <c r="R102" s="986"/>
      <c r="S102" s="986"/>
      <c r="T102" s="986"/>
      <c r="U102" s="986"/>
      <c r="V102" s="986"/>
      <c r="W102" s="986"/>
      <c r="X102" s="986"/>
      <c r="Y102" s="986"/>
      <c r="Z102" s="986"/>
      <c r="AA102" s="986"/>
      <c r="AB102" s="986"/>
      <c r="AC102" s="986"/>
    </row>
    <row r="103" spans="1:29">
      <c r="A103" s="986"/>
      <c r="B103" s="986"/>
      <c r="C103" s="986" t="s">
        <v>1502</v>
      </c>
      <c r="D103" s="986"/>
      <c r="E103" s="1002"/>
      <c r="F103" s="1002"/>
      <c r="G103" s="1002"/>
      <c r="H103" s="1002"/>
      <c r="I103" s="1002"/>
      <c r="J103" s="1002"/>
      <c r="K103" s="1002"/>
      <c r="L103" s="986"/>
      <c r="M103" s="986"/>
      <c r="N103" s="986"/>
      <c r="O103" s="986"/>
      <c r="P103" s="986"/>
      <c r="Q103" s="986"/>
      <c r="R103" s="986"/>
      <c r="S103" s="986"/>
      <c r="T103" s="986"/>
      <c r="U103" s="986"/>
      <c r="V103" s="986"/>
      <c r="W103" s="986"/>
      <c r="X103" s="986"/>
      <c r="Y103" s="986"/>
      <c r="Z103" s="986"/>
      <c r="AA103" s="986"/>
      <c r="AB103" s="986"/>
      <c r="AC103" s="986"/>
    </row>
    <row r="104" spans="1:29" ht="14.25">
      <c r="A104" s="986"/>
      <c r="B104" s="986"/>
      <c r="C104" s="1017" t="s">
        <v>3264</v>
      </c>
      <c r="D104" s="986"/>
      <c r="E104" s="1002"/>
      <c r="F104" s="1002"/>
      <c r="G104" s="1002"/>
      <c r="H104" s="1002"/>
      <c r="I104" s="1002"/>
      <c r="J104" s="1002"/>
      <c r="K104" s="1002"/>
      <c r="L104" s="986"/>
      <c r="M104" s="986"/>
      <c r="N104" s="986"/>
      <c r="O104" s="986"/>
      <c r="P104" s="986"/>
      <c r="Q104" s="986"/>
      <c r="R104" s="986"/>
      <c r="S104" s="986"/>
      <c r="T104" s="986"/>
      <c r="U104" s="986"/>
      <c r="V104" s="986"/>
      <c r="W104" s="986"/>
      <c r="X104" s="986"/>
      <c r="Y104" s="986"/>
      <c r="Z104" s="986"/>
      <c r="AA104" s="986"/>
      <c r="AB104" s="986"/>
      <c r="AC104" s="986"/>
    </row>
    <row r="105" spans="1:29">
      <c r="A105" s="986"/>
      <c r="B105" s="986"/>
      <c r="C105" s="986"/>
      <c r="D105" s="986"/>
      <c r="E105" s="1002"/>
      <c r="F105" s="1002"/>
      <c r="G105" s="1002"/>
      <c r="H105" s="1002"/>
      <c r="I105" s="1002"/>
      <c r="J105" s="1002"/>
      <c r="K105" s="1002"/>
      <c r="L105" s="986"/>
      <c r="M105" s="986"/>
      <c r="N105" s="986"/>
      <c r="O105" s="986"/>
      <c r="P105" s="986"/>
      <c r="Q105" s="986"/>
      <c r="R105" s="986"/>
      <c r="S105" s="986"/>
      <c r="T105" s="986"/>
      <c r="U105" s="986"/>
      <c r="V105" s="986"/>
      <c r="W105" s="986"/>
      <c r="X105" s="986"/>
      <c r="Y105" s="986"/>
      <c r="Z105" s="986"/>
      <c r="AA105" s="986"/>
      <c r="AB105" s="986"/>
      <c r="AC105" s="986"/>
    </row>
    <row r="106" spans="1:29">
      <c r="A106" s="986"/>
      <c r="B106" s="986"/>
      <c r="C106" s="986"/>
      <c r="D106" s="986"/>
      <c r="E106" s="1002"/>
      <c r="F106" s="1002"/>
      <c r="G106" s="1002"/>
      <c r="H106" s="1002"/>
      <c r="I106" s="1002"/>
      <c r="J106" s="1002"/>
      <c r="K106" s="1002"/>
      <c r="L106" s="986"/>
      <c r="M106" s="986"/>
      <c r="N106" s="986"/>
      <c r="O106" s="986"/>
      <c r="P106" s="986"/>
      <c r="Q106" s="986"/>
      <c r="R106" s="986"/>
      <c r="S106" s="986"/>
      <c r="T106" s="986"/>
      <c r="U106" s="986"/>
      <c r="V106" s="986"/>
      <c r="W106" s="986"/>
      <c r="X106" s="986"/>
      <c r="Y106" s="986"/>
      <c r="Z106" s="986"/>
      <c r="AA106" s="986"/>
      <c r="AB106" s="986"/>
      <c r="AC106" s="986"/>
    </row>
    <row r="107" spans="1:29">
      <c r="A107" s="986"/>
      <c r="B107" s="986"/>
      <c r="C107" s="986"/>
      <c r="D107" s="986"/>
      <c r="E107" s="1002"/>
      <c r="F107" s="1002"/>
      <c r="G107" s="1002"/>
      <c r="H107" s="1002"/>
      <c r="I107" s="1002"/>
      <c r="J107" s="1002"/>
      <c r="K107" s="1002"/>
      <c r="L107" s="986"/>
      <c r="M107" s="986"/>
      <c r="N107" s="986"/>
      <c r="O107" s="986"/>
      <c r="P107" s="986"/>
      <c r="Q107" s="986"/>
      <c r="R107" s="986"/>
      <c r="S107" s="986"/>
      <c r="T107" s="986"/>
      <c r="U107" s="986"/>
      <c r="V107" s="986"/>
      <c r="W107" s="986"/>
      <c r="X107" s="986"/>
      <c r="Y107" s="986"/>
      <c r="Z107" s="986"/>
      <c r="AA107" s="986"/>
      <c r="AB107" s="986"/>
      <c r="AC107" s="986"/>
    </row>
    <row r="108" spans="1:29">
      <c r="A108" s="986"/>
      <c r="B108" s="986"/>
      <c r="C108" s="986"/>
      <c r="D108" s="986"/>
      <c r="E108" s="1002"/>
      <c r="F108" s="1002"/>
      <c r="G108" s="1002"/>
      <c r="H108" s="1002"/>
      <c r="I108" s="1002"/>
      <c r="J108" s="1002"/>
      <c r="K108" s="1002"/>
      <c r="L108" s="986"/>
      <c r="M108" s="986"/>
      <c r="N108" s="986"/>
      <c r="O108" s="986"/>
      <c r="P108" s="986"/>
      <c r="Q108" s="986"/>
      <c r="R108" s="986"/>
      <c r="S108" s="986"/>
      <c r="T108" s="986"/>
      <c r="U108" s="986"/>
      <c r="V108" s="986"/>
      <c r="W108" s="986"/>
      <c r="X108" s="986"/>
      <c r="Y108" s="986"/>
      <c r="Z108" s="986"/>
      <c r="AA108" s="986"/>
      <c r="AB108" s="986"/>
      <c r="AC108" s="986"/>
    </row>
    <row r="109" spans="1:29">
      <c r="A109" s="986"/>
      <c r="B109" s="986"/>
      <c r="C109" s="986"/>
      <c r="D109" s="986"/>
      <c r="E109" s="1002"/>
      <c r="F109" s="1002"/>
      <c r="G109" s="1002"/>
      <c r="H109" s="1002"/>
      <c r="I109" s="1002"/>
      <c r="J109" s="1002"/>
      <c r="K109" s="1002"/>
      <c r="L109" s="986"/>
      <c r="M109" s="856" t="str">
        <f>COMPANY</f>
        <v>DUKE ENERGY KENTUCKY, INC.</v>
      </c>
      <c r="N109" s="968"/>
      <c r="O109" s="968"/>
      <c r="P109" s="968"/>
      <c r="Q109" s="968"/>
      <c r="R109" s="1018"/>
      <c r="S109" s="968"/>
      <c r="T109" s="968"/>
      <c r="U109" s="965"/>
      <c r="V109" s="968"/>
      <c r="W109" s="968"/>
      <c r="X109" s="965"/>
      <c r="Y109" s="856" t="s">
        <v>832</v>
      </c>
      <c r="Z109" s="965"/>
      <c r="AA109" s="965"/>
      <c r="AB109" s="986"/>
      <c r="AC109" s="986"/>
    </row>
    <row r="110" spans="1:29">
      <c r="A110" s="986"/>
      <c r="B110" s="986"/>
      <c r="C110" s="986"/>
      <c r="D110" s="986"/>
      <c r="E110" s="1002"/>
      <c r="F110" s="1002"/>
      <c r="G110" s="1002"/>
      <c r="H110" s="1002"/>
      <c r="I110" s="1002"/>
      <c r="J110" s="1002"/>
      <c r="K110" s="1002"/>
      <c r="L110" s="986"/>
      <c r="M110" s="856" t="str">
        <f>CASE</f>
        <v>CASE NO. 2017-00321</v>
      </c>
      <c r="N110" s="968"/>
      <c r="O110" s="968"/>
      <c r="P110" s="968"/>
      <c r="Q110" s="968"/>
      <c r="R110" s="1018"/>
      <c r="S110" s="968"/>
      <c r="T110" s="968"/>
      <c r="U110" s="965"/>
      <c r="V110" s="968"/>
      <c r="W110" s="968"/>
      <c r="X110" s="965"/>
      <c r="Y110" s="856" t="s">
        <v>622</v>
      </c>
      <c r="Z110" s="965"/>
      <c r="AA110" s="965"/>
      <c r="AB110" s="986"/>
      <c r="AC110" s="986"/>
    </row>
    <row r="111" spans="1:29">
      <c r="A111" s="986"/>
      <c r="B111" s="986"/>
      <c r="C111" s="986"/>
      <c r="D111" s="986"/>
      <c r="E111" s="1002"/>
      <c r="F111" s="1002"/>
      <c r="G111" s="1002"/>
      <c r="H111" s="1002"/>
      <c r="I111" s="1002"/>
      <c r="J111" s="1002"/>
      <c r="K111" s="1002"/>
      <c r="L111" s="986"/>
      <c r="M111" s="1019" t="str">
        <f>A71</f>
        <v>ADVERTISING</v>
      </c>
      <c r="N111" s="968"/>
      <c r="O111" s="968"/>
      <c r="P111" s="968"/>
      <c r="Q111" s="968"/>
      <c r="R111" s="1018"/>
      <c r="S111" s="968"/>
      <c r="T111" s="968"/>
      <c r="U111" s="965"/>
      <c r="V111" s="968"/>
      <c r="W111" s="968"/>
      <c r="X111" s="965"/>
      <c r="Y111" s="856" t="str">
        <f>_WIT1</f>
        <v>S. E. LAWLER</v>
      </c>
      <c r="Z111" s="965"/>
      <c r="AA111" s="965"/>
      <c r="AB111" s="986"/>
      <c r="AC111" s="986"/>
    </row>
    <row r="112" spans="1:29">
      <c r="A112" s="986"/>
      <c r="B112" s="986"/>
      <c r="C112" s="986"/>
      <c r="D112" s="986"/>
      <c r="E112" s="1002"/>
      <c r="F112" s="1002"/>
      <c r="G112" s="1002"/>
      <c r="H112" s="1002"/>
      <c r="I112" s="1002"/>
      <c r="J112" s="1002"/>
      <c r="K112" s="1002"/>
      <c r="L112" s="986"/>
      <c r="M112" s="1020" t="str">
        <f>DataF</f>
        <v>DATA:  BASE PERIOD  "X" FORECASTED PERIOD</v>
      </c>
      <c r="N112" s="968"/>
      <c r="O112" s="968"/>
      <c r="P112" s="968"/>
      <c r="Q112" s="968"/>
      <c r="R112" s="1018"/>
      <c r="S112" s="968"/>
      <c r="T112" s="968"/>
      <c r="U112" s="965"/>
      <c r="V112" s="968"/>
      <c r="W112" s="968"/>
      <c r="X112" s="965"/>
      <c r="Y112" s="965"/>
      <c r="Z112" s="965"/>
      <c r="AA112" s="965"/>
      <c r="AB112" s="986"/>
      <c r="AC112" s="986"/>
    </row>
    <row r="113" spans="1:29">
      <c r="A113" s="986"/>
      <c r="B113" s="986"/>
      <c r="C113" s="986"/>
      <c r="D113" s="986"/>
      <c r="E113" s="1002"/>
      <c r="F113" s="1002"/>
      <c r="G113" s="1002"/>
      <c r="H113" s="1002"/>
      <c r="I113" s="1002"/>
      <c r="J113" s="1002"/>
      <c r="K113" s="1002"/>
      <c r="L113" s="986"/>
      <c r="M113" s="856" t="str">
        <f>PeriodF</f>
        <v>FOR THE TWELVE MONTHS ENDED MARCH 31, 2019</v>
      </c>
      <c r="N113" s="968"/>
      <c r="O113" s="968"/>
      <c r="P113" s="968"/>
      <c r="Q113" s="968"/>
      <c r="R113" s="968"/>
      <c r="S113" s="968"/>
      <c r="T113" s="968"/>
      <c r="U113" s="968"/>
      <c r="V113" s="968"/>
      <c r="W113" s="968"/>
      <c r="X113" s="965"/>
      <c r="Y113" s="965"/>
      <c r="Z113" s="965"/>
      <c r="AA113" s="965"/>
      <c r="AB113" s="986"/>
      <c r="AC113" s="986"/>
    </row>
    <row r="114" spans="1:29">
      <c r="A114" s="986"/>
      <c r="B114" s="986"/>
      <c r="C114" s="986"/>
      <c r="D114" s="986"/>
      <c r="E114" s="1002"/>
      <c r="F114" s="1002"/>
      <c r="G114" s="1002"/>
      <c r="H114" s="1002"/>
      <c r="I114" s="1002"/>
      <c r="J114" s="1002"/>
      <c r="K114" s="1002"/>
      <c r="L114" s="986"/>
      <c r="M114" s="965"/>
      <c r="N114" s="965"/>
      <c r="O114" s="965"/>
      <c r="P114" s="965"/>
      <c r="Q114" s="965"/>
      <c r="R114" s="965"/>
      <c r="S114" s="965"/>
      <c r="T114" s="965"/>
      <c r="U114" s="965"/>
      <c r="V114" s="965"/>
      <c r="W114" s="965"/>
      <c r="X114" s="965"/>
      <c r="Y114" s="965"/>
      <c r="Z114" s="965"/>
      <c r="AA114" s="965"/>
      <c r="AB114" s="986"/>
      <c r="AC114" s="986"/>
    </row>
    <row r="115" spans="1:29">
      <c r="A115" s="986"/>
      <c r="B115" s="986"/>
      <c r="C115" s="986"/>
      <c r="D115" s="986"/>
      <c r="E115" s="1002"/>
      <c r="F115" s="1002"/>
      <c r="G115" s="1002"/>
      <c r="H115" s="1002"/>
      <c r="I115" s="1002"/>
      <c r="J115" s="1002"/>
      <c r="K115" s="1002"/>
      <c r="L115" s="986"/>
      <c r="M115" s="965"/>
      <c r="N115" s="965"/>
      <c r="O115" s="965"/>
      <c r="P115" s="965"/>
      <c r="Q115" s="965"/>
      <c r="R115" s="965"/>
      <c r="S115" s="965"/>
      <c r="T115" s="965"/>
      <c r="U115" s="856"/>
      <c r="V115" s="965"/>
      <c r="W115" s="965"/>
      <c r="X115" s="965"/>
      <c r="Y115" s="965"/>
      <c r="Z115" s="965"/>
      <c r="AA115" s="965"/>
      <c r="AB115" s="986"/>
      <c r="AC115" s="986"/>
    </row>
    <row r="116" spans="1:29">
      <c r="A116" s="986"/>
      <c r="B116" s="986"/>
      <c r="C116" s="986"/>
      <c r="D116" s="986"/>
      <c r="E116" s="1002"/>
      <c r="F116" s="1002"/>
      <c r="G116" s="1002"/>
      <c r="H116" s="1002"/>
      <c r="I116" s="1002"/>
      <c r="J116" s="1002"/>
      <c r="K116" s="1002"/>
      <c r="L116" s="986"/>
      <c r="M116" s="969"/>
      <c r="N116" s="969"/>
      <c r="O116" s="969"/>
      <c r="P116" s="969"/>
      <c r="Q116" s="969"/>
      <c r="R116" s="969"/>
      <c r="S116" s="969"/>
      <c r="T116" s="969"/>
      <c r="U116" s="969"/>
      <c r="V116" s="969"/>
      <c r="W116" s="969"/>
      <c r="X116" s="969"/>
      <c r="Y116" s="969"/>
      <c r="Z116" s="969"/>
      <c r="AA116" s="969"/>
      <c r="AB116" s="986"/>
      <c r="AC116" s="986"/>
    </row>
    <row r="117" spans="1:29">
      <c r="A117" s="986"/>
      <c r="B117" s="986"/>
      <c r="C117" s="986"/>
      <c r="D117" s="986"/>
      <c r="E117" s="1002"/>
      <c r="F117" s="1002"/>
      <c r="G117" s="1002"/>
      <c r="H117" s="1002"/>
      <c r="I117" s="1002"/>
      <c r="J117" s="1002"/>
      <c r="K117" s="1002"/>
      <c r="L117" s="986"/>
      <c r="M117" s="965"/>
      <c r="N117" s="971"/>
      <c r="O117" s="1021"/>
      <c r="P117" s="1021"/>
      <c r="Q117" s="1021"/>
      <c r="R117" s="971"/>
      <c r="S117" s="971"/>
      <c r="T117" s="965"/>
      <c r="U117" s="965"/>
      <c r="V117" s="965"/>
      <c r="W117" s="965"/>
      <c r="X117" s="965"/>
      <c r="Y117" s="965"/>
      <c r="Z117" s="965"/>
      <c r="AA117" s="965"/>
      <c r="AB117" s="986"/>
      <c r="AC117" s="986"/>
    </row>
    <row r="118" spans="1:29">
      <c r="A118" s="986"/>
      <c r="B118" s="986"/>
      <c r="C118" s="986"/>
      <c r="D118" s="986"/>
      <c r="E118" s="1002"/>
      <c r="F118" s="1002"/>
      <c r="G118" s="1002"/>
      <c r="H118" s="1002"/>
      <c r="I118" s="1002"/>
      <c r="J118" s="1002"/>
      <c r="K118" s="1002"/>
      <c r="L118" s="986"/>
      <c r="M118" s="971" t="s">
        <v>1240</v>
      </c>
      <c r="N118" s="971"/>
      <c r="O118" s="970"/>
      <c r="P118" s="970"/>
      <c r="Q118" s="970"/>
      <c r="R118" s="971"/>
      <c r="S118" s="971"/>
      <c r="T118" s="971"/>
      <c r="U118" s="971"/>
      <c r="V118" s="971"/>
      <c r="W118" s="971"/>
      <c r="X118" s="971"/>
      <c r="Y118" s="971"/>
      <c r="Z118" s="971"/>
      <c r="AA118" s="971"/>
      <c r="AB118" s="986"/>
      <c r="AC118" s="986"/>
    </row>
    <row r="119" spans="1:29">
      <c r="A119" s="986"/>
      <c r="B119" s="986"/>
      <c r="C119" s="986"/>
      <c r="D119" s="986"/>
      <c r="E119" s="1002"/>
      <c r="F119" s="1002"/>
      <c r="G119" s="1002"/>
      <c r="H119" s="1002"/>
      <c r="I119" s="1002"/>
      <c r="J119" s="1002"/>
      <c r="K119" s="1002"/>
      <c r="L119" s="986"/>
      <c r="M119" s="971" t="s">
        <v>1241</v>
      </c>
      <c r="N119" s="971" t="s">
        <v>830</v>
      </c>
      <c r="O119" s="971" t="s">
        <v>1929</v>
      </c>
      <c r="P119" s="857">
        <f>LOGO!$J$7</f>
        <v>43220</v>
      </c>
      <c r="Q119" s="857">
        <f>LOGO!$J$8</f>
        <v>43251</v>
      </c>
      <c r="R119" s="857">
        <f>LOGO!$J$9</f>
        <v>43281</v>
      </c>
      <c r="S119" s="857">
        <f>LOGO!$J$10</f>
        <v>43312</v>
      </c>
      <c r="T119" s="857">
        <f>LOGO!$J$11</f>
        <v>43343</v>
      </c>
      <c r="U119" s="857">
        <f>LOGO!$J$12</f>
        <v>43373</v>
      </c>
      <c r="V119" s="857">
        <f>LOGO!$J$13</f>
        <v>43404</v>
      </c>
      <c r="W119" s="857">
        <f>LOGO!$J$14</f>
        <v>43434</v>
      </c>
      <c r="X119" s="857">
        <f>LOGO!$J$15</f>
        <v>43465</v>
      </c>
      <c r="Y119" s="857">
        <f>LOGO!$J$16</f>
        <v>43496</v>
      </c>
      <c r="Z119" s="857">
        <f>LOGO!$J$17</f>
        <v>43524</v>
      </c>
      <c r="AA119" s="857">
        <f>LOGO!$J$18</f>
        <v>43555</v>
      </c>
      <c r="AB119" s="986"/>
      <c r="AC119" s="986"/>
    </row>
    <row r="120" spans="1:29">
      <c r="A120" s="986"/>
      <c r="B120" s="986"/>
      <c r="C120" s="986"/>
      <c r="D120" s="986"/>
      <c r="E120" s="1002"/>
      <c r="F120" s="1002"/>
      <c r="G120" s="1002"/>
      <c r="H120" s="1002"/>
      <c r="I120" s="1002"/>
      <c r="J120" s="1002"/>
      <c r="K120" s="1002"/>
      <c r="L120" s="986"/>
      <c r="M120" s="969"/>
      <c r="N120" s="969"/>
      <c r="O120" s="969"/>
      <c r="P120" s="969"/>
      <c r="Q120" s="969"/>
      <c r="R120" s="969"/>
      <c r="S120" s="969"/>
      <c r="T120" s="969"/>
      <c r="U120" s="969"/>
      <c r="V120" s="969"/>
      <c r="W120" s="969"/>
      <c r="X120" s="969"/>
      <c r="Y120" s="969"/>
      <c r="Z120" s="969"/>
      <c r="AA120" s="969"/>
      <c r="AB120" s="986"/>
      <c r="AC120" s="986"/>
    </row>
    <row r="121" spans="1:29">
      <c r="A121" s="986"/>
      <c r="B121" s="986"/>
      <c r="C121" s="986"/>
      <c r="D121" s="986"/>
      <c r="E121" s="1002"/>
      <c r="F121" s="1002"/>
      <c r="G121" s="1002"/>
      <c r="H121" s="1002"/>
      <c r="I121" s="1002"/>
      <c r="J121" s="1002"/>
      <c r="K121" s="1002"/>
      <c r="L121" s="986"/>
      <c r="M121" s="965"/>
      <c r="N121" s="965"/>
      <c r="O121" s="971" t="s">
        <v>1150</v>
      </c>
      <c r="P121" s="971" t="s">
        <v>1150</v>
      </c>
      <c r="Q121" s="971" t="s">
        <v>1150</v>
      </c>
      <c r="R121" s="971" t="s">
        <v>1150</v>
      </c>
      <c r="S121" s="971" t="s">
        <v>1150</v>
      </c>
      <c r="T121" s="971" t="s">
        <v>1150</v>
      </c>
      <c r="U121" s="971" t="s">
        <v>1150</v>
      </c>
      <c r="V121" s="971" t="s">
        <v>1150</v>
      </c>
      <c r="W121" s="971" t="s">
        <v>1150</v>
      </c>
      <c r="X121" s="971" t="s">
        <v>1150</v>
      </c>
      <c r="Y121" s="971" t="s">
        <v>1150</v>
      </c>
      <c r="Z121" s="971" t="s">
        <v>1150</v>
      </c>
      <c r="AA121" s="971" t="s">
        <v>1150</v>
      </c>
      <c r="AB121" s="986"/>
      <c r="AC121" s="986"/>
    </row>
    <row r="122" spans="1:29">
      <c r="A122" s="986"/>
      <c r="B122" s="986"/>
      <c r="C122" s="986"/>
      <c r="D122" s="986"/>
      <c r="E122" s="986"/>
      <c r="F122" s="986"/>
      <c r="G122" s="986"/>
      <c r="H122" s="986"/>
      <c r="I122" s="986"/>
      <c r="J122" s="986"/>
      <c r="K122" s="986"/>
      <c r="L122" s="986"/>
      <c r="M122" s="1022"/>
      <c r="N122" s="1023"/>
      <c r="O122" s="965"/>
      <c r="P122" s="965"/>
      <c r="Q122" s="965"/>
      <c r="R122" s="967"/>
      <c r="S122" s="967"/>
      <c r="T122" s="967"/>
      <c r="U122" s="967"/>
      <c r="V122" s="965"/>
      <c r="W122" s="965"/>
      <c r="X122" s="965"/>
      <c r="Y122" s="965"/>
      <c r="Z122" s="965"/>
      <c r="AA122" s="965"/>
      <c r="AB122" s="986"/>
      <c r="AC122" s="986"/>
    </row>
    <row r="123" spans="1:29">
      <c r="A123" s="986"/>
      <c r="B123" s="986"/>
      <c r="C123" s="986"/>
      <c r="D123" s="986"/>
      <c r="E123" s="986"/>
      <c r="F123" s="986"/>
      <c r="G123" s="986"/>
      <c r="H123" s="986"/>
      <c r="I123" s="986"/>
      <c r="J123" s="986"/>
      <c r="K123" s="986"/>
      <c r="L123" s="986"/>
      <c r="M123" s="1022">
        <v>1</v>
      </c>
      <c r="N123" s="1001" t="s">
        <v>282</v>
      </c>
      <c r="O123" s="966">
        <f>SUM(P123:AA123)</f>
        <v>0</v>
      </c>
      <c r="P123" s="973">
        <v>0</v>
      </c>
      <c r="Q123" s="973">
        <v>0</v>
      </c>
      <c r="R123" s="973">
        <v>0</v>
      </c>
      <c r="S123" s="973">
        <v>0</v>
      </c>
      <c r="T123" s="973">
        <v>0</v>
      </c>
      <c r="U123" s="973">
        <v>0</v>
      </c>
      <c r="V123" s="973">
        <v>0</v>
      </c>
      <c r="W123" s="973">
        <v>0</v>
      </c>
      <c r="X123" s="973">
        <v>0</v>
      </c>
      <c r="Y123" s="973">
        <v>0</v>
      </c>
      <c r="Z123" s="973">
        <v>0</v>
      </c>
      <c r="AA123" s="973">
        <v>0</v>
      </c>
      <c r="AB123" s="986"/>
      <c r="AC123" s="986"/>
    </row>
    <row r="124" spans="1:29">
      <c r="A124" s="986"/>
      <c r="B124" s="986"/>
      <c r="C124" s="986"/>
      <c r="D124" s="986"/>
      <c r="E124" s="986"/>
      <c r="F124" s="986"/>
      <c r="G124" s="986"/>
      <c r="H124" s="986"/>
      <c r="I124" s="986"/>
      <c r="J124" s="986"/>
      <c r="K124" s="986"/>
      <c r="L124" s="986"/>
      <c r="M124" s="971">
        <v>2</v>
      </c>
      <c r="N124" s="986"/>
      <c r="O124" s="966"/>
      <c r="P124" s="973"/>
      <c r="Q124" s="973"/>
      <c r="R124" s="973"/>
      <c r="S124" s="973"/>
      <c r="T124" s="973"/>
      <c r="U124" s="973"/>
      <c r="V124" s="973"/>
      <c r="W124" s="973"/>
      <c r="X124" s="973"/>
      <c r="Y124" s="973"/>
      <c r="Z124" s="973"/>
      <c r="AA124" s="973"/>
      <c r="AB124" s="986"/>
      <c r="AC124" s="986"/>
    </row>
    <row r="125" spans="1:29">
      <c r="A125" s="986"/>
      <c r="B125" s="986"/>
      <c r="C125" s="986"/>
      <c r="D125" s="986"/>
      <c r="E125" s="986"/>
      <c r="F125" s="986"/>
      <c r="G125" s="986"/>
      <c r="H125" s="986"/>
      <c r="I125" s="986"/>
      <c r="J125" s="986"/>
      <c r="K125" s="986"/>
      <c r="L125" s="986"/>
      <c r="M125" s="1022">
        <v>3</v>
      </c>
      <c r="N125" s="1001" t="s">
        <v>283</v>
      </c>
      <c r="O125" s="966">
        <f>SUM(P125:AA125)</f>
        <v>0</v>
      </c>
      <c r="P125" s="973">
        <v>0</v>
      </c>
      <c r="Q125" s="973">
        <v>0</v>
      </c>
      <c r="R125" s="973">
        <v>0</v>
      </c>
      <c r="S125" s="973">
        <v>0</v>
      </c>
      <c r="T125" s="973">
        <v>0</v>
      </c>
      <c r="U125" s="973">
        <v>0</v>
      </c>
      <c r="V125" s="973">
        <v>0</v>
      </c>
      <c r="W125" s="973">
        <v>0</v>
      </c>
      <c r="X125" s="973">
        <v>0</v>
      </c>
      <c r="Y125" s="973">
        <v>0</v>
      </c>
      <c r="Z125" s="973">
        <v>0</v>
      </c>
      <c r="AA125" s="973">
        <v>0</v>
      </c>
      <c r="AB125" s="986"/>
      <c r="AC125" s="986"/>
    </row>
    <row r="126" spans="1:29">
      <c r="A126" s="986"/>
      <c r="B126" s="986"/>
      <c r="C126" s="986"/>
      <c r="D126" s="986"/>
      <c r="E126" s="986"/>
      <c r="F126" s="986"/>
      <c r="G126" s="986"/>
      <c r="H126" s="986"/>
      <c r="I126" s="986"/>
      <c r="J126" s="986"/>
      <c r="K126" s="986"/>
      <c r="L126" s="986"/>
      <c r="M126" s="1022">
        <v>4</v>
      </c>
      <c r="N126" s="986"/>
      <c r="O126" s="966"/>
      <c r="P126" s="973"/>
      <c r="Q126" s="973"/>
      <c r="R126" s="973"/>
      <c r="S126" s="973"/>
      <c r="T126" s="973"/>
      <c r="U126" s="973"/>
      <c r="V126" s="973"/>
      <c r="W126" s="973"/>
      <c r="X126" s="973"/>
      <c r="Y126" s="973"/>
      <c r="Z126" s="973"/>
      <c r="AA126" s="973"/>
      <c r="AB126" s="986"/>
      <c r="AC126" s="986"/>
    </row>
    <row r="127" spans="1:29">
      <c r="A127" s="986"/>
      <c r="B127" s="986"/>
      <c r="C127" s="986"/>
      <c r="D127" s="986"/>
      <c r="E127" s="986"/>
      <c r="F127" s="986"/>
      <c r="G127" s="986"/>
      <c r="H127" s="986"/>
      <c r="I127" s="986"/>
      <c r="J127" s="986"/>
      <c r="K127" s="986"/>
      <c r="L127" s="986"/>
      <c r="M127" s="1022">
        <v>5</v>
      </c>
      <c r="N127" s="1001" t="s">
        <v>284</v>
      </c>
      <c r="O127" s="966">
        <f>SUM(P127:AA127)</f>
        <v>0</v>
      </c>
      <c r="P127" s="973">
        <v>0</v>
      </c>
      <c r="Q127" s="973">
        <v>0</v>
      </c>
      <c r="R127" s="973">
        <v>0</v>
      </c>
      <c r="S127" s="973">
        <v>0</v>
      </c>
      <c r="T127" s="973">
        <v>0</v>
      </c>
      <c r="U127" s="973">
        <v>0</v>
      </c>
      <c r="V127" s="973">
        <v>0</v>
      </c>
      <c r="W127" s="973">
        <v>0</v>
      </c>
      <c r="X127" s="973">
        <v>0</v>
      </c>
      <c r="Y127" s="973">
        <v>0</v>
      </c>
      <c r="Z127" s="973">
        <v>0</v>
      </c>
      <c r="AA127" s="973">
        <v>0</v>
      </c>
      <c r="AB127" s="986"/>
      <c r="AC127" s="986"/>
    </row>
    <row r="128" spans="1:29">
      <c r="A128" s="986"/>
      <c r="B128" s="986"/>
      <c r="C128" s="986"/>
      <c r="D128" s="986"/>
      <c r="E128" s="986"/>
      <c r="F128" s="986"/>
      <c r="G128" s="986"/>
      <c r="H128" s="986"/>
      <c r="I128" s="986"/>
      <c r="J128" s="986"/>
      <c r="K128" s="986"/>
      <c r="L128" s="986"/>
      <c r="M128" s="971">
        <v>6</v>
      </c>
      <c r="N128" s="986"/>
      <c r="O128" s="966"/>
      <c r="P128" s="973"/>
      <c r="Q128" s="973"/>
      <c r="R128" s="973"/>
      <c r="S128" s="973"/>
      <c r="T128" s="973"/>
      <c r="U128" s="973"/>
      <c r="V128" s="973"/>
      <c r="W128" s="973"/>
      <c r="X128" s="973"/>
      <c r="Y128" s="973"/>
      <c r="Z128" s="973"/>
      <c r="AA128" s="973"/>
      <c r="AB128" s="986"/>
      <c r="AC128" s="986"/>
    </row>
    <row r="129" spans="1:29">
      <c r="A129" s="986"/>
      <c r="B129" s="986"/>
      <c r="C129" s="986"/>
      <c r="D129" s="986"/>
      <c r="E129" s="986"/>
      <c r="F129" s="986"/>
      <c r="G129" s="986"/>
      <c r="H129" s="986"/>
      <c r="I129" s="986"/>
      <c r="J129" s="986"/>
      <c r="K129" s="986"/>
      <c r="L129" s="986"/>
      <c r="M129" s="1022">
        <v>7</v>
      </c>
      <c r="N129" s="1001" t="s">
        <v>285</v>
      </c>
      <c r="O129" s="966">
        <f>SUM(P129:AA129)</f>
        <v>0</v>
      </c>
      <c r="P129" s="973">
        <v>0</v>
      </c>
      <c r="Q129" s="973">
        <v>0</v>
      </c>
      <c r="R129" s="973">
        <v>0</v>
      </c>
      <c r="S129" s="973">
        <v>0</v>
      </c>
      <c r="T129" s="973">
        <v>0</v>
      </c>
      <c r="U129" s="973">
        <v>0</v>
      </c>
      <c r="V129" s="973">
        <v>0</v>
      </c>
      <c r="W129" s="973">
        <v>0</v>
      </c>
      <c r="X129" s="973">
        <v>0</v>
      </c>
      <c r="Y129" s="973">
        <v>0</v>
      </c>
      <c r="Z129" s="973">
        <v>0</v>
      </c>
      <c r="AA129" s="973">
        <v>0</v>
      </c>
      <c r="AB129" s="986"/>
      <c r="AC129" s="986"/>
    </row>
    <row r="130" spans="1:29">
      <c r="A130" s="986"/>
      <c r="B130" s="986"/>
      <c r="C130" s="986"/>
      <c r="D130" s="986"/>
      <c r="E130" s="986"/>
      <c r="F130" s="986"/>
      <c r="G130" s="986"/>
      <c r="H130" s="986"/>
      <c r="I130" s="986"/>
      <c r="J130" s="986"/>
      <c r="K130" s="986"/>
      <c r="L130" s="986"/>
      <c r="M130" s="1022">
        <v>8</v>
      </c>
      <c r="N130" s="986"/>
      <c r="O130" s="978"/>
      <c r="P130" s="1024"/>
      <c r="Q130" s="1024"/>
      <c r="R130" s="1024"/>
      <c r="S130" s="1024"/>
      <c r="T130" s="1024"/>
      <c r="U130" s="1024"/>
      <c r="V130" s="1024"/>
      <c r="W130" s="1024"/>
      <c r="X130" s="1024"/>
      <c r="Y130" s="1024"/>
      <c r="Z130" s="1024"/>
      <c r="AA130" s="1024"/>
      <c r="AB130" s="986"/>
      <c r="AC130" s="986"/>
    </row>
    <row r="131" spans="1:29">
      <c r="A131" s="986"/>
      <c r="B131" s="986"/>
      <c r="C131" s="986"/>
      <c r="D131" s="986"/>
      <c r="E131" s="986"/>
      <c r="F131" s="986"/>
      <c r="G131" s="986"/>
      <c r="H131" s="986"/>
      <c r="I131" s="986"/>
      <c r="J131" s="986"/>
      <c r="K131" s="986"/>
      <c r="L131" s="986"/>
      <c r="M131" s="1022">
        <v>9</v>
      </c>
      <c r="N131" s="1001" t="s">
        <v>286</v>
      </c>
      <c r="O131" s="966">
        <f>SUM(P131:AA131)</f>
        <v>0</v>
      </c>
      <c r="P131" s="973">
        <v>0</v>
      </c>
      <c r="Q131" s="973">
        <v>0</v>
      </c>
      <c r="R131" s="973">
        <v>0</v>
      </c>
      <c r="S131" s="973">
        <v>0</v>
      </c>
      <c r="T131" s="973">
        <v>0</v>
      </c>
      <c r="U131" s="973">
        <v>0</v>
      </c>
      <c r="V131" s="973">
        <v>0</v>
      </c>
      <c r="W131" s="973">
        <v>0</v>
      </c>
      <c r="X131" s="973">
        <v>0</v>
      </c>
      <c r="Y131" s="973">
        <v>0</v>
      </c>
      <c r="Z131" s="973">
        <v>0</v>
      </c>
      <c r="AA131" s="973">
        <v>0</v>
      </c>
      <c r="AB131" s="986"/>
      <c r="AC131" s="986"/>
    </row>
    <row r="132" spans="1:29">
      <c r="A132" s="986"/>
      <c r="B132" s="986"/>
      <c r="C132" s="986"/>
      <c r="D132" s="986"/>
      <c r="E132" s="986"/>
      <c r="F132" s="986"/>
      <c r="G132" s="986"/>
      <c r="H132" s="986"/>
      <c r="I132" s="986"/>
      <c r="J132" s="986"/>
      <c r="K132" s="986"/>
      <c r="L132" s="986"/>
      <c r="M132" s="971">
        <v>10</v>
      </c>
      <c r="N132" s="986"/>
      <c r="O132" s="978"/>
      <c r="P132" s="1024"/>
      <c r="Q132" s="1024"/>
      <c r="R132" s="1024"/>
      <c r="S132" s="1024"/>
      <c r="T132" s="1024"/>
      <c r="U132" s="1024"/>
      <c r="V132" s="1024"/>
      <c r="W132" s="1024"/>
      <c r="X132" s="1024"/>
      <c r="Y132" s="1024"/>
      <c r="Z132" s="1024"/>
      <c r="AA132" s="1024"/>
      <c r="AB132" s="986"/>
      <c r="AC132" s="986"/>
    </row>
    <row r="133" spans="1:29">
      <c r="A133" s="986"/>
      <c r="B133" s="986"/>
      <c r="C133" s="986"/>
      <c r="D133" s="986"/>
      <c r="E133" s="986"/>
      <c r="F133" s="986"/>
      <c r="G133" s="986"/>
      <c r="H133" s="986"/>
      <c r="I133" s="986"/>
      <c r="J133" s="986"/>
      <c r="K133" s="986"/>
      <c r="L133" s="986"/>
      <c r="M133" s="1022">
        <v>11</v>
      </c>
      <c r="N133" s="1001" t="s">
        <v>287</v>
      </c>
      <c r="O133" s="966">
        <f>SUM(P133:AA133)</f>
        <v>0</v>
      </c>
      <c r="P133" s="973">
        <v>0</v>
      </c>
      <c r="Q133" s="973">
        <v>0</v>
      </c>
      <c r="R133" s="973">
        <v>0</v>
      </c>
      <c r="S133" s="973">
        <v>0</v>
      </c>
      <c r="T133" s="973">
        <v>0</v>
      </c>
      <c r="U133" s="973">
        <v>0</v>
      </c>
      <c r="V133" s="973">
        <v>0</v>
      </c>
      <c r="W133" s="973">
        <v>0</v>
      </c>
      <c r="X133" s="973">
        <v>0</v>
      </c>
      <c r="Y133" s="973">
        <v>0</v>
      </c>
      <c r="Z133" s="973">
        <v>0</v>
      </c>
      <c r="AA133" s="973">
        <v>0</v>
      </c>
      <c r="AB133" s="986"/>
      <c r="AC133" s="986"/>
    </row>
    <row r="134" spans="1:29">
      <c r="A134" s="986"/>
      <c r="B134" s="986"/>
      <c r="C134" s="986"/>
      <c r="D134" s="986"/>
      <c r="E134" s="986"/>
      <c r="F134" s="986"/>
      <c r="G134" s="986"/>
      <c r="H134" s="986"/>
      <c r="I134" s="986"/>
      <c r="J134" s="986"/>
      <c r="K134" s="986"/>
      <c r="L134" s="986"/>
      <c r="M134" s="1022">
        <v>12</v>
      </c>
      <c r="N134" s="1001"/>
      <c r="O134" s="966"/>
      <c r="P134" s="973"/>
      <c r="Q134" s="973"/>
      <c r="R134" s="973"/>
      <c r="S134" s="973"/>
      <c r="T134" s="973"/>
      <c r="U134" s="973"/>
      <c r="V134" s="973"/>
      <c r="W134" s="973"/>
      <c r="X134" s="973"/>
      <c r="Y134" s="973"/>
      <c r="Z134" s="973"/>
      <c r="AA134" s="973"/>
      <c r="AB134" s="986"/>
      <c r="AC134" s="986"/>
    </row>
    <row r="135" spans="1:29">
      <c r="A135" s="986"/>
      <c r="B135" s="986"/>
      <c r="C135" s="986"/>
      <c r="D135" s="986"/>
      <c r="E135" s="986"/>
      <c r="F135" s="986"/>
      <c r="G135" s="986"/>
      <c r="H135" s="986"/>
      <c r="I135" s="986"/>
      <c r="J135" s="986"/>
      <c r="K135" s="986"/>
      <c r="L135" s="986"/>
      <c r="M135" s="1022">
        <v>13</v>
      </c>
      <c r="N135" s="1001" t="s">
        <v>225</v>
      </c>
      <c r="O135" s="966">
        <f>SUM(P135:AA135)</f>
        <v>1857</v>
      </c>
      <c r="P135" s="973">
        <v>155</v>
      </c>
      <c r="Q135" s="973">
        <v>155</v>
      </c>
      <c r="R135" s="973">
        <v>155</v>
      </c>
      <c r="S135" s="973">
        <v>155</v>
      </c>
      <c r="T135" s="973">
        <v>155</v>
      </c>
      <c r="U135" s="973">
        <v>155</v>
      </c>
      <c r="V135" s="973">
        <v>155</v>
      </c>
      <c r="W135" s="973">
        <v>155</v>
      </c>
      <c r="X135" s="973">
        <v>155</v>
      </c>
      <c r="Y135" s="973">
        <v>153</v>
      </c>
      <c r="Z135" s="973">
        <v>152</v>
      </c>
      <c r="AA135" s="973">
        <v>157</v>
      </c>
      <c r="AB135" s="986"/>
      <c r="AC135" s="986"/>
    </row>
    <row r="136" spans="1:29">
      <c r="A136" s="986"/>
      <c r="B136" s="986"/>
      <c r="C136" s="986"/>
      <c r="D136" s="986"/>
      <c r="E136" s="986"/>
      <c r="F136" s="986"/>
      <c r="G136" s="986"/>
      <c r="H136" s="986"/>
      <c r="I136" s="986"/>
      <c r="J136" s="986"/>
      <c r="K136" s="986"/>
      <c r="L136" s="986"/>
      <c r="M136" s="971">
        <v>14</v>
      </c>
      <c r="N136" s="986"/>
      <c r="O136" s="977"/>
      <c r="P136" s="1025"/>
      <c r="Q136" s="973"/>
      <c r="R136" s="978"/>
      <c r="S136" s="1026"/>
      <c r="T136" s="983"/>
      <c r="U136" s="1025"/>
      <c r="V136" s="981"/>
      <c r="W136" s="975"/>
      <c r="X136" s="976"/>
      <c r="Y136" s="976"/>
      <c r="Z136" s="976"/>
      <c r="AA136" s="976"/>
      <c r="AB136" s="986"/>
      <c r="AC136" s="986"/>
    </row>
    <row r="137" spans="1:29" ht="13.5" thickBot="1">
      <c r="A137" s="986"/>
      <c r="B137" s="986"/>
      <c r="C137" s="986"/>
      <c r="D137" s="986"/>
      <c r="E137" s="986"/>
      <c r="F137" s="986"/>
      <c r="G137" s="986"/>
      <c r="H137" s="986"/>
      <c r="I137" s="986"/>
      <c r="J137" s="986"/>
      <c r="K137" s="986"/>
      <c r="L137" s="986"/>
      <c r="M137" s="1022">
        <v>15</v>
      </c>
      <c r="N137" s="987" t="s">
        <v>826</v>
      </c>
      <c r="O137" s="980">
        <f t="shared" ref="O137:AA137" si="8">O123+O125+O127+O129+O131+O133+O135</f>
        <v>1857</v>
      </c>
      <c r="P137" s="980">
        <f t="shared" si="8"/>
        <v>155</v>
      </c>
      <c r="Q137" s="980">
        <f t="shared" si="8"/>
        <v>155</v>
      </c>
      <c r="R137" s="980">
        <f t="shared" si="8"/>
        <v>155</v>
      </c>
      <c r="S137" s="980">
        <f t="shared" si="8"/>
        <v>155</v>
      </c>
      <c r="T137" s="980">
        <f t="shared" si="8"/>
        <v>155</v>
      </c>
      <c r="U137" s="980">
        <f t="shared" si="8"/>
        <v>155</v>
      </c>
      <c r="V137" s="980">
        <f t="shared" si="8"/>
        <v>155</v>
      </c>
      <c r="W137" s="980">
        <f t="shared" si="8"/>
        <v>155</v>
      </c>
      <c r="X137" s="980">
        <f t="shared" si="8"/>
        <v>155</v>
      </c>
      <c r="Y137" s="980">
        <f t="shared" si="8"/>
        <v>153</v>
      </c>
      <c r="Z137" s="980">
        <f t="shared" si="8"/>
        <v>152</v>
      </c>
      <c r="AA137" s="980">
        <f t="shared" si="8"/>
        <v>157</v>
      </c>
      <c r="AB137" s="986"/>
      <c r="AC137" s="986"/>
    </row>
    <row r="138" spans="1:29" ht="13.5" thickTop="1">
      <c r="A138" s="986"/>
      <c r="B138" s="986"/>
      <c r="C138" s="986"/>
      <c r="D138" s="986"/>
      <c r="E138" s="986"/>
      <c r="F138" s="986"/>
      <c r="G138" s="986"/>
      <c r="H138" s="986"/>
      <c r="I138" s="986"/>
      <c r="J138" s="986"/>
      <c r="K138" s="986"/>
      <c r="L138" s="986"/>
      <c r="M138" s="1022"/>
      <c r="N138" s="987"/>
      <c r="O138" s="1739"/>
      <c r="P138" s="1739"/>
      <c r="Q138" s="1739"/>
      <c r="R138" s="1739"/>
      <c r="S138" s="1739"/>
      <c r="T138" s="1739"/>
      <c r="U138" s="1739"/>
      <c r="V138" s="1739"/>
      <c r="W138" s="1739"/>
      <c r="X138" s="1739"/>
      <c r="Y138" s="1739"/>
      <c r="Z138" s="1739"/>
      <c r="AA138" s="1739"/>
      <c r="AB138" s="986"/>
      <c r="AC138" s="986"/>
    </row>
    <row r="139" spans="1:29">
      <c r="A139" s="986"/>
      <c r="B139" s="986"/>
      <c r="C139" s="986"/>
      <c r="D139" s="986"/>
      <c r="E139" s="986"/>
      <c r="F139" s="986"/>
      <c r="G139" s="986"/>
      <c r="H139" s="986"/>
      <c r="I139" s="986"/>
      <c r="J139" s="986"/>
      <c r="K139" s="986"/>
      <c r="L139" s="986"/>
      <c r="M139" s="1022"/>
      <c r="N139" s="986" t="s">
        <v>1502</v>
      </c>
      <c r="O139" s="1739"/>
      <c r="P139" s="1739"/>
      <c r="Q139" s="1739"/>
      <c r="R139" s="1739"/>
      <c r="S139" s="1739"/>
      <c r="T139" s="1739"/>
      <c r="U139" s="1739"/>
      <c r="V139" s="1739"/>
      <c r="W139" s="1739"/>
      <c r="X139" s="1739"/>
      <c r="Y139" s="1739"/>
      <c r="Z139" s="1739"/>
      <c r="AA139" s="1739"/>
      <c r="AB139" s="986"/>
      <c r="AC139" s="986"/>
    </row>
    <row r="140" spans="1:29" ht="14.25">
      <c r="A140" s="986"/>
      <c r="B140" s="986"/>
      <c r="C140" s="986"/>
      <c r="D140" s="986"/>
      <c r="E140" s="986"/>
      <c r="F140" s="986"/>
      <c r="G140" s="986"/>
      <c r="H140" s="986"/>
      <c r="I140" s="986"/>
      <c r="J140" s="986"/>
      <c r="K140" s="986"/>
      <c r="L140" s="986"/>
      <c r="M140" s="1022"/>
      <c r="N140" s="1017" t="s">
        <v>3264</v>
      </c>
      <c r="O140" s="1739"/>
      <c r="P140" s="1739"/>
      <c r="Q140" s="1739"/>
      <c r="R140" s="1739"/>
      <c r="S140" s="1739"/>
      <c r="T140" s="1739"/>
      <c r="U140" s="1739"/>
      <c r="V140" s="1739"/>
      <c r="W140" s="1739"/>
      <c r="X140" s="1739"/>
      <c r="Y140" s="1739"/>
      <c r="Z140" s="1739"/>
      <c r="AA140" s="1739"/>
      <c r="AB140" s="986"/>
      <c r="AC140" s="986"/>
    </row>
    <row r="141" spans="1:29">
      <c r="A141" s="986"/>
      <c r="B141" s="986"/>
      <c r="C141" s="986"/>
      <c r="D141" s="986"/>
      <c r="E141" s="986"/>
      <c r="F141" s="986"/>
      <c r="G141" s="986"/>
      <c r="H141" s="986"/>
      <c r="I141" s="986"/>
      <c r="J141" s="986"/>
      <c r="K141" s="986"/>
      <c r="L141" s="986"/>
      <c r="M141" s="986"/>
      <c r="N141" s="986"/>
      <c r="O141" s="986"/>
      <c r="P141" s="986"/>
      <c r="Q141" s="986"/>
      <c r="R141" s="986"/>
      <c r="S141" s="986"/>
      <c r="T141" s="986"/>
      <c r="U141" s="986"/>
      <c r="V141" s="986"/>
      <c r="W141" s="986"/>
      <c r="X141" s="986"/>
      <c r="Y141" s="986"/>
      <c r="Z141" s="986"/>
      <c r="AA141" s="986"/>
      <c r="AB141" s="986"/>
      <c r="AC141" s="986"/>
    </row>
    <row r="142" spans="1:29">
      <c r="A142" s="986"/>
      <c r="B142" s="986"/>
      <c r="C142" s="986"/>
      <c r="D142" s="986"/>
      <c r="E142" s="986"/>
      <c r="F142" s="986"/>
      <c r="G142" s="986"/>
      <c r="H142" s="986"/>
      <c r="I142" s="986"/>
      <c r="J142" s="986"/>
      <c r="K142" s="986"/>
      <c r="L142" s="986"/>
      <c r="M142" s="986"/>
      <c r="N142" s="986"/>
      <c r="O142" s="966">
        <f>SUM(P142:AA142)</f>
        <v>1857</v>
      </c>
      <c r="P142" s="1010">
        <f>'FORECASTED PERIOD'!F174+'FORECASTED PERIOD'!F178+'FORECASTED PERIOD'!F209</f>
        <v>155</v>
      </c>
      <c r="Q142" s="1010">
        <f>'FORECASTED PERIOD'!G174+'FORECASTED PERIOD'!G178+'FORECASTED PERIOD'!G209</f>
        <v>155</v>
      </c>
      <c r="R142" s="1010">
        <f>'FORECASTED PERIOD'!H174+'FORECASTED PERIOD'!H178+'FORECASTED PERIOD'!H209</f>
        <v>155</v>
      </c>
      <c r="S142" s="1010">
        <f>'FORECASTED PERIOD'!I174+'FORECASTED PERIOD'!I178+'FORECASTED PERIOD'!I209</f>
        <v>155</v>
      </c>
      <c r="T142" s="1010">
        <f>'FORECASTED PERIOD'!J174+'FORECASTED PERIOD'!J178+'FORECASTED PERIOD'!J209</f>
        <v>155</v>
      </c>
      <c r="U142" s="1010">
        <f>'FORECASTED PERIOD'!K174+'FORECASTED PERIOD'!K178+'FORECASTED PERIOD'!K209</f>
        <v>155</v>
      </c>
      <c r="V142" s="1010">
        <f>'FORECASTED PERIOD'!L174+'FORECASTED PERIOD'!L178+'FORECASTED PERIOD'!L209</f>
        <v>155</v>
      </c>
      <c r="W142" s="1010">
        <f>'FORECASTED PERIOD'!M174+'FORECASTED PERIOD'!M178+'FORECASTED PERIOD'!M209</f>
        <v>155</v>
      </c>
      <c r="X142" s="1010">
        <f>'FORECASTED PERIOD'!N174+'FORECASTED PERIOD'!N178+'FORECASTED PERIOD'!N209</f>
        <v>155</v>
      </c>
      <c r="Y142" s="1010">
        <f>'FORECASTED PERIOD'!O174+'FORECASTED PERIOD'!O178+'FORECASTED PERIOD'!O209</f>
        <v>153</v>
      </c>
      <c r="Z142" s="1010">
        <f>'FORECASTED PERIOD'!P174+'FORECASTED PERIOD'!P178+'FORECASTED PERIOD'!P209</f>
        <v>152</v>
      </c>
      <c r="AA142" s="1010">
        <f>'FORECASTED PERIOD'!Q174+'FORECASTED PERIOD'!Q178+'FORECASTED PERIOD'!Q209</f>
        <v>157</v>
      </c>
      <c r="AB142" s="986"/>
      <c r="AC142" s="986"/>
    </row>
    <row r="143" spans="1:29">
      <c r="A143" s="986"/>
      <c r="B143" s="986"/>
      <c r="C143" s="986"/>
      <c r="D143" s="986"/>
      <c r="E143" s="986"/>
      <c r="F143" s="986"/>
      <c r="G143" s="986"/>
      <c r="H143" s="986"/>
      <c r="I143" s="986"/>
      <c r="J143" s="986"/>
      <c r="K143" s="986"/>
      <c r="L143" s="986"/>
      <c r="M143" s="986"/>
      <c r="N143" s="986"/>
      <c r="O143" s="966">
        <f>SUM(P143:AA143)</f>
        <v>0</v>
      </c>
      <c r="P143" s="1010">
        <f>P142-P137</f>
        <v>0</v>
      </c>
      <c r="Q143" s="1010">
        <f t="shared" ref="Q143:AA143" si="9">Q142-Q137</f>
        <v>0</v>
      </c>
      <c r="R143" s="1010">
        <f t="shared" si="9"/>
        <v>0</v>
      </c>
      <c r="S143" s="1010">
        <f t="shared" si="9"/>
        <v>0</v>
      </c>
      <c r="T143" s="1010">
        <f t="shared" si="9"/>
        <v>0</v>
      </c>
      <c r="U143" s="1010">
        <f t="shared" si="9"/>
        <v>0</v>
      </c>
      <c r="V143" s="1010">
        <f t="shared" si="9"/>
        <v>0</v>
      </c>
      <c r="W143" s="1010">
        <f t="shared" si="9"/>
        <v>0</v>
      </c>
      <c r="X143" s="1010">
        <f t="shared" si="9"/>
        <v>0</v>
      </c>
      <c r="Y143" s="1010">
        <f t="shared" si="9"/>
        <v>0</v>
      </c>
      <c r="Z143" s="1010">
        <f t="shared" si="9"/>
        <v>0</v>
      </c>
      <c r="AA143" s="1010">
        <f t="shared" si="9"/>
        <v>0</v>
      </c>
      <c r="AB143" s="986"/>
      <c r="AC143" s="986"/>
    </row>
    <row r="144" spans="1:29">
      <c r="A144" s="986"/>
      <c r="B144" s="986"/>
      <c r="C144" s="986"/>
      <c r="D144" s="986"/>
      <c r="E144" s="986"/>
      <c r="F144" s="986"/>
      <c r="G144" s="986"/>
      <c r="H144" s="986"/>
      <c r="I144" s="986"/>
      <c r="J144" s="986"/>
      <c r="K144" s="986"/>
      <c r="L144" s="986"/>
      <c r="M144" s="986"/>
      <c r="N144" s="986"/>
      <c r="O144" s="986"/>
      <c r="P144" s="986"/>
      <c r="Q144" s="986"/>
      <c r="R144" s="986"/>
      <c r="S144" s="986"/>
      <c r="T144" s="986"/>
      <c r="U144" s="986"/>
      <c r="V144" s="986"/>
      <c r="W144" s="986"/>
      <c r="X144" s="986"/>
      <c r="Y144" s="986"/>
      <c r="Z144" s="986"/>
      <c r="AA144" s="986"/>
      <c r="AB144" s="986"/>
      <c r="AC144" s="986"/>
    </row>
    <row r="145" spans="1:29">
      <c r="A145" s="986"/>
      <c r="B145" s="986"/>
      <c r="C145" s="986"/>
      <c r="D145" s="986"/>
      <c r="E145" s="986"/>
      <c r="F145" s="986"/>
      <c r="G145" s="986"/>
      <c r="H145" s="986"/>
      <c r="I145" s="986"/>
      <c r="J145" s="986"/>
      <c r="K145" s="986"/>
      <c r="L145" s="986"/>
      <c r="M145" s="986"/>
      <c r="N145" s="986"/>
      <c r="O145" s="986"/>
      <c r="P145" s="986"/>
      <c r="Q145" s="986"/>
      <c r="R145" s="986"/>
      <c r="S145" s="986"/>
      <c r="T145" s="986"/>
      <c r="U145" s="986"/>
      <c r="V145" s="986"/>
      <c r="W145" s="986"/>
      <c r="X145" s="986"/>
      <c r="Y145" s="986"/>
      <c r="Z145" s="986"/>
      <c r="AA145" s="986"/>
      <c r="AB145" s="986"/>
      <c r="AC145" s="986"/>
    </row>
    <row r="146" spans="1:29">
      <c r="A146" s="986"/>
      <c r="B146" s="986"/>
      <c r="C146" s="986"/>
      <c r="D146" s="986"/>
      <c r="E146" s="986"/>
      <c r="F146" s="986"/>
      <c r="G146" s="986"/>
      <c r="H146" s="986"/>
      <c r="I146" s="986"/>
      <c r="J146" s="986"/>
      <c r="K146" s="986"/>
      <c r="L146" s="986"/>
      <c r="M146" s="986"/>
      <c r="N146" s="986"/>
      <c r="O146" s="986"/>
      <c r="P146" s="986"/>
      <c r="Q146" s="986"/>
      <c r="R146" s="986"/>
      <c r="S146" s="986"/>
      <c r="T146" s="986"/>
      <c r="U146" s="986"/>
      <c r="V146" s="986"/>
      <c r="W146" s="986"/>
      <c r="X146" s="986"/>
      <c r="Y146" s="986"/>
      <c r="Z146" s="986"/>
      <c r="AA146" s="986"/>
      <c r="AB146" s="986"/>
      <c r="AC146" s="986"/>
    </row>
    <row r="147" spans="1:29">
      <c r="A147" s="986"/>
      <c r="B147" s="986"/>
      <c r="C147" s="986"/>
      <c r="D147" s="986"/>
      <c r="E147" s="986"/>
      <c r="F147" s="986"/>
      <c r="G147" s="986"/>
      <c r="H147" s="986"/>
      <c r="I147" s="986"/>
      <c r="J147" s="986"/>
      <c r="K147" s="986"/>
      <c r="L147" s="986"/>
      <c r="M147" s="986"/>
      <c r="N147" s="986"/>
      <c r="O147" s="986"/>
      <c r="P147" s="986"/>
      <c r="Q147" s="986"/>
      <c r="R147" s="986"/>
      <c r="S147" s="986"/>
      <c r="T147" s="986"/>
      <c r="U147" s="986"/>
      <c r="V147" s="986"/>
      <c r="W147" s="986"/>
      <c r="X147" s="986"/>
      <c r="Y147" s="986"/>
      <c r="Z147" s="986"/>
      <c r="AA147" s="986"/>
      <c r="AB147" s="986"/>
      <c r="AC147" s="986"/>
    </row>
    <row r="148" spans="1:29">
      <c r="A148" s="986"/>
      <c r="B148" s="986"/>
      <c r="C148" s="986"/>
      <c r="D148" s="986"/>
      <c r="E148" s="986"/>
      <c r="F148" s="986"/>
      <c r="G148" s="986"/>
      <c r="H148" s="986"/>
      <c r="I148" s="986"/>
      <c r="J148" s="986"/>
      <c r="K148" s="986"/>
      <c r="L148" s="986"/>
      <c r="M148" s="986"/>
      <c r="N148" s="986"/>
      <c r="O148" s="986"/>
      <c r="P148" s="986"/>
      <c r="Q148" s="986"/>
      <c r="R148" s="986"/>
      <c r="S148" s="986"/>
      <c r="T148" s="986"/>
      <c r="U148" s="986"/>
      <c r="V148" s="986"/>
      <c r="W148" s="986"/>
      <c r="X148" s="986"/>
      <c r="Y148" s="986"/>
      <c r="Z148" s="986"/>
      <c r="AA148" s="986"/>
      <c r="AB148" s="986"/>
      <c r="AC148" s="986"/>
    </row>
    <row r="149" spans="1:29">
      <c r="A149" s="986"/>
      <c r="B149" s="986"/>
      <c r="C149" s="986"/>
      <c r="D149" s="986"/>
      <c r="E149" s="986"/>
      <c r="F149" s="986"/>
      <c r="G149" s="986"/>
      <c r="H149" s="986"/>
      <c r="I149" s="986"/>
      <c r="J149" s="986"/>
      <c r="K149" s="986"/>
      <c r="L149" s="986"/>
      <c r="M149" s="986"/>
      <c r="N149" s="986"/>
      <c r="O149" s="986"/>
      <c r="P149" s="986"/>
      <c r="Q149" s="986"/>
      <c r="R149" s="986"/>
      <c r="S149" s="986"/>
      <c r="T149" s="986"/>
      <c r="U149" s="986"/>
      <c r="V149" s="986"/>
      <c r="W149" s="986"/>
      <c r="X149" s="986"/>
      <c r="Y149" s="986"/>
      <c r="Z149" s="986"/>
      <c r="AA149" s="986"/>
      <c r="AB149" s="986"/>
      <c r="AC149" s="986"/>
    </row>
    <row r="150" spans="1:29">
      <c r="A150" s="986"/>
      <c r="B150" s="986"/>
      <c r="C150" s="986"/>
      <c r="D150" s="986"/>
      <c r="E150" s="986"/>
      <c r="F150" s="986"/>
      <c r="G150" s="986"/>
      <c r="H150" s="986"/>
      <c r="I150" s="986"/>
      <c r="J150" s="986"/>
      <c r="K150" s="986"/>
      <c r="L150" s="986"/>
      <c r="M150" s="986"/>
      <c r="N150" s="986"/>
      <c r="O150" s="986"/>
      <c r="P150" s="986"/>
      <c r="Q150" s="986"/>
      <c r="R150" s="986"/>
      <c r="S150" s="986"/>
      <c r="T150" s="986"/>
      <c r="U150" s="986"/>
      <c r="V150" s="986"/>
      <c r="W150" s="986"/>
      <c r="X150" s="986"/>
      <c r="Y150" s="986"/>
      <c r="Z150" s="986"/>
      <c r="AA150" s="986"/>
      <c r="AB150" s="986"/>
      <c r="AC150" s="986"/>
    </row>
    <row r="151" spans="1:29">
      <c r="A151" s="986"/>
      <c r="B151" s="986"/>
      <c r="C151" s="986"/>
      <c r="D151" s="986"/>
      <c r="E151" s="986"/>
      <c r="F151" s="986"/>
      <c r="G151" s="986"/>
      <c r="H151" s="986"/>
      <c r="I151" s="986"/>
      <c r="J151" s="986"/>
      <c r="K151" s="986"/>
      <c r="L151" s="986"/>
      <c r="M151" s="986"/>
      <c r="N151" s="986"/>
      <c r="O151" s="986"/>
      <c r="P151" s="986"/>
      <c r="Q151" s="986"/>
      <c r="R151" s="986"/>
      <c r="S151" s="986"/>
      <c r="T151" s="986"/>
      <c r="U151" s="986"/>
      <c r="V151" s="986"/>
      <c r="W151" s="986"/>
      <c r="X151" s="986"/>
      <c r="Y151" s="986"/>
      <c r="Z151" s="986"/>
      <c r="AA151" s="986"/>
      <c r="AB151" s="986"/>
      <c r="AC151" s="986"/>
    </row>
    <row r="152" spans="1:29">
      <c r="A152" s="986"/>
      <c r="B152" s="986"/>
      <c r="C152" s="986"/>
      <c r="D152" s="986"/>
      <c r="E152" s="986"/>
      <c r="F152" s="986"/>
      <c r="G152" s="986"/>
      <c r="H152" s="986"/>
      <c r="I152" s="986"/>
      <c r="J152" s="986"/>
      <c r="K152" s="986"/>
      <c r="L152" s="986"/>
      <c r="M152" s="986"/>
      <c r="N152" s="986"/>
      <c r="O152" s="986"/>
      <c r="P152" s="986"/>
      <c r="Q152" s="986"/>
      <c r="R152" s="986"/>
      <c r="S152" s="986"/>
      <c r="T152" s="986"/>
      <c r="U152" s="986"/>
      <c r="V152" s="986"/>
      <c r="W152" s="986"/>
      <c r="X152" s="986"/>
      <c r="Y152" s="986"/>
      <c r="Z152" s="986"/>
      <c r="AA152" s="986"/>
      <c r="AB152" s="986"/>
      <c r="AC152" s="986"/>
    </row>
    <row r="153" spans="1:29">
      <c r="A153" s="986"/>
      <c r="B153" s="986"/>
      <c r="C153" s="986"/>
      <c r="D153" s="986"/>
      <c r="E153" s="986"/>
      <c r="F153" s="986"/>
      <c r="G153" s="986"/>
      <c r="H153" s="986"/>
      <c r="I153" s="986"/>
      <c r="J153" s="986"/>
      <c r="K153" s="986"/>
      <c r="L153" s="986"/>
      <c r="M153" s="986"/>
      <c r="N153" s="986"/>
      <c r="O153" s="986"/>
      <c r="P153" s="986"/>
      <c r="Q153" s="986"/>
      <c r="R153" s="986"/>
      <c r="S153" s="986"/>
      <c r="T153" s="986"/>
      <c r="U153" s="986"/>
      <c r="V153" s="986"/>
      <c r="W153" s="986"/>
      <c r="X153" s="986"/>
      <c r="Y153" s="986"/>
      <c r="Z153" s="986"/>
      <c r="AA153" s="986"/>
      <c r="AB153" s="986"/>
      <c r="AC153" s="986"/>
    </row>
    <row r="154" spans="1:29">
      <c r="A154" s="986"/>
      <c r="B154" s="986"/>
      <c r="C154" s="986"/>
      <c r="D154" s="986"/>
      <c r="E154" s="986"/>
      <c r="F154" s="986"/>
      <c r="G154" s="986"/>
      <c r="H154" s="986"/>
      <c r="I154" s="986"/>
      <c r="J154" s="986"/>
      <c r="K154" s="986"/>
      <c r="L154" s="986"/>
      <c r="M154" s="986"/>
      <c r="N154" s="986"/>
      <c r="O154" s="986"/>
      <c r="P154" s="986"/>
      <c r="Q154" s="986"/>
      <c r="R154" s="986"/>
      <c r="S154" s="986"/>
      <c r="T154" s="986"/>
      <c r="U154" s="986"/>
      <c r="V154" s="986"/>
      <c r="W154" s="986"/>
      <c r="X154" s="986"/>
      <c r="Y154" s="986"/>
      <c r="Z154" s="986"/>
      <c r="AA154" s="986"/>
      <c r="AB154" s="986"/>
      <c r="AC154" s="986"/>
    </row>
    <row r="155" spans="1:29">
      <c r="A155" s="986"/>
      <c r="B155" s="986"/>
      <c r="C155" s="986"/>
      <c r="D155" s="986"/>
      <c r="E155" s="986"/>
      <c r="F155" s="986"/>
      <c r="G155" s="986"/>
      <c r="H155" s="986"/>
      <c r="I155" s="986"/>
      <c r="J155" s="986"/>
      <c r="K155" s="986"/>
      <c r="L155" s="986"/>
      <c r="M155" s="986"/>
      <c r="N155" s="986"/>
      <c r="O155" s="986"/>
      <c r="P155" s="986"/>
      <c r="Q155" s="986"/>
      <c r="R155" s="986"/>
      <c r="S155" s="986"/>
      <c r="T155" s="986"/>
      <c r="U155" s="986"/>
      <c r="V155" s="986"/>
      <c r="W155" s="986"/>
      <c r="X155" s="986"/>
      <c r="Y155" s="986"/>
      <c r="Z155" s="986"/>
      <c r="AA155" s="986"/>
      <c r="AB155" s="986"/>
      <c r="AC155" s="986"/>
    </row>
    <row r="156" spans="1:29">
      <c r="A156" s="986"/>
      <c r="B156" s="986"/>
      <c r="C156" s="986"/>
      <c r="D156" s="986"/>
      <c r="E156" s="986"/>
      <c r="F156" s="986"/>
      <c r="G156" s="986"/>
      <c r="H156" s="986"/>
      <c r="I156" s="986"/>
      <c r="J156" s="986"/>
      <c r="K156" s="986"/>
      <c r="L156" s="986"/>
      <c r="M156" s="986"/>
      <c r="N156" s="986"/>
      <c r="O156" s="986"/>
      <c r="P156" s="986"/>
      <c r="Q156" s="986"/>
      <c r="R156" s="986"/>
      <c r="S156" s="986"/>
      <c r="T156" s="986"/>
      <c r="U156" s="986"/>
      <c r="V156" s="986"/>
      <c r="W156" s="986"/>
      <c r="X156" s="986"/>
      <c r="Y156" s="986"/>
      <c r="Z156" s="986"/>
      <c r="AA156" s="986"/>
      <c r="AB156" s="986"/>
      <c r="AC156" s="986"/>
    </row>
    <row r="157" spans="1:29">
      <c r="A157" s="986"/>
      <c r="B157" s="986"/>
      <c r="C157" s="986"/>
      <c r="D157" s="986"/>
      <c r="E157" s="986"/>
      <c r="F157" s="986"/>
      <c r="G157" s="986"/>
      <c r="H157" s="986"/>
      <c r="I157" s="986"/>
      <c r="J157" s="986"/>
      <c r="K157" s="986"/>
      <c r="L157" s="986"/>
      <c r="M157" s="986"/>
      <c r="N157" s="986"/>
      <c r="O157" s="986"/>
      <c r="P157" s="986"/>
      <c r="Q157" s="986"/>
      <c r="R157" s="986"/>
      <c r="S157" s="986"/>
      <c r="T157" s="986"/>
      <c r="U157" s="986"/>
      <c r="V157" s="986"/>
      <c r="W157" s="986"/>
      <c r="X157" s="986"/>
      <c r="Y157" s="986"/>
      <c r="Z157" s="986"/>
      <c r="AA157" s="986"/>
      <c r="AB157" s="986"/>
      <c r="AC157" s="986"/>
    </row>
    <row r="158" spans="1:29">
      <c r="A158" s="986"/>
      <c r="B158" s="986"/>
      <c r="C158" s="986"/>
      <c r="D158" s="986"/>
      <c r="E158" s="986"/>
      <c r="F158" s="986"/>
      <c r="G158" s="986"/>
      <c r="H158" s="986"/>
      <c r="I158" s="986"/>
      <c r="J158" s="986"/>
      <c r="K158" s="986"/>
      <c r="L158" s="986"/>
      <c r="M158" s="986"/>
      <c r="N158" s="986"/>
      <c r="O158" s="986"/>
      <c r="P158" s="986"/>
      <c r="Q158" s="986"/>
      <c r="R158" s="986"/>
      <c r="S158" s="986"/>
      <c r="T158" s="986"/>
      <c r="U158" s="986"/>
      <c r="V158" s="986"/>
      <c r="W158" s="986"/>
      <c r="X158" s="986"/>
      <c r="Y158" s="986"/>
      <c r="Z158" s="986"/>
      <c r="AA158" s="986"/>
      <c r="AB158" s="986"/>
      <c r="AC158" s="986"/>
    </row>
    <row r="159" spans="1:29">
      <c r="A159" s="986"/>
      <c r="B159" s="986"/>
      <c r="C159" s="986"/>
      <c r="D159" s="986"/>
      <c r="E159" s="986"/>
      <c r="F159" s="986"/>
      <c r="G159" s="986"/>
      <c r="H159" s="986"/>
      <c r="I159" s="986"/>
      <c r="J159" s="986"/>
      <c r="K159" s="986"/>
      <c r="L159" s="986"/>
      <c r="M159" s="986"/>
      <c r="N159" s="986"/>
      <c r="O159" s="986"/>
      <c r="P159" s="986"/>
      <c r="Q159" s="986"/>
      <c r="R159" s="986"/>
      <c r="S159" s="986"/>
      <c r="T159" s="986"/>
      <c r="U159" s="986"/>
      <c r="V159" s="986"/>
      <c r="W159" s="986"/>
      <c r="X159" s="986"/>
      <c r="Y159" s="986"/>
      <c r="Z159" s="986"/>
      <c r="AA159" s="986"/>
      <c r="AB159" s="986"/>
      <c r="AC159" s="986"/>
    </row>
    <row r="160" spans="1:29">
      <c r="A160" s="986"/>
      <c r="B160" s="986"/>
      <c r="C160" s="986"/>
      <c r="D160" s="986"/>
      <c r="E160" s="986"/>
      <c r="F160" s="986"/>
      <c r="G160" s="986"/>
      <c r="H160" s="986"/>
      <c r="I160" s="986"/>
      <c r="J160" s="986"/>
      <c r="K160" s="986"/>
      <c r="L160" s="986"/>
      <c r="M160" s="986"/>
      <c r="N160" s="986"/>
      <c r="O160" s="986"/>
      <c r="P160" s="986"/>
      <c r="Q160" s="986"/>
      <c r="R160" s="986"/>
      <c r="S160" s="986"/>
      <c r="T160" s="986"/>
      <c r="U160" s="986"/>
      <c r="V160" s="986"/>
      <c r="W160" s="986"/>
      <c r="X160" s="986"/>
      <c r="Y160" s="986"/>
      <c r="Z160" s="986"/>
      <c r="AA160" s="986"/>
      <c r="AB160" s="986"/>
      <c r="AC160" s="986"/>
    </row>
    <row r="161" spans="1:29">
      <c r="A161" s="986"/>
      <c r="B161" s="986"/>
      <c r="C161" s="986"/>
      <c r="D161" s="986"/>
      <c r="E161" s="986"/>
      <c r="F161" s="986"/>
      <c r="G161" s="986"/>
      <c r="H161" s="986"/>
      <c r="I161" s="986"/>
      <c r="J161" s="986"/>
      <c r="K161" s="986"/>
      <c r="L161" s="986"/>
      <c r="M161" s="986"/>
      <c r="N161" s="986"/>
      <c r="O161" s="986"/>
      <c r="P161" s="986"/>
      <c r="Q161" s="986"/>
      <c r="R161" s="986"/>
      <c r="S161" s="986"/>
      <c r="T161" s="986"/>
      <c r="U161" s="986"/>
      <c r="V161" s="986"/>
      <c r="W161" s="986"/>
      <c r="X161" s="986"/>
      <c r="Y161" s="986"/>
      <c r="Z161" s="986"/>
      <c r="AA161" s="986"/>
      <c r="AB161" s="986"/>
      <c r="AC161" s="986"/>
    </row>
    <row r="162" spans="1:29">
      <c r="A162" s="986"/>
      <c r="B162" s="986"/>
      <c r="C162" s="986"/>
      <c r="D162" s="986"/>
      <c r="E162" s="986"/>
      <c r="F162" s="986"/>
      <c r="G162" s="986"/>
      <c r="H162" s="986"/>
      <c r="I162" s="986"/>
      <c r="J162" s="986"/>
      <c r="K162" s="986"/>
      <c r="L162" s="986"/>
      <c r="M162" s="986"/>
      <c r="N162" s="986"/>
      <c r="O162" s="986"/>
      <c r="P162" s="986"/>
      <c r="Q162" s="986"/>
      <c r="R162" s="986"/>
      <c r="S162" s="986"/>
      <c r="T162" s="986"/>
      <c r="U162" s="986"/>
      <c r="V162" s="986"/>
      <c r="W162" s="986"/>
      <c r="X162" s="986"/>
      <c r="Y162" s="986"/>
      <c r="Z162" s="986"/>
      <c r="AA162" s="986"/>
      <c r="AB162" s="986"/>
      <c r="AC162" s="986"/>
    </row>
    <row r="163" spans="1:29">
      <c r="A163" s="986"/>
      <c r="B163" s="986"/>
      <c r="C163" s="986"/>
      <c r="D163" s="986"/>
      <c r="E163" s="986"/>
      <c r="F163" s="986"/>
      <c r="G163" s="986"/>
      <c r="H163" s="986"/>
      <c r="I163" s="986"/>
      <c r="J163" s="986"/>
      <c r="K163" s="986"/>
      <c r="L163" s="986"/>
      <c r="M163" s="986"/>
      <c r="N163" s="986"/>
      <c r="O163" s="986"/>
      <c r="P163" s="986"/>
      <c r="Q163" s="986"/>
      <c r="R163" s="986"/>
      <c r="S163" s="986"/>
      <c r="T163" s="986"/>
      <c r="U163" s="986"/>
      <c r="V163" s="986"/>
      <c r="W163" s="986"/>
      <c r="X163" s="986"/>
      <c r="Y163" s="986"/>
      <c r="Z163" s="986"/>
      <c r="AA163" s="986"/>
      <c r="AB163" s="986"/>
      <c r="AC163" s="986"/>
    </row>
    <row r="164" spans="1:29">
      <c r="A164" s="986"/>
      <c r="B164" s="986"/>
      <c r="C164" s="986"/>
      <c r="D164" s="986"/>
      <c r="E164" s="986"/>
      <c r="F164" s="986"/>
      <c r="G164" s="986"/>
      <c r="H164" s="986"/>
      <c r="I164" s="986"/>
      <c r="J164" s="986"/>
      <c r="K164" s="986"/>
      <c r="L164" s="986"/>
      <c r="M164" s="986"/>
      <c r="N164" s="986"/>
      <c r="O164" s="986"/>
      <c r="P164" s="986"/>
      <c r="Q164" s="986"/>
      <c r="R164" s="986"/>
      <c r="S164" s="986"/>
      <c r="T164" s="986"/>
      <c r="U164" s="986"/>
      <c r="V164" s="986"/>
      <c r="W164" s="986"/>
      <c r="X164" s="986"/>
      <c r="Y164" s="986"/>
      <c r="Z164" s="986"/>
      <c r="AA164" s="986"/>
      <c r="AB164" s="986"/>
      <c r="AC164" s="986"/>
    </row>
    <row r="165" spans="1:29">
      <c r="A165" s="986"/>
      <c r="B165" s="986"/>
      <c r="C165" s="986"/>
      <c r="D165" s="986"/>
      <c r="E165" s="986"/>
      <c r="F165" s="986"/>
      <c r="G165" s="986"/>
      <c r="H165" s="986"/>
      <c r="I165" s="986"/>
      <c r="J165" s="986"/>
      <c r="K165" s="986"/>
      <c r="L165" s="986"/>
      <c r="M165" s="986"/>
      <c r="N165" s="986"/>
      <c r="O165" s="986"/>
      <c r="P165" s="986"/>
      <c r="Q165" s="986"/>
      <c r="R165" s="986"/>
      <c r="S165" s="986"/>
      <c r="T165" s="986"/>
      <c r="U165" s="986"/>
      <c r="V165" s="986"/>
      <c r="W165" s="986"/>
      <c r="X165" s="986"/>
      <c r="Y165" s="986"/>
      <c r="Z165" s="986"/>
      <c r="AA165" s="986"/>
      <c r="AB165" s="986"/>
      <c r="AC165" s="986"/>
    </row>
    <row r="166" spans="1:29">
      <c r="A166" s="986"/>
      <c r="B166" s="986"/>
      <c r="C166" s="986"/>
      <c r="D166" s="986"/>
      <c r="E166" s="986"/>
      <c r="F166" s="986"/>
      <c r="G166" s="986"/>
      <c r="H166" s="986"/>
      <c r="I166" s="986"/>
      <c r="J166" s="986"/>
      <c r="K166" s="986"/>
      <c r="L166" s="986"/>
      <c r="M166" s="986"/>
      <c r="N166" s="986"/>
      <c r="O166" s="986"/>
      <c r="P166" s="986"/>
      <c r="Q166" s="986"/>
      <c r="R166" s="986"/>
      <c r="S166" s="986"/>
      <c r="T166" s="986"/>
      <c r="U166" s="986"/>
      <c r="V166" s="986"/>
      <c r="W166" s="986"/>
      <c r="X166" s="986"/>
      <c r="Y166" s="986"/>
      <c r="Z166" s="986"/>
      <c r="AA166" s="986"/>
      <c r="AB166" s="986"/>
      <c r="AC166" s="986"/>
    </row>
    <row r="167" spans="1:29">
      <c r="A167" s="986"/>
      <c r="B167" s="986"/>
      <c r="C167" s="986"/>
      <c r="D167" s="986"/>
      <c r="E167" s="986"/>
      <c r="F167" s="986"/>
      <c r="G167" s="986"/>
      <c r="H167" s="986"/>
      <c r="I167" s="986"/>
      <c r="J167" s="986"/>
      <c r="K167" s="986"/>
      <c r="L167" s="986"/>
      <c r="M167" s="986"/>
      <c r="N167" s="986"/>
      <c r="O167" s="986"/>
      <c r="P167" s="986"/>
      <c r="Q167" s="986"/>
      <c r="R167" s="986"/>
      <c r="S167" s="986"/>
      <c r="T167" s="986"/>
      <c r="U167" s="986"/>
      <c r="V167" s="986"/>
      <c r="W167" s="986"/>
      <c r="X167" s="986"/>
      <c r="Y167" s="986"/>
      <c r="Z167" s="986"/>
      <c r="AA167" s="986"/>
      <c r="AB167" s="986"/>
      <c r="AC167" s="986"/>
    </row>
    <row r="168" spans="1:29">
      <c r="A168" s="986"/>
      <c r="B168" s="986"/>
      <c r="C168" s="986"/>
      <c r="D168" s="986"/>
      <c r="E168" s="986"/>
      <c r="F168" s="986"/>
      <c r="G168" s="986"/>
      <c r="H168" s="986"/>
      <c r="I168" s="986"/>
      <c r="J168" s="986"/>
      <c r="K168" s="986"/>
      <c r="L168" s="986"/>
      <c r="M168" s="986"/>
      <c r="N168" s="986"/>
      <c r="O168" s="986"/>
      <c r="P168" s="986"/>
      <c r="Q168" s="986"/>
      <c r="R168" s="986"/>
      <c r="S168" s="986"/>
      <c r="T168" s="986"/>
      <c r="U168" s="986"/>
      <c r="V168" s="986"/>
      <c r="W168" s="986"/>
      <c r="X168" s="986"/>
      <c r="Y168" s="986"/>
      <c r="Z168" s="986"/>
      <c r="AA168" s="986"/>
      <c r="AB168" s="986"/>
      <c r="AC168" s="986"/>
    </row>
    <row r="169" spans="1:29">
      <c r="A169" s="986"/>
      <c r="B169" s="986"/>
      <c r="C169" s="986"/>
      <c r="D169" s="986"/>
      <c r="E169" s="986"/>
      <c r="F169" s="986"/>
      <c r="G169" s="986"/>
      <c r="H169" s="986"/>
      <c r="I169" s="986"/>
      <c r="J169" s="986"/>
      <c r="K169" s="986"/>
      <c r="L169" s="986"/>
      <c r="M169" s="986"/>
      <c r="N169" s="986"/>
      <c r="O169" s="986"/>
      <c r="P169" s="986"/>
      <c r="Q169" s="986"/>
      <c r="R169" s="986"/>
      <c r="S169" s="986"/>
      <c r="T169" s="986"/>
      <c r="U169" s="986"/>
      <c r="V169" s="986"/>
      <c r="W169" s="986"/>
      <c r="X169" s="986"/>
      <c r="Y169" s="986"/>
      <c r="Z169" s="986"/>
      <c r="AA169" s="986"/>
      <c r="AB169" s="986"/>
      <c r="AC169" s="986"/>
    </row>
    <row r="170" spans="1:29">
      <c r="A170" s="986"/>
      <c r="B170" s="986"/>
      <c r="C170" s="986"/>
      <c r="D170" s="986"/>
      <c r="E170" s="986"/>
      <c r="F170" s="986"/>
      <c r="G170" s="986"/>
      <c r="H170" s="986"/>
      <c r="I170" s="986"/>
      <c r="J170" s="986"/>
      <c r="K170" s="986"/>
      <c r="L170" s="986"/>
      <c r="M170" s="986"/>
      <c r="N170" s="986"/>
      <c r="O170" s="986"/>
      <c r="P170" s="986"/>
      <c r="Q170" s="986"/>
      <c r="R170" s="986"/>
      <c r="S170" s="986"/>
      <c r="T170" s="986"/>
      <c r="U170" s="986"/>
      <c r="V170" s="986"/>
      <c r="W170" s="986"/>
      <c r="X170" s="986"/>
      <c r="Y170" s="986"/>
      <c r="Z170" s="986"/>
      <c r="AA170" s="986"/>
      <c r="AB170" s="986"/>
      <c r="AC170" s="986"/>
    </row>
    <row r="171" spans="1:29">
      <c r="A171" s="986"/>
      <c r="B171" s="986"/>
      <c r="C171" s="986"/>
      <c r="D171" s="986"/>
      <c r="E171" s="986"/>
      <c r="F171" s="986"/>
      <c r="G171" s="986"/>
      <c r="H171" s="986"/>
      <c r="I171" s="986"/>
      <c r="J171" s="986"/>
      <c r="K171" s="986"/>
      <c r="L171" s="986"/>
      <c r="M171" s="986"/>
      <c r="N171" s="986"/>
      <c r="O171" s="986"/>
      <c r="P171" s="986"/>
      <c r="Q171" s="986"/>
      <c r="R171" s="986"/>
      <c r="S171" s="986"/>
      <c r="T171" s="986"/>
      <c r="U171" s="986"/>
      <c r="V171" s="986"/>
      <c r="W171" s="986"/>
      <c r="X171" s="986"/>
      <c r="Y171" s="986"/>
      <c r="Z171" s="986"/>
      <c r="AA171" s="986"/>
      <c r="AB171" s="986"/>
      <c r="AC171" s="986"/>
    </row>
    <row r="172" spans="1:29">
      <c r="A172" s="986"/>
      <c r="B172" s="986"/>
      <c r="C172" s="986"/>
      <c r="D172" s="986"/>
      <c r="E172" s="986"/>
      <c r="F172" s="986"/>
      <c r="G172" s="986"/>
      <c r="H172" s="986"/>
      <c r="I172" s="986"/>
      <c r="J172" s="986"/>
      <c r="K172" s="986"/>
      <c r="L172" s="986"/>
      <c r="M172" s="986"/>
      <c r="N172" s="986"/>
      <c r="O172" s="986"/>
      <c r="P172" s="986"/>
      <c r="Q172" s="986"/>
      <c r="R172" s="986"/>
      <c r="S172" s="986"/>
      <c r="T172" s="986"/>
      <c r="U172" s="986"/>
      <c r="V172" s="986"/>
      <c r="W172" s="986"/>
      <c r="X172" s="986"/>
      <c r="Y172" s="986"/>
      <c r="Z172" s="986"/>
      <c r="AA172" s="986"/>
      <c r="AB172" s="986"/>
      <c r="AC172" s="986"/>
    </row>
    <row r="173" spans="1:29">
      <c r="A173" s="986"/>
      <c r="B173" s="986"/>
      <c r="C173" s="986"/>
      <c r="D173" s="986"/>
      <c r="E173" s="986"/>
      <c r="F173" s="986"/>
      <c r="G173" s="986"/>
      <c r="H173" s="986"/>
      <c r="I173" s="986"/>
      <c r="J173" s="986"/>
      <c r="K173" s="986"/>
      <c r="L173" s="986"/>
      <c r="M173" s="986"/>
      <c r="N173" s="986"/>
      <c r="O173" s="986"/>
      <c r="P173" s="986"/>
      <c r="Q173" s="986"/>
      <c r="R173" s="986"/>
      <c r="S173" s="986"/>
      <c r="T173" s="986"/>
      <c r="U173" s="986"/>
      <c r="V173" s="986"/>
      <c r="W173" s="986"/>
      <c r="X173" s="986"/>
      <c r="Y173" s="986"/>
      <c r="Z173" s="986"/>
      <c r="AA173" s="986"/>
      <c r="AB173" s="986"/>
      <c r="AC173" s="986"/>
    </row>
    <row r="174" spans="1:29">
      <c r="A174" s="986"/>
      <c r="B174" s="986"/>
      <c r="C174" s="986"/>
      <c r="D174" s="986"/>
      <c r="E174" s="986"/>
      <c r="F174" s="986"/>
      <c r="G174" s="986"/>
      <c r="H174" s="986"/>
      <c r="I174" s="986"/>
      <c r="J174" s="986"/>
      <c r="K174" s="986"/>
      <c r="L174" s="986"/>
      <c r="M174" s="986"/>
      <c r="N174" s="986"/>
      <c r="O174" s="986"/>
      <c r="P174" s="986"/>
      <c r="Q174" s="986"/>
      <c r="R174" s="986"/>
      <c r="S174" s="986"/>
      <c r="T174" s="986"/>
      <c r="U174" s="986"/>
      <c r="V174" s="986"/>
      <c r="W174" s="986"/>
      <c r="X174" s="986"/>
      <c r="Y174" s="986"/>
      <c r="Z174" s="986"/>
      <c r="AA174" s="986"/>
      <c r="AB174" s="986"/>
      <c r="AC174" s="986"/>
    </row>
    <row r="175" spans="1:29">
      <c r="A175" s="986"/>
      <c r="B175" s="986"/>
      <c r="C175" s="986"/>
      <c r="D175" s="986"/>
      <c r="E175" s="986"/>
      <c r="F175" s="986"/>
      <c r="G175" s="986"/>
      <c r="H175" s="986"/>
      <c r="I175" s="986"/>
      <c r="J175" s="986"/>
      <c r="K175" s="986"/>
      <c r="L175" s="986"/>
      <c r="M175" s="986"/>
      <c r="N175" s="986"/>
      <c r="O175" s="986"/>
      <c r="P175" s="986"/>
      <c r="Q175" s="986"/>
      <c r="R175" s="986"/>
      <c r="S175" s="986"/>
      <c r="T175" s="986"/>
      <c r="U175" s="986"/>
      <c r="V175" s="986"/>
      <c r="W175" s="986"/>
      <c r="X175" s="986"/>
      <c r="Y175" s="986"/>
      <c r="Z175" s="986"/>
      <c r="AA175" s="986"/>
      <c r="AB175" s="986"/>
      <c r="AC175" s="986"/>
    </row>
    <row r="176" spans="1:29">
      <c r="A176" s="986"/>
      <c r="B176" s="986"/>
      <c r="C176" s="986"/>
      <c r="D176" s="986"/>
      <c r="E176" s="986"/>
      <c r="F176" s="986"/>
      <c r="G176" s="986"/>
      <c r="H176" s="986"/>
      <c r="I176" s="986"/>
      <c r="J176" s="986"/>
      <c r="K176" s="986"/>
      <c r="L176" s="986"/>
      <c r="M176" s="986"/>
      <c r="N176" s="986"/>
      <c r="O176" s="986"/>
      <c r="P176" s="986"/>
      <c r="Q176" s="986"/>
      <c r="R176" s="986"/>
      <c r="S176" s="986"/>
      <c r="T176" s="986"/>
      <c r="U176" s="986"/>
      <c r="V176" s="986"/>
      <c r="W176" s="986"/>
      <c r="X176" s="986"/>
      <c r="Y176" s="986"/>
      <c r="Z176" s="986"/>
      <c r="AA176" s="986"/>
      <c r="AB176" s="986"/>
      <c r="AC176" s="986"/>
    </row>
  </sheetData>
  <phoneticPr fontId="19" type="noConversion"/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FFC000"/>
  </sheetPr>
  <dimension ref="A1:AC226"/>
  <sheetViews>
    <sheetView tabSelected="1" view="pageLayout" zoomScaleNormal="70" workbookViewId="0">
      <selection activeCell="G1" sqref="G1"/>
    </sheetView>
  </sheetViews>
  <sheetFormatPr defaultColWidth="8" defaultRowHeight="12.75"/>
  <cols>
    <col min="1" max="1" width="5.5703125" style="18" customWidth="1"/>
    <col min="2" max="2" width="23.7109375" style="18" customWidth="1"/>
    <col min="3" max="4" width="11.7109375" style="18" customWidth="1"/>
    <col min="5" max="5" width="15.7109375" style="18" customWidth="1"/>
    <col min="6" max="6" width="13.42578125" style="18" customWidth="1"/>
    <col min="7" max="7" width="11.5703125" style="18" customWidth="1"/>
    <col min="8" max="8" width="15" style="18" customWidth="1"/>
    <col min="9" max="9" width="14.85546875" style="18" customWidth="1"/>
    <col min="10" max="10" width="15" style="18" customWidth="1"/>
    <col min="11" max="11" width="13.28515625" style="18" customWidth="1"/>
    <col min="12" max="12" width="8" style="18" customWidth="1"/>
    <col min="13" max="13" width="6.42578125" style="18" customWidth="1"/>
    <col min="14" max="14" width="47.28515625" style="18" customWidth="1"/>
    <col min="15" max="15" width="17" style="18" customWidth="1"/>
    <col min="16" max="23" width="11.7109375" style="18" customWidth="1"/>
    <col min="24" max="27" width="11.85546875" style="18" customWidth="1"/>
    <col min="28" max="16384" width="8" style="18"/>
  </cols>
  <sheetData>
    <row r="1" spans="1:29">
      <c r="A1" s="1927" t="str">
        <f>COMPANY</f>
        <v>DUKE ENERGY KENTUCKY, INC.</v>
      </c>
      <c r="B1" s="968"/>
      <c r="C1" s="968"/>
      <c r="D1" s="968"/>
      <c r="E1" s="968"/>
      <c r="F1" s="1018"/>
      <c r="G1" s="968"/>
      <c r="H1" s="968"/>
      <c r="I1" s="968"/>
      <c r="J1" s="968"/>
      <c r="K1" s="968"/>
      <c r="L1" s="965"/>
      <c r="M1" s="965"/>
      <c r="N1" s="965"/>
      <c r="O1" s="965"/>
      <c r="P1" s="965"/>
      <c r="Q1" s="965"/>
      <c r="R1" s="965"/>
      <c r="S1" s="965"/>
      <c r="T1" s="965"/>
      <c r="U1" s="965"/>
      <c r="V1" s="965"/>
      <c r="W1" s="965"/>
      <c r="X1" s="965"/>
      <c r="Y1" s="965"/>
      <c r="Z1" s="965"/>
      <c r="AA1" s="965"/>
      <c r="AB1" s="965"/>
      <c r="AC1" s="965"/>
    </row>
    <row r="2" spans="1:29">
      <c r="A2" s="1927" t="str">
        <f>CASE</f>
        <v>CASE NO. 2017-00321</v>
      </c>
      <c r="B2" s="968"/>
      <c r="C2" s="968"/>
      <c r="D2" s="968"/>
      <c r="E2" s="968"/>
      <c r="F2" s="1018"/>
      <c r="G2" s="968"/>
      <c r="H2" s="968"/>
      <c r="I2" s="968"/>
      <c r="J2" s="968"/>
      <c r="K2" s="968"/>
      <c r="L2" s="965"/>
      <c r="M2" s="965"/>
      <c r="N2" s="965"/>
      <c r="O2" s="965"/>
      <c r="P2" s="965"/>
      <c r="Q2" s="965"/>
      <c r="R2" s="965"/>
      <c r="S2" s="965"/>
      <c r="T2" s="965"/>
      <c r="U2" s="965"/>
      <c r="V2" s="965"/>
      <c r="W2" s="965"/>
      <c r="X2" s="965"/>
      <c r="Y2" s="965"/>
      <c r="Z2" s="965"/>
      <c r="AA2" s="965"/>
      <c r="AB2" s="965"/>
      <c r="AC2" s="965"/>
    </row>
    <row r="3" spans="1:29">
      <c r="A3" s="1927" t="s">
        <v>290</v>
      </c>
      <c r="B3" s="968"/>
      <c r="C3" s="968"/>
      <c r="D3" s="968"/>
      <c r="E3" s="968"/>
      <c r="F3" s="1018"/>
      <c r="G3" s="968"/>
      <c r="H3" s="968"/>
      <c r="I3" s="968"/>
      <c r="J3" s="968"/>
      <c r="K3" s="968"/>
      <c r="L3" s="965"/>
      <c r="M3" s="965"/>
      <c r="N3" s="965"/>
      <c r="O3" s="965"/>
      <c r="P3" s="965"/>
      <c r="Q3" s="965"/>
      <c r="R3" s="965"/>
      <c r="S3" s="965"/>
      <c r="T3" s="965"/>
      <c r="U3" s="965"/>
      <c r="V3" s="965"/>
      <c r="W3" s="965"/>
      <c r="X3" s="965"/>
      <c r="Y3" s="965"/>
      <c r="Z3" s="965"/>
      <c r="AA3" s="965"/>
      <c r="AB3" s="965"/>
      <c r="AC3" s="965"/>
    </row>
    <row r="4" spans="1:29">
      <c r="A4" s="1927" t="str">
        <f>PERIOD</f>
        <v>FOR THE TWELVE MONTHS ENDED NOVEMBER 30, 2017</v>
      </c>
      <c r="B4" s="968"/>
      <c r="C4" s="968"/>
      <c r="D4" s="968"/>
      <c r="E4" s="968"/>
      <c r="F4" s="1018"/>
      <c r="G4" s="968"/>
      <c r="H4" s="968"/>
      <c r="I4" s="968"/>
      <c r="J4" s="968"/>
      <c r="K4" s="968"/>
      <c r="L4" s="965"/>
      <c r="M4" s="965"/>
      <c r="N4" s="965"/>
      <c r="O4" s="965"/>
      <c r="P4" s="965"/>
      <c r="Q4" s="965"/>
      <c r="R4" s="965"/>
      <c r="S4" s="965"/>
      <c r="T4" s="965"/>
      <c r="U4" s="965"/>
      <c r="V4" s="965"/>
      <c r="W4" s="965"/>
      <c r="X4" s="965"/>
      <c r="Y4" s="965"/>
      <c r="Z4" s="965"/>
      <c r="AA4" s="965"/>
      <c r="AB4" s="965"/>
      <c r="AC4" s="965"/>
    </row>
    <row r="5" spans="1:29">
      <c r="A5" s="968"/>
      <c r="B5" s="968"/>
      <c r="C5" s="968"/>
      <c r="D5" s="968"/>
      <c r="E5" s="968"/>
      <c r="F5" s="968"/>
      <c r="G5" s="968"/>
      <c r="H5" s="968"/>
      <c r="I5" s="968"/>
      <c r="J5" s="968"/>
      <c r="K5" s="968"/>
      <c r="L5" s="965"/>
      <c r="M5" s="965"/>
      <c r="N5" s="965"/>
      <c r="O5" s="965"/>
      <c r="P5" s="965"/>
      <c r="Q5" s="965"/>
      <c r="R5" s="965"/>
      <c r="S5" s="965"/>
      <c r="T5" s="965"/>
      <c r="U5" s="965"/>
      <c r="V5" s="965"/>
      <c r="W5" s="965"/>
      <c r="X5" s="965"/>
      <c r="Y5" s="965"/>
      <c r="Z5" s="965"/>
      <c r="AA5" s="965"/>
      <c r="AB5" s="965"/>
      <c r="AC5" s="965"/>
    </row>
    <row r="6" spans="1:29">
      <c r="A6" s="965"/>
      <c r="B6" s="965"/>
      <c r="C6" s="965"/>
      <c r="D6" s="965"/>
      <c r="E6" s="965"/>
      <c r="F6" s="965"/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  <c r="T6" s="965"/>
      <c r="U6" s="965"/>
      <c r="V6" s="965"/>
      <c r="W6" s="965"/>
      <c r="X6" s="965"/>
      <c r="Y6" s="965"/>
      <c r="Z6" s="965"/>
      <c r="AA6" s="965"/>
      <c r="AB6" s="965"/>
      <c r="AC6" s="965"/>
    </row>
    <row r="7" spans="1:29">
      <c r="A7" s="1020" t="str">
        <f>Data</f>
        <v>DATA: "X" BASE PERIOD   FORECASTED PERIOD</v>
      </c>
      <c r="B7" s="965"/>
      <c r="C7" s="965"/>
      <c r="D7" s="965"/>
      <c r="E7" s="965"/>
      <c r="F7" s="965"/>
      <c r="G7" s="965"/>
      <c r="H7" s="965"/>
      <c r="I7" s="856"/>
      <c r="J7" s="856" t="s">
        <v>291</v>
      </c>
      <c r="K7" s="965"/>
      <c r="L7" s="965"/>
      <c r="M7" s="965"/>
      <c r="N7" s="965"/>
      <c r="O7" s="965"/>
      <c r="P7" s="965"/>
      <c r="Q7" s="965"/>
      <c r="R7" s="965"/>
      <c r="S7" s="965"/>
      <c r="T7" s="965"/>
      <c r="U7" s="965"/>
      <c r="V7" s="965"/>
      <c r="W7" s="965"/>
      <c r="X7" s="965"/>
      <c r="Y7" s="965"/>
      <c r="Z7" s="965"/>
      <c r="AA7" s="965"/>
      <c r="AB7" s="965"/>
      <c r="AC7" s="965"/>
    </row>
    <row r="8" spans="1:29">
      <c r="A8" s="1020" t="str">
        <f>LOGO!$B$15</f>
        <v xml:space="preserve">TYPE OF FILING:  "X" ORIGINAL   UPDATED    REVISED  </v>
      </c>
      <c r="B8" s="965"/>
      <c r="C8" s="965"/>
      <c r="D8" s="965"/>
      <c r="E8" s="965"/>
      <c r="F8" s="965"/>
      <c r="G8" s="965"/>
      <c r="H8" s="965"/>
      <c r="I8" s="856"/>
      <c r="J8" s="856" t="s">
        <v>1458</v>
      </c>
      <c r="K8" s="965"/>
      <c r="L8" s="965"/>
      <c r="M8" s="965"/>
      <c r="N8" s="965"/>
      <c r="O8" s="965"/>
      <c r="P8" s="965"/>
      <c r="Q8" s="965"/>
      <c r="R8" s="965"/>
      <c r="S8" s="965"/>
      <c r="T8" s="965"/>
      <c r="U8" s="965"/>
      <c r="V8" s="965"/>
      <c r="W8" s="965"/>
      <c r="X8" s="965"/>
      <c r="Y8" s="965"/>
      <c r="Z8" s="965"/>
      <c r="AA8" s="965"/>
      <c r="AB8" s="965"/>
      <c r="AC8" s="965"/>
    </row>
    <row r="9" spans="1:29">
      <c r="A9" s="856" t="s">
        <v>1132</v>
      </c>
      <c r="B9" s="965"/>
      <c r="C9" s="965"/>
      <c r="D9" s="965"/>
      <c r="E9" s="965"/>
      <c r="F9" s="965"/>
      <c r="G9" s="965"/>
      <c r="H9" s="965"/>
      <c r="I9" s="856"/>
      <c r="J9" s="856" t="s">
        <v>622</v>
      </c>
      <c r="K9" s="965"/>
      <c r="L9" s="965"/>
      <c r="M9" s="965"/>
      <c r="N9" s="965"/>
      <c r="O9" s="965"/>
      <c r="P9" s="965"/>
      <c r="Q9" s="965"/>
      <c r="R9" s="965"/>
      <c r="S9" s="965"/>
      <c r="T9" s="965"/>
      <c r="U9" s="965"/>
      <c r="V9" s="965"/>
      <c r="W9" s="965"/>
      <c r="X9" s="965"/>
      <c r="Y9" s="965"/>
      <c r="Z9" s="965"/>
      <c r="AA9" s="965"/>
      <c r="AB9" s="965"/>
      <c r="AC9" s="965"/>
    </row>
    <row r="10" spans="1:29">
      <c r="A10" s="965"/>
      <c r="B10" s="965"/>
      <c r="C10" s="965"/>
      <c r="D10" s="965"/>
      <c r="E10" s="965"/>
      <c r="F10" s="965"/>
      <c r="G10" s="965"/>
      <c r="H10" s="965"/>
      <c r="I10" s="856"/>
      <c r="J10" s="856" t="str">
        <f>_WIT1</f>
        <v>S. E. LAWLER</v>
      </c>
      <c r="K10" s="965"/>
      <c r="L10" s="965"/>
      <c r="M10" s="965"/>
      <c r="N10" s="965"/>
      <c r="O10" s="965"/>
      <c r="P10" s="965"/>
      <c r="Q10" s="965"/>
      <c r="R10" s="965"/>
      <c r="S10" s="965"/>
      <c r="T10" s="965"/>
      <c r="U10" s="965"/>
      <c r="V10" s="965"/>
      <c r="W10" s="965"/>
      <c r="X10" s="965"/>
      <c r="Y10" s="965"/>
      <c r="Z10" s="965"/>
      <c r="AA10" s="965"/>
      <c r="AB10" s="965"/>
      <c r="AC10" s="965"/>
    </row>
    <row r="11" spans="1:29">
      <c r="A11" s="969"/>
      <c r="B11" s="969"/>
      <c r="C11" s="969"/>
      <c r="D11" s="969"/>
      <c r="E11" s="969"/>
      <c r="F11" s="969"/>
      <c r="G11" s="969"/>
      <c r="H11" s="969"/>
      <c r="I11" s="969"/>
      <c r="J11" s="969"/>
      <c r="K11" s="969"/>
      <c r="L11" s="965"/>
      <c r="M11" s="965"/>
      <c r="N11" s="965"/>
      <c r="O11" s="965"/>
      <c r="P11" s="965"/>
      <c r="Q11" s="965"/>
      <c r="R11" s="965"/>
      <c r="S11" s="965"/>
      <c r="T11" s="965"/>
      <c r="U11" s="965"/>
      <c r="V11" s="965"/>
      <c r="W11" s="965"/>
      <c r="X11" s="965"/>
      <c r="Y11" s="965"/>
      <c r="Z11" s="965"/>
      <c r="AA11" s="965"/>
      <c r="AB11" s="965"/>
      <c r="AC11" s="965"/>
    </row>
    <row r="12" spans="1:29">
      <c r="A12" s="965"/>
      <c r="B12" s="971"/>
      <c r="C12" s="1928" t="s">
        <v>1310</v>
      </c>
      <c r="D12" s="1928"/>
      <c r="E12" s="1928"/>
      <c r="F12" s="971" t="s">
        <v>1929</v>
      </c>
      <c r="G12" s="971" t="s">
        <v>1311</v>
      </c>
      <c r="H12" s="965"/>
      <c r="I12" s="965"/>
      <c r="J12" s="965"/>
      <c r="K12" s="965"/>
      <c r="L12" s="965"/>
      <c r="M12" s="965"/>
      <c r="N12" s="965"/>
      <c r="O12" s="965"/>
      <c r="P12" s="965"/>
      <c r="Q12" s="965"/>
      <c r="R12" s="965"/>
      <c r="S12" s="965"/>
      <c r="T12" s="965"/>
      <c r="U12" s="965"/>
      <c r="V12" s="965"/>
      <c r="W12" s="965"/>
      <c r="X12" s="965"/>
      <c r="Y12" s="965"/>
      <c r="Z12" s="965"/>
      <c r="AA12" s="965"/>
      <c r="AB12" s="965"/>
      <c r="AC12" s="965"/>
    </row>
    <row r="13" spans="1:29">
      <c r="A13" s="971" t="s">
        <v>1240</v>
      </c>
      <c r="B13" s="971"/>
      <c r="C13" s="971" t="s">
        <v>1312</v>
      </c>
      <c r="D13" s="971" t="s">
        <v>801</v>
      </c>
      <c r="E13" s="971"/>
      <c r="F13" s="971" t="s">
        <v>1748</v>
      </c>
      <c r="G13" s="971" t="s">
        <v>450</v>
      </c>
      <c r="H13" s="971" t="s">
        <v>802</v>
      </c>
      <c r="I13" s="971"/>
      <c r="J13" s="971" t="s">
        <v>802</v>
      </c>
      <c r="K13" s="971" t="s">
        <v>450</v>
      </c>
      <c r="L13" s="965"/>
      <c r="M13" s="965"/>
      <c r="N13" s="965"/>
      <c r="O13" s="965"/>
      <c r="P13" s="965"/>
      <c r="Q13" s="965"/>
      <c r="R13" s="965"/>
      <c r="S13" s="965"/>
      <c r="T13" s="965"/>
      <c r="U13" s="965"/>
      <c r="V13" s="965"/>
      <c r="W13" s="965"/>
      <c r="X13" s="965"/>
      <c r="Y13" s="965"/>
      <c r="Z13" s="965"/>
      <c r="AA13" s="965"/>
      <c r="AB13" s="965"/>
      <c r="AC13" s="965"/>
    </row>
    <row r="14" spans="1:29">
      <c r="A14" s="971" t="s">
        <v>1241</v>
      </c>
      <c r="B14" s="971" t="s">
        <v>1119</v>
      </c>
      <c r="C14" s="971" t="s">
        <v>803</v>
      </c>
      <c r="D14" s="971" t="s">
        <v>804</v>
      </c>
      <c r="E14" s="971" t="s">
        <v>1028</v>
      </c>
      <c r="F14" s="971" t="s">
        <v>1963</v>
      </c>
      <c r="G14" s="971" t="s">
        <v>572</v>
      </c>
      <c r="H14" s="971" t="s">
        <v>1963</v>
      </c>
      <c r="I14" s="971" t="s">
        <v>573</v>
      </c>
      <c r="J14" s="971" t="s">
        <v>574</v>
      </c>
      <c r="K14" s="971" t="s">
        <v>575</v>
      </c>
      <c r="L14" s="965"/>
      <c r="M14" s="965"/>
      <c r="N14" s="965"/>
      <c r="O14" s="965"/>
      <c r="P14" s="965"/>
      <c r="Q14" s="965"/>
      <c r="R14" s="965"/>
      <c r="S14" s="965"/>
      <c r="T14" s="965"/>
      <c r="U14" s="965"/>
      <c r="V14" s="965"/>
      <c r="W14" s="965"/>
      <c r="X14" s="965"/>
      <c r="Y14" s="965"/>
      <c r="Z14" s="965"/>
      <c r="AA14" s="965"/>
      <c r="AB14" s="965"/>
      <c r="AC14" s="965"/>
    </row>
    <row r="15" spans="1:29">
      <c r="A15" s="969"/>
      <c r="B15" s="969"/>
      <c r="C15" s="969"/>
      <c r="D15" s="969"/>
      <c r="E15" s="969"/>
      <c r="F15" s="969"/>
      <c r="G15" s="969"/>
      <c r="H15" s="969"/>
      <c r="I15" s="969"/>
      <c r="J15" s="969"/>
      <c r="K15" s="969"/>
      <c r="L15" s="965"/>
      <c r="M15" s="965"/>
      <c r="N15" s="965"/>
      <c r="O15" s="965"/>
      <c r="P15" s="965"/>
      <c r="Q15" s="965"/>
      <c r="R15" s="965"/>
      <c r="S15" s="965"/>
      <c r="T15" s="965"/>
      <c r="U15" s="965"/>
      <c r="V15" s="965"/>
      <c r="W15" s="965"/>
      <c r="X15" s="965"/>
      <c r="Y15" s="965"/>
      <c r="Z15" s="965"/>
      <c r="AA15" s="965"/>
      <c r="AB15" s="965"/>
      <c r="AC15" s="965"/>
    </row>
    <row r="16" spans="1:29">
      <c r="A16" s="965"/>
      <c r="B16" s="965"/>
      <c r="C16" s="971" t="s">
        <v>1150</v>
      </c>
      <c r="D16" s="971" t="s">
        <v>1150</v>
      </c>
      <c r="E16" s="971" t="s">
        <v>1150</v>
      </c>
      <c r="F16" s="971" t="s">
        <v>1150</v>
      </c>
      <c r="G16" s="971"/>
      <c r="H16" s="971" t="s">
        <v>1150</v>
      </c>
      <c r="I16" s="971" t="s">
        <v>1150</v>
      </c>
      <c r="J16" s="971" t="s">
        <v>1150</v>
      </c>
      <c r="K16" s="965"/>
      <c r="L16" s="965"/>
      <c r="M16" s="965"/>
      <c r="N16" s="965"/>
      <c r="O16" s="965"/>
      <c r="P16" s="965"/>
      <c r="Q16" s="965"/>
      <c r="R16" s="965"/>
      <c r="S16" s="965"/>
      <c r="T16" s="965"/>
      <c r="U16" s="965"/>
      <c r="V16" s="965"/>
      <c r="W16" s="965"/>
      <c r="X16" s="965"/>
      <c r="Y16" s="965"/>
      <c r="Z16" s="965"/>
      <c r="AA16" s="965"/>
      <c r="AB16" s="965"/>
      <c r="AC16" s="965"/>
    </row>
    <row r="17" spans="1:29">
      <c r="A17" s="1022">
        <v>1</v>
      </c>
      <c r="B17" s="1023"/>
      <c r="C17" s="965"/>
      <c r="D17" s="965"/>
      <c r="E17" s="965"/>
      <c r="F17" s="967"/>
      <c r="G17" s="967"/>
      <c r="H17" s="967"/>
      <c r="I17" s="967"/>
      <c r="J17" s="965"/>
      <c r="K17" s="965"/>
      <c r="L17" s="965"/>
      <c r="M17" s="965"/>
      <c r="N17" s="965"/>
      <c r="O17" s="965"/>
      <c r="P17" s="965"/>
      <c r="Q17" s="965"/>
      <c r="R17" s="965"/>
      <c r="S17" s="965"/>
      <c r="T17" s="965"/>
      <c r="U17" s="965"/>
      <c r="V17" s="965"/>
      <c r="W17" s="965"/>
      <c r="X17" s="965"/>
      <c r="Y17" s="965"/>
      <c r="Z17" s="965"/>
      <c r="AA17" s="965"/>
      <c r="AB17" s="965"/>
      <c r="AC17" s="965"/>
    </row>
    <row r="18" spans="1:29">
      <c r="A18" s="1022">
        <v>2</v>
      </c>
      <c r="B18" s="1457" t="s">
        <v>576</v>
      </c>
      <c r="C18" s="973">
        <v>0</v>
      </c>
      <c r="D18" s="973">
        <v>0</v>
      </c>
      <c r="E18" s="966">
        <f>O69</f>
        <v>165345</v>
      </c>
      <c r="F18" s="966">
        <f>SUM(C18:E18)</f>
        <v>165345</v>
      </c>
      <c r="G18" s="1929">
        <f>VLOOKUP(K18,ALLOCTABLE,2)</f>
        <v>100</v>
      </c>
      <c r="H18" s="983">
        <f>ROUND(F18*(G18/100),0)</f>
        <v>165345</v>
      </c>
      <c r="I18" s="973">
        <v>0</v>
      </c>
      <c r="J18" s="981">
        <f>H18+I18</f>
        <v>165345</v>
      </c>
      <c r="K18" s="975" t="s">
        <v>593</v>
      </c>
      <c r="L18" s="965"/>
      <c r="M18" s="965"/>
      <c r="N18" s="965"/>
      <c r="O18" s="965"/>
      <c r="P18" s="965"/>
      <c r="Q18" s="965"/>
      <c r="R18" s="965"/>
      <c r="S18" s="965"/>
      <c r="T18" s="965"/>
      <c r="U18" s="965"/>
      <c r="V18" s="965"/>
      <c r="W18" s="965"/>
      <c r="X18" s="965"/>
      <c r="Y18" s="965"/>
      <c r="Z18" s="965"/>
      <c r="AA18" s="965"/>
      <c r="AB18" s="965"/>
      <c r="AC18" s="965"/>
    </row>
    <row r="19" spans="1:29">
      <c r="A19" s="1022">
        <v>3</v>
      </c>
      <c r="B19" s="1457"/>
      <c r="C19" s="973"/>
      <c r="D19" s="973"/>
      <c r="E19" s="966"/>
      <c r="F19" s="978"/>
      <c r="G19" s="1929"/>
      <c r="H19" s="983"/>
      <c r="I19" s="973"/>
      <c r="J19" s="981"/>
      <c r="K19" s="975"/>
      <c r="L19" s="965"/>
      <c r="M19" s="965"/>
      <c r="N19" s="965"/>
      <c r="O19" s="965"/>
      <c r="P19" s="965"/>
      <c r="Q19" s="965"/>
      <c r="R19" s="965"/>
      <c r="S19" s="965"/>
      <c r="T19" s="965"/>
      <c r="U19" s="965"/>
      <c r="V19" s="965"/>
      <c r="W19" s="965"/>
      <c r="X19" s="965"/>
      <c r="Y19" s="965"/>
      <c r="Z19" s="965"/>
      <c r="AA19" s="965"/>
      <c r="AB19" s="965"/>
      <c r="AC19" s="965"/>
    </row>
    <row r="20" spans="1:29">
      <c r="A20" s="971">
        <v>4</v>
      </c>
      <c r="B20" s="987" t="s">
        <v>578</v>
      </c>
      <c r="C20" s="973">
        <v>0</v>
      </c>
      <c r="D20" s="973">
        <v>0</v>
      </c>
      <c r="E20" s="966">
        <f>O73</f>
        <v>0</v>
      </c>
      <c r="F20" s="966">
        <f>SUM(C20:E20)</f>
        <v>0</v>
      </c>
      <c r="G20" s="1929">
        <f>VLOOKUP(K20,ALLOCTABLE,2)</f>
        <v>100</v>
      </c>
      <c r="H20" s="983">
        <f>ROUND(F20*(G20/100),0)</f>
        <v>0</v>
      </c>
      <c r="I20" s="973">
        <v>0</v>
      </c>
      <c r="J20" s="981">
        <f>H20+I20</f>
        <v>0</v>
      </c>
      <c r="K20" s="975" t="s">
        <v>593</v>
      </c>
      <c r="L20" s="965"/>
      <c r="M20" s="965"/>
      <c r="N20" s="965"/>
      <c r="O20" s="965"/>
      <c r="P20" s="965"/>
      <c r="Q20" s="965"/>
      <c r="R20" s="965"/>
      <c r="S20" s="965"/>
      <c r="T20" s="965"/>
      <c r="U20" s="965"/>
      <c r="V20" s="965"/>
      <c r="W20" s="965"/>
      <c r="X20" s="965"/>
      <c r="Y20" s="965"/>
      <c r="Z20" s="965"/>
      <c r="AA20" s="965"/>
      <c r="AB20" s="965"/>
      <c r="AC20" s="965"/>
    </row>
    <row r="21" spans="1:29">
      <c r="A21" s="971">
        <v>5</v>
      </c>
      <c r="B21" s="1930"/>
      <c r="C21" s="1025"/>
      <c r="D21" s="1025"/>
      <c r="E21" s="966"/>
      <c r="F21" s="978"/>
      <c r="G21" s="1929"/>
      <c r="H21" s="983"/>
      <c r="I21" s="1025"/>
      <c r="J21" s="981"/>
      <c r="K21" s="975"/>
      <c r="L21" s="965"/>
      <c r="M21" s="965"/>
      <c r="N21" s="965"/>
      <c r="O21" s="965"/>
      <c r="P21" s="965"/>
      <c r="Q21" s="965"/>
      <c r="R21" s="965"/>
      <c r="S21" s="965"/>
      <c r="T21" s="965"/>
      <c r="U21" s="965"/>
      <c r="V21" s="965"/>
      <c r="W21" s="965"/>
      <c r="X21" s="965"/>
      <c r="Y21" s="965"/>
      <c r="Z21" s="965"/>
      <c r="AA21" s="965"/>
      <c r="AB21" s="965"/>
      <c r="AC21" s="965"/>
    </row>
    <row r="22" spans="1:29">
      <c r="A22" s="1022">
        <v>6</v>
      </c>
      <c r="B22" s="987" t="s">
        <v>580</v>
      </c>
      <c r="C22" s="973">
        <v>0</v>
      </c>
      <c r="D22" s="973">
        <v>0</v>
      </c>
      <c r="E22" s="966">
        <f>O77</f>
        <v>0</v>
      </c>
      <c r="F22" s="966">
        <f>SUM(C22:E22)</f>
        <v>0</v>
      </c>
      <c r="G22" s="1929">
        <f>VLOOKUP(K22,ALLOCTABLE,2)</f>
        <v>100</v>
      </c>
      <c r="H22" s="983">
        <f>ROUND(F22*(G22/100),0)</f>
        <v>0</v>
      </c>
      <c r="I22" s="973">
        <v>0</v>
      </c>
      <c r="J22" s="981">
        <f>H22+I22</f>
        <v>0</v>
      </c>
      <c r="K22" s="975" t="s">
        <v>593</v>
      </c>
      <c r="L22" s="965"/>
      <c r="M22" s="965"/>
      <c r="N22" s="965"/>
      <c r="O22" s="965"/>
      <c r="P22" s="965"/>
      <c r="Q22" s="965"/>
      <c r="R22" s="965"/>
      <c r="S22" s="965"/>
      <c r="T22" s="965"/>
      <c r="U22" s="965"/>
      <c r="V22" s="965"/>
      <c r="W22" s="965"/>
      <c r="X22" s="965"/>
      <c r="Y22" s="965"/>
      <c r="Z22" s="965"/>
      <c r="AA22" s="965"/>
      <c r="AB22" s="965"/>
      <c r="AC22" s="965"/>
    </row>
    <row r="23" spans="1:29">
      <c r="A23" s="1022">
        <v>7</v>
      </c>
      <c r="B23" s="987"/>
      <c r="C23" s="1025"/>
      <c r="D23" s="1025"/>
      <c r="E23" s="977"/>
      <c r="F23" s="1739"/>
      <c r="G23" s="1931"/>
      <c r="H23" s="967"/>
      <c r="I23" s="1025"/>
      <c r="J23" s="965"/>
      <c r="K23" s="965"/>
      <c r="L23" s="965"/>
      <c r="M23" s="965"/>
      <c r="N23" s="965"/>
      <c r="O23" s="965"/>
      <c r="P23" s="965"/>
      <c r="Q23" s="965"/>
      <c r="R23" s="965"/>
      <c r="S23" s="965"/>
      <c r="T23" s="965"/>
      <c r="U23" s="965"/>
      <c r="V23" s="965"/>
      <c r="W23" s="965"/>
      <c r="X23" s="965"/>
      <c r="Y23" s="965"/>
      <c r="Z23" s="965"/>
      <c r="AA23" s="965"/>
      <c r="AB23" s="965"/>
      <c r="AC23" s="965"/>
    </row>
    <row r="24" spans="1:29">
      <c r="A24" s="1022">
        <v>8</v>
      </c>
      <c r="B24" s="1457" t="s">
        <v>1028</v>
      </c>
      <c r="C24" s="1932">
        <v>0</v>
      </c>
      <c r="D24" s="1932">
        <v>0</v>
      </c>
      <c r="E24" s="1933">
        <f>O122</f>
        <v>1964839</v>
      </c>
      <c r="F24" s="1933">
        <f>SUM(C24:E24)</f>
        <v>1964839</v>
      </c>
      <c r="G24" s="1929">
        <f>VLOOKUP(K24,ALLOCTABLE,2)</f>
        <v>100</v>
      </c>
      <c r="H24" s="1934">
        <f>ROUND(F24*(G24/100),0)</f>
        <v>1964839</v>
      </c>
      <c r="I24" s="1932">
        <v>0</v>
      </c>
      <c r="J24" s="1935">
        <f>H24+I24</f>
        <v>1964839</v>
      </c>
      <c r="K24" s="975" t="s">
        <v>593</v>
      </c>
      <c r="L24" s="965"/>
      <c r="M24" s="965"/>
      <c r="N24" s="965"/>
      <c r="O24" s="965"/>
      <c r="P24" s="965"/>
      <c r="Q24" s="965"/>
      <c r="R24" s="965"/>
      <c r="S24" s="965"/>
      <c r="T24" s="965"/>
      <c r="U24" s="965"/>
      <c r="V24" s="965"/>
      <c r="W24" s="965"/>
      <c r="X24" s="965"/>
      <c r="Y24" s="965"/>
      <c r="Z24" s="965"/>
      <c r="AA24" s="965"/>
      <c r="AB24" s="965"/>
      <c r="AC24" s="965"/>
    </row>
    <row r="25" spans="1:29">
      <c r="A25" s="1022">
        <v>9</v>
      </c>
      <c r="B25" s="1936"/>
      <c r="C25" s="973"/>
      <c r="D25" s="973"/>
      <c r="E25" s="973"/>
      <c r="F25" s="978"/>
      <c r="G25" s="1937"/>
      <c r="H25" s="983"/>
      <c r="I25" s="983"/>
      <c r="J25" s="981"/>
      <c r="K25" s="975"/>
      <c r="L25" s="965"/>
      <c r="M25" s="965"/>
      <c r="N25" s="965"/>
      <c r="O25" s="965"/>
      <c r="P25" s="965"/>
      <c r="Q25" s="965"/>
      <c r="R25" s="965"/>
      <c r="S25" s="965"/>
      <c r="T25" s="965"/>
      <c r="U25" s="965"/>
      <c r="V25" s="965"/>
      <c r="W25" s="965"/>
      <c r="X25" s="965"/>
      <c r="Y25" s="965"/>
      <c r="Z25" s="965"/>
      <c r="AA25" s="965"/>
      <c r="AB25" s="965"/>
      <c r="AC25" s="965"/>
    </row>
    <row r="26" spans="1:29">
      <c r="A26" s="1022">
        <v>10</v>
      </c>
      <c r="B26" s="1938" t="s">
        <v>1929</v>
      </c>
      <c r="C26" s="1939">
        <f>C18+C20+C22+C24</f>
        <v>0</v>
      </c>
      <c r="D26" s="1939">
        <f>D18+D20+D22+D24</f>
        <v>0</v>
      </c>
      <c r="E26" s="1939">
        <f>E18+E20+E22+E24</f>
        <v>2130184</v>
      </c>
      <c r="F26" s="1939">
        <f>F18+F20+F22+F24</f>
        <v>2130184</v>
      </c>
      <c r="G26" s="1940"/>
      <c r="H26" s="1939">
        <f>H18+H20+H22+H24</f>
        <v>2130184</v>
      </c>
      <c r="I26" s="1939">
        <f>I18+I20+I22+I24</f>
        <v>0</v>
      </c>
      <c r="J26" s="1939">
        <f>J18+J20+J22+J24</f>
        <v>2130184</v>
      </c>
      <c r="K26" s="1941"/>
      <c r="L26" s="965"/>
      <c r="M26" s="965"/>
      <c r="N26" s="965"/>
      <c r="O26" s="965"/>
      <c r="P26" s="965"/>
      <c r="Q26" s="965"/>
      <c r="R26" s="965"/>
      <c r="S26" s="965"/>
      <c r="T26" s="965"/>
      <c r="U26" s="965"/>
      <c r="V26" s="965"/>
      <c r="W26" s="965"/>
      <c r="X26" s="965"/>
      <c r="Y26" s="965"/>
      <c r="Z26" s="965"/>
      <c r="AA26" s="965"/>
      <c r="AB26" s="965"/>
      <c r="AC26" s="965"/>
    </row>
    <row r="27" spans="1:29">
      <c r="A27" s="965"/>
      <c r="B27" s="965"/>
      <c r="C27" s="965"/>
      <c r="D27" s="965"/>
      <c r="E27" s="965"/>
      <c r="F27" s="965"/>
      <c r="G27" s="965"/>
      <c r="H27" s="965"/>
      <c r="I27" s="965"/>
      <c r="J27" s="965"/>
      <c r="K27" s="965"/>
      <c r="L27" s="965"/>
      <c r="M27" s="965"/>
      <c r="N27" s="965"/>
      <c r="O27" s="965"/>
      <c r="P27" s="965"/>
      <c r="Q27" s="965"/>
      <c r="R27" s="965"/>
      <c r="S27" s="965"/>
      <c r="T27" s="965"/>
      <c r="U27" s="965"/>
      <c r="V27" s="965"/>
      <c r="W27" s="965"/>
      <c r="X27" s="965"/>
      <c r="Y27" s="965"/>
      <c r="Z27" s="965"/>
      <c r="AA27" s="965"/>
      <c r="AB27" s="965"/>
      <c r="AC27" s="965"/>
    </row>
    <row r="28" spans="1:29">
      <c r="A28" s="965"/>
      <c r="B28" s="965"/>
      <c r="C28" s="965"/>
      <c r="D28" s="965"/>
      <c r="E28" s="965"/>
      <c r="F28" s="965"/>
      <c r="G28" s="965"/>
      <c r="H28" s="965"/>
      <c r="I28" s="965"/>
      <c r="J28" s="965"/>
      <c r="K28" s="965"/>
      <c r="L28" s="965"/>
      <c r="M28" s="965"/>
      <c r="N28" s="965"/>
      <c r="O28" s="965"/>
      <c r="P28" s="965"/>
      <c r="Q28" s="965"/>
      <c r="R28" s="965"/>
      <c r="S28" s="965"/>
      <c r="T28" s="965"/>
      <c r="U28" s="965"/>
      <c r="V28" s="965"/>
      <c r="W28" s="965"/>
      <c r="X28" s="965"/>
      <c r="Y28" s="965"/>
      <c r="Z28" s="965"/>
      <c r="AA28" s="965"/>
      <c r="AB28" s="965"/>
      <c r="AC28" s="965"/>
    </row>
    <row r="29" spans="1:29">
      <c r="A29" s="1927" t="str">
        <f>COMPANY</f>
        <v>DUKE ENERGY KENTUCKY, INC.</v>
      </c>
      <c r="B29" s="968"/>
      <c r="C29" s="968"/>
      <c r="D29" s="968"/>
      <c r="E29" s="968"/>
      <c r="F29" s="1018"/>
      <c r="G29" s="968"/>
      <c r="H29" s="968"/>
      <c r="I29" s="968"/>
      <c r="J29" s="968"/>
      <c r="K29" s="968"/>
      <c r="L29" s="967"/>
      <c r="M29" s="967"/>
      <c r="N29" s="965"/>
      <c r="O29" s="965"/>
      <c r="P29" s="965"/>
      <c r="Q29" s="965"/>
      <c r="R29" s="965"/>
      <c r="S29" s="965"/>
      <c r="T29" s="965"/>
      <c r="U29" s="965"/>
      <c r="V29" s="965"/>
      <c r="W29" s="965"/>
      <c r="X29" s="965"/>
      <c r="Y29" s="965"/>
      <c r="Z29" s="965"/>
      <c r="AA29" s="965"/>
      <c r="AB29" s="965"/>
      <c r="AC29" s="965"/>
    </row>
    <row r="30" spans="1:29">
      <c r="A30" s="1927" t="str">
        <f>CASE</f>
        <v>CASE NO. 2017-00321</v>
      </c>
      <c r="B30" s="968"/>
      <c r="C30" s="968"/>
      <c r="D30" s="968"/>
      <c r="E30" s="968"/>
      <c r="F30" s="1018"/>
      <c r="G30" s="968"/>
      <c r="H30" s="968"/>
      <c r="I30" s="968"/>
      <c r="J30" s="968"/>
      <c r="K30" s="968"/>
      <c r="L30" s="967"/>
      <c r="M30" s="967"/>
      <c r="N30" s="965"/>
      <c r="O30" s="965"/>
      <c r="P30" s="965"/>
      <c r="Q30" s="965"/>
      <c r="R30" s="965"/>
      <c r="S30" s="965"/>
      <c r="T30" s="965"/>
      <c r="U30" s="965"/>
      <c r="V30" s="965"/>
      <c r="W30" s="965"/>
      <c r="X30" s="965"/>
      <c r="Y30" s="965"/>
      <c r="Z30" s="965"/>
      <c r="AA30" s="965"/>
      <c r="AB30" s="965"/>
      <c r="AC30" s="965"/>
    </row>
    <row r="31" spans="1:29">
      <c r="A31" s="1927" t="s">
        <v>290</v>
      </c>
      <c r="B31" s="968"/>
      <c r="C31" s="968"/>
      <c r="D31" s="968"/>
      <c r="E31" s="968"/>
      <c r="F31" s="1018"/>
      <c r="G31" s="968"/>
      <c r="H31" s="968"/>
      <c r="I31" s="968"/>
      <c r="J31" s="968"/>
      <c r="K31" s="968"/>
      <c r="L31" s="967"/>
      <c r="M31" s="967"/>
      <c r="N31" s="965"/>
      <c r="O31" s="965"/>
      <c r="P31" s="965"/>
      <c r="Q31" s="965"/>
      <c r="R31" s="965"/>
      <c r="S31" s="965"/>
      <c r="T31" s="965"/>
      <c r="U31" s="965"/>
      <c r="V31" s="965"/>
      <c r="W31" s="965"/>
      <c r="X31" s="965"/>
      <c r="Y31" s="965"/>
      <c r="Z31" s="965"/>
      <c r="AA31" s="965"/>
      <c r="AB31" s="965"/>
      <c r="AC31" s="965"/>
    </row>
    <row r="32" spans="1:29">
      <c r="A32" s="1927" t="str">
        <f>PeriodF</f>
        <v>FOR THE TWELVE MONTHS ENDED MARCH 31, 2019</v>
      </c>
      <c r="B32" s="968"/>
      <c r="C32" s="968"/>
      <c r="D32" s="968"/>
      <c r="E32" s="968"/>
      <c r="F32" s="1018"/>
      <c r="G32" s="968"/>
      <c r="H32" s="968"/>
      <c r="I32" s="968"/>
      <c r="J32" s="968"/>
      <c r="K32" s="968"/>
      <c r="L32" s="967"/>
      <c r="M32" s="967"/>
      <c r="N32" s="965"/>
      <c r="O32" s="965"/>
      <c r="P32" s="965"/>
      <c r="Q32" s="965"/>
      <c r="R32" s="965"/>
      <c r="S32" s="965"/>
      <c r="T32" s="965"/>
      <c r="U32" s="965"/>
      <c r="V32" s="965"/>
      <c r="W32" s="965"/>
      <c r="X32" s="965"/>
      <c r="Y32" s="965"/>
      <c r="Z32" s="965"/>
      <c r="AA32" s="965"/>
      <c r="AB32" s="965"/>
      <c r="AC32" s="965"/>
    </row>
    <row r="33" spans="1:29">
      <c r="A33" s="968"/>
      <c r="B33" s="968"/>
      <c r="C33" s="968"/>
      <c r="D33" s="968"/>
      <c r="E33" s="968"/>
      <c r="F33" s="968"/>
      <c r="G33" s="968"/>
      <c r="H33" s="968"/>
      <c r="I33" s="968"/>
      <c r="J33" s="968"/>
      <c r="K33" s="968"/>
      <c r="L33" s="967"/>
      <c r="M33" s="967"/>
      <c r="N33" s="965"/>
      <c r="O33" s="965"/>
      <c r="P33" s="965"/>
      <c r="Q33" s="965"/>
      <c r="R33" s="965"/>
      <c r="S33" s="965"/>
      <c r="T33" s="965"/>
      <c r="U33" s="965"/>
      <c r="V33" s="965"/>
      <c r="W33" s="965"/>
      <c r="X33" s="965"/>
      <c r="Y33" s="965"/>
      <c r="Z33" s="965"/>
      <c r="AA33" s="965"/>
      <c r="AB33" s="965"/>
      <c r="AC33" s="965"/>
    </row>
    <row r="34" spans="1:29">
      <c r="A34" s="965"/>
      <c r="B34" s="965"/>
      <c r="C34" s="965"/>
      <c r="D34" s="965"/>
      <c r="E34" s="965"/>
      <c r="F34" s="965"/>
      <c r="G34" s="965"/>
      <c r="H34" s="965"/>
      <c r="I34" s="965"/>
      <c r="J34" s="965"/>
      <c r="K34" s="965"/>
      <c r="L34" s="967"/>
      <c r="M34" s="967"/>
      <c r="N34" s="965"/>
      <c r="O34" s="965"/>
      <c r="P34" s="965"/>
      <c r="Q34" s="965"/>
      <c r="R34" s="965"/>
      <c r="S34" s="965"/>
      <c r="T34" s="965"/>
      <c r="U34" s="965"/>
      <c r="V34" s="965"/>
      <c r="W34" s="965"/>
      <c r="X34" s="965"/>
      <c r="Y34" s="965"/>
      <c r="Z34" s="965"/>
      <c r="AA34" s="965"/>
      <c r="AB34" s="965"/>
      <c r="AC34" s="965"/>
    </row>
    <row r="35" spans="1:29">
      <c r="A35" s="1020" t="str">
        <f>DataF</f>
        <v>DATA:  BASE PERIOD  "X" FORECASTED PERIOD</v>
      </c>
      <c r="B35" s="965"/>
      <c r="C35" s="965"/>
      <c r="D35" s="965"/>
      <c r="E35" s="965"/>
      <c r="F35" s="965"/>
      <c r="G35" s="965"/>
      <c r="H35" s="965"/>
      <c r="I35" s="856"/>
      <c r="J35" s="856" t="s">
        <v>291</v>
      </c>
      <c r="K35" s="965"/>
      <c r="L35" s="967"/>
      <c r="M35" s="967"/>
      <c r="N35" s="965"/>
      <c r="O35" s="965"/>
      <c r="P35" s="965"/>
      <c r="Q35" s="965"/>
      <c r="R35" s="965"/>
      <c r="S35" s="965"/>
      <c r="T35" s="965"/>
      <c r="U35" s="965"/>
      <c r="V35" s="965"/>
      <c r="W35" s="965"/>
      <c r="X35" s="965"/>
      <c r="Y35" s="965"/>
      <c r="Z35" s="965"/>
      <c r="AA35" s="965"/>
      <c r="AB35" s="965"/>
      <c r="AC35" s="965"/>
    </row>
    <row r="36" spans="1:29">
      <c r="A36" s="1020" t="str">
        <f>LOGO!$B$15</f>
        <v xml:space="preserve">TYPE OF FILING:  "X" ORIGINAL   UPDATED    REVISED  </v>
      </c>
      <c r="B36" s="965"/>
      <c r="C36" s="965"/>
      <c r="D36" s="965"/>
      <c r="E36" s="965"/>
      <c r="F36" s="965"/>
      <c r="G36" s="965"/>
      <c r="H36" s="965"/>
      <c r="I36" s="856"/>
      <c r="J36" s="856" t="s">
        <v>86</v>
      </c>
      <c r="K36" s="965"/>
      <c r="L36" s="967"/>
      <c r="M36" s="967"/>
      <c r="N36" s="965"/>
      <c r="O36" s="965"/>
      <c r="P36" s="965"/>
      <c r="Q36" s="965"/>
      <c r="R36" s="965"/>
      <c r="S36" s="965"/>
      <c r="T36" s="965"/>
      <c r="U36" s="965"/>
      <c r="V36" s="965"/>
      <c r="W36" s="965"/>
      <c r="X36" s="965"/>
      <c r="Y36" s="965"/>
      <c r="Z36" s="965"/>
      <c r="AA36" s="965"/>
      <c r="AB36" s="965"/>
      <c r="AC36" s="965"/>
    </row>
    <row r="37" spans="1:29">
      <c r="A37" s="856" t="str">
        <f>A9</f>
        <v>WORK PAPER REFERENCE NO(S).: WPF-5a, WPF-5b</v>
      </c>
      <c r="B37" s="965"/>
      <c r="C37" s="965"/>
      <c r="D37" s="965"/>
      <c r="E37" s="965"/>
      <c r="F37" s="965"/>
      <c r="G37" s="965"/>
      <c r="H37" s="965"/>
      <c r="I37" s="856"/>
      <c r="J37" s="856" t="s">
        <v>622</v>
      </c>
      <c r="K37" s="965"/>
      <c r="L37" s="967"/>
      <c r="M37" s="967"/>
      <c r="N37" s="965"/>
      <c r="O37" s="965"/>
      <c r="P37" s="965"/>
      <c r="Q37" s="965"/>
      <c r="R37" s="965"/>
      <c r="S37" s="965"/>
      <c r="T37" s="965"/>
      <c r="U37" s="965"/>
      <c r="V37" s="965"/>
      <c r="W37" s="965"/>
      <c r="X37" s="965"/>
      <c r="Y37" s="965"/>
      <c r="Z37" s="965"/>
      <c r="AA37" s="965"/>
      <c r="AB37" s="965"/>
      <c r="AC37" s="965"/>
    </row>
    <row r="38" spans="1:29">
      <c r="A38" s="965"/>
      <c r="B38" s="965"/>
      <c r="C38" s="965"/>
      <c r="D38" s="965"/>
      <c r="E38" s="965"/>
      <c r="F38" s="965"/>
      <c r="G38" s="965"/>
      <c r="H38" s="965"/>
      <c r="I38" s="856"/>
      <c r="J38" s="856" t="str">
        <f>_WIT1</f>
        <v>S. E. LAWLER</v>
      </c>
      <c r="K38" s="965"/>
      <c r="L38" s="967"/>
      <c r="M38" s="967"/>
      <c r="N38" s="965"/>
      <c r="O38" s="965"/>
      <c r="P38" s="965"/>
      <c r="Q38" s="965"/>
      <c r="R38" s="965"/>
      <c r="S38" s="965"/>
      <c r="T38" s="965"/>
      <c r="U38" s="965"/>
      <c r="V38" s="965"/>
      <c r="W38" s="965"/>
      <c r="X38" s="965"/>
      <c r="Y38" s="965"/>
      <c r="Z38" s="965"/>
      <c r="AA38" s="965"/>
      <c r="AB38" s="965"/>
      <c r="AC38" s="965"/>
    </row>
    <row r="39" spans="1:29">
      <c r="A39" s="969"/>
      <c r="B39" s="969"/>
      <c r="C39" s="969"/>
      <c r="D39" s="969"/>
      <c r="E39" s="969"/>
      <c r="F39" s="969"/>
      <c r="G39" s="969"/>
      <c r="H39" s="969"/>
      <c r="I39" s="969"/>
      <c r="J39" s="969"/>
      <c r="K39" s="969"/>
      <c r="L39" s="967"/>
      <c r="M39" s="967"/>
      <c r="N39" s="965"/>
      <c r="O39" s="965"/>
      <c r="P39" s="965"/>
      <c r="Q39" s="965"/>
      <c r="R39" s="965"/>
      <c r="S39" s="965"/>
      <c r="T39" s="965"/>
      <c r="U39" s="965"/>
      <c r="V39" s="965"/>
      <c r="W39" s="965"/>
      <c r="X39" s="965"/>
      <c r="Y39" s="965"/>
      <c r="Z39" s="965"/>
      <c r="AA39" s="965"/>
      <c r="AB39" s="965"/>
      <c r="AC39" s="965"/>
    </row>
    <row r="40" spans="1:29">
      <c r="A40" s="965"/>
      <c r="B40" s="971"/>
      <c r="C40" s="1928" t="s">
        <v>1310</v>
      </c>
      <c r="D40" s="1928"/>
      <c r="E40" s="1928"/>
      <c r="F40" s="971" t="s">
        <v>1929</v>
      </c>
      <c r="G40" s="971" t="s">
        <v>1311</v>
      </c>
      <c r="H40" s="965"/>
      <c r="I40" s="965"/>
      <c r="J40" s="965"/>
      <c r="K40" s="965"/>
      <c r="L40" s="967"/>
      <c r="M40" s="967"/>
      <c r="N40" s="965"/>
      <c r="O40" s="965"/>
      <c r="P40" s="965"/>
      <c r="Q40" s="965"/>
      <c r="R40" s="965"/>
      <c r="S40" s="965"/>
      <c r="T40" s="965"/>
      <c r="U40" s="965"/>
      <c r="V40" s="965"/>
      <c r="W40" s="965"/>
      <c r="X40" s="965"/>
      <c r="Y40" s="965"/>
      <c r="Z40" s="965"/>
      <c r="AA40" s="965"/>
      <c r="AB40" s="965"/>
      <c r="AC40" s="965"/>
    </row>
    <row r="41" spans="1:29">
      <c r="A41" s="971" t="s">
        <v>1240</v>
      </c>
      <c r="B41" s="971"/>
      <c r="C41" s="971" t="s">
        <v>1312</v>
      </c>
      <c r="D41" s="971" t="s">
        <v>801</v>
      </c>
      <c r="E41" s="971"/>
      <c r="F41" s="971" t="s">
        <v>1748</v>
      </c>
      <c r="G41" s="971" t="s">
        <v>450</v>
      </c>
      <c r="H41" s="971" t="s">
        <v>802</v>
      </c>
      <c r="I41" s="971"/>
      <c r="J41" s="971" t="s">
        <v>802</v>
      </c>
      <c r="K41" s="971" t="s">
        <v>450</v>
      </c>
      <c r="L41" s="967"/>
      <c r="M41" s="967"/>
      <c r="N41" s="965"/>
      <c r="O41" s="965"/>
      <c r="P41" s="965"/>
      <c r="Q41" s="965"/>
      <c r="R41" s="965"/>
      <c r="S41" s="965"/>
      <c r="T41" s="965"/>
      <c r="U41" s="965"/>
      <c r="V41" s="965"/>
      <c r="W41" s="965"/>
      <c r="X41" s="965"/>
      <c r="Y41" s="965"/>
      <c r="Z41" s="965"/>
      <c r="AA41" s="965"/>
      <c r="AB41" s="965"/>
      <c r="AC41" s="965"/>
    </row>
    <row r="42" spans="1:29">
      <c r="A42" s="971" t="s">
        <v>1241</v>
      </c>
      <c r="B42" s="971" t="s">
        <v>1119</v>
      </c>
      <c r="C42" s="971" t="s">
        <v>803</v>
      </c>
      <c r="D42" s="971" t="s">
        <v>804</v>
      </c>
      <c r="E42" s="971" t="s">
        <v>1028</v>
      </c>
      <c r="F42" s="971" t="s">
        <v>1963</v>
      </c>
      <c r="G42" s="971" t="s">
        <v>572</v>
      </c>
      <c r="H42" s="971" t="s">
        <v>1963</v>
      </c>
      <c r="I42" s="971" t="s">
        <v>573</v>
      </c>
      <c r="J42" s="971" t="s">
        <v>574</v>
      </c>
      <c r="K42" s="971" t="s">
        <v>575</v>
      </c>
      <c r="L42" s="967"/>
      <c r="M42" s="967"/>
      <c r="N42" s="965"/>
      <c r="O42" s="965"/>
      <c r="P42" s="965"/>
      <c r="Q42" s="965"/>
      <c r="R42" s="965"/>
      <c r="S42" s="965"/>
      <c r="T42" s="965"/>
      <c r="U42" s="965"/>
      <c r="V42" s="965"/>
      <c r="W42" s="965"/>
      <c r="X42" s="965"/>
      <c r="Y42" s="965"/>
      <c r="Z42" s="965"/>
      <c r="AA42" s="965"/>
      <c r="AB42" s="965"/>
      <c r="AC42" s="965"/>
    </row>
    <row r="43" spans="1:29">
      <c r="A43" s="969"/>
      <c r="B43" s="969"/>
      <c r="C43" s="969"/>
      <c r="D43" s="969"/>
      <c r="E43" s="969"/>
      <c r="F43" s="969"/>
      <c r="G43" s="969"/>
      <c r="H43" s="969"/>
      <c r="I43" s="969"/>
      <c r="J43" s="969"/>
      <c r="K43" s="969"/>
      <c r="L43" s="967"/>
      <c r="M43" s="967"/>
      <c r="N43" s="965"/>
      <c r="O43" s="965"/>
      <c r="P43" s="965"/>
      <c r="Q43" s="965"/>
      <c r="R43" s="965"/>
      <c r="S43" s="965"/>
      <c r="T43" s="965"/>
      <c r="U43" s="965"/>
      <c r="V43" s="965"/>
      <c r="W43" s="965"/>
      <c r="X43" s="965"/>
      <c r="Y43" s="965"/>
      <c r="Z43" s="965"/>
      <c r="AA43" s="965"/>
      <c r="AB43" s="965"/>
      <c r="AC43" s="965"/>
    </row>
    <row r="44" spans="1:29">
      <c r="A44" s="965"/>
      <c r="B44" s="965"/>
      <c r="C44" s="971" t="s">
        <v>1150</v>
      </c>
      <c r="D44" s="971" t="s">
        <v>1150</v>
      </c>
      <c r="E44" s="971" t="s">
        <v>1150</v>
      </c>
      <c r="F44" s="971" t="s">
        <v>1150</v>
      </c>
      <c r="G44" s="971"/>
      <c r="H44" s="971" t="s">
        <v>1150</v>
      </c>
      <c r="I44" s="971" t="s">
        <v>1150</v>
      </c>
      <c r="J44" s="971" t="s">
        <v>1150</v>
      </c>
      <c r="K44" s="965"/>
      <c r="L44" s="967"/>
      <c r="M44" s="967"/>
      <c r="N44" s="965"/>
      <c r="O44" s="965"/>
      <c r="P44" s="965"/>
      <c r="Q44" s="965"/>
      <c r="R44" s="965"/>
      <c r="S44" s="965"/>
      <c r="T44" s="965"/>
      <c r="U44" s="965"/>
      <c r="V44" s="965"/>
      <c r="W44" s="965"/>
      <c r="X44" s="965"/>
      <c r="Y44" s="965"/>
      <c r="Z44" s="965"/>
      <c r="AA44" s="965"/>
      <c r="AB44" s="965"/>
      <c r="AC44" s="965"/>
    </row>
    <row r="45" spans="1:29">
      <c r="A45" s="1022">
        <v>1</v>
      </c>
      <c r="B45" s="1023"/>
      <c r="C45" s="965"/>
      <c r="D45" s="965"/>
      <c r="E45" s="965"/>
      <c r="F45" s="967"/>
      <c r="G45" s="967"/>
      <c r="H45" s="967"/>
      <c r="I45" s="967"/>
      <c r="J45" s="965"/>
      <c r="K45" s="965"/>
      <c r="L45" s="967"/>
      <c r="M45" s="967"/>
      <c r="N45" s="965"/>
      <c r="O45" s="965"/>
      <c r="P45" s="965"/>
      <c r="Q45" s="965"/>
      <c r="R45" s="965"/>
      <c r="S45" s="965"/>
      <c r="T45" s="965"/>
      <c r="U45" s="965"/>
      <c r="V45" s="965"/>
      <c r="W45" s="965"/>
      <c r="X45" s="965"/>
      <c r="Y45" s="965"/>
      <c r="Z45" s="965"/>
      <c r="AA45" s="965"/>
      <c r="AB45" s="965"/>
      <c r="AC45" s="965"/>
    </row>
    <row r="46" spans="1:29">
      <c r="A46" s="1022">
        <v>2</v>
      </c>
      <c r="B46" s="1457" t="s">
        <v>576</v>
      </c>
      <c r="C46" s="973">
        <v>0</v>
      </c>
      <c r="D46" s="973">
        <v>0</v>
      </c>
      <c r="E46" s="966">
        <f>O141</f>
        <v>202323</v>
      </c>
      <c r="F46" s="966">
        <f>SUM(C46:E46)</f>
        <v>202323</v>
      </c>
      <c r="G46" s="1942">
        <f>VLOOKUP(K46,ALLOCTABLE,2)</f>
        <v>100</v>
      </c>
      <c r="H46" s="983">
        <f>ROUND(F46*(G46/100),0)</f>
        <v>202323</v>
      </c>
      <c r="I46" s="973">
        <v>0</v>
      </c>
      <c r="J46" s="981">
        <f>H46+I46</f>
        <v>202323</v>
      </c>
      <c r="K46" s="975" t="s">
        <v>593</v>
      </c>
      <c r="L46" s="967"/>
      <c r="M46" s="967"/>
      <c r="N46" s="965"/>
      <c r="O46" s="965"/>
      <c r="P46" s="965"/>
      <c r="Q46" s="965"/>
      <c r="R46" s="965"/>
      <c r="S46" s="965"/>
      <c r="T46" s="965"/>
      <c r="U46" s="965"/>
      <c r="V46" s="965"/>
      <c r="W46" s="965"/>
      <c r="X46" s="965"/>
      <c r="Y46" s="965"/>
      <c r="Z46" s="965"/>
      <c r="AA46" s="965"/>
      <c r="AB46" s="965"/>
      <c r="AC46" s="965"/>
    </row>
    <row r="47" spans="1:29">
      <c r="A47" s="1022">
        <v>3</v>
      </c>
      <c r="B47" s="1457"/>
      <c r="C47" s="973"/>
      <c r="D47" s="973"/>
      <c r="E47" s="966"/>
      <c r="F47" s="978"/>
      <c r="G47" s="1942"/>
      <c r="H47" s="983"/>
      <c r="I47" s="973"/>
      <c r="J47" s="981"/>
      <c r="K47" s="975"/>
      <c r="L47" s="967"/>
      <c r="M47" s="967"/>
      <c r="N47" s="965"/>
      <c r="O47" s="965"/>
      <c r="P47" s="965"/>
      <c r="Q47" s="965"/>
      <c r="R47" s="965"/>
      <c r="S47" s="965"/>
      <c r="T47" s="965"/>
      <c r="U47" s="965"/>
      <c r="V47" s="965"/>
      <c r="W47" s="965"/>
      <c r="X47" s="965"/>
      <c r="Y47" s="965"/>
      <c r="Z47" s="965"/>
      <c r="AA47" s="965"/>
      <c r="AB47" s="965"/>
      <c r="AC47" s="965"/>
    </row>
    <row r="48" spans="1:29">
      <c r="A48" s="971">
        <v>4</v>
      </c>
      <c r="B48" s="987" t="s">
        <v>578</v>
      </c>
      <c r="C48" s="973">
        <v>0</v>
      </c>
      <c r="D48" s="973">
        <v>0</v>
      </c>
      <c r="E48" s="966">
        <f>O145</f>
        <v>0</v>
      </c>
      <c r="F48" s="966">
        <f>SUM(C48:E48)</f>
        <v>0</v>
      </c>
      <c r="G48" s="1942">
        <f>VLOOKUP(K48,ALLOCTABLE,2)</f>
        <v>100</v>
      </c>
      <c r="H48" s="983">
        <f>ROUND(F48*(G48/100),0)</f>
        <v>0</v>
      </c>
      <c r="I48" s="973">
        <v>0</v>
      </c>
      <c r="J48" s="981">
        <f>H48+I48</f>
        <v>0</v>
      </c>
      <c r="K48" s="975" t="s">
        <v>593</v>
      </c>
      <c r="L48" s="967"/>
      <c r="M48" s="967"/>
      <c r="N48" s="965"/>
      <c r="O48" s="965"/>
      <c r="P48" s="965"/>
      <c r="Q48" s="965"/>
      <c r="R48" s="965"/>
      <c r="S48" s="965"/>
      <c r="T48" s="965"/>
      <c r="U48" s="965"/>
      <c r="V48" s="965"/>
      <c r="W48" s="965"/>
      <c r="X48" s="965"/>
      <c r="Y48" s="965"/>
      <c r="Z48" s="965"/>
      <c r="AA48" s="965"/>
      <c r="AB48" s="965"/>
      <c r="AC48" s="965"/>
    </row>
    <row r="49" spans="1:29">
      <c r="A49" s="971">
        <v>5</v>
      </c>
      <c r="B49" s="1930"/>
      <c r="C49" s="1025"/>
      <c r="D49" s="1025"/>
      <c r="E49" s="966"/>
      <c r="F49" s="978"/>
      <c r="G49" s="1942"/>
      <c r="H49" s="983"/>
      <c r="I49" s="1025"/>
      <c r="J49" s="981"/>
      <c r="K49" s="975"/>
      <c r="L49" s="967"/>
      <c r="M49" s="967"/>
      <c r="N49" s="965"/>
      <c r="O49" s="965"/>
      <c r="P49" s="965"/>
      <c r="Q49" s="965"/>
      <c r="R49" s="965"/>
      <c r="S49" s="965"/>
      <c r="T49" s="965"/>
      <c r="U49" s="965"/>
      <c r="V49" s="965"/>
      <c r="W49" s="965"/>
      <c r="X49" s="965"/>
      <c r="Y49" s="965"/>
      <c r="Z49" s="965"/>
      <c r="AA49" s="965"/>
      <c r="AB49" s="965"/>
      <c r="AC49" s="965"/>
    </row>
    <row r="50" spans="1:29">
      <c r="A50" s="1022">
        <v>6</v>
      </c>
      <c r="B50" s="987" t="s">
        <v>580</v>
      </c>
      <c r="C50" s="973">
        <v>0</v>
      </c>
      <c r="D50" s="973">
        <v>0</v>
      </c>
      <c r="E50" s="966">
        <f>O148</f>
        <v>0</v>
      </c>
      <c r="F50" s="966">
        <f>SUM(C50:E50)</f>
        <v>0</v>
      </c>
      <c r="G50" s="1942">
        <f>VLOOKUP(K50,ALLOCTABLE,2)</f>
        <v>100</v>
      </c>
      <c r="H50" s="983">
        <f>ROUND(F50*(G50/100),0)</f>
        <v>0</v>
      </c>
      <c r="I50" s="973">
        <v>0</v>
      </c>
      <c r="J50" s="981">
        <f>H50+I50</f>
        <v>0</v>
      </c>
      <c r="K50" s="975" t="s">
        <v>593</v>
      </c>
      <c r="L50" s="965"/>
      <c r="M50" s="965"/>
      <c r="N50" s="965"/>
      <c r="O50" s="965"/>
      <c r="P50" s="965"/>
      <c r="Q50" s="965"/>
      <c r="R50" s="965"/>
      <c r="S50" s="965"/>
      <c r="T50" s="965"/>
      <c r="U50" s="965"/>
      <c r="V50" s="965"/>
      <c r="W50" s="965"/>
      <c r="X50" s="965"/>
      <c r="Y50" s="965"/>
      <c r="Z50" s="965"/>
      <c r="AA50" s="965"/>
      <c r="AB50" s="965"/>
      <c r="AC50" s="965"/>
    </row>
    <row r="51" spans="1:29">
      <c r="A51" s="1022">
        <v>7</v>
      </c>
      <c r="B51" s="987"/>
      <c r="C51" s="1025"/>
      <c r="D51" s="1025"/>
      <c r="E51" s="977"/>
      <c r="F51" s="1739"/>
      <c r="G51" s="1943"/>
      <c r="H51" s="967"/>
      <c r="I51" s="1025"/>
      <c r="J51" s="965"/>
      <c r="K51" s="965"/>
      <c r="L51" s="967"/>
      <c r="M51" s="967"/>
      <c r="N51" s="965"/>
      <c r="O51" s="965"/>
      <c r="P51" s="965"/>
      <c r="Q51" s="965"/>
      <c r="R51" s="965"/>
      <c r="S51" s="965"/>
      <c r="T51" s="965"/>
      <c r="U51" s="965"/>
      <c r="V51" s="965"/>
      <c r="W51" s="965"/>
      <c r="X51" s="965"/>
      <c r="Y51" s="965"/>
      <c r="Z51" s="965"/>
      <c r="AA51" s="965"/>
      <c r="AB51" s="965"/>
      <c r="AC51" s="965"/>
    </row>
    <row r="52" spans="1:29">
      <c r="A52" s="1022">
        <v>8</v>
      </c>
      <c r="B52" s="1457" t="s">
        <v>1028</v>
      </c>
      <c r="C52" s="1932">
        <v>0</v>
      </c>
      <c r="D52" s="1932">
        <v>0</v>
      </c>
      <c r="E52" s="1933">
        <f>O172</f>
        <v>1898019</v>
      </c>
      <c r="F52" s="1933">
        <f>SUM(C52:E52)</f>
        <v>1898019</v>
      </c>
      <c r="G52" s="1942">
        <f>VLOOKUP(K52,ALLOCTABLE,2)</f>
        <v>100</v>
      </c>
      <c r="H52" s="1934">
        <f>ROUND(F52*(G52/100),0)</f>
        <v>1898019</v>
      </c>
      <c r="I52" s="1932">
        <v>0</v>
      </c>
      <c r="J52" s="1935">
        <f>H52+I52</f>
        <v>1898019</v>
      </c>
      <c r="K52" s="975" t="s">
        <v>593</v>
      </c>
      <c r="L52" s="965"/>
      <c r="M52" s="965"/>
      <c r="N52" s="965"/>
      <c r="O52" s="965"/>
      <c r="P52" s="965"/>
      <c r="Q52" s="967"/>
      <c r="R52" s="967"/>
      <c r="S52" s="967"/>
      <c r="T52" s="967"/>
      <c r="U52" s="967"/>
      <c r="V52" s="967"/>
      <c r="W52" s="967"/>
      <c r="X52" s="967"/>
      <c r="Y52" s="967"/>
      <c r="Z52" s="967"/>
      <c r="AA52" s="967"/>
      <c r="AB52" s="967"/>
      <c r="AC52" s="967"/>
    </row>
    <row r="53" spans="1:29">
      <c r="A53" s="1022">
        <v>9</v>
      </c>
      <c r="B53" s="1936"/>
      <c r="C53" s="973"/>
      <c r="D53" s="973"/>
      <c r="E53" s="973"/>
      <c r="F53" s="978"/>
      <c r="G53" s="1937"/>
      <c r="H53" s="983"/>
      <c r="I53" s="983"/>
      <c r="J53" s="981"/>
      <c r="K53" s="975"/>
      <c r="L53" s="967"/>
      <c r="M53" s="967"/>
      <c r="N53" s="965"/>
      <c r="O53" s="965"/>
      <c r="P53" s="965"/>
      <c r="Q53" s="965"/>
      <c r="R53" s="965"/>
      <c r="S53" s="965"/>
      <c r="T53" s="965"/>
      <c r="U53" s="965"/>
      <c r="V53" s="965"/>
      <c r="W53" s="965"/>
      <c r="X53" s="965"/>
      <c r="Y53" s="965"/>
      <c r="Z53" s="965"/>
      <c r="AA53" s="965"/>
      <c r="AB53" s="965"/>
      <c r="AC53" s="965"/>
    </row>
    <row r="54" spans="1:29">
      <c r="A54" s="1022">
        <v>10</v>
      </c>
      <c r="B54" s="1938" t="s">
        <v>1929</v>
      </c>
      <c r="C54" s="1939">
        <f>C46+C48+C50+C52</f>
        <v>0</v>
      </c>
      <c r="D54" s="1939">
        <f>D46+D48+D50+D52</f>
        <v>0</v>
      </c>
      <c r="E54" s="1939">
        <f>E46+E48+E50+E52</f>
        <v>2100342</v>
      </c>
      <c r="F54" s="1939">
        <f>F46+F48+F50+F52</f>
        <v>2100342</v>
      </c>
      <c r="G54" s="1940"/>
      <c r="H54" s="1939">
        <f>H46+H48+H50+H52</f>
        <v>2100342</v>
      </c>
      <c r="I54" s="1939">
        <f>I46+I48+I50+I52</f>
        <v>0</v>
      </c>
      <c r="J54" s="1939">
        <f>J46+J48+J50+J52</f>
        <v>2100342</v>
      </c>
      <c r="K54" s="1941"/>
      <c r="L54" s="967"/>
      <c r="M54" s="967"/>
      <c r="N54" s="965"/>
      <c r="O54" s="965"/>
      <c r="P54" s="965"/>
      <c r="Q54" s="965"/>
      <c r="R54" s="965"/>
      <c r="S54" s="965"/>
      <c r="T54" s="965"/>
      <c r="U54" s="965"/>
      <c r="V54" s="965"/>
      <c r="W54" s="965"/>
      <c r="X54" s="965"/>
      <c r="Y54" s="965"/>
      <c r="Z54" s="965"/>
      <c r="AA54" s="965"/>
      <c r="AB54" s="965"/>
      <c r="AC54" s="965"/>
    </row>
    <row r="55" spans="1:29">
      <c r="A55" s="965"/>
      <c r="B55" s="987"/>
      <c r="C55" s="965"/>
      <c r="D55" s="965"/>
      <c r="E55" s="965"/>
      <c r="F55" s="965"/>
      <c r="G55" s="1022"/>
      <c r="H55" s="965"/>
      <c r="I55" s="965"/>
      <c r="J55" s="965"/>
      <c r="K55" s="965"/>
      <c r="L55" s="967"/>
      <c r="M55" s="967"/>
      <c r="N55" s="965"/>
      <c r="O55" s="965"/>
      <c r="P55" s="965"/>
      <c r="Q55" s="965"/>
      <c r="R55" s="965"/>
      <c r="S55" s="965"/>
      <c r="T55" s="965"/>
      <c r="U55" s="965"/>
      <c r="V55" s="965"/>
      <c r="W55" s="965"/>
      <c r="X55" s="965"/>
      <c r="Y55" s="965"/>
      <c r="Z55" s="965"/>
      <c r="AA55" s="965"/>
      <c r="AB55" s="965"/>
      <c r="AC55" s="965"/>
    </row>
    <row r="56" spans="1:29">
      <c r="A56" s="965"/>
      <c r="B56" s="965"/>
      <c r="C56" s="965"/>
      <c r="D56" s="965"/>
      <c r="E56" s="965"/>
      <c r="F56" s="965"/>
      <c r="G56" s="965"/>
      <c r="H56" s="965"/>
      <c r="I56" s="965"/>
      <c r="J56" s="965"/>
      <c r="K56" s="965"/>
      <c r="L56" s="965"/>
      <c r="M56" s="856" t="str">
        <f>COMPANY</f>
        <v>DUKE ENERGY KENTUCKY, INC.</v>
      </c>
      <c r="N56" s="968"/>
      <c r="O56" s="968"/>
      <c r="P56" s="968"/>
      <c r="Q56" s="968"/>
      <c r="R56" s="1018"/>
      <c r="S56" s="968"/>
      <c r="T56" s="968"/>
      <c r="U56" s="965"/>
      <c r="V56" s="968"/>
      <c r="W56" s="968"/>
      <c r="X56" s="965"/>
      <c r="Y56" s="856" t="s">
        <v>828</v>
      </c>
      <c r="Z56" s="965"/>
      <c r="AA56" s="965"/>
      <c r="AB56" s="965"/>
      <c r="AC56" s="965"/>
    </row>
    <row r="57" spans="1:29">
      <c r="A57" s="965"/>
      <c r="B57" s="965"/>
      <c r="C57" s="965"/>
      <c r="D57" s="965"/>
      <c r="E57" s="965"/>
      <c r="F57" s="965"/>
      <c r="G57" s="965"/>
      <c r="H57" s="965"/>
      <c r="I57" s="965"/>
      <c r="J57" s="965"/>
      <c r="K57" s="965"/>
      <c r="L57" s="965"/>
      <c r="M57" s="856" t="str">
        <f>CASE</f>
        <v>CASE NO. 2017-00321</v>
      </c>
      <c r="N57" s="968"/>
      <c r="O57" s="968"/>
      <c r="P57" s="968"/>
      <c r="Q57" s="968"/>
      <c r="R57" s="1018"/>
      <c r="S57" s="968"/>
      <c r="T57" s="968"/>
      <c r="U57" s="965"/>
      <c r="V57" s="968"/>
      <c r="W57" s="968"/>
      <c r="X57" s="965"/>
      <c r="Y57" s="856" t="s">
        <v>622</v>
      </c>
      <c r="Z57" s="965"/>
      <c r="AA57" s="965"/>
      <c r="AB57" s="965"/>
      <c r="AC57" s="965"/>
    </row>
    <row r="58" spans="1:29">
      <c r="A58" s="965"/>
      <c r="B58" s="965"/>
      <c r="C58" s="965"/>
      <c r="D58" s="965"/>
      <c r="E58" s="965"/>
      <c r="F58" s="965"/>
      <c r="G58" s="965"/>
      <c r="H58" s="965"/>
      <c r="I58" s="965"/>
      <c r="J58" s="965"/>
      <c r="K58" s="965"/>
      <c r="L58" s="965"/>
      <c r="M58" s="856" t="s">
        <v>290</v>
      </c>
      <c r="N58" s="968"/>
      <c r="O58" s="968"/>
      <c r="P58" s="968"/>
      <c r="Q58" s="968"/>
      <c r="R58" s="1018"/>
      <c r="S58" s="968"/>
      <c r="T58" s="968"/>
      <c r="U58" s="965"/>
      <c r="V58" s="968"/>
      <c r="W58" s="968"/>
      <c r="X58" s="965"/>
      <c r="Y58" s="856" t="str">
        <f>_WIT1</f>
        <v>S. E. LAWLER</v>
      </c>
      <c r="Z58" s="965"/>
      <c r="AA58" s="965"/>
      <c r="AB58" s="965"/>
      <c r="AC58" s="965"/>
    </row>
    <row r="59" spans="1:29">
      <c r="A59" s="965"/>
      <c r="B59" s="965"/>
      <c r="C59" s="965"/>
      <c r="D59" s="965"/>
      <c r="E59" s="965"/>
      <c r="F59" s="965"/>
      <c r="G59" s="965"/>
      <c r="H59" s="965"/>
      <c r="I59" s="965"/>
      <c r="J59" s="965"/>
      <c r="K59" s="965"/>
      <c r="L59" s="965"/>
      <c r="M59" s="1020" t="str">
        <f>Data</f>
        <v>DATA: "X" BASE PERIOD   FORECASTED PERIOD</v>
      </c>
      <c r="N59" s="968"/>
      <c r="O59" s="968"/>
      <c r="P59" s="968"/>
      <c r="Q59" s="968"/>
      <c r="R59" s="1018"/>
      <c r="S59" s="968"/>
      <c r="T59" s="968"/>
      <c r="U59" s="965"/>
      <c r="V59" s="968"/>
      <c r="W59" s="968"/>
      <c r="X59" s="965"/>
      <c r="Y59" s="965"/>
      <c r="Z59" s="965"/>
      <c r="AA59" s="965"/>
      <c r="AB59" s="965"/>
      <c r="AC59" s="965"/>
    </row>
    <row r="60" spans="1:29">
      <c r="A60" s="965"/>
      <c r="B60" s="965"/>
      <c r="C60" s="965"/>
      <c r="D60" s="965"/>
      <c r="E60" s="965"/>
      <c r="F60" s="965"/>
      <c r="G60" s="965"/>
      <c r="H60" s="965"/>
      <c r="I60" s="965"/>
      <c r="J60" s="965"/>
      <c r="K60" s="965"/>
      <c r="L60" s="965"/>
      <c r="M60" s="856" t="str">
        <f>PERIOD</f>
        <v>FOR THE TWELVE MONTHS ENDED NOVEMBER 30, 2017</v>
      </c>
      <c r="N60" s="968"/>
      <c r="O60" s="968"/>
      <c r="P60" s="968"/>
      <c r="Q60" s="968"/>
      <c r="R60" s="968"/>
      <c r="S60" s="968"/>
      <c r="T60" s="968"/>
      <c r="U60" s="968"/>
      <c r="V60" s="968"/>
      <c r="W60" s="968"/>
      <c r="X60" s="965"/>
      <c r="Y60" s="965"/>
      <c r="Z60" s="965"/>
      <c r="AA60" s="965"/>
      <c r="AB60" s="965"/>
      <c r="AC60" s="965"/>
    </row>
    <row r="61" spans="1:29">
      <c r="A61" s="965"/>
      <c r="B61" s="965"/>
      <c r="C61" s="965"/>
      <c r="D61" s="965"/>
      <c r="E61" s="965"/>
      <c r="F61" s="965"/>
      <c r="G61" s="965"/>
      <c r="H61" s="965"/>
      <c r="I61" s="965"/>
      <c r="J61" s="965"/>
      <c r="K61" s="965"/>
      <c r="L61" s="965"/>
      <c r="M61" s="969"/>
      <c r="N61" s="969"/>
      <c r="O61" s="969"/>
      <c r="P61" s="969"/>
      <c r="Q61" s="969"/>
      <c r="R61" s="969"/>
      <c r="S61" s="969"/>
      <c r="T61" s="969"/>
      <c r="U61" s="969"/>
      <c r="V61" s="969"/>
      <c r="W61" s="969"/>
      <c r="X61" s="969"/>
      <c r="Y61" s="969"/>
      <c r="Z61" s="969"/>
      <c r="AA61" s="969"/>
      <c r="AB61" s="965"/>
      <c r="AC61" s="965"/>
    </row>
    <row r="62" spans="1:29">
      <c r="A62" s="965"/>
      <c r="B62" s="965"/>
      <c r="C62" s="965"/>
      <c r="D62" s="965"/>
      <c r="E62" s="965"/>
      <c r="F62" s="965"/>
      <c r="G62" s="965"/>
      <c r="H62" s="965"/>
      <c r="I62" s="965"/>
      <c r="J62" s="965"/>
      <c r="K62" s="965"/>
      <c r="L62" s="965"/>
      <c r="M62" s="971" t="s">
        <v>1240</v>
      </c>
      <c r="N62" s="971"/>
      <c r="O62" s="970"/>
      <c r="P62" s="970"/>
      <c r="Q62" s="970"/>
      <c r="R62" s="971"/>
      <c r="S62" s="971"/>
      <c r="T62" s="971"/>
      <c r="U62" s="971"/>
      <c r="V62" s="971"/>
      <c r="W62" s="971"/>
      <c r="X62" s="971"/>
      <c r="Y62" s="971"/>
      <c r="Z62" s="971"/>
      <c r="AA62" s="971"/>
      <c r="AB62" s="965"/>
      <c r="AC62" s="965"/>
    </row>
    <row r="63" spans="1:29">
      <c r="A63" s="965"/>
      <c r="B63" s="965"/>
      <c r="C63" s="965"/>
      <c r="D63" s="965"/>
      <c r="E63" s="965"/>
      <c r="F63" s="965"/>
      <c r="G63" s="965"/>
      <c r="H63" s="965"/>
      <c r="I63" s="965"/>
      <c r="J63" s="965"/>
      <c r="K63" s="965"/>
      <c r="L63" s="965"/>
      <c r="M63" s="971" t="s">
        <v>1241</v>
      </c>
      <c r="N63" s="971" t="s">
        <v>830</v>
      </c>
      <c r="O63" s="971" t="s">
        <v>1929</v>
      </c>
      <c r="P63" s="857">
        <f>LOGO!$I$7</f>
        <v>42735</v>
      </c>
      <c r="Q63" s="857">
        <f>LOGO!$I$8</f>
        <v>42766</v>
      </c>
      <c r="R63" s="857">
        <f>LOGO!$I$9</f>
        <v>42794</v>
      </c>
      <c r="S63" s="857">
        <f>LOGO!$I$10</f>
        <v>42825</v>
      </c>
      <c r="T63" s="857">
        <f>LOGO!$I$11</f>
        <v>42855</v>
      </c>
      <c r="U63" s="857">
        <f>LOGO!$I$12</f>
        <v>42886</v>
      </c>
      <c r="V63" s="857">
        <f>LOGO!$I$13</f>
        <v>42916</v>
      </c>
      <c r="W63" s="857">
        <f>LOGO!$I$14</f>
        <v>42947</v>
      </c>
      <c r="X63" s="857">
        <f>LOGO!$I$15</f>
        <v>42978</v>
      </c>
      <c r="Y63" s="857">
        <f>LOGO!$I$16</f>
        <v>43008</v>
      </c>
      <c r="Z63" s="857">
        <f>LOGO!$I$17</f>
        <v>43039</v>
      </c>
      <c r="AA63" s="857">
        <f>LOGO!$I$18</f>
        <v>43069</v>
      </c>
      <c r="AB63" s="965"/>
      <c r="AC63" s="965"/>
    </row>
    <row r="64" spans="1:29">
      <c r="A64" s="965"/>
      <c r="B64" s="965"/>
      <c r="C64" s="965"/>
      <c r="D64" s="965"/>
      <c r="E64" s="965"/>
      <c r="F64" s="965"/>
      <c r="G64" s="965"/>
      <c r="H64" s="965"/>
      <c r="I64" s="965"/>
      <c r="J64" s="965"/>
      <c r="K64" s="965"/>
      <c r="L64" s="965"/>
      <c r="M64" s="1944"/>
      <c r="N64" s="1944"/>
      <c r="O64" s="972" t="s">
        <v>1150</v>
      </c>
      <c r="P64" s="972" t="s">
        <v>1150</v>
      </c>
      <c r="Q64" s="972" t="s">
        <v>1150</v>
      </c>
      <c r="R64" s="972" t="s">
        <v>1150</v>
      </c>
      <c r="S64" s="972" t="s">
        <v>1150</v>
      </c>
      <c r="T64" s="972" t="s">
        <v>1150</v>
      </c>
      <c r="U64" s="972" t="s">
        <v>1150</v>
      </c>
      <c r="V64" s="972" t="s">
        <v>1150</v>
      </c>
      <c r="W64" s="972" t="s">
        <v>1150</v>
      </c>
      <c r="X64" s="972" t="s">
        <v>1150</v>
      </c>
      <c r="Y64" s="972" t="s">
        <v>1150</v>
      </c>
      <c r="Z64" s="972" t="s">
        <v>1150</v>
      </c>
      <c r="AA64" s="972" t="s">
        <v>1150</v>
      </c>
      <c r="AB64" s="965"/>
      <c r="AC64" s="965"/>
    </row>
    <row r="65" spans="1:29">
      <c r="A65" s="965"/>
      <c r="B65" s="965"/>
      <c r="C65" s="965"/>
      <c r="D65" s="965"/>
      <c r="E65" s="965"/>
      <c r="F65" s="965"/>
      <c r="G65" s="965"/>
      <c r="H65" s="965"/>
      <c r="I65" s="965"/>
      <c r="J65" s="965"/>
      <c r="K65" s="965"/>
      <c r="L65" s="965"/>
      <c r="M65" s="1022">
        <v>1</v>
      </c>
      <c r="N65" s="1023" t="s">
        <v>576</v>
      </c>
      <c r="O65" s="965"/>
      <c r="P65" s="965"/>
      <c r="Q65" s="965"/>
      <c r="R65" s="967"/>
      <c r="S65" s="967"/>
      <c r="T65" s="967"/>
      <c r="U65" s="967"/>
      <c r="V65" s="965"/>
      <c r="W65" s="965"/>
      <c r="X65" s="965"/>
      <c r="Y65" s="965"/>
      <c r="Z65" s="965"/>
      <c r="AA65" s="965"/>
      <c r="AB65" s="965"/>
      <c r="AC65" s="965"/>
    </row>
    <row r="66" spans="1:29">
      <c r="A66" s="965"/>
      <c r="B66" s="965"/>
      <c r="C66" s="965"/>
      <c r="D66" s="965"/>
      <c r="E66" s="965"/>
      <c r="F66" s="965"/>
      <c r="G66" s="965"/>
      <c r="H66" s="965"/>
      <c r="I66" s="965"/>
      <c r="J66" s="965"/>
      <c r="K66" s="965"/>
      <c r="L66" s="965"/>
      <c r="M66" s="971">
        <v>2</v>
      </c>
      <c r="N66" s="1456" t="s">
        <v>2459</v>
      </c>
      <c r="O66" s="966">
        <f>SUM(P66:AA66)</f>
        <v>4269</v>
      </c>
      <c r="P66" s="973">
        <v>1134</v>
      </c>
      <c r="Q66" s="973">
        <v>0</v>
      </c>
      <c r="R66" s="973">
        <v>2402</v>
      </c>
      <c r="S66" s="973">
        <v>0</v>
      </c>
      <c r="T66" s="973">
        <v>733</v>
      </c>
      <c r="U66" s="973">
        <v>0</v>
      </c>
      <c r="V66" s="973">
        <v>0</v>
      </c>
      <c r="W66" s="973">
        <v>0</v>
      </c>
      <c r="X66" s="973">
        <v>0</v>
      </c>
      <c r="Y66" s="973">
        <v>0</v>
      </c>
      <c r="Z66" s="973">
        <v>0</v>
      </c>
      <c r="AA66" s="973">
        <v>0</v>
      </c>
      <c r="AB66" s="965"/>
      <c r="AC66" s="965"/>
    </row>
    <row r="67" spans="1:29">
      <c r="A67" s="965"/>
      <c r="B67" s="965"/>
      <c r="C67" s="965"/>
      <c r="D67" s="965"/>
      <c r="E67" s="965"/>
      <c r="F67" s="965"/>
      <c r="G67" s="965"/>
      <c r="H67" s="965"/>
      <c r="I67" s="965"/>
      <c r="J67" s="965"/>
      <c r="K67" s="965"/>
      <c r="L67" s="965"/>
      <c r="M67" s="971">
        <v>3</v>
      </c>
      <c r="N67" s="1457" t="s">
        <v>1919</v>
      </c>
      <c r="O67" s="966">
        <f>SUM(P67:AA67)</f>
        <v>114821</v>
      </c>
      <c r="P67" s="973">
        <v>12969</v>
      </c>
      <c r="Q67" s="973">
        <v>2730</v>
      </c>
      <c r="R67" s="973">
        <v>3960</v>
      </c>
      <c r="S67" s="973">
        <v>680</v>
      </c>
      <c r="T67" s="973">
        <v>6398</v>
      </c>
      <c r="U67" s="973">
        <v>13084</v>
      </c>
      <c r="V67" s="973">
        <v>19500</v>
      </c>
      <c r="W67" s="973">
        <v>6000</v>
      </c>
      <c r="X67" s="973">
        <v>9000</v>
      </c>
      <c r="Y67" s="973">
        <v>22500</v>
      </c>
      <c r="Z67" s="973">
        <v>9000</v>
      </c>
      <c r="AA67" s="973">
        <v>9000</v>
      </c>
      <c r="AB67" s="965"/>
      <c r="AC67" s="965"/>
    </row>
    <row r="68" spans="1:29">
      <c r="A68" s="965"/>
      <c r="B68" s="965"/>
      <c r="C68" s="965"/>
      <c r="D68" s="965"/>
      <c r="E68" s="965"/>
      <c r="F68" s="965"/>
      <c r="G68" s="965"/>
      <c r="H68" s="965"/>
      <c r="I68" s="965"/>
      <c r="J68" s="965"/>
      <c r="K68" s="965"/>
      <c r="L68" s="965"/>
      <c r="M68" s="1022">
        <v>4</v>
      </c>
      <c r="N68" s="965" t="s">
        <v>987</v>
      </c>
      <c r="O68" s="966">
        <f>SUM(P68:AA68)</f>
        <v>46255</v>
      </c>
      <c r="P68" s="973">
        <v>5484</v>
      </c>
      <c r="Q68" s="973">
        <v>1521</v>
      </c>
      <c r="R68" s="973">
        <v>4260</v>
      </c>
      <c r="S68" s="973">
        <v>781</v>
      </c>
      <c r="T68" s="973">
        <v>1091</v>
      </c>
      <c r="U68" s="973">
        <v>7118</v>
      </c>
      <c r="V68" s="973">
        <v>6760</v>
      </c>
      <c r="W68" s="973">
        <v>2080</v>
      </c>
      <c r="X68" s="973">
        <v>3120</v>
      </c>
      <c r="Y68" s="973">
        <v>7800</v>
      </c>
      <c r="Z68" s="973">
        <v>3120</v>
      </c>
      <c r="AA68" s="973">
        <v>3120</v>
      </c>
      <c r="AB68" s="965"/>
      <c r="AC68" s="965"/>
    </row>
    <row r="69" spans="1:29">
      <c r="A69" s="965"/>
      <c r="B69" s="965"/>
      <c r="C69" s="965"/>
      <c r="D69" s="965"/>
      <c r="E69" s="965"/>
      <c r="F69" s="965"/>
      <c r="G69" s="965"/>
      <c r="H69" s="965"/>
      <c r="I69" s="965"/>
      <c r="J69" s="965"/>
      <c r="K69" s="965"/>
      <c r="L69" s="965"/>
      <c r="M69" s="971">
        <v>5</v>
      </c>
      <c r="N69" s="1930" t="s">
        <v>577</v>
      </c>
      <c r="O69" s="974">
        <f t="shared" ref="O69:AA69" si="0">SUM(O66:O68)</f>
        <v>165345</v>
      </c>
      <c r="P69" s="974">
        <f t="shared" si="0"/>
        <v>19587</v>
      </c>
      <c r="Q69" s="974">
        <f t="shared" si="0"/>
        <v>4251</v>
      </c>
      <c r="R69" s="974">
        <f t="shared" si="0"/>
        <v>10622</v>
      </c>
      <c r="S69" s="974">
        <f t="shared" si="0"/>
        <v>1461</v>
      </c>
      <c r="T69" s="974">
        <f t="shared" si="0"/>
        <v>8222</v>
      </c>
      <c r="U69" s="974">
        <f t="shared" si="0"/>
        <v>20202</v>
      </c>
      <c r="V69" s="974">
        <f t="shared" si="0"/>
        <v>26260</v>
      </c>
      <c r="W69" s="974">
        <f t="shared" si="0"/>
        <v>8080</v>
      </c>
      <c r="X69" s="974">
        <f t="shared" si="0"/>
        <v>12120</v>
      </c>
      <c r="Y69" s="974">
        <f t="shared" si="0"/>
        <v>30300</v>
      </c>
      <c r="Z69" s="974">
        <f t="shared" si="0"/>
        <v>12120</v>
      </c>
      <c r="AA69" s="974">
        <f t="shared" si="0"/>
        <v>12120</v>
      </c>
      <c r="AB69" s="965"/>
      <c r="AC69" s="965"/>
    </row>
    <row r="70" spans="1:29">
      <c r="A70" s="965"/>
      <c r="B70" s="965"/>
      <c r="C70" s="965"/>
      <c r="D70" s="965"/>
      <c r="E70" s="965"/>
      <c r="F70" s="965"/>
      <c r="G70" s="965"/>
      <c r="H70" s="965"/>
      <c r="I70" s="965"/>
      <c r="J70" s="965"/>
      <c r="K70" s="965"/>
      <c r="L70" s="965"/>
      <c r="M70" s="971">
        <v>6</v>
      </c>
      <c r="N70" s="1457"/>
      <c r="O70" s="966"/>
      <c r="P70" s="973"/>
      <c r="Q70" s="973"/>
      <c r="R70" s="978"/>
      <c r="S70" s="1026"/>
      <c r="T70" s="983"/>
      <c r="U70" s="973"/>
      <c r="V70" s="975"/>
      <c r="W70" s="976"/>
      <c r="X70" s="976"/>
      <c r="Y70" s="976"/>
      <c r="Z70" s="976"/>
      <c r="AA70" s="976"/>
      <c r="AB70" s="965"/>
      <c r="AC70" s="965"/>
    </row>
    <row r="71" spans="1:29">
      <c r="A71" s="965"/>
      <c r="B71" s="965"/>
      <c r="C71" s="965"/>
      <c r="D71" s="965"/>
      <c r="E71" s="965"/>
      <c r="F71" s="965"/>
      <c r="G71" s="965"/>
      <c r="H71" s="965"/>
      <c r="I71" s="965"/>
      <c r="J71" s="965"/>
      <c r="K71" s="965"/>
      <c r="L71" s="965"/>
      <c r="M71" s="1022">
        <v>7</v>
      </c>
      <c r="N71" s="1945" t="s">
        <v>578</v>
      </c>
      <c r="O71" s="976"/>
      <c r="P71" s="976"/>
      <c r="Q71" s="976"/>
      <c r="R71" s="976"/>
      <c r="S71" s="976"/>
      <c r="T71" s="976"/>
      <c r="U71" s="976"/>
      <c r="V71" s="976"/>
      <c r="W71" s="976"/>
      <c r="X71" s="976"/>
      <c r="Y71" s="976"/>
      <c r="Z71" s="976"/>
      <c r="AA71" s="976"/>
      <c r="AB71" s="965"/>
      <c r="AC71" s="965"/>
    </row>
    <row r="72" spans="1:29">
      <c r="A72" s="965"/>
      <c r="B72" s="965"/>
      <c r="C72" s="965"/>
      <c r="D72" s="965"/>
      <c r="E72" s="965"/>
      <c r="F72" s="965"/>
      <c r="G72" s="965"/>
      <c r="H72" s="965"/>
      <c r="I72" s="965"/>
      <c r="J72" s="965"/>
      <c r="K72" s="965"/>
      <c r="L72" s="965"/>
      <c r="M72" s="971">
        <v>8</v>
      </c>
      <c r="N72" s="987" t="s">
        <v>827</v>
      </c>
      <c r="O72" s="966">
        <f>SUM(P72:AA72)</f>
        <v>0</v>
      </c>
      <c r="P72" s="973">
        <v>0</v>
      </c>
      <c r="Q72" s="973">
        <v>0</v>
      </c>
      <c r="R72" s="973">
        <v>0</v>
      </c>
      <c r="S72" s="973">
        <v>0</v>
      </c>
      <c r="T72" s="973">
        <v>0</v>
      </c>
      <c r="U72" s="973">
        <v>0</v>
      </c>
      <c r="V72" s="973">
        <v>0</v>
      </c>
      <c r="W72" s="973">
        <v>0</v>
      </c>
      <c r="X72" s="973">
        <v>0</v>
      </c>
      <c r="Y72" s="973">
        <v>0</v>
      </c>
      <c r="Z72" s="973">
        <v>0</v>
      </c>
      <c r="AA72" s="973">
        <v>0</v>
      </c>
      <c r="AB72" s="965"/>
      <c r="AC72" s="965"/>
    </row>
    <row r="73" spans="1:29">
      <c r="A73" s="965"/>
      <c r="B73" s="965"/>
      <c r="C73" s="965"/>
      <c r="D73" s="965"/>
      <c r="E73" s="965"/>
      <c r="F73" s="965"/>
      <c r="G73" s="965"/>
      <c r="H73" s="965"/>
      <c r="I73" s="965"/>
      <c r="J73" s="965"/>
      <c r="K73" s="965"/>
      <c r="L73" s="965"/>
      <c r="M73" s="971">
        <v>9</v>
      </c>
      <c r="N73" s="1930" t="s">
        <v>579</v>
      </c>
      <c r="O73" s="974">
        <f t="shared" ref="O73:AA73" si="1">SUM(O72)</f>
        <v>0</v>
      </c>
      <c r="P73" s="974">
        <f t="shared" si="1"/>
        <v>0</v>
      </c>
      <c r="Q73" s="974">
        <f t="shared" si="1"/>
        <v>0</v>
      </c>
      <c r="R73" s="974">
        <f t="shared" si="1"/>
        <v>0</v>
      </c>
      <c r="S73" s="974">
        <f t="shared" si="1"/>
        <v>0</v>
      </c>
      <c r="T73" s="974">
        <f t="shared" si="1"/>
        <v>0</v>
      </c>
      <c r="U73" s="974">
        <f t="shared" si="1"/>
        <v>0</v>
      </c>
      <c r="V73" s="974">
        <f>SUM(V72)</f>
        <v>0</v>
      </c>
      <c r="W73" s="974">
        <f>SUM(W72)</f>
        <v>0</v>
      </c>
      <c r="X73" s="974">
        <f t="shared" si="1"/>
        <v>0</v>
      </c>
      <c r="Y73" s="974">
        <f t="shared" si="1"/>
        <v>0</v>
      </c>
      <c r="Z73" s="974">
        <f t="shared" si="1"/>
        <v>0</v>
      </c>
      <c r="AA73" s="974">
        <f t="shared" si="1"/>
        <v>0</v>
      </c>
      <c r="AB73" s="965"/>
      <c r="AC73" s="965"/>
    </row>
    <row r="74" spans="1:29">
      <c r="A74" s="965"/>
      <c r="B74" s="965"/>
      <c r="C74" s="965"/>
      <c r="D74" s="965"/>
      <c r="E74" s="965"/>
      <c r="F74" s="965"/>
      <c r="G74" s="965"/>
      <c r="H74" s="965"/>
      <c r="I74" s="965"/>
      <c r="J74" s="965"/>
      <c r="K74" s="965"/>
      <c r="L74" s="965"/>
      <c r="M74" s="1022">
        <v>10</v>
      </c>
      <c r="N74" s="1930"/>
      <c r="O74" s="977"/>
      <c r="P74" s="1025"/>
      <c r="Q74" s="973"/>
      <c r="R74" s="978"/>
      <c r="S74" s="1026"/>
      <c r="T74" s="983"/>
      <c r="U74" s="1025"/>
      <c r="V74" s="975"/>
      <c r="W74" s="976"/>
      <c r="X74" s="976"/>
      <c r="Y74" s="976"/>
      <c r="Z74" s="976"/>
      <c r="AA74" s="976"/>
      <c r="AB74" s="965"/>
      <c r="AC74" s="965"/>
    </row>
    <row r="75" spans="1:29">
      <c r="A75" s="965"/>
      <c r="B75" s="965"/>
      <c r="C75" s="965"/>
      <c r="D75" s="965"/>
      <c r="E75" s="965"/>
      <c r="F75" s="965"/>
      <c r="G75" s="965"/>
      <c r="H75" s="965"/>
      <c r="I75" s="965"/>
      <c r="J75" s="965"/>
      <c r="K75" s="965"/>
      <c r="L75" s="965"/>
      <c r="M75" s="971">
        <v>11</v>
      </c>
      <c r="N75" s="1945" t="s">
        <v>580</v>
      </c>
      <c r="O75" s="976"/>
      <c r="P75" s="976"/>
      <c r="Q75" s="976"/>
      <c r="R75" s="976"/>
      <c r="S75" s="976"/>
      <c r="T75" s="976"/>
      <c r="U75" s="976"/>
      <c r="V75" s="976"/>
      <c r="W75" s="976"/>
      <c r="X75" s="976"/>
      <c r="Y75" s="976"/>
      <c r="Z75" s="976"/>
      <c r="AA75" s="976"/>
      <c r="AB75" s="965"/>
      <c r="AC75" s="965"/>
    </row>
    <row r="76" spans="1:29">
      <c r="A76" s="965"/>
      <c r="B76" s="965"/>
      <c r="C76" s="965"/>
      <c r="D76" s="965"/>
      <c r="E76" s="965"/>
      <c r="F76" s="965"/>
      <c r="G76" s="965"/>
      <c r="H76" s="965"/>
      <c r="I76" s="965"/>
      <c r="J76" s="965"/>
      <c r="K76" s="965"/>
      <c r="L76" s="965"/>
      <c r="M76" s="971">
        <v>12</v>
      </c>
      <c r="N76" s="987" t="s">
        <v>827</v>
      </c>
      <c r="O76" s="966">
        <f>SUM(P76:AA76)</f>
        <v>0</v>
      </c>
      <c r="P76" s="973">
        <v>0</v>
      </c>
      <c r="Q76" s="973">
        <v>0</v>
      </c>
      <c r="R76" s="973">
        <v>0</v>
      </c>
      <c r="S76" s="973">
        <v>0</v>
      </c>
      <c r="T76" s="973">
        <v>0</v>
      </c>
      <c r="U76" s="973">
        <v>0</v>
      </c>
      <c r="V76" s="973">
        <v>0</v>
      </c>
      <c r="W76" s="973">
        <v>0</v>
      </c>
      <c r="X76" s="973">
        <v>0</v>
      </c>
      <c r="Y76" s="973">
        <v>0</v>
      </c>
      <c r="Z76" s="973">
        <v>0</v>
      </c>
      <c r="AA76" s="973">
        <v>0</v>
      </c>
      <c r="AB76" s="965"/>
      <c r="AC76" s="965"/>
    </row>
    <row r="77" spans="1:29">
      <c r="A77" s="965"/>
      <c r="B77" s="965"/>
      <c r="C77" s="965"/>
      <c r="D77" s="965"/>
      <c r="E77" s="965"/>
      <c r="F77" s="965"/>
      <c r="G77" s="965"/>
      <c r="H77" s="965"/>
      <c r="I77" s="965"/>
      <c r="J77" s="965"/>
      <c r="K77" s="965"/>
      <c r="L77" s="965"/>
      <c r="M77" s="1022">
        <v>13</v>
      </c>
      <c r="N77" s="1930" t="s">
        <v>581</v>
      </c>
      <c r="O77" s="974">
        <f t="shared" ref="O77:AA77" si="2">SUM(O76)</f>
        <v>0</v>
      </c>
      <c r="P77" s="974">
        <f t="shared" si="2"/>
        <v>0</v>
      </c>
      <c r="Q77" s="974">
        <f t="shared" si="2"/>
        <v>0</v>
      </c>
      <c r="R77" s="974">
        <f t="shared" si="2"/>
        <v>0</v>
      </c>
      <c r="S77" s="974">
        <f t="shared" si="2"/>
        <v>0</v>
      </c>
      <c r="T77" s="974">
        <f t="shared" si="2"/>
        <v>0</v>
      </c>
      <c r="U77" s="974">
        <f t="shared" si="2"/>
        <v>0</v>
      </c>
      <c r="V77" s="974">
        <f>SUM(V76)</f>
        <v>0</v>
      </c>
      <c r="W77" s="974">
        <f>SUM(W76)</f>
        <v>0</v>
      </c>
      <c r="X77" s="974">
        <f t="shared" si="2"/>
        <v>0</v>
      </c>
      <c r="Y77" s="974">
        <f t="shared" si="2"/>
        <v>0</v>
      </c>
      <c r="Z77" s="974">
        <f t="shared" si="2"/>
        <v>0</v>
      </c>
      <c r="AA77" s="974">
        <f t="shared" si="2"/>
        <v>0</v>
      </c>
      <c r="AB77" s="965"/>
      <c r="AC77" s="965"/>
    </row>
    <row r="78" spans="1:29">
      <c r="A78" s="965"/>
      <c r="B78" s="965"/>
      <c r="C78" s="965"/>
      <c r="D78" s="965"/>
      <c r="E78" s="965"/>
      <c r="F78" s="965"/>
      <c r="G78" s="965"/>
      <c r="H78" s="965"/>
      <c r="I78" s="965"/>
      <c r="J78" s="965"/>
      <c r="K78" s="965"/>
      <c r="L78" s="965"/>
      <c r="M78" s="971">
        <v>14</v>
      </c>
      <c r="N78" s="987"/>
      <c r="O78" s="977"/>
      <c r="P78" s="1025"/>
      <c r="Q78" s="1025"/>
      <c r="R78" s="1739"/>
      <c r="S78" s="1946"/>
      <c r="T78" s="989"/>
      <c r="U78" s="1025"/>
      <c r="V78" s="976"/>
      <c r="W78" s="976"/>
      <c r="X78" s="976"/>
      <c r="Y78" s="976"/>
      <c r="Z78" s="976"/>
      <c r="AA78" s="976"/>
      <c r="AB78" s="965"/>
      <c r="AC78" s="965"/>
    </row>
    <row r="79" spans="1:29">
      <c r="A79" s="965"/>
      <c r="B79" s="965"/>
      <c r="C79" s="965"/>
      <c r="D79" s="965"/>
      <c r="E79" s="965"/>
      <c r="F79" s="965"/>
      <c r="G79" s="965"/>
      <c r="H79" s="965"/>
      <c r="I79" s="965"/>
      <c r="J79" s="965"/>
      <c r="K79" s="965"/>
      <c r="L79" s="965"/>
      <c r="M79" s="971">
        <v>15</v>
      </c>
      <c r="N79" s="1023" t="s">
        <v>1028</v>
      </c>
      <c r="O79" s="978"/>
      <c r="P79" s="1024"/>
      <c r="Q79" s="1024"/>
      <c r="R79" s="978"/>
      <c r="S79" s="1026"/>
      <c r="T79" s="983"/>
      <c r="U79" s="1024"/>
      <c r="V79" s="979"/>
      <c r="W79" s="976"/>
      <c r="X79" s="976"/>
      <c r="Y79" s="976"/>
      <c r="Z79" s="976"/>
      <c r="AA79" s="976"/>
      <c r="AB79" s="965"/>
      <c r="AC79" s="965"/>
    </row>
    <row r="80" spans="1:29">
      <c r="A80" s="965"/>
      <c r="B80" s="965"/>
      <c r="C80" s="965"/>
      <c r="D80" s="965"/>
      <c r="E80" s="965"/>
      <c r="F80" s="965"/>
      <c r="G80" s="965"/>
      <c r="H80" s="965"/>
      <c r="I80" s="965"/>
      <c r="J80" s="965"/>
      <c r="K80" s="965"/>
      <c r="L80" s="965"/>
      <c r="M80" s="1022">
        <v>16</v>
      </c>
      <c r="N80" s="1947" t="s">
        <v>2975</v>
      </c>
      <c r="O80" s="966">
        <f t="shared" ref="O80" si="3">SUM(P80:AA80)</f>
        <v>115</v>
      </c>
      <c r="P80" s="1024">
        <v>0</v>
      </c>
      <c r="Q80" s="1024">
        <v>0</v>
      </c>
      <c r="R80" s="1024">
        <v>0</v>
      </c>
      <c r="S80" s="1024">
        <v>0</v>
      </c>
      <c r="T80" s="1024">
        <v>116</v>
      </c>
      <c r="U80" s="1024">
        <v>-1</v>
      </c>
      <c r="V80" s="1024">
        <v>0</v>
      </c>
      <c r="W80" s="1024">
        <v>0</v>
      </c>
      <c r="X80" s="1024">
        <v>0</v>
      </c>
      <c r="Y80" s="1024">
        <v>0</v>
      </c>
      <c r="Z80" s="1024">
        <v>0</v>
      </c>
      <c r="AA80" s="1024">
        <v>0</v>
      </c>
      <c r="AB80" s="965"/>
      <c r="AC80" s="965"/>
    </row>
    <row r="81" spans="1:29">
      <c r="A81" s="965"/>
      <c r="B81" s="965"/>
      <c r="C81" s="965"/>
      <c r="D81" s="965"/>
      <c r="E81" s="965"/>
      <c r="F81" s="965"/>
      <c r="G81" s="965"/>
      <c r="H81" s="965"/>
      <c r="I81" s="965"/>
      <c r="J81" s="965"/>
      <c r="K81" s="965"/>
      <c r="L81" s="965"/>
      <c r="M81" s="971">
        <v>17</v>
      </c>
      <c r="N81" s="1457" t="s">
        <v>2673</v>
      </c>
      <c r="O81" s="966">
        <f t="shared" ref="O81:O121" si="4">SUM(P81:AA81)</f>
        <v>8748</v>
      </c>
      <c r="P81" s="1024">
        <v>0</v>
      </c>
      <c r="Q81" s="1024">
        <v>0</v>
      </c>
      <c r="R81" s="1024">
        <v>0</v>
      </c>
      <c r="S81" s="1024">
        <v>0</v>
      </c>
      <c r="T81" s="1024">
        <v>0</v>
      </c>
      <c r="U81" s="1024">
        <v>0</v>
      </c>
      <c r="V81" s="1024">
        <v>1458</v>
      </c>
      <c r="W81" s="1024">
        <v>1458</v>
      </c>
      <c r="X81" s="1024">
        <v>1458</v>
      </c>
      <c r="Y81" s="1024">
        <v>1458</v>
      </c>
      <c r="Z81" s="1024">
        <v>1458</v>
      </c>
      <c r="AA81" s="1024">
        <v>1458</v>
      </c>
      <c r="AB81" s="965"/>
      <c r="AC81" s="965"/>
    </row>
    <row r="82" spans="1:29">
      <c r="A82" s="965"/>
      <c r="B82" s="965"/>
      <c r="C82" s="965"/>
      <c r="D82" s="965"/>
      <c r="E82" s="965"/>
      <c r="F82" s="965"/>
      <c r="G82" s="965"/>
      <c r="H82" s="965"/>
      <c r="I82" s="965"/>
      <c r="J82" s="965"/>
      <c r="K82" s="965"/>
      <c r="L82" s="965"/>
      <c r="M82" s="971">
        <v>18</v>
      </c>
      <c r="N82" s="1456" t="s">
        <v>2460</v>
      </c>
      <c r="O82" s="966">
        <f t="shared" si="4"/>
        <v>7270</v>
      </c>
      <c r="P82" s="973">
        <v>717</v>
      </c>
      <c r="Q82" s="973">
        <v>1490</v>
      </c>
      <c r="R82" s="1024">
        <v>1515</v>
      </c>
      <c r="S82" s="973">
        <v>1661</v>
      </c>
      <c r="T82" s="973">
        <v>914</v>
      </c>
      <c r="U82" s="973">
        <v>727</v>
      </c>
      <c r="V82" s="973">
        <v>41</v>
      </c>
      <c r="W82" s="973">
        <v>41</v>
      </c>
      <c r="X82" s="973">
        <v>41</v>
      </c>
      <c r="Y82" s="973">
        <v>41</v>
      </c>
      <c r="Z82" s="973">
        <v>41</v>
      </c>
      <c r="AA82" s="973">
        <v>41</v>
      </c>
      <c r="AB82" s="965"/>
      <c r="AC82" s="965"/>
    </row>
    <row r="83" spans="1:29">
      <c r="A83" s="965"/>
      <c r="B83" s="965"/>
      <c r="C83" s="965"/>
      <c r="D83" s="965"/>
      <c r="E83" s="965"/>
      <c r="F83" s="965"/>
      <c r="G83" s="965"/>
      <c r="H83" s="965"/>
      <c r="I83" s="965"/>
      <c r="J83" s="965"/>
      <c r="K83" s="965"/>
      <c r="L83" s="965"/>
      <c r="M83" s="1022">
        <v>19</v>
      </c>
      <c r="N83" s="1456" t="s">
        <v>2461</v>
      </c>
      <c r="O83" s="966">
        <f t="shared" si="4"/>
        <v>986</v>
      </c>
      <c r="P83" s="973">
        <v>0</v>
      </c>
      <c r="Q83" s="973">
        <v>0</v>
      </c>
      <c r="R83" s="1024">
        <v>101</v>
      </c>
      <c r="S83" s="973">
        <v>187</v>
      </c>
      <c r="T83" s="973">
        <v>313</v>
      </c>
      <c r="U83" s="973">
        <v>385</v>
      </c>
      <c r="V83" s="973">
        <v>0</v>
      </c>
      <c r="W83" s="973">
        <v>0</v>
      </c>
      <c r="X83" s="973">
        <v>0</v>
      </c>
      <c r="Y83" s="973">
        <v>0</v>
      </c>
      <c r="Z83" s="973">
        <v>0</v>
      </c>
      <c r="AA83" s="973">
        <v>0</v>
      </c>
      <c r="AB83" s="965"/>
      <c r="AC83" s="965"/>
    </row>
    <row r="84" spans="1:29">
      <c r="A84" s="965"/>
      <c r="B84" s="965"/>
      <c r="C84" s="965"/>
      <c r="D84" s="965"/>
      <c r="E84" s="965"/>
      <c r="F84" s="965"/>
      <c r="G84" s="965"/>
      <c r="H84" s="965"/>
      <c r="I84" s="965"/>
      <c r="J84" s="965"/>
      <c r="K84" s="965"/>
      <c r="L84" s="965"/>
      <c r="M84" s="971">
        <v>20</v>
      </c>
      <c r="N84" s="1456" t="s">
        <v>2488</v>
      </c>
      <c r="O84" s="966">
        <f t="shared" si="4"/>
        <v>38642</v>
      </c>
      <c r="P84" s="973">
        <v>35</v>
      </c>
      <c r="Q84" s="973">
        <v>2835</v>
      </c>
      <c r="R84" s="1024">
        <v>1309</v>
      </c>
      <c r="S84" s="973">
        <v>683</v>
      </c>
      <c r="T84" s="973">
        <v>576</v>
      </c>
      <c r="U84" s="973">
        <v>3224</v>
      </c>
      <c r="V84" s="973">
        <v>7330</v>
      </c>
      <c r="W84" s="973">
        <v>2830</v>
      </c>
      <c r="X84" s="973">
        <v>3830</v>
      </c>
      <c r="Y84" s="973">
        <v>8330</v>
      </c>
      <c r="Z84" s="973">
        <v>3830</v>
      </c>
      <c r="AA84" s="973">
        <v>3830</v>
      </c>
      <c r="AB84" s="965"/>
      <c r="AC84" s="965"/>
    </row>
    <row r="85" spans="1:29">
      <c r="A85" s="965"/>
      <c r="B85" s="965"/>
      <c r="C85" s="965"/>
      <c r="D85" s="965"/>
      <c r="E85" s="965"/>
      <c r="F85" s="965"/>
      <c r="G85" s="965"/>
      <c r="H85" s="965"/>
      <c r="I85" s="965"/>
      <c r="J85" s="965"/>
      <c r="K85" s="965"/>
      <c r="L85" s="965"/>
      <c r="M85" s="971">
        <v>21</v>
      </c>
      <c r="N85" s="1456" t="s">
        <v>2462</v>
      </c>
      <c r="O85" s="966">
        <f t="shared" si="4"/>
        <v>9703</v>
      </c>
      <c r="P85" s="973">
        <v>3456</v>
      </c>
      <c r="Q85" s="973">
        <v>5528</v>
      </c>
      <c r="R85" s="1024">
        <v>63</v>
      </c>
      <c r="S85" s="973">
        <v>279</v>
      </c>
      <c r="T85" s="973">
        <v>170</v>
      </c>
      <c r="U85" s="973">
        <v>207</v>
      </c>
      <c r="V85" s="973">
        <v>0</v>
      </c>
      <c r="W85" s="973">
        <v>0</v>
      </c>
      <c r="X85" s="973">
        <v>0</v>
      </c>
      <c r="Y85" s="973">
        <v>0</v>
      </c>
      <c r="Z85" s="973">
        <v>0</v>
      </c>
      <c r="AA85" s="973">
        <v>0</v>
      </c>
      <c r="AB85" s="965"/>
      <c r="AC85" s="965"/>
    </row>
    <row r="86" spans="1:29">
      <c r="A86" s="965"/>
      <c r="B86" s="965"/>
      <c r="C86" s="965"/>
      <c r="D86" s="965"/>
      <c r="E86" s="965"/>
      <c r="F86" s="965"/>
      <c r="G86" s="965"/>
      <c r="H86" s="965"/>
      <c r="I86" s="965"/>
      <c r="J86" s="965"/>
      <c r="K86" s="965"/>
      <c r="L86" s="965"/>
      <c r="M86" s="1022">
        <v>22</v>
      </c>
      <c r="N86" s="1456" t="s">
        <v>2977</v>
      </c>
      <c r="O86" s="966">
        <f t="shared" si="4"/>
        <v>717</v>
      </c>
      <c r="P86" s="1024">
        <v>0</v>
      </c>
      <c r="Q86" s="1024">
        <v>0</v>
      </c>
      <c r="R86" s="1024">
        <v>0</v>
      </c>
      <c r="S86" s="1024">
        <v>0</v>
      </c>
      <c r="T86" s="1024">
        <v>0</v>
      </c>
      <c r="U86" s="1024">
        <v>717</v>
      </c>
      <c r="V86" s="1024">
        <v>0</v>
      </c>
      <c r="W86" s="1024">
        <v>0</v>
      </c>
      <c r="X86" s="1024">
        <v>0</v>
      </c>
      <c r="Y86" s="1024">
        <v>0</v>
      </c>
      <c r="Z86" s="1024">
        <v>0</v>
      </c>
      <c r="AA86" s="1024">
        <v>0</v>
      </c>
      <c r="AB86" s="965"/>
      <c r="AC86" s="965"/>
    </row>
    <row r="87" spans="1:29">
      <c r="A87" s="965"/>
      <c r="B87" s="965"/>
      <c r="C87" s="965"/>
      <c r="D87" s="965"/>
      <c r="E87" s="965"/>
      <c r="F87" s="965"/>
      <c r="G87" s="965"/>
      <c r="H87" s="965"/>
      <c r="I87" s="965"/>
      <c r="J87" s="965"/>
      <c r="K87" s="965"/>
      <c r="L87" s="965"/>
      <c r="M87" s="971">
        <v>23</v>
      </c>
      <c r="N87" s="1456" t="s">
        <v>2463</v>
      </c>
      <c r="O87" s="966">
        <f>SUM(P87:AA87)</f>
        <v>32010</v>
      </c>
      <c r="P87" s="973">
        <v>16910</v>
      </c>
      <c r="Q87" s="973">
        <v>-2775</v>
      </c>
      <c r="R87" s="1024">
        <v>234</v>
      </c>
      <c r="S87" s="973">
        <v>3125</v>
      </c>
      <c r="T87" s="973">
        <v>1871</v>
      </c>
      <c r="U87" s="973">
        <v>2637</v>
      </c>
      <c r="V87" s="973">
        <v>1948</v>
      </c>
      <c r="W87" s="973">
        <v>1408</v>
      </c>
      <c r="X87" s="973">
        <v>1528</v>
      </c>
      <c r="Y87" s="973">
        <v>2068</v>
      </c>
      <c r="Z87" s="973">
        <v>1528</v>
      </c>
      <c r="AA87" s="973">
        <v>1528</v>
      </c>
      <c r="AB87" s="965"/>
      <c r="AC87" s="965"/>
    </row>
    <row r="88" spans="1:29">
      <c r="A88" s="965"/>
      <c r="B88" s="965"/>
      <c r="C88" s="965"/>
      <c r="D88" s="965"/>
      <c r="E88" s="965"/>
      <c r="F88" s="965"/>
      <c r="G88" s="965"/>
      <c r="H88" s="965"/>
      <c r="I88" s="965"/>
      <c r="J88" s="965"/>
      <c r="K88" s="965"/>
      <c r="L88" s="965"/>
      <c r="M88" s="971">
        <v>24</v>
      </c>
      <c r="N88" s="1456" t="s">
        <v>2548</v>
      </c>
      <c r="O88" s="966">
        <f>SUM(P88:AA88)</f>
        <v>-17</v>
      </c>
      <c r="P88" s="973">
        <v>-17</v>
      </c>
      <c r="Q88" s="1024">
        <v>0</v>
      </c>
      <c r="R88" s="1024">
        <v>0</v>
      </c>
      <c r="S88" s="1024">
        <v>0</v>
      </c>
      <c r="T88" s="1024">
        <v>0</v>
      </c>
      <c r="U88" s="1024">
        <v>0</v>
      </c>
      <c r="V88" s="1024">
        <v>0</v>
      </c>
      <c r="W88" s="1024">
        <v>0</v>
      </c>
      <c r="X88" s="1024">
        <v>0</v>
      </c>
      <c r="Y88" s="1024">
        <v>0</v>
      </c>
      <c r="Z88" s="1024">
        <v>0</v>
      </c>
      <c r="AA88" s="1024">
        <v>0</v>
      </c>
      <c r="AB88" s="965"/>
      <c r="AC88" s="965"/>
    </row>
    <row r="89" spans="1:29">
      <c r="A89" s="965"/>
      <c r="B89" s="965"/>
      <c r="C89" s="965"/>
      <c r="D89" s="965"/>
      <c r="E89" s="965"/>
      <c r="F89" s="965"/>
      <c r="G89" s="965"/>
      <c r="H89" s="965"/>
      <c r="I89" s="965"/>
      <c r="J89" s="965"/>
      <c r="K89" s="965"/>
      <c r="L89" s="965"/>
      <c r="M89" s="1022">
        <v>25</v>
      </c>
      <c r="N89" s="1456" t="s">
        <v>2464</v>
      </c>
      <c r="O89" s="966">
        <f t="shared" si="4"/>
        <v>23353</v>
      </c>
      <c r="P89" s="973">
        <v>1938</v>
      </c>
      <c r="Q89" s="973">
        <v>5335</v>
      </c>
      <c r="R89" s="1024">
        <v>993</v>
      </c>
      <c r="S89" s="973">
        <v>4019</v>
      </c>
      <c r="T89" s="973">
        <v>1428</v>
      </c>
      <c r="U89" s="973">
        <v>1193</v>
      </c>
      <c r="V89" s="973">
        <v>1125</v>
      </c>
      <c r="W89" s="973">
        <v>1431</v>
      </c>
      <c r="X89" s="973">
        <v>1522</v>
      </c>
      <c r="Y89" s="973">
        <v>1458</v>
      </c>
      <c r="Z89" s="973">
        <v>1179</v>
      </c>
      <c r="AA89" s="973">
        <v>1732</v>
      </c>
      <c r="AB89" s="965"/>
      <c r="AC89" s="965"/>
    </row>
    <row r="90" spans="1:29">
      <c r="A90" s="965"/>
      <c r="B90" s="965"/>
      <c r="C90" s="965"/>
      <c r="D90" s="965"/>
      <c r="E90" s="965"/>
      <c r="F90" s="965"/>
      <c r="G90" s="965"/>
      <c r="H90" s="965"/>
      <c r="I90" s="965"/>
      <c r="J90" s="965"/>
      <c r="K90" s="965"/>
      <c r="L90" s="965"/>
      <c r="M90" s="971">
        <v>26</v>
      </c>
      <c r="N90" s="1456" t="s">
        <v>2465</v>
      </c>
      <c r="O90" s="966">
        <f t="shared" si="4"/>
        <v>-23353</v>
      </c>
      <c r="P90" s="973">
        <v>-1938</v>
      </c>
      <c r="Q90" s="973">
        <v>-5335</v>
      </c>
      <c r="R90" s="1024">
        <v>-993</v>
      </c>
      <c r="S90" s="973">
        <v>-4019</v>
      </c>
      <c r="T90" s="973">
        <v>-1428</v>
      </c>
      <c r="U90" s="973">
        <v>-1193</v>
      </c>
      <c r="V90" s="973">
        <v>-1125</v>
      </c>
      <c r="W90" s="973">
        <v>-1431</v>
      </c>
      <c r="X90" s="973">
        <v>-1522</v>
      </c>
      <c r="Y90" s="973">
        <v>-1458</v>
      </c>
      <c r="Z90" s="973">
        <v>-1179</v>
      </c>
      <c r="AA90" s="973">
        <v>-1732</v>
      </c>
      <c r="AB90" s="965"/>
      <c r="AC90" s="965"/>
    </row>
    <row r="91" spans="1:29">
      <c r="A91" s="965"/>
      <c r="B91" s="965"/>
      <c r="C91" s="965"/>
      <c r="D91" s="965"/>
      <c r="E91" s="965"/>
      <c r="F91" s="965"/>
      <c r="G91" s="965"/>
      <c r="H91" s="965"/>
      <c r="I91" s="965"/>
      <c r="J91" s="965"/>
      <c r="K91" s="965"/>
      <c r="L91" s="965"/>
      <c r="M91" s="971">
        <v>27</v>
      </c>
      <c r="N91" s="1456" t="s">
        <v>2672</v>
      </c>
      <c r="O91" s="966">
        <f>SUM(P91:AA91)</f>
        <v>2502</v>
      </c>
      <c r="P91" s="1024">
        <v>0</v>
      </c>
      <c r="Q91" s="1024">
        <v>0</v>
      </c>
      <c r="R91" s="1024">
        <v>0</v>
      </c>
      <c r="S91" s="973">
        <v>0</v>
      </c>
      <c r="T91" s="973">
        <v>0</v>
      </c>
      <c r="U91" s="973">
        <v>0</v>
      </c>
      <c r="V91" s="973">
        <v>417</v>
      </c>
      <c r="W91" s="973">
        <v>417</v>
      </c>
      <c r="X91" s="973">
        <v>417</v>
      </c>
      <c r="Y91" s="973">
        <v>417</v>
      </c>
      <c r="Z91" s="973">
        <v>417</v>
      </c>
      <c r="AA91" s="973">
        <v>417</v>
      </c>
      <c r="AB91" s="965"/>
      <c r="AC91" s="965"/>
    </row>
    <row r="92" spans="1:29">
      <c r="A92" s="965"/>
      <c r="B92" s="965"/>
      <c r="C92" s="965"/>
      <c r="D92" s="965"/>
      <c r="E92" s="965"/>
      <c r="F92" s="965"/>
      <c r="G92" s="965"/>
      <c r="H92" s="965"/>
      <c r="I92" s="965"/>
      <c r="J92" s="965"/>
      <c r="K92" s="965"/>
      <c r="L92" s="965"/>
      <c r="M92" s="1022">
        <v>28</v>
      </c>
      <c r="N92" s="1456" t="s">
        <v>2466</v>
      </c>
      <c r="O92" s="966">
        <f t="shared" si="4"/>
        <v>45176</v>
      </c>
      <c r="P92" s="973">
        <v>0</v>
      </c>
      <c r="Q92" s="973">
        <v>0</v>
      </c>
      <c r="R92" s="1024">
        <v>176</v>
      </c>
      <c r="S92" s="973">
        <v>0</v>
      </c>
      <c r="T92" s="973">
        <v>0</v>
      </c>
      <c r="U92" s="973">
        <v>0</v>
      </c>
      <c r="V92" s="973">
        <v>11700</v>
      </c>
      <c r="W92" s="973">
        <v>3600</v>
      </c>
      <c r="X92" s="973">
        <v>5400</v>
      </c>
      <c r="Y92" s="973">
        <v>13500</v>
      </c>
      <c r="Z92" s="973">
        <v>5400</v>
      </c>
      <c r="AA92" s="973">
        <v>5400</v>
      </c>
      <c r="AB92" s="965"/>
      <c r="AC92" s="965"/>
    </row>
    <row r="93" spans="1:29">
      <c r="A93" s="965"/>
      <c r="B93" s="965"/>
      <c r="C93" s="965"/>
      <c r="D93" s="965"/>
      <c r="E93" s="965"/>
      <c r="F93" s="965"/>
      <c r="G93" s="965"/>
      <c r="H93" s="965"/>
      <c r="I93" s="965"/>
      <c r="J93" s="965"/>
      <c r="K93" s="965"/>
      <c r="L93" s="965"/>
      <c r="M93" s="971">
        <v>29</v>
      </c>
      <c r="N93" s="1456" t="s">
        <v>2549</v>
      </c>
      <c r="O93" s="966">
        <f t="shared" si="4"/>
        <v>4</v>
      </c>
      <c r="P93" s="973">
        <f>3+1</f>
        <v>4</v>
      </c>
      <c r="Q93" s="1024">
        <v>0</v>
      </c>
      <c r="R93" s="1024">
        <v>0</v>
      </c>
      <c r="S93" s="1024">
        <v>0</v>
      </c>
      <c r="T93" s="1024">
        <v>0</v>
      </c>
      <c r="U93" s="1024">
        <v>0</v>
      </c>
      <c r="V93" s="1024">
        <v>0</v>
      </c>
      <c r="W93" s="1024">
        <v>0</v>
      </c>
      <c r="X93" s="1024">
        <v>0</v>
      </c>
      <c r="Y93" s="1024">
        <v>0</v>
      </c>
      <c r="Z93" s="1024">
        <v>0</v>
      </c>
      <c r="AA93" s="1024">
        <v>0</v>
      </c>
      <c r="AB93" s="965"/>
      <c r="AC93" s="965"/>
    </row>
    <row r="94" spans="1:29">
      <c r="A94" s="965"/>
      <c r="B94" s="965"/>
      <c r="C94" s="965"/>
      <c r="D94" s="965"/>
      <c r="E94" s="965"/>
      <c r="F94" s="965"/>
      <c r="G94" s="965"/>
      <c r="H94" s="965"/>
      <c r="I94" s="965"/>
      <c r="J94" s="965"/>
      <c r="K94" s="965"/>
      <c r="L94" s="965"/>
      <c r="M94" s="971">
        <v>30</v>
      </c>
      <c r="N94" s="1456" t="s">
        <v>2467</v>
      </c>
      <c r="O94" s="966">
        <f t="shared" si="4"/>
        <v>8141</v>
      </c>
      <c r="P94" s="973">
        <v>0</v>
      </c>
      <c r="Q94" s="973">
        <v>0</v>
      </c>
      <c r="R94" s="1024">
        <v>0</v>
      </c>
      <c r="S94" s="973">
        <v>1415</v>
      </c>
      <c r="T94" s="973">
        <v>0</v>
      </c>
      <c r="U94" s="973">
        <v>0</v>
      </c>
      <c r="V94" s="973">
        <v>0</v>
      </c>
      <c r="W94" s="973">
        <v>3363</v>
      </c>
      <c r="X94" s="973">
        <v>0</v>
      </c>
      <c r="Y94" s="973">
        <v>0</v>
      </c>
      <c r="Z94" s="973">
        <v>3363</v>
      </c>
      <c r="AA94" s="973">
        <v>0</v>
      </c>
      <c r="AB94" s="965"/>
      <c r="AC94" s="965"/>
    </row>
    <row r="95" spans="1:29">
      <c r="A95" s="965"/>
      <c r="B95" s="965"/>
      <c r="C95" s="965"/>
      <c r="D95" s="965"/>
      <c r="E95" s="965"/>
      <c r="F95" s="965"/>
      <c r="G95" s="965"/>
      <c r="H95" s="965"/>
      <c r="I95" s="965"/>
      <c r="J95" s="965"/>
      <c r="K95" s="965"/>
      <c r="L95" s="965"/>
      <c r="M95" s="1022">
        <v>31</v>
      </c>
      <c r="N95" s="1456" t="s">
        <v>2668</v>
      </c>
      <c r="O95" s="966">
        <f t="shared" si="4"/>
        <v>21</v>
      </c>
      <c r="P95" s="1024">
        <v>0</v>
      </c>
      <c r="Q95" s="1024">
        <v>0</v>
      </c>
      <c r="R95" s="1024">
        <f>17+4</f>
        <v>21</v>
      </c>
      <c r="S95" s="1024">
        <v>0</v>
      </c>
      <c r="T95" s="1024">
        <v>0</v>
      </c>
      <c r="U95" s="1024">
        <v>0</v>
      </c>
      <c r="V95" s="1024">
        <v>0</v>
      </c>
      <c r="W95" s="1024">
        <v>0</v>
      </c>
      <c r="X95" s="1024">
        <v>0</v>
      </c>
      <c r="Y95" s="1024">
        <v>0</v>
      </c>
      <c r="Z95" s="1024">
        <v>0</v>
      </c>
      <c r="AA95" s="1024">
        <v>0</v>
      </c>
      <c r="AB95" s="965"/>
      <c r="AC95" s="965"/>
    </row>
    <row r="96" spans="1:29">
      <c r="A96" s="965"/>
      <c r="B96" s="965"/>
      <c r="C96" s="965"/>
      <c r="D96" s="965"/>
      <c r="E96" s="965"/>
      <c r="F96" s="965"/>
      <c r="G96" s="965"/>
      <c r="H96" s="965"/>
      <c r="I96" s="965"/>
      <c r="J96" s="965"/>
      <c r="K96" s="965"/>
      <c r="L96" s="965"/>
      <c r="M96" s="971">
        <v>32</v>
      </c>
      <c r="N96" s="1456" t="s">
        <v>2468</v>
      </c>
      <c r="O96" s="966">
        <f t="shared" si="4"/>
        <v>-370973</v>
      </c>
      <c r="P96" s="973">
        <v>-32758</v>
      </c>
      <c r="Q96" s="973">
        <v>-20348</v>
      </c>
      <c r="R96" s="1024">
        <v>-29645</v>
      </c>
      <c r="S96" s="973">
        <v>-36512</v>
      </c>
      <c r="T96" s="973">
        <v>-23696</v>
      </c>
      <c r="U96" s="973">
        <v>-26688</v>
      </c>
      <c r="V96" s="973">
        <v>-30949</v>
      </c>
      <c r="W96" s="973">
        <v>-30348</v>
      </c>
      <c r="X96" s="973">
        <v>-39487</v>
      </c>
      <c r="Y96" s="973">
        <v>-39860</v>
      </c>
      <c r="Z96" s="973">
        <v>-30790</v>
      </c>
      <c r="AA96" s="973">
        <v>-29892</v>
      </c>
      <c r="AB96" s="965"/>
      <c r="AC96" s="965"/>
    </row>
    <row r="97" spans="1:29">
      <c r="A97" s="965"/>
      <c r="B97" s="965"/>
      <c r="C97" s="965"/>
      <c r="D97" s="965"/>
      <c r="E97" s="965"/>
      <c r="F97" s="965"/>
      <c r="G97" s="965"/>
      <c r="H97" s="965"/>
      <c r="I97" s="965"/>
      <c r="J97" s="965"/>
      <c r="K97" s="965"/>
      <c r="L97" s="965"/>
      <c r="M97" s="971">
        <v>33</v>
      </c>
      <c r="N97" s="1456" t="s">
        <v>2469</v>
      </c>
      <c r="O97" s="966">
        <f t="shared" si="4"/>
        <v>183079</v>
      </c>
      <c r="P97" s="973">
        <v>25373</v>
      </c>
      <c r="Q97" s="973">
        <v>9672</v>
      </c>
      <c r="R97" s="1024">
        <v>17631</v>
      </c>
      <c r="S97" s="973">
        <v>22131</v>
      </c>
      <c r="T97" s="973">
        <v>9273</v>
      </c>
      <c r="U97" s="973">
        <v>12426</v>
      </c>
      <c r="V97" s="973">
        <v>14852</v>
      </c>
      <c r="W97" s="973">
        <v>14215</v>
      </c>
      <c r="X97" s="973">
        <v>14990</v>
      </c>
      <c r="Y97" s="973">
        <v>13986</v>
      </c>
      <c r="Z97" s="973">
        <v>14737</v>
      </c>
      <c r="AA97" s="973">
        <v>13793</v>
      </c>
      <c r="AB97" s="965"/>
      <c r="AC97" s="965"/>
    </row>
    <row r="98" spans="1:29">
      <c r="A98" s="965"/>
      <c r="B98" s="965"/>
      <c r="C98" s="965"/>
      <c r="D98" s="965"/>
      <c r="E98" s="965"/>
      <c r="F98" s="965"/>
      <c r="G98" s="965"/>
      <c r="H98" s="965"/>
      <c r="I98" s="965"/>
      <c r="J98" s="965"/>
      <c r="K98" s="965"/>
      <c r="L98" s="965"/>
      <c r="M98" s="1022">
        <v>34</v>
      </c>
      <c r="N98" s="1456" t="s">
        <v>2470</v>
      </c>
      <c r="O98" s="966">
        <f t="shared" si="4"/>
        <v>26279</v>
      </c>
      <c r="P98" s="973">
        <v>3160</v>
      </c>
      <c r="Q98" s="973">
        <v>1926</v>
      </c>
      <c r="R98" s="1024">
        <v>3575</v>
      </c>
      <c r="S98" s="973">
        <v>2172</v>
      </c>
      <c r="T98" s="973">
        <v>1868</v>
      </c>
      <c r="U98" s="973">
        <v>1191</v>
      </c>
      <c r="V98" s="973">
        <v>2316</v>
      </c>
      <c r="W98" s="973">
        <v>1888</v>
      </c>
      <c r="X98" s="973">
        <v>2053</v>
      </c>
      <c r="Y98" s="973">
        <v>2100</v>
      </c>
      <c r="Z98" s="973">
        <v>2060</v>
      </c>
      <c r="AA98" s="973">
        <v>1970</v>
      </c>
      <c r="AB98" s="965"/>
      <c r="AC98" s="965"/>
    </row>
    <row r="99" spans="1:29">
      <c r="A99" s="965"/>
      <c r="B99" s="965"/>
      <c r="C99" s="965"/>
      <c r="D99" s="965"/>
      <c r="E99" s="965"/>
      <c r="F99" s="965"/>
      <c r="G99" s="965"/>
      <c r="H99" s="965"/>
      <c r="I99" s="965"/>
      <c r="J99" s="965"/>
      <c r="K99" s="965"/>
      <c r="L99" s="965"/>
      <c r="M99" s="971">
        <v>35</v>
      </c>
      <c r="N99" s="1456" t="s">
        <v>2973</v>
      </c>
      <c r="O99" s="966">
        <f t="shared" si="4"/>
        <v>74</v>
      </c>
      <c r="P99" s="973">
        <v>0</v>
      </c>
      <c r="Q99" s="973">
        <v>0</v>
      </c>
      <c r="R99" s="1024">
        <v>0</v>
      </c>
      <c r="S99" s="973">
        <v>0</v>
      </c>
      <c r="T99" s="973">
        <v>0</v>
      </c>
      <c r="U99" s="973">
        <v>74</v>
      </c>
      <c r="V99" s="973">
        <v>0</v>
      </c>
      <c r="W99" s="973">
        <v>0</v>
      </c>
      <c r="X99" s="973">
        <v>0</v>
      </c>
      <c r="Y99" s="973">
        <v>0</v>
      </c>
      <c r="Z99" s="973">
        <v>0</v>
      </c>
      <c r="AA99" s="973">
        <v>0</v>
      </c>
      <c r="AB99" s="965"/>
      <c r="AC99" s="965"/>
    </row>
    <row r="100" spans="1:29">
      <c r="A100" s="965"/>
      <c r="B100" s="965"/>
      <c r="C100" s="965"/>
      <c r="D100" s="965"/>
      <c r="E100" s="965"/>
      <c r="F100" s="965"/>
      <c r="G100" s="965"/>
      <c r="H100" s="965"/>
      <c r="I100" s="965"/>
      <c r="J100" s="965"/>
      <c r="K100" s="965"/>
      <c r="L100" s="965"/>
      <c r="M100" s="971">
        <v>36</v>
      </c>
      <c r="N100" s="1456" t="s">
        <v>2471</v>
      </c>
      <c r="O100" s="966">
        <f t="shared" si="4"/>
        <v>4900</v>
      </c>
      <c r="P100" s="973">
        <v>0</v>
      </c>
      <c r="Q100" s="973">
        <v>4</v>
      </c>
      <c r="R100" s="1024">
        <v>4346</v>
      </c>
      <c r="S100" s="973">
        <v>35</v>
      </c>
      <c r="T100" s="973">
        <v>0</v>
      </c>
      <c r="U100" s="973">
        <v>515</v>
      </c>
      <c r="V100" s="973">
        <v>0</v>
      </c>
      <c r="W100" s="973">
        <v>0</v>
      </c>
      <c r="X100" s="973">
        <v>0</v>
      </c>
      <c r="Y100" s="973">
        <v>0</v>
      </c>
      <c r="Z100" s="973">
        <v>0</v>
      </c>
      <c r="AA100" s="973">
        <v>0</v>
      </c>
      <c r="AB100" s="965"/>
      <c r="AC100" s="965"/>
    </row>
    <row r="101" spans="1:29">
      <c r="A101" s="965"/>
      <c r="B101" s="965"/>
      <c r="C101" s="965"/>
      <c r="D101" s="965"/>
      <c r="E101" s="965"/>
      <c r="F101" s="965"/>
      <c r="G101" s="965"/>
      <c r="H101" s="965"/>
      <c r="I101" s="965"/>
      <c r="J101" s="965"/>
      <c r="K101" s="965"/>
      <c r="L101" s="965"/>
      <c r="M101" s="1022">
        <v>37</v>
      </c>
      <c r="N101" s="1456" t="s">
        <v>2472</v>
      </c>
      <c r="O101" s="966">
        <f t="shared" si="4"/>
        <v>54398</v>
      </c>
      <c r="P101" s="973">
        <v>25</v>
      </c>
      <c r="Q101" s="973">
        <v>0</v>
      </c>
      <c r="R101" s="1024">
        <v>198</v>
      </c>
      <c r="S101" s="973">
        <v>0</v>
      </c>
      <c r="T101" s="973">
        <v>126</v>
      </c>
      <c r="U101" s="973">
        <v>4049</v>
      </c>
      <c r="V101" s="973">
        <v>13000</v>
      </c>
      <c r="W101" s="973">
        <v>4000</v>
      </c>
      <c r="X101" s="973">
        <v>6000</v>
      </c>
      <c r="Y101" s="973">
        <v>15000</v>
      </c>
      <c r="Z101" s="973">
        <v>6000</v>
      </c>
      <c r="AA101" s="973">
        <v>6000</v>
      </c>
      <c r="AB101" s="965"/>
      <c r="AC101" s="965"/>
    </row>
    <row r="102" spans="1:29">
      <c r="A102" s="965"/>
      <c r="B102" s="965"/>
      <c r="C102" s="965"/>
      <c r="D102" s="965"/>
      <c r="E102" s="965"/>
      <c r="F102" s="965"/>
      <c r="G102" s="965"/>
      <c r="H102" s="965"/>
      <c r="I102" s="965"/>
      <c r="J102" s="965"/>
      <c r="K102" s="965"/>
      <c r="L102" s="965"/>
      <c r="M102" s="971">
        <v>38</v>
      </c>
      <c r="N102" s="1456" t="s">
        <v>2671</v>
      </c>
      <c r="O102" s="966">
        <f t="shared" si="4"/>
        <v>2388</v>
      </c>
      <c r="P102" s="973">
        <v>0</v>
      </c>
      <c r="Q102" s="973">
        <v>0</v>
      </c>
      <c r="R102" s="1024">
        <v>0</v>
      </c>
      <c r="S102" s="973">
        <v>0</v>
      </c>
      <c r="T102" s="973">
        <v>0</v>
      </c>
      <c r="U102" s="973">
        <v>0</v>
      </c>
      <c r="V102" s="973">
        <v>398</v>
      </c>
      <c r="W102" s="973">
        <v>398</v>
      </c>
      <c r="X102" s="973">
        <v>398</v>
      </c>
      <c r="Y102" s="973">
        <v>398</v>
      </c>
      <c r="Z102" s="973">
        <v>398</v>
      </c>
      <c r="AA102" s="973">
        <v>398</v>
      </c>
      <c r="AB102" s="965"/>
      <c r="AC102" s="965"/>
    </row>
    <row r="103" spans="1:29">
      <c r="A103" s="965"/>
      <c r="B103" s="965"/>
      <c r="C103" s="965"/>
      <c r="D103" s="965"/>
      <c r="E103" s="965"/>
      <c r="F103" s="965"/>
      <c r="G103" s="965"/>
      <c r="H103" s="965"/>
      <c r="I103" s="965"/>
      <c r="J103" s="965"/>
      <c r="K103" s="965"/>
      <c r="L103" s="965"/>
      <c r="M103" s="971">
        <v>39</v>
      </c>
      <c r="N103" s="1456" t="s">
        <v>2974</v>
      </c>
      <c r="O103" s="966">
        <f t="shared" ref="O103" si="5">SUM(P103:AA103)</f>
        <v>612</v>
      </c>
      <c r="P103" s="973">
        <v>0</v>
      </c>
      <c r="Q103" s="973">
        <v>0</v>
      </c>
      <c r="R103" s="973">
        <v>0</v>
      </c>
      <c r="S103" s="973">
        <v>612</v>
      </c>
      <c r="T103" s="973">
        <v>0</v>
      </c>
      <c r="U103" s="973">
        <v>0</v>
      </c>
      <c r="V103" s="973">
        <v>0</v>
      </c>
      <c r="W103" s="973">
        <v>0</v>
      </c>
      <c r="X103" s="973">
        <v>0</v>
      </c>
      <c r="Y103" s="973">
        <v>0</v>
      </c>
      <c r="Z103" s="973">
        <v>0</v>
      </c>
      <c r="AA103" s="973">
        <v>0</v>
      </c>
      <c r="AB103" s="965"/>
      <c r="AC103" s="965"/>
    </row>
    <row r="104" spans="1:29">
      <c r="A104" s="965"/>
      <c r="B104" s="965"/>
      <c r="C104" s="965"/>
      <c r="D104" s="965"/>
      <c r="E104" s="965"/>
      <c r="F104" s="965"/>
      <c r="G104" s="965"/>
      <c r="H104" s="965"/>
      <c r="I104" s="965"/>
      <c r="J104" s="965"/>
      <c r="K104" s="965"/>
      <c r="L104" s="965"/>
      <c r="M104" s="1022">
        <v>40</v>
      </c>
      <c r="N104" s="1456" t="s">
        <v>2473</v>
      </c>
      <c r="O104" s="966">
        <f t="shared" si="4"/>
        <v>461</v>
      </c>
      <c r="P104" s="973">
        <v>106</v>
      </c>
      <c r="Q104" s="973">
        <v>0</v>
      </c>
      <c r="R104" s="1024">
        <v>13</v>
      </c>
      <c r="S104" s="973">
        <v>334</v>
      </c>
      <c r="T104" s="973">
        <v>3</v>
      </c>
      <c r="U104" s="973">
        <v>5</v>
      </c>
      <c r="V104" s="973">
        <v>0</v>
      </c>
      <c r="W104" s="973">
        <v>0</v>
      </c>
      <c r="X104" s="973">
        <v>0</v>
      </c>
      <c r="Y104" s="973">
        <v>0</v>
      </c>
      <c r="Z104" s="973">
        <v>0</v>
      </c>
      <c r="AA104" s="973">
        <v>0</v>
      </c>
      <c r="AB104" s="965"/>
      <c r="AC104" s="965"/>
    </row>
    <row r="105" spans="1:29">
      <c r="A105" s="965"/>
      <c r="B105" s="965"/>
      <c r="C105" s="965"/>
      <c r="D105" s="965"/>
      <c r="E105" s="965"/>
      <c r="F105" s="965"/>
      <c r="G105" s="965"/>
      <c r="H105" s="965"/>
      <c r="I105" s="965"/>
      <c r="J105" s="965"/>
      <c r="K105" s="965"/>
      <c r="L105" s="965"/>
      <c r="M105" s="971">
        <v>41</v>
      </c>
      <c r="N105" s="1456" t="s">
        <v>2483</v>
      </c>
      <c r="O105" s="966">
        <f t="shared" si="4"/>
        <v>56</v>
      </c>
      <c r="P105" s="973">
        <v>40</v>
      </c>
      <c r="Q105" s="973">
        <v>0</v>
      </c>
      <c r="R105" s="1024">
        <v>9</v>
      </c>
      <c r="S105" s="973">
        <v>3</v>
      </c>
      <c r="T105" s="973">
        <v>1</v>
      </c>
      <c r="U105" s="973">
        <v>3</v>
      </c>
      <c r="V105" s="973">
        <v>0</v>
      </c>
      <c r="W105" s="973">
        <v>0</v>
      </c>
      <c r="X105" s="973">
        <v>0</v>
      </c>
      <c r="Y105" s="973">
        <v>0</v>
      </c>
      <c r="Z105" s="973">
        <v>0</v>
      </c>
      <c r="AA105" s="973">
        <v>0</v>
      </c>
      <c r="AB105" s="965"/>
      <c r="AC105" s="965"/>
    </row>
    <row r="106" spans="1:29">
      <c r="A106" s="965"/>
      <c r="B106" s="965"/>
      <c r="C106" s="965"/>
      <c r="D106" s="965"/>
      <c r="E106" s="965"/>
      <c r="F106" s="965"/>
      <c r="G106" s="965"/>
      <c r="H106" s="965"/>
      <c r="I106" s="965"/>
      <c r="J106" s="965"/>
      <c r="K106" s="965"/>
      <c r="L106" s="965"/>
      <c r="M106" s="971">
        <v>42</v>
      </c>
      <c r="N106" s="1456" t="s">
        <v>2474</v>
      </c>
      <c r="O106" s="966">
        <f t="shared" si="4"/>
        <v>115</v>
      </c>
      <c r="P106" s="973">
        <v>60</v>
      </c>
      <c r="Q106" s="973">
        <v>0</v>
      </c>
      <c r="R106" s="1024">
        <v>0</v>
      </c>
      <c r="S106" s="973">
        <v>25</v>
      </c>
      <c r="T106" s="973">
        <v>26</v>
      </c>
      <c r="U106" s="973">
        <v>4</v>
      </c>
      <c r="V106" s="973">
        <v>0</v>
      </c>
      <c r="W106" s="973">
        <v>0</v>
      </c>
      <c r="X106" s="973">
        <v>0</v>
      </c>
      <c r="Y106" s="973">
        <v>0</v>
      </c>
      <c r="Z106" s="973">
        <v>0</v>
      </c>
      <c r="AA106" s="973">
        <v>0</v>
      </c>
      <c r="AB106" s="965"/>
      <c r="AC106" s="965"/>
    </row>
    <row r="107" spans="1:29">
      <c r="A107" s="965"/>
      <c r="B107" s="965"/>
      <c r="C107" s="965"/>
      <c r="D107" s="965"/>
      <c r="E107" s="965"/>
      <c r="F107" s="965"/>
      <c r="G107" s="965"/>
      <c r="H107" s="965"/>
      <c r="I107" s="965"/>
      <c r="J107" s="965"/>
      <c r="K107" s="965"/>
      <c r="L107" s="965"/>
      <c r="M107" s="1022">
        <v>43</v>
      </c>
      <c r="N107" s="1456" t="s">
        <v>2475</v>
      </c>
      <c r="O107" s="966">
        <f t="shared" si="4"/>
        <v>642</v>
      </c>
      <c r="P107" s="973">
        <v>60</v>
      </c>
      <c r="Q107" s="973">
        <v>965</v>
      </c>
      <c r="R107" s="1024">
        <v>128</v>
      </c>
      <c r="S107" s="973">
        <v>-759</v>
      </c>
      <c r="T107" s="973">
        <v>138</v>
      </c>
      <c r="U107" s="973">
        <v>110</v>
      </c>
      <c r="V107" s="973">
        <v>0</v>
      </c>
      <c r="W107" s="973">
        <v>0</v>
      </c>
      <c r="X107" s="973">
        <v>0</v>
      </c>
      <c r="Y107" s="973">
        <v>0</v>
      </c>
      <c r="Z107" s="973">
        <v>0</v>
      </c>
      <c r="AA107" s="973">
        <v>0</v>
      </c>
      <c r="AB107" s="965"/>
      <c r="AC107" s="965"/>
    </row>
    <row r="108" spans="1:29">
      <c r="A108" s="965"/>
      <c r="B108" s="965"/>
      <c r="C108" s="965"/>
      <c r="D108" s="965"/>
      <c r="E108" s="965"/>
      <c r="F108" s="965"/>
      <c r="G108" s="965"/>
      <c r="H108" s="965"/>
      <c r="I108" s="965"/>
      <c r="J108" s="965"/>
      <c r="K108" s="965"/>
      <c r="L108" s="965"/>
      <c r="M108" s="971">
        <v>44</v>
      </c>
      <c r="N108" s="1456" t="s">
        <v>2550</v>
      </c>
      <c r="O108" s="966">
        <f t="shared" si="4"/>
        <v>4</v>
      </c>
      <c r="P108" s="973">
        <v>4</v>
      </c>
      <c r="Q108" s="973">
        <v>0</v>
      </c>
      <c r="R108" s="1024">
        <v>0</v>
      </c>
      <c r="S108" s="1024">
        <v>0</v>
      </c>
      <c r="T108" s="1024">
        <v>0</v>
      </c>
      <c r="U108" s="1024">
        <v>0</v>
      </c>
      <c r="V108" s="1024">
        <v>0</v>
      </c>
      <c r="W108" s="1024">
        <v>0</v>
      </c>
      <c r="X108" s="1024">
        <v>0</v>
      </c>
      <c r="Y108" s="1024">
        <v>0</v>
      </c>
      <c r="Z108" s="1024">
        <v>0</v>
      </c>
      <c r="AA108" s="1024">
        <v>0</v>
      </c>
      <c r="AB108" s="965"/>
      <c r="AC108" s="965"/>
    </row>
    <row r="109" spans="1:29">
      <c r="A109" s="965"/>
      <c r="B109" s="965"/>
      <c r="C109" s="965"/>
      <c r="D109" s="965"/>
      <c r="E109" s="965"/>
      <c r="F109" s="965"/>
      <c r="G109" s="965"/>
      <c r="H109" s="965"/>
      <c r="I109" s="965"/>
      <c r="J109" s="965"/>
      <c r="K109" s="965"/>
      <c r="L109" s="965"/>
      <c r="M109" s="971">
        <v>45</v>
      </c>
      <c r="N109" s="1456" t="s">
        <v>2476</v>
      </c>
      <c r="O109" s="966">
        <f t="shared" si="4"/>
        <v>4755</v>
      </c>
      <c r="P109" s="973">
        <v>488</v>
      </c>
      <c r="Q109" s="973">
        <v>298</v>
      </c>
      <c r="R109" s="1024">
        <v>678</v>
      </c>
      <c r="S109" s="973">
        <v>946</v>
      </c>
      <c r="T109" s="973">
        <v>1253</v>
      </c>
      <c r="U109" s="973">
        <v>1092</v>
      </c>
      <c r="V109" s="973">
        <v>0</v>
      </c>
      <c r="W109" s="973">
        <v>0</v>
      </c>
      <c r="X109" s="973">
        <v>0</v>
      </c>
      <c r="Y109" s="973">
        <v>0</v>
      </c>
      <c r="Z109" s="973">
        <v>0</v>
      </c>
      <c r="AA109" s="973">
        <v>0</v>
      </c>
      <c r="AB109" s="965"/>
      <c r="AC109" s="965"/>
    </row>
    <row r="110" spans="1:29">
      <c r="A110" s="965"/>
      <c r="B110" s="965"/>
      <c r="C110" s="965"/>
      <c r="D110" s="965"/>
      <c r="E110" s="965"/>
      <c r="F110" s="965"/>
      <c r="G110" s="965"/>
      <c r="H110" s="965"/>
      <c r="I110" s="965"/>
      <c r="J110" s="965"/>
      <c r="K110" s="965"/>
      <c r="L110" s="965"/>
      <c r="M110" s="1022">
        <v>46</v>
      </c>
      <c r="N110" s="1456" t="s">
        <v>2477</v>
      </c>
      <c r="O110" s="966">
        <f t="shared" si="4"/>
        <v>5083</v>
      </c>
      <c r="P110" s="973">
        <v>737</v>
      </c>
      <c r="Q110" s="973">
        <v>173</v>
      </c>
      <c r="R110" s="1024">
        <v>2117</v>
      </c>
      <c r="S110" s="973">
        <v>715</v>
      </c>
      <c r="T110" s="973">
        <v>858</v>
      </c>
      <c r="U110" s="973">
        <v>483</v>
      </c>
      <c r="V110" s="973">
        <v>0</v>
      </c>
      <c r="W110" s="973">
        <v>0</v>
      </c>
      <c r="X110" s="973">
        <v>0</v>
      </c>
      <c r="Y110" s="973">
        <v>0</v>
      </c>
      <c r="Z110" s="973">
        <v>0</v>
      </c>
      <c r="AA110" s="973">
        <v>0</v>
      </c>
      <c r="AB110" s="965"/>
      <c r="AC110" s="965"/>
    </row>
    <row r="111" spans="1:29">
      <c r="A111" s="965"/>
      <c r="B111" s="965"/>
      <c r="C111" s="965"/>
      <c r="D111" s="965"/>
      <c r="E111" s="965"/>
      <c r="F111" s="965"/>
      <c r="G111" s="965"/>
      <c r="H111" s="965"/>
      <c r="I111" s="965"/>
      <c r="J111" s="965"/>
      <c r="K111" s="965"/>
      <c r="L111" s="965"/>
      <c r="M111" s="971">
        <v>47</v>
      </c>
      <c r="N111" s="1457" t="s">
        <v>170</v>
      </c>
      <c r="O111" s="966">
        <f t="shared" si="4"/>
        <v>1646389</v>
      </c>
      <c r="P111" s="973">
        <v>157263</v>
      </c>
      <c r="Q111" s="973">
        <v>53865</v>
      </c>
      <c r="R111" s="1024">
        <v>109685</v>
      </c>
      <c r="S111" s="973">
        <f>137399+5</f>
        <v>137404</v>
      </c>
      <c r="T111" s="973">
        <f>100585+8</f>
        <v>100593</v>
      </c>
      <c r="U111" s="973">
        <f>83742-18</f>
        <v>83724</v>
      </c>
      <c r="V111" s="973">
        <f>109131+83235-1</f>
        <v>192365</v>
      </c>
      <c r="W111" s="973">
        <f>68226+83235</f>
        <v>151461</v>
      </c>
      <c r="X111" s="973">
        <f>82623+83235</f>
        <v>165858</v>
      </c>
      <c r="Y111" s="973">
        <f>101574+83235</f>
        <v>184809</v>
      </c>
      <c r="Z111" s="973">
        <f>75346+83235</f>
        <v>158581</v>
      </c>
      <c r="AA111" s="973">
        <f>67547+83235-1</f>
        <v>150781</v>
      </c>
      <c r="AB111" s="965"/>
      <c r="AC111" s="965"/>
    </row>
    <row r="112" spans="1:29">
      <c r="A112" s="965"/>
      <c r="B112" s="965"/>
      <c r="C112" s="965"/>
      <c r="D112" s="965"/>
      <c r="E112" s="965"/>
      <c r="F112" s="965"/>
      <c r="G112" s="965"/>
      <c r="H112" s="965"/>
      <c r="I112" s="965"/>
      <c r="J112" s="965"/>
      <c r="K112" s="965"/>
      <c r="L112" s="965"/>
      <c r="M112" s="971">
        <v>48</v>
      </c>
      <c r="N112" s="1457" t="s">
        <v>988</v>
      </c>
      <c r="O112" s="966">
        <f t="shared" si="4"/>
        <v>2330</v>
      </c>
      <c r="P112" s="973">
        <v>313</v>
      </c>
      <c r="Q112" s="973">
        <v>590</v>
      </c>
      <c r="R112" s="1024">
        <v>751</v>
      </c>
      <c r="S112" s="973">
        <v>338</v>
      </c>
      <c r="T112" s="973">
        <v>338</v>
      </c>
      <c r="U112" s="973">
        <v>0</v>
      </c>
      <c r="V112" s="973">
        <v>0</v>
      </c>
      <c r="W112" s="973">
        <v>0</v>
      </c>
      <c r="X112" s="973">
        <v>0</v>
      </c>
      <c r="Y112" s="973">
        <v>0</v>
      </c>
      <c r="Z112" s="973">
        <v>0</v>
      </c>
      <c r="AA112" s="973">
        <v>0</v>
      </c>
      <c r="AB112" s="965"/>
      <c r="AC112" s="965"/>
    </row>
    <row r="113" spans="1:29">
      <c r="A113" s="965"/>
      <c r="B113" s="965"/>
      <c r="C113" s="965"/>
      <c r="D113" s="965"/>
      <c r="E113" s="965"/>
      <c r="F113" s="965"/>
      <c r="G113" s="965"/>
      <c r="H113" s="965"/>
      <c r="I113" s="965"/>
      <c r="J113" s="965"/>
      <c r="K113" s="965"/>
      <c r="L113" s="965"/>
      <c r="M113" s="1022">
        <v>49</v>
      </c>
      <c r="N113" s="1456" t="s">
        <v>2976</v>
      </c>
      <c r="O113" s="966">
        <f t="shared" ref="O113" si="6">SUM(P113:AA113)</f>
        <v>-6</v>
      </c>
      <c r="P113" s="973">
        <v>0</v>
      </c>
      <c r="Q113" s="973">
        <v>0</v>
      </c>
      <c r="R113" s="1024">
        <v>0</v>
      </c>
      <c r="S113" s="973">
        <v>0</v>
      </c>
      <c r="T113" s="973">
        <v>0</v>
      </c>
      <c r="U113" s="973">
        <v>-6</v>
      </c>
      <c r="V113" s="973">
        <v>0</v>
      </c>
      <c r="W113" s="973">
        <v>0</v>
      </c>
      <c r="X113" s="973">
        <v>0</v>
      </c>
      <c r="Y113" s="973">
        <v>0</v>
      </c>
      <c r="Z113" s="973">
        <v>0</v>
      </c>
      <c r="AA113" s="973">
        <v>0</v>
      </c>
      <c r="AB113" s="965"/>
      <c r="AC113" s="965"/>
    </row>
    <row r="114" spans="1:29">
      <c r="A114" s="965"/>
      <c r="B114" s="965"/>
      <c r="C114" s="965"/>
      <c r="D114" s="965"/>
      <c r="E114" s="965"/>
      <c r="F114" s="965"/>
      <c r="G114" s="965"/>
      <c r="H114" s="965"/>
      <c r="I114" s="965"/>
      <c r="J114" s="965"/>
      <c r="K114" s="965"/>
      <c r="L114" s="965"/>
      <c r="M114" s="971">
        <v>50</v>
      </c>
      <c r="N114" s="1456" t="s">
        <v>2669</v>
      </c>
      <c r="O114" s="966">
        <f t="shared" si="4"/>
        <v>12821</v>
      </c>
      <c r="P114" s="973">
        <v>0</v>
      </c>
      <c r="Q114" s="973">
        <v>0</v>
      </c>
      <c r="R114" s="973">
        <v>12821</v>
      </c>
      <c r="S114" s="973">
        <v>0</v>
      </c>
      <c r="T114" s="973">
        <v>0</v>
      </c>
      <c r="U114" s="973">
        <v>0</v>
      </c>
      <c r="V114" s="973">
        <v>0</v>
      </c>
      <c r="W114" s="973">
        <v>0</v>
      </c>
      <c r="X114" s="973">
        <v>0</v>
      </c>
      <c r="Y114" s="973">
        <v>0</v>
      </c>
      <c r="Z114" s="973">
        <v>0</v>
      </c>
      <c r="AA114" s="973">
        <v>0</v>
      </c>
      <c r="AB114" s="965"/>
      <c r="AC114" s="965"/>
    </row>
    <row r="115" spans="1:29">
      <c r="A115" s="965"/>
      <c r="B115" s="965"/>
      <c r="C115" s="965"/>
      <c r="D115" s="965"/>
      <c r="E115" s="965"/>
      <c r="F115" s="965"/>
      <c r="G115" s="965"/>
      <c r="H115" s="965"/>
      <c r="I115" s="965"/>
      <c r="J115" s="965"/>
      <c r="K115" s="965"/>
      <c r="L115" s="965"/>
      <c r="M115" s="971">
        <v>51</v>
      </c>
      <c r="N115" s="1456" t="s">
        <v>2478</v>
      </c>
      <c r="O115" s="966">
        <f t="shared" si="4"/>
        <v>2471</v>
      </c>
      <c r="P115" s="973">
        <v>663</v>
      </c>
      <c r="Q115" s="973">
        <v>-293</v>
      </c>
      <c r="R115" s="1024">
        <v>1211</v>
      </c>
      <c r="S115" s="973">
        <v>637</v>
      </c>
      <c r="T115" s="973">
        <v>-223</v>
      </c>
      <c r="U115" s="973">
        <v>476</v>
      </c>
      <c r="V115" s="973">
        <v>0</v>
      </c>
      <c r="W115" s="973">
        <v>0</v>
      </c>
      <c r="X115" s="973">
        <v>0</v>
      </c>
      <c r="Y115" s="973">
        <v>0</v>
      </c>
      <c r="Z115" s="973">
        <v>0</v>
      </c>
      <c r="AA115" s="973">
        <v>0</v>
      </c>
      <c r="AB115" s="965"/>
      <c r="AC115" s="965"/>
    </row>
    <row r="116" spans="1:29">
      <c r="A116" s="965"/>
      <c r="B116" s="965"/>
      <c r="C116" s="965"/>
      <c r="D116" s="965"/>
      <c r="E116" s="965"/>
      <c r="F116" s="965"/>
      <c r="G116" s="965"/>
      <c r="H116" s="965"/>
      <c r="I116" s="965"/>
      <c r="J116" s="965"/>
      <c r="K116" s="965"/>
      <c r="L116" s="965"/>
      <c r="M116" s="1022">
        <v>52</v>
      </c>
      <c r="N116" s="1456" t="s">
        <v>2479</v>
      </c>
      <c r="O116" s="966">
        <f t="shared" si="4"/>
        <v>43791</v>
      </c>
      <c r="P116" s="973">
        <v>9073</v>
      </c>
      <c r="Q116" s="973">
        <v>5427</v>
      </c>
      <c r="R116" s="1024">
        <v>9258</v>
      </c>
      <c r="S116" s="973">
        <v>4863</v>
      </c>
      <c r="T116" s="973">
        <v>3110</v>
      </c>
      <c r="U116" s="973">
        <v>12060</v>
      </c>
      <c r="V116" s="973">
        <v>0</v>
      </c>
      <c r="W116" s="973">
        <v>0</v>
      </c>
      <c r="X116" s="973">
        <v>0</v>
      </c>
      <c r="Y116" s="973">
        <v>0</v>
      </c>
      <c r="Z116" s="973">
        <v>0</v>
      </c>
      <c r="AA116" s="973">
        <v>0</v>
      </c>
      <c r="AB116" s="965"/>
      <c r="AC116" s="965"/>
    </row>
    <row r="117" spans="1:29">
      <c r="A117" s="965"/>
      <c r="B117" s="965"/>
      <c r="C117" s="965"/>
      <c r="D117" s="965"/>
      <c r="E117" s="965"/>
      <c r="F117" s="965"/>
      <c r="G117" s="965"/>
      <c r="H117" s="965"/>
      <c r="I117" s="965"/>
      <c r="J117" s="965"/>
      <c r="K117" s="965"/>
      <c r="L117" s="965"/>
      <c r="M117" s="971">
        <v>53</v>
      </c>
      <c r="N117" s="1456" t="s">
        <v>2484</v>
      </c>
      <c r="O117" s="966">
        <f t="shared" si="4"/>
        <v>131076</v>
      </c>
      <c r="P117" s="973">
        <f>37+85</f>
        <v>122</v>
      </c>
      <c r="Q117" s="973">
        <v>0</v>
      </c>
      <c r="R117" s="1024">
        <v>70</v>
      </c>
      <c r="S117" s="973">
        <v>78</v>
      </c>
      <c r="T117" s="973">
        <v>36</v>
      </c>
      <c r="U117" s="973">
        <v>0</v>
      </c>
      <c r="V117" s="973">
        <v>21795</v>
      </c>
      <c r="W117" s="973">
        <v>21795</v>
      </c>
      <c r="X117" s="973">
        <v>21795</v>
      </c>
      <c r="Y117" s="973">
        <v>21795</v>
      </c>
      <c r="Z117" s="973">
        <v>21795</v>
      </c>
      <c r="AA117" s="973">
        <v>21795</v>
      </c>
      <c r="AB117" s="965"/>
      <c r="AC117" s="965"/>
    </row>
    <row r="118" spans="1:29">
      <c r="A118" s="965"/>
      <c r="B118" s="965"/>
      <c r="C118" s="965"/>
      <c r="D118" s="965"/>
      <c r="E118" s="965"/>
      <c r="F118" s="965"/>
      <c r="G118" s="965"/>
      <c r="H118" s="965"/>
      <c r="I118" s="965"/>
      <c r="J118" s="965"/>
      <c r="K118" s="965"/>
      <c r="L118" s="965"/>
      <c r="M118" s="971">
        <v>54</v>
      </c>
      <c r="N118" s="1456" t="s">
        <v>2480</v>
      </c>
      <c r="O118" s="966">
        <f t="shared" si="4"/>
        <v>26553</v>
      </c>
      <c r="P118" s="973">
        <v>6486</v>
      </c>
      <c r="Q118" s="973">
        <v>0</v>
      </c>
      <c r="R118" s="1024">
        <v>1761</v>
      </c>
      <c r="S118" s="973">
        <v>2</v>
      </c>
      <c r="T118" s="973">
        <v>6082</v>
      </c>
      <c r="U118" s="973">
        <v>0</v>
      </c>
      <c r="V118" s="973">
        <v>2037</v>
      </c>
      <c r="W118" s="973">
        <v>2037</v>
      </c>
      <c r="X118" s="973">
        <v>2037</v>
      </c>
      <c r="Y118" s="973">
        <v>2037</v>
      </c>
      <c r="Z118" s="973">
        <v>2037</v>
      </c>
      <c r="AA118" s="973">
        <v>2037</v>
      </c>
      <c r="AB118" s="965"/>
      <c r="AC118" s="965"/>
    </row>
    <row r="119" spans="1:29">
      <c r="A119" s="965"/>
      <c r="B119" s="965"/>
      <c r="C119" s="965"/>
      <c r="D119" s="965"/>
      <c r="E119" s="965"/>
      <c r="F119" s="965"/>
      <c r="G119" s="965"/>
      <c r="H119" s="965"/>
      <c r="I119" s="965"/>
      <c r="J119" s="965"/>
      <c r="K119" s="965"/>
      <c r="L119" s="965"/>
      <c r="M119" s="1022">
        <v>55</v>
      </c>
      <c r="N119" s="1456" t="s">
        <v>2481</v>
      </c>
      <c r="O119" s="966">
        <f t="shared" si="4"/>
        <v>9866</v>
      </c>
      <c r="P119" s="973">
        <v>1110</v>
      </c>
      <c r="Q119" s="973">
        <v>1005</v>
      </c>
      <c r="R119" s="1024">
        <v>861</v>
      </c>
      <c r="S119" s="973">
        <v>1079</v>
      </c>
      <c r="T119" s="973">
        <v>1269</v>
      </c>
      <c r="U119" s="973">
        <v>2327</v>
      </c>
      <c r="V119" s="973">
        <v>341</v>
      </c>
      <c r="W119" s="973">
        <v>341</v>
      </c>
      <c r="X119" s="973">
        <v>341</v>
      </c>
      <c r="Y119" s="973">
        <v>510</v>
      </c>
      <c r="Z119" s="973">
        <v>341</v>
      </c>
      <c r="AA119" s="973">
        <v>341</v>
      </c>
      <c r="AB119" s="965"/>
      <c r="AC119" s="965"/>
    </row>
    <row r="120" spans="1:29">
      <c r="A120" s="965"/>
      <c r="B120" s="965"/>
      <c r="C120" s="965"/>
      <c r="D120" s="965"/>
      <c r="E120" s="965"/>
      <c r="F120" s="965"/>
      <c r="G120" s="965"/>
      <c r="H120" s="965"/>
      <c r="I120" s="965"/>
      <c r="J120" s="965"/>
      <c r="K120" s="965"/>
      <c r="L120" s="965"/>
      <c r="M120" s="971">
        <v>56</v>
      </c>
      <c r="N120" s="1456" t="s">
        <v>2670</v>
      </c>
      <c r="O120" s="966">
        <f t="shared" si="4"/>
        <v>2376</v>
      </c>
      <c r="P120" s="973"/>
      <c r="Q120" s="973"/>
      <c r="R120" s="1024">
        <v>0</v>
      </c>
      <c r="S120" s="973">
        <v>0</v>
      </c>
      <c r="T120" s="973">
        <v>0</v>
      </c>
      <c r="U120" s="973">
        <v>0</v>
      </c>
      <c r="V120" s="973">
        <v>396</v>
      </c>
      <c r="W120" s="973">
        <v>396</v>
      </c>
      <c r="X120" s="973">
        <v>396</v>
      </c>
      <c r="Y120" s="973">
        <v>396</v>
      </c>
      <c r="Z120" s="973">
        <v>396</v>
      </c>
      <c r="AA120" s="973">
        <v>396</v>
      </c>
      <c r="AB120" s="965"/>
      <c r="AC120" s="965"/>
    </row>
    <row r="121" spans="1:29">
      <c r="A121" s="965"/>
      <c r="B121" s="965"/>
      <c r="C121" s="965"/>
      <c r="D121" s="965"/>
      <c r="E121" s="965"/>
      <c r="F121" s="965"/>
      <c r="G121" s="965"/>
      <c r="H121" s="965"/>
      <c r="I121" s="965"/>
      <c r="J121" s="965"/>
      <c r="K121" s="965"/>
      <c r="L121" s="965"/>
      <c r="M121" s="971">
        <v>57</v>
      </c>
      <c r="N121" s="1456" t="s">
        <v>2482</v>
      </c>
      <c r="O121" s="966">
        <f t="shared" si="4"/>
        <v>21281</v>
      </c>
      <c r="P121" s="973">
        <v>16210</v>
      </c>
      <c r="Q121" s="973">
        <v>159</v>
      </c>
      <c r="R121" s="973">
        <v>80</v>
      </c>
      <c r="S121" s="973">
        <v>0</v>
      </c>
      <c r="T121" s="973">
        <v>0</v>
      </c>
      <c r="U121" s="973">
        <v>2039</v>
      </c>
      <c r="V121" s="973">
        <v>0</v>
      </c>
      <c r="W121" s="973">
        <v>0</v>
      </c>
      <c r="X121" s="973">
        <v>0</v>
      </c>
      <c r="Y121" s="973">
        <v>2793</v>
      </c>
      <c r="Z121" s="973">
        <v>0</v>
      </c>
      <c r="AA121" s="973">
        <v>0</v>
      </c>
      <c r="AB121" s="965"/>
      <c r="AC121" s="965"/>
    </row>
    <row r="122" spans="1:29">
      <c r="A122" s="965"/>
      <c r="B122" s="965"/>
      <c r="C122" s="965"/>
      <c r="D122" s="965"/>
      <c r="E122" s="965"/>
      <c r="F122" s="965"/>
      <c r="G122" s="965"/>
      <c r="H122" s="965"/>
      <c r="I122" s="965"/>
      <c r="J122" s="965"/>
      <c r="K122" s="965"/>
      <c r="L122" s="965"/>
      <c r="M122" s="1022">
        <v>58</v>
      </c>
      <c r="N122" s="1930" t="s">
        <v>582</v>
      </c>
      <c r="O122" s="974">
        <f t="shared" ref="O122:AA122" si="7">SUM(O80:O121)</f>
        <v>1964839</v>
      </c>
      <c r="P122" s="974">
        <f t="shared" si="7"/>
        <v>209640</v>
      </c>
      <c r="Q122" s="974">
        <f t="shared" si="7"/>
        <v>60521</v>
      </c>
      <c r="R122" s="974">
        <f t="shared" si="7"/>
        <v>138967</v>
      </c>
      <c r="S122" s="974">
        <f t="shared" si="7"/>
        <v>141453</v>
      </c>
      <c r="T122" s="974">
        <f t="shared" si="7"/>
        <v>105015</v>
      </c>
      <c r="U122" s="974">
        <f t="shared" si="7"/>
        <v>101780</v>
      </c>
      <c r="V122" s="974">
        <f t="shared" si="7"/>
        <v>239445</v>
      </c>
      <c r="W122" s="974">
        <f t="shared" si="7"/>
        <v>179300</v>
      </c>
      <c r="X122" s="974">
        <f t="shared" si="7"/>
        <v>187055</v>
      </c>
      <c r="Y122" s="974">
        <f t="shared" si="7"/>
        <v>229778</v>
      </c>
      <c r="Z122" s="974">
        <f t="shared" si="7"/>
        <v>191592</v>
      </c>
      <c r="AA122" s="974">
        <f t="shared" si="7"/>
        <v>180293</v>
      </c>
      <c r="AB122" s="965"/>
      <c r="AC122" s="965"/>
    </row>
    <row r="123" spans="1:29">
      <c r="A123" s="965"/>
      <c r="B123" s="965"/>
      <c r="C123" s="965"/>
      <c r="D123" s="965"/>
      <c r="E123" s="965"/>
      <c r="F123" s="965"/>
      <c r="G123" s="965"/>
      <c r="H123" s="965"/>
      <c r="I123" s="965"/>
      <c r="J123" s="965"/>
      <c r="K123" s="965"/>
      <c r="L123" s="965"/>
      <c r="M123" s="971">
        <v>59</v>
      </c>
      <c r="N123" s="1930"/>
      <c r="O123" s="978"/>
      <c r="P123" s="978"/>
      <c r="Q123" s="978"/>
      <c r="R123" s="978"/>
      <c r="S123" s="1026"/>
      <c r="T123" s="978"/>
      <c r="U123" s="978"/>
      <c r="V123" s="978"/>
      <c r="W123" s="979"/>
      <c r="X123" s="976"/>
      <c r="Y123" s="976"/>
      <c r="Z123" s="976"/>
      <c r="AA123" s="976"/>
      <c r="AB123" s="965"/>
      <c r="AC123" s="965"/>
    </row>
    <row r="124" spans="1:29" ht="13.5" thickBot="1">
      <c r="A124" s="965"/>
      <c r="B124" s="965"/>
      <c r="C124" s="965"/>
      <c r="D124" s="965"/>
      <c r="E124" s="965"/>
      <c r="F124" s="965"/>
      <c r="G124" s="965"/>
      <c r="H124" s="965"/>
      <c r="I124" s="965"/>
      <c r="J124" s="965"/>
      <c r="K124" s="965"/>
      <c r="L124" s="965"/>
      <c r="M124" s="971">
        <v>60</v>
      </c>
      <c r="N124" s="987" t="s">
        <v>826</v>
      </c>
      <c r="O124" s="980">
        <f t="shared" ref="O124:AA124" si="8">O122+O77+O73+O69</f>
        <v>2130184</v>
      </c>
      <c r="P124" s="980">
        <f t="shared" si="8"/>
        <v>229227</v>
      </c>
      <c r="Q124" s="980">
        <f t="shared" si="8"/>
        <v>64772</v>
      </c>
      <c r="R124" s="980">
        <f t="shared" si="8"/>
        <v>149589</v>
      </c>
      <c r="S124" s="980">
        <f t="shared" si="8"/>
        <v>142914</v>
      </c>
      <c r="T124" s="980">
        <f t="shared" si="8"/>
        <v>113237</v>
      </c>
      <c r="U124" s="980">
        <f t="shared" si="8"/>
        <v>121982</v>
      </c>
      <c r="V124" s="980">
        <f t="shared" si="8"/>
        <v>265705</v>
      </c>
      <c r="W124" s="980">
        <f t="shared" si="8"/>
        <v>187380</v>
      </c>
      <c r="X124" s="980">
        <f t="shared" si="8"/>
        <v>199175</v>
      </c>
      <c r="Y124" s="980">
        <f t="shared" si="8"/>
        <v>260078</v>
      </c>
      <c r="Z124" s="980">
        <f t="shared" si="8"/>
        <v>203712</v>
      </c>
      <c r="AA124" s="980">
        <f t="shared" si="8"/>
        <v>192413</v>
      </c>
      <c r="AB124" s="965"/>
      <c r="AC124" s="965"/>
    </row>
    <row r="125" spans="1:29" ht="13.5" thickTop="1">
      <c r="A125" s="965"/>
      <c r="B125" s="965"/>
      <c r="C125" s="965"/>
      <c r="D125" s="965"/>
      <c r="E125" s="965"/>
      <c r="F125" s="965"/>
      <c r="G125" s="965"/>
      <c r="H125" s="965"/>
      <c r="I125" s="965"/>
      <c r="J125" s="965"/>
      <c r="K125" s="965"/>
      <c r="L125" s="965"/>
      <c r="M125" s="965"/>
      <c r="N125" s="987"/>
      <c r="O125" s="965"/>
      <c r="P125" s="976"/>
      <c r="Q125" s="976"/>
      <c r="R125" s="976"/>
      <c r="S125" s="988"/>
      <c r="T125" s="976"/>
      <c r="U125" s="976"/>
      <c r="V125" s="976"/>
      <c r="W125" s="976"/>
      <c r="X125" s="976"/>
      <c r="Y125" s="976"/>
      <c r="Z125" s="976"/>
      <c r="AA125" s="976"/>
      <c r="AB125" s="965"/>
      <c r="AC125" s="965"/>
    </row>
    <row r="126" spans="1:29">
      <c r="A126" s="965"/>
      <c r="B126" s="965"/>
      <c r="C126" s="965"/>
      <c r="D126" s="965"/>
      <c r="E126" s="965"/>
      <c r="F126" s="965"/>
      <c r="G126" s="965"/>
      <c r="H126" s="965"/>
      <c r="I126" s="965"/>
      <c r="J126" s="965"/>
      <c r="K126" s="965"/>
      <c r="L126" s="965"/>
      <c r="M126" s="965"/>
      <c r="N126" s="965"/>
      <c r="O126" s="965" t="str">
        <f>IF(O124='SCH_C2.1 - Base Period'!J261,"Balanced","Check C-2.1")</f>
        <v>Balanced</v>
      </c>
      <c r="P126" s="965" t="str">
        <f>IF(P124='BASE PERIOD'!F190+'BASE PERIOD'!F191,"Balanced","Check C-2.1")</f>
        <v>Balanced</v>
      </c>
      <c r="Q126" s="965" t="str">
        <f>IF(Q124='BASE PERIOD'!G190+'BASE PERIOD'!G191,"Balanced","Check C-2.1")</f>
        <v>Balanced</v>
      </c>
      <c r="R126" s="965" t="str">
        <f>IF(R124='BASE PERIOD'!H190+'BASE PERIOD'!H191,"Balanced","Check C-2.1")</f>
        <v>Balanced</v>
      </c>
      <c r="S126" s="965" t="str">
        <f>IF(S124='BASE PERIOD'!I190+'BASE PERIOD'!I191,"Balanced","Check C-2.1")</f>
        <v>Balanced</v>
      </c>
      <c r="T126" s="965" t="str">
        <f>IF(T124='BASE PERIOD'!J190+'BASE PERIOD'!J191,"Balanced","Check C-2.1")</f>
        <v>Balanced</v>
      </c>
      <c r="U126" s="965" t="str">
        <f>IF(U124='BASE PERIOD'!K190+'BASE PERIOD'!K191,"Balanced","Check C-2.1")</f>
        <v>Balanced</v>
      </c>
      <c r="V126" s="965" t="str">
        <f>IF(V124='BASE PERIOD'!L190+'BASE PERIOD'!L191,"Balanced","Check C-2.1")</f>
        <v>Balanced</v>
      </c>
      <c r="W126" s="965" t="str">
        <f>IF(W124='BASE PERIOD'!M190+'BASE PERIOD'!M191,"Balanced","Check C-2.1")</f>
        <v>Balanced</v>
      </c>
      <c r="X126" s="965" t="str">
        <f>IF(X124='BASE PERIOD'!N190+'BASE PERIOD'!N191,"Balanced","Check C-2.1")</f>
        <v>Balanced</v>
      </c>
      <c r="Y126" s="965" t="str">
        <f>IF(Y124='BASE PERIOD'!O190+'BASE PERIOD'!O191,"Balanced","Check C-2.1")</f>
        <v>Balanced</v>
      </c>
      <c r="Z126" s="965" t="str">
        <f>IF(Z124='BASE PERIOD'!P190+'BASE PERIOD'!P191,"Balanced","Check C-2.1")</f>
        <v>Balanced</v>
      </c>
      <c r="AA126" s="965" t="str">
        <f>IF(AA124='BASE PERIOD'!Q190+'BASE PERIOD'!Q191,"Balanced","Check C-2.1")</f>
        <v>Balanced</v>
      </c>
      <c r="AB126" s="965"/>
      <c r="AC126" s="965"/>
    </row>
    <row r="127" spans="1:29">
      <c r="A127" s="965"/>
      <c r="B127" s="965"/>
      <c r="C127" s="965"/>
      <c r="D127" s="965"/>
      <c r="E127" s="965"/>
      <c r="F127" s="965"/>
      <c r="G127" s="965"/>
      <c r="H127" s="965"/>
      <c r="I127" s="965"/>
      <c r="J127" s="965"/>
      <c r="K127" s="965"/>
      <c r="L127" s="965"/>
      <c r="M127" s="965"/>
      <c r="N127" s="965"/>
      <c r="O127" s="965"/>
      <c r="P127" s="976">
        <f>'BASE PERIOD'!F190+'BASE PERIOD'!F191</f>
        <v>229227</v>
      </c>
      <c r="Q127" s="976">
        <f>'BASE PERIOD'!G190+'BASE PERIOD'!G191</f>
        <v>64772</v>
      </c>
      <c r="R127" s="976">
        <f>'BASE PERIOD'!H190+'BASE PERIOD'!H191</f>
        <v>149589</v>
      </c>
      <c r="S127" s="976">
        <f>'BASE PERIOD'!I190+'BASE PERIOD'!I191</f>
        <v>142914</v>
      </c>
      <c r="T127" s="976">
        <f>'BASE PERIOD'!J190+'BASE PERIOD'!J191</f>
        <v>113237</v>
      </c>
      <c r="U127" s="976">
        <f>'BASE PERIOD'!K190+'BASE PERIOD'!K191</f>
        <v>121982</v>
      </c>
      <c r="V127" s="976">
        <f>'BASE PERIOD'!L190+'BASE PERIOD'!L191</f>
        <v>265705</v>
      </c>
      <c r="W127" s="976">
        <f>'BASE PERIOD'!M190+'BASE PERIOD'!M191</f>
        <v>187380</v>
      </c>
      <c r="X127" s="976">
        <f>'BASE PERIOD'!N190+'BASE PERIOD'!N191</f>
        <v>199175</v>
      </c>
      <c r="Y127" s="976">
        <f>'BASE PERIOD'!O190+'BASE PERIOD'!O191</f>
        <v>260078</v>
      </c>
      <c r="Z127" s="976">
        <f>'BASE PERIOD'!P190+'BASE PERIOD'!P191</f>
        <v>203712</v>
      </c>
      <c r="AA127" s="976">
        <f>'BASE PERIOD'!Q190+'BASE PERIOD'!Q191</f>
        <v>192413</v>
      </c>
      <c r="AB127" s="965"/>
      <c r="AC127" s="965"/>
    </row>
    <row r="128" spans="1:29">
      <c r="A128" s="965"/>
      <c r="B128" s="965"/>
      <c r="C128" s="965"/>
      <c r="D128" s="965"/>
      <c r="E128" s="965"/>
      <c r="F128" s="965"/>
      <c r="G128" s="965"/>
      <c r="H128" s="965"/>
      <c r="I128" s="965"/>
      <c r="J128" s="965"/>
      <c r="K128" s="965"/>
      <c r="L128" s="965"/>
      <c r="M128" s="965"/>
      <c r="N128" s="965"/>
      <c r="O128" s="965"/>
      <c r="R128" s="965"/>
      <c r="S128" s="976">
        <f>S127-S124</f>
        <v>0</v>
      </c>
      <c r="T128" s="976">
        <f>T127-T124</f>
        <v>0</v>
      </c>
      <c r="U128" s="976">
        <f>U127-U124</f>
        <v>0</v>
      </c>
      <c r="V128" s="976">
        <f t="shared" ref="V128:AA128" si="9">V127-V124</f>
        <v>0</v>
      </c>
      <c r="W128" s="976">
        <f t="shared" si="9"/>
        <v>0</v>
      </c>
      <c r="X128" s="976">
        <f t="shared" si="9"/>
        <v>0</v>
      </c>
      <c r="Y128" s="976">
        <f t="shared" si="9"/>
        <v>0</v>
      </c>
      <c r="Z128" s="976">
        <f t="shared" si="9"/>
        <v>0</v>
      </c>
      <c r="AA128" s="976">
        <f t="shared" si="9"/>
        <v>0</v>
      </c>
      <c r="AB128" s="965"/>
      <c r="AC128" s="965"/>
    </row>
    <row r="129" spans="1:29">
      <c r="A129" s="965"/>
      <c r="B129" s="965"/>
      <c r="C129" s="965"/>
      <c r="D129" s="965"/>
      <c r="E129" s="965"/>
      <c r="F129" s="965"/>
      <c r="G129" s="965"/>
      <c r="H129" s="965"/>
      <c r="I129" s="965"/>
      <c r="J129" s="965"/>
      <c r="K129" s="965"/>
      <c r="L129" s="965"/>
      <c r="M129" s="856" t="str">
        <f>COMPANY</f>
        <v>DUKE ENERGY KENTUCKY, INC.</v>
      </c>
      <c r="N129" s="968"/>
      <c r="O129" s="968"/>
      <c r="P129" s="968"/>
      <c r="Q129" s="968"/>
      <c r="R129" s="1018"/>
      <c r="S129" s="968"/>
      <c r="T129" s="968"/>
      <c r="U129" s="965"/>
      <c r="V129" s="968"/>
      <c r="W129" s="968"/>
      <c r="X129" s="965"/>
      <c r="Y129" s="856" t="s">
        <v>829</v>
      </c>
      <c r="Z129" s="965"/>
      <c r="AA129" s="965"/>
      <c r="AB129" s="965"/>
      <c r="AC129" s="965"/>
    </row>
    <row r="130" spans="1:29">
      <c r="A130" s="965"/>
      <c r="B130" s="965"/>
      <c r="C130" s="965"/>
      <c r="D130" s="965"/>
      <c r="E130" s="965"/>
      <c r="F130" s="965"/>
      <c r="G130" s="965"/>
      <c r="H130" s="965"/>
      <c r="I130" s="965"/>
      <c r="J130" s="965"/>
      <c r="K130" s="965"/>
      <c r="L130" s="965"/>
      <c r="M130" s="856" t="str">
        <f>CASE</f>
        <v>CASE NO. 2017-00321</v>
      </c>
      <c r="N130" s="968"/>
      <c r="O130" s="968"/>
      <c r="P130" s="968"/>
      <c r="Q130" s="968"/>
      <c r="R130" s="1018"/>
      <c r="S130" s="968"/>
      <c r="T130" s="968"/>
      <c r="U130" s="965"/>
      <c r="V130" s="968"/>
      <c r="W130" s="968"/>
      <c r="X130" s="965"/>
      <c r="Y130" s="856" t="s">
        <v>622</v>
      </c>
      <c r="Z130" s="965"/>
      <c r="AA130" s="965"/>
      <c r="AB130" s="965"/>
      <c r="AC130" s="965"/>
    </row>
    <row r="131" spans="1:29">
      <c r="A131" s="965"/>
      <c r="B131" s="965"/>
      <c r="C131" s="965"/>
      <c r="D131" s="965"/>
      <c r="E131" s="965"/>
      <c r="F131" s="965"/>
      <c r="G131" s="965"/>
      <c r="H131" s="965"/>
      <c r="I131" s="965"/>
      <c r="J131" s="965"/>
      <c r="K131" s="965"/>
      <c r="L131" s="965"/>
      <c r="M131" s="856" t="s">
        <v>290</v>
      </c>
      <c r="N131" s="968"/>
      <c r="O131" s="968"/>
      <c r="P131" s="968"/>
      <c r="Q131" s="968"/>
      <c r="R131" s="1018"/>
      <c r="S131" s="968"/>
      <c r="T131" s="968"/>
      <c r="U131" s="965"/>
      <c r="V131" s="968"/>
      <c r="W131" s="968"/>
      <c r="X131" s="965"/>
      <c r="Y131" s="856" t="str">
        <f>_WIT1</f>
        <v>S. E. LAWLER</v>
      </c>
      <c r="Z131" s="965"/>
      <c r="AA131" s="965"/>
      <c r="AB131" s="965"/>
      <c r="AC131" s="965"/>
    </row>
    <row r="132" spans="1:29">
      <c r="A132" s="965"/>
      <c r="B132" s="965"/>
      <c r="C132" s="965"/>
      <c r="D132" s="965"/>
      <c r="E132" s="965"/>
      <c r="F132" s="965"/>
      <c r="G132" s="965"/>
      <c r="H132" s="965"/>
      <c r="I132" s="965"/>
      <c r="J132" s="965"/>
      <c r="K132" s="965"/>
      <c r="L132" s="965"/>
      <c r="M132" s="1020" t="str">
        <f>DataF</f>
        <v>DATA:  BASE PERIOD  "X" FORECASTED PERIOD</v>
      </c>
      <c r="N132" s="968"/>
      <c r="O132" s="968"/>
      <c r="P132" s="968"/>
      <c r="Q132" s="968"/>
      <c r="R132" s="1018"/>
      <c r="S132" s="968"/>
      <c r="T132" s="968"/>
      <c r="U132" s="965"/>
      <c r="V132" s="968"/>
      <c r="W132" s="968"/>
      <c r="X132" s="965"/>
      <c r="Y132" s="965"/>
      <c r="Z132" s="965"/>
      <c r="AA132" s="965"/>
      <c r="AB132" s="965"/>
      <c r="AC132" s="965"/>
    </row>
    <row r="133" spans="1:29">
      <c r="A133" s="965"/>
      <c r="B133" s="965"/>
      <c r="C133" s="965"/>
      <c r="D133" s="965"/>
      <c r="E133" s="965"/>
      <c r="F133" s="965"/>
      <c r="G133" s="965"/>
      <c r="H133" s="965"/>
      <c r="I133" s="965"/>
      <c r="J133" s="965"/>
      <c r="K133" s="965"/>
      <c r="L133" s="965"/>
      <c r="M133" s="856" t="str">
        <f>PeriodF</f>
        <v>FOR THE TWELVE MONTHS ENDED MARCH 31, 2019</v>
      </c>
      <c r="N133" s="968"/>
      <c r="O133" s="968"/>
      <c r="P133" s="968"/>
      <c r="Q133" s="968"/>
      <c r="R133" s="968"/>
      <c r="S133" s="968"/>
      <c r="T133" s="968"/>
      <c r="U133" s="968"/>
      <c r="V133" s="968"/>
      <c r="W133" s="968"/>
      <c r="X133" s="965"/>
      <c r="Y133" s="965"/>
      <c r="Z133" s="965"/>
      <c r="AA133" s="965"/>
      <c r="AB133" s="965"/>
      <c r="AC133" s="965"/>
    </row>
    <row r="134" spans="1:29">
      <c r="A134" s="965"/>
      <c r="B134" s="965"/>
      <c r="C134" s="965"/>
      <c r="D134" s="965"/>
      <c r="E134" s="965"/>
      <c r="F134" s="965"/>
      <c r="G134" s="965"/>
      <c r="H134" s="965"/>
      <c r="I134" s="965"/>
      <c r="J134" s="965"/>
      <c r="K134" s="965"/>
      <c r="L134" s="965"/>
      <c r="M134" s="969"/>
      <c r="N134" s="969"/>
      <c r="O134" s="969"/>
      <c r="P134" s="969"/>
      <c r="Q134" s="969"/>
      <c r="R134" s="969"/>
      <c r="S134" s="969"/>
      <c r="T134" s="969"/>
      <c r="U134" s="969"/>
      <c r="V134" s="969"/>
      <c r="W134" s="969"/>
      <c r="X134" s="969"/>
      <c r="Y134" s="969"/>
      <c r="Z134" s="969"/>
      <c r="AA134" s="969"/>
      <c r="AB134" s="965"/>
      <c r="AC134" s="965"/>
    </row>
    <row r="135" spans="1:29">
      <c r="A135" s="965"/>
      <c r="B135" s="965"/>
      <c r="C135" s="965"/>
      <c r="D135" s="965"/>
      <c r="E135" s="965"/>
      <c r="F135" s="965"/>
      <c r="G135" s="965"/>
      <c r="H135" s="965"/>
      <c r="I135" s="965"/>
      <c r="J135" s="965"/>
      <c r="K135" s="965"/>
      <c r="L135" s="965"/>
      <c r="M135" s="971" t="s">
        <v>1240</v>
      </c>
      <c r="N135" s="971"/>
      <c r="O135" s="970"/>
      <c r="P135" s="970"/>
      <c r="Q135" s="970"/>
      <c r="R135" s="971"/>
      <c r="S135" s="971"/>
      <c r="T135" s="971"/>
      <c r="U135" s="971"/>
      <c r="V135" s="971"/>
      <c r="W135" s="971"/>
      <c r="X135" s="971"/>
      <c r="Y135" s="971"/>
      <c r="Z135" s="971"/>
      <c r="AA135" s="971"/>
      <c r="AB135" s="965"/>
      <c r="AC135" s="965"/>
    </row>
    <row r="136" spans="1:29">
      <c r="A136" s="965"/>
      <c r="B136" s="965"/>
      <c r="C136" s="965"/>
      <c r="D136" s="965"/>
      <c r="E136" s="965"/>
      <c r="F136" s="965"/>
      <c r="G136" s="965"/>
      <c r="H136" s="965"/>
      <c r="I136" s="965"/>
      <c r="J136" s="965"/>
      <c r="K136" s="965"/>
      <c r="L136" s="965"/>
      <c r="M136" s="971" t="s">
        <v>1241</v>
      </c>
      <c r="N136" s="971" t="s">
        <v>830</v>
      </c>
      <c r="O136" s="971" t="s">
        <v>1929</v>
      </c>
      <c r="P136" s="857">
        <f>LOGO!$J$7</f>
        <v>43220</v>
      </c>
      <c r="Q136" s="857">
        <f>LOGO!$J$8</f>
        <v>43251</v>
      </c>
      <c r="R136" s="857">
        <f>LOGO!$J$9</f>
        <v>43281</v>
      </c>
      <c r="S136" s="857">
        <f>LOGO!$J$10</f>
        <v>43312</v>
      </c>
      <c r="T136" s="857">
        <f>LOGO!$J$11</f>
        <v>43343</v>
      </c>
      <c r="U136" s="857">
        <f>LOGO!$J$12</f>
        <v>43373</v>
      </c>
      <c r="V136" s="857">
        <f>LOGO!$J$13</f>
        <v>43404</v>
      </c>
      <c r="W136" s="857">
        <f>LOGO!$J$14</f>
        <v>43434</v>
      </c>
      <c r="X136" s="857">
        <f>LOGO!$J$15</f>
        <v>43465</v>
      </c>
      <c r="Y136" s="857">
        <f>LOGO!$J$16</f>
        <v>43496</v>
      </c>
      <c r="Z136" s="857">
        <f>LOGO!$J$17</f>
        <v>43524</v>
      </c>
      <c r="AA136" s="857">
        <f>LOGO!$J$18</f>
        <v>43555</v>
      </c>
      <c r="AB136" s="965"/>
      <c r="AC136" s="965"/>
    </row>
    <row r="137" spans="1:29">
      <c r="A137" s="965"/>
      <c r="B137" s="965"/>
      <c r="C137" s="965"/>
      <c r="D137" s="965"/>
      <c r="E137" s="965"/>
      <c r="F137" s="965"/>
      <c r="G137" s="965"/>
      <c r="H137" s="965"/>
      <c r="I137" s="965"/>
      <c r="J137" s="965"/>
      <c r="K137" s="965"/>
      <c r="L137" s="965"/>
      <c r="M137" s="1944"/>
      <c r="N137" s="1944"/>
      <c r="O137" s="972" t="s">
        <v>1150</v>
      </c>
      <c r="P137" s="972" t="s">
        <v>1150</v>
      </c>
      <c r="Q137" s="972" t="s">
        <v>1150</v>
      </c>
      <c r="R137" s="972" t="s">
        <v>1150</v>
      </c>
      <c r="S137" s="972" t="s">
        <v>1150</v>
      </c>
      <c r="T137" s="972" t="s">
        <v>1150</v>
      </c>
      <c r="U137" s="972" t="s">
        <v>1150</v>
      </c>
      <c r="V137" s="972" t="s">
        <v>1150</v>
      </c>
      <c r="W137" s="972" t="s">
        <v>1150</v>
      </c>
      <c r="X137" s="972" t="s">
        <v>1150</v>
      </c>
      <c r="Y137" s="972" t="s">
        <v>1150</v>
      </c>
      <c r="Z137" s="972" t="s">
        <v>1150</v>
      </c>
      <c r="AA137" s="972" t="s">
        <v>1150</v>
      </c>
      <c r="AB137" s="965"/>
      <c r="AC137" s="965"/>
    </row>
    <row r="138" spans="1:29">
      <c r="A138" s="965"/>
      <c r="B138" s="965"/>
      <c r="C138" s="965"/>
      <c r="D138" s="965"/>
      <c r="E138" s="965"/>
      <c r="F138" s="965"/>
      <c r="G138" s="965"/>
      <c r="H138" s="965"/>
      <c r="I138" s="965"/>
      <c r="J138" s="965"/>
      <c r="K138" s="965"/>
      <c r="L138" s="965"/>
      <c r="M138" s="1022">
        <v>1</v>
      </c>
      <c r="N138" s="1023" t="s">
        <v>576</v>
      </c>
      <c r="O138" s="965"/>
      <c r="P138" s="965"/>
      <c r="Q138" s="965"/>
      <c r="R138" s="967"/>
      <c r="S138" s="967"/>
      <c r="T138" s="967"/>
      <c r="U138" s="967"/>
      <c r="V138" s="965"/>
      <c r="W138" s="965"/>
      <c r="X138" s="965"/>
      <c r="Y138" s="965"/>
      <c r="Z138" s="965"/>
      <c r="AA138" s="965"/>
      <c r="AB138" s="965"/>
      <c r="AC138" s="965"/>
    </row>
    <row r="139" spans="1:29">
      <c r="A139" s="965"/>
      <c r="B139" s="965"/>
      <c r="C139" s="965"/>
      <c r="D139" s="965"/>
      <c r="E139" s="965"/>
      <c r="F139" s="965"/>
      <c r="G139" s="965"/>
      <c r="H139" s="965"/>
      <c r="I139" s="965"/>
      <c r="J139" s="965"/>
      <c r="K139" s="965"/>
      <c r="L139" s="965"/>
      <c r="M139" s="1022">
        <v>2</v>
      </c>
      <c r="N139" s="1457" t="s">
        <v>1919</v>
      </c>
      <c r="O139" s="966">
        <f>SUM(P139:AA139)</f>
        <v>150240</v>
      </c>
      <c r="P139" s="1948">
        <v>9000</v>
      </c>
      <c r="Q139" s="1948">
        <v>9000</v>
      </c>
      <c r="R139" s="1948">
        <v>19500</v>
      </c>
      <c r="S139" s="1948">
        <v>6000</v>
      </c>
      <c r="T139" s="1948">
        <v>9000</v>
      </c>
      <c r="U139" s="1948">
        <v>22500</v>
      </c>
      <c r="V139" s="1948">
        <v>9000</v>
      </c>
      <c r="W139" s="1948">
        <v>9000</v>
      </c>
      <c r="X139" s="1948">
        <v>33000</v>
      </c>
      <c r="Y139" s="1948">
        <v>3030</v>
      </c>
      <c r="Z139" s="1948">
        <v>4545</v>
      </c>
      <c r="AA139" s="1948">
        <v>16665</v>
      </c>
      <c r="AB139" s="965"/>
      <c r="AC139" s="965"/>
    </row>
    <row r="140" spans="1:29">
      <c r="A140" s="965"/>
      <c r="B140" s="965"/>
      <c r="C140" s="965"/>
      <c r="D140" s="965"/>
      <c r="E140" s="965"/>
      <c r="F140" s="965"/>
      <c r="G140" s="965"/>
      <c r="H140" s="965"/>
      <c r="I140" s="965"/>
      <c r="J140" s="965"/>
      <c r="K140" s="965"/>
      <c r="L140" s="965"/>
      <c r="M140" s="1022">
        <v>3</v>
      </c>
      <c r="N140" s="965" t="s">
        <v>987</v>
      </c>
      <c r="O140" s="966">
        <f>SUM(P140:AA140)</f>
        <v>52083</v>
      </c>
      <c r="P140" s="1948">
        <v>3120</v>
      </c>
      <c r="Q140" s="1948">
        <v>3120</v>
      </c>
      <c r="R140" s="1948">
        <v>6760</v>
      </c>
      <c r="S140" s="1948">
        <v>2080</v>
      </c>
      <c r="T140" s="1948">
        <v>3120</v>
      </c>
      <c r="U140" s="1948">
        <v>7800</v>
      </c>
      <c r="V140" s="1948">
        <v>3120</v>
      </c>
      <c r="W140" s="1948">
        <v>3120</v>
      </c>
      <c r="X140" s="1948">
        <v>11440</v>
      </c>
      <c r="Y140" s="1948">
        <v>1050</v>
      </c>
      <c r="Z140" s="1948">
        <v>1576</v>
      </c>
      <c r="AA140" s="1948">
        <v>5777</v>
      </c>
      <c r="AB140" s="965"/>
      <c r="AC140" s="965"/>
    </row>
    <row r="141" spans="1:29">
      <c r="A141" s="965"/>
      <c r="B141" s="965"/>
      <c r="C141" s="965"/>
      <c r="D141" s="965"/>
      <c r="E141" s="965"/>
      <c r="F141" s="965"/>
      <c r="G141" s="965"/>
      <c r="H141" s="965"/>
      <c r="I141" s="965"/>
      <c r="J141" s="965"/>
      <c r="K141" s="965"/>
      <c r="L141" s="965"/>
      <c r="M141" s="1022">
        <v>4</v>
      </c>
      <c r="N141" s="1930" t="s">
        <v>577</v>
      </c>
      <c r="O141" s="974">
        <f t="shared" ref="O141:AA141" si="10">SUM(O139:O140)</f>
        <v>202323</v>
      </c>
      <c r="P141" s="974">
        <f t="shared" si="10"/>
        <v>12120</v>
      </c>
      <c r="Q141" s="974">
        <f t="shared" ref="Q141:S141" si="11">SUM(Q139:Q140)</f>
        <v>12120</v>
      </c>
      <c r="R141" s="974">
        <f t="shared" si="11"/>
        <v>26260</v>
      </c>
      <c r="S141" s="974">
        <f t="shared" si="11"/>
        <v>8080</v>
      </c>
      <c r="T141" s="974">
        <f t="shared" si="10"/>
        <v>12120</v>
      </c>
      <c r="U141" s="974">
        <f t="shared" si="10"/>
        <v>30300</v>
      </c>
      <c r="V141" s="974">
        <f t="shared" si="10"/>
        <v>12120</v>
      </c>
      <c r="W141" s="974">
        <f t="shared" si="10"/>
        <v>12120</v>
      </c>
      <c r="X141" s="974">
        <f t="shared" si="10"/>
        <v>44440</v>
      </c>
      <c r="Y141" s="974">
        <f t="shared" si="10"/>
        <v>4080</v>
      </c>
      <c r="Z141" s="974">
        <f t="shared" si="10"/>
        <v>6121</v>
      </c>
      <c r="AA141" s="974">
        <f t="shared" si="10"/>
        <v>22442</v>
      </c>
      <c r="AB141" s="965"/>
      <c r="AC141" s="965"/>
    </row>
    <row r="142" spans="1:29">
      <c r="A142" s="965"/>
      <c r="B142" s="965"/>
      <c r="C142" s="965"/>
      <c r="D142" s="965"/>
      <c r="E142" s="965"/>
      <c r="F142" s="965"/>
      <c r="G142" s="965"/>
      <c r="H142" s="965"/>
      <c r="I142" s="965"/>
      <c r="J142" s="965"/>
      <c r="K142" s="965"/>
      <c r="L142" s="965"/>
      <c r="M142" s="1022">
        <v>5</v>
      </c>
      <c r="N142" s="1457"/>
      <c r="O142" s="966"/>
      <c r="P142" s="973"/>
      <c r="Q142" s="973"/>
      <c r="R142" s="973"/>
      <c r="S142" s="973"/>
      <c r="T142" s="983"/>
      <c r="U142" s="973"/>
      <c r="V142" s="981"/>
      <c r="W142" s="975"/>
      <c r="X142" s="976"/>
      <c r="Y142" s="976"/>
      <c r="Z142" s="976"/>
      <c r="AA142" s="976"/>
      <c r="AB142" s="965"/>
      <c r="AC142" s="965"/>
    </row>
    <row r="143" spans="1:29">
      <c r="A143" s="965"/>
      <c r="B143" s="965"/>
      <c r="C143" s="965"/>
      <c r="D143" s="965"/>
      <c r="E143" s="965"/>
      <c r="F143" s="965"/>
      <c r="G143" s="965"/>
      <c r="H143" s="965"/>
      <c r="I143" s="965"/>
      <c r="J143" s="965"/>
      <c r="K143" s="965"/>
      <c r="L143" s="965"/>
      <c r="M143" s="1022">
        <v>6</v>
      </c>
      <c r="N143" s="1945" t="s">
        <v>578</v>
      </c>
      <c r="O143" s="965"/>
      <c r="P143" s="976"/>
      <c r="Q143" s="976"/>
      <c r="R143" s="976"/>
      <c r="S143" s="976"/>
      <c r="T143" s="976"/>
      <c r="U143" s="976"/>
      <c r="V143" s="976"/>
      <c r="W143" s="976"/>
      <c r="X143" s="976"/>
      <c r="Y143" s="976"/>
      <c r="Z143" s="976"/>
      <c r="AA143" s="976"/>
      <c r="AB143" s="965"/>
      <c r="AC143" s="965"/>
    </row>
    <row r="144" spans="1:29">
      <c r="A144" s="965"/>
      <c r="B144" s="965"/>
      <c r="C144" s="965"/>
      <c r="D144" s="965"/>
      <c r="E144" s="965"/>
      <c r="F144" s="965"/>
      <c r="G144" s="965"/>
      <c r="H144" s="965"/>
      <c r="I144" s="965"/>
      <c r="J144" s="965"/>
      <c r="K144" s="965"/>
      <c r="L144" s="965"/>
      <c r="M144" s="1022">
        <v>7</v>
      </c>
      <c r="N144" s="987" t="s">
        <v>827</v>
      </c>
      <c r="O144" s="966">
        <f>SUM(P144:AA144)</f>
        <v>0</v>
      </c>
      <c r="P144" s="973">
        <v>0</v>
      </c>
      <c r="Q144" s="973">
        <v>0</v>
      </c>
      <c r="R144" s="973">
        <v>0</v>
      </c>
      <c r="S144" s="973">
        <v>0</v>
      </c>
      <c r="T144" s="973">
        <v>0</v>
      </c>
      <c r="U144" s="973">
        <v>0</v>
      </c>
      <c r="V144" s="973">
        <v>0</v>
      </c>
      <c r="W144" s="973">
        <v>0</v>
      </c>
      <c r="X144" s="973">
        <v>0</v>
      </c>
      <c r="Y144" s="973">
        <v>0</v>
      </c>
      <c r="Z144" s="973">
        <v>0</v>
      </c>
      <c r="AA144" s="973">
        <v>0</v>
      </c>
      <c r="AB144" s="965"/>
      <c r="AC144" s="965"/>
    </row>
    <row r="145" spans="1:29">
      <c r="A145" s="965"/>
      <c r="B145" s="965"/>
      <c r="C145" s="965"/>
      <c r="D145" s="965"/>
      <c r="E145" s="965"/>
      <c r="F145" s="965"/>
      <c r="G145" s="965"/>
      <c r="H145" s="965"/>
      <c r="I145" s="965"/>
      <c r="J145" s="965"/>
      <c r="K145" s="965"/>
      <c r="L145" s="965"/>
      <c r="M145" s="1022">
        <v>8</v>
      </c>
      <c r="N145" s="1930" t="s">
        <v>579</v>
      </c>
      <c r="O145" s="974">
        <f>SUM(O144)</f>
        <v>0</v>
      </c>
      <c r="P145" s="982">
        <f>SUM(P144)</f>
        <v>0</v>
      </c>
      <c r="Q145" s="982">
        <f t="shared" ref="Q145:S145" si="12">SUM(Q144)</f>
        <v>0</v>
      </c>
      <c r="R145" s="982">
        <f t="shared" si="12"/>
        <v>0</v>
      </c>
      <c r="S145" s="982">
        <f t="shared" si="12"/>
        <v>0</v>
      </c>
      <c r="T145" s="982">
        <f t="shared" ref="T145:AA145" si="13">SUM(T144)</f>
        <v>0</v>
      </c>
      <c r="U145" s="982">
        <f t="shared" si="13"/>
        <v>0</v>
      </c>
      <c r="V145" s="982">
        <f t="shared" si="13"/>
        <v>0</v>
      </c>
      <c r="W145" s="982">
        <f t="shared" si="13"/>
        <v>0</v>
      </c>
      <c r="X145" s="982">
        <f t="shared" si="13"/>
        <v>0</v>
      </c>
      <c r="Y145" s="982">
        <f t="shared" si="13"/>
        <v>0</v>
      </c>
      <c r="Z145" s="982">
        <f t="shared" si="13"/>
        <v>0</v>
      </c>
      <c r="AA145" s="982">
        <f t="shared" si="13"/>
        <v>0</v>
      </c>
      <c r="AB145" s="965"/>
      <c r="AC145" s="965"/>
    </row>
    <row r="146" spans="1:29">
      <c r="A146" s="965"/>
      <c r="B146" s="965"/>
      <c r="C146" s="965"/>
      <c r="D146" s="965"/>
      <c r="E146" s="965"/>
      <c r="F146" s="965"/>
      <c r="G146" s="965"/>
      <c r="H146" s="965"/>
      <c r="I146" s="965"/>
      <c r="J146" s="965"/>
      <c r="K146" s="965"/>
      <c r="L146" s="965"/>
      <c r="M146" s="1022">
        <v>9</v>
      </c>
      <c r="N146" s="1930"/>
      <c r="O146" s="977"/>
      <c r="P146" s="1025"/>
      <c r="Q146" s="1025"/>
      <c r="R146" s="1025"/>
      <c r="S146" s="1025"/>
      <c r="T146" s="983"/>
      <c r="U146" s="1025"/>
      <c r="V146" s="981"/>
      <c r="W146" s="975"/>
      <c r="X146" s="976"/>
      <c r="Y146" s="976"/>
      <c r="Z146" s="976"/>
      <c r="AA146" s="976"/>
      <c r="AB146" s="965"/>
      <c r="AC146" s="965"/>
    </row>
    <row r="147" spans="1:29">
      <c r="A147" s="965"/>
      <c r="B147" s="965"/>
      <c r="C147" s="965"/>
      <c r="D147" s="965"/>
      <c r="E147" s="965"/>
      <c r="F147" s="965"/>
      <c r="G147" s="965"/>
      <c r="H147" s="965"/>
      <c r="I147" s="965"/>
      <c r="J147" s="965"/>
      <c r="K147" s="965"/>
      <c r="L147" s="965"/>
      <c r="M147" s="1022">
        <v>10</v>
      </c>
      <c r="N147" s="1945" t="s">
        <v>580</v>
      </c>
      <c r="O147" s="965"/>
      <c r="P147" s="976"/>
      <c r="Q147" s="976"/>
      <c r="R147" s="976"/>
      <c r="S147" s="976"/>
      <c r="T147" s="976"/>
      <c r="U147" s="976"/>
      <c r="V147" s="976"/>
      <c r="W147" s="976"/>
      <c r="X147" s="976"/>
      <c r="Y147" s="976"/>
      <c r="Z147" s="976"/>
      <c r="AA147" s="976"/>
      <c r="AB147" s="965"/>
      <c r="AC147" s="965"/>
    </row>
    <row r="148" spans="1:29">
      <c r="A148" s="965"/>
      <c r="B148" s="965"/>
      <c r="C148" s="965"/>
      <c r="D148" s="965"/>
      <c r="E148" s="965"/>
      <c r="F148" s="965"/>
      <c r="G148" s="965"/>
      <c r="H148" s="965"/>
      <c r="I148" s="965"/>
      <c r="J148" s="965"/>
      <c r="K148" s="965"/>
      <c r="L148" s="965"/>
      <c r="M148" s="1022">
        <v>11</v>
      </c>
      <c r="N148" s="987" t="s">
        <v>827</v>
      </c>
      <c r="O148" s="966">
        <f>SUM(P148:AA148)</f>
        <v>0</v>
      </c>
      <c r="P148" s="973">
        <v>0</v>
      </c>
      <c r="Q148" s="973">
        <v>0</v>
      </c>
      <c r="R148" s="973">
        <v>0</v>
      </c>
      <c r="S148" s="973">
        <v>0</v>
      </c>
      <c r="T148" s="973">
        <v>0</v>
      </c>
      <c r="U148" s="973">
        <v>0</v>
      </c>
      <c r="V148" s="973">
        <v>0</v>
      </c>
      <c r="W148" s="973">
        <v>0</v>
      </c>
      <c r="X148" s="973">
        <v>0</v>
      </c>
      <c r="Y148" s="973">
        <v>0</v>
      </c>
      <c r="Z148" s="973">
        <v>0</v>
      </c>
      <c r="AA148" s="973">
        <v>0</v>
      </c>
      <c r="AB148" s="965"/>
      <c r="AC148" s="965"/>
    </row>
    <row r="149" spans="1:29">
      <c r="A149" s="965"/>
      <c r="B149" s="965"/>
      <c r="C149" s="965"/>
      <c r="D149" s="965"/>
      <c r="E149" s="965"/>
      <c r="F149" s="965"/>
      <c r="G149" s="965"/>
      <c r="H149" s="965"/>
      <c r="I149" s="965"/>
      <c r="J149" s="965"/>
      <c r="K149" s="965"/>
      <c r="L149" s="965"/>
      <c r="M149" s="1022">
        <v>12</v>
      </c>
      <c r="N149" s="1930" t="s">
        <v>581</v>
      </c>
      <c r="O149" s="974">
        <f t="shared" ref="O149:AA149" si="14">SUM(O148)</f>
        <v>0</v>
      </c>
      <c r="P149" s="982">
        <f t="shared" si="14"/>
        <v>0</v>
      </c>
      <c r="Q149" s="982">
        <f t="shared" ref="Q149:S149" si="15">SUM(Q148)</f>
        <v>0</v>
      </c>
      <c r="R149" s="982">
        <f t="shared" si="15"/>
        <v>0</v>
      </c>
      <c r="S149" s="982">
        <f t="shared" si="15"/>
        <v>0</v>
      </c>
      <c r="T149" s="982">
        <f t="shared" si="14"/>
        <v>0</v>
      </c>
      <c r="U149" s="982">
        <f t="shared" si="14"/>
        <v>0</v>
      </c>
      <c r="V149" s="982">
        <f t="shared" si="14"/>
        <v>0</v>
      </c>
      <c r="W149" s="982">
        <f t="shared" si="14"/>
        <v>0</v>
      </c>
      <c r="X149" s="982">
        <f t="shared" si="14"/>
        <v>0</v>
      </c>
      <c r="Y149" s="982">
        <f t="shared" si="14"/>
        <v>0</v>
      </c>
      <c r="Z149" s="982">
        <f t="shared" si="14"/>
        <v>0</v>
      </c>
      <c r="AA149" s="982">
        <f t="shared" si="14"/>
        <v>0</v>
      </c>
      <c r="AB149" s="965"/>
      <c r="AC149" s="965"/>
    </row>
    <row r="150" spans="1:29">
      <c r="A150" s="965"/>
      <c r="B150" s="965"/>
      <c r="C150" s="965"/>
      <c r="D150" s="965"/>
      <c r="E150" s="965"/>
      <c r="F150" s="965"/>
      <c r="G150" s="965"/>
      <c r="H150" s="965"/>
      <c r="I150" s="965"/>
      <c r="J150" s="965"/>
      <c r="K150" s="965"/>
      <c r="L150" s="965"/>
      <c r="M150" s="1022">
        <v>13</v>
      </c>
      <c r="N150" s="987"/>
      <c r="O150" s="977"/>
      <c r="P150" s="1025"/>
      <c r="Q150" s="1025"/>
      <c r="R150" s="1025"/>
      <c r="S150" s="1025"/>
      <c r="T150" s="989"/>
      <c r="U150" s="1025"/>
      <c r="V150" s="976"/>
      <c r="W150" s="976"/>
      <c r="X150" s="976"/>
      <c r="Y150" s="976"/>
      <c r="Z150" s="976"/>
      <c r="AA150" s="976"/>
      <c r="AB150" s="965"/>
      <c r="AC150" s="965"/>
    </row>
    <row r="151" spans="1:29">
      <c r="A151" s="965"/>
      <c r="B151" s="965"/>
      <c r="C151" s="965"/>
      <c r="D151" s="965"/>
      <c r="E151" s="965"/>
      <c r="F151" s="965"/>
      <c r="G151" s="965"/>
      <c r="H151" s="965"/>
      <c r="I151" s="965"/>
      <c r="J151" s="965"/>
      <c r="K151" s="965"/>
      <c r="L151" s="965"/>
      <c r="M151" s="1022">
        <v>14</v>
      </c>
      <c r="N151" s="1023" t="s">
        <v>1028</v>
      </c>
      <c r="O151" s="978"/>
      <c r="P151" s="1024"/>
      <c r="Q151" s="1024"/>
      <c r="R151" s="1024"/>
      <c r="S151" s="1024"/>
      <c r="T151" s="983"/>
      <c r="U151" s="1024"/>
      <c r="V151" s="983"/>
      <c r="W151" s="979"/>
      <c r="X151" s="976"/>
      <c r="Y151" s="976"/>
      <c r="Z151" s="976"/>
      <c r="AA151" s="976"/>
      <c r="AB151" s="965"/>
      <c r="AC151" s="965"/>
    </row>
    <row r="152" spans="1:29">
      <c r="A152" s="965"/>
      <c r="B152" s="965"/>
      <c r="C152" s="965"/>
      <c r="D152" s="965"/>
      <c r="E152" s="965"/>
      <c r="F152" s="965"/>
      <c r="G152" s="965"/>
      <c r="H152" s="965"/>
      <c r="I152" s="965"/>
      <c r="J152" s="965"/>
      <c r="K152" s="965"/>
      <c r="L152" s="965"/>
      <c r="M152" s="1022">
        <v>15</v>
      </c>
      <c r="N152" s="1456" t="s">
        <v>2460</v>
      </c>
      <c r="O152" s="966">
        <f t="shared" ref="O152:O171" si="16">SUM(P152:AA152)</f>
        <v>492</v>
      </c>
      <c r="P152" s="973">
        <v>41</v>
      </c>
      <c r="Q152" s="973">
        <v>41</v>
      </c>
      <c r="R152" s="973">
        <v>41</v>
      </c>
      <c r="S152" s="973">
        <v>41</v>
      </c>
      <c r="T152" s="973">
        <v>41</v>
      </c>
      <c r="U152" s="973">
        <v>41</v>
      </c>
      <c r="V152" s="973">
        <v>41</v>
      </c>
      <c r="W152" s="973">
        <v>41</v>
      </c>
      <c r="X152" s="973">
        <v>41</v>
      </c>
      <c r="Y152" s="973">
        <v>41</v>
      </c>
      <c r="Z152" s="973">
        <v>41</v>
      </c>
      <c r="AA152" s="973">
        <v>41</v>
      </c>
      <c r="AB152" s="965"/>
      <c r="AC152" s="965"/>
    </row>
    <row r="153" spans="1:29">
      <c r="A153" s="965"/>
      <c r="B153" s="965"/>
      <c r="C153" s="965"/>
      <c r="D153" s="965"/>
      <c r="E153" s="965"/>
      <c r="F153" s="965"/>
      <c r="G153" s="965"/>
      <c r="H153" s="965"/>
      <c r="I153" s="965"/>
      <c r="J153" s="965"/>
      <c r="K153" s="965"/>
      <c r="L153" s="965"/>
      <c r="M153" s="1022">
        <v>16</v>
      </c>
      <c r="N153" s="1456" t="s">
        <v>2488</v>
      </c>
      <c r="O153" s="966">
        <f t="shared" si="16"/>
        <v>60104</v>
      </c>
      <c r="P153" s="973">
        <v>3830</v>
      </c>
      <c r="Q153" s="973">
        <v>3830</v>
      </c>
      <c r="R153" s="973">
        <v>7330</v>
      </c>
      <c r="S153" s="973">
        <v>2830</v>
      </c>
      <c r="T153" s="973">
        <v>3830</v>
      </c>
      <c r="U153" s="973">
        <v>8330</v>
      </c>
      <c r="V153" s="973">
        <v>3830</v>
      </c>
      <c r="W153" s="973">
        <v>3830</v>
      </c>
      <c r="X153" s="973">
        <v>11870</v>
      </c>
      <c r="Y153" s="973">
        <v>1848</v>
      </c>
      <c r="Z153" s="973">
        <v>2353</v>
      </c>
      <c r="AA153" s="973">
        <v>6393</v>
      </c>
      <c r="AB153" s="965"/>
      <c r="AC153" s="965"/>
    </row>
    <row r="154" spans="1:29">
      <c r="A154" s="965"/>
      <c r="B154" s="965"/>
      <c r="C154" s="965"/>
      <c r="D154" s="965"/>
      <c r="E154" s="965"/>
      <c r="F154" s="965"/>
      <c r="G154" s="965"/>
      <c r="H154" s="965"/>
      <c r="I154" s="965"/>
      <c r="J154" s="965"/>
      <c r="K154" s="965"/>
      <c r="L154" s="965"/>
      <c r="M154" s="1022">
        <v>17</v>
      </c>
      <c r="N154" s="1456" t="s">
        <v>2463</v>
      </c>
      <c r="O154" s="966">
        <f t="shared" si="16"/>
        <v>19545</v>
      </c>
      <c r="P154" s="973">
        <v>1528</v>
      </c>
      <c r="Q154" s="973">
        <v>1528</v>
      </c>
      <c r="R154" s="973">
        <v>1948</v>
      </c>
      <c r="S154" s="973">
        <v>1408</v>
      </c>
      <c r="T154" s="973">
        <v>1528</v>
      </c>
      <c r="U154" s="973">
        <v>2068</v>
      </c>
      <c r="V154" s="973">
        <v>1528</v>
      </c>
      <c r="W154" s="973">
        <v>1528</v>
      </c>
      <c r="X154" s="973">
        <v>2245</v>
      </c>
      <c r="Y154" s="973">
        <v>1210</v>
      </c>
      <c r="Z154" s="973">
        <v>1271</v>
      </c>
      <c r="AA154" s="973">
        <v>1755</v>
      </c>
      <c r="AB154" s="965"/>
      <c r="AC154" s="965"/>
    </row>
    <row r="155" spans="1:29">
      <c r="A155" s="965"/>
      <c r="B155" s="965"/>
      <c r="C155" s="965"/>
      <c r="D155" s="965"/>
      <c r="E155" s="965"/>
      <c r="F155" s="965"/>
      <c r="G155" s="965"/>
      <c r="H155" s="965"/>
      <c r="I155" s="965"/>
      <c r="J155" s="965"/>
      <c r="K155" s="965"/>
      <c r="L155" s="965"/>
      <c r="M155" s="1022">
        <v>18</v>
      </c>
      <c r="N155" s="1456" t="s">
        <v>2464</v>
      </c>
      <c r="O155" s="966">
        <f t="shared" si="16"/>
        <v>19375</v>
      </c>
      <c r="P155" s="973">
        <v>1096</v>
      </c>
      <c r="Q155" s="973">
        <v>1479</v>
      </c>
      <c r="R155" s="973">
        <v>1400</v>
      </c>
      <c r="S155" s="973">
        <v>1706</v>
      </c>
      <c r="T155" s="973">
        <v>1797</v>
      </c>
      <c r="U155" s="973">
        <v>1733</v>
      </c>
      <c r="V155" s="973">
        <v>1454</v>
      </c>
      <c r="W155" s="973">
        <v>2007</v>
      </c>
      <c r="X155" s="973">
        <v>1464</v>
      </c>
      <c r="Y155" s="973">
        <v>1505</v>
      </c>
      <c r="Z155" s="973">
        <v>1091</v>
      </c>
      <c r="AA155" s="973">
        <v>2643</v>
      </c>
      <c r="AB155" s="965"/>
      <c r="AC155" s="965"/>
    </row>
    <row r="156" spans="1:29">
      <c r="A156" s="965"/>
      <c r="B156" s="965"/>
      <c r="C156" s="965"/>
      <c r="D156" s="965"/>
      <c r="E156" s="965"/>
      <c r="F156" s="965"/>
      <c r="G156" s="965"/>
      <c r="H156" s="965"/>
      <c r="I156" s="965"/>
      <c r="J156" s="965"/>
      <c r="K156" s="965"/>
      <c r="L156" s="965"/>
      <c r="M156" s="1022">
        <v>19</v>
      </c>
      <c r="N156" s="1456" t="s">
        <v>2465</v>
      </c>
      <c r="O156" s="966">
        <f t="shared" si="16"/>
        <v>-19375</v>
      </c>
      <c r="P156" s="973">
        <v>-1096</v>
      </c>
      <c r="Q156" s="973">
        <v>-1479</v>
      </c>
      <c r="R156" s="973">
        <v>-1400</v>
      </c>
      <c r="S156" s="973">
        <v>-1706</v>
      </c>
      <c r="T156" s="973">
        <v>-1797</v>
      </c>
      <c r="U156" s="973">
        <v>-1733</v>
      </c>
      <c r="V156" s="973">
        <v>-1454</v>
      </c>
      <c r="W156" s="973">
        <v>-2007</v>
      </c>
      <c r="X156" s="973">
        <v>-1464</v>
      </c>
      <c r="Y156" s="973">
        <v>-1505</v>
      </c>
      <c r="Z156" s="973">
        <v>-1091</v>
      </c>
      <c r="AA156" s="973">
        <v>-2643</v>
      </c>
      <c r="AB156" s="965"/>
      <c r="AC156" s="965"/>
    </row>
    <row r="157" spans="1:29">
      <c r="A157" s="965"/>
      <c r="B157" s="965"/>
      <c r="C157" s="965"/>
      <c r="D157" s="965"/>
      <c r="E157" s="965"/>
      <c r="F157" s="965"/>
      <c r="G157" s="965"/>
      <c r="H157" s="965"/>
      <c r="I157" s="965"/>
      <c r="J157" s="965"/>
      <c r="K157" s="965"/>
      <c r="L157" s="965"/>
      <c r="M157" s="1022">
        <v>20</v>
      </c>
      <c r="N157" s="1456" t="s">
        <v>2672</v>
      </c>
      <c r="O157" s="966">
        <f t="shared" si="16"/>
        <v>5016</v>
      </c>
      <c r="P157" s="973">
        <v>417</v>
      </c>
      <c r="Q157" s="973">
        <v>417</v>
      </c>
      <c r="R157" s="973">
        <v>417</v>
      </c>
      <c r="S157" s="973">
        <v>417</v>
      </c>
      <c r="T157" s="973">
        <v>417</v>
      </c>
      <c r="U157" s="973">
        <v>417</v>
      </c>
      <c r="V157" s="973">
        <v>417</v>
      </c>
      <c r="W157" s="973">
        <v>417</v>
      </c>
      <c r="X157" s="973">
        <v>417</v>
      </c>
      <c r="Y157" s="973">
        <v>421</v>
      </c>
      <c r="Z157" s="973">
        <v>421</v>
      </c>
      <c r="AA157" s="973">
        <v>421</v>
      </c>
      <c r="AB157" s="965"/>
      <c r="AC157" s="965"/>
    </row>
    <row r="158" spans="1:29">
      <c r="A158" s="965"/>
      <c r="B158" s="965"/>
      <c r="C158" s="965"/>
      <c r="D158" s="965"/>
      <c r="E158" s="965"/>
      <c r="F158" s="965"/>
      <c r="G158" s="965"/>
      <c r="H158" s="965"/>
      <c r="I158" s="965"/>
      <c r="J158" s="965"/>
      <c r="K158" s="965"/>
      <c r="L158" s="965"/>
      <c r="M158" s="1022">
        <v>21</v>
      </c>
      <c r="N158" s="1456" t="s">
        <v>2466</v>
      </c>
      <c r="O158" s="966">
        <f t="shared" si="16"/>
        <v>85137</v>
      </c>
      <c r="P158" s="973">
        <v>5100</v>
      </c>
      <c r="Q158" s="973">
        <v>5100</v>
      </c>
      <c r="R158" s="973">
        <v>11050</v>
      </c>
      <c r="S158" s="973">
        <v>3400</v>
      </c>
      <c r="T158" s="973">
        <v>5100</v>
      </c>
      <c r="U158" s="973">
        <v>12750</v>
      </c>
      <c r="V158" s="973">
        <v>5100</v>
      </c>
      <c r="W158" s="973">
        <v>5100</v>
      </c>
      <c r="X158" s="973">
        <v>18700</v>
      </c>
      <c r="Y158" s="973">
        <v>1717</v>
      </c>
      <c r="Z158" s="973">
        <v>2576</v>
      </c>
      <c r="AA158" s="973">
        <v>9444</v>
      </c>
      <c r="AB158" s="965"/>
      <c r="AC158" s="965"/>
    </row>
    <row r="159" spans="1:29">
      <c r="A159" s="965"/>
      <c r="B159" s="965"/>
      <c r="C159" s="965"/>
      <c r="D159" s="965"/>
      <c r="E159" s="965"/>
      <c r="F159" s="965"/>
      <c r="G159" s="965"/>
      <c r="H159" s="965"/>
      <c r="I159" s="965"/>
      <c r="J159" s="965"/>
      <c r="K159" s="965"/>
      <c r="L159" s="965"/>
      <c r="M159" s="1022">
        <v>22</v>
      </c>
      <c r="N159" s="1456" t="s">
        <v>2467</v>
      </c>
      <c r="O159" s="966">
        <f t="shared" si="16"/>
        <v>13486</v>
      </c>
      <c r="P159" s="973">
        <v>3363</v>
      </c>
      <c r="Q159" s="973">
        <v>0</v>
      </c>
      <c r="R159" s="973">
        <v>0</v>
      </c>
      <c r="S159" s="973">
        <v>3363</v>
      </c>
      <c r="T159" s="973">
        <v>0</v>
      </c>
      <c r="U159" s="973">
        <v>0</v>
      </c>
      <c r="V159" s="973">
        <v>3363</v>
      </c>
      <c r="W159" s="973">
        <v>0</v>
      </c>
      <c r="X159" s="973">
        <v>0</v>
      </c>
      <c r="Y159" s="973">
        <v>3397</v>
      </c>
      <c r="Z159" s="973">
        <v>0</v>
      </c>
      <c r="AA159" s="973">
        <v>0</v>
      </c>
      <c r="AB159" s="965"/>
      <c r="AC159" s="965"/>
    </row>
    <row r="160" spans="1:29">
      <c r="A160" s="965"/>
      <c r="B160" s="965"/>
      <c r="C160" s="965"/>
      <c r="D160" s="965"/>
      <c r="E160" s="965"/>
      <c r="F160" s="965"/>
      <c r="G160" s="965"/>
      <c r="H160" s="965"/>
      <c r="I160" s="965"/>
      <c r="J160" s="965"/>
      <c r="K160" s="965"/>
      <c r="L160" s="965"/>
      <c r="M160" s="1022">
        <v>23</v>
      </c>
      <c r="N160" s="1456" t="s">
        <v>2468</v>
      </c>
      <c r="O160" s="966">
        <f t="shared" si="16"/>
        <v>-389898</v>
      </c>
      <c r="P160" s="973">
        <v>-28908</v>
      </c>
      <c r="Q160" s="973">
        <v>-38056</v>
      </c>
      <c r="R160" s="973">
        <v>-30014</v>
      </c>
      <c r="S160" s="973">
        <v>-29413</v>
      </c>
      <c r="T160" s="973">
        <v>-38552</v>
      </c>
      <c r="U160" s="973">
        <v>-38925</v>
      </c>
      <c r="V160" s="973">
        <v>-29855</v>
      </c>
      <c r="W160" s="973">
        <v>-28957</v>
      </c>
      <c r="X160" s="973">
        <v>-29334</v>
      </c>
      <c r="Y160" s="973">
        <v>-30528</v>
      </c>
      <c r="Z160" s="973">
        <v>-35746</v>
      </c>
      <c r="AA160" s="973">
        <v>-31610</v>
      </c>
      <c r="AB160" s="965"/>
      <c r="AC160" s="965"/>
    </row>
    <row r="161" spans="1:29">
      <c r="A161" s="965"/>
      <c r="B161" s="965"/>
      <c r="C161" s="965"/>
      <c r="D161" s="965"/>
      <c r="E161" s="965"/>
      <c r="F161" s="965"/>
      <c r="G161" s="965"/>
      <c r="H161" s="965"/>
      <c r="I161" s="965"/>
      <c r="J161" s="965"/>
      <c r="K161" s="965"/>
      <c r="L161" s="965"/>
      <c r="M161" s="1022">
        <v>24</v>
      </c>
      <c r="N161" s="1456" t="s">
        <v>2469</v>
      </c>
      <c r="O161" s="966">
        <f t="shared" si="16"/>
        <v>169449</v>
      </c>
      <c r="P161" s="973">
        <v>13161</v>
      </c>
      <c r="Q161" s="973">
        <v>13486</v>
      </c>
      <c r="R161" s="973">
        <v>13871</v>
      </c>
      <c r="S161" s="973">
        <v>13235</v>
      </c>
      <c r="T161" s="973">
        <v>14009</v>
      </c>
      <c r="U161" s="973">
        <v>13006</v>
      </c>
      <c r="V161" s="973">
        <v>13756</v>
      </c>
      <c r="W161" s="973">
        <v>12813</v>
      </c>
      <c r="X161" s="973">
        <v>13213</v>
      </c>
      <c r="Y161" s="973">
        <v>14632</v>
      </c>
      <c r="Z161" s="973">
        <v>20142</v>
      </c>
      <c r="AA161" s="973">
        <v>14125</v>
      </c>
      <c r="AB161" s="965"/>
      <c r="AC161" s="965"/>
    </row>
    <row r="162" spans="1:29">
      <c r="A162" s="965"/>
      <c r="B162" s="965"/>
      <c r="C162" s="965"/>
      <c r="D162" s="965"/>
      <c r="E162" s="965"/>
      <c r="F162" s="965"/>
      <c r="G162" s="965"/>
      <c r="H162" s="965"/>
      <c r="I162" s="965"/>
      <c r="J162" s="965"/>
      <c r="K162" s="965"/>
      <c r="L162" s="965"/>
      <c r="M162" s="1022">
        <v>25</v>
      </c>
      <c r="N162" s="1456" t="s">
        <v>2470</v>
      </c>
      <c r="O162" s="966">
        <f t="shared" si="16"/>
        <v>27010</v>
      </c>
      <c r="P162" s="973">
        <v>1836</v>
      </c>
      <c r="Q162" s="973">
        <v>1828</v>
      </c>
      <c r="R162" s="973">
        <v>2340</v>
      </c>
      <c r="S162" s="973">
        <v>1912</v>
      </c>
      <c r="T162" s="973">
        <v>2077</v>
      </c>
      <c r="U162" s="973">
        <v>2124</v>
      </c>
      <c r="V162" s="973">
        <v>2084</v>
      </c>
      <c r="W162" s="973">
        <v>1994</v>
      </c>
      <c r="X162" s="973">
        <v>2335</v>
      </c>
      <c r="Y162" s="973">
        <v>1948</v>
      </c>
      <c r="Z162" s="973">
        <v>4403</v>
      </c>
      <c r="AA162" s="973">
        <v>2129</v>
      </c>
      <c r="AB162" s="965"/>
      <c r="AC162" s="965"/>
    </row>
    <row r="163" spans="1:29">
      <c r="A163" s="965"/>
      <c r="B163" s="965"/>
      <c r="C163" s="965"/>
      <c r="D163" s="965"/>
      <c r="E163" s="965"/>
      <c r="F163" s="965"/>
      <c r="G163" s="965"/>
      <c r="H163" s="965"/>
      <c r="I163" s="965"/>
      <c r="J163" s="965"/>
      <c r="K163" s="965"/>
      <c r="L163" s="965"/>
      <c r="M163" s="1022">
        <v>26</v>
      </c>
      <c r="N163" s="1456" t="s">
        <v>2472</v>
      </c>
      <c r="O163" s="966">
        <f t="shared" si="16"/>
        <v>100160</v>
      </c>
      <c r="P163" s="973">
        <v>6000</v>
      </c>
      <c r="Q163" s="973">
        <v>6000</v>
      </c>
      <c r="R163" s="973">
        <v>13000</v>
      </c>
      <c r="S163" s="973">
        <v>4000</v>
      </c>
      <c r="T163" s="973">
        <v>6000</v>
      </c>
      <c r="U163" s="973">
        <v>15000</v>
      </c>
      <c r="V163" s="973">
        <v>6000</v>
      </c>
      <c r="W163" s="973">
        <v>6000</v>
      </c>
      <c r="X163" s="973">
        <v>22000</v>
      </c>
      <c r="Y163" s="973">
        <v>2020</v>
      </c>
      <c r="Z163" s="973">
        <v>3030</v>
      </c>
      <c r="AA163" s="973">
        <v>11110</v>
      </c>
      <c r="AB163" s="965"/>
      <c r="AC163" s="965"/>
    </row>
    <row r="164" spans="1:29">
      <c r="A164" s="965"/>
      <c r="B164" s="965"/>
      <c r="C164" s="965"/>
      <c r="D164" s="965"/>
      <c r="E164" s="965"/>
      <c r="F164" s="965"/>
      <c r="G164" s="965"/>
      <c r="H164" s="965"/>
      <c r="I164" s="965"/>
      <c r="J164" s="965"/>
      <c r="K164" s="965"/>
      <c r="L164" s="965"/>
      <c r="M164" s="1022">
        <v>27</v>
      </c>
      <c r="N164" s="1456" t="s">
        <v>2671</v>
      </c>
      <c r="O164" s="966">
        <f t="shared" si="16"/>
        <v>4788</v>
      </c>
      <c r="P164" s="973">
        <v>398</v>
      </c>
      <c r="Q164" s="973">
        <v>398</v>
      </c>
      <c r="R164" s="973">
        <v>398</v>
      </c>
      <c r="S164" s="973">
        <v>398</v>
      </c>
      <c r="T164" s="973">
        <v>398</v>
      </c>
      <c r="U164" s="973">
        <v>398</v>
      </c>
      <c r="V164" s="973">
        <v>398</v>
      </c>
      <c r="W164" s="973">
        <v>398</v>
      </c>
      <c r="X164" s="973">
        <v>398</v>
      </c>
      <c r="Y164" s="973">
        <v>402</v>
      </c>
      <c r="Z164" s="973">
        <v>402</v>
      </c>
      <c r="AA164" s="973">
        <v>402</v>
      </c>
      <c r="AB164" s="965"/>
      <c r="AC164" s="965"/>
    </row>
    <row r="165" spans="1:29">
      <c r="A165" s="965"/>
      <c r="B165" s="965"/>
      <c r="C165" s="965"/>
      <c r="D165" s="965"/>
      <c r="E165" s="965"/>
      <c r="F165" s="965"/>
      <c r="G165" s="965"/>
      <c r="H165" s="965"/>
      <c r="I165" s="965"/>
      <c r="J165" s="965"/>
      <c r="K165" s="965"/>
      <c r="L165" s="965"/>
      <c r="M165" s="1022">
        <v>28</v>
      </c>
      <c r="N165" s="1457" t="s">
        <v>170</v>
      </c>
      <c r="O165" s="966">
        <f t="shared" si="16"/>
        <v>993392</v>
      </c>
      <c r="P165" s="973">
        <f>69756+1</f>
        <v>69757</v>
      </c>
      <c r="Q165" s="973">
        <f>87787-1</f>
        <v>87786</v>
      </c>
      <c r="R165" s="973">
        <v>107658</v>
      </c>
      <c r="S165" s="973">
        <v>67286</v>
      </c>
      <c r="T165" s="973">
        <v>82411</v>
      </c>
      <c r="U165" s="973">
        <v>101007</v>
      </c>
      <c r="V165" s="973">
        <v>74717</v>
      </c>
      <c r="W165" s="973">
        <v>67114</v>
      </c>
      <c r="X165" s="973">
        <v>92369</v>
      </c>
      <c r="Y165" s="973">
        <f>77318+1</f>
        <v>77319</v>
      </c>
      <c r="Z165" s="973">
        <f>74091-1</f>
        <v>74090</v>
      </c>
      <c r="AA165" s="973">
        <f>91877+1</f>
        <v>91878</v>
      </c>
      <c r="AB165" s="965"/>
      <c r="AC165" s="965"/>
    </row>
    <row r="166" spans="1:29">
      <c r="A166" s="965"/>
      <c r="B166" s="965"/>
      <c r="C166" s="965"/>
      <c r="D166" s="965"/>
      <c r="E166" s="965"/>
      <c r="F166" s="965"/>
      <c r="G166" s="965"/>
      <c r="H166" s="965"/>
      <c r="I166" s="965"/>
      <c r="J166" s="965"/>
      <c r="K166" s="965"/>
      <c r="L166" s="965"/>
      <c r="M166" s="1022">
        <v>29</v>
      </c>
      <c r="N166" s="1456" t="s">
        <v>2479</v>
      </c>
      <c r="O166" s="966">
        <f t="shared" si="16"/>
        <v>705820</v>
      </c>
      <c r="P166" s="973">
        <v>42364</v>
      </c>
      <c r="Q166" s="973">
        <v>42364</v>
      </c>
      <c r="R166" s="973">
        <v>42364</v>
      </c>
      <c r="S166" s="973">
        <v>42364</v>
      </c>
      <c r="T166" s="973">
        <v>42364</v>
      </c>
      <c r="U166" s="973">
        <v>42364</v>
      </c>
      <c r="V166" s="973">
        <v>42364</v>
      </c>
      <c r="W166" s="973">
        <v>42363</v>
      </c>
      <c r="X166" s="973">
        <v>147763</v>
      </c>
      <c r="Y166" s="973">
        <v>71053</v>
      </c>
      <c r="Z166" s="973">
        <v>77040</v>
      </c>
      <c r="AA166" s="973">
        <v>71053</v>
      </c>
      <c r="AB166" s="965"/>
      <c r="AC166" s="965"/>
    </row>
    <row r="167" spans="1:29">
      <c r="A167" s="965"/>
      <c r="B167" s="965"/>
      <c r="C167" s="965"/>
      <c r="D167" s="965"/>
      <c r="E167" s="965"/>
      <c r="F167" s="965"/>
      <c r="G167" s="965"/>
      <c r="H167" s="965"/>
      <c r="I167" s="965"/>
      <c r="J167" s="965"/>
      <c r="K167" s="965"/>
      <c r="L167" s="965"/>
      <c r="M167" s="1022">
        <v>30</v>
      </c>
      <c r="N167" s="1456" t="s">
        <v>2484</v>
      </c>
      <c r="O167" s="966">
        <f t="shared" si="16"/>
        <v>60873</v>
      </c>
      <c r="P167" s="973">
        <v>5060</v>
      </c>
      <c r="Q167" s="973">
        <v>5060</v>
      </c>
      <c r="R167" s="973">
        <v>5060</v>
      </c>
      <c r="S167" s="973">
        <v>5060</v>
      </c>
      <c r="T167" s="973">
        <v>5060</v>
      </c>
      <c r="U167" s="973">
        <v>5060</v>
      </c>
      <c r="V167" s="973">
        <v>5060</v>
      </c>
      <c r="W167" s="973">
        <v>5060</v>
      </c>
      <c r="X167" s="973">
        <v>5060</v>
      </c>
      <c r="Y167" s="973">
        <v>5111</v>
      </c>
      <c r="Z167" s="973">
        <v>5111</v>
      </c>
      <c r="AA167" s="973">
        <v>5111</v>
      </c>
      <c r="AB167" s="965"/>
      <c r="AC167" s="965"/>
    </row>
    <row r="168" spans="1:29">
      <c r="A168" s="965"/>
      <c r="B168" s="965"/>
      <c r="C168" s="965"/>
      <c r="D168" s="965"/>
      <c r="E168" s="965"/>
      <c r="F168" s="965"/>
      <c r="G168" s="965"/>
      <c r="H168" s="965"/>
      <c r="I168" s="965"/>
      <c r="J168" s="965"/>
      <c r="K168" s="965"/>
      <c r="L168" s="965"/>
      <c r="M168" s="1022">
        <v>31</v>
      </c>
      <c r="N168" s="1456" t="s">
        <v>2480</v>
      </c>
      <c r="O168" s="966">
        <f t="shared" si="16"/>
        <v>24504</v>
      </c>
      <c r="P168" s="973">
        <v>2037</v>
      </c>
      <c r="Q168" s="973">
        <v>2037</v>
      </c>
      <c r="R168" s="973">
        <v>2037</v>
      </c>
      <c r="S168" s="973">
        <v>2037</v>
      </c>
      <c r="T168" s="973">
        <v>2037</v>
      </c>
      <c r="U168" s="973">
        <v>2037</v>
      </c>
      <c r="V168" s="973">
        <v>2037</v>
      </c>
      <c r="W168" s="973">
        <v>2037</v>
      </c>
      <c r="X168" s="973">
        <v>2037</v>
      </c>
      <c r="Y168" s="973">
        <v>2057</v>
      </c>
      <c r="Z168" s="973">
        <v>2057</v>
      </c>
      <c r="AA168" s="973">
        <v>2057</v>
      </c>
      <c r="AB168" s="965"/>
      <c r="AC168" s="965"/>
    </row>
    <row r="169" spans="1:29">
      <c r="A169" s="965"/>
      <c r="B169" s="965"/>
      <c r="C169" s="965"/>
      <c r="D169" s="965"/>
      <c r="E169" s="965"/>
      <c r="F169" s="965"/>
      <c r="G169" s="965"/>
      <c r="H169" s="965"/>
      <c r="I169" s="965"/>
      <c r="J169" s="965"/>
      <c r="K169" s="965"/>
      <c r="L169" s="965"/>
      <c r="M169" s="1022">
        <v>32</v>
      </c>
      <c r="N169" s="1456" t="s">
        <v>2481</v>
      </c>
      <c r="O169" s="966">
        <f t="shared" si="16"/>
        <v>4438</v>
      </c>
      <c r="P169" s="973">
        <v>444</v>
      </c>
      <c r="Q169" s="973">
        <v>341</v>
      </c>
      <c r="R169" s="973">
        <v>341</v>
      </c>
      <c r="S169" s="973">
        <v>341</v>
      </c>
      <c r="T169" s="973">
        <v>341</v>
      </c>
      <c r="U169" s="973">
        <v>509</v>
      </c>
      <c r="V169" s="973">
        <v>341</v>
      </c>
      <c r="W169" s="973">
        <v>341</v>
      </c>
      <c r="X169" s="973">
        <v>341</v>
      </c>
      <c r="Y169" s="973">
        <v>344</v>
      </c>
      <c r="Z169" s="973">
        <v>344</v>
      </c>
      <c r="AA169" s="973">
        <v>410</v>
      </c>
      <c r="AB169" s="965"/>
      <c r="AC169" s="965"/>
    </row>
    <row r="170" spans="1:29">
      <c r="A170" s="965"/>
      <c r="B170" s="965"/>
      <c r="C170" s="965"/>
      <c r="D170" s="965"/>
      <c r="E170" s="965"/>
      <c r="F170" s="965"/>
      <c r="G170" s="965"/>
      <c r="H170" s="965"/>
      <c r="I170" s="965"/>
      <c r="J170" s="965"/>
      <c r="K170" s="965"/>
      <c r="L170" s="965"/>
      <c r="M170" s="1022">
        <v>33</v>
      </c>
      <c r="N170" s="1456" t="s">
        <v>2670</v>
      </c>
      <c r="O170" s="966">
        <f t="shared" si="16"/>
        <v>4764</v>
      </c>
      <c r="P170" s="973">
        <v>396</v>
      </c>
      <c r="Q170" s="973">
        <v>396</v>
      </c>
      <c r="R170" s="973">
        <v>396</v>
      </c>
      <c r="S170" s="973">
        <v>396</v>
      </c>
      <c r="T170" s="973">
        <v>396</v>
      </c>
      <c r="U170" s="973">
        <v>396</v>
      </c>
      <c r="V170" s="973">
        <v>396</v>
      </c>
      <c r="W170" s="973">
        <v>396</v>
      </c>
      <c r="X170" s="973">
        <v>396</v>
      </c>
      <c r="Y170" s="973">
        <v>400</v>
      </c>
      <c r="Z170" s="973">
        <v>400</v>
      </c>
      <c r="AA170" s="973">
        <v>400</v>
      </c>
      <c r="AB170" s="965"/>
      <c r="AC170" s="965"/>
    </row>
    <row r="171" spans="1:29">
      <c r="A171" s="965"/>
      <c r="B171" s="965"/>
      <c r="C171" s="965"/>
      <c r="D171" s="965"/>
      <c r="E171" s="965"/>
      <c r="F171" s="965"/>
      <c r="G171" s="965"/>
      <c r="H171" s="965"/>
      <c r="I171" s="965"/>
      <c r="J171" s="965"/>
      <c r="K171" s="965"/>
      <c r="L171" s="965"/>
      <c r="M171" s="1022">
        <v>34</v>
      </c>
      <c r="N171" s="1456" t="s">
        <v>2482</v>
      </c>
      <c r="O171" s="966">
        <f t="shared" si="16"/>
        <v>8939</v>
      </c>
      <c r="P171" s="973">
        <v>0</v>
      </c>
      <c r="Q171" s="973">
        <v>0</v>
      </c>
      <c r="R171" s="973">
        <v>0</v>
      </c>
      <c r="S171" s="973">
        <v>0</v>
      </c>
      <c r="T171" s="973">
        <v>0</v>
      </c>
      <c r="U171" s="973">
        <v>2793</v>
      </c>
      <c r="V171" s="973">
        <v>0</v>
      </c>
      <c r="W171" s="973">
        <v>0</v>
      </c>
      <c r="X171" s="973">
        <v>0</v>
      </c>
      <c r="Y171" s="973">
        <v>6146</v>
      </c>
      <c r="Z171" s="973">
        <v>0</v>
      </c>
      <c r="AA171" s="973">
        <v>0</v>
      </c>
      <c r="AB171" s="965"/>
      <c r="AC171" s="965"/>
    </row>
    <row r="172" spans="1:29">
      <c r="A172" s="965"/>
      <c r="B172" s="965"/>
      <c r="C172" s="965"/>
      <c r="D172" s="965"/>
      <c r="E172" s="965"/>
      <c r="F172" s="965"/>
      <c r="G172" s="965"/>
      <c r="H172" s="965"/>
      <c r="I172" s="965"/>
      <c r="J172" s="965"/>
      <c r="K172" s="965"/>
      <c r="L172" s="965"/>
      <c r="M172" s="1022">
        <v>35</v>
      </c>
      <c r="N172" s="1930" t="s">
        <v>582</v>
      </c>
      <c r="O172" s="974">
        <f t="shared" ref="O172:AA172" si="17">SUM(O152:O171)</f>
        <v>1898019</v>
      </c>
      <c r="P172" s="974">
        <f t="shared" si="17"/>
        <v>126824</v>
      </c>
      <c r="Q172" s="974">
        <f t="shared" si="17"/>
        <v>132556</v>
      </c>
      <c r="R172" s="974">
        <f t="shared" si="17"/>
        <v>178237</v>
      </c>
      <c r="S172" s="974">
        <f t="shared" si="17"/>
        <v>119075</v>
      </c>
      <c r="T172" s="974">
        <f t="shared" si="17"/>
        <v>127457</v>
      </c>
      <c r="U172" s="974">
        <f t="shared" si="17"/>
        <v>169375</v>
      </c>
      <c r="V172" s="974">
        <f t="shared" si="17"/>
        <v>131577</v>
      </c>
      <c r="W172" s="974">
        <f t="shared" si="17"/>
        <v>120475</v>
      </c>
      <c r="X172" s="974">
        <f t="shared" si="17"/>
        <v>289851</v>
      </c>
      <c r="Y172" s="974">
        <f t="shared" si="17"/>
        <v>159538</v>
      </c>
      <c r="Z172" s="974">
        <f t="shared" si="17"/>
        <v>157935</v>
      </c>
      <c r="AA172" s="974">
        <f t="shared" si="17"/>
        <v>185119</v>
      </c>
      <c r="AB172" s="965"/>
      <c r="AC172" s="965"/>
    </row>
    <row r="173" spans="1:29">
      <c r="A173" s="965"/>
      <c r="B173" s="965"/>
      <c r="C173" s="965"/>
      <c r="D173" s="965"/>
      <c r="E173" s="965"/>
      <c r="F173" s="965"/>
      <c r="G173" s="965"/>
      <c r="H173" s="965"/>
      <c r="I173" s="965"/>
      <c r="J173" s="965"/>
      <c r="K173" s="965"/>
      <c r="L173" s="965"/>
      <c r="M173" s="1022">
        <v>36</v>
      </c>
      <c r="N173" s="1930"/>
      <c r="O173" s="978"/>
      <c r="P173" s="978"/>
      <c r="Q173" s="978"/>
      <c r="R173" s="978"/>
      <c r="S173" s="1026"/>
      <c r="T173" s="978"/>
      <c r="U173" s="978"/>
      <c r="V173" s="978"/>
      <c r="W173" s="979"/>
      <c r="X173" s="976"/>
      <c r="Y173" s="976"/>
      <c r="Z173" s="976"/>
      <c r="AA173" s="976"/>
      <c r="AB173" s="965"/>
      <c r="AC173" s="965"/>
    </row>
    <row r="174" spans="1:29" ht="13.5" thickBot="1">
      <c r="A174" s="965"/>
      <c r="B174" s="965"/>
      <c r="C174" s="965"/>
      <c r="D174" s="965"/>
      <c r="E174" s="965"/>
      <c r="F174" s="965"/>
      <c r="G174" s="965"/>
      <c r="H174" s="965"/>
      <c r="I174" s="965"/>
      <c r="J174" s="965"/>
      <c r="K174" s="965"/>
      <c r="L174" s="965"/>
      <c r="M174" s="1022">
        <v>37</v>
      </c>
      <c r="N174" s="987" t="s">
        <v>826</v>
      </c>
      <c r="O174" s="980">
        <f t="shared" ref="O174:AA174" si="18">O172+O149+O145+O141</f>
        <v>2100342</v>
      </c>
      <c r="P174" s="980">
        <f t="shared" si="18"/>
        <v>138944</v>
      </c>
      <c r="Q174" s="980">
        <f t="shared" si="18"/>
        <v>144676</v>
      </c>
      <c r="R174" s="980">
        <f t="shared" si="18"/>
        <v>204497</v>
      </c>
      <c r="S174" s="980">
        <f t="shared" si="18"/>
        <v>127155</v>
      </c>
      <c r="T174" s="980">
        <f t="shared" si="18"/>
        <v>139577</v>
      </c>
      <c r="U174" s="980">
        <f t="shared" si="18"/>
        <v>199675</v>
      </c>
      <c r="V174" s="980">
        <f t="shared" si="18"/>
        <v>143697</v>
      </c>
      <c r="W174" s="980">
        <f t="shared" si="18"/>
        <v>132595</v>
      </c>
      <c r="X174" s="980">
        <f t="shared" si="18"/>
        <v>334291</v>
      </c>
      <c r="Y174" s="980">
        <f t="shared" si="18"/>
        <v>163618</v>
      </c>
      <c r="Z174" s="980">
        <f t="shared" si="18"/>
        <v>164056</v>
      </c>
      <c r="AA174" s="980">
        <f t="shared" si="18"/>
        <v>207561</v>
      </c>
      <c r="AB174" s="965"/>
      <c r="AC174" s="965"/>
    </row>
    <row r="175" spans="1:29" ht="13.5" thickTop="1">
      <c r="A175" s="965"/>
      <c r="B175" s="965"/>
      <c r="C175" s="965"/>
      <c r="D175" s="965"/>
      <c r="E175" s="965"/>
      <c r="F175" s="965"/>
      <c r="G175" s="965"/>
      <c r="H175" s="965"/>
      <c r="I175" s="965"/>
      <c r="J175" s="965"/>
      <c r="K175" s="965"/>
      <c r="L175" s="965"/>
      <c r="M175" s="965"/>
      <c r="N175" s="987"/>
      <c r="O175" s="965"/>
      <c r="P175" s="976"/>
      <c r="Q175" s="976"/>
      <c r="R175" s="976"/>
      <c r="S175" s="988"/>
      <c r="T175" s="976"/>
      <c r="U175" s="976"/>
      <c r="V175" s="976"/>
      <c r="W175" s="976"/>
      <c r="X175" s="976"/>
      <c r="Y175" s="976"/>
      <c r="Z175" s="976"/>
      <c r="AA175" s="976"/>
      <c r="AB175" s="965"/>
      <c r="AC175" s="965"/>
    </row>
    <row r="176" spans="1:29">
      <c r="A176" s="965"/>
      <c r="B176" s="965"/>
      <c r="C176" s="965"/>
      <c r="D176" s="965"/>
      <c r="E176" s="965"/>
      <c r="F176" s="965"/>
      <c r="G176" s="965"/>
      <c r="H176" s="965"/>
      <c r="I176" s="965"/>
      <c r="J176" s="965"/>
      <c r="K176" s="965"/>
      <c r="L176" s="965"/>
      <c r="M176" s="965"/>
      <c r="N176" s="965"/>
      <c r="O176" s="965" t="str">
        <f ca="1">IF(O174='SCH_C2.1 - Forecasted Period'!J267,"Balanced","Check C-2.1")</f>
        <v>Balanced</v>
      </c>
      <c r="P176" s="965" t="str">
        <f>IF(P174='FORECASTED PERIOD'!F190+'FORECASTED PERIOD'!F191,"Balanced","Check C-2.1")</f>
        <v>Balanced</v>
      </c>
      <c r="Q176" s="965" t="str">
        <f>IF(Q174='FORECASTED PERIOD'!G190+'FORECASTED PERIOD'!G191,"Balanced","Check C-2.1")</f>
        <v>Balanced</v>
      </c>
      <c r="R176" s="965" t="str">
        <f>IF(R174='FORECASTED PERIOD'!H190+'FORECASTED PERIOD'!H191,"Balanced","Check C-2.1")</f>
        <v>Balanced</v>
      </c>
      <c r="S176" s="965" t="str">
        <f>IF(S174='FORECASTED PERIOD'!I190+'FORECASTED PERIOD'!I191,"Balanced","Check C-2.1")</f>
        <v>Balanced</v>
      </c>
      <c r="T176" s="965" t="str">
        <f>IF(T174='FORECASTED PERIOD'!J190+'FORECASTED PERIOD'!J191,"Balanced","Check C-2.1")</f>
        <v>Balanced</v>
      </c>
      <c r="U176" s="965" t="str">
        <f>IF(U174='FORECASTED PERIOD'!K190+'FORECASTED PERIOD'!K191,"Balanced","Check C-2.1")</f>
        <v>Balanced</v>
      </c>
      <c r="V176" s="965" t="str">
        <f>IF(V174='FORECASTED PERIOD'!L190+'FORECASTED PERIOD'!L191,"Balanced","Check C-2.1")</f>
        <v>Balanced</v>
      </c>
      <c r="W176" s="965" t="str">
        <f>IF(W174='FORECASTED PERIOD'!M190+'FORECASTED PERIOD'!M191,"Balanced","Check C-2.1")</f>
        <v>Balanced</v>
      </c>
      <c r="X176" s="965" t="str">
        <f>IF(X174='FORECASTED PERIOD'!N190+'FORECASTED PERIOD'!N191,"Balanced","Check C-2.1")</f>
        <v>Balanced</v>
      </c>
      <c r="Y176" s="965" t="str">
        <f>IF(Y174='FORECASTED PERIOD'!O190+'FORECASTED PERIOD'!O191,"Balanced","Check C-2.1")</f>
        <v>Balanced</v>
      </c>
      <c r="Z176" s="965" t="str">
        <f>IF(Z174='FORECASTED PERIOD'!P190+'FORECASTED PERIOD'!P191,"Balanced","Check C-2.1")</f>
        <v>Balanced</v>
      </c>
      <c r="AA176" s="965" t="str">
        <f>IF(AA174='FORECASTED PERIOD'!Q190+'FORECASTED PERIOD'!Q191,"Balanced","Check C-2.1")</f>
        <v>Balanced</v>
      </c>
      <c r="AB176" s="965"/>
      <c r="AC176" s="965"/>
    </row>
    <row r="177" spans="1:29">
      <c r="A177" s="965"/>
      <c r="B177" s="965"/>
      <c r="C177" s="965"/>
      <c r="D177" s="965"/>
      <c r="E177" s="965"/>
      <c r="F177" s="965"/>
      <c r="G177" s="965"/>
      <c r="H177" s="965"/>
      <c r="I177" s="965"/>
      <c r="J177" s="965"/>
      <c r="K177" s="965"/>
      <c r="L177" s="965"/>
      <c r="M177" s="965"/>
      <c r="N177" s="965"/>
      <c r="O177" s="965"/>
      <c r="P177" s="976">
        <f>'FORECASTED PERIOD'!F190+'FORECASTED PERIOD'!F191</f>
        <v>138944</v>
      </c>
      <c r="Q177" s="976">
        <f>'FORECASTED PERIOD'!G190+'FORECASTED PERIOD'!G191</f>
        <v>144676</v>
      </c>
      <c r="R177" s="976">
        <f>'FORECASTED PERIOD'!H190+'FORECASTED PERIOD'!H191</f>
        <v>204497</v>
      </c>
      <c r="S177" s="976">
        <f>'FORECASTED PERIOD'!I190+'FORECASTED PERIOD'!I191</f>
        <v>127155</v>
      </c>
      <c r="T177" s="976">
        <f>'FORECASTED PERIOD'!J190+'FORECASTED PERIOD'!J191</f>
        <v>139577</v>
      </c>
      <c r="U177" s="976">
        <f>'FORECASTED PERIOD'!K190+'FORECASTED PERIOD'!K191</f>
        <v>199675</v>
      </c>
      <c r="V177" s="976">
        <f>'FORECASTED PERIOD'!L190+'FORECASTED PERIOD'!L191</f>
        <v>143697</v>
      </c>
      <c r="W177" s="976">
        <f>'FORECASTED PERIOD'!M190+'FORECASTED PERIOD'!M191</f>
        <v>132595</v>
      </c>
      <c r="X177" s="976">
        <f>'FORECASTED PERIOD'!N190+'FORECASTED PERIOD'!N191</f>
        <v>334291</v>
      </c>
      <c r="Y177" s="976">
        <f>'FORECASTED PERIOD'!O190+'FORECASTED PERIOD'!O191</f>
        <v>163618</v>
      </c>
      <c r="Z177" s="976">
        <f>'FORECASTED PERIOD'!P190+'FORECASTED PERIOD'!P191</f>
        <v>164056</v>
      </c>
      <c r="AA177" s="976">
        <f>'FORECASTED PERIOD'!Q190+'FORECASTED PERIOD'!Q191</f>
        <v>207561</v>
      </c>
      <c r="AB177" s="965"/>
      <c r="AC177" s="965"/>
    </row>
    <row r="178" spans="1:29">
      <c r="A178" s="965"/>
      <c r="B178" s="965"/>
      <c r="C178" s="965"/>
      <c r="D178" s="965"/>
      <c r="E178" s="965"/>
      <c r="F178" s="965"/>
      <c r="G178" s="965"/>
      <c r="H178" s="965"/>
      <c r="I178" s="965"/>
      <c r="J178" s="965"/>
      <c r="K178" s="965"/>
      <c r="L178" s="965"/>
      <c r="M178" s="965"/>
      <c r="N178" s="965"/>
      <c r="O178" s="965"/>
      <c r="P178" s="976">
        <f>P177-P174</f>
        <v>0</v>
      </c>
      <c r="Q178" s="976">
        <f t="shared" ref="Q178:AA178" si="19">Q177-Q174</f>
        <v>0</v>
      </c>
      <c r="R178" s="976">
        <f t="shared" si="19"/>
        <v>0</v>
      </c>
      <c r="S178" s="976">
        <f t="shared" si="19"/>
        <v>0</v>
      </c>
      <c r="T178" s="976">
        <f t="shared" si="19"/>
        <v>0</v>
      </c>
      <c r="U178" s="976">
        <f t="shared" si="19"/>
        <v>0</v>
      </c>
      <c r="V178" s="976">
        <f t="shared" si="19"/>
        <v>0</v>
      </c>
      <c r="W178" s="976">
        <f t="shared" si="19"/>
        <v>0</v>
      </c>
      <c r="X178" s="976">
        <f t="shared" si="19"/>
        <v>0</v>
      </c>
      <c r="Y178" s="976">
        <f t="shared" si="19"/>
        <v>0</v>
      </c>
      <c r="Z178" s="976">
        <f t="shared" si="19"/>
        <v>0</v>
      </c>
      <c r="AA178" s="976">
        <f t="shared" si="19"/>
        <v>0</v>
      </c>
      <c r="AB178" s="965"/>
      <c r="AC178" s="965"/>
    </row>
    <row r="179" spans="1:29">
      <c r="A179" s="965"/>
      <c r="B179" s="965"/>
      <c r="C179" s="965"/>
      <c r="D179" s="965"/>
      <c r="E179" s="965"/>
      <c r="F179" s="965"/>
      <c r="G179" s="965"/>
      <c r="H179" s="965"/>
      <c r="I179" s="965"/>
      <c r="J179" s="965"/>
      <c r="K179" s="965"/>
      <c r="L179" s="965"/>
      <c r="M179" s="965"/>
      <c r="N179" s="965"/>
      <c r="O179" s="965"/>
      <c r="P179" s="965"/>
      <c r="Q179" s="965"/>
      <c r="R179" s="965"/>
      <c r="S179" s="965"/>
      <c r="T179" s="965"/>
      <c r="U179" s="965"/>
      <c r="V179" s="965"/>
      <c r="W179" s="965"/>
      <c r="X179" s="965"/>
      <c r="Y179" s="965"/>
      <c r="Z179" s="965"/>
      <c r="AA179" s="965"/>
      <c r="AB179" s="965"/>
      <c r="AC179" s="965"/>
    </row>
    <row r="180" spans="1:29">
      <c r="A180" s="965"/>
      <c r="B180" s="965"/>
      <c r="C180" s="965"/>
      <c r="D180" s="965"/>
      <c r="E180" s="965"/>
      <c r="F180" s="965"/>
      <c r="G180" s="965"/>
      <c r="H180" s="965"/>
      <c r="I180" s="965"/>
      <c r="J180" s="965"/>
      <c r="K180" s="965"/>
      <c r="L180" s="965"/>
      <c r="M180" s="965"/>
      <c r="N180" s="965"/>
      <c r="O180" s="965"/>
      <c r="P180" s="976"/>
      <c r="Q180" s="976"/>
      <c r="R180" s="976"/>
      <c r="S180" s="976"/>
      <c r="T180" s="976"/>
      <c r="U180" s="976"/>
      <c r="V180" s="976"/>
      <c r="W180" s="976"/>
      <c r="X180" s="976"/>
      <c r="Y180" s="976"/>
      <c r="Z180" s="976"/>
      <c r="AA180" s="976"/>
      <c r="AB180" s="965"/>
      <c r="AC180" s="965"/>
    </row>
    <row r="181" spans="1:29">
      <c r="A181" s="965"/>
      <c r="B181" s="965"/>
      <c r="C181" s="965"/>
      <c r="D181" s="965"/>
      <c r="E181" s="965"/>
      <c r="F181" s="965"/>
      <c r="G181" s="965"/>
      <c r="H181" s="965"/>
      <c r="I181" s="965"/>
      <c r="J181" s="965"/>
      <c r="K181" s="965"/>
      <c r="L181" s="965"/>
      <c r="M181" s="965"/>
      <c r="N181" s="965"/>
      <c r="O181" s="965"/>
      <c r="P181" s="976"/>
      <c r="Q181" s="976"/>
      <c r="R181" s="976"/>
      <c r="S181" s="976"/>
      <c r="T181" s="976"/>
      <c r="U181" s="976"/>
      <c r="V181" s="976"/>
      <c r="W181" s="976"/>
      <c r="X181" s="976"/>
      <c r="Y181" s="976"/>
      <c r="Z181" s="976"/>
      <c r="AA181" s="976"/>
      <c r="AB181" s="965"/>
      <c r="AC181" s="965"/>
    </row>
    <row r="182" spans="1:29">
      <c r="A182" s="965"/>
      <c r="B182" s="965"/>
      <c r="C182" s="965"/>
      <c r="D182" s="965"/>
      <c r="E182" s="965"/>
      <c r="F182" s="965"/>
      <c r="G182" s="965"/>
      <c r="H182" s="965"/>
      <c r="I182" s="965"/>
      <c r="J182" s="965"/>
      <c r="K182" s="965"/>
      <c r="L182" s="965"/>
      <c r="M182" s="965"/>
      <c r="N182" s="965"/>
      <c r="O182" s="965"/>
      <c r="P182" s="976"/>
      <c r="Q182" s="976"/>
      <c r="R182" s="976"/>
      <c r="S182" s="976"/>
      <c r="T182" s="976"/>
      <c r="U182" s="976"/>
      <c r="V182" s="976"/>
      <c r="W182" s="976"/>
      <c r="X182" s="976"/>
      <c r="Y182" s="976"/>
      <c r="Z182" s="976"/>
      <c r="AA182" s="976"/>
      <c r="AB182" s="965"/>
      <c r="AC182" s="965"/>
    </row>
    <row r="183" spans="1:29">
      <c r="A183" s="965"/>
      <c r="B183" s="965"/>
      <c r="C183" s="965"/>
      <c r="D183" s="965"/>
      <c r="E183" s="965"/>
      <c r="F183" s="965"/>
      <c r="G183" s="965"/>
      <c r="H183" s="965"/>
      <c r="I183" s="965"/>
      <c r="J183" s="965"/>
      <c r="K183" s="965"/>
      <c r="L183" s="965"/>
      <c r="M183" s="965"/>
      <c r="N183" s="965"/>
      <c r="O183" s="965"/>
      <c r="P183" s="976"/>
      <c r="Q183" s="976"/>
      <c r="R183" s="976"/>
      <c r="S183" s="976"/>
      <c r="T183" s="976"/>
      <c r="U183" s="976"/>
      <c r="V183" s="976"/>
      <c r="W183" s="976"/>
      <c r="X183" s="976"/>
      <c r="Y183" s="976"/>
      <c r="Z183" s="976"/>
      <c r="AA183" s="976"/>
      <c r="AB183" s="965"/>
      <c r="AC183" s="965"/>
    </row>
    <row r="184" spans="1:29">
      <c r="A184" s="965"/>
      <c r="B184" s="965"/>
      <c r="C184" s="965"/>
      <c r="D184" s="965"/>
      <c r="E184" s="965"/>
      <c r="F184" s="965"/>
      <c r="G184" s="965"/>
      <c r="H184" s="965"/>
      <c r="I184" s="965"/>
      <c r="J184" s="965"/>
      <c r="K184" s="965"/>
      <c r="L184" s="965"/>
      <c r="M184" s="965"/>
      <c r="N184" s="965"/>
      <c r="O184" s="965"/>
      <c r="P184" s="976"/>
      <c r="Q184" s="976"/>
      <c r="R184" s="976"/>
      <c r="S184" s="976"/>
      <c r="T184" s="976"/>
      <c r="U184" s="976"/>
      <c r="V184" s="976"/>
      <c r="W184" s="976"/>
      <c r="X184" s="976"/>
      <c r="Y184" s="976"/>
      <c r="Z184" s="976"/>
      <c r="AA184" s="976"/>
      <c r="AB184" s="965"/>
      <c r="AC184" s="965"/>
    </row>
    <row r="185" spans="1:29">
      <c r="A185" s="965"/>
      <c r="B185" s="965"/>
      <c r="C185" s="965"/>
      <c r="D185" s="965"/>
      <c r="E185" s="965"/>
      <c r="F185" s="965"/>
      <c r="G185" s="965"/>
      <c r="H185" s="965"/>
      <c r="I185" s="965"/>
      <c r="J185" s="965"/>
      <c r="K185" s="965"/>
      <c r="L185" s="965"/>
      <c r="M185" s="965"/>
      <c r="N185" s="965"/>
      <c r="O185" s="965"/>
      <c r="P185" s="976"/>
      <c r="Q185" s="976"/>
      <c r="R185" s="976"/>
      <c r="S185" s="976"/>
      <c r="T185" s="976"/>
      <c r="U185" s="976"/>
      <c r="V185" s="976"/>
      <c r="W185" s="976"/>
      <c r="X185" s="976"/>
      <c r="Y185" s="976"/>
      <c r="Z185" s="976"/>
      <c r="AA185" s="976"/>
      <c r="AB185" s="965"/>
      <c r="AC185" s="965"/>
    </row>
    <row r="186" spans="1:29">
      <c r="A186" s="965"/>
      <c r="B186" s="965"/>
      <c r="C186" s="965"/>
      <c r="D186" s="965"/>
      <c r="E186" s="965"/>
      <c r="F186" s="965"/>
      <c r="G186" s="965"/>
      <c r="H186" s="965"/>
      <c r="I186" s="965"/>
      <c r="J186" s="965"/>
      <c r="K186" s="965"/>
      <c r="L186" s="965"/>
      <c r="M186" s="965"/>
      <c r="N186" s="965"/>
      <c r="O186" s="965"/>
      <c r="P186" s="976"/>
      <c r="Q186" s="976"/>
      <c r="R186" s="976"/>
      <c r="S186" s="976"/>
      <c r="T186" s="976"/>
      <c r="U186" s="976"/>
      <c r="V186" s="976"/>
      <c r="W186" s="976"/>
      <c r="X186" s="976"/>
      <c r="Y186" s="976"/>
      <c r="Z186" s="976"/>
      <c r="AA186" s="976"/>
      <c r="AB186" s="965"/>
      <c r="AC186" s="965"/>
    </row>
    <row r="187" spans="1:29">
      <c r="A187" s="965"/>
      <c r="B187" s="965"/>
      <c r="C187" s="965"/>
      <c r="D187" s="965"/>
      <c r="E187" s="965"/>
      <c r="F187" s="965"/>
      <c r="G187" s="965"/>
      <c r="H187" s="965"/>
      <c r="I187" s="965"/>
      <c r="J187" s="965"/>
      <c r="K187" s="965"/>
      <c r="L187" s="965"/>
      <c r="M187" s="965"/>
      <c r="N187" s="965"/>
      <c r="O187" s="965"/>
      <c r="P187" s="976"/>
      <c r="Q187" s="976"/>
      <c r="R187" s="976"/>
      <c r="S187" s="976"/>
      <c r="T187" s="976"/>
      <c r="U187" s="976"/>
      <c r="V187" s="976"/>
      <c r="W187" s="976"/>
      <c r="X187" s="976"/>
      <c r="Y187" s="976"/>
      <c r="Z187" s="976"/>
      <c r="AA187" s="976"/>
      <c r="AB187" s="965"/>
      <c r="AC187" s="965"/>
    </row>
    <row r="188" spans="1:29">
      <c r="A188" s="965"/>
      <c r="B188" s="965"/>
      <c r="C188" s="965"/>
      <c r="D188" s="965"/>
      <c r="E188" s="965"/>
      <c r="F188" s="965"/>
      <c r="G188" s="965"/>
      <c r="H188" s="965"/>
      <c r="I188" s="965"/>
      <c r="J188" s="965"/>
      <c r="K188" s="965"/>
      <c r="L188" s="965"/>
      <c r="M188" s="965"/>
      <c r="N188" s="965"/>
      <c r="O188" s="965"/>
      <c r="P188" s="976"/>
      <c r="Q188" s="976"/>
      <c r="R188" s="976"/>
      <c r="S188" s="976"/>
      <c r="T188" s="976"/>
      <c r="U188" s="976"/>
      <c r="V188" s="976"/>
      <c r="W188" s="976"/>
      <c r="X188" s="976"/>
      <c r="Y188" s="976"/>
      <c r="Z188" s="976"/>
      <c r="AA188" s="976"/>
      <c r="AB188" s="965"/>
      <c r="AC188" s="965"/>
    </row>
    <row r="189" spans="1:29">
      <c r="P189" s="976"/>
      <c r="Q189" s="976"/>
      <c r="R189" s="976"/>
      <c r="S189" s="976"/>
      <c r="T189" s="976"/>
      <c r="U189" s="976"/>
      <c r="V189" s="976"/>
      <c r="W189" s="976"/>
      <c r="X189" s="976"/>
      <c r="Y189" s="976"/>
      <c r="Z189" s="976"/>
      <c r="AA189" s="976"/>
    </row>
    <row r="190" spans="1:29">
      <c r="P190" s="976"/>
      <c r="Q190" s="976"/>
      <c r="R190" s="976"/>
      <c r="S190" s="976"/>
      <c r="T190" s="976"/>
      <c r="U190" s="976"/>
      <c r="V190" s="976"/>
      <c r="W190" s="976"/>
      <c r="X190" s="976"/>
      <c r="Y190" s="976"/>
      <c r="Z190" s="976"/>
      <c r="AA190" s="976"/>
    </row>
    <row r="191" spans="1:29">
      <c r="P191" s="976"/>
      <c r="Q191" s="976"/>
      <c r="R191" s="976"/>
      <c r="S191" s="976"/>
      <c r="T191" s="976"/>
      <c r="U191" s="976"/>
      <c r="V191" s="976"/>
      <c r="W191" s="976"/>
      <c r="X191" s="976"/>
      <c r="Y191" s="976"/>
      <c r="Z191" s="976"/>
      <c r="AA191" s="976"/>
    </row>
    <row r="192" spans="1:29">
      <c r="P192" s="976"/>
      <c r="Q192" s="976"/>
      <c r="R192" s="976"/>
      <c r="S192" s="976"/>
      <c r="T192" s="976"/>
      <c r="U192" s="976"/>
      <c r="V192" s="976"/>
      <c r="W192" s="976"/>
      <c r="X192" s="976"/>
      <c r="Y192" s="976"/>
      <c r="Z192" s="976"/>
      <c r="AA192" s="976"/>
    </row>
    <row r="193" spans="16:27">
      <c r="P193" s="976"/>
      <c r="Q193" s="976"/>
      <c r="R193" s="976"/>
      <c r="S193" s="976"/>
      <c r="T193" s="976"/>
      <c r="U193" s="976"/>
      <c r="V193" s="976"/>
      <c r="W193" s="976"/>
      <c r="X193" s="976"/>
      <c r="Y193" s="976"/>
      <c r="Z193" s="976"/>
      <c r="AA193" s="976"/>
    </row>
    <row r="194" spans="16:27">
      <c r="P194" s="976"/>
      <c r="Q194" s="976"/>
      <c r="R194" s="976"/>
      <c r="S194" s="976"/>
      <c r="T194" s="976"/>
      <c r="U194" s="976"/>
      <c r="V194" s="976"/>
      <c r="W194" s="976"/>
      <c r="X194" s="976"/>
      <c r="Y194" s="976"/>
      <c r="Z194" s="976"/>
      <c r="AA194" s="976"/>
    </row>
    <row r="195" spans="16:27">
      <c r="P195" s="976"/>
      <c r="Q195" s="976"/>
      <c r="R195" s="976"/>
      <c r="S195" s="976"/>
      <c r="T195" s="976"/>
      <c r="U195" s="976"/>
      <c r="V195" s="976"/>
      <c r="W195" s="976"/>
      <c r="X195" s="976"/>
      <c r="Y195" s="976"/>
      <c r="Z195" s="976"/>
      <c r="AA195" s="976"/>
    </row>
    <row r="196" spans="16:27">
      <c r="P196" s="976"/>
      <c r="Q196" s="976"/>
      <c r="R196" s="976"/>
      <c r="S196" s="976"/>
      <c r="T196" s="976"/>
      <c r="U196" s="976"/>
      <c r="V196" s="976"/>
      <c r="W196" s="976"/>
      <c r="X196" s="976"/>
      <c r="Y196" s="976"/>
      <c r="Z196" s="976"/>
      <c r="AA196" s="976"/>
    </row>
    <row r="197" spans="16:27">
      <c r="P197" s="976"/>
      <c r="Q197" s="976"/>
      <c r="R197" s="976"/>
      <c r="S197" s="976"/>
      <c r="T197" s="976"/>
      <c r="U197" s="976"/>
      <c r="V197" s="976"/>
      <c r="W197" s="976"/>
      <c r="X197" s="976"/>
      <c r="Y197" s="976"/>
      <c r="Z197" s="976"/>
      <c r="AA197" s="976"/>
    </row>
    <row r="198" spans="16:27">
      <c r="P198" s="976"/>
      <c r="Q198" s="976"/>
      <c r="R198" s="976"/>
      <c r="S198" s="976"/>
      <c r="T198" s="976"/>
      <c r="U198" s="976"/>
      <c r="V198" s="976"/>
      <c r="W198" s="976"/>
      <c r="X198" s="976"/>
      <c r="Y198" s="976"/>
      <c r="Z198" s="976"/>
      <c r="AA198" s="976"/>
    </row>
    <row r="199" spans="16:27">
      <c r="P199" s="976"/>
      <c r="Q199" s="976"/>
      <c r="R199" s="976"/>
      <c r="S199" s="976"/>
      <c r="T199" s="976"/>
      <c r="U199" s="976"/>
      <c r="V199" s="976"/>
      <c r="W199" s="976"/>
      <c r="X199" s="976"/>
      <c r="Y199" s="976"/>
      <c r="Z199" s="976"/>
      <c r="AA199" s="976"/>
    </row>
    <row r="200" spans="16:27">
      <c r="P200" s="976"/>
      <c r="Q200" s="976"/>
      <c r="R200" s="976"/>
      <c r="S200" s="976"/>
      <c r="T200" s="976"/>
      <c r="U200" s="976"/>
      <c r="V200" s="976"/>
      <c r="W200" s="976"/>
      <c r="X200" s="976"/>
      <c r="Y200" s="976"/>
      <c r="Z200" s="976"/>
      <c r="AA200" s="976"/>
    </row>
    <row r="201" spans="16:27">
      <c r="P201" s="976"/>
      <c r="Q201" s="976"/>
      <c r="R201" s="976"/>
      <c r="S201" s="976"/>
      <c r="T201" s="976"/>
      <c r="U201" s="976"/>
      <c r="V201" s="976"/>
      <c r="W201" s="976"/>
      <c r="X201" s="976"/>
      <c r="Y201" s="976"/>
      <c r="Z201" s="976"/>
      <c r="AA201" s="976"/>
    </row>
    <row r="202" spans="16:27">
      <c r="P202" s="976"/>
      <c r="Q202" s="976"/>
      <c r="R202" s="976"/>
      <c r="S202" s="976"/>
      <c r="T202" s="976"/>
      <c r="U202" s="976"/>
      <c r="V202" s="976"/>
      <c r="W202" s="976"/>
      <c r="X202" s="976"/>
      <c r="Y202" s="976"/>
      <c r="Z202" s="976"/>
      <c r="AA202" s="976"/>
    </row>
    <row r="203" spans="16:27">
      <c r="P203" s="976"/>
      <c r="Q203" s="976"/>
      <c r="R203" s="976"/>
      <c r="S203" s="976"/>
      <c r="T203" s="976"/>
      <c r="U203" s="976"/>
      <c r="V203" s="976"/>
      <c r="W203" s="976"/>
      <c r="X203" s="976"/>
      <c r="Y203" s="976"/>
      <c r="Z203" s="976"/>
      <c r="AA203" s="976"/>
    </row>
    <row r="204" spans="16:27">
      <c r="P204" s="976"/>
      <c r="Q204" s="976"/>
      <c r="R204" s="976"/>
      <c r="S204" s="976"/>
      <c r="T204" s="976"/>
      <c r="U204" s="976"/>
      <c r="V204" s="976"/>
      <c r="W204" s="976"/>
      <c r="X204" s="976"/>
      <c r="Y204" s="976"/>
      <c r="Z204" s="976"/>
      <c r="AA204" s="976"/>
    </row>
    <row r="205" spans="16:27">
      <c r="P205" s="976"/>
      <c r="Q205" s="976"/>
      <c r="R205" s="976"/>
      <c r="S205" s="976"/>
      <c r="T205" s="976"/>
      <c r="U205" s="976"/>
      <c r="V205" s="976"/>
      <c r="W205" s="976"/>
      <c r="X205" s="976"/>
      <c r="Y205" s="976"/>
      <c r="Z205" s="976"/>
      <c r="AA205" s="976"/>
    </row>
    <row r="206" spans="16:27">
      <c r="P206" s="976"/>
      <c r="Q206" s="976"/>
      <c r="R206" s="976"/>
      <c r="S206" s="976"/>
      <c r="T206" s="976"/>
      <c r="U206" s="976"/>
      <c r="V206" s="976"/>
      <c r="W206" s="976"/>
      <c r="X206" s="976"/>
      <c r="Y206" s="976"/>
      <c r="Z206" s="976"/>
      <c r="AA206" s="976"/>
    </row>
    <row r="207" spans="16:27">
      <c r="P207" s="976"/>
      <c r="Q207" s="976"/>
      <c r="R207" s="976"/>
      <c r="S207" s="976"/>
      <c r="T207" s="976"/>
      <c r="U207" s="976"/>
      <c r="V207" s="976"/>
      <c r="W207" s="976"/>
      <c r="X207" s="976"/>
      <c r="Y207" s="976"/>
      <c r="Z207" s="976"/>
      <c r="AA207" s="976"/>
    </row>
    <row r="208" spans="16:27">
      <c r="P208" s="976"/>
      <c r="Q208" s="976"/>
      <c r="R208" s="976"/>
      <c r="S208" s="976"/>
      <c r="T208" s="976"/>
      <c r="U208" s="976"/>
      <c r="V208" s="976"/>
      <c r="W208" s="976"/>
      <c r="X208" s="976"/>
      <c r="Y208" s="976"/>
      <c r="Z208" s="976"/>
      <c r="AA208" s="976"/>
    </row>
    <row r="209" spans="16:27">
      <c r="P209" s="976"/>
      <c r="Q209" s="976"/>
      <c r="R209" s="976"/>
      <c r="S209" s="976"/>
      <c r="T209" s="976"/>
      <c r="U209" s="976"/>
      <c r="V209" s="976"/>
      <c r="W209" s="976"/>
      <c r="X209" s="976"/>
      <c r="Y209" s="976"/>
      <c r="Z209" s="976"/>
      <c r="AA209" s="976"/>
    </row>
    <row r="210" spans="16:27">
      <c r="P210" s="976"/>
      <c r="Q210" s="976"/>
      <c r="R210" s="976"/>
      <c r="S210" s="976"/>
      <c r="T210" s="976"/>
      <c r="U210" s="976"/>
      <c r="V210" s="976"/>
      <c r="W210" s="976"/>
      <c r="X210" s="976"/>
      <c r="Y210" s="976"/>
      <c r="Z210" s="976"/>
      <c r="AA210" s="976"/>
    </row>
    <row r="211" spans="16:27">
      <c r="P211" s="976"/>
      <c r="Q211" s="976"/>
      <c r="R211" s="976"/>
      <c r="S211" s="976"/>
      <c r="T211" s="976"/>
      <c r="U211" s="976"/>
      <c r="V211" s="976"/>
      <c r="W211" s="976"/>
      <c r="X211" s="976"/>
      <c r="Y211" s="976"/>
      <c r="Z211" s="976"/>
      <c r="AA211" s="976"/>
    </row>
    <row r="212" spans="16:27">
      <c r="P212" s="976"/>
      <c r="Q212" s="976"/>
      <c r="R212" s="976"/>
      <c r="S212" s="976"/>
      <c r="T212" s="976"/>
      <c r="U212" s="976"/>
      <c r="V212" s="976"/>
      <c r="W212" s="976"/>
      <c r="X212" s="976"/>
      <c r="Y212" s="976"/>
      <c r="Z212" s="976"/>
      <c r="AA212" s="976"/>
    </row>
    <row r="213" spans="16:27">
      <c r="P213" s="976"/>
      <c r="Q213" s="976"/>
      <c r="R213" s="976"/>
      <c r="S213" s="976"/>
      <c r="T213" s="976"/>
      <c r="U213" s="976"/>
      <c r="V213" s="976"/>
      <c r="W213" s="976"/>
      <c r="X213" s="976"/>
      <c r="Y213" s="976"/>
      <c r="Z213" s="976"/>
      <c r="AA213" s="976"/>
    </row>
    <row r="214" spans="16:27">
      <c r="P214" s="976"/>
      <c r="Q214" s="976"/>
      <c r="R214" s="976"/>
      <c r="S214" s="976"/>
      <c r="T214" s="976"/>
      <c r="U214" s="976"/>
      <c r="V214" s="976"/>
      <c r="W214" s="976"/>
      <c r="X214" s="976"/>
      <c r="Y214" s="976"/>
      <c r="Z214" s="976"/>
      <c r="AA214" s="976"/>
    </row>
    <row r="215" spans="16:27">
      <c r="P215" s="976"/>
      <c r="Q215" s="976"/>
      <c r="R215" s="976"/>
      <c r="S215" s="976"/>
      <c r="T215" s="976"/>
      <c r="U215" s="976"/>
      <c r="V215" s="976"/>
      <c r="W215" s="976"/>
      <c r="X215" s="976"/>
      <c r="Y215" s="976"/>
      <c r="Z215" s="976"/>
      <c r="AA215" s="976"/>
    </row>
    <row r="216" spans="16:27">
      <c r="P216" s="976"/>
      <c r="Q216" s="976"/>
      <c r="R216" s="976"/>
      <c r="S216" s="976"/>
      <c r="T216" s="976"/>
      <c r="U216" s="976"/>
      <c r="V216" s="976"/>
      <c r="W216" s="976"/>
      <c r="X216" s="976"/>
      <c r="Y216" s="976"/>
      <c r="Z216" s="976"/>
      <c r="AA216" s="976"/>
    </row>
    <row r="217" spans="16:27">
      <c r="P217" s="976"/>
      <c r="Q217" s="976"/>
      <c r="R217" s="976"/>
      <c r="S217" s="976"/>
      <c r="T217" s="976"/>
      <c r="U217" s="976"/>
      <c r="V217" s="976"/>
      <c r="W217" s="976"/>
      <c r="X217" s="976"/>
      <c r="Y217" s="976"/>
      <c r="Z217" s="976"/>
      <c r="AA217" s="976"/>
    </row>
    <row r="218" spans="16:27">
      <c r="P218" s="976"/>
      <c r="Q218" s="976"/>
      <c r="R218" s="976"/>
      <c r="S218" s="976"/>
      <c r="T218" s="976"/>
      <c r="U218" s="976"/>
      <c r="V218" s="976"/>
      <c r="W218" s="976"/>
      <c r="X218" s="976"/>
      <c r="Y218" s="976"/>
      <c r="Z218" s="976"/>
      <c r="AA218" s="976"/>
    </row>
    <row r="219" spans="16:27">
      <c r="P219" s="976"/>
      <c r="Q219" s="976"/>
      <c r="R219" s="976"/>
      <c r="S219" s="976"/>
      <c r="T219" s="976"/>
      <c r="U219" s="976"/>
      <c r="V219" s="976"/>
      <c r="W219" s="976"/>
      <c r="X219" s="976"/>
      <c r="Y219" s="976"/>
      <c r="Z219" s="976"/>
      <c r="AA219" s="976"/>
    </row>
    <row r="220" spans="16:27">
      <c r="P220" s="976"/>
      <c r="Q220" s="976"/>
      <c r="R220" s="976"/>
      <c r="S220" s="976"/>
      <c r="T220" s="976"/>
      <c r="U220" s="976"/>
      <c r="V220" s="976"/>
      <c r="W220" s="976"/>
      <c r="X220" s="976"/>
      <c r="Y220" s="976"/>
      <c r="Z220" s="976"/>
      <c r="AA220" s="976"/>
    </row>
    <row r="221" spans="16:27">
      <c r="P221" s="976"/>
    </row>
    <row r="222" spans="16:27">
      <c r="P222" s="976"/>
    </row>
    <row r="223" spans="16:27">
      <c r="P223" s="976"/>
    </row>
    <row r="224" spans="16:27">
      <c r="P224" s="976"/>
    </row>
    <row r="225" spans="16:16">
      <c r="P225" s="976"/>
    </row>
    <row r="226" spans="16:16">
      <c r="P226" s="976"/>
    </row>
  </sheetData>
  <phoneticPr fontId="19" type="noConversion"/>
  <pageMargins left="0.75" right="0.75" top="1" bottom="1" header="0.5" footer="0.5"/>
  <pageSetup scale="59" orientation="landscape" blackAndWhite="1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rgb="FFFFC000"/>
  </sheetPr>
  <dimension ref="A1:N57"/>
  <sheetViews>
    <sheetView tabSelected="1" view="pageLayout" topLeftCell="A7" zoomScaleNormal="90" workbookViewId="0">
      <selection activeCell="G1" sqref="G1"/>
    </sheetView>
  </sheetViews>
  <sheetFormatPr defaultColWidth="8" defaultRowHeight="12.75"/>
  <cols>
    <col min="1" max="1" width="8" style="18" customWidth="1"/>
    <col min="2" max="2" width="35" style="18" customWidth="1"/>
    <col min="3" max="3" width="15.28515625" style="18" customWidth="1"/>
    <col min="4" max="4" width="0.7109375" style="18" customWidth="1"/>
    <col min="5" max="5" width="13.5703125" style="18" customWidth="1"/>
    <col min="6" max="6" width="0.85546875" style="18" customWidth="1"/>
    <col min="7" max="7" width="17.140625" style="18" customWidth="1"/>
    <col min="8" max="8" width="0.5703125" style="18" customWidth="1"/>
    <col min="9" max="9" width="13" style="18" customWidth="1"/>
    <col min="10" max="10" width="0.42578125" style="18" customWidth="1"/>
    <col min="11" max="11" width="17.42578125" style="18" customWidth="1"/>
    <col min="12" max="12" width="18.140625" style="18" customWidth="1"/>
    <col min="13" max="16384" width="8" style="18"/>
  </cols>
  <sheetData>
    <row r="1" spans="1:14">
      <c r="A1" s="1899" t="str">
        <f>COMPANY</f>
        <v>DUKE ENERGY KENTUCKY, INC.</v>
      </c>
      <c r="B1" s="1900"/>
      <c r="C1" s="1900"/>
      <c r="D1" s="1900"/>
      <c r="E1" s="1900"/>
      <c r="F1" s="1900"/>
      <c r="G1" s="1900"/>
      <c r="H1" s="1900"/>
      <c r="I1" s="1900"/>
      <c r="J1" s="1900"/>
      <c r="K1" s="1900"/>
      <c r="L1" s="1900"/>
      <c r="M1" s="959"/>
      <c r="N1" s="959"/>
    </row>
    <row r="2" spans="1:14">
      <c r="A2" s="1901" t="str">
        <f>CASE</f>
        <v>CASE NO. 2017-00321</v>
      </c>
      <c r="B2" s="1900"/>
      <c r="C2" s="1900"/>
      <c r="D2" s="1900"/>
      <c r="E2" s="1899"/>
      <c r="F2" s="1899"/>
      <c r="G2" s="1900"/>
      <c r="H2" s="1900"/>
      <c r="I2" s="1900"/>
      <c r="J2" s="1900"/>
      <c r="K2" s="1900"/>
      <c r="L2" s="1899"/>
      <c r="M2" s="959"/>
      <c r="N2" s="959"/>
    </row>
    <row r="3" spans="1:14">
      <c r="A3" s="1901" t="s">
        <v>1382</v>
      </c>
      <c r="B3" s="1900"/>
      <c r="C3" s="1900"/>
      <c r="D3" s="1900"/>
      <c r="E3" s="1900"/>
      <c r="F3" s="1900"/>
      <c r="G3" s="1900"/>
      <c r="H3" s="1900"/>
      <c r="I3" s="1900"/>
      <c r="J3" s="1900"/>
      <c r="K3" s="1900"/>
      <c r="L3" s="1900"/>
      <c r="M3" s="959"/>
      <c r="N3" s="959"/>
    </row>
    <row r="4" spans="1:14">
      <c r="A4" s="1901" t="str">
        <f>LOGO!B8</f>
        <v>FOR THE TWELVE MONTHS ENDED MARCH 31, 2019</v>
      </c>
      <c r="B4" s="1900"/>
      <c r="C4" s="1900"/>
      <c r="D4" s="1900"/>
      <c r="E4" s="1900"/>
      <c r="F4" s="1900"/>
      <c r="G4" s="1900"/>
      <c r="H4" s="1900"/>
      <c r="I4" s="1900"/>
      <c r="J4" s="1900"/>
      <c r="K4" s="1900"/>
      <c r="L4" s="1900"/>
      <c r="M4" s="959"/>
      <c r="N4" s="959"/>
    </row>
    <row r="5" spans="1:14">
      <c r="A5" s="959"/>
      <c r="B5" s="959"/>
      <c r="C5" s="959"/>
      <c r="D5" s="959"/>
      <c r="E5" s="959"/>
      <c r="F5" s="959"/>
      <c r="G5" s="959"/>
      <c r="H5" s="959"/>
      <c r="I5" s="959"/>
      <c r="J5" s="959"/>
      <c r="K5" s="959"/>
      <c r="L5" s="959"/>
      <c r="M5" s="959"/>
      <c r="N5" s="959"/>
    </row>
    <row r="6" spans="1:14">
      <c r="A6" s="1902" t="str">
        <f>DataF</f>
        <v>DATA:  BASE PERIOD  "X" FORECASTED PERIOD</v>
      </c>
      <c r="B6" s="959"/>
      <c r="C6" s="959"/>
      <c r="D6" s="959"/>
      <c r="E6" s="959"/>
      <c r="F6" s="959"/>
      <c r="G6" s="959"/>
      <c r="H6" s="959"/>
      <c r="I6" s="959"/>
      <c r="J6" s="959"/>
      <c r="K6" s="1903" t="s">
        <v>1652</v>
      </c>
      <c r="L6" s="959"/>
      <c r="M6" s="959"/>
      <c r="N6" s="959"/>
    </row>
    <row r="7" spans="1:14">
      <c r="A7" s="1902" t="str">
        <f>Type</f>
        <v xml:space="preserve">TYPE OF FILING:  "X" ORIGINAL   UPDATED    REVISED  </v>
      </c>
      <c r="B7" s="959"/>
      <c r="C7" s="959"/>
      <c r="D7" s="959"/>
      <c r="E7" s="959"/>
      <c r="F7" s="959"/>
      <c r="G7" s="959"/>
      <c r="H7" s="959"/>
      <c r="I7" s="959"/>
      <c r="J7" s="959"/>
      <c r="K7" s="1903" t="s">
        <v>271</v>
      </c>
      <c r="L7" s="959"/>
      <c r="M7" s="959"/>
      <c r="N7" s="959"/>
    </row>
    <row r="8" spans="1:14">
      <c r="A8" s="1904" t="s">
        <v>1653</v>
      </c>
      <c r="B8" s="959"/>
      <c r="C8" s="959"/>
      <c r="D8" s="959"/>
      <c r="E8" s="959"/>
      <c r="F8" s="959"/>
      <c r="G8" s="959"/>
      <c r="H8" s="959"/>
      <c r="I8" s="959"/>
      <c r="J8" s="959"/>
      <c r="K8" s="1903" t="s">
        <v>272</v>
      </c>
      <c r="L8" s="959"/>
      <c r="M8" s="959"/>
      <c r="N8" s="959"/>
    </row>
    <row r="9" spans="1:14">
      <c r="A9" s="959"/>
      <c r="B9" s="959"/>
      <c r="C9" s="959"/>
      <c r="D9" s="959"/>
      <c r="E9" s="959"/>
      <c r="F9" s="959"/>
      <c r="G9" s="959"/>
      <c r="H9" s="959"/>
      <c r="I9" s="959"/>
      <c r="J9" s="959"/>
      <c r="K9" s="1904" t="str">
        <f>"        "&amp;LOGO!G6</f>
        <v xml:space="preserve">        S. E. LAWLER</v>
      </c>
      <c r="L9" s="959"/>
      <c r="M9" s="959"/>
      <c r="N9" s="959"/>
    </row>
    <row r="10" spans="1:14">
      <c r="A10" s="1905"/>
      <c r="B10" s="1906"/>
      <c r="C10" s="1906"/>
      <c r="D10" s="1906"/>
      <c r="E10" s="1906"/>
      <c r="F10" s="1906"/>
      <c r="G10" s="1906"/>
      <c r="H10" s="1906"/>
      <c r="I10" s="1906"/>
      <c r="J10" s="1906"/>
      <c r="K10" s="1906"/>
      <c r="L10" s="1906"/>
      <c r="M10" s="959"/>
      <c r="N10" s="959"/>
    </row>
    <row r="11" spans="1:14">
      <c r="A11" s="1907"/>
      <c r="B11" s="2808" t="s">
        <v>966</v>
      </c>
      <c r="C11" s="2808"/>
      <c r="D11" s="2808"/>
      <c r="E11" s="2808"/>
      <c r="F11" s="2808"/>
      <c r="G11" s="2808"/>
      <c r="H11" s="2808"/>
      <c r="I11" s="2808"/>
      <c r="J11" s="2808"/>
      <c r="K11" s="2808"/>
      <c r="L11" s="2808"/>
      <c r="M11" s="959"/>
      <c r="N11" s="959"/>
    </row>
    <row r="12" spans="1:14">
      <c r="A12" s="959"/>
      <c r="B12" s="959"/>
      <c r="C12" s="1908" t="s">
        <v>967</v>
      </c>
      <c r="D12" s="1909"/>
      <c r="E12" s="1910" t="s">
        <v>967</v>
      </c>
      <c r="F12" s="1911"/>
      <c r="G12" s="1900"/>
      <c r="H12" s="959"/>
      <c r="I12" s="1910" t="s">
        <v>967</v>
      </c>
      <c r="J12" s="1911"/>
      <c r="K12" s="1900"/>
      <c r="L12" s="1908" t="s">
        <v>1375</v>
      </c>
      <c r="M12" s="959"/>
      <c r="N12" s="959"/>
    </row>
    <row r="13" spans="1:14">
      <c r="A13" s="1912" t="s">
        <v>1961</v>
      </c>
      <c r="B13" s="959"/>
      <c r="C13" s="1913" t="str">
        <f>RIGHT(CASE,10)</f>
        <v>2017-00321</v>
      </c>
      <c r="D13" s="1904"/>
      <c r="E13" s="957" t="s">
        <v>2280</v>
      </c>
      <c r="F13" s="958"/>
      <c r="G13" s="958"/>
      <c r="H13" s="959"/>
      <c r="I13" s="957" t="s">
        <v>2281</v>
      </c>
      <c r="J13" s="958"/>
      <c r="K13" s="958"/>
      <c r="L13" s="1908" t="s">
        <v>1374</v>
      </c>
      <c r="M13" s="959"/>
      <c r="N13" s="959"/>
    </row>
    <row r="14" spans="1:14">
      <c r="A14" s="1912" t="s">
        <v>90</v>
      </c>
      <c r="B14" s="1904" t="s">
        <v>968</v>
      </c>
      <c r="C14" s="1908" t="s">
        <v>969</v>
      </c>
      <c r="D14" s="1908"/>
      <c r="E14" s="1908" t="s">
        <v>970</v>
      </c>
      <c r="F14" s="1908"/>
      <c r="G14" s="1908" t="s">
        <v>969</v>
      </c>
      <c r="H14" s="959"/>
      <c r="I14" s="1908" t="s">
        <v>970</v>
      </c>
      <c r="J14" s="1908"/>
      <c r="K14" s="1908" t="s">
        <v>969</v>
      </c>
      <c r="L14" s="1908" t="s">
        <v>971</v>
      </c>
      <c r="M14" s="959"/>
      <c r="N14" s="959"/>
    </row>
    <row r="15" spans="1:14">
      <c r="A15" s="1905"/>
      <c r="B15" s="1906"/>
      <c r="C15" s="1906"/>
      <c r="D15" s="1906"/>
      <c r="E15" s="1906"/>
      <c r="F15" s="1906"/>
      <c r="G15" s="1906"/>
      <c r="H15" s="1906"/>
      <c r="I15" s="1906"/>
      <c r="J15" s="1906"/>
      <c r="K15" s="1906"/>
      <c r="L15" s="1906"/>
      <c r="M15" s="959"/>
      <c r="N15" s="959"/>
    </row>
    <row r="16" spans="1:14">
      <c r="A16" s="959"/>
      <c r="B16" s="959"/>
      <c r="C16" s="959"/>
      <c r="D16" s="959"/>
      <c r="E16" s="959"/>
      <c r="F16" s="959"/>
      <c r="G16" s="959"/>
      <c r="H16" s="959"/>
      <c r="I16" s="959"/>
      <c r="J16" s="959"/>
      <c r="K16" s="959"/>
      <c r="L16" s="959"/>
      <c r="M16" s="959"/>
      <c r="N16" s="959"/>
    </row>
    <row r="17" spans="1:14">
      <c r="A17" s="1912">
        <v>1</v>
      </c>
      <c r="B17" s="1904" t="s">
        <v>576</v>
      </c>
      <c r="C17" s="962">
        <v>186690</v>
      </c>
      <c r="D17" s="963"/>
      <c r="E17" s="962">
        <v>7324</v>
      </c>
      <c r="F17" s="962"/>
      <c r="G17" s="1594">
        <v>15000</v>
      </c>
      <c r="H17" s="959"/>
      <c r="I17" s="962">
        <v>11268</v>
      </c>
      <c r="J17" s="962"/>
      <c r="K17" s="962">
        <v>35000</v>
      </c>
      <c r="L17" s="959"/>
      <c r="M17" s="959"/>
      <c r="N17" s="959"/>
    </row>
    <row r="18" spans="1:14">
      <c r="A18" s="1912">
        <v>2</v>
      </c>
      <c r="B18" s="1904" t="s">
        <v>2282</v>
      </c>
      <c r="C18" s="962">
        <v>75000</v>
      </c>
      <c r="D18" s="963"/>
      <c r="E18" s="962">
        <v>35146</v>
      </c>
      <c r="F18" s="962"/>
      <c r="G18" s="1594">
        <v>50000</v>
      </c>
      <c r="H18" s="963"/>
      <c r="I18" s="962">
        <v>55772</v>
      </c>
      <c r="J18" s="962"/>
      <c r="K18" s="962">
        <v>40000</v>
      </c>
      <c r="L18" s="959"/>
      <c r="M18" s="959"/>
      <c r="N18" s="959"/>
    </row>
    <row r="19" spans="1:14">
      <c r="A19" s="1912">
        <v>3</v>
      </c>
      <c r="B19" s="1904" t="s">
        <v>2283</v>
      </c>
      <c r="C19" s="962">
        <v>80000</v>
      </c>
      <c r="D19" s="963"/>
      <c r="E19" s="962"/>
      <c r="F19" s="962"/>
      <c r="G19" s="1594"/>
      <c r="H19" s="963"/>
      <c r="I19" s="962">
        <v>21366</v>
      </c>
      <c r="J19" s="962"/>
      <c r="K19" s="962"/>
      <c r="L19" s="959"/>
      <c r="M19" s="959"/>
      <c r="N19" s="959"/>
    </row>
    <row r="20" spans="1:14">
      <c r="A20" s="1912">
        <v>4</v>
      </c>
      <c r="B20" s="1904" t="s">
        <v>292</v>
      </c>
      <c r="C20" s="962">
        <v>0</v>
      </c>
      <c r="D20" s="963"/>
      <c r="E20" s="962">
        <v>19442</v>
      </c>
      <c r="F20" s="962"/>
      <c r="G20" s="1594">
        <v>25000</v>
      </c>
      <c r="H20" s="963"/>
      <c r="I20" s="962">
        <v>78391</v>
      </c>
      <c r="J20" s="962"/>
      <c r="K20" s="962">
        <v>25000</v>
      </c>
      <c r="L20" s="959"/>
      <c r="M20" s="959"/>
      <c r="N20" s="959"/>
    </row>
    <row r="21" spans="1:14">
      <c r="A21" s="1912">
        <v>5</v>
      </c>
      <c r="B21" s="1904" t="s">
        <v>293</v>
      </c>
      <c r="C21" s="962">
        <v>80000</v>
      </c>
      <c r="D21" s="963"/>
      <c r="E21" s="962">
        <v>54717</v>
      </c>
      <c r="F21" s="962"/>
      <c r="G21" s="1594">
        <v>60000</v>
      </c>
      <c r="H21" s="959"/>
      <c r="I21" s="962">
        <v>45478</v>
      </c>
      <c r="J21" s="962"/>
      <c r="K21" s="962">
        <v>70000</v>
      </c>
      <c r="L21" s="959"/>
      <c r="M21" s="959"/>
      <c r="N21" s="959"/>
    </row>
    <row r="22" spans="1:14">
      <c r="A22" s="1912">
        <v>6</v>
      </c>
      <c r="B22" s="1904" t="s">
        <v>294</v>
      </c>
      <c r="C22" s="962">
        <v>0</v>
      </c>
      <c r="D22" s="963"/>
      <c r="E22" s="962">
        <v>0</v>
      </c>
      <c r="F22" s="962"/>
      <c r="G22" s="1594">
        <v>0</v>
      </c>
      <c r="H22" s="959"/>
      <c r="I22" s="962">
        <v>0</v>
      </c>
      <c r="J22" s="962"/>
      <c r="K22" s="962">
        <v>0</v>
      </c>
      <c r="L22" s="959"/>
      <c r="M22" s="959"/>
      <c r="N22" s="959"/>
    </row>
    <row r="23" spans="1:14">
      <c r="A23" s="1912">
        <v>7</v>
      </c>
      <c r="B23" s="1904" t="s">
        <v>1410</v>
      </c>
      <c r="C23" s="962">
        <v>81000</v>
      </c>
      <c r="D23" s="963"/>
      <c r="E23" s="962">
        <v>22315</v>
      </c>
      <c r="F23" s="962"/>
      <c r="G23" s="1594">
        <v>80000</v>
      </c>
      <c r="H23" s="959"/>
      <c r="I23" s="962">
        <v>81463</v>
      </c>
      <c r="J23" s="962"/>
      <c r="K23" s="962">
        <v>16000</v>
      </c>
      <c r="L23" s="959"/>
      <c r="M23" s="959"/>
      <c r="N23" s="959"/>
    </row>
    <row r="24" spans="1:14">
      <c r="A24" s="1912">
        <v>8</v>
      </c>
      <c r="B24" s="1904" t="s">
        <v>1411</v>
      </c>
      <c r="C24" s="962">
        <v>80000</v>
      </c>
      <c r="D24" s="963"/>
      <c r="E24" s="962">
        <v>0</v>
      </c>
      <c r="F24" s="962"/>
      <c r="G24" s="1594">
        <v>20000</v>
      </c>
      <c r="H24" s="959"/>
      <c r="I24" s="962">
        <v>7990</v>
      </c>
      <c r="J24" s="962"/>
      <c r="K24" s="962">
        <v>40000</v>
      </c>
      <c r="L24" s="959"/>
      <c r="M24" s="959"/>
      <c r="N24" s="959"/>
    </row>
    <row r="25" spans="1:14">
      <c r="A25" s="1912">
        <v>9</v>
      </c>
      <c r="B25" s="1904" t="s">
        <v>1642</v>
      </c>
      <c r="C25" s="962">
        <v>20000</v>
      </c>
      <c r="D25" s="963"/>
      <c r="E25" s="962">
        <v>17580</v>
      </c>
      <c r="F25" s="962"/>
      <c r="G25" s="1594">
        <v>10000</v>
      </c>
      <c r="H25" s="959"/>
      <c r="I25" s="962">
        <v>-99728</v>
      </c>
      <c r="J25" s="962"/>
      <c r="K25" s="962">
        <v>9000</v>
      </c>
      <c r="L25" s="959"/>
      <c r="M25" s="959"/>
      <c r="N25" s="959"/>
    </row>
    <row r="26" spans="1:14" ht="13.5" thickBot="1">
      <c r="A26" s="1912">
        <v>10</v>
      </c>
      <c r="B26" s="1904" t="s">
        <v>85</v>
      </c>
      <c r="C26" s="1914">
        <f>SUM(C17:C25)</f>
        <v>602690</v>
      </c>
      <c r="D26" s="963"/>
      <c r="E26" s="1914">
        <f>SUM(E17:E25)</f>
        <v>156524</v>
      </c>
      <c r="F26" s="963"/>
      <c r="G26" s="1914">
        <f>SUM(G17:G25)</f>
        <v>260000</v>
      </c>
      <c r="H26" s="959"/>
      <c r="I26" s="1914">
        <f>SUM(I17:I25)</f>
        <v>202000</v>
      </c>
      <c r="J26" s="1914"/>
      <c r="K26" s="1914">
        <f>SUM(K17:K25)</f>
        <v>235000</v>
      </c>
      <c r="L26" s="959"/>
      <c r="M26" s="959"/>
      <c r="N26" s="959"/>
    </row>
    <row r="27" spans="1:14" ht="13.5" thickTop="1">
      <c r="A27" s="1912">
        <v>11</v>
      </c>
      <c r="B27" s="959"/>
      <c r="C27" s="1915"/>
      <c r="D27" s="1915"/>
      <c r="E27" s="1915"/>
      <c r="F27" s="1915"/>
      <c r="G27" s="1915"/>
      <c r="H27" s="959"/>
      <c r="I27" s="1915"/>
      <c r="J27" s="1915"/>
      <c r="K27" s="1915"/>
      <c r="L27" s="959"/>
      <c r="M27" s="959"/>
      <c r="N27" s="959"/>
    </row>
    <row r="28" spans="1:14">
      <c r="A28" s="1912">
        <v>12</v>
      </c>
      <c r="B28" s="1906"/>
      <c r="C28" s="1906"/>
      <c r="D28" s="1906"/>
      <c r="E28" s="1906"/>
      <c r="F28" s="1906"/>
      <c r="G28" s="1906"/>
      <c r="H28" s="1906"/>
      <c r="I28" s="1906"/>
      <c r="J28" s="1906"/>
      <c r="K28" s="1906"/>
      <c r="L28" s="1906"/>
      <c r="M28" s="959"/>
      <c r="N28" s="959"/>
    </row>
    <row r="29" spans="1:14">
      <c r="A29" s="1912">
        <v>13</v>
      </c>
      <c r="B29" s="959"/>
      <c r="C29" s="1900"/>
      <c r="D29" s="1901"/>
      <c r="E29" s="1900"/>
      <c r="F29" s="1900"/>
      <c r="G29" s="1900"/>
      <c r="H29" s="1900"/>
      <c r="I29" s="1900"/>
      <c r="J29" s="1900"/>
      <c r="K29" s="1900"/>
      <c r="L29" s="1900"/>
      <c r="M29" s="959"/>
      <c r="N29" s="959"/>
    </row>
    <row r="30" spans="1:14">
      <c r="A30" s="1912">
        <v>14</v>
      </c>
      <c r="B30" s="1901" t="s">
        <v>1612</v>
      </c>
      <c r="C30" s="1916"/>
      <c r="D30" s="1916"/>
      <c r="E30" s="1916"/>
      <c r="F30" s="1916"/>
      <c r="G30" s="1916"/>
      <c r="H30" s="1916"/>
      <c r="I30" s="1916"/>
      <c r="J30" s="1916"/>
      <c r="K30" s="1916"/>
      <c r="L30" s="1916"/>
      <c r="M30" s="959"/>
      <c r="N30" s="959"/>
    </row>
    <row r="31" spans="1:14">
      <c r="A31" s="1912">
        <v>15</v>
      </c>
      <c r="B31" s="1906"/>
      <c r="C31" s="1906"/>
      <c r="D31" s="1906"/>
      <c r="E31" s="1906"/>
      <c r="F31" s="1906"/>
      <c r="G31" s="1906"/>
      <c r="H31" s="1906"/>
      <c r="I31" s="1906"/>
      <c r="J31" s="1906"/>
      <c r="K31" s="1906"/>
      <c r="L31" s="1906"/>
      <c r="M31" s="959"/>
      <c r="N31" s="959"/>
    </row>
    <row r="32" spans="1:14">
      <c r="A32" s="1912">
        <v>16</v>
      </c>
      <c r="B32" s="1908"/>
      <c r="C32" s="1908"/>
      <c r="D32" s="1917"/>
      <c r="E32" s="1908"/>
      <c r="F32" s="1917"/>
      <c r="G32" s="1908"/>
      <c r="H32" s="959"/>
      <c r="I32" s="1908"/>
      <c r="J32" s="1908"/>
      <c r="K32" s="1908" t="s">
        <v>795</v>
      </c>
      <c r="L32" s="959"/>
      <c r="M32" s="959"/>
      <c r="N32" s="959"/>
    </row>
    <row r="33" spans="1:14">
      <c r="A33" s="1912">
        <v>17</v>
      </c>
      <c r="B33" s="1908"/>
      <c r="C33" s="1908" t="s">
        <v>1035</v>
      </c>
      <c r="D33" s="1917"/>
      <c r="E33" s="1908" t="s">
        <v>1613</v>
      </c>
      <c r="F33" s="1917"/>
      <c r="G33" s="1908"/>
      <c r="H33" s="959"/>
      <c r="I33" s="1908" t="s">
        <v>364</v>
      </c>
      <c r="J33" s="1917"/>
      <c r="K33" s="1908" t="s">
        <v>1617</v>
      </c>
      <c r="L33" s="959"/>
      <c r="M33" s="959"/>
      <c r="N33" s="959"/>
    </row>
    <row r="34" spans="1:14">
      <c r="A34" s="1912">
        <v>18</v>
      </c>
      <c r="B34" s="1908"/>
      <c r="C34" s="1908" t="s">
        <v>1614</v>
      </c>
      <c r="D34" s="1908"/>
      <c r="E34" s="1908" t="s">
        <v>1455</v>
      </c>
      <c r="F34" s="1908"/>
      <c r="G34" s="1908" t="s">
        <v>1615</v>
      </c>
      <c r="H34" s="959"/>
      <c r="I34" s="1908" t="s">
        <v>1616</v>
      </c>
      <c r="J34" s="1917"/>
      <c r="K34" s="1908" t="s">
        <v>1143</v>
      </c>
      <c r="L34" s="959"/>
      <c r="M34" s="959"/>
      <c r="N34" s="959"/>
    </row>
    <row r="35" spans="1:14">
      <c r="A35" s="1912">
        <v>19</v>
      </c>
      <c r="B35" s="1905" t="s">
        <v>1618</v>
      </c>
      <c r="C35" s="1918" t="s">
        <v>1616</v>
      </c>
      <c r="D35" s="1918"/>
      <c r="E35" s="1918" t="s">
        <v>1962</v>
      </c>
      <c r="F35" s="1918"/>
      <c r="G35" s="1918" t="s">
        <v>568</v>
      </c>
      <c r="H35" s="1905"/>
      <c r="I35" s="1918" t="s">
        <v>1619</v>
      </c>
      <c r="J35" s="1918"/>
      <c r="K35" s="1918" t="s">
        <v>568</v>
      </c>
      <c r="L35" s="1905"/>
      <c r="M35" s="959"/>
      <c r="N35" s="959"/>
    </row>
    <row r="36" spans="1:14">
      <c r="A36" s="1912">
        <v>20</v>
      </c>
      <c r="B36" s="959"/>
      <c r="C36" s="959"/>
      <c r="D36" s="959"/>
      <c r="E36" s="959"/>
      <c r="F36" s="959"/>
      <c r="G36" s="959"/>
      <c r="H36" s="959"/>
      <c r="I36" s="959"/>
      <c r="J36" s="959"/>
      <c r="K36" s="959"/>
      <c r="L36" s="959"/>
      <c r="M36" s="959"/>
      <c r="N36" s="959"/>
    </row>
    <row r="37" spans="1:14">
      <c r="A37" s="1912">
        <v>21</v>
      </c>
      <c r="B37" s="1904" t="s">
        <v>1232</v>
      </c>
      <c r="C37" s="963">
        <f>C26</f>
        <v>602690</v>
      </c>
      <c r="D37" s="963"/>
      <c r="E37" s="1919" t="s">
        <v>1125</v>
      </c>
      <c r="F37" s="1919"/>
      <c r="G37" s="961" t="s">
        <v>2390</v>
      </c>
      <c r="H37" s="959"/>
      <c r="I37" s="963">
        <v>0</v>
      </c>
      <c r="J37" s="963"/>
      <c r="K37" s="1920">
        <f>ROUND((C37-I37)/5,0)</f>
        <v>120538</v>
      </c>
      <c r="L37" s="1921"/>
      <c r="M37" s="959"/>
      <c r="N37" s="959"/>
    </row>
    <row r="38" spans="1:14">
      <c r="A38" s="1912">
        <v>22</v>
      </c>
      <c r="B38" s="959"/>
      <c r="C38" s="959"/>
      <c r="D38" s="959"/>
      <c r="E38" s="959"/>
      <c r="F38" s="959"/>
      <c r="G38" s="1922"/>
      <c r="H38" s="959"/>
      <c r="I38" s="1923"/>
      <c r="J38" s="1923"/>
      <c r="K38" s="959"/>
      <c r="L38" s="959"/>
      <c r="M38" s="959"/>
      <c r="N38" s="959"/>
    </row>
    <row r="39" spans="1:14">
      <c r="A39" s="1912">
        <v>23</v>
      </c>
      <c r="B39" s="1904" t="s">
        <v>2248</v>
      </c>
      <c r="C39" s="1924">
        <v>235000</v>
      </c>
      <c r="D39" s="964"/>
      <c r="E39" s="1297" t="s">
        <v>2285</v>
      </c>
      <c r="F39" s="960"/>
      <c r="G39" s="961" t="s">
        <v>1126</v>
      </c>
      <c r="H39" s="1925"/>
      <c r="I39" s="962">
        <v>235000</v>
      </c>
      <c r="J39" s="963"/>
      <c r="K39" s="964">
        <v>0</v>
      </c>
      <c r="L39" s="959"/>
      <c r="M39" s="959"/>
      <c r="N39" s="959"/>
    </row>
    <row r="40" spans="1:14">
      <c r="A40" s="1912">
        <v>24</v>
      </c>
      <c r="B40" s="959"/>
      <c r="C40" s="959"/>
      <c r="D40" s="959"/>
      <c r="E40" s="959"/>
      <c r="F40" s="959"/>
      <c r="G40" s="1923"/>
      <c r="H40" s="959"/>
      <c r="I40" s="1923"/>
      <c r="J40" s="1923"/>
      <c r="K40" s="959"/>
      <c r="L40" s="959"/>
      <c r="M40" s="959"/>
      <c r="N40" s="959"/>
    </row>
    <row r="41" spans="1:14">
      <c r="A41" s="1912">
        <v>25</v>
      </c>
      <c r="B41" s="1904" t="s">
        <v>1127</v>
      </c>
      <c r="C41" s="959"/>
      <c r="D41" s="959"/>
      <c r="E41" s="959"/>
      <c r="F41" s="959"/>
      <c r="G41" s="959"/>
      <c r="H41" s="959"/>
      <c r="I41" s="959"/>
      <c r="J41" s="959"/>
      <c r="K41" s="1926">
        <v>0</v>
      </c>
      <c r="L41" s="959"/>
      <c r="M41" s="959"/>
      <c r="N41" s="959"/>
    </row>
    <row r="42" spans="1:14" ht="13.5" thickBot="1">
      <c r="A42" s="1912">
        <v>26</v>
      </c>
      <c r="B42" s="1904" t="s">
        <v>1233</v>
      </c>
      <c r="C42" s="959"/>
      <c r="D42" s="959"/>
      <c r="E42" s="959"/>
      <c r="F42" s="959"/>
      <c r="G42" s="1904" t="s">
        <v>2284</v>
      </c>
      <c r="H42" s="959"/>
      <c r="I42" s="959"/>
      <c r="J42" s="959"/>
      <c r="K42" s="1914">
        <f>SUM(K37:K41)</f>
        <v>120538</v>
      </c>
      <c r="L42" s="1921" t="s">
        <v>296</v>
      </c>
      <c r="M42" s="959"/>
      <c r="N42" s="959"/>
    </row>
    <row r="43" spans="1:14" ht="13.5" thickTop="1">
      <c r="A43" s="1912"/>
      <c r="B43" s="959"/>
      <c r="C43" s="959"/>
      <c r="D43" s="959"/>
      <c r="E43" s="959"/>
      <c r="F43" s="959"/>
      <c r="G43" s="959"/>
      <c r="H43" s="959"/>
      <c r="I43" s="959"/>
      <c r="J43" s="959"/>
      <c r="K43" s="1915"/>
      <c r="L43" s="959"/>
      <c r="M43" s="959"/>
      <c r="N43" s="959"/>
    </row>
    <row r="44" spans="1:14">
      <c r="A44" s="1912"/>
      <c r="B44" s="959"/>
      <c r="C44" s="959"/>
      <c r="D44" s="959"/>
      <c r="E44" s="959"/>
      <c r="F44" s="959"/>
      <c r="G44" s="959"/>
      <c r="H44" s="959"/>
      <c r="I44" s="959"/>
      <c r="J44" s="959"/>
      <c r="K44" s="1915"/>
      <c r="L44" s="959"/>
      <c r="M44" s="959"/>
      <c r="N44" s="959"/>
    </row>
    <row r="45" spans="1:14">
      <c r="A45" s="1912"/>
      <c r="B45" s="1904"/>
      <c r="C45" s="959"/>
      <c r="D45" s="959"/>
      <c r="E45" s="959"/>
      <c r="F45" s="959"/>
      <c r="G45" s="959"/>
      <c r="H45" s="959"/>
      <c r="I45" s="959"/>
      <c r="J45" s="959"/>
      <c r="K45" s="1915"/>
      <c r="L45" s="959"/>
      <c r="M45" s="959"/>
      <c r="N45" s="959"/>
    </row>
    <row r="46" spans="1:14">
      <c r="A46" s="1912"/>
      <c r="B46" s="1904"/>
      <c r="C46" s="959"/>
      <c r="D46" s="959"/>
      <c r="E46" s="959"/>
      <c r="F46" s="959"/>
      <c r="G46" s="959"/>
      <c r="H46" s="959"/>
      <c r="I46" s="959"/>
      <c r="J46" s="959"/>
      <c r="K46" s="1915"/>
      <c r="L46" s="959"/>
      <c r="M46" s="959"/>
      <c r="N46" s="959"/>
    </row>
    <row r="47" spans="1:14">
      <c r="A47" s="1912"/>
      <c r="B47" s="1904" t="s">
        <v>1099</v>
      </c>
      <c r="C47" s="959"/>
      <c r="D47" s="959"/>
      <c r="E47" s="959"/>
      <c r="F47" s="959"/>
      <c r="G47" s="959"/>
      <c r="H47" s="959"/>
      <c r="I47" s="959"/>
      <c r="J47" s="959"/>
      <c r="K47" s="959"/>
      <c r="L47" s="959"/>
      <c r="M47" s="959"/>
      <c r="N47" s="959"/>
    </row>
    <row r="48" spans="1:14">
      <c r="A48" s="959"/>
      <c r="B48" s="959"/>
      <c r="C48" s="959"/>
      <c r="D48" s="959"/>
      <c r="E48" s="959"/>
      <c r="F48" s="959"/>
      <c r="G48" s="959"/>
      <c r="H48" s="959"/>
      <c r="I48" s="959"/>
      <c r="J48" s="959"/>
      <c r="K48" s="959"/>
      <c r="L48" s="959"/>
      <c r="M48" s="959"/>
      <c r="N48" s="959"/>
    </row>
    <row r="49" spans="1:14">
      <c r="A49" s="959"/>
      <c r="B49" s="959"/>
      <c r="C49" s="959"/>
      <c r="D49" s="959"/>
      <c r="E49" s="959"/>
      <c r="F49" s="959"/>
      <c r="G49" s="959"/>
      <c r="H49" s="959"/>
      <c r="I49" s="959"/>
      <c r="J49" s="959"/>
      <c r="K49" s="959"/>
      <c r="L49" s="959"/>
      <c r="M49" s="959"/>
      <c r="N49" s="959"/>
    </row>
    <row r="50" spans="1:14">
      <c r="A50" s="959"/>
      <c r="B50" s="959"/>
      <c r="C50" s="959"/>
      <c r="D50" s="959"/>
      <c r="E50" s="959"/>
      <c r="F50" s="959"/>
      <c r="G50" s="959"/>
      <c r="H50" s="959"/>
      <c r="I50" s="959"/>
      <c r="J50" s="959"/>
      <c r="K50" s="959"/>
      <c r="L50" s="959"/>
      <c r="M50" s="959"/>
      <c r="N50" s="959"/>
    </row>
    <row r="51" spans="1:14">
      <c r="A51" s="959"/>
      <c r="B51" s="959"/>
      <c r="C51" s="959"/>
      <c r="D51" s="959"/>
      <c r="E51" s="959"/>
      <c r="F51" s="959"/>
      <c r="G51" s="959"/>
      <c r="H51" s="959"/>
      <c r="I51" s="959"/>
      <c r="J51" s="959"/>
      <c r="K51" s="959"/>
      <c r="L51" s="959"/>
      <c r="M51" s="959"/>
      <c r="N51" s="959"/>
    </row>
    <row r="52" spans="1:14">
      <c r="A52" s="959"/>
      <c r="B52" s="959"/>
      <c r="C52" s="959"/>
      <c r="D52" s="959"/>
      <c r="E52" s="959"/>
      <c r="F52" s="959"/>
      <c r="G52" s="959"/>
      <c r="H52" s="959"/>
      <c r="I52" s="959"/>
      <c r="J52" s="959"/>
      <c r="K52" s="959"/>
      <c r="L52" s="959"/>
      <c r="M52" s="959"/>
      <c r="N52" s="959"/>
    </row>
    <row r="53" spans="1:14">
      <c r="A53" s="959"/>
      <c r="B53" s="959"/>
      <c r="C53" s="959"/>
      <c r="D53" s="959"/>
      <c r="E53" s="959"/>
      <c r="F53" s="959"/>
      <c r="G53" s="959"/>
      <c r="H53" s="959"/>
      <c r="I53" s="959"/>
      <c r="J53" s="959"/>
      <c r="K53" s="959"/>
      <c r="L53" s="959"/>
      <c r="M53" s="959"/>
      <c r="N53" s="959"/>
    </row>
    <row r="54" spans="1:14">
      <c r="A54" s="959"/>
      <c r="B54" s="959"/>
      <c r="C54" s="959"/>
      <c r="D54" s="959"/>
      <c r="E54" s="959"/>
      <c r="F54" s="959"/>
      <c r="G54" s="959"/>
      <c r="H54" s="959"/>
      <c r="I54" s="959"/>
      <c r="J54" s="959"/>
      <c r="K54" s="959"/>
      <c r="L54" s="959"/>
      <c r="M54" s="959"/>
      <c r="N54" s="959"/>
    </row>
    <row r="55" spans="1:14">
      <c r="A55" s="959"/>
      <c r="B55" s="959"/>
      <c r="C55" s="959"/>
      <c r="D55" s="959"/>
      <c r="E55" s="959"/>
      <c r="F55" s="959"/>
      <c r="G55" s="959"/>
      <c r="H55" s="959"/>
      <c r="I55" s="959"/>
      <c r="J55" s="959"/>
      <c r="K55" s="959"/>
      <c r="L55" s="959"/>
      <c r="M55" s="959"/>
      <c r="N55" s="959"/>
    </row>
    <row r="56" spans="1:14">
      <c r="A56" s="959"/>
      <c r="B56" s="959"/>
      <c r="C56" s="959"/>
      <c r="D56" s="959"/>
      <c r="E56" s="959"/>
      <c r="F56" s="959"/>
      <c r="G56" s="959"/>
      <c r="H56" s="959"/>
      <c r="I56" s="959"/>
      <c r="J56" s="959"/>
      <c r="K56" s="959"/>
      <c r="L56" s="959"/>
      <c r="M56" s="959"/>
      <c r="N56" s="959"/>
    </row>
    <row r="57" spans="1:14">
      <c r="A57" s="959"/>
      <c r="B57" s="959"/>
      <c r="C57" s="959"/>
      <c r="D57" s="959"/>
      <c r="E57" s="959"/>
      <c r="F57" s="959"/>
      <c r="G57" s="959"/>
      <c r="H57" s="959"/>
      <c r="I57" s="959"/>
      <c r="J57" s="959"/>
      <c r="K57" s="959"/>
      <c r="L57" s="959"/>
      <c r="M57" s="959"/>
      <c r="N57" s="959"/>
    </row>
  </sheetData>
  <mergeCells count="1">
    <mergeCell ref="B11:L11"/>
  </mergeCells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FFC000"/>
  </sheetPr>
  <dimension ref="A1:S33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6.85546875" style="18" customWidth="1"/>
    <col min="2" max="2" width="2" style="18" customWidth="1"/>
    <col min="3" max="3" width="14.5703125" style="18" customWidth="1"/>
    <col min="4" max="4" width="1.28515625" style="18" customWidth="1"/>
    <col min="5" max="5" width="36.28515625" style="18" customWidth="1"/>
    <col min="6" max="6" width="1.85546875" style="18" customWidth="1"/>
    <col min="7" max="7" width="15.85546875" style="18" customWidth="1"/>
    <col min="8" max="8" width="1.5703125" style="18" customWidth="1"/>
    <col min="9" max="9" width="10.28515625" style="18" customWidth="1"/>
    <col min="10" max="10" width="2" style="18" customWidth="1"/>
    <col min="11" max="11" width="15.140625" style="18" customWidth="1"/>
    <col min="12" max="12" width="2.28515625" style="18" customWidth="1"/>
    <col min="13" max="13" width="15.7109375" style="18" customWidth="1"/>
    <col min="14" max="14" width="2.140625" style="18" customWidth="1"/>
    <col min="15" max="15" width="10.42578125" style="18" customWidth="1"/>
    <col min="16" max="16" width="1.28515625" style="18" customWidth="1"/>
    <col min="17" max="17" width="15.7109375" style="18" customWidth="1"/>
    <col min="18" max="16384" width="8" style="18"/>
  </cols>
  <sheetData>
    <row r="1" spans="1:19">
      <c r="A1" s="1872" t="str">
        <f>COMPANY</f>
        <v>DUKE ENERGY KENTUCKY, INC.</v>
      </c>
      <c r="B1" s="1873"/>
      <c r="C1" s="1872"/>
      <c r="D1" s="1873"/>
      <c r="E1" s="1873"/>
      <c r="F1" s="1873"/>
      <c r="G1" s="1873"/>
      <c r="H1" s="1873"/>
      <c r="I1" s="1873"/>
      <c r="J1" s="1873"/>
      <c r="K1" s="1873"/>
      <c r="L1" s="1873"/>
      <c r="M1" s="1873"/>
      <c r="N1" s="1873"/>
      <c r="O1" s="1873"/>
      <c r="P1" s="1873"/>
      <c r="Q1" s="1873"/>
      <c r="R1" s="1874"/>
      <c r="S1" s="1874"/>
    </row>
    <row r="2" spans="1:19">
      <c r="A2" s="1872" t="str">
        <f>CASE</f>
        <v>CASE NO. 2017-00321</v>
      </c>
      <c r="B2" s="1873"/>
      <c r="C2" s="1873"/>
      <c r="D2" s="1873"/>
      <c r="E2" s="1873"/>
      <c r="F2" s="1873"/>
      <c r="G2" s="1873"/>
      <c r="H2" s="1873"/>
      <c r="I2" s="1873"/>
      <c r="J2" s="1873"/>
      <c r="K2" s="1873"/>
      <c r="L2" s="1873"/>
      <c r="M2" s="1873"/>
      <c r="N2" s="1873"/>
      <c r="O2" s="1873"/>
      <c r="P2" s="1873"/>
      <c r="Q2" s="1873"/>
      <c r="R2" s="1874"/>
      <c r="S2" s="1874"/>
    </row>
    <row r="3" spans="1:19">
      <c r="A3" s="1875" t="s">
        <v>1128</v>
      </c>
      <c r="B3" s="1873"/>
      <c r="C3" s="1873"/>
      <c r="D3" s="1873"/>
      <c r="E3" s="1873"/>
      <c r="F3" s="1873"/>
      <c r="G3" s="1875"/>
      <c r="H3" s="1873"/>
      <c r="I3" s="1873"/>
      <c r="J3" s="1873"/>
      <c r="K3" s="1873"/>
      <c r="L3" s="1873"/>
      <c r="M3" s="1873"/>
      <c r="N3" s="1873"/>
      <c r="O3" s="1873"/>
      <c r="P3" s="1873"/>
      <c r="Q3" s="1873"/>
      <c r="R3" s="1874"/>
      <c r="S3" s="1874"/>
    </row>
    <row r="4" spans="1:19">
      <c r="A4" s="1951" t="str">
        <f>PERIOD</f>
        <v>FOR THE TWELVE MONTHS ENDED NOVEMBER 30, 2017</v>
      </c>
      <c r="B4" s="1873"/>
      <c r="C4" s="1873"/>
      <c r="D4" s="1873"/>
      <c r="E4" s="1873"/>
      <c r="F4" s="1873"/>
      <c r="G4" s="1873"/>
      <c r="H4" s="1873"/>
      <c r="I4" s="1873"/>
      <c r="J4" s="1873"/>
      <c r="K4" s="1873"/>
      <c r="L4" s="1873"/>
      <c r="M4" s="1873"/>
      <c r="N4" s="1873"/>
      <c r="O4" s="1873"/>
      <c r="P4" s="1873"/>
      <c r="Q4" s="1873"/>
      <c r="R4" s="1874"/>
      <c r="S4" s="1874"/>
    </row>
    <row r="5" spans="1:19">
      <c r="A5" s="1951" t="str">
        <f>PeriodF</f>
        <v>FOR THE TWELVE MONTHS ENDED MARCH 31, 2019</v>
      </c>
      <c r="B5" s="1873"/>
      <c r="C5" s="1873"/>
      <c r="D5" s="1873"/>
      <c r="E5" s="1873"/>
      <c r="F5" s="1873"/>
      <c r="G5" s="1873"/>
      <c r="H5" s="1873"/>
      <c r="I5" s="1873"/>
      <c r="J5" s="1873"/>
      <c r="K5" s="1873"/>
      <c r="L5" s="1873"/>
      <c r="M5" s="1873"/>
      <c r="N5" s="1873"/>
      <c r="O5" s="1873"/>
      <c r="P5" s="1873"/>
      <c r="Q5" s="1873"/>
      <c r="R5" s="1874"/>
      <c r="S5" s="1874"/>
    </row>
    <row r="6" spans="1:19">
      <c r="A6" s="1874"/>
      <c r="B6" s="1874"/>
      <c r="C6" s="1874"/>
      <c r="D6" s="1874"/>
      <c r="E6" s="1874"/>
      <c r="F6" s="1874"/>
      <c r="G6" s="1874"/>
      <c r="H6" s="1874"/>
      <c r="I6" s="1874"/>
      <c r="J6" s="1874"/>
      <c r="K6" s="1874"/>
      <c r="L6" s="1874"/>
      <c r="M6" s="1874"/>
      <c r="N6" s="1874"/>
      <c r="O6" s="1874"/>
      <c r="P6" s="1874"/>
      <c r="Q6" s="1874"/>
      <c r="R6" s="1874"/>
      <c r="S6" s="1874"/>
    </row>
    <row r="7" spans="1:19">
      <c r="A7" s="1876" t="str">
        <f>DataF</f>
        <v>DATA:  BASE PERIOD  "X" FORECASTED PERIOD</v>
      </c>
      <c r="B7" s="1874"/>
      <c r="C7" s="1874"/>
      <c r="D7" s="1874"/>
      <c r="E7" s="1874"/>
      <c r="F7" s="1874"/>
      <c r="G7" s="1874"/>
      <c r="H7" s="1874"/>
      <c r="J7" s="1877"/>
      <c r="K7" s="1877"/>
      <c r="L7" s="1877"/>
      <c r="M7" s="1877"/>
      <c r="N7" s="1877"/>
      <c r="O7" s="1877" t="s">
        <v>1129</v>
      </c>
      <c r="Q7" s="1874"/>
      <c r="R7" s="1874"/>
      <c r="S7" s="1874"/>
    </row>
    <row r="8" spans="1:19">
      <c r="A8" s="1876" t="str">
        <f>Type</f>
        <v xml:space="preserve">TYPE OF FILING:  "X" ORIGINAL   UPDATED    REVISED  </v>
      </c>
      <c r="B8" s="1874"/>
      <c r="C8" s="1874"/>
      <c r="D8" s="1874"/>
      <c r="E8" s="1874"/>
      <c r="F8" s="1874"/>
      <c r="G8" s="1874"/>
      <c r="H8" s="1874"/>
      <c r="J8" s="1877"/>
      <c r="K8" s="1877"/>
      <c r="L8" s="1877"/>
      <c r="M8" s="1877"/>
      <c r="N8" s="1877"/>
      <c r="O8" s="1877" t="s">
        <v>472</v>
      </c>
      <c r="Q8" s="1874"/>
      <c r="R8" s="1874"/>
      <c r="S8" s="1874"/>
    </row>
    <row r="9" spans="1:19">
      <c r="A9" s="1877" t="s">
        <v>1879</v>
      </c>
      <c r="B9" s="1874"/>
      <c r="C9" s="1874"/>
      <c r="D9" s="1874"/>
      <c r="E9" s="1874"/>
      <c r="F9" s="1874"/>
      <c r="G9" s="1874"/>
      <c r="H9" s="1874"/>
      <c r="J9" s="1877"/>
      <c r="K9" s="1877"/>
      <c r="L9" s="1877"/>
      <c r="M9" s="1877"/>
      <c r="N9" s="1877"/>
      <c r="O9" s="1877" t="s">
        <v>708</v>
      </c>
      <c r="Q9" s="1874"/>
      <c r="R9" s="1874"/>
      <c r="S9" s="1874"/>
    </row>
    <row r="10" spans="1:19">
      <c r="A10" s="1874"/>
      <c r="B10" s="1874"/>
      <c r="C10" s="1874"/>
      <c r="D10" s="1874"/>
      <c r="E10" s="1874"/>
      <c r="F10" s="1874"/>
      <c r="G10" s="1874"/>
      <c r="H10" s="1874"/>
      <c r="J10" s="1874"/>
      <c r="K10" s="1874"/>
      <c r="L10" s="1874"/>
      <c r="M10" s="1874"/>
      <c r="N10" s="1874"/>
      <c r="O10" s="1874" t="str">
        <f>"     "&amp;LOGO!G6</f>
        <v xml:space="preserve">     S. E. LAWLER</v>
      </c>
      <c r="Q10" s="1874"/>
      <c r="R10" s="1874"/>
      <c r="S10" s="1874"/>
    </row>
    <row r="11" spans="1:19">
      <c r="A11" s="1878"/>
      <c r="B11" s="1878"/>
      <c r="C11" s="1878"/>
      <c r="D11" s="1878"/>
      <c r="E11" s="1878"/>
      <c r="F11" s="1878"/>
      <c r="G11" s="1878"/>
      <c r="H11" s="1878"/>
      <c r="I11" s="1878"/>
      <c r="J11" s="1878"/>
      <c r="K11" s="1878"/>
      <c r="L11" s="1878"/>
      <c r="M11" s="1878"/>
      <c r="N11" s="1878"/>
      <c r="O11" s="1878"/>
      <c r="P11" s="1878"/>
      <c r="Q11" s="1878"/>
      <c r="R11" s="1874"/>
      <c r="S11" s="1874"/>
    </row>
    <row r="12" spans="1:19">
      <c r="A12" s="1879"/>
      <c r="B12" s="1879"/>
      <c r="C12" s="1879"/>
      <c r="D12" s="1879"/>
      <c r="E12" s="1879"/>
      <c r="F12" s="1879"/>
      <c r="G12" s="1880" t="s">
        <v>1981</v>
      </c>
      <c r="H12" s="1880"/>
      <c r="I12" s="1880"/>
      <c r="J12" s="1881"/>
      <c r="K12" s="1881"/>
      <c r="L12" s="1879"/>
      <c r="M12" s="1880" t="s">
        <v>624</v>
      </c>
      <c r="N12" s="1880"/>
      <c r="O12" s="1880"/>
      <c r="P12" s="1881"/>
      <c r="Q12" s="1881"/>
      <c r="R12" s="1874"/>
      <c r="S12" s="1874"/>
    </row>
    <row r="13" spans="1:19">
      <c r="A13" s="1882" t="s">
        <v>1961</v>
      </c>
      <c r="B13" s="1045"/>
      <c r="C13" s="1882" t="s">
        <v>1080</v>
      </c>
      <c r="D13" s="1882"/>
      <c r="E13" s="1882"/>
      <c r="F13" s="1883"/>
      <c r="G13" s="1884" t="s">
        <v>1035</v>
      </c>
      <c r="H13" s="1882"/>
      <c r="I13" s="2804" t="s">
        <v>1461</v>
      </c>
      <c r="J13" s="2803"/>
      <c r="K13" s="2803"/>
      <c r="L13" s="1883"/>
      <c r="M13" s="1884" t="s">
        <v>1035</v>
      </c>
      <c r="N13" s="1882"/>
      <c r="O13" s="2804" t="s">
        <v>1461</v>
      </c>
      <c r="P13" s="2803"/>
      <c r="Q13" s="2803"/>
      <c r="R13" s="1874"/>
      <c r="S13" s="1874"/>
    </row>
    <row r="14" spans="1:19">
      <c r="A14" s="1882" t="s">
        <v>90</v>
      </c>
      <c r="B14" s="1045"/>
      <c r="C14" s="1882" t="s">
        <v>90</v>
      </c>
      <c r="D14" s="1882"/>
      <c r="E14" s="1882" t="s">
        <v>383</v>
      </c>
      <c r="F14" s="1883"/>
      <c r="G14" s="1882" t="s">
        <v>403</v>
      </c>
      <c r="H14" s="1882"/>
      <c r="I14" s="1885" t="s">
        <v>475</v>
      </c>
      <c r="J14" s="1886"/>
      <c r="K14" s="1046" t="s">
        <v>364</v>
      </c>
      <c r="L14" s="1883"/>
      <c r="M14" s="1882" t="s">
        <v>403</v>
      </c>
      <c r="N14" s="1882"/>
      <c r="O14" s="1885" t="s">
        <v>475</v>
      </c>
      <c r="P14" s="1886"/>
      <c r="Q14" s="1046" t="s">
        <v>364</v>
      </c>
      <c r="R14" s="1874"/>
      <c r="S14" s="1874"/>
    </row>
    <row r="15" spans="1:19">
      <c r="A15" s="1887"/>
      <c r="B15" s="1887"/>
      <c r="C15" s="1887"/>
      <c r="D15" s="1887"/>
      <c r="E15" s="1887"/>
      <c r="F15" s="1887"/>
      <c r="G15" s="1887"/>
      <c r="H15" s="1887"/>
      <c r="I15" s="1888" t="s">
        <v>296</v>
      </c>
      <c r="J15" s="1887"/>
      <c r="K15" s="1887"/>
      <c r="L15" s="1887"/>
      <c r="M15" s="1887"/>
      <c r="N15" s="1887"/>
      <c r="O15" s="1888" t="s">
        <v>296</v>
      </c>
      <c r="P15" s="1887"/>
      <c r="Q15" s="1887"/>
      <c r="R15" s="1874"/>
      <c r="S15" s="1874"/>
    </row>
    <row r="16" spans="1:19">
      <c r="A16" s="1045"/>
      <c r="B16" s="1045"/>
      <c r="C16" s="1045"/>
      <c r="D16" s="1045"/>
      <c r="E16" s="1045"/>
      <c r="F16" s="1045"/>
      <c r="G16" s="1882" t="s">
        <v>1150</v>
      </c>
      <c r="H16" s="1882"/>
      <c r="I16" s="1882" t="s">
        <v>363</v>
      </c>
      <c r="J16" s="1889"/>
      <c r="K16" s="1882" t="s">
        <v>1150</v>
      </c>
      <c r="L16" s="1045"/>
      <c r="M16" s="1882" t="s">
        <v>1150</v>
      </c>
      <c r="N16" s="1882"/>
      <c r="O16" s="1882" t="s">
        <v>363</v>
      </c>
      <c r="P16" s="1889"/>
      <c r="Q16" s="1882" t="s">
        <v>1150</v>
      </c>
      <c r="R16" s="1874"/>
      <c r="S16" s="1874"/>
    </row>
    <row r="17" spans="1:19">
      <c r="A17" s="1874"/>
      <c r="B17" s="1874"/>
      <c r="C17" s="1874"/>
      <c r="D17" s="1874"/>
      <c r="E17" s="1874"/>
      <c r="F17" s="1890"/>
      <c r="G17" s="1890"/>
      <c r="H17" s="1874"/>
      <c r="I17" s="1874"/>
      <c r="J17" s="1874"/>
      <c r="K17" s="1874"/>
      <c r="L17" s="1874"/>
      <c r="M17" s="1874"/>
      <c r="N17" s="1874"/>
      <c r="O17" s="1874"/>
      <c r="P17" s="1874"/>
      <c r="Q17" s="1890"/>
      <c r="R17" s="1874"/>
      <c r="S17" s="1874"/>
    </row>
    <row r="18" spans="1:19">
      <c r="A18" s="1046">
        <v>1</v>
      </c>
      <c r="B18" s="1045"/>
      <c r="C18" s="1046">
        <v>426400</v>
      </c>
      <c r="D18" s="1045"/>
      <c r="E18" s="1047" t="s">
        <v>2574</v>
      </c>
      <c r="F18" s="1045"/>
      <c r="G18" s="1891">
        <v>975</v>
      </c>
      <c r="H18" s="1892"/>
      <c r="I18" s="1030">
        <f t="shared" ref="I18:I24" si="0">VLOOKUP($E$31,ALLOCTABLE,2)</f>
        <v>100</v>
      </c>
      <c r="J18" s="1042"/>
      <c r="K18" s="1893">
        <f t="shared" ref="K18:K23" si="1">ROUND(G18*(I18/100),2)</f>
        <v>975</v>
      </c>
      <c r="L18" s="1048"/>
      <c r="M18" s="1891">
        <v>0</v>
      </c>
      <c r="N18" s="1892"/>
      <c r="O18" s="1030">
        <f t="shared" ref="O18:O24" si="2">VLOOKUP($E$31,ALLOCTABLE,2)</f>
        <v>100</v>
      </c>
      <c r="P18" s="1042"/>
      <c r="Q18" s="1893">
        <f t="shared" ref="Q18:Q23" si="3">ROUND(M18*(O18/100),2)</f>
        <v>0</v>
      </c>
      <c r="R18" s="1874"/>
      <c r="S18" s="1874"/>
    </row>
    <row r="19" spans="1:19">
      <c r="A19" s="1882">
        <v>2</v>
      </c>
      <c r="B19" s="1045"/>
      <c r="C19" s="1046">
        <v>426400</v>
      </c>
      <c r="D19" s="1046"/>
      <c r="E19" s="1047" t="s">
        <v>2575</v>
      </c>
      <c r="F19" s="1045"/>
      <c r="G19" s="1891">
        <v>690</v>
      </c>
      <c r="H19" s="1892"/>
      <c r="I19" s="1030">
        <f t="shared" si="0"/>
        <v>100</v>
      </c>
      <c r="J19" s="1042"/>
      <c r="K19" s="1893">
        <f t="shared" si="1"/>
        <v>690</v>
      </c>
      <c r="L19" s="1048"/>
      <c r="M19" s="1891">
        <v>0</v>
      </c>
      <c r="N19" s="1892"/>
      <c r="O19" s="1030">
        <f t="shared" si="2"/>
        <v>100</v>
      </c>
      <c r="P19" s="1042"/>
      <c r="Q19" s="1893">
        <f t="shared" si="3"/>
        <v>0</v>
      </c>
      <c r="R19" s="1894"/>
      <c r="S19" s="1874"/>
    </row>
    <row r="20" spans="1:19">
      <c r="A20" s="1882">
        <v>3</v>
      </c>
      <c r="B20" s="1045"/>
      <c r="C20" s="1046">
        <v>426400</v>
      </c>
      <c r="D20" s="1046"/>
      <c r="E20" s="1047" t="s">
        <v>2576</v>
      </c>
      <c r="F20" s="1045"/>
      <c r="G20" s="1891">
        <v>121</v>
      </c>
      <c r="H20" s="1892"/>
      <c r="I20" s="1030">
        <f t="shared" si="0"/>
        <v>100</v>
      </c>
      <c r="J20" s="1042"/>
      <c r="K20" s="1893">
        <f t="shared" si="1"/>
        <v>121</v>
      </c>
      <c r="L20" s="1048"/>
      <c r="M20" s="1891">
        <v>0</v>
      </c>
      <c r="N20" s="1892"/>
      <c r="O20" s="1030">
        <f t="shared" si="2"/>
        <v>100</v>
      </c>
      <c r="P20" s="1042"/>
      <c r="Q20" s="1893">
        <f t="shared" si="3"/>
        <v>0</v>
      </c>
      <c r="R20" s="1890"/>
      <c r="S20" s="1874"/>
    </row>
    <row r="21" spans="1:19">
      <c r="A21" s="1046">
        <v>4</v>
      </c>
      <c r="B21" s="1045"/>
      <c r="C21" s="1046">
        <v>426400</v>
      </c>
      <c r="D21" s="1046"/>
      <c r="E21" s="1047" t="s">
        <v>2972</v>
      </c>
      <c r="F21" s="1045"/>
      <c r="G21" s="1891">
        <v>7261</v>
      </c>
      <c r="H21" s="1892"/>
      <c r="I21" s="1030">
        <f t="shared" si="0"/>
        <v>100</v>
      </c>
      <c r="J21" s="1042"/>
      <c r="K21" s="1893">
        <f t="shared" si="1"/>
        <v>7261</v>
      </c>
      <c r="L21" s="1048"/>
      <c r="M21" s="1891">
        <v>0</v>
      </c>
      <c r="N21" s="1892"/>
      <c r="O21" s="1030">
        <f t="shared" si="2"/>
        <v>100</v>
      </c>
      <c r="P21" s="1042"/>
      <c r="Q21" s="1893">
        <f t="shared" si="3"/>
        <v>0</v>
      </c>
      <c r="R21" s="1874"/>
      <c r="S21" s="1874"/>
    </row>
    <row r="22" spans="1:19">
      <c r="A22" s="1046">
        <v>5</v>
      </c>
      <c r="B22" s="1045"/>
      <c r="C22" s="1046">
        <v>426400</v>
      </c>
      <c r="D22" s="1046"/>
      <c r="E22" s="1047" t="s">
        <v>2577</v>
      </c>
      <c r="F22" s="1045"/>
      <c r="G22" s="1891">
        <v>756</v>
      </c>
      <c r="H22" s="1892"/>
      <c r="I22" s="1030">
        <f t="shared" si="0"/>
        <v>100</v>
      </c>
      <c r="J22" s="1042"/>
      <c r="K22" s="1893">
        <f t="shared" si="1"/>
        <v>756</v>
      </c>
      <c r="L22" s="1048"/>
      <c r="M22" s="1891">
        <v>0</v>
      </c>
      <c r="N22" s="1892"/>
      <c r="O22" s="1030">
        <f t="shared" si="2"/>
        <v>100</v>
      </c>
      <c r="P22" s="1042"/>
      <c r="Q22" s="1893">
        <f t="shared" si="3"/>
        <v>0</v>
      </c>
      <c r="R22" s="1874"/>
      <c r="S22" s="1874"/>
    </row>
    <row r="23" spans="1:19">
      <c r="A23" s="1882">
        <v>6</v>
      </c>
      <c r="B23" s="1045"/>
      <c r="C23" s="1046">
        <v>426400</v>
      </c>
      <c r="D23" s="1046"/>
      <c r="E23" s="1047" t="s">
        <v>2579</v>
      </c>
      <c r="F23" s="1045"/>
      <c r="G23" s="1891">
        <v>240490</v>
      </c>
      <c r="H23" s="1892"/>
      <c r="I23" s="1030">
        <f t="shared" si="0"/>
        <v>100</v>
      </c>
      <c r="J23" s="1042"/>
      <c r="K23" s="1893">
        <f t="shared" si="1"/>
        <v>240490</v>
      </c>
      <c r="L23" s="1048"/>
      <c r="M23" s="1891">
        <v>0</v>
      </c>
      <c r="N23" s="1892"/>
      <c r="O23" s="1030">
        <f t="shared" si="2"/>
        <v>100</v>
      </c>
      <c r="P23" s="1042"/>
      <c r="Q23" s="1893">
        <f t="shared" si="3"/>
        <v>0</v>
      </c>
      <c r="R23" s="1874"/>
      <c r="S23" s="1874"/>
    </row>
    <row r="24" spans="1:19">
      <c r="A24" s="1046">
        <v>7</v>
      </c>
      <c r="B24" s="1877"/>
      <c r="C24" s="1046">
        <v>426400</v>
      </c>
      <c r="E24" s="18" t="s">
        <v>547</v>
      </c>
      <c r="G24" s="1895">
        <v>37647</v>
      </c>
      <c r="H24" s="1892"/>
      <c r="I24" s="1030">
        <f t="shared" si="0"/>
        <v>100</v>
      </c>
      <c r="J24" s="1042"/>
      <c r="K24" s="1512">
        <f>ROUND(G24*(I24/100),2)</f>
        <v>37647</v>
      </c>
      <c r="L24" s="1048"/>
      <c r="M24" s="1895">
        <f>288183-57155</f>
        <v>231028</v>
      </c>
      <c r="N24" s="1892"/>
      <c r="O24" s="1030">
        <f t="shared" si="2"/>
        <v>100</v>
      </c>
      <c r="P24" s="1042"/>
      <c r="Q24" s="1512">
        <f>ROUND(M24*(O24/100),2)</f>
        <v>231028</v>
      </c>
    </row>
    <row r="25" spans="1:19">
      <c r="A25" s="1882">
        <v>8</v>
      </c>
      <c r="B25" s="1877"/>
      <c r="G25" s="1347"/>
      <c r="K25" s="1347"/>
      <c r="M25" s="1347"/>
      <c r="Q25" s="1347"/>
    </row>
    <row r="26" spans="1:19" ht="13.5" thickBot="1">
      <c r="A26" s="1046">
        <v>9</v>
      </c>
      <c r="B26" s="1877"/>
      <c r="E26" s="1045" t="s">
        <v>2578</v>
      </c>
      <c r="F26" s="1045"/>
      <c r="G26" s="1896">
        <f>SUM(G18:G23)</f>
        <v>250293</v>
      </c>
      <c r="H26" s="1048"/>
      <c r="I26" s="1897"/>
      <c r="J26" s="1048"/>
      <c r="K26" s="1896">
        <f>SUM(K18:K23)</f>
        <v>250293</v>
      </c>
      <c r="L26" s="1045"/>
      <c r="M26" s="1896">
        <f>SUM(M18:M24)</f>
        <v>231028</v>
      </c>
      <c r="N26" s="1045"/>
      <c r="O26" s="1897"/>
      <c r="P26" s="1048"/>
      <c r="Q26" s="1896">
        <f>SUM(Q18:Q23)</f>
        <v>0</v>
      </c>
    </row>
    <row r="27" spans="1:19" ht="13.5" thickTop="1">
      <c r="B27" s="1877"/>
      <c r="M27" s="1347"/>
      <c r="Q27" s="1347"/>
    </row>
    <row r="28" spans="1:19">
      <c r="B28" s="1877"/>
    </row>
    <row r="31" spans="1:19">
      <c r="B31" s="1042" t="s">
        <v>880</v>
      </c>
      <c r="C31" s="1045"/>
      <c r="D31" s="1042"/>
      <c r="E31" s="1898" t="s">
        <v>593</v>
      </c>
    </row>
    <row r="33" spans="2:2">
      <c r="B33" s="1877" t="s">
        <v>1130</v>
      </c>
    </row>
  </sheetData>
  <mergeCells count="2">
    <mergeCell ref="I13:K13"/>
    <mergeCell ref="O13:Q13"/>
  </mergeCells>
  <phoneticPr fontId="19" type="noConversion"/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theme="0" tint="-0.499984740745262"/>
  </sheetPr>
  <dimension ref="A1:M44"/>
  <sheetViews>
    <sheetView tabSelected="1" view="pageLayout" topLeftCell="B1" zoomScaleNormal="90" workbookViewId="0">
      <selection activeCell="G1" sqref="G1"/>
    </sheetView>
  </sheetViews>
  <sheetFormatPr defaultColWidth="8" defaultRowHeight="12.75"/>
  <cols>
    <col min="1" max="1" width="8" style="18"/>
    <col min="2" max="2" width="6.7109375" style="18" customWidth="1"/>
    <col min="3" max="3" width="1.140625" style="18" customWidth="1"/>
    <col min="4" max="4" width="34.140625" style="18" customWidth="1"/>
    <col min="5" max="5" width="5.85546875" style="18" customWidth="1"/>
    <col min="6" max="6" width="18.5703125" style="18" customWidth="1"/>
    <col min="7" max="7" width="14.140625" style="18" customWidth="1"/>
    <col min="8" max="8" width="21" style="18" customWidth="1"/>
    <col min="9" max="9" width="1" style="18" customWidth="1"/>
    <col min="10" max="10" width="18.28515625" style="18" customWidth="1"/>
    <col min="11" max="11" width="1.42578125" style="18" customWidth="1"/>
    <col min="12" max="12" width="22" style="18" customWidth="1"/>
    <col min="13" max="16384" width="8" style="18"/>
  </cols>
  <sheetData>
    <row r="1" spans="2:13">
      <c r="B1" s="929" t="str">
        <f>COMPANY</f>
        <v>DUKE ENERGY KENTUCKY, INC.</v>
      </c>
      <c r="C1" s="930"/>
      <c r="D1" s="930"/>
      <c r="E1" s="930"/>
      <c r="F1" s="930"/>
      <c r="G1" s="930"/>
      <c r="H1" s="930"/>
      <c r="I1" s="931"/>
      <c r="J1" s="930"/>
      <c r="K1" s="931"/>
      <c r="L1" s="930"/>
      <c r="M1" s="905"/>
    </row>
    <row r="2" spans="2:13">
      <c r="B2" s="929" t="str">
        <f>CASE</f>
        <v>CASE NO. 2017-00321</v>
      </c>
      <c r="C2" s="930"/>
      <c r="D2" s="930"/>
      <c r="E2" s="930"/>
      <c r="F2" s="930"/>
      <c r="G2" s="932"/>
      <c r="H2" s="930"/>
      <c r="I2" s="931"/>
      <c r="J2" s="930"/>
      <c r="K2" s="931"/>
      <c r="L2" s="930"/>
      <c r="M2" s="905"/>
    </row>
    <row r="3" spans="2:13">
      <c r="B3" s="929" t="s">
        <v>1969</v>
      </c>
      <c r="C3" s="930"/>
      <c r="D3" s="930"/>
      <c r="E3" s="930"/>
      <c r="F3" s="930"/>
      <c r="G3" s="930"/>
      <c r="H3" s="930"/>
      <c r="I3" s="931"/>
      <c r="J3" s="930"/>
      <c r="K3" s="931"/>
      <c r="L3" s="930"/>
      <c r="M3" s="905"/>
    </row>
    <row r="4" spans="2:13">
      <c r="B4" s="929" t="str">
        <f>PERIOD</f>
        <v>FOR THE TWELVE MONTHS ENDED NOVEMBER 30, 2017</v>
      </c>
      <c r="C4" s="930"/>
      <c r="D4" s="930"/>
      <c r="E4" s="930"/>
      <c r="F4" s="930"/>
      <c r="G4" s="930"/>
      <c r="H4" s="930"/>
      <c r="I4" s="931"/>
      <c r="J4" s="930"/>
      <c r="K4" s="931"/>
      <c r="L4" s="930"/>
      <c r="M4" s="905"/>
    </row>
    <row r="5" spans="2:13">
      <c r="B5" s="929" t="str">
        <f>PeriodF</f>
        <v>FOR THE TWELVE MONTHS ENDED MARCH 31, 2019</v>
      </c>
      <c r="C5" s="930"/>
      <c r="D5" s="930"/>
      <c r="E5" s="930"/>
      <c r="F5" s="930"/>
      <c r="G5" s="930"/>
      <c r="H5" s="930"/>
      <c r="I5" s="931"/>
      <c r="J5" s="930"/>
      <c r="K5" s="931"/>
      <c r="L5" s="930"/>
      <c r="M5" s="905"/>
    </row>
    <row r="6" spans="2:13">
      <c r="B6" s="905"/>
      <c r="C6" s="905"/>
      <c r="D6" s="905"/>
      <c r="E6" s="905"/>
      <c r="F6" s="905"/>
      <c r="G6" s="905"/>
      <c r="H6" s="905"/>
      <c r="I6" s="934"/>
      <c r="J6" s="905"/>
      <c r="K6" s="934"/>
      <c r="L6" s="905"/>
      <c r="M6" s="905"/>
    </row>
    <row r="7" spans="2:13">
      <c r="B7" s="933" t="str">
        <f>DataB</f>
        <v>DATA: "X" BASE PERIOD  "X" FORECASTED PERIOD</v>
      </c>
      <c r="C7" s="905"/>
      <c r="D7" s="905"/>
      <c r="E7" s="905"/>
      <c r="F7" s="905"/>
      <c r="G7" s="905"/>
      <c r="H7" s="905"/>
      <c r="I7" s="934"/>
      <c r="J7" s="935" t="s">
        <v>1970</v>
      </c>
      <c r="K7" s="936"/>
      <c r="L7" s="905"/>
      <c r="M7" s="905"/>
    </row>
    <row r="8" spans="2:13">
      <c r="B8" s="933" t="str">
        <f>Type</f>
        <v xml:space="preserve">TYPE OF FILING:  "X" ORIGINAL   UPDATED    REVISED  </v>
      </c>
      <c r="C8" s="905"/>
      <c r="D8" s="905"/>
      <c r="E8" s="905"/>
      <c r="F8" s="905"/>
      <c r="G8" s="905"/>
      <c r="H8" s="905"/>
      <c r="I8" s="934"/>
      <c r="J8" s="935" t="s">
        <v>644</v>
      </c>
      <c r="K8" s="936"/>
      <c r="L8" s="905"/>
      <c r="M8" s="905"/>
    </row>
    <row r="9" spans="2:13">
      <c r="B9" s="937" t="s">
        <v>1653</v>
      </c>
      <c r="C9" s="905"/>
      <c r="D9" s="905"/>
      <c r="E9" s="905"/>
      <c r="F9" s="905"/>
      <c r="G9" s="905"/>
      <c r="H9" s="905"/>
      <c r="I9" s="934"/>
      <c r="J9" s="935" t="s">
        <v>1567</v>
      </c>
      <c r="K9" s="936"/>
      <c r="L9" s="905"/>
      <c r="M9" s="905"/>
    </row>
    <row r="10" spans="2:13">
      <c r="B10" s="905"/>
      <c r="C10" s="905"/>
      <c r="D10" s="905"/>
      <c r="E10" s="905"/>
      <c r="F10" s="905"/>
      <c r="G10" s="905"/>
      <c r="H10" s="905"/>
      <c r="I10" s="934"/>
      <c r="J10" s="938" t="str">
        <f>"                      "&amp;_WIT1</f>
        <v xml:space="preserve">                      S. E. LAWLER</v>
      </c>
      <c r="K10" s="939"/>
      <c r="L10" s="1571"/>
      <c r="M10" s="905"/>
    </row>
    <row r="11" spans="2:13">
      <c r="B11" s="940"/>
      <c r="C11" s="940"/>
      <c r="D11" s="940"/>
      <c r="E11" s="940"/>
      <c r="F11" s="940"/>
      <c r="G11" s="940"/>
      <c r="H11" s="940"/>
      <c r="I11" s="940"/>
      <c r="J11" s="940"/>
      <c r="K11" s="940"/>
      <c r="L11" s="940"/>
      <c r="M11" s="905"/>
    </row>
    <row r="12" spans="2:13">
      <c r="B12" s="905"/>
      <c r="C12" s="905"/>
      <c r="D12" s="905"/>
      <c r="E12" s="905"/>
      <c r="F12" s="905"/>
      <c r="G12" s="905"/>
      <c r="H12" s="905"/>
      <c r="I12" s="934"/>
      <c r="J12" s="905"/>
      <c r="K12" s="934"/>
      <c r="L12" s="905"/>
      <c r="M12" s="905"/>
    </row>
    <row r="13" spans="2:13">
      <c r="B13" s="905"/>
      <c r="C13" s="905"/>
      <c r="D13" s="905"/>
      <c r="E13" s="905"/>
      <c r="F13" s="941" t="s">
        <v>645</v>
      </c>
      <c r="G13" s="942"/>
      <c r="H13" s="943"/>
      <c r="I13" s="943"/>
      <c r="J13" s="943"/>
      <c r="K13" s="943"/>
      <c r="L13" s="943"/>
      <c r="M13" s="905"/>
    </row>
    <row r="14" spans="2:13">
      <c r="B14" s="905"/>
      <c r="C14" s="905"/>
      <c r="D14" s="905"/>
      <c r="E14" s="905"/>
      <c r="F14" s="944" t="s">
        <v>1035</v>
      </c>
      <c r="G14" s="945" t="s">
        <v>360</v>
      </c>
      <c r="H14" s="905"/>
      <c r="I14" s="934"/>
      <c r="J14" s="905"/>
      <c r="K14" s="934"/>
      <c r="L14" s="905"/>
      <c r="M14" s="905"/>
    </row>
    <row r="15" spans="2:13">
      <c r="B15" s="944" t="s">
        <v>1961</v>
      </c>
      <c r="C15" s="905"/>
      <c r="D15" s="905"/>
      <c r="E15" s="905"/>
      <c r="F15" s="944" t="s">
        <v>1872</v>
      </c>
      <c r="G15" s="944" t="s">
        <v>362</v>
      </c>
      <c r="H15" s="944" t="s">
        <v>1461</v>
      </c>
      <c r="I15" s="939"/>
      <c r="J15" s="905"/>
      <c r="K15" s="934"/>
      <c r="L15" s="944" t="s">
        <v>1461</v>
      </c>
      <c r="M15" s="905"/>
    </row>
    <row r="16" spans="2:13">
      <c r="B16" s="944" t="s">
        <v>90</v>
      </c>
      <c r="C16" s="905"/>
      <c r="D16" s="944" t="s">
        <v>1969</v>
      </c>
      <c r="E16" s="944"/>
      <c r="F16" s="944" t="s">
        <v>238</v>
      </c>
      <c r="G16" s="944" t="s">
        <v>451</v>
      </c>
      <c r="H16" s="944" t="s">
        <v>238</v>
      </c>
      <c r="I16" s="939"/>
      <c r="J16" s="944" t="s">
        <v>560</v>
      </c>
      <c r="K16" s="939"/>
      <c r="L16" s="944" t="s">
        <v>541</v>
      </c>
      <c r="M16" s="905"/>
    </row>
    <row r="17" spans="1:13">
      <c r="B17" s="940"/>
      <c r="C17" s="940"/>
      <c r="D17" s="940"/>
      <c r="E17" s="940"/>
      <c r="F17" s="946"/>
      <c r="G17" s="940"/>
      <c r="H17" s="940"/>
      <c r="I17" s="940"/>
      <c r="J17" s="940"/>
      <c r="K17" s="940"/>
      <c r="L17" s="940"/>
      <c r="M17" s="905"/>
    </row>
    <row r="18" spans="1:13">
      <c r="B18" s="905"/>
      <c r="C18" s="905"/>
      <c r="D18" s="905"/>
      <c r="E18" s="905"/>
      <c r="F18" s="905"/>
      <c r="G18" s="905"/>
      <c r="H18" s="905"/>
      <c r="I18" s="934"/>
      <c r="J18" s="905"/>
      <c r="K18" s="934"/>
      <c r="L18" s="905"/>
      <c r="M18" s="905"/>
    </row>
    <row r="19" spans="1:13">
      <c r="B19" s="945">
        <v>1</v>
      </c>
      <c r="C19" s="905"/>
      <c r="D19" s="947" t="s">
        <v>1253</v>
      </c>
      <c r="E19" s="905"/>
      <c r="F19" s="905"/>
      <c r="G19" s="905"/>
      <c r="H19" s="905"/>
      <c r="I19" s="934"/>
      <c r="J19" s="905"/>
      <c r="K19" s="934"/>
      <c r="L19" s="905"/>
      <c r="M19" s="905"/>
    </row>
    <row r="20" spans="1:13">
      <c r="B20" s="944">
        <v>2</v>
      </c>
      <c r="C20" s="905"/>
      <c r="D20" s="937" t="s">
        <v>3008</v>
      </c>
      <c r="E20" s="937"/>
      <c r="F20" s="906">
        <f>14155472+14829537</f>
        <v>28985009</v>
      </c>
      <c r="G20" s="948">
        <f>VLOOKUP($E$34,ALLOCTABLE,2)</f>
        <v>100</v>
      </c>
      <c r="H20" s="908">
        <f>ROUND(F20*(G20/100),0)</f>
        <v>28985009</v>
      </c>
      <c r="I20" s="952"/>
      <c r="J20" s="953">
        <v>0</v>
      </c>
      <c r="K20" s="952"/>
      <c r="L20" s="908">
        <f>H20+J20</f>
        <v>28985009</v>
      </c>
      <c r="M20" s="905"/>
    </row>
    <row r="21" spans="1:13">
      <c r="B21" s="944">
        <v>3</v>
      </c>
      <c r="C21" s="905"/>
      <c r="D21" s="937" t="s">
        <v>3009</v>
      </c>
      <c r="E21" s="937"/>
      <c r="F21" s="906">
        <f>2056366+1669518</f>
        <v>3725884</v>
      </c>
      <c r="G21" s="948">
        <f>VLOOKUP($E$34,ALLOCTABLE,2)</f>
        <v>100</v>
      </c>
      <c r="H21" s="908">
        <f>ROUND(F21*(G21/100),0)</f>
        <v>3725884</v>
      </c>
      <c r="I21" s="952"/>
      <c r="J21" s="953">
        <v>0</v>
      </c>
      <c r="K21" s="952"/>
      <c r="L21" s="908">
        <f>H21+J21</f>
        <v>3725884</v>
      </c>
      <c r="M21" s="905"/>
    </row>
    <row r="22" spans="1:13">
      <c r="A22" s="18">
        <v>926</v>
      </c>
      <c r="B22" s="945">
        <v>4</v>
      </c>
      <c r="C22" s="905"/>
      <c r="D22" s="937" t="s">
        <v>1654</v>
      </c>
      <c r="E22" s="937"/>
      <c r="F22" s="1462">
        <f t="array" ref="F22">SUM(IF(FERCBP=A22,AmountBP))</f>
        <v>6287034</v>
      </c>
      <c r="G22" s="948">
        <f>VLOOKUP($E$34,ALLOCTABLE,2)</f>
        <v>100</v>
      </c>
      <c r="H22" s="908">
        <f>ROUND(F22*(G22/100),0)</f>
        <v>6287034</v>
      </c>
      <c r="I22" s="952"/>
      <c r="J22" s="953">
        <v>0</v>
      </c>
      <c r="K22" s="952"/>
      <c r="L22" s="908">
        <f>H22+J22</f>
        <v>6287034</v>
      </c>
      <c r="M22" s="905"/>
    </row>
    <row r="23" spans="1:13">
      <c r="A23" s="18">
        <v>408960</v>
      </c>
      <c r="B23" s="944">
        <v>5</v>
      </c>
      <c r="C23" s="905"/>
      <c r="D23" s="937" t="s">
        <v>1655</v>
      </c>
      <c r="E23" s="937"/>
      <c r="F23" s="1462">
        <f>ROUND(VLOOKUP(A23,BasePeriod,5,FALSE),0)</f>
        <v>1522040</v>
      </c>
      <c r="G23" s="948">
        <f>VLOOKUP($E$34,ALLOCTABLE,2)</f>
        <v>100</v>
      </c>
      <c r="H23" s="908">
        <f>ROUND(F23*(G23/100),0)</f>
        <v>1522040</v>
      </c>
      <c r="I23" s="952"/>
      <c r="J23" s="953">
        <v>0</v>
      </c>
      <c r="K23" s="952"/>
      <c r="L23" s="908">
        <f>H23+J23</f>
        <v>1522040</v>
      </c>
      <c r="M23" s="905"/>
    </row>
    <row r="24" spans="1:13" ht="13.5" thickBot="1">
      <c r="B24" s="944">
        <v>6</v>
      </c>
      <c r="C24" s="905"/>
      <c r="D24" s="1471" t="s">
        <v>1656</v>
      </c>
      <c r="E24" s="937"/>
      <c r="F24" s="954">
        <f>SUM(F20:F23)</f>
        <v>40519967</v>
      </c>
      <c r="G24" s="945"/>
      <c r="H24" s="954">
        <f>SUM(H20:H23)</f>
        <v>40519967</v>
      </c>
      <c r="I24" s="952"/>
      <c r="J24" s="954">
        <f>SUM(J20:J23)</f>
        <v>0</v>
      </c>
      <c r="K24" s="952"/>
      <c r="L24" s="954">
        <f>SUM(L20:L23)</f>
        <v>40519967</v>
      </c>
      <c r="M24" s="905"/>
    </row>
    <row r="25" spans="1:13" ht="13.5" thickTop="1">
      <c r="B25" s="945">
        <v>7</v>
      </c>
      <c r="C25" s="905"/>
      <c r="D25" s="905"/>
      <c r="E25" s="905"/>
      <c r="F25" s="907"/>
      <c r="G25" s="905"/>
      <c r="H25" s="949"/>
      <c r="I25" s="950"/>
      <c r="J25" s="907"/>
      <c r="K25" s="951"/>
      <c r="L25" s="907"/>
      <c r="M25" s="905"/>
    </row>
    <row r="26" spans="1:13">
      <c r="B26" s="944">
        <v>8</v>
      </c>
      <c r="C26" s="905"/>
      <c r="D26" s="947" t="s">
        <v>2327</v>
      </c>
      <c r="E26" s="905"/>
      <c r="F26" s="905"/>
      <c r="G26" s="905"/>
      <c r="H26" s="905"/>
      <c r="I26" s="934"/>
      <c r="J26" s="905"/>
      <c r="K26" s="934"/>
      <c r="L26" s="905"/>
      <c r="M26" s="905"/>
    </row>
    <row r="27" spans="1:13">
      <c r="B27" s="944">
        <v>9</v>
      </c>
      <c r="C27" s="905"/>
      <c r="D27" s="937" t="s">
        <v>3008</v>
      </c>
      <c r="E27" s="937"/>
      <c r="F27" s="906">
        <v>27620234</v>
      </c>
      <c r="G27" s="948">
        <f>VLOOKUP($E$34,ALLOCTABLE,2)</f>
        <v>100</v>
      </c>
      <c r="H27" s="908">
        <f>ROUND(F27*(G27/100),0)</f>
        <v>27620234</v>
      </c>
      <c r="I27" s="952"/>
      <c r="J27" s="953">
        <v>0</v>
      </c>
      <c r="K27" s="952"/>
      <c r="L27" s="908">
        <f>H27+J27</f>
        <v>27620234</v>
      </c>
      <c r="M27" s="905"/>
    </row>
    <row r="28" spans="1:13">
      <c r="B28" s="945">
        <v>10</v>
      </c>
      <c r="C28" s="905"/>
      <c r="D28" s="937" t="s">
        <v>3009</v>
      </c>
      <c r="E28" s="937"/>
      <c r="F28" s="1871">
        <v>3154061</v>
      </c>
      <c r="G28" s="948">
        <f>VLOOKUP($E$34,ALLOCTABLE,2)</f>
        <v>100</v>
      </c>
      <c r="H28" s="908">
        <f>ROUND(F28*(G28/100),0)</f>
        <v>3154061</v>
      </c>
      <c r="I28" s="952"/>
      <c r="J28" s="953">
        <v>0</v>
      </c>
      <c r="K28" s="952"/>
      <c r="L28" s="908">
        <f>H28+J28</f>
        <v>3154061</v>
      </c>
      <c r="M28" s="905"/>
    </row>
    <row r="29" spans="1:13">
      <c r="A29" s="18">
        <v>926</v>
      </c>
      <c r="B29" s="944">
        <v>11</v>
      </c>
      <c r="C29" s="905"/>
      <c r="D29" s="937" t="s">
        <v>1654</v>
      </c>
      <c r="E29" s="937"/>
      <c r="F29" s="1462">
        <f t="array" aca="1" ref="F29" ca="1">SUM(IF(FERCFP=A29,AmountFP))</f>
        <v>6191651</v>
      </c>
      <c r="G29" s="948">
        <f>VLOOKUP($E$34,ALLOCTABLE,2)</f>
        <v>100</v>
      </c>
      <c r="H29" s="908">
        <f ca="1">ROUND(F29*(G29/100),0)</f>
        <v>6191651</v>
      </c>
      <c r="I29" s="952"/>
      <c r="J29" s="953">
        <v>0</v>
      </c>
      <c r="K29" s="952"/>
      <c r="L29" s="908">
        <f ca="1">H29+J29</f>
        <v>6191651</v>
      </c>
      <c r="M29" s="905"/>
    </row>
    <row r="30" spans="1:13">
      <c r="A30" s="18">
        <v>408960</v>
      </c>
      <c r="B30" s="944">
        <v>12</v>
      </c>
      <c r="C30" s="905"/>
      <c r="D30" s="937" t="s">
        <v>1655</v>
      </c>
      <c r="E30" s="937"/>
      <c r="F30" s="1462">
        <f>ROUND(VLOOKUP(A30,FPERIOD,5,FALSE),0)</f>
        <v>2066143</v>
      </c>
      <c r="G30" s="948">
        <f>VLOOKUP($E$34,ALLOCTABLE,2)</f>
        <v>100</v>
      </c>
      <c r="H30" s="908">
        <f>ROUND(F30*(G30/100),0)</f>
        <v>2066143</v>
      </c>
      <c r="I30" s="952"/>
      <c r="J30" s="953">
        <v>0</v>
      </c>
      <c r="K30" s="952"/>
      <c r="L30" s="908">
        <f>H30+J30</f>
        <v>2066143</v>
      </c>
      <c r="M30" s="905"/>
    </row>
    <row r="31" spans="1:13" ht="13.5" thickBot="1">
      <c r="B31" s="945">
        <v>13</v>
      </c>
      <c r="C31" s="905"/>
      <c r="D31" s="1471" t="s">
        <v>1656</v>
      </c>
      <c r="E31" s="937"/>
      <c r="F31" s="954">
        <f ca="1">SUM(F27:F30)</f>
        <v>39032089</v>
      </c>
      <c r="G31" s="945"/>
      <c r="H31" s="954">
        <f ca="1">SUM(H27:H30)</f>
        <v>39032089</v>
      </c>
      <c r="I31" s="952"/>
      <c r="J31" s="954">
        <f>SUM(J27:J30)</f>
        <v>0</v>
      </c>
      <c r="K31" s="952"/>
      <c r="L31" s="954">
        <f ca="1">SUM(L27:L30)</f>
        <v>39032089</v>
      </c>
      <c r="M31" s="905"/>
    </row>
    <row r="32" spans="1:13" ht="13.5" thickTop="1">
      <c r="B32" s="905"/>
      <c r="C32" s="905"/>
      <c r="D32" s="905"/>
      <c r="E32" s="905"/>
      <c r="F32" s="905"/>
      <c r="G32" s="905"/>
      <c r="H32" s="905"/>
      <c r="I32" s="934"/>
      <c r="J32" s="905"/>
      <c r="K32" s="934"/>
      <c r="L32" s="905"/>
      <c r="M32" s="905"/>
    </row>
    <row r="33" spans="2:13">
      <c r="B33" s="905"/>
      <c r="C33" s="905"/>
      <c r="D33" s="905"/>
      <c r="E33" s="905"/>
      <c r="F33" s="905"/>
      <c r="G33" s="905"/>
      <c r="H33" s="905"/>
      <c r="I33" s="934"/>
      <c r="J33" s="905"/>
      <c r="K33" s="934"/>
      <c r="L33" s="905"/>
      <c r="M33" s="905"/>
    </row>
    <row r="34" spans="2:13">
      <c r="B34" s="905"/>
      <c r="C34" s="905"/>
      <c r="D34" s="937" t="s">
        <v>1657</v>
      </c>
      <c r="E34" s="955" t="s">
        <v>593</v>
      </c>
      <c r="F34" s="905"/>
      <c r="G34" s="905"/>
      <c r="H34" s="905"/>
      <c r="I34" s="934"/>
      <c r="J34" s="905"/>
      <c r="K34" s="934"/>
      <c r="L34" s="905"/>
      <c r="M34" s="905"/>
    </row>
    <row r="35" spans="2:13">
      <c r="B35" s="905"/>
      <c r="C35" s="905"/>
      <c r="D35" s="956"/>
      <c r="E35" s="905"/>
      <c r="F35" s="905"/>
      <c r="G35" s="905"/>
      <c r="H35" s="905"/>
      <c r="I35" s="905"/>
      <c r="J35" s="905"/>
      <c r="K35" s="934"/>
      <c r="L35" s="905"/>
      <c r="M35" s="905"/>
    </row>
    <row r="36" spans="2:13">
      <c r="B36" s="905"/>
      <c r="C36" s="905"/>
      <c r="D36" s="905"/>
      <c r="E36" s="905"/>
      <c r="F36" s="905"/>
      <c r="G36" s="905"/>
      <c r="H36" s="905"/>
      <c r="I36" s="934"/>
      <c r="J36" s="905"/>
      <c r="K36" s="934"/>
      <c r="L36" s="905"/>
      <c r="M36" s="905"/>
    </row>
    <row r="37" spans="2:13">
      <c r="B37" s="905"/>
      <c r="C37" s="905"/>
      <c r="D37" s="905"/>
      <c r="E37" s="905"/>
      <c r="F37" s="905"/>
      <c r="G37" s="905"/>
      <c r="H37" s="905"/>
      <c r="I37" s="905"/>
      <c r="J37" s="905"/>
      <c r="K37" s="934"/>
      <c r="L37" s="905"/>
      <c r="M37" s="905"/>
    </row>
    <row r="38" spans="2:13">
      <c r="B38" s="937"/>
      <c r="C38" s="905"/>
      <c r="D38" s="905"/>
      <c r="E38" s="905"/>
      <c r="F38" s="905"/>
      <c r="G38" s="905"/>
      <c r="H38" s="905"/>
      <c r="I38" s="905"/>
      <c r="J38" s="905"/>
      <c r="K38" s="934"/>
      <c r="L38" s="905"/>
      <c r="M38" s="905"/>
    </row>
    <row r="39" spans="2:13">
      <c r="B39" s="905"/>
      <c r="C39" s="905"/>
      <c r="D39" s="905"/>
      <c r="E39" s="905"/>
      <c r="F39" s="905"/>
      <c r="G39" s="905"/>
      <c r="H39" s="905"/>
      <c r="I39" s="934"/>
      <c r="J39" s="905"/>
      <c r="K39" s="934"/>
      <c r="L39" s="905"/>
      <c r="M39" s="905"/>
    </row>
    <row r="40" spans="2:13">
      <c r="B40" s="905"/>
      <c r="C40" s="905"/>
      <c r="D40" s="905"/>
      <c r="E40" s="905"/>
      <c r="F40" s="905"/>
      <c r="G40" s="905"/>
      <c r="H40" s="905"/>
      <c r="I40" s="934"/>
      <c r="J40" s="905"/>
      <c r="K40" s="934"/>
      <c r="L40" s="905"/>
      <c r="M40" s="905"/>
    </row>
    <row r="41" spans="2:13">
      <c r="B41" s="905"/>
      <c r="C41" s="905"/>
      <c r="D41" s="905"/>
      <c r="E41" s="905"/>
      <c r="F41" s="905"/>
      <c r="G41" s="905"/>
      <c r="H41" s="905"/>
      <c r="I41" s="934"/>
      <c r="J41" s="905"/>
      <c r="K41" s="934"/>
      <c r="L41" s="905"/>
      <c r="M41" s="905"/>
    </row>
    <row r="42" spans="2:13">
      <c r="B42" s="905"/>
      <c r="C42" s="905"/>
      <c r="D42" s="905"/>
      <c r="E42" s="905"/>
      <c r="F42" s="905"/>
      <c r="G42" s="905"/>
      <c r="H42" s="905"/>
      <c r="I42" s="934"/>
      <c r="J42" s="905"/>
      <c r="K42" s="934"/>
      <c r="L42" s="905"/>
      <c r="M42" s="905"/>
    </row>
    <row r="43" spans="2:13">
      <c r="B43" s="905"/>
      <c r="C43" s="905"/>
      <c r="D43" s="905"/>
      <c r="E43" s="905"/>
      <c r="F43" s="905"/>
      <c r="G43" s="905"/>
      <c r="H43" s="905"/>
      <c r="I43" s="934"/>
      <c r="J43" s="905"/>
      <c r="K43" s="934"/>
      <c r="L43" s="905"/>
      <c r="M43" s="905"/>
    </row>
    <row r="44" spans="2:13">
      <c r="B44" s="905"/>
      <c r="C44" s="905"/>
      <c r="D44" s="905"/>
      <c r="E44" s="905"/>
      <c r="F44" s="905"/>
      <c r="G44" s="905"/>
      <c r="H44" s="905"/>
      <c r="I44" s="934"/>
      <c r="J44" s="905"/>
      <c r="K44" s="934"/>
      <c r="L44" s="905"/>
      <c r="M44" s="905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theme="0" tint="-0.499984740745262"/>
  </sheetPr>
  <dimension ref="B1:AB26"/>
  <sheetViews>
    <sheetView tabSelected="1" view="pageLayout" zoomScaleNormal="90" workbookViewId="0">
      <selection activeCell="G1" sqref="G1"/>
    </sheetView>
  </sheetViews>
  <sheetFormatPr defaultColWidth="16.140625" defaultRowHeight="12.75"/>
  <cols>
    <col min="1" max="1" width="2.42578125" style="18" customWidth="1"/>
    <col min="2" max="2" width="7.140625" style="18" customWidth="1"/>
    <col min="3" max="3" width="30.28515625" style="18" customWidth="1"/>
    <col min="4" max="4" width="4" style="18" customWidth="1"/>
    <col min="5" max="5" width="14.28515625" style="18" customWidth="1"/>
    <col min="6" max="6" width="4.28515625" style="18" customWidth="1"/>
    <col min="7" max="7" width="14.28515625" style="18" customWidth="1"/>
    <col min="8" max="8" width="6.85546875" style="18" customWidth="1"/>
    <col min="9" max="9" width="16.85546875" style="18" customWidth="1"/>
    <col min="10" max="10" width="14.28515625" style="18" customWidth="1"/>
    <col min="11" max="11" width="16.140625" style="18"/>
    <col min="12" max="12" width="8.85546875" style="18" customWidth="1"/>
    <col min="13" max="16384" width="16.140625" style="18"/>
  </cols>
  <sheetData>
    <row r="1" spans="2:28">
      <c r="B1" s="28" t="str">
        <f>COMPANY</f>
        <v>DUKE ENERGY KENTUCKY, INC.</v>
      </c>
      <c r="C1" s="29"/>
      <c r="D1" s="29"/>
      <c r="E1" s="909"/>
      <c r="F1" s="909"/>
      <c r="G1" s="910"/>
      <c r="H1" s="910"/>
      <c r="I1" s="910"/>
      <c r="J1" s="911"/>
      <c r="K1" s="911"/>
      <c r="L1" s="911"/>
      <c r="M1" s="911"/>
      <c r="N1" s="911"/>
      <c r="O1" s="911"/>
      <c r="P1" s="911"/>
      <c r="Q1" s="911"/>
      <c r="R1" s="911"/>
      <c r="S1" s="911"/>
      <c r="T1" s="911"/>
      <c r="U1" s="911"/>
      <c r="V1" s="911"/>
      <c r="W1" s="911"/>
      <c r="X1" s="911"/>
      <c r="Y1" s="911"/>
      <c r="Z1" s="911"/>
      <c r="AA1" s="911"/>
      <c r="AB1" s="911"/>
    </row>
    <row r="2" spans="2:28">
      <c r="B2" s="28" t="str">
        <f>CASE</f>
        <v>CASE NO. 2017-00321</v>
      </c>
      <c r="C2" s="29"/>
      <c r="D2" s="29"/>
      <c r="E2" s="909"/>
      <c r="F2" s="909"/>
      <c r="G2" s="910"/>
      <c r="H2" s="910"/>
      <c r="I2" s="910"/>
      <c r="J2" s="911"/>
      <c r="K2" s="911"/>
      <c r="L2" s="911"/>
      <c r="M2" s="911"/>
      <c r="N2" s="911"/>
      <c r="O2" s="911"/>
      <c r="P2" s="911"/>
      <c r="Q2" s="911"/>
      <c r="R2" s="911"/>
      <c r="S2" s="911"/>
      <c r="T2" s="911"/>
      <c r="U2" s="911"/>
      <c r="V2" s="911"/>
      <c r="W2" s="911"/>
      <c r="X2" s="911"/>
      <c r="Y2" s="911"/>
      <c r="Z2" s="911"/>
      <c r="AA2" s="911"/>
      <c r="AB2" s="911"/>
    </row>
    <row r="3" spans="2:28">
      <c r="B3" s="29" t="s">
        <v>2714</v>
      </c>
      <c r="C3" s="29"/>
      <c r="D3" s="29"/>
      <c r="E3" s="909"/>
      <c r="F3" s="909"/>
      <c r="G3" s="910"/>
      <c r="H3" s="910"/>
      <c r="I3" s="910"/>
      <c r="J3" s="911"/>
      <c r="K3" s="911"/>
      <c r="L3" s="911"/>
      <c r="M3" s="911"/>
      <c r="N3" s="911"/>
      <c r="O3" s="911"/>
      <c r="P3" s="911"/>
      <c r="Q3" s="911"/>
      <c r="R3" s="911"/>
      <c r="S3" s="911"/>
      <c r="T3" s="911"/>
      <c r="U3" s="911"/>
      <c r="V3" s="911"/>
      <c r="W3" s="911"/>
      <c r="X3" s="911"/>
      <c r="Y3" s="911"/>
      <c r="Z3" s="911"/>
      <c r="AA3" s="911"/>
      <c r="AB3" s="911"/>
    </row>
    <row r="4" spans="2:28">
      <c r="B4" s="76" t="str">
        <f>PERIOD</f>
        <v>FOR THE TWELVE MONTHS ENDED NOVEMBER 30, 2017</v>
      </c>
      <c r="C4" s="29"/>
      <c r="D4" s="29"/>
      <c r="E4" s="909"/>
      <c r="F4" s="909"/>
      <c r="G4" s="917"/>
      <c r="H4" s="917"/>
      <c r="I4" s="30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</row>
    <row r="5" spans="2:28">
      <c r="B5" s="76" t="str">
        <f>PeriodF</f>
        <v>FOR THE TWELVE MONTHS ENDED MARCH 31, 2019</v>
      </c>
      <c r="C5" s="29"/>
      <c r="D5" s="29"/>
      <c r="E5" s="909"/>
      <c r="F5" s="909"/>
      <c r="G5" s="917"/>
      <c r="H5" s="917"/>
      <c r="I5" s="30"/>
      <c r="J5" s="911"/>
      <c r="K5" s="911"/>
      <c r="L5" s="911"/>
      <c r="M5" s="911"/>
      <c r="N5" s="911"/>
      <c r="O5" s="911"/>
      <c r="P5" s="911"/>
      <c r="Q5" s="911"/>
      <c r="R5" s="911"/>
      <c r="S5" s="911"/>
      <c r="T5" s="911"/>
      <c r="U5" s="911"/>
      <c r="V5" s="911"/>
      <c r="W5" s="911"/>
      <c r="X5" s="911"/>
      <c r="Y5" s="911"/>
      <c r="Z5" s="911"/>
      <c r="AA5" s="911"/>
      <c r="AB5" s="911"/>
    </row>
    <row r="6" spans="2:28">
      <c r="B6" s="32"/>
      <c r="C6" s="32"/>
      <c r="D6" s="32"/>
      <c r="E6" s="911"/>
      <c r="F6" s="911"/>
      <c r="G6" s="918"/>
      <c r="H6" s="918"/>
      <c r="I6" s="33"/>
      <c r="J6" s="911"/>
      <c r="K6" s="911"/>
      <c r="L6" s="911"/>
      <c r="M6" s="911"/>
      <c r="N6" s="911"/>
      <c r="O6" s="911"/>
      <c r="P6" s="911"/>
      <c r="Q6" s="911"/>
      <c r="R6" s="911"/>
      <c r="S6" s="911"/>
      <c r="T6" s="911"/>
      <c r="U6" s="911"/>
      <c r="V6" s="911"/>
      <c r="W6" s="911"/>
      <c r="X6" s="911"/>
      <c r="Y6" s="911"/>
      <c r="Z6" s="911"/>
      <c r="AA6" s="911"/>
      <c r="AB6" s="911"/>
    </row>
    <row r="7" spans="2:28">
      <c r="B7" s="34" t="str">
        <f>DataB</f>
        <v>DATA: "X" BASE PERIOD  "X" FORECASTED PERIOD</v>
      </c>
      <c r="C7" s="32"/>
      <c r="D7" s="32"/>
      <c r="E7" s="911"/>
      <c r="F7" s="911"/>
      <c r="H7" s="918" t="s">
        <v>149</v>
      </c>
      <c r="I7" s="33"/>
      <c r="J7" s="911"/>
      <c r="K7" s="911"/>
      <c r="L7" s="911"/>
      <c r="M7" s="911"/>
      <c r="N7" s="911"/>
      <c r="O7" s="911"/>
      <c r="P7" s="911"/>
      <c r="Q7" s="911"/>
      <c r="R7" s="911"/>
      <c r="S7" s="911"/>
      <c r="T7" s="911"/>
      <c r="U7" s="911"/>
      <c r="V7" s="911"/>
      <c r="W7" s="911"/>
      <c r="X7" s="911"/>
      <c r="Y7" s="911"/>
      <c r="Z7" s="911"/>
      <c r="AA7" s="911"/>
      <c r="AB7" s="911"/>
    </row>
    <row r="8" spans="2:28">
      <c r="B8" s="34" t="str">
        <f>Type</f>
        <v xml:space="preserve">TYPE OF FILING:  "X" ORIGINAL   UPDATED    REVISED  </v>
      </c>
      <c r="C8" s="32"/>
      <c r="D8" s="32"/>
      <c r="E8" s="911"/>
      <c r="F8" s="911"/>
      <c r="H8" s="918" t="s">
        <v>2715</v>
      </c>
      <c r="I8" s="33"/>
      <c r="J8" s="911"/>
      <c r="K8" s="911"/>
      <c r="L8" s="911"/>
      <c r="M8" s="911"/>
      <c r="N8" s="911"/>
      <c r="O8" s="911"/>
      <c r="P8" s="911"/>
      <c r="Q8" s="911"/>
      <c r="R8" s="911"/>
      <c r="S8" s="911"/>
      <c r="T8" s="911"/>
      <c r="U8" s="911"/>
      <c r="V8" s="911"/>
      <c r="W8" s="911"/>
      <c r="X8" s="911"/>
      <c r="Y8" s="911"/>
      <c r="Z8" s="911"/>
      <c r="AA8" s="911"/>
      <c r="AB8" s="911"/>
    </row>
    <row r="9" spans="2:28">
      <c r="B9" s="920" t="s">
        <v>1879</v>
      </c>
      <c r="C9" s="32"/>
      <c r="D9" s="32"/>
      <c r="E9" s="911"/>
      <c r="F9" s="911"/>
      <c r="H9" s="918" t="s">
        <v>622</v>
      </c>
      <c r="I9" s="33"/>
      <c r="J9" s="911"/>
      <c r="K9" s="911"/>
      <c r="L9" s="31"/>
      <c r="M9" s="911"/>
      <c r="N9" s="911"/>
      <c r="O9" s="911"/>
      <c r="P9" s="911"/>
      <c r="Q9" s="911"/>
      <c r="R9" s="911"/>
      <c r="S9" s="911"/>
      <c r="T9" s="911"/>
      <c r="U9" s="911"/>
      <c r="V9" s="911"/>
      <c r="W9" s="911"/>
      <c r="X9" s="911"/>
      <c r="Y9" s="911"/>
      <c r="Z9" s="911"/>
      <c r="AA9" s="911"/>
      <c r="AB9" s="911"/>
    </row>
    <row r="10" spans="2:28">
      <c r="B10" s="32"/>
      <c r="C10" s="32"/>
      <c r="D10" s="32"/>
      <c r="E10" s="911"/>
      <c r="F10" s="911"/>
      <c r="H10" s="918" t="str">
        <f>_Wit8</f>
        <v>T. SILINSKI</v>
      </c>
      <c r="I10" s="33"/>
      <c r="J10" s="911"/>
      <c r="K10" s="911"/>
      <c r="L10" s="915"/>
      <c r="M10" s="911"/>
      <c r="N10" s="911"/>
      <c r="O10" s="911"/>
      <c r="P10" s="911"/>
      <c r="Q10" s="911"/>
      <c r="R10" s="911"/>
      <c r="S10" s="911"/>
      <c r="T10" s="911"/>
      <c r="U10" s="911"/>
      <c r="V10" s="911"/>
      <c r="W10" s="911"/>
      <c r="X10" s="911"/>
      <c r="Y10" s="911"/>
      <c r="Z10" s="911"/>
      <c r="AA10" s="911"/>
      <c r="AB10" s="911"/>
    </row>
    <row r="11" spans="2:28">
      <c r="B11" s="911"/>
      <c r="C11" s="911"/>
      <c r="D11" s="911"/>
      <c r="E11" s="911"/>
      <c r="F11" s="911"/>
      <c r="G11" s="35"/>
      <c r="H11" s="35"/>
      <c r="I11" s="35"/>
      <c r="J11" s="911"/>
      <c r="K11" s="911"/>
      <c r="L11" s="31"/>
      <c r="M11" s="911"/>
      <c r="N11" s="911"/>
      <c r="O11" s="911"/>
      <c r="P11" s="911"/>
      <c r="Q11" s="911"/>
      <c r="R11" s="911"/>
      <c r="S11" s="911"/>
      <c r="T11" s="911"/>
      <c r="U11" s="911"/>
      <c r="V11" s="911"/>
      <c r="W11" s="911"/>
      <c r="X11" s="911"/>
      <c r="Y11" s="911"/>
      <c r="Z11" s="911"/>
      <c r="AA11" s="911"/>
      <c r="AB11" s="911"/>
    </row>
    <row r="12" spans="2:28">
      <c r="B12" s="914" t="s">
        <v>1961</v>
      </c>
      <c r="C12" s="911"/>
      <c r="D12" s="911"/>
      <c r="E12" s="914" t="s">
        <v>1117</v>
      </c>
      <c r="F12" s="914"/>
      <c r="G12" s="921" t="s">
        <v>363</v>
      </c>
      <c r="H12" s="921"/>
      <c r="I12" s="914" t="s">
        <v>626</v>
      </c>
      <c r="J12" s="921"/>
      <c r="K12" s="911"/>
      <c r="L12" s="915"/>
      <c r="M12" s="911"/>
      <c r="N12" s="922"/>
      <c r="O12" s="911"/>
      <c r="P12" s="911"/>
      <c r="Q12" s="911"/>
      <c r="R12" s="911"/>
      <c r="S12" s="911"/>
      <c r="T12" s="911"/>
      <c r="U12" s="911"/>
      <c r="V12" s="911"/>
      <c r="W12" s="911"/>
      <c r="X12" s="911"/>
      <c r="Y12" s="911"/>
      <c r="Z12" s="911"/>
      <c r="AA12" s="911"/>
      <c r="AB12" s="911"/>
    </row>
    <row r="13" spans="2:28">
      <c r="B13" s="36" t="s">
        <v>90</v>
      </c>
      <c r="C13" s="37" t="s">
        <v>566</v>
      </c>
      <c r="D13" s="37"/>
      <c r="E13" s="39" t="s">
        <v>1120</v>
      </c>
      <c r="F13" s="39"/>
      <c r="G13" s="40" t="s">
        <v>1937</v>
      </c>
      <c r="H13" s="40"/>
      <c r="I13" s="39" t="s">
        <v>1120</v>
      </c>
      <c r="J13" s="38"/>
      <c r="K13" s="911"/>
      <c r="L13" s="31"/>
      <c r="M13" s="911"/>
      <c r="N13" s="911"/>
      <c r="O13" s="911"/>
      <c r="P13" s="911"/>
      <c r="Q13" s="911"/>
      <c r="R13" s="911"/>
      <c r="S13" s="911"/>
      <c r="T13" s="911"/>
      <c r="U13" s="911"/>
      <c r="V13" s="911"/>
      <c r="W13" s="911"/>
      <c r="X13" s="911"/>
      <c r="Y13" s="911"/>
      <c r="Z13" s="911"/>
      <c r="AA13" s="911"/>
      <c r="AB13" s="911"/>
    </row>
    <row r="14" spans="2:28">
      <c r="B14" s="36"/>
      <c r="C14" s="37"/>
      <c r="D14" s="37"/>
      <c r="E14" s="39"/>
      <c r="F14" s="39"/>
      <c r="G14" s="40"/>
      <c r="H14" s="40"/>
      <c r="I14" s="39"/>
      <c r="J14" s="38"/>
      <c r="K14" s="911"/>
      <c r="L14" s="31"/>
      <c r="M14" s="911"/>
      <c r="N14" s="911"/>
      <c r="O14" s="911"/>
      <c r="P14" s="911"/>
      <c r="Q14" s="911"/>
      <c r="R14" s="911"/>
      <c r="S14" s="911"/>
      <c r="T14" s="911"/>
      <c r="U14" s="911"/>
      <c r="V14" s="911"/>
      <c r="W14" s="911"/>
      <c r="X14" s="911"/>
      <c r="Y14" s="911"/>
      <c r="Z14" s="911"/>
      <c r="AA14" s="911"/>
      <c r="AB14" s="911"/>
    </row>
    <row r="15" spans="2:28">
      <c r="B15" s="914">
        <v>1</v>
      </c>
      <c r="C15" s="41" t="s">
        <v>1938</v>
      </c>
      <c r="D15" s="41"/>
      <c r="E15" s="913"/>
      <c r="F15" s="913"/>
      <c r="G15" s="923"/>
      <c r="H15" s="923"/>
      <c r="I15" s="923"/>
      <c r="J15" s="913"/>
      <c r="K15" s="911"/>
      <c r="L15" s="915"/>
      <c r="M15" s="911"/>
      <c r="N15" s="911"/>
      <c r="O15" s="911"/>
      <c r="P15" s="911"/>
      <c r="Q15" s="911"/>
      <c r="R15" s="911"/>
      <c r="S15" s="911"/>
      <c r="T15" s="911"/>
      <c r="U15" s="911"/>
      <c r="V15" s="911"/>
      <c r="W15" s="911"/>
      <c r="X15" s="911"/>
      <c r="Y15" s="911"/>
      <c r="Z15" s="911"/>
      <c r="AA15" s="911"/>
      <c r="AB15" s="911"/>
    </row>
    <row r="16" spans="2:28">
      <c r="B16" s="914">
        <v>2</v>
      </c>
      <c r="C16" s="912" t="s">
        <v>1939</v>
      </c>
      <c r="D16" s="912"/>
      <c r="E16" s="1501">
        <v>683953</v>
      </c>
      <c r="F16" s="913"/>
      <c r="G16" s="924">
        <f>IF(E16=0,0,ROUND((I16-E16)/E16,4))</f>
        <v>0</v>
      </c>
      <c r="H16" s="924"/>
      <c r="I16" s="1501">
        <v>683953</v>
      </c>
      <c r="J16" s="924"/>
      <c r="K16" s="911"/>
      <c r="L16" s="31"/>
      <c r="M16" s="911"/>
      <c r="N16" s="911"/>
      <c r="O16" s="911"/>
      <c r="P16" s="911"/>
      <c r="Q16" s="911"/>
      <c r="R16" s="911"/>
      <c r="S16" s="911"/>
      <c r="T16" s="911"/>
      <c r="U16" s="911"/>
      <c r="V16" s="911"/>
      <c r="W16" s="911"/>
      <c r="X16" s="911"/>
      <c r="Y16" s="911"/>
      <c r="Z16" s="911"/>
      <c r="AA16" s="911"/>
      <c r="AB16" s="911"/>
    </row>
    <row r="17" spans="2:28">
      <c r="B17" s="914">
        <v>3</v>
      </c>
      <c r="C17" s="912" t="s">
        <v>900</v>
      </c>
      <c r="D17" s="912"/>
      <c r="E17" s="1501">
        <v>57030</v>
      </c>
      <c r="F17" s="913"/>
      <c r="G17" s="924">
        <f>IF(E17=0,0,ROUND((I17-E17)/E17,4))</f>
        <v>0</v>
      </c>
      <c r="H17" s="924"/>
      <c r="I17" s="1501">
        <v>57030</v>
      </c>
      <c r="J17" s="924"/>
      <c r="K17" s="911"/>
      <c r="L17" s="915"/>
      <c r="M17" s="911"/>
      <c r="N17" s="911"/>
      <c r="O17" s="911"/>
      <c r="P17" s="911"/>
      <c r="Q17" s="911"/>
      <c r="R17" s="911"/>
      <c r="S17" s="911"/>
      <c r="T17" s="911"/>
      <c r="U17" s="911"/>
      <c r="V17" s="911"/>
      <c r="W17" s="911"/>
      <c r="X17" s="911"/>
      <c r="Y17" s="911"/>
      <c r="Z17" s="911"/>
      <c r="AA17" s="911"/>
      <c r="AB17" s="911"/>
    </row>
    <row r="18" spans="2:28" ht="13.5" thickBot="1">
      <c r="B18" s="914">
        <v>4</v>
      </c>
      <c r="C18" s="912" t="s">
        <v>901</v>
      </c>
      <c r="D18" s="912"/>
      <c r="E18" s="925">
        <f>SUM(E16:E17)</f>
        <v>740983</v>
      </c>
      <c r="F18" s="928"/>
      <c r="G18" s="924">
        <f>IF(E18=0,0,ROUND((I18-E18)/E18,4))</f>
        <v>0</v>
      </c>
      <c r="H18" s="924"/>
      <c r="I18" s="925">
        <f>SUM(I16:I17)</f>
        <v>740983</v>
      </c>
      <c r="J18" s="924"/>
      <c r="K18" s="911"/>
      <c r="L18" s="31"/>
      <c r="M18" s="911"/>
      <c r="N18" s="911"/>
      <c r="O18" s="911"/>
      <c r="P18" s="911"/>
      <c r="Q18" s="911"/>
      <c r="R18" s="911"/>
      <c r="S18" s="911"/>
      <c r="T18" s="911"/>
      <c r="U18" s="911"/>
      <c r="V18" s="911"/>
      <c r="W18" s="911"/>
      <c r="X18" s="911"/>
      <c r="Y18" s="911"/>
      <c r="Z18" s="911"/>
      <c r="AA18" s="911"/>
      <c r="AB18" s="911"/>
    </row>
    <row r="19" spans="2:28" ht="13.5" thickTop="1">
      <c r="B19" s="914">
        <v>5</v>
      </c>
      <c r="C19" s="911"/>
      <c r="D19" s="911"/>
      <c r="E19" s="916"/>
      <c r="F19" s="916"/>
      <c r="G19" s="926"/>
      <c r="H19" s="926"/>
      <c r="I19" s="916"/>
      <c r="J19" s="926"/>
      <c r="K19" s="911"/>
      <c r="L19" s="911"/>
      <c r="M19" s="911"/>
      <c r="N19" s="911"/>
      <c r="O19" s="911"/>
      <c r="P19" s="911"/>
      <c r="Q19" s="911"/>
      <c r="R19" s="911"/>
      <c r="S19" s="911"/>
      <c r="T19" s="911"/>
      <c r="U19" s="911"/>
      <c r="V19" s="911"/>
      <c r="W19" s="911"/>
      <c r="X19" s="911"/>
      <c r="Y19" s="911"/>
      <c r="Z19" s="911"/>
      <c r="AA19" s="911"/>
      <c r="AB19" s="911"/>
    </row>
    <row r="20" spans="2:28">
      <c r="B20" s="914">
        <v>6</v>
      </c>
      <c r="C20" s="912" t="s">
        <v>902</v>
      </c>
      <c r="D20" s="912"/>
      <c r="E20" s="911"/>
      <c r="F20" s="911"/>
      <c r="G20" s="923"/>
      <c r="H20" s="923"/>
      <c r="I20" s="911"/>
      <c r="J20" s="923"/>
      <c r="K20" s="911"/>
      <c r="L20" s="915"/>
      <c r="M20" s="911"/>
      <c r="N20" s="911"/>
      <c r="O20" s="911"/>
      <c r="P20" s="911"/>
      <c r="Q20" s="911"/>
      <c r="R20" s="911"/>
      <c r="S20" s="911"/>
      <c r="T20" s="911"/>
      <c r="U20" s="911"/>
      <c r="V20" s="911"/>
      <c r="W20" s="911"/>
      <c r="X20" s="911"/>
      <c r="Y20" s="911"/>
      <c r="Z20" s="911"/>
      <c r="AA20" s="911"/>
      <c r="AB20" s="911"/>
    </row>
    <row r="21" spans="2:28">
      <c r="B21" s="914">
        <v>7</v>
      </c>
      <c r="C21" s="912" t="s">
        <v>903</v>
      </c>
      <c r="D21" s="912"/>
      <c r="E21" s="919">
        <f>ROUND(E17/E16*100,2)</f>
        <v>8.34</v>
      </c>
      <c r="F21" s="919"/>
      <c r="G21" s="924"/>
      <c r="H21" s="924"/>
      <c r="I21" s="919">
        <f>ROUND(I17/I16*100,2)</f>
        <v>8.34</v>
      </c>
      <c r="J21" s="924"/>
      <c r="K21" s="911"/>
      <c r="L21" s="911"/>
      <c r="M21" s="911"/>
      <c r="N21" s="911"/>
      <c r="O21" s="911"/>
      <c r="P21" s="911"/>
      <c r="Q21" s="911"/>
      <c r="R21" s="911"/>
      <c r="S21" s="911"/>
      <c r="T21" s="911"/>
      <c r="U21" s="911"/>
      <c r="V21" s="911"/>
      <c r="W21" s="911"/>
      <c r="X21" s="911"/>
      <c r="Y21" s="911"/>
      <c r="Z21" s="911"/>
      <c r="AA21" s="911"/>
      <c r="AB21" s="911"/>
    </row>
    <row r="22" spans="2:28">
      <c r="B22" s="911"/>
      <c r="C22" s="42"/>
      <c r="D22" s="42"/>
      <c r="E22" s="913"/>
      <c r="F22" s="913"/>
      <c r="G22" s="927"/>
      <c r="H22" s="927"/>
      <c r="I22" s="927"/>
      <c r="J22" s="913"/>
      <c r="K22" s="911"/>
      <c r="L22" s="911"/>
      <c r="M22" s="911"/>
      <c r="N22" s="911"/>
      <c r="O22" s="911"/>
      <c r="P22" s="911"/>
      <c r="Q22" s="911"/>
      <c r="R22" s="911"/>
      <c r="S22" s="911"/>
      <c r="T22" s="911"/>
      <c r="U22" s="911"/>
      <c r="V22" s="911"/>
      <c r="W22" s="911"/>
      <c r="X22" s="911"/>
      <c r="Y22" s="911"/>
      <c r="Z22" s="911"/>
      <c r="AA22" s="911"/>
      <c r="AB22" s="911"/>
    </row>
    <row r="23" spans="2:28">
      <c r="B23" s="911"/>
      <c r="C23" s="42"/>
      <c r="D23" s="42"/>
      <c r="E23" s="913"/>
      <c r="F23" s="913"/>
      <c r="G23" s="927"/>
      <c r="H23" s="927"/>
      <c r="I23" s="927"/>
      <c r="J23" s="913"/>
      <c r="K23" s="911"/>
      <c r="L23" s="911"/>
      <c r="M23" s="911"/>
      <c r="N23" s="911"/>
      <c r="O23" s="911"/>
      <c r="P23" s="911"/>
      <c r="Q23" s="911"/>
      <c r="R23" s="911"/>
      <c r="S23" s="911"/>
      <c r="T23" s="911"/>
      <c r="U23" s="911"/>
      <c r="V23" s="911"/>
      <c r="W23" s="911"/>
      <c r="X23" s="911"/>
      <c r="Y23" s="911"/>
      <c r="Z23" s="911"/>
      <c r="AA23" s="911"/>
      <c r="AB23" s="911"/>
    </row>
    <row r="24" spans="2:28">
      <c r="B24" s="911"/>
      <c r="C24" s="911" t="s">
        <v>3335</v>
      </c>
      <c r="D24" s="42"/>
      <c r="E24" s="913"/>
      <c r="F24" s="913"/>
      <c r="G24" s="927"/>
      <c r="H24" s="927"/>
      <c r="I24" s="927"/>
      <c r="J24" s="913"/>
      <c r="K24" s="911"/>
      <c r="L24" s="911"/>
      <c r="M24" s="911"/>
      <c r="N24" s="911"/>
      <c r="O24" s="911"/>
      <c r="P24" s="911"/>
      <c r="Q24" s="911"/>
      <c r="R24" s="911"/>
      <c r="S24" s="911"/>
      <c r="T24" s="911"/>
      <c r="U24" s="911"/>
      <c r="V24" s="911"/>
      <c r="W24" s="911"/>
      <c r="X24" s="911"/>
      <c r="Y24" s="911"/>
      <c r="Z24" s="911"/>
      <c r="AA24" s="911"/>
      <c r="AB24" s="911"/>
    </row>
    <row r="25" spans="2:28">
      <c r="B25" s="911"/>
      <c r="C25" s="911" t="s">
        <v>3336</v>
      </c>
      <c r="D25" s="911"/>
      <c r="E25" s="913"/>
      <c r="F25" s="913"/>
      <c r="G25" s="927"/>
      <c r="H25" s="927"/>
      <c r="I25" s="927"/>
      <c r="J25" s="913"/>
      <c r="K25" s="911"/>
      <c r="L25" s="911"/>
      <c r="M25" s="911"/>
      <c r="N25" s="911"/>
      <c r="O25" s="911"/>
      <c r="P25" s="911"/>
      <c r="Q25" s="911"/>
      <c r="R25" s="911"/>
      <c r="S25" s="911"/>
      <c r="T25" s="911"/>
      <c r="U25" s="911"/>
      <c r="V25" s="911"/>
      <c r="W25" s="911"/>
      <c r="X25" s="911"/>
      <c r="Y25" s="911"/>
      <c r="Z25" s="911"/>
      <c r="AA25" s="911"/>
      <c r="AB25" s="911"/>
    </row>
    <row r="26" spans="2:28">
      <c r="B26" s="912"/>
      <c r="C26" s="911"/>
      <c r="D26" s="911"/>
      <c r="E26" s="911"/>
      <c r="F26" s="911"/>
      <c r="G26" s="923"/>
      <c r="H26" s="923"/>
      <c r="I26" s="923"/>
      <c r="J26" s="911"/>
      <c r="K26" s="911"/>
      <c r="L26" s="911"/>
      <c r="M26" s="911"/>
      <c r="N26" s="911"/>
      <c r="O26" s="911"/>
      <c r="P26" s="911"/>
      <c r="Q26" s="911"/>
      <c r="R26" s="911"/>
      <c r="S26" s="911"/>
      <c r="T26" s="911"/>
      <c r="U26" s="911"/>
      <c r="V26" s="911"/>
      <c r="W26" s="911"/>
      <c r="X26" s="911"/>
      <c r="Y26" s="911"/>
      <c r="Z26" s="911"/>
      <c r="AA26" s="911"/>
      <c r="AB26" s="911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tabColor theme="2" tint="-0.499984740745262"/>
  </sheetPr>
  <dimension ref="A1:S70"/>
  <sheetViews>
    <sheetView tabSelected="1" view="pageLayout" topLeftCell="F1" zoomScaleNormal="80" workbookViewId="0">
      <selection activeCell="G1" sqref="G1"/>
    </sheetView>
  </sheetViews>
  <sheetFormatPr defaultColWidth="8.85546875" defaultRowHeight="12.75"/>
  <cols>
    <col min="1" max="1" width="8.85546875" style="18"/>
    <col min="2" max="2" width="27" style="18" customWidth="1"/>
    <col min="3" max="3" width="12.28515625" style="18" customWidth="1"/>
    <col min="4" max="4" width="10.85546875" style="18" customWidth="1"/>
    <col min="5" max="5" width="29.140625" style="18" customWidth="1"/>
    <col min="6" max="6" width="12.7109375" style="18" customWidth="1"/>
    <col min="7" max="18" width="13.140625" style="18" customWidth="1"/>
    <col min="19" max="16384" width="8.85546875" style="18"/>
  </cols>
  <sheetData>
    <row r="1" spans="1:19">
      <c r="A1" s="14" t="str">
        <f>COMPANY</f>
        <v>DUKE ENERGY KENTUCKY, INC.</v>
      </c>
    </row>
    <row r="2" spans="1:19">
      <c r="A2" s="14" t="str">
        <f>CASE</f>
        <v>CASE NO. 2017-00321</v>
      </c>
    </row>
    <row r="3" spans="1:19">
      <c r="A3" s="16" t="s">
        <v>2599</v>
      </c>
    </row>
    <row r="4" spans="1:19">
      <c r="A4" s="16"/>
    </row>
    <row r="5" spans="1:19">
      <c r="A5" s="14"/>
    </row>
    <row r="6" spans="1:19">
      <c r="A6" s="14" t="str">
        <f>DataF</f>
        <v>DATA:  BASE PERIOD  "X" FORECASTED PERIOD</v>
      </c>
    </row>
    <row r="7" spans="1:19">
      <c r="A7" s="14" t="str">
        <f>Type</f>
        <v xml:space="preserve">TYPE OF FILING:  "X" ORIGINAL   UPDATED    REVISED  </v>
      </c>
    </row>
    <row r="8" spans="1:19">
      <c r="A8" s="15"/>
    </row>
    <row r="9" spans="1:19">
      <c r="A9" s="15"/>
    </row>
    <row r="10" spans="1:19" ht="13.5" thickBot="1">
      <c r="A10" s="15"/>
    </row>
    <row r="11" spans="1:19" ht="14.25" thickTop="1" thickBot="1">
      <c r="A11" s="70" t="s">
        <v>1118</v>
      </c>
      <c r="B11" s="70" t="s">
        <v>1119</v>
      </c>
      <c r="C11" s="70" t="s">
        <v>575</v>
      </c>
      <c r="D11" s="70" t="s">
        <v>2209</v>
      </c>
      <c r="E11" s="71" t="s">
        <v>2210</v>
      </c>
      <c r="F11" s="70" t="s">
        <v>1929</v>
      </c>
      <c r="G11" s="72">
        <f>LOGO!J7</f>
        <v>43220</v>
      </c>
      <c r="H11" s="72">
        <f>LOGO!J8</f>
        <v>43251</v>
      </c>
      <c r="I11" s="72">
        <f>LOGO!J9</f>
        <v>43281</v>
      </c>
      <c r="J11" s="72">
        <f>LOGO!J10</f>
        <v>43312</v>
      </c>
      <c r="K11" s="72">
        <f>LOGO!J11</f>
        <v>43343</v>
      </c>
      <c r="L11" s="72">
        <f>LOGO!J12</f>
        <v>43373</v>
      </c>
      <c r="M11" s="72">
        <f>LOGO!J13</f>
        <v>43404</v>
      </c>
      <c r="N11" s="72">
        <f>LOGO!J14</f>
        <v>43434</v>
      </c>
      <c r="O11" s="72">
        <f>LOGO!J15</f>
        <v>43465</v>
      </c>
      <c r="P11" s="72">
        <f>LOGO!J16</f>
        <v>43496</v>
      </c>
      <c r="Q11" s="72">
        <f>LOGO!J17</f>
        <v>43524</v>
      </c>
      <c r="R11" s="72">
        <f>LOGO!J18</f>
        <v>43555</v>
      </c>
      <c r="S11" s="45"/>
    </row>
    <row r="12" spans="1:19" ht="13.5" thickTop="1">
      <c r="A12" s="1346">
        <v>440000</v>
      </c>
      <c r="B12" s="18" t="s">
        <v>947</v>
      </c>
      <c r="D12" s="18" t="s">
        <v>2211</v>
      </c>
      <c r="E12" s="18" t="s">
        <v>2424</v>
      </c>
      <c r="F12" s="1347">
        <f>SUM(G12:R12)</f>
        <v>33618665</v>
      </c>
      <c r="G12" s="1366">
        <f>2440460+1</f>
        <v>2440461</v>
      </c>
      <c r="H12" s="1366">
        <v>2031673</v>
      </c>
      <c r="I12" s="1366">
        <v>2551896</v>
      </c>
      <c r="J12" s="1366">
        <v>3296425</v>
      </c>
      <c r="K12" s="1366">
        <v>3331744</v>
      </c>
      <c r="L12" s="1366">
        <v>2980778</v>
      </c>
      <c r="M12" s="1366">
        <v>2135026</v>
      </c>
      <c r="N12" s="1366">
        <v>2211520</v>
      </c>
      <c r="O12" s="1366">
        <v>2938103</v>
      </c>
      <c r="P12" s="1564">
        <v>3581662</v>
      </c>
      <c r="Q12" s="1564">
        <v>3241220</v>
      </c>
      <c r="R12" s="1564">
        <v>2878157</v>
      </c>
    </row>
    <row r="13" spans="1:19">
      <c r="A13" s="1346">
        <v>440000</v>
      </c>
      <c r="B13" s="18" t="s">
        <v>947</v>
      </c>
      <c r="D13" s="18" t="s">
        <v>2213</v>
      </c>
      <c r="E13" s="18" t="s">
        <v>2214</v>
      </c>
      <c r="F13" s="1347">
        <f t="shared" ref="F13:F64" si="0">SUM(G13:R13)</f>
        <v>38030997</v>
      </c>
      <c r="G13" s="1366">
        <v>2725062</v>
      </c>
      <c r="H13" s="1366">
        <v>2221863</v>
      </c>
      <c r="I13" s="1366">
        <v>2862938</v>
      </c>
      <c r="J13" s="1366">
        <v>3779531</v>
      </c>
      <c r="K13" s="1366">
        <v>3823095</v>
      </c>
      <c r="L13" s="1366">
        <v>3390494</v>
      </c>
      <c r="M13" s="1366">
        <v>2348616</v>
      </c>
      <c r="N13" s="1366">
        <v>2442566</v>
      </c>
      <c r="O13" s="1366">
        <v>3336554</v>
      </c>
      <c r="P13" s="1564">
        <v>4128737</v>
      </c>
      <c r="Q13" s="1564">
        <v>3709654</v>
      </c>
      <c r="R13" s="1564">
        <v>3261887</v>
      </c>
    </row>
    <row r="14" spans="1:19">
      <c r="A14" s="1346">
        <v>440000</v>
      </c>
      <c r="B14" s="18" t="s">
        <v>947</v>
      </c>
      <c r="D14" s="18" t="s">
        <v>2211</v>
      </c>
      <c r="E14" s="18" t="s">
        <v>2425</v>
      </c>
      <c r="F14" s="1347">
        <f t="shared" si="0"/>
        <v>45835400</v>
      </c>
      <c r="G14" s="1366">
        <v>3327302</v>
      </c>
      <c r="H14" s="1366">
        <v>2769966</v>
      </c>
      <c r="I14" s="1366">
        <v>3479233</v>
      </c>
      <c r="J14" s="1366">
        <v>4494317</v>
      </c>
      <c r="K14" s="1366">
        <v>4542471</v>
      </c>
      <c r="L14" s="1366">
        <v>4063968</v>
      </c>
      <c r="M14" s="1366">
        <v>2910876</v>
      </c>
      <c r="N14" s="1366">
        <v>3015168</v>
      </c>
      <c r="O14" s="1366">
        <v>4005784</v>
      </c>
      <c r="P14" s="1564">
        <v>4883208</v>
      </c>
      <c r="Q14" s="1564">
        <v>4419052</v>
      </c>
      <c r="R14" s="1564">
        <v>3924055</v>
      </c>
    </row>
    <row r="15" spans="1:19">
      <c r="A15" s="1346">
        <v>440000</v>
      </c>
      <c r="B15" s="18" t="s">
        <v>947</v>
      </c>
      <c r="D15" s="18" t="s">
        <v>2211</v>
      </c>
      <c r="E15" s="18" t="s">
        <v>2426</v>
      </c>
      <c r="F15" s="1347">
        <f t="shared" si="0"/>
        <v>3556418</v>
      </c>
      <c r="G15" s="1366">
        <v>258169</v>
      </c>
      <c r="H15" s="1366">
        <v>214925</v>
      </c>
      <c r="I15" s="1366">
        <v>269957</v>
      </c>
      <c r="J15" s="1366">
        <v>348719</v>
      </c>
      <c r="K15" s="1366">
        <v>352455</v>
      </c>
      <c r="L15" s="1366">
        <v>315328</v>
      </c>
      <c r="M15" s="1366">
        <v>225858</v>
      </c>
      <c r="N15" s="1366">
        <v>233950</v>
      </c>
      <c r="O15" s="1366">
        <v>310813</v>
      </c>
      <c r="P15" s="1564">
        <v>378893</v>
      </c>
      <c r="Q15" s="1564">
        <v>342879</v>
      </c>
      <c r="R15" s="1564">
        <v>304472</v>
      </c>
    </row>
    <row r="16" spans="1:19">
      <c r="A16" s="1346">
        <v>440000</v>
      </c>
      <c r="B16" s="18" t="s">
        <v>947</v>
      </c>
      <c r="D16" s="18" t="s">
        <v>2215</v>
      </c>
      <c r="E16" s="18" t="s">
        <v>2216</v>
      </c>
      <c r="F16" s="1347">
        <f t="shared" si="0"/>
        <v>5676191</v>
      </c>
      <c r="G16" s="1366">
        <v>423360</v>
      </c>
      <c r="H16" s="1366">
        <v>422850</v>
      </c>
      <c r="I16" s="1366">
        <v>500378</v>
      </c>
      <c r="J16" s="1366">
        <v>689937</v>
      </c>
      <c r="K16" s="1366">
        <v>608797</v>
      </c>
      <c r="L16" s="1366">
        <v>513572</v>
      </c>
      <c r="M16" s="1366">
        <v>583802</v>
      </c>
      <c r="N16" s="1366">
        <v>426906</v>
      </c>
      <c r="O16" s="1366">
        <v>440606</v>
      </c>
      <c r="P16" s="1564">
        <v>352788</v>
      </c>
      <c r="Q16" s="1564">
        <v>345794</v>
      </c>
      <c r="R16" s="1564">
        <v>367401</v>
      </c>
    </row>
    <row r="17" spans="1:18">
      <c r="A17" s="1346">
        <v>440000</v>
      </c>
      <c r="B17" s="18" t="s">
        <v>947</v>
      </c>
      <c r="D17" s="18" t="s">
        <v>2217</v>
      </c>
      <c r="E17" s="18" t="s">
        <v>2218</v>
      </c>
      <c r="F17" s="1347">
        <f t="shared" si="0"/>
        <v>-3006096</v>
      </c>
      <c r="G17" s="1366">
        <v>-239619</v>
      </c>
      <c r="H17" s="1366">
        <v>280395</v>
      </c>
      <c r="I17" s="1366">
        <v>385821</v>
      </c>
      <c r="J17" s="1366">
        <v>21036</v>
      </c>
      <c r="K17" s="1366">
        <v>-377512</v>
      </c>
      <c r="L17" s="1366">
        <v>-320681</v>
      </c>
      <c r="M17" s="1366">
        <v>-260639</v>
      </c>
      <c r="N17" s="1366">
        <v>-389517</v>
      </c>
      <c r="O17" s="1366">
        <v>-637900</v>
      </c>
      <c r="P17" s="1564">
        <v>-704069</v>
      </c>
      <c r="Q17" s="1564">
        <v>-572880</v>
      </c>
      <c r="R17" s="1564">
        <v>-190531</v>
      </c>
    </row>
    <row r="18" spans="1:18">
      <c r="A18" s="1346">
        <v>440000</v>
      </c>
      <c r="B18" s="18" t="s">
        <v>947</v>
      </c>
      <c r="D18" s="18" t="s">
        <v>2219</v>
      </c>
      <c r="E18" s="18" t="s">
        <v>2220</v>
      </c>
      <c r="F18" s="1347">
        <f t="shared" si="0"/>
        <v>-929354</v>
      </c>
      <c r="G18" s="1366">
        <v>0</v>
      </c>
      <c r="H18" s="1366">
        <v>-16543</v>
      </c>
      <c r="I18" s="1366">
        <v>-36537</v>
      </c>
      <c r="J18" s="1366">
        <v>-109806</v>
      </c>
      <c r="K18" s="1366">
        <v>-8275</v>
      </c>
      <c r="L18" s="1366">
        <v>-23462</v>
      </c>
      <c r="M18" s="1366">
        <v>-46936</v>
      </c>
      <c r="N18" s="1366">
        <v>-50758</v>
      </c>
      <c r="O18" s="1366">
        <v>-34947</v>
      </c>
      <c r="P18" s="1564">
        <v>-338826</v>
      </c>
      <c r="Q18" s="1564">
        <v>-156362</v>
      </c>
      <c r="R18" s="1564">
        <v>-106902</v>
      </c>
    </row>
    <row r="19" spans="1:18">
      <c r="A19" s="1346">
        <v>440990</v>
      </c>
      <c r="B19" s="18" t="s">
        <v>2021</v>
      </c>
      <c r="D19" s="18" t="s">
        <v>2221</v>
      </c>
      <c r="E19" s="18" t="s">
        <v>2222</v>
      </c>
      <c r="F19" s="1347">
        <f t="shared" si="0"/>
        <v>-3347169</v>
      </c>
      <c r="G19" s="1366">
        <v>-1198901</v>
      </c>
      <c r="H19" s="1366">
        <v>936109</v>
      </c>
      <c r="I19" s="1366">
        <v>1074090</v>
      </c>
      <c r="J19" s="1366">
        <v>20891</v>
      </c>
      <c r="K19" s="1366">
        <v>-847995</v>
      </c>
      <c r="L19" s="1366">
        <v>-2877714</v>
      </c>
      <c r="M19" s="1366">
        <v>-111853</v>
      </c>
      <c r="N19" s="1366">
        <v>1089319</v>
      </c>
      <c r="O19" s="1366">
        <v>776017</v>
      </c>
      <c r="P19" s="1564">
        <v>-504025</v>
      </c>
      <c r="Q19" s="1564">
        <v>-1136573</v>
      </c>
      <c r="R19" s="1564">
        <v>-566534</v>
      </c>
    </row>
    <row r="20" spans="1:18">
      <c r="A20" s="1346">
        <v>442100</v>
      </c>
      <c r="B20" s="18" t="s">
        <v>2022</v>
      </c>
      <c r="D20" s="18" t="s">
        <v>2211</v>
      </c>
      <c r="E20" s="18" t="s">
        <v>2424</v>
      </c>
      <c r="F20" s="1347">
        <f t="shared" si="0"/>
        <v>19561093</v>
      </c>
      <c r="G20" s="1366">
        <v>1577128</v>
      </c>
      <c r="H20" s="1366">
        <v>1524746</v>
      </c>
      <c r="I20" s="1366">
        <v>1677564</v>
      </c>
      <c r="J20" s="1366">
        <v>1797499</v>
      </c>
      <c r="K20" s="1366">
        <v>1773101</v>
      </c>
      <c r="L20" s="1366">
        <v>1730765</v>
      </c>
      <c r="M20" s="1366">
        <v>1553472</v>
      </c>
      <c r="N20" s="1366">
        <v>1546352</v>
      </c>
      <c r="O20" s="1366">
        <v>1599923</v>
      </c>
      <c r="P20" s="1564">
        <v>1671264</v>
      </c>
      <c r="Q20" s="1564">
        <v>1554243</v>
      </c>
      <c r="R20" s="1564">
        <v>1555036</v>
      </c>
    </row>
    <row r="21" spans="1:18">
      <c r="A21" s="1346">
        <v>442100</v>
      </c>
      <c r="B21" s="18" t="s">
        <v>2022</v>
      </c>
      <c r="D21" s="18" t="s">
        <v>2213</v>
      </c>
      <c r="E21" s="18" t="s">
        <v>2214</v>
      </c>
      <c r="F21" s="1347">
        <f t="shared" si="0"/>
        <v>37745565</v>
      </c>
      <c r="G21" s="1366">
        <v>3013171</v>
      </c>
      <c r="H21" s="1366">
        <v>2890487</v>
      </c>
      <c r="I21" s="1366">
        <v>3244663</v>
      </c>
      <c r="J21" s="1366">
        <v>3543534</v>
      </c>
      <c r="K21" s="1366">
        <v>3471417</v>
      </c>
      <c r="L21" s="1366">
        <v>3398913</v>
      </c>
      <c r="M21" s="1366">
        <v>2958974</v>
      </c>
      <c r="N21" s="1366">
        <v>2913942</v>
      </c>
      <c r="O21" s="1366">
        <v>3173446</v>
      </c>
      <c r="P21" s="1564">
        <v>3307717</v>
      </c>
      <c r="Q21" s="1564">
        <v>2936420</v>
      </c>
      <c r="R21" s="1564">
        <v>2892881</v>
      </c>
    </row>
    <row r="22" spans="1:18">
      <c r="A22" s="1346">
        <v>442100</v>
      </c>
      <c r="B22" s="18" t="s">
        <v>2022</v>
      </c>
      <c r="D22" s="18" t="s">
        <v>2211</v>
      </c>
      <c r="E22" s="18" t="s">
        <v>2425</v>
      </c>
      <c r="F22" s="1347">
        <f t="shared" si="0"/>
        <v>48603211</v>
      </c>
      <c r="G22" s="1366">
        <v>3918670</v>
      </c>
      <c r="H22" s="1366">
        <v>3788517</v>
      </c>
      <c r="I22" s="1366">
        <v>4168224</v>
      </c>
      <c r="J22" s="1366">
        <v>4466225</v>
      </c>
      <c r="K22" s="1366">
        <v>4405603</v>
      </c>
      <c r="L22" s="1366">
        <v>4300410</v>
      </c>
      <c r="M22" s="1366">
        <v>3859894</v>
      </c>
      <c r="N22" s="1366">
        <v>3842203</v>
      </c>
      <c r="O22" s="1366">
        <v>3975308</v>
      </c>
      <c r="P22" s="1564">
        <v>4152569</v>
      </c>
      <c r="Q22" s="1564">
        <v>3861809</v>
      </c>
      <c r="R22" s="1564">
        <v>3863779</v>
      </c>
    </row>
    <row r="23" spans="1:18">
      <c r="A23" s="1346">
        <v>442100</v>
      </c>
      <c r="B23" s="18" t="s">
        <v>2022</v>
      </c>
      <c r="D23" s="18" t="s">
        <v>2211</v>
      </c>
      <c r="E23" s="18" t="s">
        <v>2426</v>
      </c>
      <c r="F23" s="1347">
        <f t="shared" si="0"/>
        <v>4508397</v>
      </c>
      <c r="G23" s="1366">
        <v>363493</v>
      </c>
      <c r="H23" s="1366">
        <v>351420</v>
      </c>
      <c r="I23" s="1366">
        <v>386641</v>
      </c>
      <c r="J23" s="1366">
        <v>414284</v>
      </c>
      <c r="K23" s="1366">
        <v>408660</v>
      </c>
      <c r="L23" s="1366">
        <v>398903</v>
      </c>
      <c r="M23" s="1366">
        <v>358041</v>
      </c>
      <c r="N23" s="1366">
        <v>356400</v>
      </c>
      <c r="O23" s="1366">
        <v>368747</v>
      </c>
      <c r="P23" s="1564">
        <v>385189</v>
      </c>
      <c r="Q23" s="1564">
        <v>358218</v>
      </c>
      <c r="R23" s="1564">
        <v>358401</v>
      </c>
    </row>
    <row r="24" spans="1:18">
      <c r="A24" s="1346">
        <v>442100</v>
      </c>
      <c r="B24" s="18" t="s">
        <v>2022</v>
      </c>
      <c r="D24" s="18" t="s">
        <v>2215</v>
      </c>
      <c r="E24" s="18" t="s">
        <v>2216</v>
      </c>
      <c r="F24" s="1347">
        <f t="shared" si="0"/>
        <v>2024943</v>
      </c>
      <c r="G24" s="1366">
        <v>163842</v>
      </c>
      <c r="H24" s="1366">
        <v>168398</v>
      </c>
      <c r="I24" s="1366">
        <v>189032</v>
      </c>
      <c r="J24" s="1366">
        <v>220206</v>
      </c>
      <c r="K24" s="1366">
        <v>215725</v>
      </c>
      <c r="L24" s="1366">
        <v>211219</v>
      </c>
      <c r="M24" s="1366">
        <v>195373</v>
      </c>
      <c r="N24" s="1366">
        <v>147129</v>
      </c>
      <c r="O24" s="1366">
        <v>147906</v>
      </c>
      <c r="P24" s="1564">
        <v>128470</v>
      </c>
      <c r="Q24" s="1564">
        <v>114049</v>
      </c>
      <c r="R24" s="1564">
        <v>123594</v>
      </c>
    </row>
    <row r="25" spans="1:18">
      <c r="A25" s="1346">
        <v>442100</v>
      </c>
      <c r="B25" s="18" t="s">
        <v>2022</v>
      </c>
      <c r="D25" s="18" t="s">
        <v>2217</v>
      </c>
      <c r="E25" s="18" t="s">
        <v>2218</v>
      </c>
      <c r="F25" s="1347">
        <f t="shared" si="0"/>
        <v>-2693741</v>
      </c>
      <c r="G25" s="1366">
        <v>-264953</v>
      </c>
      <c r="H25" s="1366">
        <v>364774</v>
      </c>
      <c r="I25" s="1366">
        <v>437264</v>
      </c>
      <c r="J25" s="1366">
        <v>19723</v>
      </c>
      <c r="K25" s="1366">
        <v>-342786</v>
      </c>
      <c r="L25" s="1366">
        <v>-321478</v>
      </c>
      <c r="M25" s="1366">
        <v>-328374</v>
      </c>
      <c r="N25" s="1366">
        <v>-464687</v>
      </c>
      <c r="O25" s="1366">
        <v>-606716</v>
      </c>
      <c r="P25" s="1564">
        <v>-564061</v>
      </c>
      <c r="Q25" s="1564">
        <v>-453470</v>
      </c>
      <c r="R25" s="1564">
        <v>-168977</v>
      </c>
    </row>
    <row r="26" spans="1:18">
      <c r="A26" s="1346">
        <v>442100</v>
      </c>
      <c r="B26" s="18" t="s">
        <v>2022</v>
      </c>
      <c r="D26" s="18" t="s">
        <v>2219</v>
      </c>
      <c r="E26" s="18" t="s">
        <v>2220</v>
      </c>
      <c r="F26" s="1347">
        <f t="shared" si="0"/>
        <v>-839867</v>
      </c>
      <c r="G26" s="1366">
        <v>0</v>
      </c>
      <c r="H26" s="1366">
        <v>-21521</v>
      </c>
      <c r="I26" s="1366">
        <v>-41409</v>
      </c>
      <c r="J26" s="1366">
        <v>-102950</v>
      </c>
      <c r="K26" s="1366">
        <v>-7514</v>
      </c>
      <c r="L26" s="1366">
        <v>-23520</v>
      </c>
      <c r="M26" s="1366">
        <v>-59133</v>
      </c>
      <c r="N26" s="1366">
        <v>-60554</v>
      </c>
      <c r="O26" s="1366">
        <v>-33239</v>
      </c>
      <c r="P26" s="1564">
        <v>-271449</v>
      </c>
      <c r="Q26" s="1564">
        <v>-123770</v>
      </c>
      <c r="R26" s="1564">
        <v>-94808</v>
      </c>
    </row>
    <row r="27" spans="1:18">
      <c r="A27" s="1346">
        <v>442190</v>
      </c>
      <c r="B27" s="18" t="s">
        <v>2023</v>
      </c>
      <c r="D27" s="18" t="s">
        <v>2221</v>
      </c>
      <c r="E27" s="18" t="s">
        <v>2222</v>
      </c>
      <c r="F27" s="1347">
        <f t="shared" si="0"/>
        <v>-179600</v>
      </c>
      <c r="G27" s="1366">
        <v>-433197</v>
      </c>
      <c r="H27" s="1366">
        <v>874003</v>
      </c>
      <c r="I27" s="1366">
        <v>599173</v>
      </c>
      <c r="J27" s="1366">
        <v>5613</v>
      </c>
      <c r="K27" s="1366">
        <v>-192897</v>
      </c>
      <c r="L27" s="1366">
        <v>-425194</v>
      </c>
      <c r="M27" s="1366">
        <v>357223</v>
      </c>
      <c r="N27" s="1366">
        <v>-261365</v>
      </c>
      <c r="O27" s="1366">
        <v>-515542</v>
      </c>
      <c r="P27" s="1564">
        <v>-638601</v>
      </c>
      <c r="Q27" s="1564">
        <v>129963</v>
      </c>
      <c r="R27" s="1564">
        <v>321221</v>
      </c>
    </row>
    <row r="28" spans="1:18">
      <c r="A28" s="1346">
        <v>442200</v>
      </c>
      <c r="B28" s="18" t="s">
        <v>2024</v>
      </c>
      <c r="D28" s="18" t="s">
        <v>2211</v>
      </c>
      <c r="E28" s="45" t="s">
        <v>2424</v>
      </c>
      <c r="F28" s="1347">
        <f t="shared" si="0"/>
        <v>7620059</v>
      </c>
      <c r="G28" s="1366">
        <f>635670-1</f>
        <v>635669</v>
      </c>
      <c r="H28" s="1366">
        <v>641535</v>
      </c>
      <c r="I28" s="1366">
        <f>671842</f>
        <v>671842</v>
      </c>
      <c r="J28" s="1366">
        <v>678379</v>
      </c>
      <c r="K28" s="1366">
        <v>670297</v>
      </c>
      <c r="L28" s="1366">
        <v>634455</v>
      </c>
      <c r="M28" s="1366">
        <v>609745</v>
      </c>
      <c r="N28" s="1366">
        <v>613529</v>
      </c>
      <c r="O28" s="1366">
        <v>591126</v>
      </c>
      <c r="P28" s="1564">
        <v>608129</v>
      </c>
      <c r="Q28" s="1564">
        <v>634010</v>
      </c>
      <c r="R28" s="1564">
        <v>631343</v>
      </c>
    </row>
    <row r="29" spans="1:18">
      <c r="A29" s="1346">
        <v>442200</v>
      </c>
      <c r="B29" s="18" t="s">
        <v>2024</v>
      </c>
      <c r="D29" s="18" t="s">
        <v>2213</v>
      </c>
      <c r="E29" s="18" t="s">
        <v>2214</v>
      </c>
      <c r="F29" s="1347">
        <f t="shared" si="0"/>
        <v>21077500</v>
      </c>
      <c r="G29" s="1366">
        <v>1780148</v>
      </c>
      <c r="H29" s="1366">
        <v>1775745</v>
      </c>
      <c r="I29" s="1366">
        <v>1781667</v>
      </c>
      <c r="J29" s="1366">
        <v>1812331</v>
      </c>
      <c r="K29" s="1366">
        <v>1801698</v>
      </c>
      <c r="L29" s="1366">
        <v>1721882</v>
      </c>
      <c r="M29" s="1366">
        <v>1722552</v>
      </c>
      <c r="N29" s="1366">
        <v>1713875</v>
      </c>
      <c r="O29" s="1366">
        <v>1711403</v>
      </c>
      <c r="P29" s="1564">
        <v>1737923</v>
      </c>
      <c r="Q29" s="1564">
        <v>1760065</v>
      </c>
      <c r="R29" s="1564">
        <v>1758211</v>
      </c>
    </row>
    <row r="30" spans="1:18">
      <c r="A30" s="1346">
        <v>442200</v>
      </c>
      <c r="B30" s="18" t="s">
        <v>2024</v>
      </c>
      <c r="D30" s="18" t="s">
        <v>2211</v>
      </c>
      <c r="E30" s="18" t="s">
        <v>2425</v>
      </c>
      <c r="F30" s="1347">
        <f t="shared" si="0"/>
        <v>23433807</v>
      </c>
      <c r="G30" s="1366">
        <v>1954862</v>
      </c>
      <c r="H30" s="1366">
        <v>1972898</v>
      </c>
      <c r="I30" s="1366">
        <v>2066101</v>
      </c>
      <c r="J30" s="1366">
        <v>2086205</v>
      </c>
      <c r="K30" s="1366">
        <v>2061349</v>
      </c>
      <c r="L30" s="1366">
        <v>1951127</v>
      </c>
      <c r="M30" s="1366">
        <v>1875137</v>
      </c>
      <c r="N30" s="1366">
        <v>1886773</v>
      </c>
      <c r="O30" s="1366">
        <v>1817877</v>
      </c>
      <c r="P30" s="1564">
        <v>1870165</v>
      </c>
      <c r="Q30" s="1564">
        <v>1949758</v>
      </c>
      <c r="R30" s="1564">
        <v>1941555</v>
      </c>
    </row>
    <row r="31" spans="1:18">
      <c r="A31" s="1346">
        <v>442200</v>
      </c>
      <c r="B31" s="18" t="s">
        <v>2024</v>
      </c>
      <c r="D31" s="18" t="s">
        <v>2211</v>
      </c>
      <c r="E31" s="18" t="s">
        <v>2426</v>
      </c>
      <c r="F31" s="1347">
        <f t="shared" si="0"/>
        <v>2071352</v>
      </c>
      <c r="G31" s="1366">
        <v>172794</v>
      </c>
      <c r="H31" s="1366">
        <v>174388</v>
      </c>
      <c r="I31" s="1366">
        <v>182626</v>
      </c>
      <c r="J31" s="1366">
        <v>184403</v>
      </c>
      <c r="K31" s="1366">
        <v>182206</v>
      </c>
      <c r="L31" s="1366">
        <v>172463</v>
      </c>
      <c r="M31" s="1366">
        <v>165746</v>
      </c>
      <c r="N31" s="1366">
        <v>166775</v>
      </c>
      <c r="O31" s="1366">
        <v>160685</v>
      </c>
      <c r="P31" s="1564">
        <v>165307</v>
      </c>
      <c r="Q31" s="1564">
        <v>172342</v>
      </c>
      <c r="R31" s="1564">
        <v>171617</v>
      </c>
    </row>
    <row r="32" spans="1:18">
      <c r="A32" s="1346">
        <v>442200</v>
      </c>
      <c r="B32" s="18" t="s">
        <v>2024</v>
      </c>
      <c r="D32" s="18" t="s">
        <v>2215</v>
      </c>
      <c r="E32" s="18" t="s">
        <v>2216</v>
      </c>
      <c r="F32" s="1347">
        <f t="shared" si="0"/>
        <v>1126651</v>
      </c>
      <c r="G32" s="1366">
        <v>96796</v>
      </c>
      <c r="H32" s="1366">
        <v>103454</v>
      </c>
      <c r="I32" s="1366">
        <v>103799</v>
      </c>
      <c r="J32" s="1366">
        <v>112624</v>
      </c>
      <c r="K32" s="1366">
        <v>111963</v>
      </c>
      <c r="L32" s="1366">
        <v>107003</v>
      </c>
      <c r="M32" s="1366">
        <v>113735</v>
      </c>
      <c r="N32" s="1366">
        <v>86536</v>
      </c>
      <c r="O32" s="1366">
        <v>79764</v>
      </c>
      <c r="P32" s="1564">
        <v>67500</v>
      </c>
      <c r="Q32" s="1564">
        <v>68360</v>
      </c>
      <c r="R32" s="1564">
        <v>75117</v>
      </c>
    </row>
    <row r="33" spans="1:18">
      <c r="A33" s="1346">
        <v>442200</v>
      </c>
      <c r="B33" s="18" t="s">
        <v>2024</v>
      </c>
      <c r="D33" s="18" t="s">
        <v>2217</v>
      </c>
      <c r="E33" s="18" t="s">
        <v>2218</v>
      </c>
      <c r="F33" s="1347">
        <f t="shared" si="0"/>
        <v>-1485551</v>
      </c>
      <c r="G33" s="1366">
        <v>-156531</v>
      </c>
      <c r="H33" s="1366">
        <v>224096</v>
      </c>
      <c r="I33" s="1366">
        <v>240105</v>
      </c>
      <c r="J33" s="1366">
        <v>10087</v>
      </c>
      <c r="K33" s="1366">
        <v>-177909</v>
      </c>
      <c r="L33" s="1366">
        <v>-162860</v>
      </c>
      <c r="M33" s="1366">
        <v>-191161</v>
      </c>
      <c r="N33" s="1366">
        <v>-273312</v>
      </c>
      <c r="O33" s="1366">
        <v>-327195</v>
      </c>
      <c r="P33" s="1564">
        <v>-296366</v>
      </c>
      <c r="Q33" s="1564">
        <v>-271806</v>
      </c>
      <c r="R33" s="1564">
        <v>-102699</v>
      </c>
    </row>
    <row r="34" spans="1:18">
      <c r="A34" s="1346">
        <v>442200</v>
      </c>
      <c r="B34" s="18" t="s">
        <v>2024</v>
      </c>
      <c r="D34" s="18" t="s">
        <v>2219</v>
      </c>
      <c r="E34" s="18" t="s">
        <v>2220</v>
      </c>
      <c r="F34" s="1347">
        <f t="shared" si="0"/>
        <v>-466825</v>
      </c>
      <c r="G34" s="1366">
        <v>0</v>
      </c>
      <c r="H34" s="1366">
        <v>-13222</v>
      </c>
      <c r="I34" s="1366">
        <v>-22738</v>
      </c>
      <c r="J34" s="1366">
        <v>-52654</v>
      </c>
      <c r="K34" s="1366">
        <v>-3900</v>
      </c>
      <c r="L34" s="1366">
        <v>-11915</v>
      </c>
      <c r="M34" s="1366">
        <v>-34424</v>
      </c>
      <c r="N34" s="1366">
        <v>-35615</v>
      </c>
      <c r="O34" s="1366">
        <v>-17925</v>
      </c>
      <c r="P34" s="1564">
        <v>-142623</v>
      </c>
      <c r="Q34" s="1564">
        <v>-74187</v>
      </c>
      <c r="R34" s="1564">
        <v>-57622</v>
      </c>
    </row>
    <row r="35" spans="1:18">
      <c r="A35" s="1346">
        <v>442290</v>
      </c>
      <c r="B35" s="18" t="s">
        <v>2025</v>
      </c>
      <c r="D35" s="18" t="s">
        <v>2221</v>
      </c>
      <c r="E35" s="18" t="s">
        <v>2222</v>
      </c>
      <c r="F35" s="1347">
        <f t="shared" si="0"/>
        <v>-56465</v>
      </c>
      <c r="G35" s="1366">
        <v>45430</v>
      </c>
      <c r="H35" s="1366">
        <v>448945</v>
      </c>
      <c r="I35" s="1366">
        <v>218822</v>
      </c>
      <c r="J35" s="1366">
        <v>-433087</v>
      </c>
      <c r="K35" s="1366">
        <v>-305179</v>
      </c>
      <c r="L35" s="1366">
        <v>-42039</v>
      </c>
      <c r="M35" s="1366">
        <v>-121766</v>
      </c>
      <c r="N35" s="1366">
        <v>-69322</v>
      </c>
      <c r="O35" s="1366">
        <v>-55052</v>
      </c>
      <c r="P35" s="1564">
        <v>55959</v>
      </c>
      <c r="Q35" s="1564">
        <v>102788</v>
      </c>
      <c r="R35" s="1564">
        <v>98036</v>
      </c>
    </row>
    <row r="36" spans="1:18">
      <c r="A36" s="1346">
        <v>444000</v>
      </c>
      <c r="B36" s="18" t="s">
        <v>2026</v>
      </c>
      <c r="D36" s="18" t="s">
        <v>2211</v>
      </c>
      <c r="E36" s="18" t="s">
        <v>2424</v>
      </c>
      <c r="F36" s="1347">
        <f t="shared" si="0"/>
        <v>706722</v>
      </c>
      <c r="G36" s="1366">
        <f>58337-1</f>
        <v>58336</v>
      </c>
      <c r="H36" s="1366">
        <v>60171</v>
      </c>
      <c r="I36" s="1366">
        <f>57747</f>
        <v>57747</v>
      </c>
      <c r="J36" s="1366">
        <v>59135</v>
      </c>
      <c r="K36" s="1366">
        <v>58792</v>
      </c>
      <c r="L36" s="1366">
        <v>58459</v>
      </c>
      <c r="M36" s="1366">
        <v>58300</v>
      </c>
      <c r="N36" s="1366">
        <v>59221</v>
      </c>
      <c r="O36" s="1366">
        <v>57470</v>
      </c>
      <c r="P36" s="1564">
        <v>60152</v>
      </c>
      <c r="Q36" s="1564">
        <v>60479</v>
      </c>
      <c r="R36" s="1564">
        <v>58460</v>
      </c>
    </row>
    <row r="37" spans="1:18">
      <c r="A37" s="1346">
        <v>444000</v>
      </c>
      <c r="B37" s="18" t="s">
        <v>2026</v>
      </c>
      <c r="D37" s="18" t="s">
        <v>2213</v>
      </c>
      <c r="E37" s="18" t="s">
        <v>2214</v>
      </c>
      <c r="F37" s="1347">
        <f t="shared" si="0"/>
        <v>396633</v>
      </c>
      <c r="G37" s="1366">
        <v>32699</v>
      </c>
      <c r="H37" s="1366">
        <v>32647</v>
      </c>
      <c r="I37" s="1366">
        <v>32596</v>
      </c>
      <c r="J37" s="1366">
        <v>32647</v>
      </c>
      <c r="K37" s="1366">
        <v>32621</v>
      </c>
      <c r="L37" s="1366">
        <v>32647</v>
      </c>
      <c r="M37" s="1366">
        <v>32673</v>
      </c>
      <c r="N37" s="1366">
        <v>33729</v>
      </c>
      <c r="O37" s="1366">
        <v>32802</v>
      </c>
      <c r="P37" s="1564">
        <v>34707</v>
      </c>
      <c r="Q37" s="1564">
        <v>33986</v>
      </c>
      <c r="R37" s="1564">
        <v>32879</v>
      </c>
    </row>
    <row r="38" spans="1:18">
      <c r="A38" s="1346">
        <v>444000</v>
      </c>
      <c r="B38" s="18" t="s">
        <v>2026</v>
      </c>
      <c r="D38" s="18" t="s">
        <v>2211</v>
      </c>
      <c r="E38" s="18" t="s">
        <v>2425</v>
      </c>
      <c r="F38" s="1347">
        <f t="shared" si="0"/>
        <v>530080</v>
      </c>
      <c r="G38" s="1366">
        <v>43756</v>
      </c>
      <c r="H38" s="1366">
        <v>45131</v>
      </c>
      <c r="I38" s="1366">
        <v>43313</v>
      </c>
      <c r="J38" s="1366">
        <v>44355</v>
      </c>
      <c r="K38" s="1366">
        <v>44097</v>
      </c>
      <c r="L38" s="1366">
        <v>43848</v>
      </c>
      <c r="M38" s="1366">
        <v>43728</v>
      </c>
      <c r="N38" s="1366">
        <v>44419</v>
      </c>
      <c r="O38" s="1366">
        <v>43106</v>
      </c>
      <c r="P38" s="1564">
        <v>45117</v>
      </c>
      <c r="Q38" s="1564">
        <v>45362</v>
      </c>
      <c r="R38" s="1564">
        <v>43848</v>
      </c>
    </row>
    <row r="39" spans="1:18">
      <c r="A39" s="1346">
        <v>444000</v>
      </c>
      <c r="B39" s="18" t="s">
        <v>2026</v>
      </c>
      <c r="D39" s="18" t="s">
        <v>2211</v>
      </c>
      <c r="E39" s="18" t="s">
        <v>2426</v>
      </c>
      <c r="F39" s="1347">
        <f t="shared" si="0"/>
        <v>44225</v>
      </c>
      <c r="G39" s="1366">
        <v>3651</v>
      </c>
      <c r="H39" s="1366">
        <v>3765</v>
      </c>
      <c r="I39" s="1366">
        <v>3614</v>
      </c>
      <c r="J39" s="1366">
        <v>3701</v>
      </c>
      <c r="K39" s="1366">
        <v>3679</v>
      </c>
      <c r="L39" s="1366">
        <v>3658</v>
      </c>
      <c r="M39" s="1366">
        <v>3648</v>
      </c>
      <c r="N39" s="1366">
        <v>3706</v>
      </c>
      <c r="O39" s="1366">
        <v>3596</v>
      </c>
      <c r="P39" s="1564">
        <v>3764</v>
      </c>
      <c r="Q39" s="1564">
        <v>3785</v>
      </c>
      <c r="R39" s="1564">
        <v>3658</v>
      </c>
    </row>
    <row r="40" spans="1:18">
      <c r="A40" s="1346">
        <v>444000</v>
      </c>
      <c r="B40" s="18" t="s">
        <v>2026</v>
      </c>
      <c r="D40" s="18" t="s">
        <v>2215</v>
      </c>
      <c r="E40" s="18" t="s">
        <v>2216</v>
      </c>
      <c r="F40" s="1347">
        <f t="shared" si="0"/>
        <v>0</v>
      </c>
      <c r="G40" s="1366">
        <v>0</v>
      </c>
      <c r="H40" s="1366">
        <v>0</v>
      </c>
      <c r="I40" s="1366">
        <v>0</v>
      </c>
      <c r="J40" s="1366">
        <v>0</v>
      </c>
      <c r="K40" s="1366">
        <v>0</v>
      </c>
      <c r="L40" s="1366">
        <v>0</v>
      </c>
      <c r="M40" s="1366">
        <v>0</v>
      </c>
      <c r="N40" s="1366">
        <v>0</v>
      </c>
      <c r="O40" s="1366">
        <v>0</v>
      </c>
      <c r="P40" s="1564">
        <v>0</v>
      </c>
      <c r="Q40" s="1564">
        <v>0</v>
      </c>
      <c r="R40" s="1564">
        <v>0</v>
      </c>
    </row>
    <row r="41" spans="1:18">
      <c r="A41" s="1346">
        <v>444000</v>
      </c>
      <c r="B41" s="18" t="s">
        <v>2026</v>
      </c>
      <c r="D41" s="18" t="s">
        <v>2217</v>
      </c>
      <c r="E41" s="18" t="s">
        <v>2218</v>
      </c>
      <c r="F41" s="1347">
        <f t="shared" si="0"/>
        <v>-28852</v>
      </c>
      <c r="G41" s="1366">
        <v>-2875</v>
      </c>
      <c r="H41" s="1366">
        <v>4120</v>
      </c>
      <c r="I41" s="1366">
        <v>4393</v>
      </c>
      <c r="J41" s="1366">
        <v>182</v>
      </c>
      <c r="K41" s="1366">
        <v>-3221</v>
      </c>
      <c r="L41" s="1366">
        <v>-3088</v>
      </c>
      <c r="M41" s="1366">
        <v>-3626</v>
      </c>
      <c r="N41" s="1366">
        <v>-5379</v>
      </c>
      <c r="O41" s="1366">
        <v>-6271</v>
      </c>
      <c r="P41" s="1564">
        <v>-5919</v>
      </c>
      <c r="Q41" s="1564">
        <v>-5248</v>
      </c>
      <c r="R41" s="1564">
        <v>-1920</v>
      </c>
    </row>
    <row r="42" spans="1:18">
      <c r="A42" s="1346">
        <v>444000</v>
      </c>
      <c r="B42" s="18" t="s">
        <v>2026</v>
      </c>
      <c r="D42" s="18" t="s">
        <v>2219</v>
      </c>
      <c r="E42" s="18" t="s">
        <v>2220</v>
      </c>
      <c r="F42" s="1347">
        <f t="shared" si="0"/>
        <v>-8961</v>
      </c>
      <c r="G42" s="1366">
        <v>0</v>
      </c>
      <c r="H42" s="1366">
        <v>-243</v>
      </c>
      <c r="I42" s="1366">
        <v>-416</v>
      </c>
      <c r="J42" s="1366">
        <v>-948</v>
      </c>
      <c r="K42" s="1366">
        <v>-71</v>
      </c>
      <c r="L42" s="1366">
        <v>-226</v>
      </c>
      <c r="M42" s="1366">
        <v>-653</v>
      </c>
      <c r="N42" s="1366">
        <v>-701</v>
      </c>
      <c r="O42" s="1366">
        <v>-344</v>
      </c>
      <c r="P42" s="1564">
        <v>-2848</v>
      </c>
      <c r="Q42" s="1564">
        <v>-1433</v>
      </c>
      <c r="R42" s="1564">
        <v>-1078</v>
      </c>
    </row>
    <row r="43" spans="1:18">
      <c r="A43" s="1346">
        <v>445000</v>
      </c>
      <c r="B43" s="18" t="s">
        <v>2027</v>
      </c>
      <c r="D43" s="18" t="s">
        <v>2211</v>
      </c>
      <c r="E43" s="18" t="s">
        <v>2424</v>
      </c>
      <c r="F43" s="1347">
        <f t="shared" si="0"/>
        <v>3128747</v>
      </c>
      <c r="G43" s="1366">
        <f>240801-1</f>
        <v>240800</v>
      </c>
      <c r="H43" s="1366">
        <v>245360</v>
      </c>
      <c r="I43" s="1366">
        <v>268157</v>
      </c>
      <c r="J43" s="1366">
        <v>272599</v>
      </c>
      <c r="K43" s="1366">
        <v>277753</v>
      </c>
      <c r="L43" s="1366">
        <v>286816</v>
      </c>
      <c r="M43" s="1366">
        <v>259676</v>
      </c>
      <c r="N43" s="1366">
        <v>251060</v>
      </c>
      <c r="O43" s="1366">
        <v>250981</v>
      </c>
      <c r="P43" s="1564">
        <v>251516</v>
      </c>
      <c r="Q43" s="1564">
        <v>259187</v>
      </c>
      <c r="R43" s="1564">
        <v>264842</v>
      </c>
    </row>
    <row r="44" spans="1:18">
      <c r="A44" s="1346">
        <v>445000</v>
      </c>
      <c r="B44" s="18" t="s">
        <v>2027</v>
      </c>
      <c r="D44" s="18" t="s">
        <v>2213</v>
      </c>
      <c r="E44" s="18" t="s">
        <v>2214</v>
      </c>
      <c r="F44" s="1347">
        <f t="shared" si="0"/>
        <v>7023293</v>
      </c>
      <c r="G44" s="1366">
        <v>536748</v>
      </c>
      <c r="H44" s="1366">
        <v>544884</v>
      </c>
      <c r="I44" s="1366">
        <v>586671</v>
      </c>
      <c r="J44" s="1366">
        <v>604668</v>
      </c>
      <c r="K44" s="1366">
        <v>622820</v>
      </c>
      <c r="L44" s="1366">
        <v>662187</v>
      </c>
      <c r="M44" s="1366">
        <v>583479</v>
      </c>
      <c r="N44" s="1366">
        <v>547690</v>
      </c>
      <c r="O44" s="1366">
        <v>578381</v>
      </c>
      <c r="P44" s="1564">
        <v>584225</v>
      </c>
      <c r="Q44" s="1564">
        <v>592825</v>
      </c>
      <c r="R44" s="1564">
        <v>578715</v>
      </c>
    </row>
    <row r="45" spans="1:18">
      <c r="A45" s="1346">
        <v>445000</v>
      </c>
      <c r="B45" s="18" t="s">
        <v>2027</v>
      </c>
      <c r="D45" s="18" t="s">
        <v>2211</v>
      </c>
      <c r="E45" s="18" t="s">
        <v>2425</v>
      </c>
      <c r="F45" s="1347">
        <f t="shared" si="0"/>
        <v>8946225</v>
      </c>
      <c r="G45" s="1366">
        <v>688537</v>
      </c>
      <c r="H45" s="1366">
        <v>701574</v>
      </c>
      <c r="I45" s="1366">
        <v>766757</v>
      </c>
      <c r="J45" s="1366">
        <v>779458</v>
      </c>
      <c r="K45" s="1366">
        <v>794195</v>
      </c>
      <c r="L45" s="1366">
        <v>820112</v>
      </c>
      <c r="M45" s="1366">
        <v>742507</v>
      </c>
      <c r="N45" s="1366">
        <v>717871</v>
      </c>
      <c r="O45" s="1366">
        <v>717646</v>
      </c>
      <c r="P45" s="1564">
        <v>719177</v>
      </c>
      <c r="Q45" s="1564">
        <v>741110</v>
      </c>
      <c r="R45" s="1564">
        <v>757281</v>
      </c>
    </row>
    <row r="46" spans="1:18">
      <c r="A46" s="1346">
        <v>445000</v>
      </c>
      <c r="B46" s="18" t="s">
        <v>2027</v>
      </c>
      <c r="D46" s="18" t="s">
        <v>2211</v>
      </c>
      <c r="E46" s="18" t="s">
        <v>2426</v>
      </c>
      <c r="F46" s="1347">
        <f t="shared" si="0"/>
        <v>803445</v>
      </c>
      <c r="G46" s="1366">
        <v>61836</v>
      </c>
      <c r="H46" s="1366">
        <v>63007</v>
      </c>
      <c r="I46" s="1366">
        <v>68861</v>
      </c>
      <c r="J46" s="1366">
        <v>70002</v>
      </c>
      <c r="K46" s="1366">
        <v>71325</v>
      </c>
      <c r="L46" s="1366">
        <v>73653</v>
      </c>
      <c r="M46" s="1366">
        <v>66683</v>
      </c>
      <c r="N46" s="1366">
        <v>64471</v>
      </c>
      <c r="O46" s="1366">
        <v>64451</v>
      </c>
      <c r="P46" s="1564">
        <v>64588</v>
      </c>
      <c r="Q46" s="1564">
        <v>66558</v>
      </c>
      <c r="R46" s="1564">
        <v>68010</v>
      </c>
    </row>
    <row r="47" spans="1:18">
      <c r="A47" s="1346">
        <v>445000</v>
      </c>
      <c r="B47" s="18" t="s">
        <v>2027</v>
      </c>
      <c r="D47" s="18" t="s">
        <v>2215</v>
      </c>
      <c r="E47" s="18" t="s">
        <v>2216</v>
      </c>
      <c r="F47" s="1347">
        <f t="shared" si="0"/>
        <v>376117</v>
      </c>
      <c r="G47" s="1366">
        <v>29186</v>
      </c>
      <c r="H47" s="1366">
        <v>31745</v>
      </c>
      <c r="I47" s="1366">
        <v>34179</v>
      </c>
      <c r="J47" s="1366">
        <v>37576</v>
      </c>
      <c r="K47" s="1366">
        <v>38704</v>
      </c>
      <c r="L47" s="1366">
        <v>41150</v>
      </c>
      <c r="M47" s="1366">
        <v>38525</v>
      </c>
      <c r="N47" s="1366">
        <v>27654</v>
      </c>
      <c r="O47" s="1366">
        <v>26957</v>
      </c>
      <c r="P47" s="1564">
        <v>22691</v>
      </c>
      <c r="Q47" s="1564">
        <v>23025</v>
      </c>
      <c r="R47" s="1564">
        <v>24725</v>
      </c>
    </row>
    <row r="48" spans="1:18">
      <c r="A48" s="1346">
        <v>445000</v>
      </c>
      <c r="B48" s="18" t="s">
        <v>2027</v>
      </c>
      <c r="D48" s="18" t="s">
        <v>2217</v>
      </c>
      <c r="E48" s="18" t="s">
        <v>2218</v>
      </c>
      <c r="F48" s="1347">
        <f t="shared" si="0"/>
        <v>-507788</v>
      </c>
      <c r="G48" s="1366">
        <v>-47197</v>
      </c>
      <c r="H48" s="1366">
        <v>68763</v>
      </c>
      <c r="I48" s="1366">
        <v>79062</v>
      </c>
      <c r="J48" s="1366">
        <v>3365</v>
      </c>
      <c r="K48" s="1366">
        <v>-61500</v>
      </c>
      <c r="L48" s="1366">
        <v>-62631</v>
      </c>
      <c r="M48" s="1366">
        <v>-64752</v>
      </c>
      <c r="N48" s="1366">
        <v>-87340</v>
      </c>
      <c r="O48" s="1366">
        <v>-110578</v>
      </c>
      <c r="P48" s="1564">
        <v>-99627</v>
      </c>
      <c r="Q48" s="1564">
        <v>-91550</v>
      </c>
      <c r="R48" s="1564">
        <v>-33803</v>
      </c>
    </row>
    <row r="49" spans="1:18">
      <c r="A49" s="1346">
        <v>445000</v>
      </c>
      <c r="B49" s="18" t="s">
        <v>2027</v>
      </c>
      <c r="D49" s="18" t="s">
        <v>2219</v>
      </c>
      <c r="E49" s="18" t="s">
        <v>2220</v>
      </c>
      <c r="F49" s="1347">
        <f t="shared" si="0"/>
        <v>-156039</v>
      </c>
      <c r="G49" s="1366">
        <v>0</v>
      </c>
      <c r="H49" s="1366">
        <v>-4057</v>
      </c>
      <c r="I49" s="1366">
        <v>-7487</v>
      </c>
      <c r="J49" s="1366">
        <v>-17567</v>
      </c>
      <c r="K49" s="1366">
        <v>-1348</v>
      </c>
      <c r="L49" s="1366">
        <v>-4582</v>
      </c>
      <c r="M49" s="1366">
        <v>-11660</v>
      </c>
      <c r="N49" s="1366">
        <v>-11381</v>
      </c>
      <c r="O49" s="1366">
        <v>-6058</v>
      </c>
      <c r="P49" s="1564">
        <v>-47945</v>
      </c>
      <c r="Q49" s="1564">
        <v>-24988</v>
      </c>
      <c r="R49" s="1564">
        <v>-18966</v>
      </c>
    </row>
    <row r="50" spans="1:18">
      <c r="A50" s="1346">
        <v>445090</v>
      </c>
      <c r="B50" s="18" t="s">
        <v>2028</v>
      </c>
      <c r="D50" s="18" t="s">
        <v>2221</v>
      </c>
      <c r="E50" s="18" t="s">
        <v>2222</v>
      </c>
      <c r="F50" s="1347">
        <f t="shared" si="0"/>
        <v>324761</v>
      </c>
      <c r="G50" s="1366">
        <v>-15962</v>
      </c>
      <c r="H50" s="1366">
        <v>248175</v>
      </c>
      <c r="I50" s="1366">
        <v>161545</v>
      </c>
      <c r="J50" s="1366">
        <v>1733</v>
      </c>
      <c r="K50" s="1366">
        <v>26614</v>
      </c>
      <c r="L50" s="1366">
        <v>-103873</v>
      </c>
      <c r="M50" s="1366">
        <v>88882</v>
      </c>
      <c r="N50" s="1366">
        <v>-19247</v>
      </c>
      <c r="O50" s="1366">
        <v>-135902</v>
      </c>
      <c r="P50" s="1564">
        <v>-4048</v>
      </c>
      <c r="Q50" s="1564">
        <v>-25637</v>
      </c>
      <c r="R50" s="1564">
        <v>102481</v>
      </c>
    </row>
    <row r="51" spans="1:18">
      <c r="A51" s="1346">
        <v>447150</v>
      </c>
      <c r="B51" s="18" t="s">
        <v>2029</v>
      </c>
      <c r="D51" s="18" t="s">
        <v>2223</v>
      </c>
      <c r="E51" s="18" t="s">
        <v>2223</v>
      </c>
      <c r="F51" s="1347">
        <f t="shared" si="0"/>
        <v>0</v>
      </c>
      <c r="G51" s="1366">
        <v>0</v>
      </c>
      <c r="H51" s="1366">
        <v>0</v>
      </c>
      <c r="I51" s="1366">
        <v>0</v>
      </c>
      <c r="J51" s="1366">
        <v>0</v>
      </c>
      <c r="K51" s="1366">
        <v>0</v>
      </c>
      <c r="L51" s="1366">
        <v>0</v>
      </c>
      <c r="M51" s="1366">
        <v>0</v>
      </c>
      <c r="N51" s="1366">
        <v>0</v>
      </c>
      <c r="O51" s="1366">
        <v>0</v>
      </c>
      <c r="P51" s="1564">
        <v>0</v>
      </c>
      <c r="Q51" s="1564">
        <v>0</v>
      </c>
      <c r="R51" s="1564">
        <v>0</v>
      </c>
    </row>
    <row r="52" spans="1:18">
      <c r="A52" s="1346">
        <v>447150</v>
      </c>
      <c r="B52" s="18" t="s">
        <v>2029</v>
      </c>
      <c r="D52" s="18" t="s">
        <v>2224</v>
      </c>
      <c r="E52" s="18" t="s">
        <v>2225</v>
      </c>
      <c r="F52" s="1347">
        <f t="shared" si="0"/>
        <v>0</v>
      </c>
      <c r="G52" s="1366">
        <v>0</v>
      </c>
      <c r="H52" s="1366">
        <v>0</v>
      </c>
      <c r="I52" s="1366">
        <v>0</v>
      </c>
      <c r="J52" s="1366">
        <v>0</v>
      </c>
      <c r="K52" s="1366">
        <v>0</v>
      </c>
      <c r="L52" s="1366">
        <v>0</v>
      </c>
      <c r="M52" s="1366">
        <v>0</v>
      </c>
      <c r="N52" s="1366">
        <v>0</v>
      </c>
      <c r="O52" s="1366">
        <v>0</v>
      </c>
      <c r="P52" s="1564">
        <v>0</v>
      </c>
      <c r="Q52" s="1564">
        <v>0</v>
      </c>
      <c r="R52" s="1564">
        <v>0</v>
      </c>
    </row>
    <row r="53" spans="1:18">
      <c r="A53" s="1346">
        <v>447150</v>
      </c>
      <c r="B53" s="18" t="s">
        <v>2029</v>
      </c>
      <c r="D53" s="18" t="s">
        <v>2226</v>
      </c>
      <c r="E53" s="18" t="s">
        <v>2227</v>
      </c>
      <c r="F53" s="1347">
        <f t="shared" si="0"/>
        <v>0</v>
      </c>
      <c r="G53" s="1366">
        <v>0</v>
      </c>
      <c r="H53" s="1366">
        <v>0</v>
      </c>
      <c r="I53" s="1366">
        <v>0</v>
      </c>
      <c r="J53" s="1366">
        <v>0</v>
      </c>
      <c r="K53" s="1366">
        <v>0</v>
      </c>
      <c r="L53" s="1366">
        <v>0</v>
      </c>
      <c r="M53" s="1366">
        <v>0</v>
      </c>
      <c r="N53" s="1366">
        <v>0</v>
      </c>
      <c r="O53" s="1366">
        <v>0</v>
      </c>
      <c r="P53" s="1564">
        <v>0</v>
      </c>
      <c r="Q53" s="1564">
        <v>0</v>
      </c>
      <c r="R53" s="1564">
        <v>0</v>
      </c>
    </row>
    <row r="54" spans="1:18">
      <c r="A54" s="1346">
        <v>447150</v>
      </c>
      <c r="B54" s="18" t="s">
        <v>2029</v>
      </c>
      <c r="D54" s="18" t="s">
        <v>2228</v>
      </c>
      <c r="E54" s="18" t="s">
        <v>1388</v>
      </c>
      <c r="F54" s="1347">
        <f t="shared" si="0"/>
        <v>11959000</v>
      </c>
      <c r="G54" s="1366">
        <v>0</v>
      </c>
      <c r="H54" s="1366">
        <v>403000</v>
      </c>
      <c r="I54" s="1366">
        <v>536000</v>
      </c>
      <c r="J54" s="1366">
        <v>981000</v>
      </c>
      <c r="K54" s="1366">
        <v>345000</v>
      </c>
      <c r="L54" s="1366">
        <v>774000</v>
      </c>
      <c r="M54" s="1366">
        <v>1242000</v>
      </c>
      <c r="N54" s="1366">
        <v>683000</v>
      </c>
      <c r="O54" s="1366">
        <v>436000</v>
      </c>
      <c r="P54" s="1366">
        <v>3588000</v>
      </c>
      <c r="Q54" s="1366">
        <v>1603000</v>
      </c>
      <c r="R54" s="1366">
        <v>1368000</v>
      </c>
    </row>
    <row r="55" spans="1:18">
      <c r="A55" s="1346">
        <v>448000</v>
      </c>
      <c r="B55" s="18" t="s">
        <v>2031</v>
      </c>
      <c r="D55" s="18" t="s">
        <v>529</v>
      </c>
      <c r="E55" s="18" t="s">
        <v>2229</v>
      </c>
      <c r="F55" s="1347">
        <f t="shared" si="0"/>
        <v>51773</v>
      </c>
      <c r="G55" s="1366">
        <v>2069</v>
      </c>
      <c r="H55" s="1366">
        <v>1584</v>
      </c>
      <c r="I55" s="1366">
        <v>3215</v>
      </c>
      <c r="J55" s="1366">
        <v>4348</v>
      </c>
      <c r="K55" s="1366">
        <v>3817</v>
      </c>
      <c r="L55" s="1366">
        <v>1726</v>
      </c>
      <c r="M55" s="1366">
        <v>1885</v>
      </c>
      <c r="N55" s="1366">
        <v>4090</v>
      </c>
      <c r="O55" s="1366">
        <v>6734</v>
      </c>
      <c r="P55" s="1366">
        <v>10198</v>
      </c>
      <c r="Q55" s="1366">
        <v>7277</v>
      </c>
      <c r="R55" s="1366">
        <v>4830</v>
      </c>
    </row>
    <row r="56" spans="1:18">
      <c r="A56" s="1346">
        <v>451100</v>
      </c>
      <c r="B56" s="18" t="s">
        <v>2033</v>
      </c>
      <c r="D56" s="18">
        <v>0</v>
      </c>
      <c r="E56" s="18" t="s">
        <v>2427</v>
      </c>
      <c r="F56" s="1347">
        <f t="shared" si="0"/>
        <v>297504</v>
      </c>
      <c r="G56" s="1366">
        <v>24792</v>
      </c>
      <c r="H56" s="1366">
        <v>24792</v>
      </c>
      <c r="I56" s="1366">
        <v>24792</v>
      </c>
      <c r="J56" s="1366">
        <v>24792</v>
      </c>
      <c r="K56" s="1366">
        <v>24792</v>
      </c>
      <c r="L56" s="1366">
        <v>24792</v>
      </c>
      <c r="M56" s="1366">
        <v>24792</v>
      </c>
      <c r="N56" s="1366">
        <v>24792</v>
      </c>
      <c r="O56" s="1366">
        <v>24792</v>
      </c>
      <c r="P56" s="1366">
        <v>24792</v>
      </c>
      <c r="Q56" s="1366">
        <v>24792</v>
      </c>
      <c r="R56" s="1366">
        <v>24792</v>
      </c>
    </row>
    <row r="57" spans="1:18">
      <c r="A57" s="1346">
        <v>453625</v>
      </c>
      <c r="B57" s="18" t="s">
        <v>2544</v>
      </c>
      <c r="E57" s="18" t="s">
        <v>2229</v>
      </c>
      <c r="F57" s="1347">
        <f t="shared" si="0"/>
        <v>0</v>
      </c>
      <c r="G57" s="1366"/>
      <c r="H57" s="1366"/>
      <c r="I57" s="1366"/>
      <c r="J57" s="1366"/>
      <c r="K57" s="1366"/>
      <c r="L57" s="1366"/>
      <c r="M57" s="1366"/>
      <c r="N57" s="1366"/>
      <c r="O57" s="1366"/>
      <c r="P57" s="1366"/>
      <c r="Q57" s="1366"/>
      <c r="R57" s="1366"/>
    </row>
    <row r="58" spans="1:18">
      <c r="A58" s="1346">
        <v>454200</v>
      </c>
      <c r="B58" s="18" t="s">
        <v>2034</v>
      </c>
      <c r="D58" s="18">
        <v>0</v>
      </c>
      <c r="E58" s="18" t="s">
        <v>2427</v>
      </c>
      <c r="F58" s="1347">
        <f t="shared" si="0"/>
        <v>170004</v>
      </c>
      <c r="G58" s="1366">
        <v>14167</v>
      </c>
      <c r="H58" s="1366">
        <v>14167</v>
      </c>
      <c r="I58" s="1366">
        <v>14167</v>
      </c>
      <c r="J58" s="1366">
        <v>14167</v>
      </c>
      <c r="K58" s="1366">
        <v>14167</v>
      </c>
      <c r="L58" s="1366">
        <v>14167</v>
      </c>
      <c r="M58" s="1366">
        <v>14167</v>
      </c>
      <c r="N58" s="1366">
        <v>14167</v>
      </c>
      <c r="O58" s="1366">
        <v>14167</v>
      </c>
      <c r="P58" s="1366">
        <v>14167</v>
      </c>
      <c r="Q58" s="1366">
        <v>14167</v>
      </c>
      <c r="R58" s="1366">
        <v>14167</v>
      </c>
    </row>
    <row r="59" spans="1:18">
      <c r="A59" s="1346">
        <v>454400</v>
      </c>
      <c r="B59" s="18" t="s">
        <v>2036</v>
      </c>
      <c r="D59" s="18">
        <v>0</v>
      </c>
      <c r="E59" s="18" t="s">
        <v>2427</v>
      </c>
      <c r="F59" s="1347">
        <f t="shared" si="0"/>
        <v>558000</v>
      </c>
      <c r="G59" s="1366">
        <v>46500</v>
      </c>
      <c r="H59" s="1366">
        <v>46500</v>
      </c>
      <c r="I59" s="1366">
        <v>46500</v>
      </c>
      <c r="J59" s="1366">
        <v>46500</v>
      </c>
      <c r="K59" s="1366">
        <v>46500</v>
      </c>
      <c r="L59" s="1366">
        <v>46500</v>
      </c>
      <c r="M59" s="1366">
        <v>46500</v>
      </c>
      <c r="N59" s="1366">
        <v>46500</v>
      </c>
      <c r="O59" s="1366">
        <v>46500</v>
      </c>
      <c r="P59" s="1366">
        <v>46500</v>
      </c>
      <c r="Q59" s="1366">
        <v>46500</v>
      </c>
      <c r="R59" s="1366">
        <v>46500</v>
      </c>
    </row>
    <row r="60" spans="1:18">
      <c r="A60" s="1346">
        <v>454400</v>
      </c>
      <c r="B60" s="18" t="s">
        <v>2036</v>
      </c>
      <c r="D60" s="18" t="s">
        <v>2428</v>
      </c>
      <c r="E60" s="18" t="s">
        <v>2428</v>
      </c>
      <c r="F60" s="1347">
        <f t="shared" si="0"/>
        <v>500004</v>
      </c>
      <c r="G60" s="1366">
        <v>41667</v>
      </c>
      <c r="H60" s="1366">
        <v>41667</v>
      </c>
      <c r="I60" s="1366">
        <v>41667</v>
      </c>
      <c r="J60" s="1366">
        <v>41667</v>
      </c>
      <c r="K60" s="1366">
        <v>41667</v>
      </c>
      <c r="L60" s="1366">
        <v>41667</v>
      </c>
      <c r="M60" s="1366">
        <v>41667</v>
      </c>
      <c r="N60" s="1366">
        <v>41667</v>
      </c>
      <c r="O60" s="1366">
        <v>41667</v>
      </c>
      <c r="P60" s="1366">
        <v>41667</v>
      </c>
      <c r="Q60" s="1366">
        <v>41667</v>
      </c>
      <c r="R60" s="1366">
        <v>41667</v>
      </c>
    </row>
    <row r="61" spans="1:18">
      <c r="A61" s="1346">
        <v>456110</v>
      </c>
      <c r="B61" s="18" t="s">
        <v>2039</v>
      </c>
      <c r="D61" s="18">
        <v>0</v>
      </c>
      <c r="E61" s="18" t="s">
        <v>2427</v>
      </c>
      <c r="F61" s="1347">
        <f t="shared" si="0"/>
        <v>144996</v>
      </c>
      <c r="G61" s="1366">
        <v>12083</v>
      </c>
      <c r="H61" s="1366">
        <v>12083</v>
      </c>
      <c r="I61" s="1366">
        <v>12083</v>
      </c>
      <c r="J61" s="1366">
        <v>12083</v>
      </c>
      <c r="K61" s="1366">
        <v>12083</v>
      </c>
      <c r="L61" s="1366">
        <v>12083</v>
      </c>
      <c r="M61" s="1366">
        <v>12083</v>
      </c>
      <c r="N61" s="1366">
        <v>12083</v>
      </c>
      <c r="O61" s="1366">
        <v>12083</v>
      </c>
      <c r="P61" s="1366">
        <v>12083</v>
      </c>
      <c r="Q61" s="1366">
        <v>12083</v>
      </c>
      <c r="R61" s="1366">
        <v>12083</v>
      </c>
    </row>
    <row r="62" spans="1:18">
      <c r="A62" s="1346">
        <v>456111</v>
      </c>
      <c r="B62" s="18" t="s">
        <v>2040</v>
      </c>
      <c r="D62" s="18">
        <v>0</v>
      </c>
      <c r="E62" s="18" t="s">
        <v>2427</v>
      </c>
      <c r="F62" s="1347">
        <f t="shared" si="0"/>
        <v>2667750</v>
      </c>
      <c r="G62" s="1366">
        <v>224580</v>
      </c>
      <c r="H62" s="1366">
        <v>224580</v>
      </c>
      <c r="I62" s="1366">
        <v>224580</v>
      </c>
      <c r="J62" s="1366">
        <v>224580</v>
      </c>
      <c r="K62" s="1366">
        <v>224580</v>
      </c>
      <c r="L62" s="1366">
        <v>224580</v>
      </c>
      <c r="M62" s="1366">
        <v>224580</v>
      </c>
      <c r="N62" s="1366">
        <v>224580</v>
      </c>
      <c r="O62" s="1366">
        <v>224580</v>
      </c>
      <c r="P62" s="1366">
        <v>215510</v>
      </c>
      <c r="Q62" s="1366">
        <v>215510</v>
      </c>
      <c r="R62" s="1366">
        <v>215510</v>
      </c>
    </row>
    <row r="63" spans="1:18">
      <c r="A63" s="1346">
        <v>456610</v>
      </c>
      <c r="B63" s="18" t="s">
        <v>733</v>
      </c>
      <c r="D63" s="18" t="s">
        <v>1498</v>
      </c>
      <c r="E63" s="18" t="s">
        <v>2455</v>
      </c>
      <c r="F63" s="1347">
        <f>SUM(G63:R63)</f>
        <v>0</v>
      </c>
      <c r="G63" s="1366"/>
      <c r="H63" s="1366"/>
      <c r="I63" s="1366"/>
      <c r="J63" s="1366"/>
      <c r="K63" s="1366"/>
      <c r="L63" s="1366"/>
      <c r="M63" s="1366"/>
      <c r="N63" s="1366"/>
      <c r="O63" s="1366"/>
      <c r="P63" s="1366"/>
      <c r="Q63" s="1366"/>
      <c r="R63" s="1366"/>
    </row>
    <row r="64" spans="1:18">
      <c r="A64" s="1346">
        <v>456970</v>
      </c>
      <c r="B64" s="18" t="s">
        <v>2041</v>
      </c>
      <c r="D64" s="18">
        <v>0</v>
      </c>
      <c r="E64" s="18" t="s">
        <v>2427</v>
      </c>
      <c r="F64" s="1347">
        <f t="shared" si="0"/>
        <v>24504</v>
      </c>
      <c r="G64" s="1366">
        <v>2042</v>
      </c>
      <c r="H64" s="1366">
        <v>2042</v>
      </c>
      <c r="I64" s="1366">
        <v>2042</v>
      </c>
      <c r="J64" s="1366">
        <v>2042</v>
      </c>
      <c r="K64" s="1366">
        <v>2042</v>
      </c>
      <c r="L64" s="1366">
        <v>2042</v>
      </c>
      <c r="M64" s="1366">
        <v>2042</v>
      </c>
      <c r="N64" s="1366">
        <v>2042</v>
      </c>
      <c r="O64" s="1366">
        <v>2042</v>
      </c>
      <c r="P64" s="1366">
        <v>2042</v>
      </c>
      <c r="Q64" s="1366">
        <v>2042</v>
      </c>
      <c r="R64" s="1366">
        <v>2042</v>
      </c>
    </row>
    <row r="65" spans="1:18">
      <c r="A65" s="1371">
        <v>457204</v>
      </c>
      <c r="B65" s="18" t="s">
        <v>2542</v>
      </c>
      <c r="C65" s="18" t="s">
        <v>529</v>
      </c>
      <c r="D65" s="18" t="s">
        <v>529</v>
      </c>
      <c r="E65" s="18" t="s">
        <v>2229</v>
      </c>
      <c r="F65" s="1347">
        <f>SUM(G65:R65)</f>
        <v>1881230</v>
      </c>
      <c r="G65" s="1366">
        <v>145608</v>
      </c>
      <c r="H65" s="1366">
        <v>134405</v>
      </c>
      <c r="I65" s="1366">
        <v>153188</v>
      </c>
      <c r="J65" s="1366">
        <v>175953</v>
      </c>
      <c r="K65" s="1366">
        <v>175572</v>
      </c>
      <c r="L65" s="1366">
        <v>165738</v>
      </c>
      <c r="M65" s="1366">
        <v>137659</v>
      </c>
      <c r="N65" s="1366">
        <v>137773</v>
      </c>
      <c r="O65" s="1366">
        <v>159048</v>
      </c>
      <c r="P65" s="1366">
        <v>177993</v>
      </c>
      <c r="Q65" s="1366">
        <v>163703</v>
      </c>
      <c r="R65" s="1366">
        <v>154590</v>
      </c>
    </row>
    <row r="66" spans="1:18">
      <c r="A66" s="1181"/>
      <c r="F66" s="1347"/>
      <c r="G66" s="1347"/>
      <c r="H66" s="1347"/>
      <c r="I66" s="1347"/>
      <c r="J66" s="1347"/>
      <c r="K66" s="1347"/>
      <c r="L66" s="1347"/>
      <c r="M66" s="1347"/>
      <c r="N66" s="1347"/>
      <c r="O66" s="1347"/>
      <c r="P66" s="1347"/>
      <c r="Q66" s="1347"/>
      <c r="R66" s="1347"/>
    </row>
    <row r="67" spans="1:18">
      <c r="F67" s="1347">
        <f t="shared" ref="F67:R67" si="1">SUM(F12:F65)</f>
        <v>321318954</v>
      </c>
      <c r="G67" s="1347">
        <f t="shared" si="1"/>
        <v>22746179</v>
      </c>
      <c r="H67" s="1347">
        <f t="shared" si="1"/>
        <v>27079763</v>
      </c>
      <c r="I67" s="1347">
        <f t="shared" si="1"/>
        <v>30148378</v>
      </c>
      <c r="J67" s="1347">
        <f t="shared" si="1"/>
        <v>30721510</v>
      </c>
      <c r="K67" s="1347">
        <f t="shared" si="1"/>
        <v>28291294</v>
      </c>
      <c r="L67" s="1347">
        <f t="shared" si="1"/>
        <v>24837842</v>
      </c>
      <c r="M67" s="1347">
        <f t="shared" si="1"/>
        <v>24404569</v>
      </c>
      <c r="N67" s="1347">
        <f t="shared" si="1"/>
        <v>23904280</v>
      </c>
      <c r="O67" s="1347">
        <f t="shared" si="1"/>
        <v>25689396</v>
      </c>
      <c r="P67" s="1347">
        <f t="shared" si="1"/>
        <v>29773962</v>
      </c>
      <c r="Q67" s="1347">
        <f t="shared" si="1"/>
        <v>26719778</v>
      </c>
      <c r="R67" s="1347">
        <f t="shared" si="1"/>
        <v>27002003</v>
      </c>
    </row>
    <row r="69" spans="1:18">
      <c r="G69" s="1347">
        <f>'FORECASTED PERIOD'!F225</f>
        <v>22746179</v>
      </c>
      <c r="H69" s="1347">
        <f>'FORECASTED PERIOD'!G225</f>
        <v>27079763</v>
      </c>
      <c r="I69" s="1347">
        <f>'FORECASTED PERIOD'!H225</f>
        <v>30148378</v>
      </c>
      <c r="J69" s="1347">
        <f>'FORECASTED PERIOD'!I225</f>
        <v>30721510</v>
      </c>
      <c r="K69" s="1347">
        <f>'FORECASTED PERIOD'!J225</f>
        <v>28291294</v>
      </c>
      <c r="L69" s="1347">
        <f>'FORECASTED PERIOD'!K225</f>
        <v>24837842</v>
      </c>
      <c r="M69" s="1347">
        <f>'FORECASTED PERIOD'!L225</f>
        <v>24404569</v>
      </c>
      <c r="N69" s="1347">
        <f>'FORECASTED PERIOD'!M225</f>
        <v>23904280</v>
      </c>
      <c r="O69" s="1347">
        <f>'FORECASTED PERIOD'!N225</f>
        <v>25689396</v>
      </c>
      <c r="P69" s="1347">
        <f>'FORECASTED PERIOD'!O225</f>
        <v>29773962</v>
      </c>
      <c r="Q69" s="1347">
        <f>'FORECASTED PERIOD'!P225</f>
        <v>26719778</v>
      </c>
      <c r="R69" s="1347">
        <f>'FORECASTED PERIOD'!Q225</f>
        <v>27002003</v>
      </c>
    </row>
    <row r="70" spans="1:18">
      <c r="G70" s="1347">
        <f>G69-G67</f>
        <v>0</v>
      </c>
      <c r="H70" s="1347">
        <f t="shared" ref="H70:R70" si="2">H69-H67</f>
        <v>0</v>
      </c>
      <c r="I70" s="1347">
        <f t="shared" si="2"/>
        <v>0</v>
      </c>
      <c r="J70" s="1347">
        <f t="shared" si="2"/>
        <v>0</v>
      </c>
      <c r="K70" s="1347">
        <f t="shared" si="2"/>
        <v>0</v>
      </c>
      <c r="L70" s="1347">
        <f t="shared" si="2"/>
        <v>0</v>
      </c>
      <c r="M70" s="1347">
        <f t="shared" si="2"/>
        <v>0</v>
      </c>
      <c r="N70" s="1347">
        <f t="shared" si="2"/>
        <v>0</v>
      </c>
      <c r="O70" s="1347">
        <f t="shared" si="2"/>
        <v>0</v>
      </c>
      <c r="P70" s="1347">
        <f t="shared" si="2"/>
        <v>0</v>
      </c>
      <c r="Q70" s="1347">
        <f t="shared" si="2"/>
        <v>0</v>
      </c>
      <c r="R70" s="1347">
        <f t="shared" si="2"/>
        <v>0</v>
      </c>
    </row>
  </sheetData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theme="0" tint="-0.499984740745262"/>
  </sheetPr>
  <dimension ref="A1:K68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6.7109375" style="18" customWidth="1"/>
    <col min="2" max="2" width="3.140625" style="18" customWidth="1"/>
    <col min="3" max="3" width="37.5703125" style="18" customWidth="1"/>
    <col min="4" max="4" width="5.85546875" style="18" customWidth="1"/>
    <col min="5" max="5" width="13.7109375" style="18" customWidth="1"/>
    <col min="6" max="6" width="3.85546875" style="18" customWidth="1"/>
    <col min="7" max="7" width="25.5703125" style="18" customWidth="1"/>
    <col min="8" max="8" width="8" style="18"/>
    <col min="9" max="9" width="9.85546875" style="18" bestFit="1" customWidth="1"/>
    <col min="10" max="10" width="8" style="18"/>
    <col min="11" max="11" width="10.85546875" style="18" customWidth="1"/>
    <col min="12" max="16384" width="8" style="18"/>
  </cols>
  <sheetData>
    <row r="1" spans="1:7">
      <c r="A1" s="929" t="str">
        <f>COMPANY</f>
        <v>DUKE ENERGY KENTUCKY, INC.</v>
      </c>
      <c r="B1" s="930"/>
      <c r="C1" s="930"/>
      <c r="D1" s="930"/>
      <c r="E1" s="930"/>
      <c r="F1" s="930"/>
      <c r="G1" s="930"/>
    </row>
    <row r="2" spans="1:7">
      <c r="A2" s="929" t="str">
        <f>CASE</f>
        <v>CASE NO. 2017-00321</v>
      </c>
      <c r="B2" s="930"/>
      <c r="C2" s="930"/>
      <c r="D2" s="930"/>
      <c r="E2" s="930"/>
      <c r="F2" s="930"/>
      <c r="G2" s="930"/>
    </row>
    <row r="3" spans="1:7">
      <c r="A3" s="929" t="s">
        <v>1730</v>
      </c>
      <c r="B3" s="930"/>
      <c r="C3" s="930"/>
      <c r="D3" s="930"/>
      <c r="E3" s="930"/>
      <c r="F3" s="930"/>
      <c r="G3" s="930"/>
    </row>
    <row r="4" spans="1:7">
      <c r="A4" s="929" t="str">
        <f>PERIOD</f>
        <v>FOR THE TWELVE MONTHS ENDED NOVEMBER 30, 2017</v>
      </c>
      <c r="B4" s="930"/>
      <c r="C4" s="930"/>
      <c r="D4" s="930"/>
      <c r="E4" s="930"/>
      <c r="F4" s="930"/>
      <c r="G4" s="930"/>
    </row>
    <row r="5" spans="1:7">
      <c r="A5" s="905"/>
      <c r="B5" s="905"/>
      <c r="C5" s="905"/>
      <c r="D5" s="905"/>
      <c r="E5" s="905"/>
      <c r="F5" s="905"/>
      <c r="G5" s="905"/>
    </row>
    <row r="6" spans="1:7">
      <c r="A6" s="933" t="str">
        <f>Data</f>
        <v>DATA: "X" BASE PERIOD   FORECASTED PERIOD</v>
      </c>
      <c r="B6" s="905"/>
      <c r="C6" s="905"/>
      <c r="D6" s="905"/>
      <c r="E6" s="905"/>
      <c r="F6" s="905"/>
      <c r="G6" s="935" t="s">
        <v>2682</v>
      </c>
    </row>
    <row r="7" spans="1:7">
      <c r="A7" s="933" t="str">
        <f>Type</f>
        <v xml:space="preserve">TYPE OF FILING:  "X" ORIGINAL   UPDATED    REVISED  </v>
      </c>
      <c r="B7" s="905"/>
      <c r="C7" s="905"/>
      <c r="D7" s="905"/>
      <c r="E7" s="905"/>
      <c r="F7" s="905"/>
      <c r="G7" s="935" t="s">
        <v>1458</v>
      </c>
    </row>
    <row r="8" spans="1:7">
      <c r="A8" s="937" t="s">
        <v>1731</v>
      </c>
      <c r="B8" s="905"/>
      <c r="C8" s="905"/>
      <c r="D8" s="905"/>
      <c r="E8" s="905"/>
      <c r="F8" s="905"/>
      <c r="G8" s="935" t="s">
        <v>622</v>
      </c>
    </row>
    <row r="9" spans="1:7">
      <c r="A9" s="905"/>
      <c r="B9" s="905"/>
      <c r="C9" s="905"/>
      <c r="D9" s="905"/>
      <c r="E9" s="905"/>
      <c r="F9" s="905"/>
      <c r="G9" s="935" t="str">
        <f>_Wit8</f>
        <v>T. SILINSKI</v>
      </c>
    </row>
    <row r="10" spans="1:7">
      <c r="A10" s="940"/>
      <c r="B10" s="940"/>
      <c r="C10" s="940"/>
      <c r="D10" s="940"/>
      <c r="E10" s="940"/>
      <c r="F10" s="940"/>
      <c r="G10" s="940"/>
    </row>
    <row r="11" spans="1:7">
      <c r="A11" s="905"/>
      <c r="B11" s="905"/>
      <c r="C11" s="905"/>
      <c r="D11" s="905"/>
      <c r="E11" s="905"/>
      <c r="F11" s="905"/>
      <c r="G11" s="905"/>
    </row>
    <row r="12" spans="1:7">
      <c r="A12" s="905"/>
      <c r="B12" s="905"/>
      <c r="C12" s="905"/>
      <c r="D12" s="905"/>
      <c r="E12" s="1857"/>
      <c r="F12" s="1857"/>
      <c r="G12" s="1858"/>
    </row>
    <row r="13" spans="1:7">
      <c r="A13" s="905"/>
      <c r="B13" s="905"/>
      <c r="C13" s="905"/>
      <c r="D13" s="905"/>
      <c r="E13" s="939"/>
      <c r="F13" s="939"/>
      <c r="G13" s="1859"/>
    </row>
    <row r="14" spans="1:7">
      <c r="A14" s="944" t="s">
        <v>1961</v>
      </c>
      <c r="B14" s="905"/>
      <c r="C14" s="905"/>
      <c r="D14" s="905"/>
      <c r="E14" s="939"/>
      <c r="F14" s="939"/>
      <c r="G14" s="939" t="s">
        <v>1498</v>
      </c>
    </row>
    <row r="15" spans="1:7">
      <c r="A15" s="944" t="s">
        <v>90</v>
      </c>
      <c r="B15" s="905"/>
      <c r="C15" s="944" t="s">
        <v>2680</v>
      </c>
      <c r="D15" s="944"/>
      <c r="E15" s="944" t="s">
        <v>2681</v>
      </c>
      <c r="F15" s="944"/>
      <c r="G15" s="944" t="s">
        <v>2727</v>
      </c>
    </row>
    <row r="16" spans="1:7">
      <c r="A16" s="940"/>
      <c r="B16" s="940"/>
      <c r="C16" s="940"/>
      <c r="D16" s="940"/>
      <c r="E16" s="940"/>
      <c r="F16" s="940"/>
      <c r="G16" s="940"/>
    </row>
    <row r="17" spans="1:11">
      <c r="A17" s="905"/>
      <c r="B17" s="905"/>
      <c r="C17" s="905"/>
      <c r="D17" s="905"/>
      <c r="E17" s="905"/>
      <c r="F17" s="905"/>
      <c r="G17" s="905"/>
    </row>
    <row r="18" spans="1:11">
      <c r="A18" s="944">
        <v>1</v>
      </c>
      <c r="B18" s="905"/>
      <c r="C18" s="934" t="s">
        <v>3197</v>
      </c>
      <c r="D18" s="934"/>
      <c r="E18" s="1860"/>
      <c r="F18" s="1861"/>
      <c r="G18" s="2782"/>
      <c r="I18" s="1610"/>
      <c r="K18" s="1610"/>
    </row>
    <row r="19" spans="1:11">
      <c r="A19" s="944">
        <v>2</v>
      </c>
      <c r="B19" s="905"/>
      <c r="C19" s="936" t="s">
        <v>3198</v>
      </c>
      <c r="D19" s="936"/>
      <c r="E19" s="1862"/>
      <c r="F19" s="1863"/>
      <c r="G19" s="2782"/>
      <c r="I19" s="1610"/>
      <c r="K19" s="1610"/>
    </row>
    <row r="20" spans="1:11">
      <c r="A20" s="944">
        <v>3</v>
      </c>
      <c r="B20" s="905"/>
      <c r="C20" s="936" t="s">
        <v>3199</v>
      </c>
      <c r="D20" s="936"/>
      <c r="E20" s="1862"/>
      <c r="F20" s="1863"/>
      <c r="G20" s="2782"/>
      <c r="I20" s="1610"/>
      <c r="K20" s="1610"/>
    </row>
    <row r="21" spans="1:11">
      <c r="A21" s="944">
        <v>4</v>
      </c>
      <c r="B21" s="905"/>
      <c r="C21" s="936" t="s">
        <v>2720</v>
      </c>
      <c r="D21" s="936"/>
      <c r="E21" s="1864"/>
      <c r="F21" s="1865"/>
      <c r="G21" s="2782"/>
      <c r="I21" s="1610"/>
      <c r="K21" s="1610"/>
    </row>
    <row r="22" spans="1:11">
      <c r="A22" s="944">
        <v>5</v>
      </c>
      <c r="B22" s="905"/>
      <c r="C22" s="934" t="s">
        <v>2721</v>
      </c>
      <c r="D22" s="934"/>
      <c r="E22" s="1864"/>
      <c r="F22" s="1866"/>
      <c r="G22" s="2782"/>
      <c r="I22" s="1610"/>
      <c r="K22" s="1610"/>
    </row>
    <row r="23" spans="1:11">
      <c r="A23" s="944">
        <v>6</v>
      </c>
      <c r="B23" s="905"/>
      <c r="C23" s="936" t="s">
        <v>2722</v>
      </c>
      <c r="D23" s="936"/>
      <c r="E23" s="1860"/>
      <c r="F23" s="1861"/>
      <c r="G23" s="2782"/>
      <c r="I23" s="1610"/>
      <c r="K23" s="1610"/>
    </row>
    <row r="24" spans="1:11">
      <c r="A24" s="944">
        <v>7</v>
      </c>
      <c r="B24" s="905"/>
      <c r="C24" s="234" t="s">
        <v>2723</v>
      </c>
      <c r="D24" s="936"/>
      <c r="E24" s="1862"/>
      <c r="F24" s="1863"/>
      <c r="G24" s="2782"/>
      <c r="I24" s="1610"/>
      <c r="K24" s="1610"/>
    </row>
    <row r="25" spans="1:11">
      <c r="A25" s="944">
        <v>8</v>
      </c>
      <c r="B25" s="905"/>
      <c r="C25" s="234" t="s">
        <v>2724</v>
      </c>
      <c r="D25" s="936"/>
      <c r="E25" s="1862"/>
      <c r="F25" s="1863"/>
      <c r="G25" s="2782"/>
      <c r="I25" s="1610"/>
      <c r="K25" s="1610"/>
    </row>
    <row r="26" spans="1:11">
      <c r="A26" s="944">
        <v>9</v>
      </c>
      <c r="B26" s="905"/>
      <c r="C26" s="234" t="s">
        <v>2725</v>
      </c>
      <c r="D26" s="936"/>
      <c r="E26" s="1862"/>
      <c r="F26" s="1863"/>
      <c r="G26" s="2782"/>
      <c r="I26" s="1610"/>
      <c r="K26" s="1610"/>
    </row>
    <row r="27" spans="1:11">
      <c r="A27" s="944">
        <v>10</v>
      </c>
      <c r="B27" s="905"/>
      <c r="C27" s="234" t="s">
        <v>3200</v>
      </c>
      <c r="D27" s="936"/>
      <c r="E27" s="1862"/>
      <c r="F27" s="1863"/>
      <c r="G27" s="2782"/>
      <c r="I27" s="1610"/>
      <c r="K27" s="1610"/>
    </row>
    <row r="28" spans="1:11">
      <c r="A28" s="944">
        <v>11</v>
      </c>
      <c r="B28" s="905"/>
      <c r="C28" s="234" t="s">
        <v>2726</v>
      </c>
      <c r="D28" s="936"/>
      <c r="E28" s="1862"/>
      <c r="F28" s="1863"/>
      <c r="G28" s="2782"/>
      <c r="I28" s="1610"/>
      <c r="K28" s="1610"/>
    </row>
    <row r="29" spans="1:11">
      <c r="A29" s="944"/>
      <c r="B29" s="905"/>
      <c r="C29" s="234"/>
      <c r="D29" s="936"/>
      <c r="E29" s="1867"/>
      <c r="F29" s="1868"/>
      <c r="G29" s="905"/>
    </row>
    <row r="30" spans="1:11">
      <c r="A30" s="944"/>
      <c r="B30" s="905"/>
      <c r="C30" s="234"/>
      <c r="D30" s="936"/>
      <c r="E30" s="1867"/>
      <c r="F30" s="1868"/>
      <c r="G30" s="905"/>
    </row>
    <row r="31" spans="1:11">
      <c r="A31" s="944"/>
      <c r="B31" s="956" t="s">
        <v>365</v>
      </c>
      <c r="C31" s="234" t="s">
        <v>2729</v>
      </c>
      <c r="D31" s="936"/>
      <c r="E31" s="1867"/>
      <c r="F31" s="1868"/>
      <c r="G31" s="905"/>
    </row>
    <row r="32" spans="1:11">
      <c r="A32" s="944"/>
      <c r="B32" s="905"/>
      <c r="C32" s="234" t="s">
        <v>2728</v>
      </c>
      <c r="D32" s="936"/>
      <c r="E32" s="1867"/>
      <c r="F32" s="1868"/>
      <c r="G32" s="905"/>
    </row>
    <row r="33" spans="1:7">
      <c r="A33" s="905"/>
      <c r="B33" s="905"/>
      <c r="C33" s="934"/>
      <c r="D33" s="934"/>
      <c r="E33" s="934"/>
      <c r="F33" s="905"/>
      <c r="G33" s="905"/>
    </row>
    <row r="34" spans="1:7">
      <c r="A34" s="905"/>
      <c r="B34" s="905"/>
      <c r="C34" s="936"/>
      <c r="D34" s="1869"/>
      <c r="E34" s="934"/>
      <c r="F34" s="905"/>
      <c r="G34" s="905"/>
    </row>
    <row r="35" spans="1:7">
      <c r="A35" s="905"/>
      <c r="B35" s="905"/>
      <c r="C35" s="937"/>
      <c r="D35" s="955"/>
      <c r="E35" s="905"/>
      <c r="F35" s="905"/>
      <c r="G35" s="905"/>
    </row>
    <row r="36" spans="1:7">
      <c r="A36" s="929" t="str">
        <f>COMPANY</f>
        <v>DUKE ENERGY KENTUCKY, INC.</v>
      </c>
      <c r="B36" s="930"/>
      <c r="C36" s="930"/>
      <c r="D36" s="930"/>
      <c r="E36" s="930"/>
      <c r="F36" s="930"/>
      <c r="G36" s="930"/>
    </row>
    <row r="37" spans="1:7">
      <c r="A37" s="929" t="str">
        <f>CASE</f>
        <v>CASE NO. 2017-00321</v>
      </c>
      <c r="B37" s="930"/>
      <c r="C37" s="930"/>
      <c r="D37" s="930"/>
      <c r="E37" s="930"/>
      <c r="F37" s="930"/>
      <c r="G37" s="932"/>
    </row>
    <row r="38" spans="1:7">
      <c r="A38" s="929" t="s">
        <v>1730</v>
      </c>
      <c r="B38" s="930"/>
      <c r="C38" s="930"/>
      <c r="D38" s="930"/>
      <c r="E38" s="930"/>
      <c r="F38" s="930"/>
      <c r="G38" s="930"/>
    </row>
    <row r="39" spans="1:7">
      <c r="A39" s="929" t="str">
        <f>PeriodF</f>
        <v>FOR THE TWELVE MONTHS ENDED MARCH 31, 2019</v>
      </c>
      <c r="B39" s="930"/>
      <c r="C39" s="930"/>
      <c r="D39" s="930"/>
      <c r="E39" s="930"/>
      <c r="F39" s="930"/>
      <c r="G39" s="930"/>
    </row>
    <row r="40" spans="1:7">
      <c r="A40" s="905"/>
      <c r="B40" s="905"/>
      <c r="C40" s="905"/>
      <c r="D40" s="905"/>
      <c r="E40" s="905"/>
      <c r="F40" s="905"/>
      <c r="G40" s="905"/>
    </row>
    <row r="41" spans="1:7">
      <c r="A41" s="933" t="str">
        <f>DataF</f>
        <v>DATA:  BASE PERIOD  "X" FORECASTED PERIOD</v>
      </c>
      <c r="B41" s="905"/>
      <c r="C41" s="905"/>
      <c r="D41" s="905"/>
      <c r="E41" s="905"/>
      <c r="F41" s="905"/>
      <c r="G41" s="935" t="s">
        <v>2682</v>
      </c>
    </row>
    <row r="42" spans="1:7">
      <c r="A42" s="933" t="str">
        <f>Type</f>
        <v xml:space="preserve">TYPE OF FILING:  "X" ORIGINAL   UPDATED    REVISED  </v>
      </c>
      <c r="B42" s="905"/>
      <c r="C42" s="905"/>
      <c r="D42" s="905"/>
      <c r="E42" s="905"/>
      <c r="F42" s="905"/>
      <c r="G42" s="935" t="s">
        <v>86</v>
      </c>
    </row>
    <row r="43" spans="1:7">
      <c r="A43" s="937" t="s">
        <v>1731</v>
      </c>
      <c r="B43" s="905"/>
      <c r="C43" s="905"/>
      <c r="D43" s="905"/>
      <c r="E43" s="905"/>
      <c r="F43" s="905"/>
      <c r="G43" s="935" t="s">
        <v>622</v>
      </c>
    </row>
    <row r="44" spans="1:7">
      <c r="A44" s="905"/>
      <c r="B44" s="905"/>
      <c r="C44" s="905"/>
      <c r="D44" s="905"/>
      <c r="E44" s="905"/>
      <c r="F44" s="905"/>
      <c r="G44" s="935" t="str">
        <f>_Wit8</f>
        <v>T. SILINSKI</v>
      </c>
    </row>
    <row r="45" spans="1:7">
      <c r="A45" s="940"/>
      <c r="B45" s="940"/>
      <c r="C45" s="940"/>
      <c r="D45" s="940"/>
      <c r="E45" s="940"/>
      <c r="F45" s="940"/>
      <c r="G45" s="940"/>
    </row>
    <row r="46" spans="1:7">
      <c r="A46" s="905"/>
      <c r="B46" s="905"/>
      <c r="C46" s="905"/>
      <c r="D46" s="905"/>
      <c r="E46" s="905"/>
      <c r="F46" s="905"/>
      <c r="G46" s="905"/>
    </row>
    <row r="47" spans="1:7">
      <c r="A47" s="905"/>
      <c r="B47" s="905"/>
      <c r="C47" s="905"/>
      <c r="D47" s="905"/>
      <c r="E47" s="1857"/>
      <c r="F47" s="1857"/>
      <c r="G47" s="1858"/>
    </row>
    <row r="48" spans="1:7">
      <c r="A48" s="905"/>
      <c r="B48" s="905"/>
      <c r="C48" s="905"/>
      <c r="D48" s="905"/>
      <c r="E48" s="939"/>
      <c r="F48" s="939"/>
      <c r="G48" s="1859"/>
    </row>
    <row r="49" spans="1:11">
      <c r="A49" s="944" t="s">
        <v>1961</v>
      </c>
      <c r="B49" s="905"/>
      <c r="C49" s="905"/>
      <c r="D49" s="905"/>
      <c r="E49" s="939"/>
      <c r="F49" s="939"/>
      <c r="G49" s="939" t="s">
        <v>1498</v>
      </c>
    </row>
    <row r="50" spans="1:11">
      <c r="A50" s="944" t="s">
        <v>90</v>
      </c>
      <c r="B50" s="905"/>
      <c r="C50" s="944" t="s">
        <v>2680</v>
      </c>
      <c r="D50" s="944"/>
      <c r="E50" s="944" t="s">
        <v>2732</v>
      </c>
      <c r="F50" s="944"/>
      <c r="G50" s="944" t="s">
        <v>2731</v>
      </c>
    </row>
    <row r="51" spans="1:11">
      <c r="A51" s="940"/>
      <c r="B51" s="940"/>
      <c r="C51" s="940"/>
      <c r="D51" s="940"/>
      <c r="E51" s="940"/>
      <c r="F51" s="940"/>
      <c r="G51" s="940"/>
    </row>
    <row r="52" spans="1:11">
      <c r="A52" s="905"/>
      <c r="B52" s="905"/>
      <c r="C52" s="905"/>
      <c r="D52" s="905"/>
      <c r="E52" s="905"/>
      <c r="F52" s="905"/>
      <c r="G52" s="905"/>
    </row>
    <row r="53" spans="1:11">
      <c r="A53" s="944">
        <v>1</v>
      </c>
      <c r="B53" s="905"/>
      <c r="C53" s="934" t="s">
        <v>3197</v>
      </c>
      <c r="D53" s="934"/>
      <c r="E53" s="1860"/>
      <c r="F53" s="1861"/>
      <c r="G53" s="2782"/>
      <c r="I53" s="1610"/>
      <c r="K53" s="1610"/>
    </row>
    <row r="54" spans="1:11">
      <c r="A54" s="944">
        <v>2</v>
      </c>
      <c r="B54" s="905"/>
      <c r="C54" s="936" t="s">
        <v>3198</v>
      </c>
      <c r="D54" s="936"/>
      <c r="E54" s="1862"/>
      <c r="F54" s="1863"/>
      <c r="G54" s="2782"/>
      <c r="I54" s="1610"/>
      <c r="K54" s="1610"/>
    </row>
    <row r="55" spans="1:11">
      <c r="A55" s="944">
        <v>3</v>
      </c>
      <c r="B55" s="905"/>
      <c r="C55" s="936" t="s">
        <v>3199</v>
      </c>
      <c r="D55" s="936"/>
      <c r="E55" s="1862"/>
      <c r="F55" s="1863"/>
      <c r="G55" s="2782"/>
      <c r="I55" s="1610"/>
      <c r="K55" s="1610"/>
    </row>
    <row r="56" spans="1:11">
      <c r="A56" s="944">
        <v>4</v>
      </c>
      <c r="B56" s="905"/>
      <c r="C56" s="936" t="s">
        <v>2720</v>
      </c>
      <c r="D56" s="936"/>
      <c r="E56" s="1864"/>
      <c r="F56" s="1865"/>
      <c r="G56" s="2782"/>
      <c r="I56" s="1610"/>
      <c r="K56" s="1610"/>
    </row>
    <row r="57" spans="1:11">
      <c r="A57" s="944">
        <v>5</v>
      </c>
      <c r="B57" s="905"/>
      <c r="C57" s="934" t="s">
        <v>2721</v>
      </c>
      <c r="D57" s="934"/>
      <c r="E57" s="1864"/>
      <c r="F57" s="1866"/>
      <c r="G57" s="2782"/>
      <c r="I57" s="1610"/>
      <c r="K57" s="1610"/>
    </row>
    <row r="58" spans="1:11">
      <c r="A58" s="944">
        <v>6</v>
      </c>
      <c r="B58" s="905"/>
      <c r="C58" s="936" t="s">
        <v>2722</v>
      </c>
      <c r="D58" s="936"/>
      <c r="E58" s="1860"/>
      <c r="F58" s="1861"/>
      <c r="G58" s="2782"/>
      <c r="I58" s="1610"/>
      <c r="K58" s="1610"/>
    </row>
    <row r="59" spans="1:11">
      <c r="A59" s="944">
        <v>7</v>
      </c>
      <c r="B59" s="905"/>
      <c r="C59" s="234" t="s">
        <v>2723</v>
      </c>
      <c r="D59" s="936"/>
      <c r="E59" s="1862"/>
      <c r="F59" s="1863"/>
      <c r="G59" s="2782"/>
      <c r="I59" s="1610"/>
      <c r="K59" s="1610"/>
    </row>
    <row r="60" spans="1:11">
      <c r="A60" s="944">
        <v>8</v>
      </c>
      <c r="B60" s="905"/>
      <c r="C60" s="234" t="s">
        <v>2724</v>
      </c>
      <c r="D60" s="936"/>
      <c r="E60" s="1862"/>
      <c r="F60" s="1863"/>
      <c r="G60" s="2782"/>
      <c r="I60" s="1610"/>
      <c r="K60" s="1610"/>
    </row>
    <row r="61" spans="1:11">
      <c r="A61" s="944">
        <v>9</v>
      </c>
      <c r="B61" s="905"/>
      <c r="C61" s="234" t="s">
        <v>2725</v>
      </c>
      <c r="D61" s="936"/>
      <c r="E61" s="1862"/>
      <c r="F61" s="1863"/>
      <c r="G61" s="2782"/>
      <c r="I61" s="1610"/>
      <c r="K61" s="1610"/>
    </row>
    <row r="62" spans="1:11">
      <c r="A62" s="944">
        <v>10</v>
      </c>
      <c r="B62" s="905"/>
      <c r="C62" s="234" t="s">
        <v>3200</v>
      </c>
      <c r="D62" s="936"/>
      <c r="E62" s="1862"/>
      <c r="F62" s="1863"/>
      <c r="G62" s="2782"/>
      <c r="I62" s="1610"/>
      <c r="K62" s="1610"/>
    </row>
    <row r="63" spans="1:11">
      <c r="A63" s="944">
        <v>11</v>
      </c>
      <c r="B63" s="905"/>
      <c r="C63" s="234" t="s">
        <v>2726</v>
      </c>
      <c r="D63" s="936"/>
      <c r="E63" s="1862"/>
      <c r="F63" s="1863"/>
      <c r="G63" s="2782"/>
      <c r="I63" s="1610"/>
      <c r="K63" s="1610"/>
    </row>
    <row r="64" spans="1:11">
      <c r="A64" s="944"/>
      <c r="B64" s="905"/>
      <c r="C64" s="234"/>
      <c r="D64" s="936"/>
      <c r="E64" s="1867"/>
      <c r="F64" s="1868"/>
      <c r="G64" s="905"/>
    </row>
    <row r="65" spans="1:7">
      <c r="A65" s="944"/>
      <c r="B65" s="905"/>
      <c r="C65" s="234"/>
      <c r="D65" s="936"/>
      <c r="E65" s="1867"/>
      <c r="F65" s="1868"/>
      <c r="G65" s="1870"/>
    </row>
    <row r="66" spans="1:7">
      <c r="A66" s="944"/>
      <c r="B66" s="956" t="s">
        <v>365</v>
      </c>
      <c r="C66" s="936" t="s">
        <v>2730</v>
      </c>
      <c r="D66" s="936"/>
      <c r="E66" s="1472"/>
      <c r="F66" s="906"/>
      <c r="G66" s="1870"/>
    </row>
    <row r="67" spans="1:7">
      <c r="A67" s="944"/>
      <c r="B67" s="956" t="s">
        <v>318</v>
      </c>
      <c r="C67" s="234" t="s">
        <v>2729</v>
      </c>
      <c r="D67" s="936"/>
      <c r="E67" s="1472"/>
      <c r="F67" s="906"/>
      <c r="G67" s="1870"/>
    </row>
    <row r="68" spans="1:7">
      <c r="A68" s="944"/>
      <c r="B68" s="905"/>
      <c r="C68" s="234" t="s">
        <v>2728</v>
      </c>
      <c r="D68" s="936"/>
      <c r="E68" s="1472"/>
      <c r="F68" s="1472"/>
      <c r="G68" s="1870"/>
    </row>
  </sheetData>
  <phoneticPr fontId="19" type="noConversion"/>
  <pageMargins left="0.75" right="0.75" top="1" bottom="1" header="0.5" footer="0.5"/>
  <pageSetup scale="59" orientation="portrait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rgb="FFFFC000"/>
  </sheetPr>
  <dimension ref="A1:AA109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7.28515625" style="18" customWidth="1"/>
    <col min="2" max="2" width="53.85546875" style="18" customWidth="1"/>
    <col min="3" max="3" width="3.140625" style="18" customWidth="1"/>
    <col min="4" max="4" width="7.7109375" style="18" customWidth="1"/>
    <col min="5" max="5" width="2.28515625" style="18" customWidth="1"/>
    <col min="6" max="6" width="13.42578125" style="18" customWidth="1"/>
    <col min="7" max="7" width="2.140625" style="18" customWidth="1"/>
    <col min="8" max="8" width="14.42578125" style="18" customWidth="1"/>
    <col min="9" max="9" width="31.85546875" style="18" customWidth="1"/>
    <col min="10" max="10" width="7.28515625" style="18" customWidth="1"/>
    <col min="11" max="11" width="8.7109375" style="18" customWidth="1"/>
    <col min="12" max="12" width="22.28515625" style="18" customWidth="1"/>
    <col min="13" max="25" width="12.42578125" style="18" customWidth="1"/>
    <col min="26" max="26" width="4.28515625" style="18" customWidth="1"/>
    <col min="27" max="27" width="16.140625" style="18" customWidth="1"/>
    <col min="28" max="28" width="2.7109375" style="18" customWidth="1"/>
    <col min="29" max="29" width="19.42578125" style="18" customWidth="1"/>
    <col min="30" max="30" width="14.140625" style="18" customWidth="1"/>
    <col min="31" max="31" width="6.7109375" style="18" customWidth="1"/>
    <col min="32" max="32" width="44.140625" style="18" customWidth="1"/>
    <col min="33" max="33" width="19.7109375" style="18" customWidth="1"/>
    <col min="34" max="34" width="14.42578125" style="18" customWidth="1"/>
    <col min="35" max="35" width="19" style="18" customWidth="1"/>
    <col min="36" max="36" width="11.85546875" style="18" customWidth="1"/>
    <col min="37" max="16384" width="8" style="18"/>
  </cols>
  <sheetData>
    <row r="1" spans="1:26">
      <c r="A1" s="858" t="str">
        <f>COMPANY</f>
        <v>DUKE ENERGY KENTUCKY, INC.</v>
      </c>
      <c r="B1" s="859"/>
      <c r="C1" s="859"/>
      <c r="D1" s="859"/>
      <c r="E1" s="859"/>
      <c r="F1" s="859"/>
      <c r="G1" s="859"/>
      <c r="H1" s="859"/>
      <c r="I1" s="859"/>
      <c r="J1" s="860"/>
      <c r="K1" s="860"/>
      <c r="L1" s="860"/>
      <c r="M1" s="860"/>
      <c r="N1" s="860"/>
      <c r="O1" s="860"/>
      <c r="P1" s="860"/>
      <c r="Q1" s="860"/>
      <c r="R1" s="860"/>
      <c r="S1" s="860"/>
      <c r="T1" s="860"/>
      <c r="U1" s="860"/>
      <c r="V1" s="860"/>
      <c r="W1" s="860"/>
      <c r="X1" s="860"/>
      <c r="Y1" s="860"/>
      <c r="Z1" s="860"/>
    </row>
    <row r="2" spans="1:26">
      <c r="A2" s="858" t="str">
        <f>CASE</f>
        <v>CASE NO. 2017-00321</v>
      </c>
      <c r="B2" s="859"/>
      <c r="C2" s="859"/>
      <c r="D2" s="859"/>
      <c r="E2" s="859"/>
      <c r="F2" s="859"/>
      <c r="G2" s="859"/>
      <c r="H2" s="859"/>
      <c r="I2" s="859"/>
      <c r="J2" s="860"/>
      <c r="K2" s="860"/>
      <c r="L2" s="860"/>
      <c r="M2" s="860"/>
      <c r="N2" s="860"/>
      <c r="O2" s="860"/>
      <c r="P2" s="860"/>
      <c r="Q2" s="860"/>
      <c r="R2" s="860"/>
      <c r="S2" s="860"/>
      <c r="T2" s="860"/>
      <c r="U2" s="860"/>
      <c r="V2" s="860"/>
      <c r="W2" s="860"/>
      <c r="X2" s="860"/>
      <c r="Y2" s="860"/>
      <c r="Z2" s="860"/>
    </row>
    <row r="3" spans="1:26">
      <c r="A3" s="858" t="s">
        <v>1465</v>
      </c>
      <c r="B3" s="859"/>
      <c r="C3" s="859"/>
      <c r="D3" s="859"/>
      <c r="E3" s="859"/>
      <c r="F3" s="859"/>
      <c r="G3" s="859"/>
      <c r="H3" s="859"/>
      <c r="I3" s="859"/>
      <c r="J3" s="860"/>
      <c r="K3" s="860"/>
      <c r="L3" s="860"/>
      <c r="M3" s="860"/>
      <c r="N3" s="860"/>
      <c r="O3" s="860"/>
      <c r="P3" s="860"/>
      <c r="Q3" s="860"/>
      <c r="R3" s="860"/>
      <c r="S3" s="860"/>
      <c r="T3" s="860"/>
      <c r="U3" s="860"/>
      <c r="V3" s="860"/>
      <c r="W3" s="860"/>
      <c r="X3" s="860"/>
      <c r="Y3" s="860"/>
      <c r="Z3" s="860"/>
    </row>
    <row r="4" spans="1:26">
      <c r="A4" s="858" t="str">
        <f>PERIOD</f>
        <v>FOR THE TWELVE MONTHS ENDED NOVEMBER 30, 2017</v>
      </c>
      <c r="B4" s="859"/>
      <c r="C4" s="859"/>
      <c r="D4" s="859"/>
      <c r="E4" s="859"/>
      <c r="F4" s="859"/>
      <c r="G4" s="859"/>
      <c r="H4" s="859"/>
      <c r="I4" s="859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0"/>
      <c r="X4" s="860"/>
      <c r="Y4" s="860"/>
      <c r="Z4" s="860"/>
    </row>
    <row r="5" spans="1:26">
      <c r="A5" s="859"/>
      <c r="B5" s="859"/>
      <c r="C5" s="859"/>
      <c r="D5" s="859"/>
      <c r="E5" s="859"/>
      <c r="F5" s="859"/>
      <c r="G5" s="859"/>
      <c r="H5" s="859"/>
      <c r="I5" s="859"/>
      <c r="J5" s="860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0"/>
      <c r="X5" s="860"/>
      <c r="Y5" s="860"/>
      <c r="Z5" s="860"/>
    </row>
    <row r="6" spans="1:26">
      <c r="A6" s="589" t="str">
        <f>Data</f>
        <v>DATA: "X" BASE PERIOD   FORECASTED PERIOD</v>
      </c>
      <c r="B6" s="860"/>
      <c r="C6" s="860"/>
      <c r="D6" s="860"/>
      <c r="E6" s="860"/>
      <c r="F6" s="860"/>
      <c r="G6" s="860"/>
      <c r="H6" s="860"/>
      <c r="I6" s="861" t="s">
        <v>1466</v>
      </c>
      <c r="J6" s="860"/>
      <c r="K6" s="860"/>
      <c r="L6" s="860"/>
      <c r="M6" s="860"/>
      <c r="N6" s="860"/>
      <c r="O6" s="860"/>
      <c r="P6" s="860"/>
      <c r="Q6" s="860"/>
      <c r="R6" s="860"/>
      <c r="S6" s="860"/>
      <c r="T6" s="860"/>
      <c r="U6" s="860"/>
      <c r="V6" s="860"/>
      <c r="W6" s="860"/>
      <c r="X6" s="860"/>
      <c r="Y6" s="860"/>
      <c r="Z6" s="860"/>
    </row>
    <row r="7" spans="1:26">
      <c r="A7" s="589" t="str">
        <f>Type</f>
        <v xml:space="preserve">TYPE OF FILING:  "X" ORIGINAL   UPDATED    REVISED  </v>
      </c>
      <c r="B7" s="860"/>
      <c r="C7" s="860"/>
      <c r="D7" s="860"/>
      <c r="E7" s="860"/>
      <c r="F7" s="860"/>
      <c r="G7" s="860"/>
      <c r="H7" s="860"/>
      <c r="I7" s="861" t="s">
        <v>1458</v>
      </c>
      <c r="J7" s="860"/>
      <c r="K7" s="860"/>
      <c r="L7" s="860"/>
      <c r="M7" s="860"/>
      <c r="N7" s="860"/>
      <c r="O7" s="860"/>
      <c r="P7" s="860"/>
      <c r="Q7" s="860"/>
      <c r="R7" s="860"/>
      <c r="S7" s="860"/>
      <c r="T7" s="860"/>
      <c r="U7" s="860"/>
      <c r="V7" s="860"/>
      <c r="W7" s="860"/>
      <c r="X7" s="860"/>
      <c r="Y7" s="860"/>
      <c r="Z7" s="860"/>
    </row>
    <row r="8" spans="1:26">
      <c r="A8" s="861" t="s">
        <v>1086</v>
      </c>
      <c r="B8" s="860"/>
      <c r="C8" s="860"/>
      <c r="D8" s="860"/>
      <c r="E8" s="860"/>
      <c r="F8" s="860"/>
      <c r="G8" s="860"/>
      <c r="H8" s="860"/>
      <c r="I8" s="861" t="s">
        <v>622</v>
      </c>
      <c r="J8" s="860"/>
      <c r="K8" s="860"/>
      <c r="L8" s="860"/>
      <c r="M8" s="860"/>
      <c r="N8" s="860"/>
      <c r="O8" s="860"/>
      <c r="P8" s="860"/>
      <c r="Q8" s="860"/>
      <c r="R8" s="860"/>
      <c r="S8" s="860"/>
      <c r="T8" s="860"/>
      <c r="U8" s="860"/>
      <c r="V8" s="860"/>
      <c r="W8" s="860"/>
      <c r="X8" s="860"/>
      <c r="Y8" s="860"/>
      <c r="Z8" s="860"/>
    </row>
    <row r="9" spans="1:26">
      <c r="A9" s="860"/>
      <c r="B9" s="860"/>
      <c r="C9" s="860"/>
      <c r="D9" s="860"/>
      <c r="E9" s="860"/>
      <c r="F9" s="860"/>
      <c r="G9" s="860"/>
      <c r="H9" s="860"/>
      <c r="I9" s="861" t="str">
        <f>_WIT1</f>
        <v>S. E. LAWLER</v>
      </c>
      <c r="J9" s="860"/>
      <c r="K9" s="860"/>
      <c r="L9" s="860"/>
      <c r="M9" s="860"/>
      <c r="N9" s="860"/>
      <c r="O9" s="860"/>
      <c r="P9" s="860"/>
      <c r="Q9" s="860"/>
      <c r="R9" s="860"/>
      <c r="S9" s="860"/>
      <c r="T9" s="860"/>
      <c r="U9" s="860"/>
      <c r="V9" s="860"/>
      <c r="W9" s="860"/>
      <c r="X9" s="860"/>
      <c r="Y9" s="860"/>
      <c r="Z9" s="860"/>
    </row>
    <row r="10" spans="1:26">
      <c r="A10" s="862"/>
      <c r="B10" s="862"/>
      <c r="C10" s="862"/>
      <c r="D10" s="862"/>
      <c r="E10" s="862"/>
      <c r="F10" s="862"/>
      <c r="G10" s="862"/>
      <c r="H10" s="862"/>
      <c r="I10" s="862"/>
      <c r="J10" s="860"/>
      <c r="K10" s="860"/>
      <c r="L10" s="860"/>
      <c r="M10" s="860"/>
      <c r="N10" s="860"/>
      <c r="O10" s="860"/>
      <c r="P10" s="860"/>
      <c r="Q10" s="860"/>
      <c r="R10" s="860"/>
      <c r="S10" s="860"/>
      <c r="T10" s="860"/>
      <c r="U10" s="860"/>
      <c r="V10" s="860"/>
      <c r="W10" s="860"/>
      <c r="X10" s="860"/>
      <c r="Y10" s="860"/>
      <c r="Z10" s="860"/>
    </row>
    <row r="11" spans="1:26">
      <c r="A11" s="860"/>
      <c r="B11" s="860"/>
      <c r="C11" s="860"/>
      <c r="D11" s="860"/>
      <c r="E11" s="860"/>
      <c r="F11" s="860"/>
      <c r="G11" s="860"/>
      <c r="H11" s="860"/>
      <c r="I11" s="863" t="s">
        <v>1467</v>
      </c>
      <c r="J11" s="860"/>
      <c r="K11" s="860"/>
      <c r="L11" s="860"/>
      <c r="M11" s="860"/>
      <c r="N11" s="860"/>
      <c r="O11" s="860"/>
      <c r="P11" s="860"/>
      <c r="Q11" s="860"/>
      <c r="R11" s="860"/>
      <c r="S11" s="860"/>
      <c r="T11" s="860"/>
      <c r="U11" s="860"/>
      <c r="V11" s="860"/>
      <c r="W11" s="860"/>
      <c r="X11" s="860"/>
      <c r="Y11" s="860"/>
      <c r="Z11" s="860"/>
    </row>
    <row r="12" spans="1:26">
      <c r="A12" s="863" t="s">
        <v>1961</v>
      </c>
      <c r="B12" s="860"/>
      <c r="C12" s="860"/>
      <c r="D12" s="860"/>
      <c r="E12" s="860"/>
      <c r="F12" s="860"/>
      <c r="G12" s="860"/>
      <c r="H12" s="860"/>
      <c r="I12" s="863" t="s">
        <v>1468</v>
      </c>
      <c r="J12" s="860"/>
      <c r="K12" s="860"/>
      <c r="L12" s="860"/>
      <c r="M12" s="860"/>
      <c r="N12" s="860"/>
      <c r="O12" s="860"/>
      <c r="P12" s="860"/>
      <c r="Q12" s="860"/>
      <c r="R12" s="860"/>
      <c r="S12" s="860"/>
      <c r="T12" s="860"/>
      <c r="U12" s="860"/>
      <c r="V12" s="860"/>
      <c r="W12" s="860"/>
      <c r="X12" s="860"/>
      <c r="Y12" s="860"/>
      <c r="Z12" s="860"/>
    </row>
    <row r="13" spans="1:26">
      <c r="A13" s="863" t="s">
        <v>1854</v>
      </c>
      <c r="B13" s="861" t="s">
        <v>1147</v>
      </c>
      <c r="C13" s="860"/>
      <c r="D13" s="860"/>
      <c r="E13" s="860"/>
      <c r="F13" s="860"/>
      <c r="G13" s="860"/>
      <c r="H13" s="860"/>
      <c r="I13" s="863" t="s">
        <v>1469</v>
      </c>
      <c r="J13" s="860"/>
      <c r="K13" s="860"/>
      <c r="L13" s="860"/>
      <c r="M13" s="860"/>
      <c r="N13" s="860"/>
      <c r="O13" s="860"/>
      <c r="P13" s="860"/>
      <c r="Q13" s="860"/>
      <c r="R13" s="860"/>
      <c r="S13" s="860"/>
      <c r="T13" s="860"/>
      <c r="U13" s="860"/>
      <c r="V13" s="860"/>
      <c r="W13" s="860"/>
      <c r="X13" s="860"/>
      <c r="Y13" s="860"/>
      <c r="Z13" s="860"/>
    </row>
    <row r="14" spans="1:26">
      <c r="A14" s="862"/>
      <c r="B14" s="862"/>
      <c r="C14" s="862"/>
      <c r="D14" s="862"/>
      <c r="E14" s="862"/>
      <c r="F14" s="862"/>
      <c r="G14" s="862"/>
      <c r="H14" s="862"/>
      <c r="I14" s="864" t="s">
        <v>1462</v>
      </c>
      <c r="J14" s="860"/>
      <c r="K14" s="860"/>
      <c r="L14" s="860"/>
      <c r="M14" s="860"/>
      <c r="N14" s="860"/>
      <c r="O14" s="860"/>
      <c r="P14" s="860"/>
      <c r="Q14" s="860"/>
      <c r="R14" s="860"/>
      <c r="S14" s="860"/>
      <c r="T14" s="860"/>
      <c r="U14" s="860"/>
      <c r="V14" s="860"/>
      <c r="W14" s="860"/>
      <c r="X14" s="860"/>
      <c r="Y14" s="860"/>
      <c r="Z14" s="860"/>
    </row>
    <row r="15" spans="1:26">
      <c r="A15" s="860"/>
      <c r="B15" s="860"/>
      <c r="C15" s="860"/>
      <c r="D15" s="860"/>
      <c r="E15" s="860"/>
      <c r="F15" s="860"/>
      <c r="G15" s="860"/>
      <c r="H15" s="860"/>
      <c r="I15" s="860"/>
      <c r="J15" s="860"/>
      <c r="K15" s="860"/>
      <c r="L15" s="860"/>
      <c r="M15" s="860"/>
      <c r="N15" s="860"/>
      <c r="O15" s="860"/>
      <c r="P15" s="860"/>
      <c r="Q15" s="860"/>
      <c r="R15" s="860"/>
      <c r="S15" s="860"/>
      <c r="T15" s="860"/>
      <c r="U15" s="860"/>
      <c r="V15" s="860"/>
      <c r="W15" s="860"/>
      <c r="X15" s="860"/>
      <c r="Y15" s="860"/>
      <c r="Z15" s="860"/>
    </row>
    <row r="16" spans="1:26">
      <c r="A16" s="863">
        <v>1</v>
      </c>
      <c r="B16" s="861" t="s">
        <v>1470</v>
      </c>
      <c r="C16" s="860"/>
      <c r="D16" s="865"/>
      <c r="E16" s="865"/>
      <c r="F16" s="860"/>
      <c r="G16" s="860"/>
      <c r="H16" s="860"/>
      <c r="I16" s="1329">
        <v>1</v>
      </c>
      <c r="J16" s="860"/>
      <c r="K16" s="860"/>
      <c r="L16" s="860"/>
      <c r="M16" s="860"/>
      <c r="N16" s="860"/>
      <c r="O16" s="860"/>
      <c r="P16" s="860"/>
      <c r="Q16" s="860"/>
      <c r="R16" s="860"/>
      <c r="S16" s="860"/>
      <c r="T16" s="860"/>
      <c r="U16" s="860"/>
      <c r="V16" s="860"/>
      <c r="W16" s="860"/>
      <c r="X16" s="860"/>
      <c r="Y16" s="860"/>
      <c r="Z16" s="860"/>
    </row>
    <row r="17" spans="1:26">
      <c r="A17" s="866">
        <v>2</v>
      </c>
      <c r="B17" s="860"/>
      <c r="C17" s="860"/>
      <c r="D17" s="860"/>
      <c r="E17" s="860"/>
      <c r="F17" s="860"/>
      <c r="G17" s="860"/>
      <c r="H17" s="860"/>
      <c r="I17" s="867"/>
      <c r="J17" s="860"/>
      <c r="K17" s="860"/>
      <c r="L17" s="860"/>
      <c r="M17" s="860"/>
      <c r="N17" s="860"/>
      <c r="O17" s="860"/>
      <c r="P17" s="860"/>
      <c r="Q17" s="860"/>
      <c r="R17" s="860"/>
      <c r="S17" s="860"/>
      <c r="T17" s="860"/>
      <c r="U17" s="860"/>
      <c r="V17" s="860"/>
      <c r="W17" s="860"/>
      <c r="X17" s="860"/>
      <c r="Y17" s="860"/>
      <c r="Z17" s="860"/>
    </row>
    <row r="18" spans="1:26">
      <c r="A18" s="866">
        <v>3</v>
      </c>
      <c r="B18" s="860"/>
      <c r="C18" s="860"/>
      <c r="D18" s="860"/>
      <c r="E18" s="860"/>
      <c r="F18" s="860"/>
      <c r="G18" s="860"/>
      <c r="H18" s="860"/>
      <c r="I18" s="867"/>
      <c r="J18" s="860"/>
      <c r="K18" s="860"/>
      <c r="L18" s="860"/>
      <c r="M18" s="860"/>
      <c r="N18" s="860"/>
      <c r="O18" s="860"/>
      <c r="P18" s="860"/>
      <c r="Q18" s="860"/>
      <c r="R18" s="860"/>
      <c r="S18" s="860"/>
      <c r="T18" s="860"/>
      <c r="U18" s="860"/>
      <c r="V18" s="860"/>
      <c r="W18" s="860"/>
      <c r="X18" s="860"/>
      <c r="Y18" s="860"/>
      <c r="Z18" s="860"/>
    </row>
    <row r="19" spans="1:26">
      <c r="A19" s="863">
        <v>4</v>
      </c>
      <c r="B19" s="861" t="s">
        <v>1471</v>
      </c>
      <c r="C19" s="860"/>
      <c r="D19" s="860"/>
      <c r="E19" s="860"/>
      <c r="F19" s="1329">
        <f>Y100</f>
        <v>7.5000000000000002E-4</v>
      </c>
      <c r="G19" s="860"/>
      <c r="H19" s="860"/>
      <c r="I19" s="867"/>
      <c r="J19" s="860"/>
      <c r="K19" s="860"/>
      <c r="L19" s="860"/>
      <c r="M19" s="860"/>
      <c r="N19" s="860"/>
      <c r="O19" s="860"/>
      <c r="P19" s="860"/>
      <c r="Q19" s="860"/>
      <c r="R19" s="860"/>
      <c r="S19" s="860"/>
      <c r="T19" s="860"/>
      <c r="U19" s="860"/>
      <c r="V19" s="860"/>
      <c r="W19" s="860"/>
      <c r="X19" s="860"/>
      <c r="Y19" s="860"/>
      <c r="Z19" s="860"/>
    </row>
    <row r="20" spans="1:26">
      <c r="A20" s="866">
        <v>5</v>
      </c>
      <c r="B20" s="861" t="s">
        <v>1472</v>
      </c>
      <c r="C20" s="860"/>
      <c r="D20" s="860"/>
      <c r="E20" s="867"/>
      <c r="F20" s="1329">
        <f>LOGO!C23</f>
        <v>1.9959999999999999E-3</v>
      </c>
      <c r="G20" s="860"/>
      <c r="H20" s="860"/>
      <c r="I20" s="867"/>
      <c r="J20" s="860"/>
      <c r="K20" s="860"/>
      <c r="L20" s="860"/>
      <c r="M20" s="860"/>
      <c r="N20" s="860"/>
      <c r="O20" s="860"/>
      <c r="P20" s="860"/>
      <c r="Q20" s="860"/>
      <c r="R20" s="860"/>
      <c r="S20" s="860"/>
      <c r="T20" s="860"/>
      <c r="U20" s="860"/>
      <c r="V20" s="860"/>
      <c r="W20" s="860"/>
      <c r="X20" s="860"/>
      <c r="Y20" s="860"/>
      <c r="Z20" s="860"/>
    </row>
    <row r="21" spans="1:26">
      <c r="A21" s="866">
        <v>6</v>
      </c>
      <c r="B21" s="863" t="s">
        <v>1473</v>
      </c>
      <c r="C21" s="860"/>
      <c r="D21" s="868"/>
      <c r="E21" s="867"/>
      <c r="F21" s="868"/>
      <c r="G21" s="860"/>
      <c r="H21" s="860"/>
      <c r="I21" s="869">
        <f>F19+F20</f>
        <v>2.7460000000000002E-3</v>
      </c>
      <c r="J21" s="860"/>
      <c r="K21" s="860"/>
      <c r="L21" s="860"/>
      <c r="M21" s="860"/>
      <c r="N21" s="860"/>
      <c r="O21" s="860"/>
      <c r="P21" s="860"/>
      <c r="Q21" s="860"/>
      <c r="R21" s="860"/>
      <c r="S21" s="860"/>
      <c r="T21" s="860"/>
      <c r="U21" s="860"/>
      <c r="V21" s="860"/>
      <c r="W21" s="860"/>
      <c r="X21" s="860"/>
      <c r="Y21" s="860"/>
      <c r="Z21" s="860"/>
    </row>
    <row r="22" spans="1:26">
      <c r="A22" s="863">
        <v>7</v>
      </c>
      <c r="B22" s="860"/>
      <c r="C22" s="860"/>
      <c r="D22" s="870"/>
      <c r="E22" s="870"/>
      <c r="F22" s="870"/>
      <c r="G22" s="860"/>
      <c r="H22" s="860"/>
      <c r="I22" s="870"/>
      <c r="J22" s="860"/>
      <c r="K22" s="860"/>
      <c r="L22" s="860"/>
      <c r="M22" s="860"/>
      <c r="N22" s="860"/>
      <c r="O22" s="860"/>
      <c r="P22" s="860"/>
      <c r="Q22" s="860"/>
      <c r="R22" s="860"/>
      <c r="S22" s="860"/>
      <c r="T22" s="860"/>
      <c r="U22" s="860"/>
      <c r="V22" s="860"/>
      <c r="W22" s="860"/>
      <c r="X22" s="860"/>
      <c r="Y22" s="860"/>
      <c r="Z22" s="860"/>
    </row>
    <row r="23" spans="1:26">
      <c r="A23" s="866">
        <v>8</v>
      </c>
      <c r="B23" s="861" t="s">
        <v>1087</v>
      </c>
      <c r="C23" s="860"/>
      <c r="D23" s="871"/>
      <c r="E23" s="871"/>
      <c r="F23" s="865"/>
      <c r="G23" s="860"/>
      <c r="H23" s="860"/>
      <c r="I23" s="1329">
        <f>ROUND(I16-I21,7)</f>
        <v>0.99725399999999997</v>
      </c>
      <c r="J23" s="860"/>
      <c r="K23" s="860"/>
      <c r="L23" s="860"/>
      <c r="M23" s="860"/>
      <c r="N23" s="860"/>
      <c r="O23" s="860"/>
      <c r="P23" s="860"/>
      <c r="Q23" s="860"/>
      <c r="R23" s="860"/>
      <c r="S23" s="860"/>
      <c r="T23" s="860"/>
      <c r="U23" s="860"/>
      <c r="V23" s="860"/>
      <c r="W23" s="860"/>
      <c r="X23" s="860"/>
      <c r="Y23" s="860"/>
      <c r="Z23" s="860"/>
    </row>
    <row r="24" spans="1:26">
      <c r="A24" s="866">
        <v>9</v>
      </c>
      <c r="B24" s="860"/>
      <c r="C24" s="860"/>
      <c r="D24" s="860"/>
      <c r="E24" s="860"/>
      <c r="F24" s="860"/>
      <c r="G24" s="860"/>
      <c r="H24" s="860"/>
      <c r="I24" s="865"/>
      <c r="J24" s="860"/>
      <c r="K24" s="860"/>
      <c r="L24" s="860"/>
      <c r="M24" s="860"/>
      <c r="N24" s="860"/>
      <c r="O24" s="860"/>
      <c r="P24" s="860"/>
      <c r="Q24" s="860"/>
      <c r="R24" s="860"/>
      <c r="S24" s="860"/>
      <c r="T24" s="860"/>
      <c r="U24" s="860"/>
      <c r="V24" s="860"/>
      <c r="W24" s="860"/>
      <c r="X24" s="860"/>
      <c r="Y24" s="860"/>
      <c r="Z24" s="860"/>
    </row>
    <row r="25" spans="1:26">
      <c r="A25" s="863">
        <v>10</v>
      </c>
      <c r="B25" s="860" t="s">
        <v>1474</v>
      </c>
      <c r="C25" s="860"/>
      <c r="D25" s="860"/>
      <c r="E25" s="860"/>
      <c r="F25" s="860"/>
      <c r="G25" s="860"/>
      <c r="H25" s="860"/>
      <c r="I25" s="867"/>
      <c r="J25" s="860"/>
      <c r="K25" s="860"/>
      <c r="L25" s="860"/>
      <c r="M25" s="860"/>
      <c r="N25" s="860"/>
      <c r="O25" s="860"/>
      <c r="P25" s="860"/>
      <c r="Q25" s="860"/>
      <c r="R25" s="860"/>
      <c r="S25" s="860"/>
      <c r="T25" s="860"/>
      <c r="U25" s="860"/>
      <c r="V25" s="860"/>
      <c r="W25" s="860"/>
      <c r="X25" s="860"/>
      <c r="Y25" s="860"/>
      <c r="Z25" s="860"/>
    </row>
    <row r="26" spans="1:26">
      <c r="A26" s="866">
        <v>11</v>
      </c>
      <c r="B26" s="860" t="str">
        <f>"      ("&amp;TEXT(SIT,"0.00#%")&amp;" * "&amp;TEXT(I23,"##.####%")&amp;" * "&amp;TEXT(APPORT,"##.####%")&amp;")"</f>
        <v xml:space="preserve">      (6.00% * 99.7254% * 89.0867%)</v>
      </c>
      <c r="C26" s="860"/>
      <c r="D26" s="860"/>
      <c r="E26" s="860"/>
      <c r="F26" s="860"/>
      <c r="G26" s="860"/>
      <c r="H26" s="860"/>
      <c r="I26" s="869">
        <f>ROUND(SIT*SCH_H!I23*APPORT,7)</f>
        <v>5.3305199999999997E-2</v>
      </c>
      <c r="J26" s="860"/>
      <c r="K26" s="860"/>
      <c r="L26" s="860"/>
      <c r="M26" s="860"/>
      <c r="N26" s="860"/>
      <c r="O26" s="860"/>
      <c r="P26" s="860"/>
      <c r="Q26" s="860"/>
      <c r="R26" s="860"/>
      <c r="S26" s="860"/>
      <c r="T26" s="860"/>
      <c r="U26" s="860"/>
      <c r="V26" s="860"/>
      <c r="W26" s="860"/>
      <c r="X26" s="860"/>
      <c r="Y26" s="860"/>
      <c r="Z26" s="860"/>
    </row>
    <row r="27" spans="1:26">
      <c r="A27" s="866">
        <v>12</v>
      </c>
      <c r="B27" s="860"/>
      <c r="C27" s="860"/>
      <c r="D27" s="860"/>
      <c r="E27" s="860"/>
      <c r="F27" s="860"/>
      <c r="G27" s="860"/>
      <c r="H27" s="860"/>
      <c r="I27" s="865"/>
      <c r="J27" s="860"/>
      <c r="K27" s="860"/>
      <c r="L27" s="860"/>
      <c r="M27" s="860"/>
      <c r="N27" s="860"/>
      <c r="O27" s="860"/>
      <c r="P27" s="860"/>
      <c r="Q27" s="860"/>
      <c r="R27" s="860"/>
      <c r="S27" s="860"/>
      <c r="T27" s="860"/>
      <c r="U27" s="860"/>
      <c r="V27" s="860"/>
      <c r="W27" s="860"/>
      <c r="X27" s="860"/>
      <c r="Y27" s="860"/>
      <c r="Z27" s="860"/>
    </row>
    <row r="28" spans="1:26">
      <c r="A28" s="863">
        <v>13</v>
      </c>
      <c r="B28" s="861" t="s">
        <v>1088</v>
      </c>
      <c r="C28" s="860"/>
      <c r="D28" s="860"/>
      <c r="E28" s="860"/>
      <c r="F28" s="860"/>
      <c r="G28" s="860"/>
      <c r="H28" s="860"/>
      <c r="I28" s="1329">
        <f>I23-I26</f>
        <v>0.94394880000000003</v>
      </c>
      <c r="J28" s="860"/>
      <c r="K28" s="860"/>
      <c r="L28" s="860"/>
      <c r="M28" s="860"/>
      <c r="N28" s="860"/>
      <c r="O28" s="860"/>
      <c r="P28" s="860"/>
      <c r="Q28" s="860"/>
      <c r="R28" s="860"/>
      <c r="S28" s="860"/>
      <c r="T28" s="860"/>
      <c r="U28" s="860"/>
      <c r="V28" s="860"/>
      <c r="W28" s="860"/>
      <c r="X28" s="860"/>
      <c r="Y28" s="860"/>
      <c r="Z28" s="860"/>
    </row>
    <row r="29" spans="1:26">
      <c r="A29" s="866">
        <v>14</v>
      </c>
      <c r="B29" s="860"/>
      <c r="C29" s="860"/>
      <c r="D29" s="860"/>
      <c r="E29" s="860"/>
      <c r="F29" s="860"/>
      <c r="G29" s="860"/>
      <c r="H29" s="860"/>
      <c r="I29" s="865"/>
      <c r="J29" s="860"/>
      <c r="K29" s="860"/>
      <c r="L29" s="860"/>
      <c r="M29" s="860"/>
      <c r="N29" s="860"/>
      <c r="O29" s="860"/>
      <c r="P29" s="860"/>
      <c r="Q29" s="860"/>
      <c r="R29" s="860"/>
      <c r="S29" s="860"/>
      <c r="T29" s="860"/>
      <c r="U29" s="860"/>
      <c r="V29" s="860"/>
      <c r="W29" s="860"/>
      <c r="X29" s="860"/>
      <c r="Y29" s="860"/>
      <c r="Z29" s="860"/>
    </row>
    <row r="30" spans="1:26">
      <c r="A30" s="866">
        <v>15</v>
      </c>
      <c r="B30" s="861" t="str">
        <f>"        Federal Income Tax ("&amp;TEXT(FIT,"##%")&amp;" x "&amp;TEXT(I28,"##.####%")&amp;")"</f>
        <v xml:space="preserve">        Federal Income Tax (35% x 94.3949%)</v>
      </c>
      <c r="C30" s="867"/>
      <c r="D30" s="872"/>
      <c r="E30" s="872"/>
      <c r="F30" s="867"/>
      <c r="G30" s="861"/>
      <c r="H30" s="861"/>
      <c r="I30" s="869">
        <f>ROUND(FIT*SCH_H!I28,7)</f>
        <v>0.33038210000000001</v>
      </c>
      <c r="J30" s="860"/>
      <c r="K30" s="860"/>
      <c r="L30" s="860"/>
      <c r="M30" s="860"/>
      <c r="N30" s="860"/>
      <c r="O30" s="860"/>
      <c r="P30" s="860"/>
      <c r="Q30" s="860"/>
      <c r="R30" s="860"/>
      <c r="S30" s="860"/>
      <c r="T30" s="860"/>
      <c r="U30" s="860"/>
      <c r="V30" s="860"/>
      <c r="W30" s="860"/>
      <c r="X30" s="860"/>
      <c r="Y30" s="860"/>
      <c r="Z30" s="860"/>
    </row>
    <row r="31" spans="1:26">
      <c r="A31" s="863">
        <v>16</v>
      </c>
      <c r="B31" s="860"/>
      <c r="C31" s="867"/>
      <c r="D31" s="860"/>
      <c r="E31" s="860"/>
      <c r="F31" s="865"/>
      <c r="G31" s="860"/>
      <c r="H31" s="860"/>
      <c r="I31" s="870"/>
      <c r="J31" s="860"/>
      <c r="K31" s="860"/>
      <c r="L31" s="860"/>
      <c r="M31" s="860"/>
      <c r="N31" s="860"/>
      <c r="O31" s="860"/>
      <c r="P31" s="860"/>
      <c r="Q31" s="860"/>
      <c r="R31" s="860"/>
      <c r="S31" s="860"/>
      <c r="T31" s="860"/>
      <c r="U31" s="860"/>
      <c r="V31" s="860"/>
      <c r="W31" s="860"/>
      <c r="X31" s="860"/>
      <c r="Y31" s="860"/>
      <c r="Z31" s="860"/>
    </row>
    <row r="32" spans="1:26">
      <c r="A32" s="866">
        <v>17</v>
      </c>
      <c r="B32" s="861" t="s">
        <v>1089</v>
      </c>
      <c r="C32" s="860"/>
      <c r="D32" s="871"/>
      <c r="E32" s="871"/>
      <c r="F32" s="860"/>
      <c r="G32" s="860"/>
      <c r="H32" s="860"/>
      <c r="I32" s="873">
        <f>ROUND(I28-I30,7)</f>
        <v>0.61356670000000002</v>
      </c>
      <c r="J32" s="860"/>
      <c r="K32" s="860"/>
      <c r="L32" s="860"/>
      <c r="M32" s="860"/>
      <c r="N32" s="860"/>
      <c r="O32" s="860"/>
      <c r="P32" s="860"/>
      <c r="Q32" s="860"/>
      <c r="R32" s="860"/>
      <c r="S32" s="860"/>
      <c r="T32" s="860"/>
      <c r="U32" s="860"/>
      <c r="V32" s="860"/>
      <c r="W32" s="860"/>
      <c r="X32" s="860"/>
      <c r="Y32" s="860"/>
      <c r="Z32" s="860"/>
    </row>
    <row r="33" spans="1:26">
      <c r="A33" s="866">
        <v>18</v>
      </c>
      <c r="B33" s="860"/>
      <c r="C33" s="860"/>
      <c r="D33" s="860"/>
      <c r="E33" s="860"/>
      <c r="F33" s="860"/>
      <c r="G33" s="860"/>
      <c r="H33" s="860"/>
      <c r="I33" s="872"/>
      <c r="J33" s="860"/>
      <c r="K33" s="860"/>
      <c r="L33" s="860"/>
      <c r="M33" s="860"/>
      <c r="N33" s="860"/>
      <c r="O33" s="860"/>
      <c r="P33" s="860"/>
      <c r="Q33" s="860"/>
      <c r="R33" s="860"/>
      <c r="S33" s="860"/>
      <c r="T33" s="860"/>
      <c r="U33" s="860"/>
      <c r="V33" s="860"/>
      <c r="W33" s="860"/>
      <c r="X33" s="860"/>
      <c r="Y33" s="860"/>
      <c r="Z33" s="860"/>
    </row>
    <row r="34" spans="1:26">
      <c r="A34" s="863">
        <v>19</v>
      </c>
      <c r="B34" s="861" t="str">
        <f>"   Gross Revenue Conversion Factor ("&amp;TEXT(I16,"####%")&amp;" / "&amp;TEXT(I32,"##.####%")&amp;")"</f>
        <v xml:space="preserve">   Gross Revenue Conversion Factor (100% / 61.3567%)</v>
      </c>
      <c r="C34" s="860"/>
      <c r="D34" s="860"/>
      <c r="E34" s="860"/>
      <c r="F34" s="860"/>
      <c r="G34" s="860"/>
      <c r="H34" s="860"/>
      <c r="I34" s="874">
        <f>ROUND((I16/I32),7)</f>
        <v>1.6298147000000001</v>
      </c>
      <c r="J34" s="860"/>
      <c r="K34" s="860"/>
      <c r="L34" s="860"/>
      <c r="M34" s="860"/>
      <c r="N34" s="860"/>
      <c r="O34" s="860"/>
      <c r="P34" s="860"/>
      <c r="Q34" s="860"/>
      <c r="R34" s="860"/>
      <c r="S34" s="860"/>
      <c r="T34" s="860"/>
      <c r="U34" s="860"/>
      <c r="V34" s="860"/>
      <c r="W34" s="860"/>
      <c r="X34" s="860"/>
      <c r="Y34" s="860"/>
      <c r="Z34" s="860"/>
    </row>
    <row r="35" spans="1:26">
      <c r="A35" s="863"/>
      <c r="B35" s="872"/>
      <c r="C35" s="867"/>
      <c r="D35" s="861"/>
      <c r="E35" s="861"/>
      <c r="F35" s="860"/>
      <c r="G35" s="860"/>
      <c r="H35" s="860"/>
      <c r="I35" s="860"/>
      <c r="J35" s="860"/>
      <c r="K35" s="860"/>
      <c r="L35" s="860"/>
      <c r="M35" s="860"/>
      <c r="N35" s="860"/>
      <c r="O35" s="860"/>
      <c r="P35" s="860"/>
      <c r="Q35" s="860"/>
      <c r="R35" s="860"/>
      <c r="S35" s="860"/>
      <c r="T35" s="860"/>
      <c r="U35" s="860"/>
      <c r="V35" s="860"/>
      <c r="W35" s="860"/>
      <c r="X35" s="860"/>
      <c r="Y35" s="860"/>
      <c r="Z35" s="860"/>
    </row>
    <row r="36" spans="1:26">
      <c r="A36" s="866"/>
      <c r="B36" s="860"/>
      <c r="C36" s="860"/>
      <c r="D36" s="860"/>
      <c r="E36" s="860"/>
      <c r="F36" s="860"/>
      <c r="G36" s="860"/>
      <c r="H36" s="860"/>
      <c r="I36" s="872"/>
      <c r="J36" s="860"/>
      <c r="K36" s="860"/>
      <c r="L36" s="860"/>
      <c r="M36" s="860"/>
      <c r="N36" s="860"/>
      <c r="O36" s="860"/>
      <c r="P36" s="860"/>
      <c r="Q36" s="860"/>
      <c r="R36" s="860"/>
      <c r="S36" s="860"/>
      <c r="T36" s="860"/>
      <c r="U36" s="860"/>
      <c r="V36" s="860"/>
      <c r="W36" s="860"/>
      <c r="X36" s="860"/>
      <c r="Y36" s="860"/>
      <c r="Z36" s="860"/>
    </row>
    <row r="37" spans="1:26">
      <c r="A37" s="861"/>
      <c r="B37" s="860"/>
      <c r="C37" s="860"/>
      <c r="D37" s="860"/>
      <c r="E37" s="860"/>
      <c r="F37" s="860"/>
      <c r="G37" s="860"/>
      <c r="H37" s="860"/>
      <c r="I37" s="860"/>
      <c r="J37" s="860"/>
      <c r="K37" s="860"/>
      <c r="L37" s="860"/>
      <c r="M37" s="860"/>
      <c r="N37" s="860"/>
      <c r="O37" s="860"/>
      <c r="P37" s="860"/>
      <c r="Q37" s="860"/>
      <c r="R37" s="860"/>
      <c r="S37" s="860"/>
      <c r="T37" s="860"/>
      <c r="U37" s="860"/>
      <c r="V37" s="860"/>
      <c r="W37" s="860"/>
      <c r="X37" s="860"/>
      <c r="Y37" s="860"/>
      <c r="Z37" s="860"/>
    </row>
    <row r="38" spans="1:26">
      <c r="A38" s="860"/>
      <c r="B38" s="860"/>
      <c r="C38" s="860"/>
      <c r="D38" s="860"/>
      <c r="E38" s="860"/>
      <c r="F38" s="860"/>
      <c r="G38" s="860"/>
      <c r="H38" s="860"/>
      <c r="I38" s="860"/>
      <c r="J38" s="875"/>
      <c r="K38" s="876"/>
      <c r="L38" s="876"/>
      <c r="M38" s="877"/>
      <c r="N38" s="876"/>
      <c r="O38" s="876"/>
      <c r="P38" s="876"/>
      <c r="Q38" s="876"/>
      <c r="R38" s="876"/>
      <c r="S38" s="876"/>
      <c r="T38" s="876"/>
      <c r="U38" s="876"/>
      <c r="V38" s="876"/>
      <c r="W38" s="876"/>
      <c r="X38" s="876"/>
      <c r="Y38" s="876"/>
      <c r="Z38" s="876"/>
    </row>
    <row r="39" spans="1:26">
      <c r="A39" s="858" t="str">
        <f>COMPANY</f>
        <v>DUKE ENERGY KENTUCKY, INC.</v>
      </c>
      <c r="B39" s="859"/>
      <c r="C39" s="859"/>
      <c r="D39" s="859"/>
      <c r="E39" s="859"/>
      <c r="F39" s="859"/>
      <c r="G39" s="859"/>
      <c r="H39" s="859"/>
      <c r="I39" s="859"/>
      <c r="J39" s="875"/>
      <c r="K39" s="876"/>
      <c r="L39" s="876"/>
      <c r="M39" s="877"/>
      <c r="N39" s="876"/>
      <c r="O39" s="876"/>
      <c r="P39" s="876"/>
      <c r="Q39" s="876"/>
      <c r="R39" s="876"/>
      <c r="S39" s="876"/>
      <c r="T39" s="876"/>
      <c r="U39" s="876"/>
      <c r="V39" s="876"/>
      <c r="W39" s="876"/>
      <c r="X39" s="876"/>
      <c r="Y39" s="876"/>
      <c r="Z39" s="876"/>
    </row>
    <row r="40" spans="1:26">
      <c r="A40" s="858" t="str">
        <f>CASE</f>
        <v>CASE NO. 2017-00321</v>
      </c>
      <c r="B40" s="859"/>
      <c r="C40" s="859"/>
      <c r="D40" s="859"/>
      <c r="E40" s="859"/>
      <c r="F40" s="859"/>
      <c r="G40" s="859"/>
      <c r="H40" s="859"/>
      <c r="I40" s="859"/>
      <c r="J40" s="875"/>
      <c r="K40" s="876"/>
      <c r="L40" s="876"/>
      <c r="M40" s="877"/>
      <c r="N40" s="876"/>
      <c r="O40" s="876"/>
      <c r="P40" s="876"/>
      <c r="Q40" s="876"/>
      <c r="R40" s="876"/>
      <c r="S40" s="876"/>
      <c r="T40" s="876"/>
      <c r="U40" s="876"/>
      <c r="V40" s="876"/>
      <c r="W40" s="876"/>
      <c r="X40" s="876"/>
      <c r="Y40" s="876"/>
      <c r="Z40" s="876"/>
    </row>
    <row r="41" spans="1:26">
      <c r="A41" s="858" t="s">
        <v>1465</v>
      </c>
      <c r="B41" s="859"/>
      <c r="C41" s="859"/>
      <c r="D41" s="859"/>
      <c r="E41" s="859"/>
      <c r="F41" s="859"/>
      <c r="G41" s="859"/>
      <c r="H41" s="859"/>
      <c r="I41" s="859"/>
      <c r="J41" s="875"/>
      <c r="K41" s="876"/>
      <c r="L41" s="876"/>
      <c r="M41" s="877"/>
      <c r="N41" s="876"/>
      <c r="O41" s="876"/>
      <c r="P41" s="876"/>
      <c r="Q41" s="876"/>
      <c r="R41" s="876"/>
      <c r="S41" s="876"/>
      <c r="T41" s="876"/>
      <c r="U41" s="876"/>
      <c r="V41" s="876"/>
      <c r="W41" s="876"/>
      <c r="X41" s="876"/>
      <c r="Y41" s="876"/>
      <c r="Z41" s="876"/>
    </row>
    <row r="42" spans="1:26">
      <c r="A42" s="858" t="str">
        <f>PeriodF</f>
        <v>FOR THE TWELVE MONTHS ENDED MARCH 31, 2019</v>
      </c>
      <c r="B42" s="859"/>
      <c r="C42" s="859"/>
      <c r="D42" s="859"/>
      <c r="E42" s="859"/>
      <c r="F42" s="859"/>
      <c r="G42" s="859"/>
      <c r="H42" s="859"/>
      <c r="I42" s="859"/>
      <c r="J42" s="875"/>
      <c r="K42" s="876"/>
      <c r="L42" s="876"/>
      <c r="M42" s="877"/>
      <c r="N42" s="876"/>
      <c r="O42" s="876"/>
      <c r="P42" s="876"/>
      <c r="Q42" s="876"/>
      <c r="R42" s="876"/>
      <c r="S42" s="876"/>
      <c r="T42" s="876"/>
      <c r="U42" s="876"/>
      <c r="V42" s="876"/>
      <c r="W42" s="876"/>
      <c r="X42" s="876"/>
      <c r="Y42" s="876"/>
      <c r="Z42" s="876"/>
    </row>
    <row r="43" spans="1:26">
      <c r="A43" s="859"/>
      <c r="B43" s="859"/>
      <c r="C43" s="859"/>
      <c r="D43" s="859"/>
      <c r="E43" s="859"/>
      <c r="F43" s="859"/>
      <c r="G43" s="859"/>
      <c r="H43" s="859"/>
      <c r="I43" s="859"/>
      <c r="J43" s="875"/>
      <c r="K43" s="876"/>
      <c r="L43" s="876"/>
      <c r="M43" s="877"/>
      <c r="N43" s="876"/>
      <c r="O43" s="876"/>
      <c r="P43" s="876"/>
      <c r="Q43" s="876"/>
      <c r="R43" s="876"/>
      <c r="S43" s="876"/>
      <c r="T43" s="876"/>
      <c r="U43" s="876"/>
      <c r="V43" s="876"/>
      <c r="W43" s="876"/>
      <c r="X43" s="876"/>
      <c r="Y43" s="876"/>
      <c r="Z43" s="876"/>
    </row>
    <row r="44" spans="1:26">
      <c r="A44" s="589" t="str">
        <f>DataF</f>
        <v>DATA:  BASE PERIOD  "X" FORECASTED PERIOD</v>
      </c>
      <c r="B44" s="860"/>
      <c r="C44" s="860"/>
      <c r="D44" s="860"/>
      <c r="E44" s="860"/>
      <c r="F44" s="860"/>
      <c r="G44" s="860"/>
      <c r="H44" s="860"/>
      <c r="I44" s="861" t="s">
        <v>1466</v>
      </c>
      <c r="J44" s="875"/>
      <c r="K44" s="876"/>
      <c r="L44" s="876"/>
      <c r="M44" s="877"/>
      <c r="N44" s="876"/>
      <c r="O44" s="876"/>
      <c r="P44" s="876"/>
      <c r="Q44" s="876"/>
      <c r="R44" s="876"/>
      <c r="S44" s="876"/>
      <c r="T44" s="876"/>
      <c r="U44" s="876"/>
      <c r="V44" s="876"/>
      <c r="W44" s="876"/>
      <c r="X44" s="876"/>
      <c r="Y44" s="876"/>
      <c r="Z44" s="876"/>
    </row>
    <row r="45" spans="1:26">
      <c r="A45" s="589" t="str">
        <f>Type</f>
        <v xml:space="preserve">TYPE OF FILING:  "X" ORIGINAL   UPDATED    REVISED  </v>
      </c>
      <c r="B45" s="860"/>
      <c r="C45" s="860"/>
      <c r="D45" s="860"/>
      <c r="E45" s="860"/>
      <c r="F45" s="860"/>
      <c r="G45" s="860"/>
      <c r="H45" s="860"/>
      <c r="I45" s="861" t="s">
        <v>86</v>
      </c>
      <c r="J45" s="875"/>
      <c r="K45" s="876"/>
      <c r="L45" s="876"/>
      <c r="M45" s="877"/>
      <c r="N45" s="876"/>
      <c r="O45" s="876"/>
      <c r="P45" s="876"/>
      <c r="Q45" s="876"/>
      <c r="R45" s="876"/>
      <c r="S45" s="876"/>
      <c r="T45" s="876"/>
      <c r="U45" s="876"/>
      <c r="V45" s="876"/>
      <c r="W45" s="876"/>
      <c r="X45" s="876"/>
      <c r="Y45" s="876"/>
      <c r="Z45" s="876"/>
    </row>
    <row r="46" spans="1:26">
      <c r="A46" s="861" t="s">
        <v>1086</v>
      </c>
      <c r="B46" s="860"/>
      <c r="C46" s="860"/>
      <c r="D46" s="860"/>
      <c r="E46" s="860"/>
      <c r="F46" s="860"/>
      <c r="G46" s="860"/>
      <c r="H46" s="860"/>
      <c r="I46" s="861" t="s">
        <v>622</v>
      </c>
      <c r="J46" s="875"/>
      <c r="K46" s="876"/>
      <c r="L46" s="876"/>
      <c r="M46" s="877"/>
      <c r="N46" s="876"/>
      <c r="O46" s="876"/>
      <c r="P46" s="876"/>
      <c r="Q46" s="876"/>
      <c r="R46" s="876"/>
      <c r="S46" s="876"/>
      <c r="T46" s="876"/>
      <c r="U46" s="876"/>
      <c r="V46" s="876"/>
      <c r="W46" s="876"/>
      <c r="X46" s="876"/>
      <c r="Y46" s="876"/>
      <c r="Z46" s="876"/>
    </row>
    <row r="47" spans="1:26">
      <c r="A47" s="860"/>
      <c r="B47" s="860"/>
      <c r="C47" s="860"/>
      <c r="D47" s="860"/>
      <c r="E47" s="860"/>
      <c r="F47" s="860"/>
      <c r="G47" s="860"/>
      <c r="H47" s="860"/>
      <c r="I47" s="861" t="str">
        <f>_WIT1</f>
        <v>S. E. LAWLER</v>
      </c>
      <c r="J47" s="875"/>
      <c r="K47" s="876"/>
      <c r="L47" s="876"/>
      <c r="M47" s="877"/>
      <c r="N47" s="876"/>
      <c r="O47" s="876"/>
      <c r="P47" s="876"/>
      <c r="Q47" s="876"/>
      <c r="R47" s="876"/>
      <c r="S47" s="876"/>
      <c r="T47" s="876"/>
      <c r="U47" s="876"/>
      <c r="V47" s="876"/>
      <c r="W47" s="876"/>
      <c r="X47" s="876"/>
      <c r="Y47" s="876"/>
      <c r="Z47" s="876"/>
    </row>
    <row r="48" spans="1:26">
      <c r="A48" s="862"/>
      <c r="B48" s="862"/>
      <c r="C48" s="862"/>
      <c r="D48" s="862"/>
      <c r="E48" s="862"/>
      <c r="F48" s="862"/>
      <c r="G48" s="862"/>
      <c r="H48" s="862"/>
      <c r="I48" s="862"/>
      <c r="J48" s="875"/>
      <c r="K48" s="876"/>
      <c r="L48" s="876"/>
      <c r="M48" s="877"/>
      <c r="N48" s="876"/>
      <c r="O48" s="876"/>
      <c r="P48" s="876"/>
      <c r="Q48" s="876"/>
      <c r="R48" s="876"/>
      <c r="S48" s="876"/>
      <c r="T48" s="876"/>
      <c r="U48" s="876"/>
      <c r="V48" s="876"/>
      <c r="W48" s="876"/>
      <c r="X48" s="876"/>
      <c r="Y48" s="876"/>
      <c r="Z48" s="876"/>
    </row>
    <row r="49" spans="1:26">
      <c r="A49" s="860"/>
      <c r="B49" s="860"/>
      <c r="C49" s="860"/>
      <c r="D49" s="860"/>
      <c r="E49" s="860"/>
      <c r="F49" s="860"/>
      <c r="G49" s="860"/>
      <c r="H49" s="860"/>
      <c r="I49" s="863" t="s">
        <v>1467</v>
      </c>
      <c r="J49" s="875"/>
      <c r="K49" s="876"/>
      <c r="L49" s="876"/>
      <c r="M49" s="877"/>
      <c r="N49" s="876"/>
      <c r="O49" s="876"/>
      <c r="P49" s="876"/>
      <c r="Q49" s="876"/>
      <c r="R49" s="876"/>
      <c r="S49" s="876"/>
      <c r="T49" s="876"/>
      <c r="U49" s="876"/>
      <c r="V49" s="876"/>
      <c r="W49" s="876"/>
      <c r="X49" s="876"/>
      <c r="Y49" s="876"/>
      <c r="Z49" s="876"/>
    </row>
    <row r="50" spans="1:26">
      <c r="A50" s="863" t="s">
        <v>1961</v>
      </c>
      <c r="B50" s="860"/>
      <c r="C50" s="860"/>
      <c r="D50" s="860"/>
      <c r="E50" s="860"/>
      <c r="F50" s="860"/>
      <c r="G50" s="860"/>
      <c r="H50" s="860"/>
      <c r="I50" s="863" t="s">
        <v>1468</v>
      </c>
      <c r="J50" s="875"/>
      <c r="K50" s="876"/>
      <c r="L50" s="876"/>
      <c r="M50" s="877"/>
      <c r="N50" s="876"/>
      <c r="O50" s="876"/>
      <c r="P50" s="876"/>
      <c r="Q50" s="876"/>
      <c r="R50" s="876"/>
      <c r="S50" s="876"/>
      <c r="T50" s="876"/>
      <c r="U50" s="876"/>
      <c r="V50" s="876"/>
      <c r="W50" s="876"/>
      <c r="X50" s="876"/>
      <c r="Y50" s="876"/>
      <c r="Z50" s="876"/>
    </row>
    <row r="51" spans="1:26">
      <c r="A51" s="863" t="s">
        <v>1854</v>
      </c>
      <c r="B51" s="861" t="s">
        <v>1147</v>
      </c>
      <c r="C51" s="860"/>
      <c r="D51" s="860"/>
      <c r="E51" s="860"/>
      <c r="F51" s="860"/>
      <c r="G51" s="860"/>
      <c r="H51" s="860"/>
      <c r="I51" s="863" t="s">
        <v>1469</v>
      </c>
      <c r="J51" s="875"/>
      <c r="K51" s="876"/>
      <c r="L51" s="876"/>
      <c r="M51" s="877"/>
      <c r="N51" s="876"/>
      <c r="O51" s="876"/>
      <c r="P51" s="876"/>
      <c r="Q51" s="876"/>
      <c r="R51" s="876"/>
      <c r="S51" s="876"/>
      <c r="T51" s="876"/>
      <c r="U51" s="876"/>
      <c r="V51" s="876"/>
      <c r="W51" s="876"/>
      <c r="X51" s="876"/>
      <c r="Y51" s="876"/>
      <c r="Z51" s="876"/>
    </row>
    <row r="52" spans="1:26">
      <c r="A52" s="862"/>
      <c r="B52" s="862"/>
      <c r="C52" s="862"/>
      <c r="D52" s="862"/>
      <c r="E52" s="862"/>
      <c r="F52" s="862"/>
      <c r="G52" s="862"/>
      <c r="H52" s="862"/>
      <c r="I52" s="864" t="s">
        <v>1462</v>
      </c>
      <c r="J52" s="875"/>
      <c r="K52" s="876"/>
      <c r="L52" s="876"/>
      <c r="M52" s="877"/>
      <c r="N52" s="876"/>
      <c r="O52" s="876"/>
      <c r="P52" s="876"/>
      <c r="Q52" s="876"/>
      <c r="R52" s="876"/>
      <c r="S52" s="876"/>
      <c r="T52" s="876"/>
      <c r="U52" s="876"/>
      <c r="V52" s="876"/>
      <c r="W52" s="876"/>
      <c r="X52" s="876"/>
      <c r="Y52" s="876"/>
      <c r="Z52" s="876"/>
    </row>
    <row r="53" spans="1:26">
      <c r="A53" s="860"/>
      <c r="B53" s="860"/>
      <c r="C53" s="860"/>
      <c r="D53" s="860"/>
      <c r="E53" s="860"/>
      <c r="F53" s="860"/>
      <c r="G53" s="860"/>
      <c r="H53" s="860"/>
      <c r="I53" s="860"/>
      <c r="J53" s="875"/>
      <c r="K53" s="876"/>
      <c r="L53" s="876"/>
      <c r="M53" s="877"/>
      <c r="N53" s="876"/>
      <c r="O53" s="876"/>
      <c r="P53" s="876"/>
      <c r="Q53" s="876"/>
      <c r="R53" s="876"/>
      <c r="S53" s="876"/>
      <c r="T53" s="876"/>
      <c r="U53" s="876"/>
      <c r="V53" s="876"/>
      <c r="W53" s="876"/>
      <c r="X53" s="876"/>
      <c r="Y53" s="876"/>
      <c r="Z53" s="876"/>
    </row>
    <row r="54" spans="1:26">
      <c r="A54" s="863">
        <v>1</v>
      </c>
      <c r="B54" s="861" t="s">
        <v>1470</v>
      </c>
      <c r="C54" s="860"/>
      <c r="D54" s="865"/>
      <c r="E54" s="865"/>
      <c r="F54" s="860"/>
      <c r="G54" s="860"/>
      <c r="H54" s="860"/>
      <c r="I54" s="1329">
        <v>1</v>
      </c>
      <c r="J54" s="875"/>
      <c r="K54" s="876"/>
      <c r="L54" s="876"/>
      <c r="M54" s="877"/>
      <c r="N54" s="876"/>
      <c r="O54" s="876"/>
      <c r="P54" s="876"/>
      <c r="Q54" s="876"/>
      <c r="R54" s="876"/>
      <c r="S54" s="876"/>
      <c r="T54" s="876"/>
      <c r="U54" s="876"/>
      <c r="V54" s="876"/>
      <c r="W54" s="876"/>
      <c r="X54" s="876"/>
      <c r="Y54" s="876"/>
      <c r="Z54" s="876"/>
    </row>
    <row r="55" spans="1:26">
      <c r="A55" s="866">
        <v>2</v>
      </c>
      <c r="B55" s="860"/>
      <c r="C55" s="860"/>
      <c r="D55" s="860"/>
      <c r="E55" s="860"/>
      <c r="F55" s="860"/>
      <c r="G55" s="860"/>
      <c r="H55" s="860"/>
      <c r="I55" s="867"/>
      <c r="J55" s="875"/>
      <c r="K55" s="876"/>
      <c r="L55" s="876"/>
      <c r="M55" s="877"/>
      <c r="N55" s="876"/>
      <c r="O55" s="876"/>
      <c r="P55" s="876"/>
      <c r="Q55" s="876"/>
      <c r="R55" s="876"/>
      <c r="S55" s="876"/>
      <c r="T55" s="876"/>
      <c r="U55" s="876"/>
      <c r="V55" s="876"/>
      <c r="W55" s="876"/>
      <c r="X55" s="876"/>
      <c r="Y55" s="876"/>
      <c r="Z55" s="876"/>
    </row>
    <row r="56" spans="1:26">
      <c r="A56" s="866">
        <v>3</v>
      </c>
      <c r="B56" s="860"/>
      <c r="C56" s="860"/>
      <c r="D56" s="860"/>
      <c r="E56" s="860"/>
      <c r="F56" s="860"/>
      <c r="G56" s="860"/>
      <c r="H56" s="860"/>
      <c r="I56" s="867"/>
      <c r="J56" s="875"/>
      <c r="K56" s="876"/>
      <c r="L56" s="876"/>
      <c r="M56" s="877"/>
      <c r="N56" s="876"/>
      <c r="O56" s="876"/>
      <c r="P56" s="876"/>
      <c r="Q56" s="876"/>
      <c r="R56" s="876"/>
      <c r="S56" s="876"/>
      <c r="T56" s="876"/>
      <c r="U56" s="876"/>
      <c r="V56" s="876"/>
      <c r="W56" s="876"/>
      <c r="X56" s="876"/>
      <c r="Y56" s="876"/>
      <c r="Z56" s="876"/>
    </row>
    <row r="57" spans="1:26">
      <c r="A57" s="866">
        <v>4</v>
      </c>
      <c r="B57" s="861" t="s">
        <v>1471</v>
      </c>
      <c r="C57" s="860"/>
      <c r="D57" s="860"/>
      <c r="E57" s="860"/>
      <c r="F57" s="1329">
        <f>F19</f>
        <v>7.5000000000000002E-4</v>
      </c>
      <c r="G57" s="860"/>
      <c r="H57" s="860"/>
      <c r="I57" s="867"/>
      <c r="J57" s="875"/>
      <c r="K57" s="876"/>
      <c r="L57" s="876"/>
      <c r="M57" s="877"/>
      <c r="N57" s="876"/>
      <c r="O57" s="876"/>
      <c r="P57" s="876"/>
      <c r="Q57" s="876"/>
      <c r="R57" s="876"/>
      <c r="S57" s="876"/>
      <c r="T57" s="876"/>
      <c r="U57" s="876"/>
      <c r="V57" s="876"/>
      <c r="W57" s="876"/>
      <c r="X57" s="876"/>
      <c r="Y57" s="876"/>
      <c r="Z57" s="876"/>
    </row>
    <row r="58" spans="1:26">
      <c r="A58" s="863">
        <v>5</v>
      </c>
      <c r="B58" s="861" t="s">
        <v>1472</v>
      </c>
      <c r="C58" s="860"/>
      <c r="D58" s="860"/>
      <c r="E58" s="867"/>
      <c r="F58" s="1329">
        <f>F20</f>
        <v>1.9959999999999999E-3</v>
      </c>
      <c r="G58" s="860"/>
      <c r="H58" s="860"/>
      <c r="I58" s="867"/>
      <c r="J58" s="875"/>
      <c r="K58" s="876"/>
      <c r="L58" s="876"/>
      <c r="M58" s="877"/>
      <c r="N58" s="876"/>
      <c r="O58" s="876"/>
      <c r="P58" s="876"/>
      <c r="Q58" s="876"/>
      <c r="R58" s="876"/>
      <c r="S58" s="876"/>
      <c r="T58" s="876"/>
      <c r="U58" s="876"/>
      <c r="V58" s="876"/>
      <c r="W58" s="876"/>
      <c r="X58" s="876"/>
      <c r="Y58" s="876"/>
      <c r="Z58" s="876"/>
    </row>
    <row r="59" spans="1:26">
      <c r="A59" s="866">
        <v>6</v>
      </c>
      <c r="B59" s="863" t="s">
        <v>1473</v>
      </c>
      <c r="C59" s="860"/>
      <c r="D59" s="868"/>
      <c r="E59" s="867"/>
      <c r="F59" s="868"/>
      <c r="G59" s="860"/>
      <c r="H59" s="860"/>
      <c r="I59" s="869">
        <f>F57+F58</f>
        <v>2.7460000000000002E-3</v>
      </c>
      <c r="J59" s="875"/>
      <c r="K59" s="876"/>
      <c r="L59" s="876"/>
      <c r="M59" s="877"/>
      <c r="N59" s="876"/>
      <c r="O59" s="876"/>
      <c r="P59" s="876"/>
      <c r="Q59" s="876"/>
      <c r="R59" s="876"/>
      <c r="S59" s="876"/>
      <c r="T59" s="876"/>
      <c r="U59" s="876"/>
      <c r="V59" s="876"/>
      <c r="W59" s="876"/>
      <c r="X59" s="876"/>
      <c r="Y59" s="876"/>
      <c r="Z59" s="876"/>
    </row>
    <row r="60" spans="1:26">
      <c r="A60" s="866">
        <v>7</v>
      </c>
      <c r="B60" s="860"/>
      <c r="C60" s="860"/>
      <c r="D60" s="870"/>
      <c r="E60" s="870"/>
      <c r="F60" s="870"/>
      <c r="G60" s="860"/>
      <c r="H60" s="860"/>
      <c r="I60" s="870"/>
      <c r="J60" s="875"/>
      <c r="K60" s="876"/>
      <c r="L60" s="876"/>
      <c r="M60" s="877"/>
      <c r="N60" s="876"/>
      <c r="O60" s="876"/>
      <c r="P60" s="876"/>
      <c r="Q60" s="876"/>
      <c r="R60" s="876"/>
      <c r="S60" s="876"/>
      <c r="T60" s="876"/>
      <c r="U60" s="876"/>
      <c r="V60" s="876"/>
      <c r="W60" s="876"/>
      <c r="X60" s="876"/>
      <c r="Y60" s="876"/>
      <c r="Z60" s="876"/>
    </row>
    <row r="61" spans="1:26">
      <c r="A61" s="866">
        <v>8</v>
      </c>
      <c r="B61" s="861" t="s">
        <v>1087</v>
      </c>
      <c r="C61" s="860"/>
      <c r="D61" s="871"/>
      <c r="E61" s="871"/>
      <c r="F61" s="865"/>
      <c r="G61" s="860"/>
      <c r="H61" s="860"/>
      <c r="I61" s="1329">
        <f>ROUND(I54-I59,7)</f>
        <v>0.99725399999999997</v>
      </c>
      <c r="J61" s="875"/>
      <c r="K61" s="876"/>
      <c r="L61" s="876"/>
      <c r="M61" s="877"/>
      <c r="N61" s="876"/>
      <c r="O61" s="876"/>
      <c r="P61" s="876"/>
      <c r="Q61" s="876"/>
      <c r="R61" s="876"/>
      <c r="S61" s="876"/>
      <c r="T61" s="876"/>
      <c r="U61" s="876"/>
      <c r="V61" s="876"/>
      <c r="W61" s="876"/>
      <c r="X61" s="876"/>
      <c r="Y61" s="876"/>
      <c r="Z61" s="876"/>
    </row>
    <row r="62" spans="1:26">
      <c r="A62" s="863">
        <v>9</v>
      </c>
      <c r="B62" s="860"/>
      <c r="C62" s="860"/>
      <c r="D62" s="860"/>
      <c r="E62" s="860"/>
      <c r="F62" s="860"/>
      <c r="G62" s="860"/>
      <c r="H62" s="860"/>
      <c r="I62" s="865"/>
      <c r="J62" s="875"/>
      <c r="K62" s="876"/>
      <c r="L62" s="876"/>
      <c r="M62" s="877"/>
      <c r="N62" s="876"/>
      <c r="O62" s="876"/>
      <c r="P62" s="876"/>
      <c r="Q62" s="876"/>
      <c r="R62" s="876"/>
      <c r="S62" s="876"/>
      <c r="T62" s="876"/>
      <c r="U62" s="876"/>
      <c r="V62" s="876"/>
      <c r="W62" s="876"/>
      <c r="X62" s="876"/>
      <c r="Y62" s="876"/>
      <c r="Z62" s="876"/>
    </row>
    <row r="63" spans="1:26">
      <c r="A63" s="866">
        <v>10</v>
      </c>
      <c r="B63" s="860" t="s">
        <v>1474</v>
      </c>
      <c r="C63" s="860"/>
      <c r="D63" s="860"/>
      <c r="E63" s="860"/>
      <c r="F63" s="860"/>
      <c r="G63" s="860"/>
      <c r="H63" s="860"/>
      <c r="I63" s="867"/>
      <c r="J63" s="875"/>
      <c r="K63" s="876"/>
      <c r="L63" s="876"/>
      <c r="M63" s="877"/>
      <c r="N63" s="876"/>
      <c r="O63" s="876"/>
      <c r="P63" s="876"/>
      <c r="Q63" s="876"/>
      <c r="R63" s="876"/>
      <c r="S63" s="876"/>
      <c r="T63" s="876"/>
      <c r="U63" s="876"/>
      <c r="V63" s="876"/>
      <c r="W63" s="876"/>
      <c r="X63" s="876"/>
      <c r="Y63" s="876"/>
      <c r="Z63" s="876"/>
    </row>
    <row r="64" spans="1:26">
      <c r="A64" s="866">
        <v>11</v>
      </c>
      <c r="B64" s="860" t="str">
        <f>"      ("&amp;TEXT(SIT,"0.00#%")&amp;" * "&amp;TEXT(I61,"##.####%")&amp;" * "&amp;TEXT(APPORT,"##.####%")&amp;")"</f>
        <v xml:space="preserve">      (6.00% * 99.7254% * 89.0867%)</v>
      </c>
      <c r="C64" s="860"/>
      <c r="D64" s="860"/>
      <c r="E64" s="860"/>
      <c r="F64" s="860"/>
      <c r="G64" s="860"/>
      <c r="H64" s="860"/>
      <c r="I64" s="869">
        <f>ROUND(SIT*SCH_H!I61*APPORT,7)</f>
        <v>5.3305199999999997E-2</v>
      </c>
      <c r="J64" s="875"/>
      <c r="K64" s="876"/>
      <c r="L64" s="876"/>
      <c r="M64" s="877"/>
      <c r="N64" s="876"/>
      <c r="O64" s="876"/>
      <c r="P64" s="876"/>
      <c r="Q64" s="876"/>
      <c r="R64" s="876"/>
      <c r="S64" s="876"/>
      <c r="T64" s="876"/>
      <c r="U64" s="876"/>
      <c r="V64" s="876"/>
      <c r="W64" s="876"/>
      <c r="X64" s="876"/>
      <c r="Y64" s="876"/>
      <c r="Z64" s="876"/>
    </row>
    <row r="65" spans="1:26">
      <c r="A65" s="866">
        <v>12</v>
      </c>
      <c r="B65" s="860"/>
      <c r="C65" s="860"/>
      <c r="D65" s="860"/>
      <c r="E65" s="860"/>
      <c r="F65" s="860"/>
      <c r="G65" s="860"/>
      <c r="H65" s="860"/>
      <c r="I65" s="865"/>
      <c r="J65" s="875"/>
      <c r="K65" s="876"/>
      <c r="L65" s="876"/>
      <c r="M65" s="877"/>
      <c r="N65" s="876"/>
      <c r="O65" s="876"/>
      <c r="P65" s="876"/>
      <c r="Q65" s="876"/>
      <c r="R65" s="876"/>
      <c r="S65" s="876"/>
      <c r="T65" s="876"/>
      <c r="U65" s="876"/>
      <c r="V65" s="876"/>
      <c r="W65" s="876"/>
      <c r="X65" s="876"/>
      <c r="Y65" s="876"/>
      <c r="Z65" s="876"/>
    </row>
    <row r="66" spans="1:26">
      <c r="A66" s="863">
        <v>13</v>
      </c>
      <c r="B66" s="861" t="s">
        <v>1088</v>
      </c>
      <c r="C66" s="860"/>
      <c r="D66" s="860"/>
      <c r="E66" s="860"/>
      <c r="F66" s="860"/>
      <c r="G66" s="860"/>
      <c r="H66" s="860"/>
      <c r="I66" s="1329">
        <f>I61-I64</f>
        <v>0.94394880000000003</v>
      </c>
      <c r="J66" s="875"/>
      <c r="K66" s="876"/>
      <c r="L66" s="876"/>
      <c r="M66" s="877"/>
      <c r="N66" s="876"/>
      <c r="O66" s="876"/>
      <c r="P66" s="876"/>
      <c r="Q66" s="876"/>
      <c r="R66" s="876"/>
      <c r="S66" s="876"/>
      <c r="T66" s="876"/>
      <c r="U66" s="876"/>
      <c r="V66" s="876"/>
      <c r="W66" s="876"/>
      <c r="X66" s="876"/>
      <c r="Y66" s="876"/>
      <c r="Z66" s="876"/>
    </row>
    <row r="67" spans="1:26">
      <c r="A67" s="866">
        <v>14</v>
      </c>
      <c r="B67" s="860"/>
      <c r="C67" s="860"/>
      <c r="D67" s="860"/>
      <c r="E67" s="860"/>
      <c r="F67" s="860"/>
      <c r="G67" s="860"/>
      <c r="H67" s="860"/>
      <c r="I67" s="865"/>
      <c r="J67" s="875"/>
      <c r="K67" s="876"/>
      <c r="L67" s="876"/>
      <c r="M67" s="877"/>
      <c r="N67" s="876"/>
      <c r="O67" s="876"/>
      <c r="P67" s="876"/>
      <c r="Q67" s="876"/>
      <c r="R67" s="876"/>
      <c r="S67" s="876"/>
      <c r="T67" s="876"/>
      <c r="U67" s="876"/>
      <c r="V67" s="876"/>
      <c r="W67" s="876"/>
      <c r="X67" s="876"/>
      <c r="Y67" s="876"/>
      <c r="Z67" s="876"/>
    </row>
    <row r="68" spans="1:26">
      <c r="A68" s="866">
        <v>15</v>
      </c>
      <c r="B68" s="861" t="str">
        <f>"        Federal Income Tax ("&amp;TEXT(FIT,"##%")&amp;" x "&amp;TEXT(I66,"##.####%")&amp;")"</f>
        <v xml:space="preserve">        Federal Income Tax (35% x 94.3949%)</v>
      </c>
      <c r="C68" s="867"/>
      <c r="D68" s="872"/>
      <c r="E68" s="872"/>
      <c r="F68" s="867"/>
      <c r="G68" s="861"/>
      <c r="H68" s="861"/>
      <c r="I68" s="869">
        <f>ROUND(FIT*SCH_H!I66,7)</f>
        <v>0.33038210000000001</v>
      </c>
      <c r="J68" s="875"/>
      <c r="K68" s="876"/>
      <c r="L68" s="876"/>
      <c r="M68" s="877"/>
      <c r="N68" s="876"/>
      <c r="O68" s="876"/>
      <c r="P68" s="876"/>
      <c r="Q68" s="876"/>
      <c r="R68" s="876"/>
      <c r="S68" s="876"/>
      <c r="T68" s="876"/>
      <c r="U68" s="876"/>
      <c r="V68" s="876"/>
      <c r="W68" s="876"/>
      <c r="X68" s="876"/>
      <c r="Y68" s="876"/>
      <c r="Z68" s="876"/>
    </row>
    <row r="69" spans="1:26">
      <c r="A69" s="866">
        <v>16</v>
      </c>
      <c r="B69" s="860"/>
      <c r="C69" s="867"/>
      <c r="D69" s="860"/>
      <c r="E69" s="860"/>
      <c r="F69" s="865"/>
      <c r="G69" s="860"/>
      <c r="H69" s="860"/>
      <c r="I69" s="870"/>
      <c r="J69" s="875"/>
      <c r="K69" s="876"/>
      <c r="L69" s="876"/>
      <c r="M69" s="877"/>
      <c r="N69" s="876"/>
      <c r="O69" s="876"/>
      <c r="P69" s="876"/>
      <c r="Q69" s="876"/>
      <c r="R69" s="876"/>
      <c r="S69" s="876"/>
      <c r="T69" s="876"/>
      <c r="U69" s="876"/>
      <c r="V69" s="876"/>
      <c r="W69" s="876"/>
      <c r="X69" s="876"/>
      <c r="Y69" s="876"/>
      <c r="Z69" s="876"/>
    </row>
    <row r="70" spans="1:26">
      <c r="A70" s="863">
        <v>17</v>
      </c>
      <c r="B70" s="861" t="s">
        <v>1089</v>
      </c>
      <c r="C70" s="860"/>
      <c r="D70" s="871"/>
      <c r="E70" s="871"/>
      <c r="F70" s="860"/>
      <c r="G70" s="860"/>
      <c r="H70" s="860"/>
      <c r="I70" s="878">
        <f>ROUND(I66-I68,7)</f>
        <v>0.61356670000000002</v>
      </c>
      <c r="J70" s="875"/>
      <c r="K70" s="876"/>
      <c r="L70" s="876"/>
      <c r="M70" s="877"/>
      <c r="N70" s="876"/>
      <c r="O70" s="876"/>
      <c r="P70" s="876"/>
      <c r="Q70" s="876"/>
      <c r="R70" s="876"/>
      <c r="S70" s="876"/>
      <c r="T70" s="876"/>
      <c r="U70" s="876"/>
      <c r="V70" s="876"/>
      <c r="W70" s="876"/>
      <c r="X70" s="876"/>
      <c r="Y70" s="876"/>
      <c r="Z70" s="876"/>
    </row>
    <row r="71" spans="1:26">
      <c r="A71" s="866">
        <v>18</v>
      </c>
      <c r="B71" s="860"/>
      <c r="C71" s="860"/>
      <c r="D71" s="860"/>
      <c r="E71" s="860"/>
      <c r="F71" s="860"/>
      <c r="G71" s="860"/>
      <c r="H71" s="860"/>
      <c r="I71" s="872"/>
      <c r="J71" s="875"/>
      <c r="K71" s="876"/>
      <c r="L71" s="876"/>
      <c r="M71" s="877"/>
      <c r="N71" s="876"/>
      <c r="O71" s="876"/>
      <c r="P71" s="876"/>
      <c r="Q71" s="876"/>
      <c r="R71" s="876"/>
      <c r="S71" s="876"/>
      <c r="T71" s="876"/>
      <c r="U71" s="876"/>
      <c r="V71" s="876"/>
      <c r="W71" s="876"/>
      <c r="X71" s="876"/>
      <c r="Y71" s="876"/>
      <c r="Z71" s="876"/>
    </row>
    <row r="72" spans="1:26">
      <c r="A72" s="866">
        <v>19</v>
      </c>
      <c r="B72" s="861" t="str">
        <f>"   Gross Revenue Conversion Factor ("&amp;TEXT(I54,"####%")&amp;" / "&amp;TEXT(I70,"##.####%")&amp;")"</f>
        <v xml:space="preserve">   Gross Revenue Conversion Factor (100% / 61.3567%)</v>
      </c>
      <c r="C72" s="860"/>
      <c r="D72" s="860"/>
      <c r="E72" s="860"/>
      <c r="F72" s="860"/>
      <c r="G72" s="860"/>
      <c r="H72" s="860"/>
      <c r="I72" s="874">
        <f>ROUND((I54/I70),7)</f>
        <v>1.6298147000000001</v>
      </c>
      <c r="J72" s="875"/>
      <c r="K72" s="876"/>
      <c r="L72" s="876"/>
      <c r="M72" s="877"/>
      <c r="N72" s="876"/>
      <c r="O72" s="876"/>
      <c r="P72" s="876"/>
      <c r="Q72" s="876"/>
      <c r="R72" s="876"/>
      <c r="S72" s="876"/>
      <c r="T72" s="876"/>
      <c r="U72" s="876"/>
      <c r="V72" s="876"/>
      <c r="W72" s="876"/>
      <c r="X72" s="876"/>
      <c r="Y72" s="876"/>
      <c r="Z72" s="876"/>
    </row>
    <row r="73" spans="1:26">
      <c r="A73" s="863"/>
      <c r="B73" s="872"/>
      <c r="C73" s="867"/>
      <c r="D73" s="861"/>
      <c r="E73" s="861"/>
      <c r="F73" s="860"/>
      <c r="G73" s="860"/>
      <c r="H73" s="860"/>
      <c r="I73" s="860"/>
      <c r="J73" s="875"/>
      <c r="K73" s="876"/>
      <c r="L73" s="876"/>
      <c r="M73" s="877"/>
      <c r="N73" s="876"/>
      <c r="O73" s="876"/>
      <c r="P73" s="876"/>
      <c r="Q73" s="876"/>
      <c r="R73" s="876"/>
      <c r="S73" s="876"/>
      <c r="T73" s="876"/>
      <c r="U73" s="876"/>
      <c r="V73" s="876"/>
      <c r="W73" s="876"/>
      <c r="X73" s="876"/>
      <c r="Y73" s="876"/>
      <c r="Z73" s="876"/>
    </row>
    <row r="74" spans="1:26">
      <c r="A74" s="866"/>
      <c r="B74" s="860"/>
      <c r="C74" s="860"/>
      <c r="D74" s="860"/>
      <c r="E74" s="860"/>
      <c r="F74" s="860"/>
      <c r="G74" s="860"/>
      <c r="H74" s="860"/>
      <c r="I74" s="872"/>
      <c r="J74" s="875"/>
      <c r="K74" s="876"/>
      <c r="L74" s="876"/>
      <c r="M74" s="877"/>
      <c r="N74" s="876"/>
      <c r="O74" s="876"/>
      <c r="P74" s="876"/>
      <c r="Q74" s="876"/>
      <c r="R74" s="876"/>
      <c r="S74" s="876"/>
      <c r="T74" s="876"/>
      <c r="U74" s="876"/>
      <c r="V74" s="876"/>
      <c r="W74" s="876"/>
      <c r="X74" s="876"/>
      <c r="Y74" s="876"/>
      <c r="Z74" s="876"/>
    </row>
    <row r="75" spans="1:26">
      <c r="A75" s="861"/>
      <c r="B75" s="860"/>
      <c r="C75" s="860"/>
      <c r="D75" s="860"/>
      <c r="E75" s="860"/>
      <c r="F75" s="860"/>
      <c r="G75" s="860"/>
      <c r="H75" s="860"/>
      <c r="I75" s="860"/>
      <c r="J75" s="875"/>
      <c r="K75" s="876"/>
      <c r="L75" s="876"/>
      <c r="M75" s="877"/>
      <c r="N75" s="876"/>
      <c r="O75" s="876"/>
      <c r="P75" s="876"/>
      <c r="Q75" s="876"/>
      <c r="R75" s="876"/>
      <c r="S75" s="876"/>
      <c r="T75" s="876"/>
      <c r="U75" s="876"/>
      <c r="V75" s="876"/>
      <c r="W75" s="876"/>
      <c r="X75" s="876"/>
      <c r="Y75" s="876"/>
      <c r="Z75" s="876"/>
    </row>
    <row r="76" spans="1:26">
      <c r="A76" s="860"/>
      <c r="B76" s="860"/>
      <c r="C76" s="860"/>
      <c r="D76" s="860"/>
      <c r="E76" s="860"/>
      <c r="F76" s="860"/>
      <c r="G76" s="860"/>
      <c r="H76" s="860"/>
      <c r="I76" s="860"/>
      <c r="J76" s="875"/>
      <c r="K76" s="876"/>
      <c r="L76" s="876"/>
      <c r="M76" s="877"/>
      <c r="N76" s="876"/>
      <c r="O76" s="876"/>
      <c r="P76" s="876"/>
      <c r="Q76" s="876"/>
      <c r="R76" s="876"/>
      <c r="S76" s="876"/>
      <c r="T76" s="876"/>
      <c r="U76" s="876"/>
      <c r="V76" s="876"/>
      <c r="W76" s="876"/>
      <c r="X76" s="876"/>
      <c r="Y76" s="876"/>
      <c r="Z76" s="876"/>
    </row>
    <row r="77" spans="1:26">
      <c r="A77" s="860"/>
      <c r="B77" s="860"/>
      <c r="C77" s="860"/>
      <c r="D77" s="860"/>
      <c r="E77" s="860"/>
      <c r="F77" s="860"/>
      <c r="G77" s="860"/>
      <c r="H77" s="860"/>
      <c r="I77" s="860"/>
      <c r="J77" s="875"/>
      <c r="K77" s="876"/>
      <c r="L77" s="876"/>
      <c r="M77" s="877"/>
      <c r="N77" s="876"/>
      <c r="O77" s="876"/>
      <c r="P77" s="876"/>
      <c r="Q77" s="876"/>
      <c r="R77" s="876"/>
      <c r="S77" s="876"/>
      <c r="T77" s="876"/>
      <c r="U77" s="876"/>
      <c r="V77" s="876"/>
      <c r="W77" s="876"/>
      <c r="X77" s="876"/>
      <c r="Y77" s="876"/>
      <c r="Z77" s="876"/>
    </row>
    <row r="78" spans="1:26">
      <c r="A78" s="860"/>
      <c r="B78" s="860"/>
      <c r="C78" s="860"/>
      <c r="D78" s="860"/>
      <c r="E78" s="860"/>
      <c r="F78" s="860"/>
      <c r="G78" s="860"/>
      <c r="H78" s="860"/>
      <c r="I78" s="860"/>
      <c r="J78" s="875"/>
      <c r="K78" s="876"/>
      <c r="L78" s="876"/>
      <c r="M78" s="877"/>
      <c r="N78" s="876"/>
      <c r="O78" s="876"/>
      <c r="P78" s="876"/>
      <c r="Q78" s="876"/>
      <c r="R78" s="876"/>
      <c r="S78" s="876"/>
      <c r="T78" s="876"/>
      <c r="U78" s="876"/>
      <c r="V78" s="876"/>
      <c r="W78" s="876"/>
      <c r="X78" s="876"/>
      <c r="Y78" s="876"/>
      <c r="Z78" s="876"/>
    </row>
    <row r="79" spans="1:26">
      <c r="A79" s="860"/>
      <c r="B79" s="860"/>
      <c r="C79" s="860"/>
      <c r="D79" s="860"/>
      <c r="E79" s="860"/>
      <c r="F79" s="860"/>
      <c r="G79" s="860"/>
      <c r="H79" s="860"/>
      <c r="I79" s="860"/>
      <c r="J79" s="875"/>
      <c r="K79" s="876"/>
      <c r="L79" s="876"/>
      <c r="M79" s="877"/>
      <c r="N79" s="876"/>
      <c r="O79" s="876"/>
      <c r="P79" s="876"/>
      <c r="Q79" s="876"/>
      <c r="R79" s="876"/>
      <c r="S79" s="876"/>
      <c r="T79" s="876"/>
      <c r="U79" s="876"/>
      <c r="V79" s="876"/>
      <c r="W79" s="876"/>
      <c r="X79" s="876"/>
      <c r="Y79" s="876"/>
      <c r="Z79" s="876"/>
    </row>
    <row r="80" spans="1:26">
      <c r="A80" s="860"/>
      <c r="B80" s="860"/>
      <c r="C80" s="860"/>
      <c r="D80" s="860"/>
      <c r="E80" s="860"/>
      <c r="F80" s="860"/>
      <c r="G80" s="860"/>
      <c r="H80" s="860"/>
      <c r="I80" s="860"/>
      <c r="J80" s="875"/>
      <c r="K80" s="1571" t="str">
        <f>COMPANY</f>
        <v>DUKE ENERGY KENTUCKY, INC.</v>
      </c>
      <c r="L80" s="1571"/>
      <c r="M80" s="879"/>
      <c r="N80" s="860"/>
      <c r="O80" s="879"/>
      <c r="P80" s="860"/>
      <c r="Q80" s="860"/>
      <c r="R80" s="876"/>
      <c r="S80" s="876"/>
      <c r="T80" s="876"/>
      <c r="U80" s="876"/>
      <c r="W80" s="876"/>
      <c r="X80" s="1571" t="s">
        <v>1475</v>
      </c>
      <c r="Y80" s="876"/>
      <c r="Z80" s="876"/>
    </row>
    <row r="81" spans="1:27">
      <c r="A81" s="860"/>
      <c r="B81" s="860"/>
      <c r="C81" s="860"/>
      <c r="D81" s="860"/>
      <c r="E81" s="860"/>
      <c r="F81" s="1852" t="s">
        <v>2270</v>
      </c>
      <c r="G81" s="1853"/>
      <c r="H81" s="1853"/>
      <c r="I81" s="1854">
        <f>ROUND(I54/I61,7)</f>
        <v>1.0027535999999999</v>
      </c>
      <c r="J81" s="875"/>
      <c r="K81" s="1571" t="str">
        <f>DEPT</f>
        <v>ELECTRIC DEPARTMENT</v>
      </c>
      <c r="L81" s="1571"/>
      <c r="M81" s="879"/>
      <c r="N81" s="860"/>
      <c r="O81" s="879"/>
      <c r="P81" s="860"/>
      <c r="Q81" s="860"/>
      <c r="R81" s="876"/>
      <c r="S81" s="876"/>
      <c r="T81" s="876"/>
      <c r="U81" s="876"/>
      <c r="W81" s="876"/>
      <c r="X81" s="861" t="s">
        <v>622</v>
      </c>
      <c r="Y81" s="876"/>
      <c r="Z81" s="876"/>
    </row>
    <row r="82" spans="1:27">
      <c r="A82" s="860"/>
      <c r="B82" s="860"/>
      <c r="C82" s="860"/>
      <c r="D82" s="860"/>
      <c r="E82" s="860"/>
      <c r="F82" s="860"/>
      <c r="G82" s="860"/>
      <c r="H82" s="860"/>
      <c r="I82" s="2662"/>
      <c r="J82" s="875"/>
      <c r="K82" s="1571" t="str">
        <f>CASE</f>
        <v>CASE NO. 2017-00321</v>
      </c>
      <c r="L82" s="1571"/>
      <c r="M82" s="879"/>
      <c r="N82" s="860"/>
      <c r="O82" s="879"/>
      <c r="P82" s="860"/>
      <c r="Q82" s="860"/>
      <c r="R82" s="876"/>
      <c r="S82" s="876"/>
      <c r="T82" s="876"/>
      <c r="U82" s="876"/>
      <c r="W82" s="876"/>
      <c r="X82" s="1571" t="str">
        <f>_WIT1</f>
        <v>S. E. LAWLER</v>
      </c>
      <c r="Y82" s="876"/>
      <c r="Z82" s="876"/>
    </row>
    <row r="83" spans="1:27">
      <c r="A83" s="860"/>
      <c r="B83" s="860"/>
      <c r="C83" s="860"/>
      <c r="D83" s="860"/>
      <c r="E83" s="860"/>
      <c r="F83" s="860"/>
      <c r="G83" s="860"/>
      <c r="H83" s="860"/>
      <c r="I83" s="860"/>
      <c r="J83" s="877"/>
      <c r="K83" s="315" t="s">
        <v>485</v>
      </c>
      <c r="L83" s="1571"/>
      <c r="M83" s="879"/>
      <c r="N83" s="879"/>
      <c r="O83" s="879"/>
      <c r="P83" s="1571"/>
      <c r="Q83" s="860"/>
      <c r="R83" s="876"/>
      <c r="S83" s="876"/>
      <c r="T83" s="876"/>
      <c r="U83" s="876"/>
      <c r="V83" s="876"/>
      <c r="W83" s="876"/>
      <c r="X83" s="876"/>
      <c r="Y83" s="876"/>
      <c r="Z83" s="876"/>
    </row>
    <row r="84" spans="1:27">
      <c r="A84" s="860"/>
      <c r="B84" s="860"/>
      <c r="C84" s="860"/>
      <c r="D84" s="860"/>
      <c r="E84" s="860"/>
      <c r="F84" s="860"/>
      <c r="G84" s="860"/>
      <c r="H84" s="860"/>
      <c r="I84" s="860"/>
      <c r="J84" s="876"/>
      <c r="K84" s="45" t="s">
        <v>486</v>
      </c>
      <c r="L84" s="1571"/>
      <c r="M84" s="879"/>
      <c r="N84" s="879"/>
      <c r="O84" s="879"/>
      <c r="P84" s="1571"/>
      <c r="Q84" s="1571"/>
      <c r="R84" s="880"/>
      <c r="S84" s="880"/>
      <c r="T84" s="880"/>
      <c r="U84" s="880"/>
      <c r="V84" s="880"/>
      <c r="W84" s="880"/>
      <c r="X84" s="876"/>
      <c r="Y84" s="876"/>
      <c r="Z84" s="876"/>
    </row>
    <row r="85" spans="1:27">
      <c r="A85" s="860"/>
      <c r="B85" s="860"/>
      <c r="C85" s="860"/>
      <c r="D85" s="860"/>
      <c r="E85" s="860"/>
      <c r="F85" s="860"/>
      <c r="G85" s="860"/>
      <c r="H85" s="860"/>
      <c r="I85" s="860"/>
      <c r="J85" s="875"/>
      <c r="K85" s="1571"/>
      <c r="L85" s="1571"/>
      <c r="M85" s="879"/>
      <c r="N85" s="879"/>
      <c r="O85" s="879"/>
      <c r="P85" s="1571"/>
      <c r="Q85" s="1571"/>
      <c r="R85" s="876"/>
      <c r="S85" s="876"/>
      <c r="T85" s="876"/>
      <c r="U85" s="876"/>
      <c r="V85" s="876"/>
      <c r="W85" s="876"/>
      <c r="X85" s="876"/>
      <c r="Y85" s="876"/>
      <c r="Z85" s="876"/>
    </row>
    <row r="86" spans="1:27">
      <c r="A86" s="860"/>
      <c r="B86" s="860"/>
      <c r="C86" s="860"/>
      <c r="D86" s="860"/>
      <c r="E86" s="860"/>
      <c r="F86" s="860"/>
      <c r="G86" s="860"/>
      <c r="H86" s="860"/>
      <c r="I86" s="860"/>
      <c r="J86" s="876"/>
      <c r="K86" s="1571"/>
      <c r="L86" s="1571"/>
      <c r="M86" s="879"/>
      <c r="N86" s="879"/>
      <c r="O86" s="879"/>
      <c r="P86" s="1571"/>
      <c r="Q86" s="1571"/>
      <c r="R86" s="876"/>
      <c r="S86" s="876"/>
      <c r="T86" s="876"/>
      <c r="U86" s="876"/>
      <c r="V86" s="876"/>
      <c r="W86" s="876"/>
      <c r="X86" s="876"/>
      <c r="Y86" s="876"/>
      <c r="Z86" s="876"/>
    </row>
    <row r="87" spans="1:27">
      <c r="A87" s="860"/>
      <c r="B87" s="860"/>
      <c r="C87" s="860"/>
      <c r="D87" s="860"/>
      <c r="E87" s="860"/>
      <c r="F87" s="860"/>
      <c r="G87" s="860"/>
      <c r="H87" s="860"/>
      <c r="I87" s="860"/>
      <c r="J87" s="876"/>
      <c r="K87" s="1571"/>
      <c r="L87" s="1571"/>
      <c r="M87" s="879"/>
      <c r="N87" s="879"/>
      <c r="O87" s="879"/>
      <c r="P87" s="881"/>
      <c r="Q87" s="1571"/>
      <c r="R87" s="876"/>
      <c r="S87" s="876"/>
      <c r="T87" s="876"/>
      <c r="U87" s="876"/>
      <c r="V87" s="876"/>
      <c r="W87" s="876"/>
      <c r="X87" s="876"/>
      <c r="Y87" s="876"/>
      <c r="Z87" s="876"/>
    </row>
    <row r="88" spans="1:27">
      <c r="A88" s="860"/>
      <c r="B88" s="860"/>
      <c r="C88" s="860"/>
      <c r="D88" s="860"/>
      <c r="E88" s="860"/>
      <c r="F88" s="860"/>
      <c r="G88" s="860"/>
      <c r="H88" s="860"/>
      <c r="I88" s="860"/>
      <c r="J88" s="882"/>
      <c r="K88" s="321" t="s">
        <v>1240</v>
      </c>
      <c r="L88" s="45"/>
      <c r="M88" s="321"/>
      <c r="N88" s="321"/>
      <c r="O88" s="883"/>
      <c r="P88" s="883"/>
      <c r="Q88" s="1571"/>
      <c r="R88" s="882"/>
      <c r="S88" s="882"/>
      <c r="T88" s="882"/>
      <c r="U88" s="882"/>
      <c r="V88" s="882"/>
      <c r="W88" s="882"/>
      <c r="X88" s="876"/>
      <c r="Y88" s="876"/>
      <c r="Z88" s="876"/>
    </row>
    <row r="89" spans="1:27">
      <c r="A89" s="860"/>
      <c r="B89" s="860"/>
      <c r="C89" s="860"/>
      <c r="D89" s="860"/>
      <c r="E89" s="860"/>
      <c r="F89" s="860"/>
      <c r="G89" s="860"/>
      <c r="H89" s="860"/>
      <c r="I89" s="860"/>
      <c r="J89" s="884"/>
      <c r="K89" s="885" t="s">
        <v>1241</v>
      </c>
      <c r="L89" s="885" t="s">
        <v>1119</v>
      </c>
      <c r="M89" s="1548">
        <v>43191</v>
      </c>
      <c r="N89" s="1548">
        <v>43221</v>
      </c>
      <c r="O89" s="1548">
        <v>43252</v>
      </c>
      <c r="P89" s="1548">
        <v>43282</v>
      </c>
      <c r="Q89" s="1548">
        <v>43313</v>
      </c>
      <c r="R89" s="1548">
        <v>43344</v>
      </c>
      <c r="S89" s="1548">
        <v>43374</v>
      </c>
      <c r="T89" s="1548">
        <v>43405</v>
      </c>
      <c r="U89" s="1548">
        <v>43435</v>
      </c>
      <c r="V89" s="1548">
        <v>43466</v>
      </c>
      <c r="W89" s="1548">
        <v>43497</v>
      </c>
      <c r="X89" s="1548">
        <v>43525</v>
      </c>
      <c r="Y89" s="886" t="s">
        <v>873</v>
      </c>
      <c r="Z89" s="876"/>
    </row>
    <row r="90" spans="1:27">
      <c r="A90" s="860"/>
      <c r="B90" s="860"/>
      <c r="C90" s="860"/>
      <c r="D90" s="860"/>
      <c r="E90" s="860"/>
      <c r="F90" s="860"/>
      <c r="G90" s="860"/>
      <c r="H90" s="860"/>
      <c r="I90" s="860"/>
      <c r="J90" s="877"/>
      <c r="K90" s="315"/>
      <c r="L90" s="887"/>
      <c r="M90" s="315"/>
      <c r="N90" s="322"/>
      <c r="O90" s="888"/>
      <c r="P90" s="889"/>
      <c r="Q90" s="1571"/>
      <c r="R90" s="890"/>
      <c r="S90" s="890"/>
      <c r="T90" s="890"/>
      <c r="U90" s="890"/>
      <c r="V90" s="890"/>
      <c r="W90" s="890"/>
      <c r="X90" s="876"/>
      <c r="Y90" s="876"/>
      <c r="Z90" s="876"/>
    </row>
    <row r="91" spans="1:27">
      <c r="A91" s="860"/>
      <c r="B91" s="860"/>
      <c r="C91" s="860"/>
      <c r="D91" s="860"/>
      <c r="E91" s="860"/>
      <c r="F91" s="860"/>
      <c r="G91" s="860"/>
      <c r="H91" s="860"/>
      <c r="I91" s="860"/>
      <c r="J91" s="882"/>
      <c r="K91" s="321">
        <v>1</v>
      </c>
      <c r="L91" s="45" t="s">
        <v>156</v>
      </c>
      <c r="M91" s="1685">
        <v>5.3730000000000002E-3</v>
      </c>
      <c r="N91" s="1685">
        <v>5.398E-3</v>
      </c>
      <c r="O91" s="1685">
        <v>5.4339999999999996E-3</v>
      </c>
      <c r="P91" s="1685">
        <v>5.4819999999999999E-3</v>
      </c>
      <c r="Q91" s="1685">
        <v>5.5440000000000003E-3</v>
      </c>
      <c r="R91" s="1685">
        <v>5.5659999999999998E-3</v>
      </c>
      <c r="S91" s="1685">
        <v>5.5659999999999998E-3</v>
      </c>
      <c r="T91" s="1685">
        <v>5.6750000000000004E-3</v>
      </c>
      <c r="U91" s="1685">
        <v>5.6779999999999999E-3</v>
      </c>
      <c r="V91" s="1686">
        <v>5.679E-3</v>
      </c>
      <c r="W91" s="1686">
        <v>5.6439999999999997E-3</v>
      </c>
      <c r="X91" s="1686">
        <v>5.6259999999999999E-3</v>
      </c>
      <c r="Y91" s="891">
        <f>ROUND(AVERAGE(M91:X91),6)</f>
        <v>5.555E-3</v>
      </c>
      <c r="Z91" s="876"/>
      <c r="AA91" s="1855">
        <f>ROUND(Y91/$Y$96,4)</f>
        <v>1.1121000000000001</v>
      </c>
    </row>
    <row r="92" spans="1:27">
      <c r="A92" s="860"/>
      <c r="B92" s="860"/>
      <c r="C92" s="860"/>
      <c r="D92" s="860"/>
      <c r="E92" s="860"/>
      <c r="F92" s="860"/>
      <c r="G92" s="860"/>
      <c r="H92" s="860"/>
      <c r="I92" s="860"/>
      <c r="J92" s="882"/>
      <c r="K92" s="321">
        <v>2</v>
      </c>
      <c r="L92" s="45" t="s">
        <v>157</v>
      </c>
      <c r="M92" s="1685">
        <v>5.0000000000000001E-4</v>
      </c>
      <c r="N92" s="1685">
        <v>5.0000000000000001E-4</v>
      </c>
      <c r="O92" s="1685">
        <v>5.0000000000000001E-4</v>
      </c>
      <c r="P92" s="1685">
        <v>5.0000000000000001E-4</v>
      </c>
      <c r="Q92" s="1685">
        <v>5.0000000000000001E-4</v>
      </c>
      <c r="R92" s="1685">
        <v>5.0000000000000001E-4</v>
      </c>
      <c r="S92" s="1685">
        <v>5.0000000000000001E-4</v>
      </c>
      <c r="T92" s="1685">
        <v>5.0000000000000001E-4</v>
      </c>
      <c r="U92" s="1685">
        <v>5.0000000000000001E-4</v>
      </c>
      <c r="V92" s="1686">
        <v>5.0000000000000001E-4</v>
      </c>
      <c r="W92" s="1686">
        <v>5.0000000000000001E-4</v>
      </c>
      <c r="X92" s="1686">
        <v>5.0000000000000001E-4</v>
      </c>
      <c r="Y92" s="891">
        <f t="shared" ref="Y92:Y100" si="0">ROUND(AVERAGE(M92:X92),6)</f>
        <v>5.0000000000000001E-4</v>
      </c>
      <c r="Z92" s="876"/>
      <c r="AA92" s="1855">
        <f>ROUND(Y92/$Y$96,4)</f>
        <v>0.10009999999999999</v>
      </c>
    </row>
    <row r="93" spans="1:27">
      <c r="A93" s="860"/>
      <c r="B93" s="860"/>
      <c r="C93" s="860"/>
      <c r="D93" s="860"/>
      <c r="E93" s="860"/>
      <c r="F93" s="860"/>
      <c r="G93" s="860"/>
      <c r="H93" s="860"/>
      <c r="I93" s="860"/>
      <c r="J93" s="882"/>
      <c r="K93" s="321">
        <v>3</v>
      </c>
      <c r="L93" s="45" t="s">
        <v>158</v>
      </c>
      <c r="M93" s="1685">
        <v>-5.3179999999999998E-3</v>
      </c>
      <c r="N93" s="1685">
        <v>-5.3220000000000003E-3</v>
      </c>
      <c r="O93" s="1685">
        <v>-5.3090000000000004E-3</v>
      </c>
      <c r="P93" s="1685">
        <v>-5.3080000000000002E-3</v>
      </c>
      <c r="Q93" s="1685">
        <v>-5.3109999999999997E-3</v>
      </c>
      <c r="R93" s="1685">
        <v>-5.3109999999999997E-3</v>
      </c>
      <c r="S93" s="1685">
        <v>-5.3080000000000002E-3</v>
      </c>
      <c r="T93" s="1685">
        <v>-5.2960000000000004E-3</v>
      </c>
      <c r="U93" s="1685">
        <v>-5.2919999999999998E-3</v>
      </c>
      <c r="V93" s="1686">
        <v>-5.2960000000000004E-3</v>
      </c>
      <c r="W93" s="1686">
        <v>-5.3E-3</v>
      </c>
      <c r="X93" s="1686">
        <v>-5.3E-3</v>
      </c>
      <c r="Y93" s="891">
        <f t="shared" si="0"/>
        <v>-5.306E-3</v>
      </c>
      <c r="Z93" s="876"/>
      <c r="AA93" s="1855">
        <f>ROUND(Y93/$Y$96,4)</f>
        <v>-1.0623</v>
      </c>
    </row>
    <row r="94" spans="1:27">
      <c r="A94" s="860"/>
      <c r="B94" s="860"/>
      <c r="C94" s="860"/>
      <c r="D94" s="860"/>
      <c r="E94" s="860"/>
      <c r="F94" s="860"/>
      <c r="G94" s="860"/>
      <c r="H94" s="860"/>
      <c r="I94" s="860"/>
      <c r="J94" s="882"/>
      <c r="K94" s="321">
        <v>4</v>
      </c>
      <c r="L94" s="45" t="s">
        <v>162</v>
      </c>
      <c r="M94" s="1687">
        <v>4.3160000000000004E-3</v>
      </c>
      <c r="N94" s="1687">
        <v>4.2940000000000001E-3</v>
      </c>
      <c r="O94" s="1687">
        <v>4.2830000000000003E-3</v>
      </c>
      <c r="P94" s="1687">
        <v>4.274E-3</v>
      </c>
      <c r="Q94" s="1687">
        <v>4.2589999999999998E-3</v>
      </c>
      <c r="R94" s="1687">
        <v>4.2509999999999996E-3</v>
      </c>
      <c r="S94" s="1687">
        <v>4.2399999999999998E-3</v>
      </c>
      <c r="T94" s="1687">
        <v>4.2119999999999996E-3</v>
      </c>
      <c r="U94" s="1687">
        <v>4.2110000000000003E-3</v>
      </c>
      <c r="V94" s="1688">
        <v>4.2040000000000003E-3</v>
      </c>
      <c r="W94" s="1688">
        <v>4.1999999999999997E-3</v>
      </c>
      <c r="X94" s="1688">
        <v>4.1999999999999997E-3</v>
      </c>
      <c r="Y94" s="892">
        <f t="shared" si="0"/>
        <v>4.2449999999999996E-3</v>
      </c>
      <c r="Z94" s="876"/>
      <c r="AA94" s="1856">
        <f>ROUND(Y94/$Y$96,4)</f>
        <v>0.8498</v>
      </c>
    </row>
    <row r="95" spans="1:27" ht="15" customHeight="1">
      <c r="A95" s="860"/>
      <c r="B95" s="860"/>
      <c r="C95" s="860"/>
      <c r="D95" s="860"/>
      <c r="E95" s="860"/>
      <c r="F95" s="860"/>
      <c r="G95" s="860"/>
      <c r="H95" s="860"/>
      <c r="I95" s="860"/>
      <c r="J95" s="882"/>
      <c r="K95" s="321">
        <v>5</v>
      </c>
      <c r="L95" s="51"/>
      <c r="M95" s="893"/>
      <c r="N95" s="894"/>
      <c r="O95" s="895"/>
      <c r="P95" s="895"/>
      <c r="Q95" s="896"/>
      <c r="R95" s="897"/>
      <c r="S95" s="897"/>
      <c r="T95" s="897"/>
      <c r="U95" s="897"/>
      <c r="V95" s="897"/>
      <c r="W95" s="897"/>
      <c r="X95" s="897"/>
      <c r="Y95" s="897"/>
      <c r="Z95" s="876"/>
      <c r="AA95" s="1855"/>
    </row>
    <row r="96" spans="1:27">
      <c r="A96" s="860"/>
      <c r="B96" s="860"/>
      <c r="C96" s="860"/>
      <c r="D96" s="860"/>
      <c r="E96" s="860"/>
      <c r="F96" s="860"/>
      <c r="G96" s="860"/>
      <c r="H96" s="860"/>
      <c r="I96" s="860"/>
      <c r="J96" s="882"/>
      <c r="K96" s="321">
        <v>6</v>
      </c>
      <c r="L96" s="51" t="s">
        <v>163</v>
      </c>
      <c r="M96" s="893">
        <f t="shared" ref="M96:X96" si="1">SUM(M91:M94)</f>
        <v>4.8710000000000003E-3</v>
      </c>
      <c r="N96" s="893">
        <f t="shared" si="1"/>
        <v>4.8700000000000002E-3</v>
      </c>
      <c r="O96" s="893">
        <f t="shared" si="1"/>
        <v>4.908E-3</v>
      </c>
      <c r="P96" s="893">
        <f t="shared" si="1"/>
        <v>4.9479999999999993E-3</v>
      </c>
      <c r="Q96" s="893">
        <f t="shared" si="1"/>
        <v>4.9920000000000008E-3</v>
      </c>
      <c r="R96" s="893">
        <f t="shared" si="1"/>
        <v>5.006E-3</v>
      </c>
      <c r="S96" s="893">
        <f t="shared" si="1"/>
        <v>4.9979999999999998E-3</v>
      </c>
      <c r="T96" s="893">
        <f t="shared" si="1"/>
        <v>5.0909999999999992E-3</v>
      </c>
      <c r="U96" s="893">
        <f t="shared" si="1"/>
        <v>5.097E-3</v>
      </c>
      <c r="V96" s="893">
        <f t="shared" si="1"/>
        <v>5.0870000000000004E-3</v>
      </c>
      <c r="W96" s="893">
        <f t="shared" si="1"/>
        <v>5.0439999999999999E-3</v>
      </c>
      <c r="X96" s="893">
        <f t="shared" si="1"/>
        <v>5.0259999999999992E-3</v>
      </c>
      <c r="Y96" s="891">
        <f t="shared" si="0"/>
        <v>4.9950000000000003E-3</v>
      </c>
      <c r="Z96" s="876"/>
      <c r="AA96" s="1855">
        <f>SUM(AA91:AA94)</f>
        <v>0.99970000000000014</v>
      </c>
    </row>
    <row r="97" spans="1:26" ht="15" customHeight="1">
      <c r="A97" s="860"/>
      <c r="B97" s="860"/>
      <c r="C97" s="860"/>
      <c r="D97" s="860"/>
      <c r="E97" s="860"/>
      <c r="F97" s="860"/>
      <c r="G97" s="860"/>
      <c r="H97" s="860"/>
      <c r="I97" s="860"/>
      <c r="J97" s="882"/>
      <c r="K97" s="321">
        <v>7</v>
      </c>
      <c r="L97" s="51"/>
      <c r="M97" s="898"/>
      <c r="N97" s="899"/>
      <c r="O97" s="900"/>
      <c r="P97" s="900"/>
      <c r="Q97" s="1571"/>
      <c r="R97" s="901"/>
      <c r="S97" s="901"/>
      <c r="T97" s="901"/>
      <c r="U97" s="901"/>
      <c r="V97" s="901"/>
      <c r="W97" s="901"/>
      <c r="X97" s="876"/>
      <c r="Y97" s="876"/>
      <c r="Z97" s="876"/>
    </row>
    <row r="98" spans="1:26">
      <c r="A98" s="860"/>
      <c r="B98" s="860"/>
      <c r="C98" s="860"/>
      <c r="D98" s="860"/>
      <c r="E98" s="860"/>
      <c r="F98" s="860"/>
      <c r="G98" s="860"/>
      <c r="H98" s="860"/>
      <c r="I98" s="860"/>
      <c r="J98" s="882"/>
      <c r="K98" s="321">
        <v>8</v>
      </c>
      <c r="L98" s="51" t="s">
        <v>164</v>
      </c>
      <c r="M98" s="892">
        <f>M94</f>
        <v>4.3160000000000004E-3</v>
      </c>
      <c r="N98" s="892">
        <f t="shared" ref="N98:X98" si="2">N94</f>
        <v>4.2940000000000001E-3</v>
      </c>
      <c r="O98" s="892">
        <f t="shared" si="2"/>
        <v>4.2830000000000003E-3</v>
      </c>
      <c r="P98" s="892">
        <f t="shared" si="2"/>
        <v>4.274E-3</v>
      </c>
      <c r="Q98" s="892">
        <f t="shared" si="2"/>
        <v>4.2589999999999998E-3</v>
      </c>
      <c r="R98" s="892">
        <f t="shared" si="2"/>
        <v>4.2509999999999996E-3</v>
      </c>
      <c r="S98" s="892">
        <f t="shared" si="2"/>
        <v>4.2399999999999998E-3</v>
      </c>
      <c r="T98" s="892">
        <f t="shared" si="2"/>
        <v>4.2119999999999996E-3</v>
      </c>
      <c r="U98" s="892">
        <f t="shared" si="2"/>
        <v>4.2110000000000003E-3</v>
      </c>
      <c r="V98" s="892">
        <f t="shared" si="2"/>
        <v>4.2040000000000003E-3</v>
      </c>
      <c r="W98" s="892">
        <f t="shared" si="2"/>
        <v>4.1999999999999997E-3</v>
      </c>
      <c r="X98" s="892">
        <f t="shared" si="2"/>
        <v>4.1999999999999997E-3</v>
      </c>
      <c r="Y98" s="892">
        <f t="shared" si="0"/>
        <v>4.2449999999999996E-3</v>
      </c>
      <c r="Z98" s="876"/>
    </row>
    <row r="99" spans="1:26">
      <c r="A99" s="860"/>
      <c r="B99" s="860"/>
      <c r="C99" s="860"/>
      <c r="D99" s="860"/>
      <c r="E99" s="860"/>
      <c r="F99" s="860"/>
      <c r="G99" s="860"/>
      <c r="H99" s="860"/>
      <c r="I99" s="860"/>
      <c r="J99" s="882"/>
      <c r="K99" s="321">
        <v>9</v>
      </c>
      <c r="L99" s="51"/>
      <c r="M99" s="893"/>
      <c r="N99" s="893"/>
      <c r="O99" s="893"/>
      <c r="P99" s="893"/>
      <c r="Q99" s="893"/>
      <c r="R99" s="893"/>
      <c r="S99" s="893"/>
      <c r="T99" s="893"/>
      <c r="U99" s="893"/>
      <c r="V99" s="893"/>
      <c r="W99" s="893"/>
      <c r="X99" s="893"/>
      <c r="Y99" s="898"/>
      <c r="Z99" s="876"/>
    </row>
    <row r="100" spans="1:26">
      <c r="A100" s="860"/>
      <c r="B100" s="860"/>
      <c r="C100" s="860"/>
      <c r="D100" s="860"/>
      <c r="E100" s="860"/>
      <c r="F100" s="860"/>
      <c r="G100" s="860"/>
      <c r="H100" s="860"/>
      <c r="I100" s="860"/>
      <c r="J100" s="882"/>
      <c r="K100" s="321">
        <v>10</v>
      </c>
      <c r="L100" s="51" t="s">
        <v>165</v>
      </c>
      <c r="M100" s="893">
        <f>M96-M98</f>
        <v>5.5499999999999994E-4</v>
      </c>
      <c r="N100" s="893">
        <f t="shared" ref="N100:X100" si="3">N96-N98</f>
        <v>5.7600000000000012E-4</v>
      </c>
      <c r="O100" s="893">
        <f t="shared" si="3"/>
        <v>6.2499999999999969E-4</v>
      </c>
      <c r="P100" s="893">
        <f t="shared" si="3"/>
        <v>6.7399999999999925E-4</v>
      </c>
      <c r="Q100" s="893">
        <f t="shared" si="3"/>
        <v>7.3300000000000101E-4</v>
      </c>
      <c r="R100" s="893">
        <f t="shared" si="3"/>
        <v>7.5500000000000046E-4</v>
      </c>
      <c r="S100" s="893">
        <f t="shared" si="3"/>
        <v>7.5799999999999999E-4</v>
      </c>
      <c r="T100" s="893">
        <f t="shared" si="3"/>
        <v>8.7899999999999957E-4</v>
      </c>
      <c r="U100" s="893">
        <f t="shared" si="3"/>
        <v>8.8599999999999964E-4</v>
      </c>
      <c r="V100" s="893">
        <f t="shared" si="3"/>
        <v>8.830000000000001E-4</v>
      </c>
      <c r="W100" s="893">
        <f t="shared" si="3"/>
        <v>8.4400000000000013E-4</v>
      </c>
      <c r="X100" s="893">
        <f t="shared" si="3"/>
        <v>8.2599999999999948E-4</v>
      </c>
      <c r="Y100" s="891">
        <f t="shared" si="0"/>
        <v>7.5000000000000002E-4</v>
      </c>
      <c r="Z100" s="876"/>
    </row>
    <row r="101" spans="1:26">
      <c r="A101" s="860"/>
      <c r="B101" s="860"/>
      <c r="C101" s="860"/>
      <c r="D101" s="860"/>
      <c r="E101" s="860"/>
      <c r="F101" s="860"/>
      <c r="G101" s="860"/>
      <c r="H101" s="860"/>
      <c r="I101" s="860"/>
      <c r="J101" s="882"/>
      <c r="K101" s="321"/>
      <c r="L101" s="51"/>
      <c r="M101" s="893"/>
      <c r="N101" s="893"/>
      <c r="O101" s="893"/>
      <c r="P101" s="893"/>
      <c r="Q101" s="893"/>
      <c r="R101" s="893"/>
      <c r="S101" s="893"/>
      <c r="T101" s="893"/>
      <c r="U101" s="893"/>
      <c r="V101" s="893"/>
      <c r="W101" s="893"/>
      <c r="X101" s="893"/>
      <c r="Y101" s="898"/>
      <c r="Z101" s="876"/>
    </row>
    <row r="102" spans="1:26">
      <c r="A102" s="860"/>
      <c r="B102" s="860"/>
      <c r="C102" s="860"/>
      <c r="D102" s="860"/>
      <c r="E102" s="860"/>
      <c r="F102" s="860"/>
      <c r="G102" s="860"/>
      <c r="H102" s="860"/>
      <c r="I102" s="860"/>
      <c r="J102" s="882"/>
      <c r="K102" s="321"/>
      <c r="L102" s="51"/>
      <c r="M102" s="898"/>
      <c r="N102" s="899"/>
      <c r="O102" s="900"/>
      <c r="P102" s="900"/>
      <c r="Q102" s="1571"/>
      <c r="R102" s="901"/>
      <c r="S102" s="901"/>
      <c r="T102" s="901"/>
      <c r="U102" s="901"/>
      <c r="V102" s="901"/>
      <c r="W102" s="901"/>
      <c r="X102" s="876"/>
      <c r="Y102" s="876"/>
      <c r="Z102" s="876"/>
    </row>
    <row r="103" spans="1:26">
      <c r="A103" s="860"/>
      <c r="B103" s="860"/>
      <c r="C103" s="860"/>
      <c r="D103" s="860"/>
      <c r="E103" s="860"/>
      <c r="F103" s="860"/>
      <c r="G103" s="860"/>
      <c r="H103" s="860"/>
      <c r="I103" s="860"/>
      <c r="J103" s="882"/>
      <c r="K103" s="321"/>
      <c r="L103" s="902"/>
      <c r="M103" s="898"/>
      <c r="N103" s="899"/>
      <c r="O103" s="900"/>
      <c r="P103" s="900"/>
      <c r="Q103" s="1571"/>
      <c r="R103" s="901"/>
      <c r="S103" s="901"/>
      <c r="T103" s="901"/>
      <c r="U103" s="901"/>
      <c r="V103" s="901"/>
      <c r="W103" s="901"/>
      <c r="X103" s="876"/>
      <c r="Y103" s="876"/>
      <c r="Z103" s="876"/>
    </row>
    <row r="104" spans="1:26">
      <c r="A104" s="860"/>
      <c r="B104" s="860"/>
      <c r="C104" s="860"/>
      <c r="D104" s="860"/>
      <c r="E104" s="860"/>
      <c r="F104" s="860"/>
      <c r="G104" s="860"/>
      <c r="H104" s="860"/>
      <c r="I104" s="860"/>
      <c r="J104" s="882"/>
      <c r="K104" s="321"/>
      <c r="L104" s="903"/>
      <c r="M104" s="898"/>
      <c r="N104" s="899"/>
      <c r="O104" s="900"/>
      <c r="P104" s="900"/>
      <c r="Q104" s="1571"/>
      <c r="R104" s="901"/>
      <c r="S104" s="901"/>
      <c r="T104" s="901"/>
      <c r="U104" s="901"/>
      <c r="V104" s="901"/>
      <c r="W104" s="901"/>
      <c r="X104" s="876"/>
      <c r="Y104" s="876"/>
      <c r="Z104" s="876"/>
    </row>
    <row r="105" spans="1:26" ht="15" customHeight="1">
      <c r="A105" s="860"/>
      <c r="B105" s="860"/>
      <c r="C105" s="860"/>
      <c r="D105" s="860"/>
      <c r="E105" s="860"/>
      <c r="F105" s="860"/>
      <c r="G105" s="860"/>
      <c r="H105" s="860"/>
      <c r="I105" s="860"/>
      <c r="J105" s="882"/>
      <c r="K105" s="321"/>
      <c r="L105" s="904"/>
      <c r="M105" s="898"/>
      <c r="N105" s="899"/>
      <c r="O105" s="900"/>
      <c r="P105" s="900"/>
      <c r="Q105" s="1571"/>
      <c r="R105" s="901"/>
      <c r="S105" s="901"/>
      <c r="T105" s="901"/>
      <c r="U105" s="901"/>
      <c r="V105" s="901"/>
      <c r="W105" s="901"/>
      <c r="X105" s="876"/>
      <c r="Y105" s="876"/>
      <c r="Z105" s="876"/>
    </row>
    <row r="106" spans="1:26">
      <c r="A106" s="860"/>
      <c r="B106" s="860"/>
      <c r="C106" s="860"/>
      <c r="D106" s="860"/>
      <c r="E106" s="860"/>
      <c r="F106" s="860"/>
      <c r="G106" s="860"/>
      <c r="H106" s="860"/>
      <c r="I106" s="860"/>
      <c r="J106" s="882"/>
      <c r="K106" s="321"/>
      <c r="L106" s="51"/>
      <c r="M106" s="898"/>
      <c r="N106" s="899"/>
      <c r="O106" s="900"/>
      <c r="P106" s="900"/>
      <c r="Q106" s="1571"/>
      <c r="R106" s="901"/>
      <c r="S106" s="901"/>
      <c r="T106" s="901"/>
      <c r="U106" s="901"/>
      <c r="V106" s="901"/>
      <c r="W106" s="901"/>
      <c r="X106" s="876"/>
      <c r="Y106" s="876"/>
      <c r="Z106" s="876"/>
    </row>
    <row r="107" spans="1:26">
      <c r="A107" s="860"/>
      <c r="B107" s="860"/>
      <c r="C107" s="860"/>
      <c r="D107" s="860"/>
      <c r="E107" s="860"/>
      <c r="F107" s="860"/>
      <c r="G107" s="860"/>
      <c r="H107" s="860"/>
      <c r="I107" s="860"/>
      <c r="J107" s="882"/>
      <c r="K107" s="321"/>
      <c r="L107" s="51"/>
      <c r="M107" s="898"/>
      <c r="N107" s="899"/>
      <c r="O107" s="900"/>
      <c r="P107" s="900"/>
      <c r="Q107" s="1571"/>
      <c r="R107" s="901"/>
      <c r="S107" s="901"/>
      <c r="T107" s="901"/>
      <c r="U107" s="901"/>
      <c r="V107" s="901"/>
      <c r="W107" s="901"/>
      <c r="X107" s="876"/>
      <c r="Y107" s="876"/>
      <c r="Z107" s="876"/>
    </row>
    <row r="108" spans="1:26">
      <c r="A108" s="860"/>
      <c r="B108" s="860"/>
      <c r="C108" s="860"/>
      <c r="D108" s="860"/>
      <c r="E108" s="860"/>
      <c r="F108" s="860"/>
      <c r="G108" s="860"/>
      <c r="H108" s="860"/>
      <c r="I108" s="860"/>
      <c r="J108" s="882"/>
      <c r="K108" s="321"/>
      <c r="L108" s="51"/>
      <c r="M108" s="898"/>
      <c r="N108" s="899"/>
      <c r="O108" s="900"/>
      <c r="P108" s="900"/>
      <c r="Q108" s="1571"/>
      <c r="R108" s="901"/>
      <c r="S108" s="901"/>
      <c r="T108" s="901"/>
      <c r="U108" s="901"/>
      <c r="V108" s="901"/>
      <c r="W108" s="901"/>
      <c r="X108" s="876"/>
      <c r="Y108" s="876"/>
      <c r="Z108" s="876"/>
    </row>
    <row r="109" spans="1:26">
      <c r="A109" s="860"/>
      <c r="B109" s="860"/>
      <c r="C109" s="860"/>
      <c r="D109" s="860"/>
      <c r="E109" s="860"/>
      <c r="F109" s="860"/>
      <c r="G109" s="860"/>
      <c r="H109" s="860"/>
      <c r="I109" s="860"/>
      <c r="J109" s="882"/>
      <c r="K109" s="321"/>
      <c r="L109" s="51"/>
      <c r="M109" s="898"/>
      <c r="N109" s="899"/>
      <c r="O109" s="900"/>
      <c r="P109" s="900"/>
      <c r="Q109" s="1571"/>
      <c r="R109" s="901"/>
      <c r="S109" s="901"/>
      <c r="T109" s="901"/>
      <c r="U109" s="901"/>
      <c r="V109" s="901"/>
      <c r="W109" s="901"/>
      <c r="X109" s="876"/>
      <c r="Y109" s="876"/>
      <c r="Z109" s="876"/>
    </row>
  </sheetData>
  <phoneticPr fontId="19" type="noConversion"/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21">
    <tabColor rgb="FF00B050"/>
  </sheetPr>
  <dimension ref="A1:Z82"/>
  <sheetViews>
    <sheetView tabSelected="1" view="pageLayout" zoomScaleNormal="75" workbookViewId="0">
      <selection activeCell="G1" sqref="G1"/>
    </sheetView>
  </sheetViews>
  <sheetFormatPr defaultColWidth="20.7109375" defaultRowHeight="12.75"/>
  <cols>
    <col min="1" max="1" width="6.28515625" style="538" customWidth="1"/>
    <col min="2" max="2" width="0.7109375" style="538" customWidth="1"/>
    <col min="3" max="3" width="54.7109375" style="538" customWidth="1"/>
    <col min="4" max="5" width="14.7109375" style="538" customWidth="1"/>
    <col min="6" max="6" width="1.140625" style="538" customWidth="1"/>
    <col min="7" max="7" width="14.7109375" style="538" customWidth="1"/>
    <col min="8" max="8" width="12.85546875" style="538" customWidth="1"/>
    <col min="9" max="9" width="1.28515625" style="538" customWidth="1"/>
    <col min="10" max="10" width="14.42578125" style="538" customWidth="1"/>
    <col min="11" max="11" width="13.28515625" style="540" customWidth="1"/>
    <col min="12" max="12" width="1.5703125" style="538" customWidth="1"/>
    <col min="13" max="13" width="14.5703125" style="588" customWidth="1"/>
    <col min="14" max="14" width="11.7109375" style="538" customWidth="1"/>
    <col min="15" max="15" width="14.7109375" style="588" customWidth="1"/>
    <col min="16" max="16" width="12.7109375" style="538" customWidth="1"/>
    <col min="17" max="17" width="14.42578125" style="588" customWidth="1"/>
    <col min="18" max="18" width="13.140625" style="538" customWidth="1"/>
    <col min="19" max="19" width="14.7109375" style="588" customWidth="1"/>
    <col min="20" max="20" width="12.7109375" style="538" customWidth="1"/>
    <col min="21" max="21" width="15" style="588" customWidth="1"/>
    <col min="22" max="22" width="11.28515625" style="538" customWidth="1"/>
    <col min="23" max="23" width="5.28515625" style="538" customWidth="1"/>
    <col min="24" max="24" width="19.140625" style="538" customWidth="1"/>
    <col min="25" max="16384" width="20.7109375" style="538"/>
  </cols>
  <sheetData>
    <row r="1" spans="1:25">
      <c r="A1" s="536" t="str">
        <f>COMPANY</f>
        <v>DUKE ENERGY KENTUCKY, INC.</v>
      </c>
      <c r="B1" s="537"/>
      <c r="C1" s="537"/>
      <c r="D1" s="537"/>
      <c r="E1" s="537"/>
      <c r="F1" s="537"/>
      <c r="G1" s="537"/>
      <c r="H1" s="537"/>
      <c r="I1" s="537"/>
      <c r="J1" s="537"/>
      <c r="K1" s="539"/>
      <c r="L1" s="537"/>
      <c r="M1" s="587"/>
      <c r="N1" s="537"/>
      <c r="O1" s="587"/>
      <c r="P1" s="537"/>
      <c r="Q1" s="587"/>
      <c r="R1" s="537"/>
      <c r="S1" s="587"/>
      <c r="T1" s="537"/>
      <c r="U1" s="587"/>
      <c r="V1" s="537"/>
    </row>
    <row r="2" spans="1:25">
      <c r="A2" s="536" t="str">
        <f>CASE</f>
        <v>CASE NO. 2017-00321</v>
      </c>
      <c r="B2" s="537"/>
      <c r="C2" s="537"/>
      <c r="D2" s="537"/>
      <c r="E2" s="537"/>
      <c r="F2" s="537"/>
      <c r="G2" s="537"/>
      <c r="H2" s="537"/>
      <c r="I2" s="537"/>
      <c r="J2" s="537"/>
      <c r="K2" s="587"/>
      <c r="L2" s="539"/>
      <c r="M2" s="537"/>
      <c r="N2" s="587"/>
      <c r="O2" s="537"/>
      <c r="P2" s="587"/>
      <c r="Q2" s="537"/>
      <c r="R2" s="587"/>
      <c r="S2" s="537"/>
      <c r="T2" s="587"/>
      <c r="U2" s="537"/>
      <c r="V2" s="537"/>
    </row>
    <row r="3" spans="1:25">
      <c r="A3" s="536" t="s">
        <v>1871</v>
      </c>
      <c r="B3" s="537"/>
      <c r="C3" s="537"/>
      <c r="D3" s="537"/>
      <c r="E3" s="537"/>
      <c r="F3" s="537"/>
      <c r="G3" s="537"/>
      <c r="H3" s="537"/>
      <c r="I3" s="537"/>
      <c r="J3" s="537"/>
      <c r="K3" s="587"/>
      <c r="L3" s="539"/>
      <c r="M3" s="537"/>
      <c r="N3" s="587"/>
      <c r="O3" s="537"/>
      <c r="P3" s="587"/>
      <c r="Q3" s="537"/>
      <c r="R3" s="587"/>
      <c r="S3" s="537"/>
      <c r="T3" s="587"/>
      <c r="U3" s="537"/>
      <c r="V3" s="537"/>
    </row>
    <row r="4" spans="1:25">
      <c r="A4" s="537" t="s">
        <v>1650</v>
      </c>
      <c r="B4" s="537"/>
      <c r="C4" s="537"/>
      <c r="D4" s="537"/>
      <c r="E4" s="537"/>
      <c r="F4" s="537"/>
      <c r="G4" s="537"/>
      <c r="H4" s="537"/>
      <c r="I4" s="537"/>
      <c r="J4" s="537"/>
      <c r="K4" s="587"/>
      <c r="L4" s="539"/>
      <c r="M4" s="537"/>
      <c r="N4" s="587"/>
      <c r="O4" s="537"/>
      <c r="P4" s="587"/>
      <c r="Q4" s="537"/>
      <c r="R4" s="587"/>
      <c r="S4" s="537"/>
      <c r="T4" s="587"/>
      <c r="U4" s="537"/>
      <c r="V4" s="537"/>
    </row>
    <row r="5" spans="1:25">
      <c r="A5" s="695" t="str">
        <f>PERIOD</f>
        <v>FOR THE TWELVE MONTHS ENDED NOVEMBER 30, 2017</v>
      </c>
      <c r="B5" s="537"/>
      <c r="C5" s="537"/>
      <c r="D5" s="537"/>
      <c r="E5" s="537"/>
      <c r="F5" s="537"/>
      <c r="G5" s="537"/>
      <c r="H5" s="537"/>
      <c r="I5" s="537"/>
      <c r="J5" s="537"/>
      <c r="K5" s="587"/>
      <c r="L5" s="539"/>
      <c r="M5" s="537"/>
      <c r="N5" s="587"/>
      <c r="O5" s="537"/>
      <c r="P5" s="587"/>
      <c r="Q5" s="537"/>
      <c r="R5" s="587"/>
      <c r="S5" s="537"/>
      <c r="T5" s="587"/>
      <c r="U5" s="537"/>
      <c r="V5" s="537"/>
    </row>
    <row r="6" spans="1:25">
      <c r="A6" s="695" t="str">
        <f>PeriodF</f>
        <v>FOR THE TWELVE MONTHS ENDED MARCH 31, 2019</v>
      </c>
      <c r="B6" s="537"/>
      <c r="C6" s="537"/>
      <c r="D6" s="537"/>
      <c r="E6" s="537"/>
      <c r="F6" s="537"/>
      <c r="G6" s="537"/>
      <c r="H6" s="537"/>
      <c r="I6" s="537"/>
      <c r="J6" s="537"/>
      <c r="K6" s="587"/>
      <c r="L6" s="539"/>
      <c r="M6" s="537"/>
      <c r="N6" s="587"/>
      <c r="O6" s="537"/>
      <c r="P6" s="587"/>
      <c r="Q6" s="537"/>
      <c r="R6" s="587"/>
      <c r="S6" s="537"/>
      <c r="T6" s="587"/>
      <c r="U6" s="537"/>
      <c r="V6" s="537"/>
    </row>
    <row r="7" spans="1:25">
      <c r="A7" s="1323"/>
      <c r="K7" s="588"/>
      <c r="L7" s="540"/>
      <c r="M7" s="538"/>
      <c r="N7" s="588"/>
      <c r="O7" s="538"/>
      <c r="P7" s="588"/>
      <c r="Q7" s="538"/>
      <c r="R7" s="588"/>
      <c r="S7" s="1485"/>
      <c r="U7" s="1323" t="s">
        <v>1651</v>
      </c>
    </row>
    <row r="8" spans="1:25">
      <c r="A8" s="589" t="str">
        <f>Data</f>
        <v>DATA: "X" BASE PERIOD   FORECASTED PERIOD</v>
      </c>
      <c r="K8" s="588"/>
      <c r="L8" s="540"/>
      <c r="M8" s="538"/>
      <c r="N8" s="588"/>
      <c r="O8" s="538"/>
      <c r="P8" s="588"/>
      <c r="Q8" s="538"/>
      <c r="R8" s="588"/>
      <c r="S8" s="1485"/>
      <c r="U8" s="549" t="s">
        <v>1458</v>
      </c>
    </row>
    <row r="9" spans="1:25">
      <c r="A9" s="1323" t="str">
        <f>Type</f>
        <v xml:space="preserve">TYPE OF FILING:  "X" ORIGINAL   UPDATED    REVISED  </v>
      </c>
      <c r="K9" s="588"/>
      <c r="L9" s="540"/>
      <c r="M9" s="538"/>
      <c r="N9" s="588"/>
      <c r="O9" s="538"/>
      <c r="P9" s="588"/>
      <c r="Q9" s="538"/>
      <c r="R9" s="588"/>
      <c r="S9" s="1485"/>
      <c r="U9" s="538" t="s">
        <v>622</v>
      </c>
    </row>
    <row r="10" spans="1:25">
      <c r="A10" s="1323" t="s">
        <v>1879</v>
      </c>
      <c r="K10" s="588"/>
      <c r="L10" s="540"/>
      <c r="M10" s="538"/>
      <c r="N10" s="588"/>
      <c r="O10" s="538"/>
      <c r="P10" s="588"/>
      <c r="Q10" s="538"/>
      <c r="R10" s="588"/>
      <c r="S10" s="1485"/>
      <c r="U10" s="1847" t="str">
        <f>_WIT6</f>
        <v>R. H. PRATT / D. L. DOSS</v>
      </c>
    </row>
    <row r="11" spans="1:25">
      <c r="A11" s="1323"/>
      <c r="K11" s="588"/>
      <c r="L11" s="540"/>
      <c r="M11" s="538"/>
      <c r="N11" s="588"/>
      <c r="O11" s="538"/>
      <c r="P11" s="588"/>
      <c r="Q11" s="538"/>
      <c r="R11" s="588"/>
      <c r="S11" s="593"/>
      <c r="T11" s="836"/>
      <c r="U11" s="538"/>
    </row>
    <row r="12" spans="1:25">
      <c r="K12" s="587"/>
      <c r="L12" s="540"/>
      <c r="M12" s="837" t="s">
        <v>1982</v>
      </c>
      <c r="N12" s="838"/>
      <c r="O12" s="839"/>
      <c r="P12" s="840"/>
      <c r="Q12" s="839"/>
      <c r="R12" s="840"/>
      <c r="S12" s="839"/>
      <c r="T12" s="840"/>
      <c r="U12" s="839"/>
      <c r="V12" s="841"/>
      <c r="Y12" s="594"/>
    </row>
    <row r="13" spans="1:25">
      <c r="A13" s="594" t="s">
        <v>1961</v>
      </c>
      <c r="B13" s="544"/>
      <c r="C13" s="544"/>
      <c r="D13" s="544"/>
      <c r="E13" s="544"/>
      <c r="F13" s="842"/>
      <c r="G13" s="544" t="s">
        <v>1143</v>
      </c>
      <c r="H13" s="843" t="s">
        <v>363</v>
      </c>
      <c r="I13" s="544"/>
      <c r="J13" s="544" t="s">
        <v>564</v>
      </c>
      <c r="K13" s="843" t="s">
        <v>363</v>
      </c>
      <c r="L13" s="842"/>
      <c r="M13" s="1485"/>
      <c r="N13" s="843" t="s">
        <v>363</v>
      </c>
      <c r="O13" s="537"/>
      <c r="P13" s="843" t="s">
        <v>363</v>
      </c>
      <c r="Q13" s="537"/>
      <c r="R13" s="843" t="s">
        <v>363</v>
      </c>
      <c r="S13" s="537"/>
      <c r="T13" s="843" t="s">
        <v>363</v>
      </c>
      <c r="U13" s="537"/>
      <c r="V13" s="843" t="s">
        <v>363</v>
      </c>
      <c r="W13" s="1848"/>
      <c r="X13" s="537"/>
      <c r="Y13" s="844"/>
    </row>
    <row r="14" spans="1:25">
      <c r="A14" s="545" t="s">
        <v>90</v>
      </c>
      <c r="B14" s="544"/>
      <c r="C14" s="545" t="s">
        <v>1874</v>
      </c>
      <c r="D14" s="545">
        <v>2020</v>
      </c>
      <c r="E14" s="545">
        <v>2019</v>
      </c>
      <c r="F14" s="2670"/>
      <c r="G14" s="595" t="s">
        <v>568</v>
      </c>
      <c r="H14" s="846" t="s">
        <v>971</v>
      </c>
      <c r="I14" s="545"/>
      <c r="J14" s="595" t="s">
        <v>568</v>
      </c>
      <c r="K14" s="846" t="s">
        <v>971</v>
      </c>
      <c r="L14" s="1849"/>
      <c r="M14" s="545">
        <v>2016</v>
      </c>
      <c r="N14" s="846" t="s">
        <v>971</v>
      </c>
      <c r="O14" s="545">
        <f>M14-1</f>
        <v>2015</v>
      </c>
      <c r="P14" s="846" t="s">
        <v>971</v>
      </c>
      <c r="Q14" s="545">
        <f>O14-1</f>
        <v>2014</v>
      </c>
      <c r="R14" s="846" t="s">
        <v>971</v>
      </c>
      <c r="S14" s="545">
        <f>Q14-1</f>
        <v>2013</v>
      </c>
      <c r="T14" s="846" t="s">
        <v>971</v>
      </c>
      <c r="U14" s="545">
        <f>S14-1</f>
        <v>2012</v>
      </c>
      <c r="V14" s="846" t="s">
        <v>971</v>
      </c>
      <c r="W14" s="844"/>
      <c r="X14" s="545">
        <f>U14-1</f>
        <v>2011</v>
      </c>
    </row>
    <row r="15" spans="1:25">
      <c r="A15" s="594">
        <v>1</v>
      </c>
      <c r="C15" s="1323" t="s">
        <v>2493</v>
      </c>
      <c r="D15" s="1323"/>
      <c r="E15" s="1323"/>
      <c r="F15" s="1323"/>
      <c r="G15" s="1323"/>
      <c r="H15" s="1323"/>
      <c r="I15" s="1323"/>
      <c r="J15" s="547"/>
      <c r="K15" s="847"/>
      <c r="L15" s="1324"/>
      <c r="M15" s="547"/>
      <c r="N15" s="847"/>
      <c r="O15" s="547"/>
      <c r="P15" s="848"/>
      <c r="Q15" s="547"/>
      <c r="R15" s="848"/>
      <c r="S15" s="547"/>
      <c r="T15" s="848"/>
      <c r="U15" s="1325"/>
      <c r="V15" s="849"/>
      <c r="X15" s="1325"/>
    </row>
    <row r="16" spans="1:25">
      <c r="A16" s="594">
        <v>2</v>
      </c>
      <c r="C16" s="1323" t="s">
        <v>2494</v>
      </c>
      <c r="D16" s="548">
        <v>512118402</v>
      </c>
      <c r="E16" s="548">
        <v>493755457</v>
      </c>
      <c r="F16" s="1323"/>
      <c r="G16" s="548">
        <v>423579878</v>
      </c>
      <c r="H16" s="476">
        <f>IF(J16=0,"-",ROUND((G16-J16)/ABS(J16),4))</f>
        <v>-8.0999999999999996E-3</v>
      </c>
      <c r="I16" s="1323"/>
      <c r="J16" s="548">
        <v>427033438</v>
      </c>
      <c r="K16" s="476">
        <f>IF(M16=0,"-",ROUND((J16-M16)/ABS(M16),4))</f>
        <v>-3.1199999999999999E-2</v>
      </c>
      <c r="L16" s="1324"/>
      <c r="M16" s="548">
        <v>440779989</v>
      </c>
      <c r="N16" s="476">
        <f>IF(O16=0,"-",ROUND((M16-O16)/ABS(O16),4))</f>
        <v>-5.5599999999999997E-2</v>
      </c>
      <c r="O16" s="548">
        <v>466754287</v>
      </c>
      <c r="P16" s="476">
        <f>IF(Q16=0,"-",ROUND((O16-Q16)/ABS(Q16),4))</f>
        <v>-4.4999999999999998E-2</v>
      </c>
      <c r="Q16" s="548">
        <v>488724225</v>
      </c>
      <c r="R16" s="476">
        <f>IF(S16=0,"-",ROUND((Q16-S16)/ABS(S16),4))</f>
        <v>0.1012</v>
      </c>
      <c r="S16" s="548">
        <v>443803682</v>
      </c>
      <c r="T16" s="476">
        <f>IF(U16=0,"-",ROUND((S16-U16)/ABS(U16),4))</f>
        <v>3.78E-2</v>
      </c>
      <c r="U16" s="548">
        <v>427627327</v>
      </c>
      <c r="V16" s="476">
        <f>IF(X16=0,"-",ROUND((U16-X16)/ABS(X16),4))</f>
        <v>-6.7699999999999996E-2</v>
      </c>
      <c r="W16" s="546"/>
      <c r="X16" s="1850">
        <v>458674872</v>
      </c>
    </row>
    <row r="17" spans="1:26">
      <c r="A17" s="594">
        <v>3</v>
      </c>
      <c r="C17" s="1323" t="s">
        <v>2495</v>
      </c>
      <c r="D17" s="547"/>
      <c r="E17" s="547"/>
      <c r="F17" s="1323"/>
      <c r="G17" s="547"/>
      <c r="H17" s="476"/>
      <c r="I17" s="1323"/>
      <c r="J17" s="547"/>
      <c r="K17" s="476"/>
      <c r="L17" s="1324"/>
      <c r="M17" s="547"/>
      <c r="N17" s="476"/>
      <c r="O17" s="547"/>
      <c r="P17" s="476"/>
      <c r="Q17" s="547"/>
      <c r="R17" s="476"/>
      <c r="S17" s="547"/>
      <c r="T17" s="476"/>
      <c r="U17" s="547"/>
      <c r="V17" s="476"/>
      <c r="W17" s="1324"/>
      <c r="X17" s="547"/>
    </row>
    <row r="18" spans="1:26">
      <c r="A18" s="594">
        <v>4</v>
      </c>
      <c r="C18" s="1323" t="s">
        <v>2496</v>
      </c>
      <c r="D18" s="547">
        <v>286439517</v>
      </c>
      <c r="E18" s="547">
        <v>277606393</v>
      </c>
      <c r="F18" s="1323"/>
      <c r="G18" s="547">
        <v>280536917</v>
      </c>
      <c r="H18" s="476">
        <f t="shared" ref="H18:H33" si="0">IF(J18=0,"-",ROUND((G18-J18)/ABS(J18),4))</f>
        <v>3.1E-2</v>
      </c>
      <c r="I18" s="1323"/>
      <c r="J18" s="547">
        <v>272104973</v>
      </c>
      <c r="K18" s="476">
        <f t="shared" ref="K18:K33" si="1">IF(M18=0,"-",ROUND((J18-M18)/ABS(M18),4))</f>
        <v>7.1999999999999998E-3</v>
      </c>
      <c r="L18" s="1324"/>
      <c r="M18" s="547">
        <v>270158902</v>
      </c>
      <c r="N18" s="476">
        <f t="shared" ref="N18:N33" si="2">IF(O18=0,"-",ROUND((M18-O18)/ABS(O18),4))</f>
        <v>-5.9700000000000003E-2</v>
      </c>
      <c r="O18" s="547">
        <v>287322431</v>
      </c>
      <c r="P18" s="476">
        <f t="shared" ref="P18:P23" si="3">IF(Q18=0,"-",ROUND((O18-Q18)/ABS(Q18),4))</f>
        <v>-0.1201</v>
      </c>
      <c r="Q18" s="547">
        <v>326535049</v>
      </c>
      <c r="R18" s="476">
        <f t="shared" ref="R18:R23" si="4">IF(S18=0,"-",ROUND((Q18-S18)/ABS(S18),4))</f>
        <v>0.15179999999999999</v>
      </c>
      <c r="S18" s="547">
        <v>283496847</v>
      </c>
      <c r="T18" s="476">
        <f t="shared" ref="T18:T33" si="5">IF(U18=0,"-",ROUND((S18-U18)/ABS(U18),4))</f>
        <v>3.1699999999999999E-2</v>
      </c>
      <c r="U18" s="547">
        <v>274779814</v>
      </c>
      <c r="V18" s="476">
        <f t="shared" ref="V18:V32" si="6">IF(X18=0,"-",ROUND((U18-X18)/ABS(X18),4))</f>
        <v>-0.10440000000000001</v>
      </c>
      <c r="W18" s="546"/>
      <c r="X18" s="1851">
        <v>306812697</v>
      </c>
    </row>
    <row r="19" spans="1:26">
      <c r="A19" s="594">
        <v>5</v>
      </c>
      <c r="C19" s="1323" t="s">
        <v>2497</v>
      </c>
      <c r="D19" s="547">
        <v>16791307</v>
      </c>
      <c r="E19" s="547">
        <v>21716071</v>
      </c>
      <c r="F19" s="1323"/>
      <c r="G19" s="547">
        <v>23266051</v>
      </c>
      <c r="H19" s="476">
        <f t="shared" si="0"/>
        <v>-2.7300000000000001E-2</v>
      </c>
      <c r="I19" s="1323"/>
      <c r="J19" s="547">
        <v>23920126</v>
      </c>
      <c r="K19" s="476">
        <f t="shared" si="1"/>
        <v>-0.28549999999999998</v>
      </c>
      <c r="L19" s="1324"/>
      <c r="M19" s="547">
        <v>33479990</v>
      </c>
      <c r="N19" s="476">
        <f t="shared" si="2"/>
        <v>4.1799999999999997E-2</v>
      </c>
      <c r="O19" s="547">
        <v>32137254</v>
      </c>
      <c r="P19" s="476">
        <f t="shared" si="3"/>
        <v>-0.15379999999999999</v>
      </c>
      <c r="Q19" s="547">
        <v>37977378</v>
      </c>
      <c r="R19" s="476">
        <f t="shared" si="4"/>
        <v>0.4133</v>
      </c>
      <c r="S19" s="547">
        <v>26872031</v>
      </c>
      <c r="T19" s="476">
        <f t="shared" si="5"/>
        <v>-0.22969999999999999</v>
      </c>
      <c r="U19" s="547">
        <v>34886077</v>
      </c>
      <c r="V19" s="476">
        <f t="shared" si="6"/>
        <v>0.2671</v>
      </c>
      <c r="W19" s="546"/>
      <c r="X19" s="1851">
        <v>27533307</v>
      </c>
    </row>
    <row r="20" spans="1:26">
      <c r="A20" s="594">
        <v>6</v>
      </c>
      <c r="C20" s="1323" t="s">
        <v>2498</v>
      </c>
      <c r="D20" s="547">
        <v>62128808</v>
      </c>
      <c r="E20" s="547">
        <v>61443254</v>
      </c>
      <c r="F20" s="1323"/>
      <c r="G20" s="547">
        <v>58559110</v>
      </c>
      <c r="H20" s="476">
        <f t="shared" si="0"/>
        <v>0.21809999999999999</v>
      </c>
      <c r="I20" s="1323"/>
      <c r="J20" s="547">
        <v>48074602</v>
      </c>
      <c r="K20" s="476">
        <f t="shared" si="1"/>
        <v>0.17100000000000001</v>
      </c>
      <c r="L20" s="1324"/>
      <c r="M20" s="547">
        <v>41052844</v>
      </c>
      <c r="N20" s="476">
        <f t="shared" si="2"/>
        <v>1.4E-3</v>
      </c>
      <c r="O20" s="547">
        <v>40995981</v>
      </c>
      <c r="P20" s="476">
        <f t="shared" si="3"/>
        <v>-1.1000000000000001E-3</v>
      </c>
      <c r="Q20" s="547">
        <v>41040255</v>
      </c>
      <c r="R20" s="476">
        <f t="shared" si="4"/>
        <v>4.7999999999999996E-3</v>
      </c>
      <c r="S20" s="547">
        <v>40842298</v>
      </c>
      <c r="T20" s="476">
        <f t="shared" si="5"/>
        <v>2.9499999999999998E-2</v>
      </c>
      <c r="U20" s="547">
        <v>39672351</v>
      </c>
      <c r="V20" s="476">
        <f t="shared" si="6"/>
        <v>3.2099999999999997E-2</v>
      </c>
      <c r="W20" s="1364"/>
      <c r="X20" s="1851">
        <v>38438584</v>
      </c>
    </row>
    <row r="21" spans="1:26">
      <c r="A21" s="594">
        <v>7</v>
      </c>
      <c r="C21" s="1323" t="s">
        <v>2499</v>
      </c>
      <c r="D21" s="547">
        <v>0</v>
      </c>
      <c r="E21" s="547">
        <v>0</v>
      </c>
      <c r="F21" s="1323"/>
      <c r="G21" s="547">
        <v>0</v>
      </c>
      <c r="H21" s="476" t="str">
        <f t="shared" si="0"/>
        <v>-</v>
      </c>
      <c r="I21" s="1323"/>
      <c r="J21" s="547">
        <v>0</v>
      </c>
      <c r="K21" s="476">
        <f t="shared" si="1"/>
        <v>-1</v>
      </c>
      <c r="L21" s="1324"/>
      <c r="M21" s="547">
        <v>2615436</v>
      </c>
      <c r="N21" s="476">
        <f t="shared" si="2"/>
        <v>-7.1400000000000005E-2</v>
      </c>
      <c r="O21" s="547">
        <v>2816564</v>
      </c>
      <c r="P21" s="476">
        <f t="shared" si="3"/>
        <v>-0.13489999999999999</v>
      </c>
      <c r="Q21" s="547">
        <v>3255908</v>
      </c>
      <c r="R21" s="476">
        <f t="shared" si="4"/>
        <v>-3.9100000000000003E-2</v>
      </c>
      <c r="S21" s="547">
        <v>3388297</v>
      </c>
      <c r="T21" s="476">
        <f t="shared" si="5"/>
        <v>-0.1467</v>
      </c>
      <c r="U21" s="547">
        <v>3970647</v>
      </c>
      <c r="V21" s="476">
        <f t="shared" si="6"/>
        <v>-0.13600000000000001</v>
      </c>
      <c r="W21" s="546"/>
      <c r="X21" s="1851">
        <v>4595742</v>
      </c>
    </row>
    <row r="22" spans="1:26">
      <c r="A22" s="594">
        <v>8</v>
      </c>
      <c r="C22" s="1323" t="s">
        <v>2500</v>
      </c>
      <c r="D22" s="547">
        <v>9567840</v>
      </c>
      <c r="E22" s="547">
        <v>7836120</v>
      </c>
      <c r="F22" s="1323"/>
      <c r="G22" s="547">
        <v>0</v>
      </c>
      <c r="H22" s="476" t="str">
        <f>IF(J22=0,"-",ROUND((G22-J22)/ABS(J22),4))</f>
        <v>-</v>
      </c>
      <c r="I22" s="1323"/>
      <c r="J22" s="547">
        <v>0</v>
      </c>
      <c r="K22" s="476">
        <f>IF(M22=0,"-",ROUND((J22-M22)/ABS(M22),4))</f>
        <v>-1</v>
      </c>
      <c r="L22" s="1324"/>
      <c r="M22" s="547">
        <v>5017219</v>
      </c>
      <c r="N22" s="476">
        <f t="shared" si="2"/>
        <v>1.1717</v>
      </c>
      <c r="O22" s="547">
        <v>2310291</v>
      </c>
      <c r="P22" s="476">
        <f t="shared" si="3"/>
        <v>1.415</v>
      </c>
      <c r="Q22" s="547">
        <v>-5567558</v>
      </c>
      <c r="R22" s="476">
        <f t="shared" si="4"/>
        <v>0.2205</v>
      </c>
      <c r="S22" s="547">
        <v>-7142904</v>
      </c>
      <c r="T22" s="476">
        <f t="shared" si="5"/>
        <v>-2.0836000000000001</v>
      </c>
      <c r="U22" s="547">
        <v>-2316400</v>
      </c>
      <c r="V22" s="476">
        <f t="shared" si="6"/>
        <v>-1.3285</v>
      </c>
      <c r="W22" s="546"/>
      <c r="X22" s="1851">
        <v>7052265</v>
      </c>
      <c r="Y22" s="1323"/>
      <c r="Z22" s="1323"/>
    </row>
    <row r="23" spans="1:26">
      <c r="A23" s="594">
        <v>9</v>
      </c>
      <c r="C23" s="1323" t="s">
        <v>2535</v>
      </c>
      <c r="D23" s="547">
        <v>0</v>
      </c>
      <c r="E23" s="547">
        <v>0</v>
      </c>
      <c r="F23" s="1323"/>
      <c r="G23" s="547">
        <v>0</v>
      </c>
      <c r="H23" s="476" t="str">
        <f t="shared" si="0"/>
        <v>-</v>
      </c>
      <c r="I23" s="1323"/>
      <c r="J23" s="547">
        <v>0</v>
      </c>
      <c r="K23" s="476">
        <f>IF(M23=0,"-",ROUND((J23-M23)/ABS(M23),4))</f>
        <v>1</v>
      </c>
      <c r="L23" s="1324"/>
      <c r="M23" s="547">
        <v>-1064723</v>
      </c>
      <c r="N23" s="476">
        <f t="shared" si="2"/>
        <v>-1.6648000000000001</v>
      </c>
      <c r="O23" s="547">
        <v>-399545</v>
      </c>
      <c r="P23" s="476">
        <f t="shared" si="3"/>
        <v>-631.19719999999995</v>
      </c>
      <c r="Q23" s="547">
        <v>634</v>
      </c>
      <c r="R23" s="476" t="str">
        <f t="shared" si="4"/>
        <v>-</v>
      </c>
      <c r="S23" s="547">
        <v>0</v>
      </c>
      <c r="T23" s="476" t="str">
        <f t="shared" si="5"/>
        <v>-</v>
      </c>
      <c r="U23" s="547">
        <v>0</v>
      </c>
      <c r="V23" s="476" t="str">
        <f t="shared" si="6"/>
        <v>-</v>
      </c>
      <c r="W23" s="546"/>
      <c r="X23" s="1851"/>
      <c r="Y23" s="1323"/>
      <c r="Z23" s="1323"/>
    </row>
    <row r="24" spans="1:26">
      <c r="A24" s="594">
        <v>10</v>
      </c>
      <c r="C24" s="1323" t="s">
        <v>2501</v>
      </c>
      <c r="D24" s="547">
        <v>19053278</v>
      </c>
      <c r="E24" s="547">
        <v>18688545</v>
      </c>
      <c r="F24" s="1323"/>
      <c r="G24" s="547">
        <v>16573187</v>
      </c>
      <c r="H24" s="476">
        <f t="shared" si="0"/>
        <v>0.16339999999999999</v>
      </c>
      <c r="I24" s="1323"/>
      <c r="J24" s="547">
        <v>14246030</v>
      </c>
      <c r="K24" s="476">
        <f t="shared" si="1"/>
        <v>-0.02</v>
      </c>
      <c r="L24" s="1324"/>
      <c r="M24" s="547">
        <v>14536730</v>
      </c>
      <c r="N24" s="476">
        <f t="shared" si="2"/>
        <v>0.12139999999999999</v>
      </c>
      <c r="O24" s="547">
        <v>12963093</v>
      </c>
      <c r="P24" s="476">
        <f t="shared" ref="P24:P29" si="7">IF(Q24=0,"-",ROUND((O24-Q24)/ABS(Q24),4))</f>
        <v>-3.2099999999999997E-2</v>
      </c>
      <c r="Q24" s="547">
        <v>13393124</v>
      </c>
      <c r="R24" s="476">
        <f t="shared" ref="R24:R29" si="8">IF(S24=0,"-",ROUND((Q24-S24)/ABS(S24),4))</f>
        <v>2.76E-2</v>
      </c>
      <c r="S24" s="547">
        <v>13033671</v>
      </c>
      <c r="T24" s="476">
        <f t="shared" si="5"/>
        <v>-0.12230000000000001</v>
      </c>
      <c r="U24" s="547">
        <v>14850162</v>
      </c>
      <c r="V24" s="476">
        <f t="shared" si="6"/>
        <v>0.25109999999999999</v>
      </c>
      <c r="W24" s="546"/>
      <c r="X24" s="1851">
        <v>11869635</v>
      </c>
      <c r="Y24" s="1323"/>
      <c r="Z24" s="1323"/>
    </row>
    <row r="25" spans="1:26">
      <c r="A25" s="594">
        <v>11</v>
      </c>
      <c r="C25" s="1323" t="s">
        <v>2502</v>
      </c>
      <c r="D25" s="547">
        <v>25666092</v>
      </c>
      <c r="E25" s="547">
        <v>13303853</v>
      </c>
      <c r="F25" s="1323"/>
      <c r="G25" s="547">
        <v>-21462360</v>
      </c>
      <c r="H25" s="476">
        <f t="shared" si="0"/>
        <v>-2.7799999999999998E-2</v>
      </c>
      <c r="I25" s="1323"/>
      <c r="J25" s="547">
        <v>-20881893</v>
      </c>
      <c r="K25" s="476">
        <f t="shared" si="1"/>
        <v>-4.5945</v>
      </c>
      <c r="L25" s="1324"/>
      <c r="M25" s="547">
        <v>-3732567</v>
      </c>
      <c r="N25" s="476">
        <f t="shared" si="2"/>
        <v>-3.399</v>
      </c>
      <c r="O25" s="547">
        <v>1555907</v>
      </c>
      <c r="P25" s="476">
        <f t="shared" si="7"/>
        <v>4.0940000000000003</v>
      </c>
      <c r="Q25" s="547">
        <v>-502877</v>
      </c>
      <c r="R25" s="476">
        <f t="shared" si="8"/>
        <v>-1.0333000000000001</v>
      </c>
      <c r="S25" s="547">
        <v>15119669</v>
      </c>
      <c r="T25" s="476">
        <f t="shared" si="5"/>
        <v>9.7691999999999997</v>
      </c>
      <c r="U25" s="547">
        <v>1403969</v>
      </c>
      <c r="V25" s="476">
        <f t="shared" si="6"/>
        <v>-0.624</v>
      </c>
      <c r="W25" s="546"/>
      <c r="X25" s="1851">
        <v>3733788</v>
      </c>
      <c r="Y25" s="1323"/>
      <c r="Z25" s="1323"/>
    </row>
    <row r="26" spans="1:26">
      <c r="A26" s="594">
        <v>12</v>
      </c>
      <c r="C26" s="1323" t="s">
        <v>2503</v>
      </c>
      <c r="D26" s="547">
        <v>-10332063</v>
      </c>
      <c r="E26" s="547">
        <v>-7947836</v>
      </c>
      <c r="F26" s="1323"/>
      <c r="G26" s="547">
        <v>-571421</v>
      </c>
      <c r="H26" s="476">
        <f t="shared" si="0"/>
        <v>0.64870000000000005</v>
      </c>
      <c r="I26" s="1323"/>
      <c r="J26" s="547">
        <v>-1626572</v>
      </c>
      <c r="K26" s="476">
        <f t="shared" si="1"/>
        <v>-0.86439999999999995</v>
      </c>
      <c r="L26" s="1324"/>
      <c r="M26" s="547">
        <v>-872454</v>
      </c>
      <c r="N26" s="476">
        <f t="shared" si="2"/>
        <v>-9.7799999999999998E-2</v>
      </c>
      <c r="O26" s="547">
        <v>-794708</v>
      </c>
      <c r="P26" s="476">
        <f t="shared" si="7"/>
        <v>-1.4379</v>
      </c>
      <c r="Q26" s="547">
        <v>1814798</v>
      </c>
      <c r="R26" s="476">
        <f t="shared" si="8"/>
        <v>0.66479999999999995</v>
      </c>
      <c r="S26" s="547">
        <v>1090085</v>
      </c>
      <c r="T26" s="476">
        <f t="shared" si="5"/>
        <v>-0.66890000000000005</v>
      </c>
      <c r="U26" s="547">
        <v>3291869</v>
      </c>
      <c r="V26" s="476">
        <f t="shared" si="6"/>
        <v>1.3250999999999999</v>
      </c>
      <c r="W26" s="546"/>
      <c r="X26" s="1851">
        <v>1415793</v>
      </c>
      <c r="Y26" s="1323"/>
    </row>
    <row r="27" spans="1:26">
      <c r="A27" s="594">
        <v>13</v>
      </c>
      <c r="B27" s="547"/>
      <c r="C27" s="1323" t="s">
        <v>2504</v>
      </c>
      <c r="D27" s="547">
        <v>22387216</v>
      </c>
      <c r="E27" s="547">
        <v>28025580</v>
      </c>
      <c r="F27" s="1323"/>
      <c r="G27" s="547">
        <v>32136115</v>
      </c>
      <c r="H27" s="476">
        <f t="shared" si="0"/>
        <v>-0.27200000000000002</v>
      </c>
      <c r="I27" s="1323"/>
      <c r="J27" s="547">
        <v>44140939</v>
      </c>
      <c r="K27" s="476">
        <f t="shared" si="1"/>
        <v>-0.51359999999999995</v>
      </c>
      <c r="L27" s="1324"/>
      <c r="M27" s="547">
        <v>90755536</v>
      </c>
      <c r="N27" s="476">
        <f t="shared" si="2"/>
        <v>-0.3705</v>
      </c>
      <c r="O27" s="547">
        <v>144168278</v>
      </c>
      <c r="P27" s="476">
        <f t="shared" si="7"/>
        <v>1.5365</v>
      </c>
      <c r="Q27" s="547">
        <v>56838365</v>
      </c>
      <c r="R27" s="476">
        <f t="shared" si="8"/>
        <v>0.55079999999999996</v>
      </c>
      <c r="S27" s="547">
        <v>36651638</v>
      </c>
      <c r="T27" s="476">
        <f t="shared" si="5"/>
        <v>-0.33379999999999999</v>
      </c>
      <c r="U27" s="547">
        <v>55014396</v>
      </c>
      <c r="V27" s="476">
        <f t="shared" si="6"/>
        <v>1.5800000000000002E-2</v>
      </c>
      <c r="W27" s="546"/>
      <c r="X27" s="1851">
        <v>54160006</v>
      </c>
      <c r="Y27" s="1323"/>
    </row>
    <row r="28" spans="1:26">
      <c r="A28" s="594">
        <v>14</v>
      </c>
      <c r="C28" s="851" t="s">
        <v>2505</v>
      </c>
      <c r="D28" s="547"/>
      <c r="E28" s="547"/>
      <c r="F28" s="851"/>
      <c r="G28" s="547">
        <v>0</v>
      </c>
      <c r="H28" s="476" t="str">
        <f t="shared" si="0"/>
        <v>-</v>
      </c>
      <c r="I28" s="851"/>
      <c r="J28" s="547">
        <v>0</v>
      </c>
      <c r="K28" s="476">
        <f t="shared" si="1"/>
        <v>1</v>
      </c>
      <c r="L28" s="1324"/>
      <c r="M28" s="547">
        <v>-69127951</v>
      </c>
      <c r="N28" s="476">
        <f t="shared" si="2"/>
        <v>0.40949999999999998</v>
      </c>
      <c r="O28" s="547">
        <v>-117061600</v>
      </c>
      <c r="P28" s="476">
        <f t="shared" si="7"/>
        <v>-2.1760000000000002</v>
      </c>
      <c r="Q28" s="547">
        <v>-36858043</v>
      </c>
      <c r="R28" s="476">
        <f t="shared" si="8"/>
        <v>-0.30940000000000001</v>
      </c>
      <c r="S28" s="547">
        <v>-28148659</v>
      </c>
      <c r="T28" s="476">
        <f t="shared" si="5"/>
        <v>0.34210000000000002</v>
      </c>
      <c r="U28" s="547">
        <v>-42788022</v>
      </c>
      <c r="V28" s="476">
        <f t="shared" si="6"/>
        <v>-0.2732</v>
      </c>
      <c r="W28" s="546"/>
      <c r="X28" s="1851">
        <v>-33606494</v>
      </c>
      <c r="Y28" s="1323"/>
      <c r="Z28" s="1323"/>
    </row>
    <row r="29" spans="1:26">
      <c r="A29" s="594">
        <v>15</v>
      </c>
      <c r="C29" s="1323" t="s">
        <v>2506</v>
      </c>
      <c r="D29" s="547"/>
      <c r="E29" s="547"/>
      <c r="F29" s="1323"/>
      <c r="G29" s="547">
        <v>-11316</v>
      </c>
      <c r="H29" s="476">
        <f t="shared" si="0"/>
        <v>0.32219999999999999</v>
      </c>
      <c r="I29" s="1323"/>
      <c r="J29" s="547">
        <v>-16696</v>
      </c>
      <c r="K29" s="476">
        <f t="shared" si="1"/>
        <v>0.81479999999999997</v>
      </c>
      <c r="L29" s="1324"/>
      <c r="M29" s="547">
        <v>-90146</v>
      </c>
      <c r="N29" s="476">
        <f t="shared" si="2"/>
        <v>7.2700000000000001E-2</v>
      </c>
      <c r="O29" s="547">
        <v>-97216</v>
      </c>
      <c r="P29" s="476">
        <f t="shared" si="7"/>
        <v>1.0800000000000001E-2</v>
      </c>
      <c r="Q29" s="547">
        <v>-98281</v>
      </c>
      <c r="R29" s="476">
        <f t="shared" si="8"/>
        <v>9.06E-2</v>
      </c>
      <c r="S29" s="547">
        <v>-108070</v>
      </c>
      <c r="T29" s="476">
        <f t="shared" si="5"/>
        <v>0.1822</v>
      </c>
      <c r="U29" s="547">
        <v>-132145</v>
      </c>
      <c r="V29" s="476">
        <f t="shared" si="6"/>
        <v>7.2999999999999995E-2</v>
      </c>
      <c r="W29" s="1324"/>
      <c r="X29" s="1851">
        <v>-142557</v>
      </c>
    </row>
    <row r="30" spans="1:26">
      <c r="A30" s="594">
        <v>16</v>
      </c>
      <c r="C30" s="852" t="s">
        <v>2507</v>
      </c>
      <c r="D30" s="547"/>
      <c r="E30" s="547"/>
      <c r="F30" s="852"/>
      <c r="G30" s="547">
        <v>0</v>
      </c>
      <c r="H30" s="476" t="str">
        <f>IF(J30=0,"-",ROUND((G30-J30)/ABS(J30),4))</f>
        <v>-</v>
      </c>
      <c r="I30" s="852"/>
      <c r="J30" s="547">
        <v>0</v>
      </c>
      <c r="K30" s="476" t="str">
        <f>IF(M30=0,"-",ROUND((J30-M30)/ABS(M30),4))</f>
        <v>-</v>
      </c>
      <c r="L30" s="1324"/>
      <c r="M30" s="547">
        <v>0</v>
      </c>
      <c r="N30" s="476">
        <f t="shared" si="2"/>
        <v>1</v>
      </c>
      <c r="O30" s="547">
        <v>-8051</v>
      </c>
      <c r="P30" s="476">
        <f>IF(Q30=0,"-",ROUND((O30-Q30)/ABS(Q30),4))</f>
        <v>-56.920900000000003</v>
      </c>
      <c r="Q30" s="547">
        <v>-139</v>
      </c>
      <c r="R30" s="476">
        <f>IF(S30=0,"-",ROUND((Q30-S30)/ABS(S30),4))</f>
        <v>-0.51090000000000002</v>
      </c>
      <c r="S30" s="547">
        <v>-92</v>
      </c>
      <c r="T30" s="476">
        <f t="shared" si="5"/>
        <v>0.59289999999999998</v>
      </c>
      <c r="U30" s="547">
        <v>-226</v>
      </c>
      <c r="V30" s="476">
        <f t="shared" si="6"/>
        <v>0.96699999999999997</v>
      </c>
      <c r="W30" s="1324"/>
      <c r="X30" s="1851">
        <v>-6841</v>
      </c>
    </row>
    <row r="31" spans="1:26">
      <c r="A31" s="594">
        <v>17</v>
      </c>
      <c r="C31" s="852" t="s">
        <v>2508</v>
      </c>
      <c r="D31" s="547"/>
      <c r="E31" s="547"/>
      <c r="F31" s="852"/>
      <c r="G31" s="547">
        <v>0</v>
      </c>
      <c r="H31" s="476" t="str">
        <f>IF(J31=0,"-",ROUND((G31-J31)/ABS(J31),4))</f>
        <v>-</v>
      </c>
      <c r="I31" s="852"/>
      <c r="J31" s="547">
        <v>0</v>
      </c>
      <c r="K31" s="476" t="str">
        <f>IF(M31=0,"-",ROUND((J31-M31)/ABS(M31),4))</f>
        <v>-</v>
      </c>
      <c r="L31" s="1324"/>
      <c r="M31" s="547">
        <v>0</v>
      </c>
      <c r="N31" s="476" t="str">
        <f t="shared" si="2"/>
        <v>-</v>
      </c>
      <c r="O31" s="547">
        <v>0</v>
      </c>
      <c r="P31" s="476" t="str">
        <f>IF(Q31=0,"-",ROUND((O31-Q31)/ABS(Q31),4))</f>
        <v>-</v>
      </c>
      <c r="Q31" s="547">
        <v>0</v>
      </c>
      <c r="R31" s="476" t="str">
        <f>IF(S31=0,"-",ROUND((Q31-S31)/ABS(S31),4))</f>
        <v>-</v>
      </c>
      <c r="S31" s="547">
        <v>0</v>
      </c>
      <c r="T31" s="476" t="str">
        <f t="shared" si="5"/>
        <v>-</v>
      </c>
      <c r="U31" s="547">
        <v>0</v>
      </c>
      <c r="V31" s="476" t="str">
        <f t="shared" si="6"/>
        <v>-</v>
      </c>
      <c r="W31" s="546"/>
      <c r="X31" s="1851">
        <v>0</v>
      </c>
    </row>
    <row r="32" spans="1:26">
      <c r="A32" s="594">
        <v>18</v>
      </c>
      <c r="C32" s="1323" t="s">
        <v>2509</v>
      </c>
      <c r="D32" s="1326">
        <f>SUM(D18:D31)</f>
        <v>431701995</v>
      </c>
      <c r="E32" s="1326">
        <f>SUM(E18:E31)</f>
        <v>420671980</v>
      </c>
      <c r="F32" s="1323"/>
      <c r="G32" s="1326">
        <f>SUM(G18:G31)</f>
        <v>389026283</v>
      </c>
      <c r="H32" s="476">
        <f t="shared" si="0"/>
        <v>2.3900000000000001E-2</v>
      </c>
      <c r="I32" s="1323"/>
      <c r="J32" s="1326">
        <f>SUM(J18:J31)</f>
        <v>379961509</v>
      </c>
      <c r="K32" s="476">
        <f t="shared" si="1"/>
        <v>-7.1999999999999998E-3</v>
      </c>
      <c r="L32" s="1324"/>
      <c r="M32" s="1326">
        <f>SUM(M18:M31)</f>
        <v>382728816</v>
      </c>
      <c r="N32" s="476">
        <f t="shared" si="2"/>
        <v>-5.7099999999999998E-2</v>
      </c>
      <c r="O32" s="1326">
        <f>SUM(O18:O31)</f>
        <v>405908679</v>
      </c>
      <c r="P32" s="476">
        <f>IF(Q32=0,"-",ROUND((O32-Q32)/ABS(Q32),4))</f>
        <v>-7.2900000000000006E-2</v>
      </c>
      <c r="Q32" s="1326">
        <f>SUM(Q18:Q31)</f>
        <v>437828613</v>
      </c>
      <c r="R32" s="476">
        <f>IF(S32=0,"-",ROUND((Q32-S32)/ABS(S32),4))</f>
        <v>0.13689999999999999</v>
      </c>
      <c r="S32" s="1326">
        <f>SUM(S18:S31)</f>
        <v>385094811</v>
      </c>
      <c r="T32" s="476">
        <f t="shared" si="5"/>
        <v>6.4000000000000003E-3</v>
      </c>
      <c r="U32" s="1326">
        <f>SUM(U18:U31)</f>
        <v>382632492</v>
      </c>
      <c r="V32" s="476">
        <f t="shared" si="6"/>
        <v>-9.2999999999999999E-2</v>
      </c>
      <c r="W32" s="546"/>
      <c r="X32" s="1326">
        <f>SUM(X18:X31)</f>
        <v>421855925</v>
      </c>
    </row>
    <row r="33" spans="1:26">
      <c r="A33" s="594">
        <v>19</v>
      </c>
      <c r="C33" s="1323" t="s">
        <v>2510</v>
      </c>
      <c r="D33" s="548">
        <f>D16-D32</f>
        <v>80416407</v>
      </c>
      <c r="E33" s="548">
        <f>E16-E32</f>
        <v>73083477</v>
      </c>
      <c r="F33" s="1323"/>
      <c r="G33" s="548">
        <f>G16-G32</f>
        <v>34553595</v>
      </c>
      <c r="H33" s="476">
        <f t="shared" si="0"/>
        <v>-0.26590000000000003</v>
      </c>
      <c r="I33" s="1323"/>
      <c r="J33" s="548">
        <f>J16-J32</f>
        <v>47071929</v>
      </c>
      <c r="K33" s="476">
        <f t="shared" si="1"/>
        <v>-0.18909999999999999</v>
      </c>
      <c r="L33" s="1324"/>
      <c r="M33" s="548">
        <f>M16-M32</f>
        <v>58051173</v>
      </c>
      <c r="N33" s="476">
        <f t="shared" si="2"/>
        <v>-4.5900000000000003E-2</v>
      </c>
      <c r="O33" s="548">
        <f>O16-O32</f>
        <v>60845608</v>
      </c>
      <c r="P33" s="476">
        <f>IF(Q33=0,"-",ROUND((O33-Q33)/ABS(Q33),4))</f>
        <v>0.19550000000000001</v>
      </c>
      <c r="Q33" s="548">
        <f>Q16-Q32</f>
        <v>50895612</v>
      </c>
      <c r="R33" s="476">
        <f>IF(S33=0,"-",ROUND((Q33-S33)/ABS(S33),4))</f>
        <v>-0.1331</v>
      </c>
      <c r="S33" s="548">
        <f>S16-S32</f>
        <v>58708871</v>
      </c>
      <c r="T33" s="476">
        <f t="shared" si="5"/>
        <v>0.30480000000000002</v>
      </c>
      <c r="U33" s="548">
        <f>U16-U32</f>
        <v>44994835</v>
      </c>
      <c r="V33" s="476">
        <f t="shared" ref="V33:V39" si="9">IF(X33=0,"-",ROUND((U33-X33)/ABS(X33),4))</f>
        <v>0.22209999999999999</v>
      </c>
      <c r="W33" s="546"/>
      <c r="X33" s="548">
        <f>X16-X32</f>
        <v>36818947</v>
      </c>
      <c r="Y33" s="1323"/>
    </row>
    <row r="34" spans="1:26">
      <c r="A34" s="594">
        <v>20</v>
      </c>
      <c r="C34" s="1323" t="s">
        <v>2511</v>
      </c>
      <c r="D34" s="547"/>
      <c r="E34" s="547"/>
      <c r="F34" s="1323"/>
      <c r="G34" s="547"/>
      <c r="H34" s="476"/>
      <c r="I34" s="1323"/>
      <c r="J34" s="547"/>
      <c r="K34" s="476"/>
      <c r="L34" s="1324"/>
      <c r="M34" s="547"/>
      <c r="N34" s="476"/>
      <c r="O34" s="547"/>
      <c r="P34" s="476"/>
      <c r="Q34" s="547"/>
      <c r="R34" s="476"/>
      <c r="S34" s="547"/>
      <c r="T34" s="476"/>
      <c r="U34" s="547"/>
      <c r="V34" s="476"/>
      <c r="W34" s="546"/>
      <c r="X34" s="547"/>
    </row>
    <row r="35" spans="1:26">
      <c r="A35" s="594">
        <v>21</v>
      </c>
      <c r="C35" s="1323" t="s">
        <v>2512</v>
      </c>
      <c r="D35" s="547"/>
      <c r="E35" s="547"/>
      <c r="F35" s="1323"/>
      <c r="G35" s="547"/>
      <c r="H35" s="476"/>
      <c r="I35" s="1323"/>
      <c r="J35" s="547"/>
      <c r="K35" s="476"/>
      <c r="L35" s="1324"/>
      <c r="M35" s="547"/>
      <c r="N35" s="476"/>
      <c r="O35" s="547"/>
      <c r="P35" s="476"/>
      <c r="Q35" s="547"/>
      <c r="R35" s="476"/>
      <c r="S35" s="547"/>
      <c r="T35" s="476"/>
      <c r="U35" s="547"/>
      <c r="V35" s="476"/>
      <c r="W35" s="546"/>
      <c r="X35" s="547"/>
    </row>
    <row r="36" spans="1:26">
      <c r="A36" s="594">
        <v>22</v>
      </c>
      <c r="C36" s="1323" t="s">
        <v>2513</v>
      </c>
      <c r="D36" s="547">
        <v>220000</v>
      </c>
      <c r="E36" s="547">
        <v>220000</v>
      </c>
      <c r="F36" s="1323"/>
      <c r="G36" s="547">
        <v>0</v>
      </c>
      <c r="H36" s="476">
        <f t="shared" ref="H36:H41" si="10">IF(J36=0,"-",ROUND((G36-J36)/ABS(J36),4))</f>
        <v>-1</v>
      </c>
      <c r="I36" s="1323"/>
      <c r="J36" s="547">
        <v>224458</v>
      </c>
      <c r="K36" s="476">
        <f t="shared" ref="K36:K41" si="11">IF(M36=0,"-",ROUND((J36-M36)/ABS(M36),4))</f>
        <v>-0.4209</v>
      </c>
      <c r="L36" s="1324"/>
      <c r="M36" s="547">
        <f>660081-239363+1059-34201</f>
        <v>387576</v>
      </c>
      <c r="N36" s="476">
        <f t="shared" ref="N36:N41" si="12">IF(O36=0,"-",ROUND((M36-O36)/ABS(O36),4))</f>
        <v>0.18759999999999999</v>
      </c>
      <c r="O36" s="547">
        <f>581953-183752+39729-111578</f>
        <v>326352</v>
      </c>
      <c r="P36" s="476">
        <f t="shared" ref="P36:P41" si="13">IF(Q36=0,"-",ROUND((O36-Q36)/ABS(Q36),4))</f>
        <v>7.532</v>
      </c>
      <c r="Q36" s="547">
        <f>293557-227630-232-115657</f>
        <v>-49962</v>
      </c>
      <c r="R36" s="476">
        <f t="shared" ref="R36:R41" si="14">IF(S36=0,"-",ROUND((Q36-S36)/ABS(S36),4))</f>
        <v>-1.22</v>
      </c>
      <c r="S36" s="547">
        <f>233258-65591+5227-15310+69563</f>
        <v>227147</v>
      </c>
      <c r="T36" s="476">
        <f t="shared" ref="T36:T41" si="15">IF(U36=0,"-",ROUND((S36-U36)/ABS(U36),4))</f>
        <v>-0.27239999999999998</v>
      </c>
      <c r="U36" s="547">
        <f>227569-86206+13980-2784+159618</f>
        <v>312177</v>
      </c>
      <c r="V36" s="476">
        <f t="shared" si="9"/>
        <v>2.4167999999999998</v>
      </c>
      <c r="W36" s="546"/>
      <c r="X36" s="1851">
        <f>220100-78550+8289+181222-239695</f>
        <v>91366</v>
      </c>
    </row>
    <row r="37" spans="1:26">
      <c r="A37" s="594">
        <v>23</v>
      </c>
      <c r="C37" s="1323" t="s">
        <v>2514</v>
      </c>
      <c r="D37" s="547">
        <v>1072500</v>
      </c>
      <c r="E37" s="547">
        <v>890500</v>
      </c>
      <c r="F37" s="1323"/>
      <c r="G37" s="547">
        <v>1488236</v>
      </c>
      <c r="H37" s="476">
        <f t="shared" si="10"/>
        <v>0.68659999999999999</v>
      </c>
      <c r="I37" s="1323"/>
      <c r="J37" s="547">
        <v>882397</v>
      </c>
      <c r="K37" s="476">
        <f t="shared" si="11"/>
        <v>-0.10879999999999999</v>
      </c>
      <c r="L37" s="1324"/>
      <c r="M37" s="547">
        <v>990145</v>
      </c>
      <c r="N37" s="476">
        <f t="shared" si="12"/>
        <v>-2.8799999999999999E-2</v>
      </c>
      <c r="O37" s="547">
        <v>1019460</v>
      </c>
      <c r="P37" s="476">
        <f t="shared" si="13"/>
        <v>-0.12709999999999999</v>
      </c>
      <c r="Q37" s="547">
        <v>1167836</v>
      </c>
      <c r="R37" s="476">
        <f t="shared" si="14"/>
        <v>7.8600000000000003E-2</v>
      </c>
      <c r="S37" s="547">
        <v>1082777</v>
      </c>
      <c r="T37" s="476">
        <f t="shared" si="15"/>
        <v>-0.1293</v>
      </c>
      <c r="U37" s="547">
        <v>1243599</v>
      </c>
      <c r="V37" s="476">
        <f t="shared" si="9"/>
        <v>-0.55820000000000003</v>
      </c>
      <c r="W37" s="546"/>
      <c r="X37" s="1851">
        <v>2815133</v>
      </c>
    </row>
    <row r="38" spans="1:26">
      <c r="A38" s="594">
        <v>24</v>
      </c>
      <c r="C38" s="1323" t="s">
        <v>2515</v>
      </c>
      <c r="D38" s="547">
        <v>2969976</v>
      </c>
      <c r="E38" s="547">
        <v>945300</v>
      </c>
      <c r="F38" s="1323"/>
      <c r="G38" s="547">
        <v>3576373</v>
      </c>
      <c r="H38" s="476">
        <f t="shared" si="10"/>
        <v>0.13550000000000001</v>
      </c>
      <c r="I38" s="1323"/>
      <c r="J38" s="547">
        <v>3149693</v>
      </c>
      <c r="K38" s="476">
        <f t="shared" si="11"/>
        <v>1.3642000000000001</v>
      </c>
      <c r="L38" s="1324"/>
      <c r="M38" s="547">
        <v>1332221</v>
      </c>
      <c r="N38" s="476">
        <f t="shared" si="12"/>
        <v>1.1506000000000001</v>
      </c>
      <c r="O38" s="547">
        <v>619464</v>
      </c>
      <c r="P38" s="476">
        <f t="shared" si="13"/>
        <v>0.24490000000000001</v>
      </c>
      <c r="Q38" s="547">
        <v>497621</v>
      </c>
      <c r="R38" s="476">
        <f t="shared" si="14"/>
        <v>3.5900000000000001E-2</v>
      </c>
      <c r="S38" s="547">
        <v>480390</v>
      </c>
      <c r="T38" s="476">
        <f t="shared" si="15"/>
        <v>0.86109999999999998</v>
      </c>
      <c r="U38" s="547">
        <v>258123</v>
      </c>
      <c r="V38" s="476">
        <f t="shared" si="9"/>
        <v>-0.56669999999999998</v>
      </c>
      <c r="W38" s="1324"/>
      <c r="X38" s="1851">
        <v>595773</v>
      </c>
    </row>
    <row r="39" spans="1:26">
      <c r="A39" s="594">
        <v>25</v>
      </c>
      <c r="C39" s="1323" t="s">
        <v>2516</v>
      </c>
      <c r="D39" s="547">
        <v>294000</v>
      </c>
      <c r="E39" s="547">
        <v>322000</v>
      </c>
      <c r="F39" s="1323"/>
      <c r="G39" s="547">
        <v>342880</v>
      </c>
      <c r="H39" s="476">
        <f t="shared" si="10"/>
        <v>544.9873</v>
      </c>
      <c r="I39" s="1323"/>
      <c r="J39" s="547">
        <v>628</v>
      </c>
      <c r="K39" s="476">
        <f t="shared" si="11"/>
        <v>1.4470000000000001</v>
      </c>
      <c r="L39" s="1324"/>
      <c r="M39" s="547">
        <v>-1405</v>
      </c>
      <c r="N39" s="476">
        <f t="shared" si="12"/>
        <v>-27.0185</v>
      </c>
      <c r="O39" s="547">
        <v>54</v>
      </c>
      <c r="P39" s="476">
        <f t="shared" si="13"/>
        <v>-0.99980000000000002</v>
      </c>
      <c r="Q39" s="547">
        <v>230387</v>
      </c>
      <c r="R39" s="476">
        <f t="shared" si="14"/>
        <v>2993.0390000000002</v>
      </c>
      <c r="S39" s="547">
        <v>-77</v>
      </c>
      <c r="T39" s="476">
        <f t="shared" si="15"/>
        <v>-1.0609</v>
      </c>
      <c r="U39" s="547">
        <v>1265</v>
      </c>
      <c r="V39" s="476">
        <f t="shared" si="9"/>
        <v>-0.14760000000000001</v>
      </c>
      <c r="W39" s="1324"/>
      <c r="X39" s="1851">
        <v>1484</v>
      </c>
    </row>
    <row r="40" spans="1:26">
      <c r="A40" s="594">
        <v>26</v>
      </c>
      <c r="C40" s="1323" t="s">
        <v>2517</v>
      </c>
      <c r="D40" s="547">
        <v>0</v>
      </c>
      <c r="E40" s="547">
        <v>0</v>
      </c>
      <c r="F40" s="1323"/>
      <c r="G40" s="547">
        <v>0</v>
      </c>
      <c r="H40" s="476">
        <f t="shared" si="10"/>
        <v>1</v>
      </c>
      <c r="I40" s="1323"/>
      <c r="J40" s="547">
        <v>-13310</v>
      </c>
      <c r="K40" s="476">
        <f t="shared" si="11"/>
        <v>-1.3452999999999999</v>
      </c>
      <c r="L40" s="1324"/>
      <c r="M40" s="547">
        <v>38549</v>
      </c>
      <c r="N40" s="476">
        <f t="shared" si="12"/>
        <v>-0.8397</v>
      </c>
      <c r="O40" s="547">
        <v>240478</v>
      </c>
      <c r="P40" s="476" t="str">
        <f t="shared" si="13"/>
        <v>-</v>
      </c>
      <c r="Q40" s="547">
        <v>0</v>
      </c>
      <c r="R40" s="476">
        <f t="shared" si="14"/>
        <v>-1</v>
      </c>
      <c r="S40" s="547">
        <v>3439636</v>
      </c>
      <c r="T40" s="476">
        <f t="shared" si="15"/>
        <v>6.3472999999999997</v>
      </c>
      <c r="U40" s="547">
        <v>468150</v>
      </c>
      <c r="V40" s="476" t="str">
        <f>IF(X40=0,"-",ROUND((U40-X40)/ABS(X40),4))</f>
        <v>-</v>
      </c>
      <c r="W40" s="546"/>
      <c r="X40" s="1851">
        <v>0</v>
      </c>
    </row>
    <row r="41" spans="1:26">
      <c r="A41" s="594">
        <v>27</v>
      </c>
      <c r="C41" s="1323" t="s">
        <v>2518</v>
      </c>
      <c r="D41" s="1326">
        <f>SUM(D36:D40)</f>
        <v>4556476</v>
      </c>
      <c r="E41" s="1326">
        <f>SUM(E36:E40)</f>
        <v>2377800</v>
      </c>
      <c r="F41" s="1323"/>
      <c r="G41" s="1326">
        <f>SUM(G36:G40)</f>
        <v>5407489</v>
      </c>
      <c r="H41" s="476">
        <f t="shared" si="10"/>
        <v>0.2742</v>
      </c>
      <c r="I41" s="1323"/>
      <c r="J41" s="1326">
        <f>SUM(J36:J40)</f>
        <v>4243866</v>
      </c>
      <c r="K41" s="476">
        <f t="shared" si="11"/>
        <v>0.54490000000000005</v>
      </c>
      <c r="L41" s="1324"/>
      <c r="M41" s="1326">
        <f>SUM(M36:M40)</f>
        <v>2747086</v>
      </c>
      <c r="N41" s="476">
        <f t="shared" si="12"/>
        <v>0.24540000000000001</v>
      </c>
      <c r="O41" s="1326">
        <f>SUM(O36:O40)</f>
        <v>2205808</v>
      </c>
      <c r="P41" s="476">
        <f t="shared" si="13"/>
        <v>0.19500000000000001</v>
      </c>
      <c r="Q41" s="1326">
        <f>SUM(Q36:Q40)</f>
        <v>1845882</v>
      </c>
      <c r="R41" s="476">
        <f t="shared" si="14"/>
        <v>-0.64710000000000001</v>
      </c>
      <c r="S41" s="1326">
        <f>SUM(S36:S40)</f>
        <v>5229873</v>
      </c>
      <c r="T41" s="476">
        <f t="shared" si="15"/>
        <v>1.2905</v>
      </c>
      <c r="U41" s="1326">
        <f>SUM(U36:U40)</f>
        <v>2283314</v>
      </c>
      <c r="V41" s="476">
        <f>IF(X41=0,"-",ROUND((U41-X41)/ABS(X41),4))</f>
        <v>-0.3483</v>
      </c>
      <c r="W41" s="546"/>
      <c r="X41" s="1326">
        <f>SUM(X36:X40)</f>
        <v>3503756</v>
      </c>
    </row>
    <row r="42" spans="1:26">
      <c r="A42" s="594">
        <v>28</v>
      </c>
      <c r="C42" s="1323" t="s">
        <v>2519</v>
      </c>
      <c r="D42" s="547"/>
      <c r="E42" s="547"/>
      <c r="F42" s="1323"/>
      <c r="G42" s="547"/>
      <c r="H42" s="476"/>
      <c r="I42" s="1323"/>
      <c r="J42" s="547"/>
      <c r="K42" s="476"/>
      <c r="L42" s="1324"/>
      <c r="M42" s="547"/>
      <c r="N42" s="476"/>
      <c r="O42" s="547"/>
      <c r="P42" s="476"/>
      <c r="Q42" s="547"/>
      <c r="R42" s="476"/>
      <c r="S42" s="547"/>
      <c r="T42" s="476"/>
      <c r="U42" s="547"/>
      <c r="V42" s="476"/>
      <c r="W42" s="1324"/>
      <c r="X42" s="547"/>
    </row>
    <row r="43" spans="1:26">
      <c r="A43" s="594">
        <v>29</v>
      </c>
      <c r="C43" s="1323" t="s">
        <v>2520</v>
      </c>
      <c r="D43" s="547">
        <v>0</v>
      </c>
      <c r="E43" s="547">
        <v>0</v>
      </c>
      <c r="F43" s="1323"/>
      <c r="G43" s="547">
        <v>0</v>
      </c>
      <c r="H43" s="476" t="str">
        <f>IF(J43=0,"-",ROUND((G43-J43)/ABS(J43),4))</f>
        <v>-</v>
      </c>
      <c r="I43" s="1323"/>
      <c r="J43" s="547">
        <v>0</v>
      </c>
      <c r="K43" s="476">
        <f>IF(M43=0,"-",ROUND((J43-M43)/ABS(M43),4))</f>
        <v>-1</v>
      </c>
      <c r="L43" s="1324"/>
      <c r="M43" s="547">
        <v>10853</v>
      </c>
      <c r="N43" s="476">
        <f>IF(O43=0,"-",ROUND((M43-O43)/ABS(O43),4))</f>
        <v>3.2461000000000002</v>
      </c>
      <c r="O43" s="547">
        <v>-4832</v>
      </c>
      <c r="P43" s="476" t="str">
        <f>IF(Q43=0,"-",ROUND((O43-Q43)/ABS(Q43),4))</f>
        <v>-</v>
      </c>
      <c r="Q43" s="547">
        <v>0</v>
      </c>
      <c r="R43" s="476" t="str">
        <f>IF(S43=0,"-",ROUND((Q43-S43)/ABS(S43),4))</f>
        <v>-</v>
      </c>
      <c r="S43" s="547">
        <v>0</v>
      </c>
      <c r="T43" s="476">
        <f>IF(U43=0,"-",ROUND((S43-U43)/ABS(U43),4))</f>
        <v>-1</v>
      </c>
      <c r="U43" s="547">
        <v>20688</v>
      </c>
      <c r="V43" s="476" t="str">
        <f t="shared" ref="V43:V52" si="16">IF(X43=0,"-",ROUND((U43-X43)/ABS(X43),4))</f>
        <v>-</v>
      </c>
      <c r="W43" s="1324"/>
      <c r="X43" s="1851">
        <v>0</v>
      </c>
    </row>
    <row r="44" spans="1:26">
      <c r="A44" s="594">
        <v>30</v>
      </c>
      <c r="C44" s="1323" t="s">
        <v>2521</v>
      </c>
      <c r="D44" s="547">
        <v>0</v>
      </c>
      <c r="E44" s="547">
        <v>0</v>
      </c>
      <c r="F44" s="1323"/>
      <c r="G44" s="547">
        <v>0</v>
      </c>
      <c r="H44" s="476" t="str">
        <f>IF(J44=0,"-",ROUND((G44-J44)/ABS(J44),4))</f>
        <v>-</v>
      </c>
      <c r="I44" s="1323"/>
      <c r="J44" s="547">
        <v>0</v>
      </c>
      <c r="K44" s="476">
        <f>IF(M44=0,"-",ROUND((J44-M44)/ABS(M44),4))</f>
        <v>-1</v>
      </c>
      <c r="L44" s="1324"/>
      <c r="M44" s="547">
        <f>2047096-10853</f>
        <v>2036243</v>
      </c>
      <c r="N44" s="476">
        <f>IF(O44=0,"-",ROUND((M44-O44)/ABS(O44),4))</f>
        <v>7.6499999999999999E-2</v>
      </c>
      <c r="O44" s="547">
        <f>1886737+4832</f>
        <v>1891569</v>
      </c>
      <c r="P44" s="476">
        <f>IF(Q44=0,"-",ROUND((O44-Q44)/ABS(Q44),4))</f>
        <v>0.80649999999999999</v>
      </c>
      <c r="Q44" s="547">
        <v>1047066</v>
      </c>
      <c r="R44" s="476">
        <f>IF(S44=0,"-",ROUND((Q44-S44)/ABS(S44),4))</f>
        <v>-1.54E-2</v>
      </c>
      <c r="S44" s="547">
        <v>1063486</v>
      </c>
      <c r="T44" s="476">
        <f>IF(U44=0,"-",ROUND((S44-U44)/ABS(U44),4))</f>
        <v>-0.4148</v>
      </c>
      <c r="U44" s="547">
        <f>1837883-20688</f>
        <v>1817195</v>
      </c>
      <c r="V44" s="476">
        <f t="shared" si="16"/>
        <v>3.6999999999999998E-2</v>
      </c>
      <c r="W44" s="546"/>
      <c r="X44" s="1851">
        <v>1752435</v>
      </c>
      <c r="Y44" s="1323"/>
      <c r="Z44" s="1323"/>
    </row>
    <row r="45" spans="1:26">
      <c r="A45" s="594">
        <v>31</v>
      </c>
      <c r="C45" s="1323" t="s">
        <v>2522</v>
      </c>
      <c r="D45" s="1326">
        <f>SUM(D43:D44)</f>
        <v>0</v>
      </c>
      <c r="E45" s="1326">
        <f>SUM(E43:E44)</f>
        <v>0</v>
      </c>
      <c r="F45" s="1323"/>
      <c r="G45" s="1326">
        <f>SUM(G43:G44)</f>
        <v>0</v>
      </c>
      <c r="H45" s="476" t="str">
        <f>IF(J45=0,"-",ROUND((G45-J45)/ABS(J45),4))</f>
        <v>-</v>
      </c>
      <c r="I45" s="1323"/>
      <c r="J45" s="1326">
        <f>SUM(J43:J44)</f>
        <v>0</v>
      </c>
      <c r="K45" s="476">
        <f>IF(M45=0,"-",ROUND((J45-M45)/ABS(M45),4))</f>
        <v>-1</v>
      </c>
      <c r="L45" s="1324"/>
      <c r="M45" s="1326">
        <f>SUM(M43:M44)</f>
        <v>2047096</v>
      </c>
      <c r="N45" s="476">
        <f>IF(O45=0,"-",ROUND((M45-O45)/ABS(O45),4))</f>
        <v>8.5000000000000006E-2</v>
      </c>
      <c r="O45" s="1326">
        <f>SUM(O43:O44)</f>
        <v>1886737</v>
      </c>
      <c r="P45" s="476">
        <f>IF(Q45=0,"-",ROUND((O45-Q45)/ABS(Q45),4))</f>
        <v>0.80189999999999995</v>
      </c>
      <c r="Q45" s="1326">
        <f>SUM(Q43:Q44)</f>
        <v>1047066</v>
      </c>
      <c r="R45" s="476">
        <f>IF(S45=0,"-",ROUND((Q45-S45)/ABS(S45),4))</f>
        <v>-1.54E-2</v>
      </c>
      <c r="S45" s="1326">
        <f>SUM(S43:S44)</f>
        <v>1063486</v>
      </c>
      <c r="T45" s="476">
        <f>IF(U45=0,"-",ROUND((S45-U45)/ABS(U45),4))</f>
        <v>-0.4214</v>
      </c>
      <c r="U45" s="1326">
        <f>SUM(U43:U44)</f>
        <v>1837883</v>
      </c>
      <c r="V45" s="476">
        <f t="shared" si="16"/>
        <v>4.8800000000000003E-2</v>
      </c>
      <c r="W45" s="546"/>
      <c r="X45" s="1326">
        <f>SUM(X43:X44)</f>
        <v>1752435</v>
      </c>
      <c r="Y45" s="1323"/>
      <c r="Z45" s="1323"/>
    </row>
    <row r="46" spans="1:26">
      <c r="A46" s="594">
        <v>32</v>
      </c>
      <c r="C46" s="1323" t="s">
        <v>2523</v>
      </c>
      <c r="D46" s="547"/>
      <c r="E46" s="547"/>
      <c r="F46" s="1323"/>
      <c r="G46" s="547"/>
      <c r="H46" s="476"/>
      <c r="I46" s="1323"/>
      <c r="J46" s="547"/>
      <c r="K46" s="476"/>
      <c r="L46" s="1324"/>
      <c r="M46" s="547"/>
      <c r="N46" s="476"/>
      <c r="O46" s="547"/>
      <c r="P46" s="476"/>
      <c r="Q46" s="547"/>
      <c r="R46" s="476"/>
      <c r="S46" s="547"/>
      <c r="T46" s="476"/>
      <c r="U46" s="547"/>
      <c r="V46" s="476"/>
      <c r="W46" s="546"/>
      <c r="X46" s="547"/>
      <c r="Y46" s="1323"/>
      <c r="Z46" s="1323"/>
    </row>
    <row r="47" spans="1:26">
      <c r="A47" s="594">
        <v>33</v>
      </c>
      <c r="C47" s="1323" t="s">
        <v>2501</v>
      </c>
      <c r="D47" s="547">
        <v>0</v>
      </c>
      <c r="E47" s="547">
        <v>0</v>
      </c>
      <c r="F47" s="1323"/>
      <c r="G47" s="547">
        <v>0</v>
      </c>
      <c r="H47" s="476" t="str">
        <f t="shared" ref="H47:H54" si="17">IF(J47=0,"-",ROUND((G47-J47)/ABS(J47),4))</f>
        <v>-</v>
      </c>
      <c r="I47" s="1323"/>
      <c r="J47" s="547">
        <v>0</v>
      </c>
      <c r="K47" s="476">
        <f t="shared" ref="K47:K54" si="18">IF(M47=0,"-",ROUND((J47-M47)/ABS(M47),4))</f>
        <v>-1</v>
      </c>
      <c r="L47" s="1324"/>
      <c r="M47" s="547">
        <v>100069</v>
      </c>
      <c r="N47" s="476">
        <f t="shared" ref="N47:N54" si="19">IF(O47=0,"-",ROUND((M47-O47)/ABS(O47),4))</f>
        <v>-0.2074</v>
      </c>
      <c r="O47" s="547">
        <v>126257</v>
      </c>
      <c r="P47" s="476">
        <f t="shared" ref="P47:P54" si="20">IF(Q47=0,"-",ROUND((O47-Q47)/ABS(Q47),4))</f>
        <v>2.47E-2</v>
      </c>
      <c r="Q47" s="547">
        <v>123213</v>
      </c>
      <c r="R47" s="476">
        <f t="shared" ref="R47:R54" si="21">IF(S47=0,"-",ROUND((Q47-S47)/ABS(S47),4))</f>
        <v>-0.1772</v>
      </c>
      <c r="S47" s="547">
        <v>149754</v>
      </c>
      <c r="T47" s="476">
        <f t="shared" ref="T47:T54" si="22">IF(U47=0,"-",ROUND((S47-U47)/ABS(U47),4))</f>
        <v>8.6300000000000002E-2</v>
      </c>
      <c r="U47" s="547">
        <v>137852</v>
      </c>
      <c r="V47" s="476">
        <f t="shared" si="16"/>
        <v>-0.53200000000000003</v>
      </c>
      <c r="W47" s="546"/>
      <c r="X47" s="1851">
        <v>294580</v>
      </c>
      <c r="Y47" s="1323"/>
    </row>
    <row r="48" spans="1:26">
      <c r="A48" s="594">
        <v>34</v>
      </c>
      <c r="C48" s="1323" t="s">
        <v>2502</v>
      </c>
      <c r="D48" s="547">
        <v>0</v>
      </c>
      <c r="E48" s="547">
        <v>0</v>
      </c>
      <c r="F48" s="1323"/>
      <c r="G48" s="547">
        <v>0</v>
      </c>
      <c r="H48" s="476" t="str">
        <f t="shared" si="17"/>
        <v>-</v>
      </c>
      <c r="I48" s="1323"/>
      <c r="J48" s="547">
        <v>0</v>
      </c>
      <c r="K48" s="476">
        <f t="shared" si="18"/>
        <v>-1</v>
      </c>
      <c r="L48" s="1324"/>
      <c r="M48" s="547">
        <v>3152242</v>
      </c>
      <c r="N48" s="476">
        <f t="shared" si="19"/>
        <v>-4.1500000000000002E-2</v>
      </c>
      <c r="O48" s="547">
        <v>3288690</v>
      </c>
      <c r="P48" s="476">
        <f t="shared" si="20"/>
        <v>-0.32529999999999998</v>
      </c>
      <c r="Q48" s="547">
        <v>4874288</v>
      </c>
      <c r="R48" s="476">
        <f t="shared" si="21"/>
        <v>18.0397</v>
      </c>
      <c r="S48" s="547">
        <v>256006</v>
      </c>
      <c r="T48" s="476">
        <f t="shared" si="22"/>
        <v>-0.90690000000000004</v>
      </c>
      <c r="U48" s="547">
        <v>2750399</v>
      </c>
      <c r="V48" s="476">
        <f t="shared" si="16"/>
        <v>0.18909999999999999</v>
      </c>
      <c r="W48" s="546"/>
      <c r="X48" s="1851">
        <v>2312927</v>
      </c>
      <c r="Y48" s="1323"/>
    </row>
    <row r="49" spans="1:25">
      <c r="A49" s="594">
        <v>35</v>
      </c>
      <c r="C49" s="1323" t="s">
        <v>2524</v>
      </c>
      <c r="D49" s="547">
        <v>0</v>
      </c>
      <c r="E49" s="547">
        <v>0</v>
      </c>
      <c r="F49" s="1323"/>
      <c r="G49" s="547">
        <v>0</v>
      </c>
      <c r="H49" s="476" t="str">
        <f t="shared" si="17"/>
        <v>-</v>
      </c>
      <c r="I49" s="1323"/>
      <c r="J49" s="547">
        <v>0</v>
      </c>
      <c r="K49" s="476">
        <f t="shared" si="18"/>
        <v>-1</v>
      </c>
      <c r="L49" s="1324"/>
      <c r="M49" s="547">
        <v>511744</v>
      </c>
      <c r="N49" s="476">
        <f t="shared" si="19"/>
        <v>-6.8400000000000002E-2</v>
      </c>
      <c r="O49" s="547">
        <v>549325</v>
      </c>
      <c r="P49" s="476">
        <f t="shared" si="20"/>
        <v>-0.31640000000000001</v>
      </c>
      <c r="Q49" s="547">
        <v>803577</v>
      </c>
      <c r="R49" s="476">
        <f t="shared" si="21"/>
        <v>3.1429999999999998</v>
      </c>
      <c r="S49" s="547">
        <v>-374970</v>
      </c>
      <c r="T49" s="476">
        <f t="shared" si="22"/>
        <v>-2.0127999999999999</v>
      </c>
      <c r="U49" s="547">
        <v>370225</v>
      </c>
      <c r="V49" s="476">
        <f t="shared" si="16"/>
        <v>7.7999999999999996E-3</v>
      </c>
      <c r="W49" s="1324"/>
      <c r="X49" s="1851">
        <v>367360</v>
      </c>
    </row>
    <row r="50" spans="1:25">
      <c r="A50" s="594">
        <v>36</v>
      </c>
      <c r="C50" s="1323" t="s">
        <v>2504</v>
      </c>
      <c r="D50" s="547">
        <v>0</v>
      </c>
      <c r="E50" s="547">
        <v>0</v>
      </c>
      <c r="F50" s="1323"/>
      <c r="G50" s="547">
        <v>0</v>
      </c>
      <c r="H50" s="476" t="str">
        <f t="shared" si="17"/>
        <v>-</v>
      </c>
      <c r="I50" s="1323"/>
      <c r="J50" s="547">
        <v>0</v>
      </c>
      <c r="K50" s="476">
        <f t="shared" si="18"/>
        <v>-1</v>
      </c>
      <c r="L50" s="1324"/>
      <c r="M50" s="547">
        <v>227382</v>
      </c>
      <c r="N50" s="476">
        <f t="shared" si="19"/>
        <v>-0.96660000000000001</v>
      </c>
      <c r="O50" s="547">
        <v>6808421</v>
      </c>
      <c r="P50" s="476">
        <f t="shared" si="20"/>
        <v>-0.2366</v>
      </c>
      <c r="Q50" s="547">
        <v>8918546</v>
      </c>
      <c r="R50" s="476">
        <f t="shared" si="21"/>
        <v>0.49909999999999999</v>
      </c>
      <c r="S50" s="547">
        <v>5949385</v>
      </c>
      <c r="T50" s="476">
        <f t="shared" si="22"/>
        <v>21.898399999999999</v>
      </c>
      <c r="U50" s="547">
        <v>259817</v>
      </c>
      <c r="V50" s="476">
        <f t="shared" si="16"/>
        <v>-0.85719999999999996</v>
      </c>
      <c r="W50" s="1324"/>
      <c r="X50" s="1851">
        <v>1819917</v>
      </c>
    </row>
    <row r="51" spans="1:25">
      <c r="A51" s="594">
        <v>37</v>
      </c>
      <c r="C51" s="1323" t="s">
        <v>2505</v>
      </c>
      <c r="D51" s="547">
        <v>0</v>
      </c>
      <c r="E51" s="547">
        <v>0</v>
      </c>
      <c r="F51" s="1323"/>
      <c r="G51" s="547">
        <v>0</v>
      </c>
      <c r="H51" s="476" t="str">
        <f t="shared" si="17"/>
        <v>-</v>
      </c>
      <c r="I51" s="1323"/>
      <c r="J51" s="547">
        <v>0</v>
      </c>
      <c r="K51" s="476">
        <f t="shared" si="18"/>
        <v>1</v>
      </c>
      <c r="L51" s="1324"/>
      <c r="M51" s="547">
        <v>-3734569</v>
      </c>
      <c r="N51" s="476">
        <f t="shared" si="19"/>
        <v>0.63670000000000004</v>
      </c>
      <c r="O51" s="547">
        <v>-10280872</v>
      </c>
      <c r="P51" s="476">
        <f t="shared" si="20"/>
        <v>0.29570000000000002</v>
      </c>
      <c r="Q51" s="547">
        <v>-14596954</v>
      </c>
      <c r="R51" s="476">
        <f t="shared" si="21"/>
        <v>-2.1711</v>
      </c>
      <c r="S51" s="547">
        <v>-4603167</v>
      </c>
      <c r="T51" s="476">
        <f t="shared" si="22"/>
        <v>-0.35870000000000002</v>
      </c>
      <c r="U51" s="547">
        <v>-3387854</v>
      </c>
      <c r="V51" s="476">
        <f t="shared" si="16"/>
        <v>0.55379999999999996</v>
      </c>
      <c r="W51" s="1324"/>
      <c r="X51" s="1851">
        <v>-7593444</v>
      </c>
    </row>
    <row r="52" spans="1:25">
      <c r="A52" s="594">
        <v>38</v>
      </c>
      <c r="C52" s="1323" t="s">
        <v>2506</v>
      </c>
      <c r="D52" s="547">
        <v>0</v>
      </c>
      <c r="E52" s="547">
        <v>0</v>
      </c>
      <c r="F52" s="1323"/>
      <c r="G52" s="547">
        <v>0</v>
      </c>
      <c r="H52" s="476" t="str">
        <f>IF(J52=0,"-",ROUND((G52-J52)/ABS(J52),4))</f>
        <v>-</v>
      </c>
      <c r="I52" s="1323"/>
      <c r="J52" s="547">
        <v>0</v>
      </c>
      <c r="K52" s="476">
        <f>IF(M52=0,"-",ROUND((J52-M52)/ABS(M52),4))</f>
        <v>1</v>
      </c>
      <c r="L52" s="1324"/>
      <c r="M52" s="547">
        <v>-42057</v>
      </c>
      <c r="N52" s="476">
        <f t="shared" si="19"/>
        <v>0.44180000000000003</v>
      </c>
      <c r="O52" s="547">
        <v>-75340</v>
      </c>
      <c r="P52" s="476">
        <f t="shared" si="20"/>
        <v>0</v>
      </c>
      <c r="Q52" s="547">
        <v>-75340</v>
      </c>
      <c r="R52" s="476">
        <f t="shared" si="21"/>
        <v>-1.1713</v>
      </c>
      <c r="S52" s="547">
        <v>439883</v>
      </c>
      <c r="T52" s="476">
        <f t="shared" si="22"/>
        <v>2.0200999999999998</v>
      </c>
      <c r="U52" s="547">
        <v>-431215</v>
      </c>
      <c r="V52" s="476">
        <f t="shared" si="16"/>
        <v>4.1999999999999997E-3</v>
      </c>
      <c r="W52" s="546"/>
      <c r="X52" s="1851">
        <v>-433041</v>
      </c>
      <c r="Y52" s="1323"/>
    </row>
    <row r="53" spans="1:25">
      <c r="A53" s="594">
        <v>39</v>
      </c>
      <c r="C53" s="1323" t="s">
        <v>2525</v>
      </c>
      <c r="D53" s="1326">
        <f>SUM(D47:D52)</f>
        <v>0</v>
      </c>
      <c r="E53" s="1326">
        <f>SUM(E47:E52)</f>
        <v>0</v>
      </c>
      <c r="F53" s="1323"/>
      <c r="G53" s="1326">
        <f>SUM(G47:G52)</f>
        <v>0</v>
      </c>
      <c r="H53" s="476" t="str">
        <f t="shared" si="17"/>
        <v>-</v>
      </c>
      <c r="I53" s="1323"/>
      <c r="J53" s="1326">
        <f>SUM(J47:J52)</f>
        <v>0</v>
      </c>
      <c r="K53" s="476">
        <f t="shared" si="18"/>
        <v>-1</v>
      </c>
      <c r="L53" s="1324"/>
      <c r="M53" s="1326">
        <f>SUM(M47:M52)</f>
        <v>214811</v>
      </c>
      <c r="N53" s="476">
        <f t="shared" si="19"/>
        <v>-0.48420000000000002</v>
      </c>
      <c r="O53" s="1326">
        <f>SUM(O47:O52)</f>
        <v>416481</v>
      </c>
      <c r="P53" s="476">
        <f t="shared" si="20"/>
        <v>7.7995000000000001</v>
      </c>
      <c r="Q53" s="1326">
        <f>SUM(Q47:Q52)</f>
        <v>47330</v>
      </c>
      <c r="R53" s="476">
        <f t="shared" si="21"/>
        <v>-0.97399999999999998</v>
      </c>
      <c r="S53" s="1326">
        <f>SUM(S47:S52)</f>
        <v>1816891</v>
      </c>
      <c r="T53" s="476">
        <f t="shared" si="22"/>
        <v>7.0407000000000002</v>
      </c>
      <c r="U53" s="1326">
        <f>SUM(U47:U52)</f>
        <v>-300776</v>
      </c>
      <c r="V53" s="476">
        <f t="shared" ref="V53:V64" si="23">IF(X53=0,"-",ROUND((U53-X53)/ABS(X53),4))</f>
        <v>0.90690000000000004</v>
      </c>
      <c r="W53" s="546"/>
      <c r="X53" s="1326">
        <f>SUM(X47:X52)</f>
        <v>-3231701</v>
      </c>
      <c r="Y53" s="1323"/>
    </row>
    <row r="54" spans="1:25">
      <c r="A54" s="594">
        <v>40</v>
      </c>
      <c r="C54" s="1323" t="s">
        <v>2526</v>
      </c>
      <c r="D54" s="548">
        <f>D41-D45-D53</f>
        <v>4556476</v>
      </c>
      <c r="E54" s="548">
        <f>E41-E45-E53</f>
        <v>2377800</v>
      </c>
      <c r="F54" s="1323"/>
      <c r="G54" s="548">
        <f>G41-G45-G53</f>
        <v>5407489</v>
      </c>
      <c r="H54" s="476">
        <f t="shared" si="17"/>
        <v>0.2742</v>
      </c>
      <c r="I54" s="1323"/>
      <c r="J54" s="548">
        <f>J41-J45-J53</f>
        <v>4243866</v>
      </c>
      <c r="K54" s="476">
        <f t="shared" si="18"/>
        <v>7.7469999999999999</v>
      </c>
      <c r="L54" s="1324"/>
      <c r="M54" s="548">
        <f>M41-M45-M53</f>
        <v>485179</v>
      </c>
      <c r="N54" s="476">
        <f t="shared" si="19"/>
        <v>5.9808000000000003</v>
      </c>
      <c r="O54" s="548">
        <f>O41-O45-O53</f>
        <v>-97410</v>
      </c>
      <c r="P54" s="476">
        <f t="shared" si="20"/>
        <v>-1.1295999999999999</v>
      </c>
      <c r="Q54" s="548">
        <f>Q41-Q45-Q53</f>
        <v>751486</v>
      </c>
      <c r="R54" s="476">
        <f t="shared" si="21"/>
        <v>-0.68020000000000003</v>
      </c>
      <c r="S54" s="548">
        <f>S41-S45-S53</f>
        <v>2349496</v>
      </c>
      <c r="T54" s="476">
        <f t="shared" si="22"/>
        <v>2.1486000000000001</v>
      </c>
      <c r="U54" s="548">
        <f>U41-U45-U53</f>
        <v>746207</v>
      </c>
      <c r="V54" s="476">
        <f t="shared" si="23"/>
        <v>-0.85029999999999994</v>
      </c>
      <c r="W54" s="546"/>
      <c r="X54" s="548">
        <f>X41-X45-X53</f>
        <v>4983022</v>
      </c>
    </row>
    <row r="55" spans="1:25">
      <c r="A55" s="594">
        <v>41</v>
      </c>
      <c r="C55" s="1323" t="s">
        <v>2527</v>
      </c>
      <c r="D55" s="547"/>
      <c r="E55" s="547"/>
      <c r="F55" s="1323"/>
      <c r="G55" s="547"/>
      <c r="H55" s="476"/>
      <c r="I55" s="1323"/>
      <c r="J55" s="547"/>
      <c r="K55" s="476"/>
      <c r="L55" s="1324"/>
      <c r="M55" s="547"/>
      <c r="N55" s="476"/>
      <c r="O55" s="547"/>
      <c r="P55" s="476"/>
      <c r="Q55" s="547"/>
      <c r="R55" s="476"/>
      <c r="S55" s="547"/>
      <c r="T55" s="476"/>
      <c r="U55" s="547"/>
      <c r="V55" s="476"/>
      <c r="W55" s="546"/>
      <c r="X55" s="547"/>
    </row>
    <row r="56" spans="1:25">
      <c r="A56" s="594">
        <v>42</v>
      </c>
      <c r="C56" s="1323" t="s">
        <v>2528</v>
      </c>
      <c r="D56" s="547">
        <v>21935869</v>
      </c>
      <c r="E56" s="547">
        <v>20632204</v>
      </c>
      <c r="F56" s="1323"/>
      <c r="G56" s="547">
        <v>19501401</v>
      </c>
      <c r="H56" s="476">
        <f t="shared" ref="H56:H64" si="24">IF(J56=0,"-",ROUND((G56-J56)/ABS(J56),4))</f>
        <v>0.42359999999999998</v>
      </c>
      <c r="I56" s="1323"/>
      <c r="J56" s="547">
        <v>13698687</v>
      </c>
      <c r="K56" s="476">
        <f t="shared" ref="K56:K64" si="25">IF(M56=0,"-",ROUND((J56-M56)/ABS(M56),4))</f>
        <v>-4.4999999999999997E-3</v>
      </c>
      <c r="L56" s="1324"/>
      <c r="M56" s="547">
        <v>13759989</v>
      </c>
      <c r="N56" s="476">
        <f t="shared" ref="N56:N64" si="26">IF(O56=0,"-",ROUND((M56-O56)/ABS(O56),4))</f>
        <v>0.1308</v>
      </c>
      <c r="O56" s="547">
        <v>12168565</v>
      </c>
      <c r="P56" s="476">
        <f t="shared" ref="P56:P64" si="27">IF(Q56=0,"-",ROUND((O56-Q56)/ABS(Q56),4))</f>
        <v>-0.1353</v>
      </c>
      <c r="Q56" s="547">
        <v>14072706</v>
      </c>
      <c r="R56" s="476">
        <f t="shared" ref="R56:R64" si="28">IF(S56=0,"-",ROUND((Q56-S56)/ABS(S56),4))</f>
        <v>-6.8999999999999999E-3</v>
      </c>
      <c r="S56" s="547">
        <v>14170932</v>
      </c>
      <c r="T56" s="476">
        <f t="shared" ref="T56:T64" si="29">IF(U56=0,"-",ROUND((S56-U56)/ABS(U56),4))</f>
        <v>-1.6000000000000001E-3</v>
      </c>
      <c r="U56" s="547">
        <v>14193942</v>
      </c>
      <c r="V56" s="476">
        <f t="shared" si="23"/>
        <v>2.69E-2</v>
      </c>
      <c r="W56" s="546"/>
      <c r="X56" s="1851">
        <v>13821653</v>
      </c>
    </row>
    <row r="57" spans="1:25">
      <c r="A57" s="594">
        <v>43</v>
      </c>
      <c r="C57" s="1323" t="s">
        <v>3342</v>
      </c>
      <c r="D57" s="547">
        <v>277432</v>
      </c>
      <c r="E57" s="547">
        <v>398112</v>
      </c>
      <c r="F57" s="1323"/>
      <c r="G57" s="547">
        <v>451473</v>
      </c>
      <c r="H57" s="476">
        <f t="shared" si="24"/>
        <v>-6.5199999999999994E-2</v>
      </c>
      <c r="I57" s="1323"/>
      <c r="J57" s="547">
        <v>482945</v>
      </c>
      <c r="K57" s="476">
        <f t="shared" si="25"/>
        <v>-0.35460000000000003</v>
      </c>
      <c r="L57" s="1324"/>
      <c r="M57" s="547">
        <v>748311</v>
      </c>
      <c r="N57" s="476">
        <f t="shared" si="26"/>
        <v>0.79139999999999999</v>
      </c>
      <c r="O57" s="547">
        <v>417713</v>
      </c>
      <c r="P57" s="476">
        <f t="shared" si="27"/>
        <v>-2.92E-2</v>
      </c>
      <c r="Q57" s="547">
        <v>430274</v>
      </c>
      <c r="R57" s="476">
        <f t="shared" si="28"/>
        <v>-0.1211</v>
      </c>
      <c r="S57" s="547">
        <v>489575</v>
      </c>
      <c r="T57" s="476">
        <f t="shared" si="29"/>
        <v>-5.1499999999999997E-2</v>
      </c>
      <c r="U57" s="547">
        <v>516157</v>
      </c>
      <c r="V57" s="476">
        <f t="shared" si="23"/>
        <v>0.75160000000000005</v>
      </c>
      <c r="W57" s="546"/>
      <c r="X57" s="1851">
        <v>294680</v>
      </c>
    </row>
    <row r="58" spans="1:25">
      <c r="A58" s="594">
        <v>44</v>
      </c>
      <c r="C58" s="1323" t="s">
        <v>2529</v>
      </c>
      <c r="D58" s="547">
        <v>0</v>
      </c>
      <c r="E58" s="547">
        <v>0</v>
      </c>
      <c r="F58" s="1323"/>
      <c r="G58" s="547">
        <v>0</v>
      </c>
      <c r="H58" s="476" t="str">
        <f t="shared" si="24"/>
        <v>-</v>
      </c>
      <c r="I58" s="1323"/>
      <c r="J58" s="547">
        <v>0</v>
      </c>
      <c r="K58" s="476">
        <f t="shared" si="25"/>
        <v>-1</v>
      </c>
      <c r="L58" s="1324"/>
      <c r="M58" s="547">
        <v>266474</v>
      </c>
      <c r="N58" s="476">
        <f t="shared" si="26"/>
        <v>0</v>
      </c>
      <c r="O58" s="547">
        <v>266474</v>
      </c>
      <c r="P58" s="476">
        <f t="shared" si="27"/>
        <v>0</v>
      </c>
      <c r="Q58" s="547">
        <v>266474</v>
      </c>
      <c r="R58" s="476">
        <f t="shared" si="28"/>
        <v>-3.5200000000000002E-2</v>
      </c>
      <c r="S58" s="547">
        <v>276185</v>
      </c>
      <c r="T58" s="476">
        <f t="shared" si="29"/>
        <v>-2.46E-2</v>
      </c>
      <c r="U58" s="547">
        <v>283143</v>
      </c>
      <c r="V58" s="476">
        <f t="shared" si="23"/>
        <v>0</v>
      </c>
      <c r="W58" s="546"/>
      <c r="X58" s="1851">
        <v>283143</v>
      </c>
    </row>
    <row r="59" spans="1:25">
      <c r="A59" s="594">
        <v>45</v>
      </c>
      <c r="C59" s="1323" t="s">
        <v>2530</v>
      </c>
      <c r="D59" s="547">
        <v>0</v>
      </c>
      <c r="E59" s="547">
        <v>0</v>
      </c>
      <c r="F59" s="1323"/>
      <c r="G59" s="547">
        <v>0</v>
      </c>
      <c r="H59" s="476" t="str">
        <f t="shared" si="24"/>
        <v>-</v>
      </c>
      <c r="I59" s="1323"/>
      <c r="J59" s="547">
        <v>0</v>
      </c>
      <c r="K59" s="476" t="str">
        <f t="shared" si="25"/>
        <v>-</v>
      </c>
      <c r="L59" s="1324"/>
      <c r="M59" s="547">
        <v>0</v>
      </c>
      <c r="N59" s="476" t="str">
        <f t="shared" si="26"/>
        <v>-</v>
      </c>
      <c r="O59" s="547">
        <v>0</v>
      </c>
      <c r="P59" s="476" t="str">
        <f t="shared" si="27"/>
        <v>-</v>
      </c>
      <c r="Q59" s="547">
        <v>0</v>
      </c>
      <c r="R59" s="476" t="str">
        <f t="shared" si="28"/>
        <v>-</v>
      </c>
      <c r="S59" s="547">
        <v>0</v>
      </c>
      <c r="T59" s="476" t="str">
        <f t="shared" si="29"/>
        <v>-</v>
      </c>
      <c r="U59" s="547">
        <v>0</v>
      </c>
      <c r="V59" s="476" t="str">
        <f t="shared" si="23"/>
        <v>-</v>
      </c>
      <c r="W59" s="1324"/>
      <c r="X59" s="1851">
        <v>0</v>
      </c>
    </row>
    <row r="60" spans="1:25">
      <c r="A60" s="594">
        <v>46</v>
      </c>
      <c r="C60" s="1323" t="s">
        <v>2531</v>
      </c>
      <c r="D60" s="547">
        <v>562500</v>
      </c>
      <c r="E60" s="547">
        <v>562500</v>
      </c>
      <c r="F60" s="1323"/>
      <c r="G60" s="547">
        <v>1045906</v>
      </c>
      <c r="H60" s="476">
        <f t="shared" si="24"/>
        <v>5.6938000000000004</v>
      </c>
      <c r="I60" s="1323"/>
      <c r="J60" s="547">
        <v>156250</v>
      </c>
      <c r="K60" s="476">
        <f t="shared" si="25"/>
        <v>-0.318</v>
      </c>
      <c r="L60" s="1324"/>
      <c r="M60" s="547">
        <v>229106</v>
      </c>
      <c r="N60" s="476">
        <f t="shared" si="26"/>
        <v>0.21010000000000001</v>
      </c>
      <c r="O60" s="547">
        <v>189334</v>
      </c>
      <c r="P60" s="476">
        <f t="shared" si="27"/>
        <v>10.6363</v>
      </c>
      <c r="Q60" s="547">
        <v>16271</v>
      </c>
      <c r="R60" s="476">
        <f t="shared" si="28"/>
        <v>18.6036</v>
      </c>
      <c r="S60" s="547">
        <v>830</v>
      </c>
      <c r="T60" s="476">
        <f t="shared" si="29"/>
        <v>-0.52649999999999997</v>
      </c>
      <c r="U60" s="547">
        <v>1753</v>
      </c>
      <c r="V60" s="476" t="str">
        <f t="shared" si="23"/>
        <v>-</v>
      </c>
      <c r="W60" s="1324"/>
      <c r="X60" s="1851">
        <v>0</v>
      </c>
    </row>
    <row r="61" spans="1:25">
      <c r="A61" s="594">
        <v>47</v>
      </c>
      <c r="C61" s="1323" t="s">
        <v>3343</v>
      </c>
      <c r="D61" s="547">
        <v>769410</v>
      </c>
      <c r="E61" s="547">
        <v>595553</v>
      </c>
      <c r="F61" s="1323"/>
      <c r="G61" s="547">
        <v>731962</v>
      </c>
      <c r="H61" s="476">
        <f t="shared" si="24"/>
        <v>0.67889999999999995</v>
      </c>
      <c r="I61" s="1323"/>
      <c r="J61" s="547">
        <v>435972</v>
      </c>
      <c r="K61" s="476">
        <f t="shared" si="25"/>
        <v>-0.70660000000000001</v>
      </c>
      <c r="L61" s="1324"/>
      <c r="M61" s="547">
        <v>1485968</v>
      </c>
      <c r="N61" s="476">
        <f t="shared" si="26"/>
        <v>-0.15329999999999999</v>
      </c>
      <c r="O61" s="547">
        <v>1755051</v>
      </c>
      <c r="P61" s="476">
        <f t="shared" si="27"/>
        <v>-2.0799999999999999E-2</v>
      </c>
      <c r="Q61" s="547">
        <v>1792335</v>
      </c>
      <c r="R61" s="476">
        <f t="shared" si="28"/>
        <v>0.41270000000000001</v>
      </c>
      <c r="S61" s="547">
        <v>1268769</v>
      </c>
      <c r="T61" s="476">
        <f t="shared" si="29"/>
        <v>-0.53639999999999999</v>
      </c>
      <c r="U61" s="547">
        <v>2736819</v>
      </c>
      <c r="V61" s="476">
        <f t="shared" si="23"/>
        <v>-0.17219999999999999</v>
      </c>
      <c r="W61" s="1324"/>
      <c r="X61" s="1851">
        <v>3306183</v>
      </c>
    </row>
    <row r="62" spans="1:25">
      <c r="A62" s="594">
        <v>48</v>
      </c>
      <c r="C62" s="1323" t="s">
        <v>2532</v>
      </c>
      <c r="D62" s="547">
        <v>-1180719</v>
      </c>
      <c r="E62" s="547">
        <v>-372119</v>
      </c>
      <c r="F62" s="1323"/>
      <c r="G62" s="547">
        <v>-1428350</v>
      </c>
      <c r="H62" s="476">
        <f t="shared" si="24"/>
        <v>-0.18759999999999999</v>
      </c>
      <c r="I62" s="1323"/>
      <c r="J62" s="547">
        <v>-1202730</v>
      </c>
      <c r="K62" s="476">
        <f t="shared" si="25"/>
        <v>-1.2379</v>
      </c>
      <c r="L62" s="1365"/>
      <c r="M62" s="547">
        <v>-537434</v>
      </c>
      <c r="N62" s="476">
        <f t="shared" si="26"/>
        <v>-1.3932</v>
      </c>
      <c r="O62" s="547">
        <v>-224569</v>
      </c>
      <c r="P62" s="476">
        <f t="shared" si="27"/>
        <v>3.5299999999999998E-2</v>
      </c>
      <c r="Q62" s="547">
        <v>-232777</v>
      </c>
      <c r="R62" s="476">
        <f t="shared" si="28"/>
        <v>-7.0300000000000001E-2</v>
      </c>
      <c r="S62" s="547">
        <v>-217495</v>
      </c>
      <c r="T62" s="476">
        <f t="shared" si="29"/>
        <v>-2.7699999999999999E-2</v>
      </c>
      <c r="U62" s="547">
        <v>-211632</v>
      </c>
      <c r="V62" s="476">
        <f t="shared" si="23"/>
        <v>7.9000000000000008E-3</v>
      </c>
      <c r="X62" s="1851">
        <v>-213308</v>
      </c>
    </row>
    <row r="63" spans="1:25">
      <c r="A63" s="594">
        <v>49</v>
      </c>
      <c r="C63" s="1323" t="s">
        <v>2533</v>
      </c>
      <c r="D63" s="1326">
        <f>SUM(D56:D62)</f>
        <v>22364492</v>
      </c>
      <c r="E63" s="1326">
        <f>SUM(E56:E62)</f>
        <v>21816250</v>
      </c>
      <c r="F63" s="1323"/>
      <c r="G63" s="1326">
        <f>SUM(G56:G62)</f>
        <v>20302392</v>
      </c>
      <c r="H63" s="476">
        <f t="shared" si="24"/>
        <v>0.496</v>
      </c>
      <c r="I63" s="1323"/>
      <c r="J63" s="1326">
        <f>SUM(J56:J62)</f>
        <v>13571124</v>
      </c>
      <c r="K63" s="476">
        <f t="shared" si="25"/>
        <v>-0.14929999999999999</v>
      </c>
      <c r="L63" s="547"/>
      <c r="M63" s="1326">
        <f>SUM(M56:M62)</f>
        <v>15952414</v>
      </c>
      <c r="N63" s="476">
        <f t="shared" si="26"/>
        <v>9.4700000000000006E-2</v>
      </c>
      <c r="O63" s="1326">
        <f>SUM(O56:O62)</f>
        <v>14572568</v>
      </c>
      <c r="P63" s="476">
        <f t="shared" si="27"/>
        <v>-0.1085</v>
      </c>
      <c r="Q63" s="1326">
        <f>SUM(Q56:Q62)</f>
        <v>16345283</v>
      </c>
      <c r="R63" s="476">
        <f t="shared" si="28"/>
        <v>2.23E-2</v>
      </c>
      <c r="S63" s="1326">
        <f>SUM(S56:S62)</f>
        <v>15988796</v>
      </c>
      <c r="T63" s="476">
        <f t="shared" si="29"/>
        <v>-8.7400000000000005E-2</v>
      </c>
      <c r="U63" s="1326">
        <f>SUM(U56:U62)</f>
        <v>17520182</v>
      </c>
      <c r="V63" s="476">
        <f t="shared" si="23"/>
        <v>1.6000000000000001E-3</v>
      </c>
      <c r="X63" s="1326">
        <f>SUM(X56:X62)</f>
        <v>17492351</v>
      </c>
    </row>
    <row r="64" spans="1:25" ht="13.5" thickBot="1">
      <c r="A64" s="594">
        <v>50</v>
      </c>
      <c r="C64" s="1323" t="s">
        <v>2534</v>
      </c>
      <c r="D64" s="550">
        <f>D33+D54-D63</f>
        <v>62608391</v>
      </c>
      <c r="E64" s="550">
        <f>E33+E54-E63</f>
        <v>53645027</v>
      </c>
      <c r="F64" s="1323"/>
      <c r="G64" s="550">
        <f>G33+G54-G63</f>
        <v>19658692</v>
      </c>
      <c r="H64" s="476">
        <f t="shared" si="24"/>
        <v>-0.47920000000000001</v>
      </c>
      <c r="I64" s="1323"/>
      <c r="J64" s="550">
        <f>J33+J54-J63</f>
        <v>37744671</v>
      </c>
      <c r="K64" s="476">
        <f t="shared" si="25"/>
        <v>-0.11360000000000001</v>
      </c>
      <c r="M64" s="550">
        <f>M33+M54-M63</f>
        <v>42583938</v>
      </c>
      <c r="N64" s="476">
        <f t="shared" si="26"/>
        <v>-7.7799999999999994E-2</v>
      </c>
      <c r="O64" s="550">
        <f>O33+O54-O63</f>
        <v>46175630</v>
      </c>
      <c r="P64" s="476">
        <f t="shared" si="27"/>
        <v>0.308</v>
      </c>
      <c r="Q64" s="550">
        <f>Q33+Q54-Q63</f>
        <v>35301815</v>
      </c>
      <c r="R64" s="476">
        <f t="shared" si="28"/>
        <v>-0.2167</v>
      </c>
      <c r="S64" s="550">
        <f>S33+S54-S63</f>
        <v>45069571</v>
      </c>
      <c r="T64" s="476">
        <f t="shared" si="29"/>
        <v>0.59699999999999998</v>
      </c>
      <c r="U64" s="550">
        <f>U33+U54-U63</f>
        <v>28220860</v>
      </c>
      <c r="V64" s="476">
        <f t="shared" si="23"/>
        <v>0.16089999999999999</v>
      </c>
      <c r="X64" s="550">
        <f>X33+X54-X63</f>
        <v>24309618</v>
      </c>
    </row>
    <row r="65" spans="3:13" ht="13.5" thickTop="1">
      <c r="J65" s="547"/>
      <c r="K65" s="1324"/>
      <c r="L65" s="547"/>
      <c r="M65" s="848"/>
    </row>
    <row r="66" spans="3:13" ht="14.25">
      <c r="C66" s="855"/>
      <c r="D66" s="855"/>
      <c r="E66" s="855"/>
      <c r="F66" s="855"/>
      <c r="G66" s="855"/>
      <c r="H66" s="855"/>
      <c r="I66" s="855"/>
    </row>
    <row r="67" spans="3:13">
      <c r="J67" s="547"/>
      <c r="K67" s="1324"/>
      <c r="L67" s="547"/>
      <c r="M67" s="848"/>
    </row>
    <row r="68" spans="3:13">
      <c r="J68" s="547"/>
      <c r="K68" s="1324"/>
      <c r="L68" s="547"/>
      <c r="M68" s="848"/>
    </row>
    <row r="69" spans="3:13">
      <c r="C69" s="540"/>
      <c r="D69" s="540"/>
      <c r="E69" s="540"/>
      <c r="F69" s="540"/>
      <c r="G69" s="540"/>
      <c r="H69" s="540"/>
      <c r="I69" s="540"/>
      <c r="J69" s="1324"/>
      <c r="K69" s="1324"/>
      <c r="L69" s="1324"/>
      <c r="M69" s="2665"/>
    </row>
    <row r="70" spans="3:13">
      <c r="C70" s="540"/>
      <c r="D70" s="540"/>
      <c r="E70" s="540"/>
      <c r="F70" s="540"/>
      <c r="G70" s="540"/>
      <c r="H70" s="540"/>
      <c r="I70" s="540"/>
      <c r="J70" s="1324"/>
      <c r="K70" s="1324"/>
      <c r="L70" s="1324"/>
      <c r="M70" s="2665"/>
    </row>
    <row r="71" spans="3:13">
      <c r="C71" s="540"/>
      <c r="D71" s="540"/>
      <c r="E71" s="540"/>
      <c r="F71" s="540"/>
      <c r="G71" s="540"/>
      <c r="H71" s="540"/>
      <c r="I71" s="540"/>
      <c r="J71" s="2666"/>
      <c r="K71" s="1324"/>
      <c r="L71" s="1324"/>
      <c r="M71" s="2667"/>
    </row>
    <row r="72" spans="3:13">
      <c r="C72" s="540"/>
      <c r="D72" s="540"/>
      <c r="E72" s="540"/>
      <c r="F72" s="540"/>
      <c r="G72" s="540"/>
      <c r="H72" s="540"/>
      <c r="I72" s="540"/>
      <c r="J72" s="2668"/>
      <c r="K72" s="2668"/>
      <c r="L72" s="1324"/>
      <c r="M72" s="2668"/>
    </row>
    <row r="73" spans="3:13">
      <c r="C73" s="552"/>
      <c r="D73" s="552"/>
      <c r="E73" s="552"/>
      <c r="F73" s="552"/>
      <c r="G73" s="552"/>
      <c r="H73" s="552"/>
      <c r="I73" s="552"/>
      <c r="J73" s="2669"/>
      <c r="K73" s="2669"/>
      <c r="L73" s="546"/>
      <c r="M73" s="2669"/>
    </row>
    <row r="74" spans="3:13">
      <c r="C74" s="552"/>
      <c r="D74" s="552"/>
      <c r="E74" s="552"/>
      <c r="F74" s="552"/>
      <c r="G74" s="552"/>
      <c r="H74" s="552"/>
      <c r="I74" s="552"/>
      <c r="J74" s="2669"/>
      <c r="K74" s="2669"/>
      <c r="L74" s="1324"/>
      <c r="M74" s="2669"/>
    </row>
    <row r="75" spans="3:13">
      <c r="C75" s="552"/>
      <c r="D75" s="552"/>
      <c r="E75" s="552"/>
      <c r="F75" s="552"/>
      <c r="G75" s="552"/>
      <c r="H75" s="552"/>
      <c r="I75" s="552"/>
      <c r="J75" s="2669"/>
      <c r="K75" s="2669"/>
      <c r="L75" s="1324"/>
      <c r="M75" s="2669"/>
    </row>
    <row r="76" spans="3:13">
      <c r="C76" s="552"/>
      <c r="D76" s="552"/>
      <c r="E76" s="552"/>
      <c r="F76" s="552"/>
      <c r="G76" s="552"/>
      <c r="H76" s="552"/>
      <c r="I76" s="552"/>
      <c r="J76" s="2669"/>
      <c r="K76" s="2669"/>
      <c r="L76" s="1324"/>
      <c r="M76" s="2669"/>
    </row>
    <row r="77" spans="3:13">
      <c r="C77" s="552"/>
      <c r="D77" s="552"/>
      <c r="E77" s="552"/>
      <c r="F77" s="552"/>
      <c r="G77" s="552"/>
      <c r="H77" s="552"/>
      <c r="I77" s="552"/>
      <c r="J77" s="2669"/>
      <c r="K77" s="2669"/>
      <c r="L77" s="1324"/>
      <c r="M77" s="2669"/>
    </row>
    <row r="78" spans="3:13">
      <c r="C78" s="552"/>
      <c r="D78" s="552"/>
      <c r="E78" s="552"/>
      <c r="F78" s="552"/>
      <c r="G78" s="552"/>
      <c r="H78" s="552"/>
      <c r="I78" s="552"/>
      <c r="J78" s="2669"/>
      <c r="K78" s="2669"/>
      <c r="L78" s="1324"/>
      <c r="M78" s="2669"/>
    </row>
    <row r="79" spans="3:13">
      <c r="C79" s="552"/>
      <c r="D79" s="552"/>
      <c r="E79" s="552"/>
      <c r="F79" s="552"/>
      <c r="G79" s="552"/>
      <c r="H79" s="552"/>
      <c r="I79" s="552"/>
      <c r="J79" s="2669"/>
      <c r="K79" s="2669"/>
      <c r="L79" s="540"/>
      <c r="M79" s="2669"/>
    </row>
    <row r="80" spans="3:13">
      <c r="C80" s="552"/>
      <c r="D80" s="552"/>
      <c r="E80" s="552"/>
      <c r="F80" s="552"/>
      <c r="G80" s="552"/>
      <c r="H80" s="552"/>
      <c r="I80" s="552"/>
      <c r="J80" s="2669"/>
      <c r="K80" s="2669"/>
      <c r="L80" s="540"/>
      <c r="M80" s="2669"/>
    </row>
    <row r="81" spans="3:13">
      <c r="C81" s="540"/>
      <c r="D81" s="540"/>
      <c r="E81" s="540"/>
      <c r="F81" s="540"/>
      <c r="G81" s="540"/>
      <c r="H81" s="540"/>
      <c r="I81" s="540"/>
      <c r="J81" s="540"/>
      <c r="L81" s="540"/>
      <c r="M81" s="2667"/>
    </row>
    <row r="82" spans="3:13">
      <c r="C82" s="540"/>
      <c r="D82" s="540"/>
      <c r="E82" s="540"/>
      <c r="F82" s="540"/>
      <c r="G82" s="540"/>
      <c r="H82" s="540"/>
      <c r="I82" s="540"/>
      <c r="J82" s="540"/>
      <c r="L82" s="540"/>
      <c r="M82" s="2667"/>
    </row>
  </sheetData>
  <printOptions horizontalCentered="1"/>
  <pageMargins left="0.75" right="0.75" top="1" bottom="1" header="0.5" footer="0.5"/>
  <pageSetup scale="59" orientation="landscape" verticalDpi="300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63">
    <tabColor rgb="FF00B050"/>
  </sheetPr>
  <dimension ref="A1:AI214"/>
  <sheetViews>
    <sheetView tabSelected="1" view="pageLayout" zoomScaleNormal="70" workbookViewId="0">
      <selection activeCell="G1" sqref="G1"/>
    </sheetView>
  </sheetViews>
  <sheetFormatPr defaultColWidth="17.85546875" defaultRowHeight="12.75"/>
  <cols>
    <col min="1" max="1" width="6.42578125" style="18" customWidth="1"/>
    <col min="2" max="2" width="0.7109375" style="18" customWidth="1"/>
    <col min="3" max="3" width="54.42578125" style="18" customWidth="1"/>
    <col min="4" max="4" width="15.42578125" style="18" customWidth="1"/>
    <col min="5" max="5" width="15.7109375" style="18" customWidth="1"/>
    <col min="6" max="6" width="2.140625" style="18" customWidth="1"/>
    <col min="7" max="7" width="16" style="18" customWidth="1"/>
    <col min="8" max="8" width="14.28515625" style="18" customWidth="1"/>
    <col min="9" max="9" width="0.85546875" style="18" customWidth="1"/>
    <col min="10" max="10" width="14.7109375" style="18" customWidth="1"/>
    <col min="11" max="11" width="13.42578125" style="18" customWidth="1"/>
    <col min="12" max="12" width="0.85546875" style="18" customWidth="1"/>
    <col min="13" max="13" width="13.5703125" style="18" customWidth="1"/>
    <col min="14" max="14" width="13.42578125" style="18" customWidth="1"/>
    <col min="15" max="15" width="14.28515625" style="18" customWidth="1"/>
    <col min="16" max="16" width="13.42578125" style="18" customWidth="1"/>
    <col min="17" max="17" width="13.7109375" style="18" customWidth="1"/>
    <col min="18" max="18" width="14.7109375" style="18" customWidth="1"/>
    <col min="19" max="19" width="14.140625" style="18" customWidth="1"/>
    <col min="20" max="20" width="16.42578125" style="18" customWidth="1"/>
    <col min="21" max="21" width="13.28515625" style="18" customWidth="1"/>
    <col min="22" max="22" width="14.7109375" style="18" customWidth="1"/>
    <col min="23" max="23" width="7.7109375" style="18" customWidth="1"/>
    <col min="24" max="24" width="17.140625" style="18" customWidth="1"/>
    <col min="25" max="25" width="3" style="18" customWidth="1"/>
    <col min="26" max="16384" width="17.85546875" style="18"/>
  </cols>
  <sheetData>
    <row r="1" spans="1:35">
      <c r="A1" s="536" t="str">
        <f>COMPANY</f>
        <v>DUKE ENERGY KENTUCKY, INC.</v>
      </c>
      <c r="B1" s="537"/>
      <c r="C1" s="537"/>
      <c r="D1" s="537"/>
      <c r="E1" s="537"/>
      <c r="F1" s="539"/>
      <c r="G1" s="537"/>
      <c r="H1" s="537"/>
      <c r="I1" s="537"/>
      <c r="J1" s="537"/>
      <c r="K1" s="539"/>
      <c r="L1" s="539"/>
      <c r="M1" s="587"/>
      <c r="N1" s="537"/>
      <c r="O1" s="587"/>
      <c r="P1" s="537"/>
      <c r="Q1" s="587"/>
      <c r="R1" s="537"/>
      <c r="S1" s="587"/>
      <c r="T1" s="537"/>
      <c r="U1" s="587"/>
      <c r="V1" s="537"/>
      <c r="W1" s="538"/>
      <c r="X1" s="538"/>
      <c r="Y1" s="538"/>
      <c r="Z1" s="538"/>
      <c r="AA1" s="538"/>
      <c r="AB1" s="538"/>
      <c r="AC1" s="538"/>
      <c r="AD1" s="538"/>
      <c r="AE1" s="538"/>
      <c r="AF1" s="538"/>
      <c r="AG1" s="538"/>
      <c r="AH1" s="538"/>
      <c r="AI1" s="538"/>
    </row>
    <row r="2" spans="1:35">
      <c r="A2" s="536" t="str">
        <f>CASE</f>
        <v>CASE NO. 2017-00321</v>
      </c>
      <c r="B2" s="537"/>
      <c r="C2" s="537"/>
      <c r="D2" s="537"/>
      <c r="E2" s="537"/>
      <c r="F2" s="539"/>
      <c r="G2" s="537"/>
      <c r="H2" s="537"/>
      <c r="I2" s="537"/>
      <c r="J2" s="537"/>
      <c r="K2" s="587"/>
      <c r="L2" s="587"/>
      <c r="M2" s="537"/>
      <c r="N2" s="587"/>
      <c r="O2" s="537"/>
      <c r="P2" s="587"/>
      <c r="Q2" s="537"/>
      <c r="R2" s="587"/>
      <c r="S2" s="537"/>
      <c r="T2" s="587"/>
      <c r="U2" s="537"/>
      <c r="V2" s="537"/>
      <c r="W2" s="538"/>
      <c r="X2" s="538"/>
      <c r="Y2" s="538"/>
      <c r="Z2" s="538"/>
      <c r="AA2" s="538"/>
      <c r="AB2" s="538"/>
      <c r="AC2" s="538"/>
      <c r="AD2" s="538"/>
      <c r="AE2" s="538"/>
      <c r="AF2" s="538"/>
      <c r="AG2" s="538"/>
      <c r="AH2" s="538"/>
      <c r="AI2" s="538"/>
    </row>
    <row r="3" spans="1:35">
      <c r="A3" s="536" t="s">
        <v>2396</v>
      </c>
      <c r="B3" s="537"/>
      <c r="C3" s="537"/>
      <c r="D3" s="537"/>
      <c r="E3" s="537"/>
      <c r="F3" s="539"/>
      <c r="G3" s="537"/>
      <c r="H3" s="537"/>
      <c r="I3" s="537"/>
      <c r="J3" s="537"/>
      <c r="K3" s="539"/>
      <c r="L3" s="539"/>
      <c r="M3" s="587"/>
      <c r="N3" s="537"/>
      <c r="O3" s="587"/>
      <c r="P3" s="537"/>
      <c r="Q3" s="587"/>
      <c r="R3" s="537"/>
      <c r="S3" s="587"/>
      <c r="T3" s="537"/>
      <c r="U3" s="587"/>
      <c r="V3" s="537"/>
      <c r="W3" s="538"/>
      <c r="X3" s="538"/>
      <c r="Y3" s="538"/>
      <c r="Z3" s="538"/>
      <c r="AA3" s="538"/>
      <c r="AB3" s="538"/>
      <c r="AC3" s="538"/>
      <c r="AD3" s="538"/>
      <c r="AE3" s="538"/>
      <c r="AF3" s="538"/>
      <c r="AG3" s="538"/>
      <c r="AH3" s="538"/>
      <c r="AI3" s="538"/>
    </row>
    <row r="4" spans="1:35">
      <c r="A4" s="537" t="s">
        <v>1650</v>
      </c>
      <c r="B4" s="537"/>
      <c r="C4" s="537"/>
      <c r="D4" s="537"/>
      <c r="E4" s="537"/>
      <c r="F4" s="539"/>
      <c r="G4" s="537"/>
      <c r="H4" s="537"/>
      <c r="I4" s="537"/>
      <c r="J4" s="537"/>
      <c r="K4" s="587"/>
      <c r="L4" s="587"/>
      <c r="M4" s="537"/>
      <c r="N4" s="587"/>
      <c r="O4" s="537"/>
      <c r="P4" s="587"/>
      <c r="Q4" s="537"/>
      <c r="R4" s="587"/>
      <c r="S4" s="537"/>
      <c r="T4" s="587"/>
      <c r="U4" s="537"/>
      <c r="V4" s="537"/>
      <c r="W4" s="538"/>
      <c r="X4" s="538"/>
      <c r="Y4" s="538"/>
      <c r="Z4" s="538"/>
      <c r="AA4" s="538"/>
      <c r="AB4" s="538"/>
      <c r="AC4" s="538"/>
      <c r="AD4" s="538"/>
      <c r="AE4" s="538"/>
      <c r="AF4" s="538"/>
      <c r="AG4" s="538"/>
      <c r="AH4" s="538"/>
      <c r="AI4" s="538"/>
    </row>
    <row r="5" spans="1:35">
      <c r="A5" s="695" t="str">
        <f>PERIOD</f>
        <v>FOR THE TWELVE MONTHS ENDED NOVEMBER 30, 2017</v>
      </c>
      <c r="B5" s="537"/>
      <c r="C5" s="537"/>
      <c r="D5" s="537"/>
      <c r="E5" s="537"/>
      <c r="F5" s="539"/>
      <c r="G5" s="537"/>
      <c r="H5" s="537"/>
      <c r="I5" s="537"/>
      <c r="J5" s="537"/>
      <c r="K5" s="587"/>
      <c r="L5" s="587"/>
      <c r="M5" s="537"/>
      <c r="N5" s="587"/>
      <c r="O5" s="537"/>
      <c r="P5" s="587"/>
      <c r="Q5" s="537"/>
      <c r="R5" s="587"/>
      <c r="S5" s="537"/>
      <c r="T5" s="587"/>
      <c r="U5" s="537"/>
      <c r="V5" s="537"/>
      <c r="W5" s="538"/>
      <c r="X5" s="538"/>
      <c r="Y5" s="538"/>
      <c r="Z5" s="538"/>
      <c r="AA5" s="538"/>
      <c r="AB5" s="538"/>
      <c r="AC5" s="538"/>
      <c r="AD5" s="538"/>
      <c r="AE5" s="538"/>
      <c r="AF5" s="538"/>
      <c r="AG5" s="538"/>
      <c r="AH5" s="538"/>
      <c r="AI5" s="538"/>
    </row>
    <row r="6" spans="1:35">
      <c r="A6" s="695" t="str">
        <f>PeriodF</f>
        <v>FOR THE TWELVE MONTHS ENDED MARCH 31, 2019</v>
      </c>
      <c r="B6" s="537"/>
      <c r="C6" s="537"/>
      <c r="D6" s="537"/>
      <c r="E6" s="537"/>
      <c r="F6" s="539"/>
      <c r="G6" s="537"/>
      <c r="H6" s="537"/>
      <c r="I6" s="537"/>
      <c r="J6" s="537"/>
      <c r="K6" s="587"/>
      <c r="L6" s="587"/>
      <c r="M6" s="537"/>
      <c r="N6" s="587"/>
      <c r="O6" s="537"/>
      <c r="P6" s="587"/>
      <c r="Q6" s="537"/>
      <c r="R6" s="587"/>
      <c r="S6" s="537"/>
      <c r="T6" s="587"/>
      <c r="U6" s="537"/>
      <c r="V6" s="537"/>
      <c r="W6" s="538"/>
      <c r="X6" s="538"/>
      <c r="Y6" s="538"/>
      <c r="Z6" s="538"/>
      <c r="AA6" s="538"/>
      <c r="AB6" s="538"/>
      <c r="AC6" s="538"/>
      <c r="AD6" s="538"/>
      <c r="AE6" s="538"/>
      <c r="AF6" s="538"/>
      <c r="AG6" s="538"/>
      <c r="AH6" s="538"/>
      <c r="AI6" s="538"/>
    </row>
    <row r="7" spans="1:35">
      <c r="A7" s="1323"/>
      <c r="B7" s="538"/>
      <c r="C7" s="538"/>
      <c r="D7" s="538"/>
      <c r="E7" s="538"/>
      <c r="F7" s="540"/>
      <c r="G7" s="538"/>
      <c r="H7" s="538"/>
      <c r="I7" s="538"/>
      <c r="J7" s="538"/>
      <c r="K7" s="588"/>
      <c r="L7" s="588"/>
      <c r="M7" s="538"/>
      <c r="N7" s="588"/>
      <c r="O7" s="538"/>
      <c r="P7" s="588"/>
      <c r="Q7" s="538"/>
      <c r="R7" s="588"/>
      <c r="S7" s="1571"/>
      <c r="T7" s="1323" t="s">
        <v>1651</v>
      </c>
      <c r="U7" s="588"/>
      <c r="V7" s="538"/>
      <c r="W7" s="538"/>
      <c r="X7" s="538"/>
      <c r="Y7" s="538"/>
      <c r="Z7" s="538"/>
      <c r="AA7" s="538"/>
      <c r="AB7" s="538"/>
      <c r="AC7" s="538"/>
      <c r="AD7" s="538"/>
      <c r="AE7" s="538"/>
      <c r="AF7" s="538"/>
      <c r="AG7" s="538"/>
      <c r="AH7" s="538"/>
      <c r="AI7" s="538"/>
    </row>
    <row r="8" spans="1:35">
      <c r="A8" s="589" t="str">
        <f>DataB</f>
        <v>DATA: "X" BASE PERIOD  "X" FORECASTED PERIOD</v>
      </c>
      <c r="B8" s="538"/>
      <c r="C8" s="538"/>
      <c r="D8" s="538"/>
      <c r="E8" s="538"/>
      <c r="F8" s="540"/>
      <c r="G8" s="538"/>
      <c r="H8" s="538"/>
      <c r="I8" s="538"/>
      <c r="J8" s="538"/>
      <c r="K8" s="588"/>
      <c r="L8" s="588"/>
      <c r="M8" s="538"/>
      <c r="N8" s="588"/>
      <c r="O8" s="538"/>
      <c r="P8" s="588"/>
      <c r="Q8" s="538"/>
      <c r="R8" s="588"/>
      <c r="S8" s="1571"/>
      <c r="T8" s="549" t="s">
        <v>86</v>
      </c>
      <c r="U8" s="588"/>
      <c r="V8" s="538"/>
      <c r="W8" s="538"/>
      <c r="X8" s="538"/>
      <c r="Y8" s="538"/>
      <c r="Z8" s="538"/>
      <c r="AA8" s="538"/>
      <c r="AB8" s="538"/>
      <c r="AC8" s="538"/>
      <c r="AD8" s="538"/>
      <c r="AE8" s="538"/>
      <c r="AF8" s="538"/>
      <c r="AG8" s="538"/>
      <c r="AH8" s="538"/>
      <c r="AI8" s="538"/>
    </row>
    <row r="9" spans="1:35">
      <c r="A9" s="1323" t="str">
        <f>Type</f>
        <v xml:space="preserve">TYPE OF FILING:  "X" ORIGINAL   UPDATED    REVISED  </v>
      </c>
      <c r="B9" s="538"/>
      <c r="C9" s="538"/>
      <c r="D9" s="538"/>
      <c r="E9" s="538"/>
      <c r="F9" s="540"/>
      <c r="G9" s="538"/>
      <c r="H9" s="538"/>
      <c r="I9" s="538"/>
      <c r="J9" s="835"/>
      <c r="K9" s="588"/>
      <c r="L9" s="588"/>
      <c r="M9" s="835"/>
      <c r="N9" s="588"/>
      <c r="O9" s="538"/>
      <c r="P9" s="588"/>
      <c r="Q9" s="538"/>
      <c r="R9" s="588"/>
      <c r="S9" s="1571"/>
      <c r="T9" s="538" t="s">
        <v>622</v>
      </c>
      <c r="U9" s="588"/>
      <c r="V9" s="538"/>
      <c r="W9" s="538"/>
      <c r="X9" s="538"/>
      <c r="Y9" s="538"/>
      <c r="Z9" s="538"/>
      <c r="AA9" s="538"/>
      <c r="AB9" s="538"/>
      <c r="AC9" s="538"/>
      <c r="AD9" s="538"/>
      <c r="AE9" s="538"/>
      <c r="AF9" s="538"/>
      <c r="AG9" s="538"/>
      <c r="AH9" s="538"/>
      <c r="AI9" s="538"/>
    </row>
    <row r="10" spans="1:35">
      <c r="A10" s="1323" t="s">
        <v>1653</v>
      </c>
      <c r="B10" s="538"/>
      <c r="C10" s="538"/>
      <c r="D10" s="538"/>
      <c r="E10" s="538"/>
      <c r="F10" s="540"/>
      <c r="G10" s="538"/>
      <c r="H10" s="538"/>
      <c r="I10" s="538"/>
      <c r="J10" s="835"/>
      <c r="K10" s="588"/>
      <c r="L10" s="588"/>
      <c r="M10" s="835"/>
      <c r="N10" s="588"/>
      <c r="O10" s="538"/>
      <c r="P10" s="588"/>
      <c r="Q10" s="538"/>
      <c r="R10" s="588"/>
      <c r="S10" s="1571"/>
      <c r="T10" s="593" t="str">
        <f>_WIT6</f>
        <v>R. H. PRATT / D. L. DOSS</v>
      </c>
      <c r="U10" s="588"/>
      <c r="V10" s="538"/>
      <c r="W10" s="538"/>
      <c r="X10" s="538"/>
      <c r="Y10" s="538"/>
      <c r="Z10" s="538"/>
      <c r="AA10" s="538"/>
      <c r="AB10" s="538"/>
      <c r="AC10" s="538"/>
      <c r="AD10" s="538"/>
      <c r="AE10" s="538"/>
      <c r="AF10" s="538"/>
      <c r="AG10" s="538"/>
      <c r="AH10" s="538"/>
      <c r="AI10" s="538"/>
    </row>
    <row r="11" spans="1:35">
      <c r="A11" s="1323"/>
      <c r="B11" s="538"/>
      <c r="C11" s="538"/>
      <c r="D11" s="538"/>
      <c r="E11" s="538"/>
      <c r="F11" s="540"/>
      <c r="G11" s="538"/>
      <c r="H11" s="538"/>
      <c r="I11" s="538"/>
      <c r="J11" s="538"/>
      <c r="K11" s="588"/>
      <c r="L11" s="588"/>
      <c r="M11" s="538"/>
      <c r="N11" s="588"/>
      <c r="O11" s="538"/>
      <c r="P11" s="588"/>
      <c r="Q11" s="538"/>
      <c r="R11" s="588"/>
      <c r="S11" s="593"/>
      <c r="T11" s="836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</row>
    <row r="12" spans="1:35">
      <c r="A12" s="538"/>
      <c r="B12" s="538"/>
      <c r="C12" s="538"/>
      <c r="D12" s="538"/>
      <c r="E12" s="538"/>
      <c r="F12" s="540"/>
      <c r="G12" s="538"/>
      <c r="H12" s="538"/>
      <c r="I12" s="538"/>
      <c r="J12" s="538"/>
      <c r="K12" s="587"/>
      <c r="L12" s="587"/>
      <c r="M12" s="837" t="s">
        <v>1982</v>
      </c>
      <c r="N12" s="838"/>
      <c r="O12" s="839"/>
      <c r="P12" s="840"/>
      <c r="Q12" s="839"/>
      <c r="R12" s="840"/>
      <c r="S12" s="839"/>
      <c r="T12" s="840"/>
      <c r="U12" s="839"/>
      <c r="V12" s="841"/>
      <c r="W12" s="540"/>
      <c r="X12" s="538"/>
      <c r="Y12" s="594"/>
      <c r="Z12" s="538"/>
      <c r="AA12" s="538"/>
      <c r="AB12" s="538"/>
      <c r="AC12" s="538"/>
      <c r="AD12" s="538"/>
      <c r="AE12" s="538"/>
      <c r="AF12" s="538"/>
      <c r="AG12" s="538"/>
      <c r="AH12" s="538"/>
      <c r="AI12" s="538"/>
    </row>
    <row r="13" spans="1:35">
      <c r="A13" s="594" t="s">
        <v>1961</v>
      </c>
      <c r="B13" s="544"/>
      <c r="C13" s="544"/>
      <c r="D13" s="544"/>
      <c r="E13" s="544"/>
      <c r="F13" s="842"/>
      <c r="G13" s="544" t="s">
        <v>1143</v>
      </c>
      <c r="H13" s="843" t="s">
        <v>363</v>
      </c>
      <c r="I13" s="544"/>
      <c r="J13" s="544" t="s">
        <v>564</v>
      </c>
      <c r="K13" s="843" t="s">
        <v>363</v>
      </c>
      <c r="L13" s="843"/>
      <c r="M13" s="1571"/>
      <c r="N13" s="843" t="s">
        <v>363</v>
      </c>
      <c r="O13" s="537"/>
      <c r="P13" s="843" t="s">
        <v>363</v>
      </c>
      <c r="Q13" s="537"/>
      <c r="R13" s="843" t="s">
        <v>363</v>
      </c>
      <c r="S13" s="537"/>
      <c r="T13" s="843" t="s">
        <v>363</v>
      </c>
      <c r="U13" s="537"/>
      <c r="V13" s="843" t="s">
        <v>363</v>
      </c>
      <c r="W13" s="843"/>
      <c r="X13" s="537"/>
      <c r="Y13" s="844"/>
      <c r="Z13" s="538"/>
      <c r="AA13" s="538"/>
      <c r="AB13" s="538"/>
      <c r="AC13" s="538"/>
      <c r="AD13" s="538"/>
      <c r="AE13" s="538"/>
      <c r="AF13" s="538"/>
      <c r="AG13" s="538"/>
      <c r="AH13" s="538"/>
      <c r="AI13" s="538"/>
    </row>
    <row r="14" spans="1:35">
      <c r="A14" s="545" t="s">
        <v>90</v>
      </c>
      <c r="B14" s="845"/>
      <c r="C14" s="545" t="s">
        <v>1874</v>
      </c>
      <c r="D14" s="545">
        <v>2020</v>
      </c>
      <c r="E14" s="545">
        <v>2019</v>
      </c>
      <c r="F14" s="2670"/>
      <c r="G14" s="595" t="s">
        <v>568</v>
      </c>
      <c r="H14" s="846" t="s">
        <v>971</v>
      </c>
      <c r="I14" s="545"/>
      <c r="J14" s="595" t="s">
        <v>568</v>
      </c>
      <c r="K14" s="846" t="s">
        <v>971</v>
      </c>
      <c r="L14" s="846"/>
      <c r="M14" s="545">
        <v>2016</v>
      </c>
      <c r="N14" s="846" t="s">
        <v>971</v>
      </c>
      <c r="O14" s="545">
        <f>M14-1</f>
        <v>2015</v>
      </c>
      <c r="P14" s="846" t="s">
        <v>971</v>
      </c>
      <c r="Q14" s="545">
        <f>O14-1</f>
        <v>2014</v>
      </c>
      <c r="R14" s="846" t="s">
        <v>971</v>
      </c>
      <c r="S14" s="545">
        <f>Q14-1</f>
        <v>2013</v>
      </c>
      <c r="T14" s="846" t="s">
        <v>971</v>
      </c>
      <c r="U14" s="545">
        <f>S14-1</f>
        <v>2012</v>
      </c>
      <c r="V14" s="846" t="s">
        <v>971</v>
      </c>
      <c r="W14" s="843"/>
      <c r="X14" s="545">
        <f>U14-1</f>
        <v>2011</v>
      </c>
      <c r="Y14" s="538"/>
      <c r="Z14" s="538"/>
      <c r="AA14" s="538"/>
      <c r="AB14" s="538"/>
      <c r="AC14" s="538"/>
      <c r="AD14" s="538"/>
      <c r="AE14" s="538"/>
      <c r="AF14" s="538"/>
      <c r="AG14" s="538"/>
      <c r="AH14" s="538"/>
      <c r="AI14" s="538"/>
    </row>
    <row r="15" spans="1:35">
      <c r="A15" s="594">
        <v>1</v>
      </c>
      <c r="B15" s="538"/>
      <c r="C15" s="1340" t="s">
        <v>569</v>
      </c>
      <c r="D15" s="1323"/>
      <c r="E15" s="1323"/>
      <c r="F15" s="552"/>
      <c r="G15" s="1323"/>
      <c r="H15" s="1323"/>
      <c r="I15" s="1323"/>
      <c r="J15" s="547"/>
      <c r="K15" s="847"/>
      <c r="L15" s="847"/>
      <c r="M15" s="547"/>
      <c r="N15" s="847"/>
      <c r="O15" s="547"/>
      <c r="P15" s="848"/>
      <c r="Q15" s="547"/>
      <c r="R15" s="848"/>
      <c r="S15" s="547"/>
      <c r="T15" s="848"/>
      <c r="U15" s="1325"/>
      <c r="V15" s="849"/>
      <c r="W15" s="843"/>
      <c r="X15" s="1325"/>
      <c r="Y15" s="538"/>
      <c r="Z15" s="538"/>
      <c r="AA15" s="538"/>
      <c r="AB15" s="538"/>
      <c r="AC15" s="538"/>
      <c r="AD15" s="538"/>
      <c r="AE15" s="538"/>
      <c r="AF15" s="538"/>
      <c r="AG15" s="538"/>
      <c r="AH15" s="538"/>
      <c r="AI15" s="538"/>
    </row>
    <row r="16" spans="1:35">
      <c r="A16" s="594">
        <v>2</v>
      </c>
      <c r="B16" s="538"/>
      <c r="C16" s="1323" t="s">
        <v>627</v>
      </c>
      <c r="D16" s="548">
        <v>393765172</v>
      </c>
      <c r="E16" s="548">
        <v>378302918</v>
      </c>
      <c r="F16" s="1324"/>
      <c r="G16" s="548">
        <f ca="1">SCH_C2!H20</f>
        <v>321318954</v>
      </c>
      <c r="H16" s="476">
        <f ca="1">IF(J16=0,"-",ROUND((G16-J16)/ABS(J16),4))</f>
        <v>-1.5699999999999999E-2</v>
      </c>
      <c r="I16" s="1323"/>
      <c r="J16" s="548">
        <f>SCH_C2!E20</f>
        <v>326452338</v>
      </c>
      <c r="K16" s="476">
        <f>IF(M16=0,"-",ROUND((J16-M16)/ABS(M16),4))</f>
        <v>-6.13E-2</v>
      </c>
      <c r="L16" s="476"/>
      <c r="M16" s="548">
        <v>347770121</v>
      </c>
      <c r="N16" s="476">
        <f>IF(O16=0,"-",ROUND((M16-O16)/ABS(O16),4))</f>
        <v>-4.0099999999999997E-2</v>
      </c>
      <c r="O16" s="548">
        <v>362301564</v>
      </c>
      <c r="P16" s="476">
        <f>IF(Q16=0,"-",ROUND((O16-Q16)/ABS(Q16),4))</f>
        <v>-1.0999999999999999E-2</v>
      </c>
      <c r="Q16" s="548">
        <v>366323566</v>
      </c>
      <c r="R16" s="476">
        <f>IF(S16=0,"-",ROUND((Q16-S16)/ABS(S16),4))</f>
        <v>7.2999999999999995E-2</v>
      </c>
      <c r="S16" s="548">
        <v>341399242</v>
      </c>
      <c r="T16" s="476">
        <f>IF(U16=0,"-",ROUND((S16-U16)/ABS(U16),4))</f>
        <v>1.0800000000000001E-2</v>
      </c>
      <c r="U16" s="548">
        <v>337749914</v>
      </c>
      <c r="V16" s="476">
        <f>IF(X16=0,"-",ROUND((U16-X16)/ABS(X16),4))</f>
        <v>-1.67E-2</v>
      </c>
      <c r="W16" s="476"/>
      <c r="X16" s="1846">
        <v>343471128</v>
      </c>
      <c r="Y16" s="538"/>
      <c r="Z16" s="538"/>
      <c r="AA16" s="538"/>
      <c r="AB16" s="538"/>
      <c r="AC16" s="538"/>
      <c r="AD16" s="538"/>
      <c r="AE16" s="538"/>
      <c r="AF16" s="538"/>
      <c r="AG16" s="538"/>
      <c r="AH16" s="538"/>
      <c r="AI16" s="538"/>
    </row>
    <row r="17" spans="1:35">
      <c r="A17" s="594"/>
      <c r="B17" s="538"/>
      <c r="C17" s="1323"/>
      <c r="D17" s="1324"/>
      <c r="E17" s="1324"/>
      <c r="F17" s="1324"/>
      <c r="G17" s="1324"/>
      <c r="H17" s="476"/>
      <c r="I17" s="1323"/>
      <c r="J17" s="1324"/>
      <c r="K17" s="476"/>
      <c r="L17" s="476"/>
      <c r="M17" s="1324"/>
      <c r="N17" s="476"/>
      <c r="O17" s="1324"/>
      <c r="P17" s="476"/>
      <c r="Q17" s="1324"/>
      <c r="R17" s="476"/>
      <c r="S17" s="1324"/>
      <c r="T17" s="476"/>
      <c r="U17" s="1324"/>
      <c r="V17" s="476"/>
      <c r="W17" s="476"/>
      <c r="X17" s="853"/>
      <c r="Y17" s="538"/>
      <c r="Z17" s="538"/>
      <c r="AA17" s="538"/>
      <c r="AB17" s="538"/>
      <c r="AC17" s="538"/>
      <c r="AD17" s="538"/>
      <c r="AE17" s="538"/>
      <c r="AF17" s="538"/>
      <c r="AG17" s="538"/>
      <c r="AH17" s="538"/>
      <c r="AI17" s="538"/>
    </row>
    <row r="18" spans="1:35">
      <c r="A18" s="594">
        <v>3</v>
      </c>
      <c r="B18" s="538"/>
      <c r="C18" s="1340" t="s">
        <v>2395</v>
      </c>
      <c r="D18" s="547"/>
      <c r="E18" s="547"/>
      <c r="F18" s="1324"/>
      <c r="G18" s="547"/>
      <c r="H18" s="476"/>
      <c r="I18" s="1323"/>
      <c r="J18" s="547"/>
      <c r="K18" s="476"/>
      <c r="L18" s="476"/>
      <c r="M18" s="547"/>
      <c r="N18" s="476"/>
      <c r="O18" s="547"/>
      <c r="P18" s="476"/>
      <c r="Q18" s="547"/>
      <c r="R18" s="476"/>
      <c r="S18" s="547" t="s">
        <v>529</v>
      </c>
      <c r="T18" s="476"/>
      <c r="U18" s="547"/>
      <c r="V18" s="476"/>
      <c r="W18" s="476"/>
      <c r="X18" s="850" t="s">
        <v>529</v>
      </c>
      <c r="Y18" s="538"/>
      <c r="Z18" s="538"/>
      <c r="AA18" s="538"/>
      <c r="AB18" s="538"/>
      <c r="AC18" s="538"/>
      <c r="AD18" s="538"/>
      <c r="AE18" s="538"/>
      <c r="AF18" s="538"/>
      <c r="AG18" s="538"/>
      <c r="AH18" s="538"/>
      <c r="AI18" s="538"/>
    </row>
    <row r="19" spans="1:35">
      <c r="A19" s="594">
        <v>4</v>
      </c>
      <c r="B19" s="538"/>
      <c r="C19" s="1340" t="s">
        <v>2404</v>
      </c>
      <c r="D19" s="547"/>
      <c r="E19" s="547"/>
      <c r="F19" s="1324"/>
      <c r="G19" s="547"/>
      <c r="H19" s="476"/>
      <c r="I19" s="1323"/>
      <c r="J19" s="547"/>
      <c r="K19" s="476"/>
      <c r="L19" s="476"/>
      <c r="M19" s="547"/>
      <c r="N19" s="476"/>
      <c r="O19" s="547"/>
      <c r="P19" s="476"/>
      <c r="Q19" s="547"/>
      <c r="R19" s="476"/>
      <c r="S19" s="547"/>
      <c r="T19" s="476"/>
      <c r="U19" s="547"/>
      <c r="V19" s="476"/>
      <c r="W19" s="476"/>
      <c r="X19" s="850"/>
      <c r="Y19" s="538"/>
      <c r="Z19" s="538"/>
      <c r="AA19" s="538"/>
      <c r="AB19" s="538"/>
      <c r="AC19" s="538"/>
      <c r="AD19" s="538"/>
      <c r="AE19" s="538"/>
      <c r="AF19" s="538"/>
      <c r="AG19" s="538"/>
      <c r="AH19" s="538"/>
      <c r="AI19" s="538"/>
    </row>
    <row r="20" spans="1:35">
      <c r="A20" s="594">
        <v>5</v>
      </c>
      <c r="B20" s="538"/>
      <c r="C20" s="852" t="s">
        <v>2397</v>
      </c>
      <c r="D20" s="547">
        <v>111989990</v>
      </c>
      <c r="E20" s="547">
        <v>108543505</v>
      </c>
      <c r="F20" s="1324"/>
      <c r="G20" s="1462">
        <f t="array" aca="1" ref="G20" ca="1">SUM(IF(FERCFP=555,AmountFP))</f>
        <v>37662808</v>
      </c>
      <c r="H20" s="476">
        <f t="shared" ref="H20:H41" ca="1" si="0">IF(J20=0,"-",ROUND((G20-J20)/ABS(J20),4))</f>
        <v>0.38179999999999997</v>
      </c>
      <c r="I20" s="1323"/>
      <c r="J20" s="1462">
        <f t="array" ref="J20">SUM(IF(FERCBP=555,AmountBP))</f>
        <v>27256100</v>
      </c>
      <c r="K20" s="476">
        <f t="shared" ref="K20:K41" si="1">IF(M20=0,"-",ROUND((J20-M20)/ABS(M20),4))</f>
        <v>-0.81189999999999996</v>
      </c>
      <c r="L20" s="476"/>
      <c r="M20" s="547">
        <f>186570859-41650445</f>
        <v>144920414</v>
      </c>
      <c r="N20" s="476">
        <f t="shared" ref="N20:N30" si="2">IF(O20=0,"-",ROUND((M20-O20)/ABS(O20),4))</f>
        <v>-0.1113</v>
      </c>
      <c r="O20" s="547">
        <f>195643840-32566220</f>
        <v>163077620</v>
      </c>
      <c r="P20" s="476">
        <f t="shared" ref="P20:P30" si="3">IF(Q20=0,"-",ROUND((O20-Q20)/ABS(Q20),4))</f>
        <v>0.2324</v>
      </c>
      <c r="Q20" s="547">
        <f>227245343-94919008</f>
        <v>132326335</v>
      </c>
      <c r="R20" s="476">
        <f t="shared" ref="R20:R30" si="4">IF(S20=0,"-",ROUND((Q20-S20)/ABS(S20),4))</f>
        <v>-7.0099999999999996E-2</v>
      </c>
      <c r="S20" s="547">
        <f>188292296-45990717</f>
        <v>142301579</v>
      </c>
      <c r="T20" s="476">
        <f t="shared" ref="T20:T30" si="5">IF(U20=0,"-",ROUND((S20-U20)/ABS(U20),4))</f>
        <v>6.8900000000000003E-2</v>
      </c>
      <c r="U20" s="547">
        <f>187042138-53912270</f>
        <v>133129868</v>
      </c>
      <c r="V20" s="476">
        <f t="shared" ref="V20:V30" si="6">IF(X20=0,"-",ROUND((U20-X20)/ABS(X20),4))</f>
        <v>-0.1028</v>
      </c>
      <c r="W20" s="476"/>
      <c r="X20" s="850">
        <f>179861057-31481422</f>
        <v>148379635</v>
      </c>
      <c r="Y20" s="538"/>
      <c r="Z20" s="538"/>
      <c r="AA20" s="538"/>
      <c r="AB20" s="538"/>
      <c r="AC20" s="538"/>
      <c r="AD20" s="538"/>
      <c r="AE20" s="538"/>
      <c r="AF20" s="538"/>
      <c r="AG20" s="538"/>
      <c r="AH20" s="538"/>
      <c r="AI20" s="538"/>
    </row>
    <row r="21" spans="1:35">
      <c r="A21" s="594">
        <v>6</v>
      </c>
      <c r="B21" s="538"/>
      <c r="C21" s="852" t="s">
        <v>2398</v>
      </c>
      <c r="D21" s="547">
        <v>117192420</v>
      </c>
      <c r="E21" s="547">
        <v>113241543</v>
      </c>
      <c r="F21" s="1324"/>
      <c r="G21" s="547">
        <f ca="1">SCH_C2!H27-G20</f>
        <v>140706995</v>
      </c>
      <c r="H21" s="476">
        <f t="shared" ca="1" si="0"/>
        <v>6.8999999999999999E-3</v>
      </c>
      <c r="I21" s="1323"/>
      <c r="J21" s="547">
        <f>SCH_C2!E27-J20</f>
        <v>139748239</v>
      </c>
      <c r="K21" s="476">
        <f t="shared" si="1"/>
        <v>2.3553000000000002</v>
      </c>
      <c r="L21" s="476"/>
      <c r="M21" s="547">
        <v>41650445</v>
      </c>
      <c r="N21" s="476">
        <f t="shared" si="2"/>
        <v>0.27889999999999998</v>
      </c>
      <c r="O21" s="547">
        <v>32566220</v>
      </c>
      <c r="P21" s="476">
        <f t="shared" si="3"/>
        <v>-0.65690000000000004</v>
      </c>
      <c r="Q21" s="547">
        <v>94919008</v>
      </c>
      <c r="R21" s="476">
        <f t="shared" si="4"/>
        <v>1.0639000000000001</v>
      </c>
      <c r="S21" s="547">
        <v>45990717</v>
      </c>
      <c r="T21" s="476">
        <f t="shared" si="5"/>
        <v>-0.1469</v>
      </c>
      <c r="U21" s="547">
        <v>53912270</v>
      </c>
      <c r="V21" s="476">
        <f t="shared" si="6"/>
        <v>0.71250000000000002</v>
      </c>
      <c r="W21" s="476"/>
      <c r="X21" s="850">
        <v>31481422</v>
      </c>
      <c r="Y21" s="538"/>
      <c r="Z21" s="538"/>
      <c r="AA21" s="538"/>
      <c r="AB21" s="538"/>
      <c r="AC21" s="538"/>
      <c r="AD21" s="538"/>
      <c r="AE21" s="538"/>
      <c r="AF21" s="538"/>
      <c r="AG21" s="538"/>
      <c r="AH21" s="538"/>
      <c r="AI21" s="538"/>
    </row>
    <row r="22" spans="1:35">
      <c r="A22" s="594">
        <v>7</v>
      </c>
      <c r="B22" s="538"/>
      <c r="C22" s="852" t="s">
        <v>2399</v>
      </c>
      <c r="D22" s="547">
        <v>0</v>
      </c>
      <c r="E22" s="547">
        <v>0</v>
      </c>
      <c r="F22" s="1324"/>
      <c r="G22" s="547">
        <f ca="1">SCH_C2!H29</f>
        <v>19015140</v>
      </c>
      <c r="H22" s="476">
        <f t="shared" ca="1" si="0"/>
        <v>5.0799999999999998E-2</v>
      </c>
      <c r="I22" s="1323"/>
      <c r="J22" s="547">
        <f>SCH_C2!E29</f>
        <v>18095393</v>
      </c>
      <c r="K22" s="476">
        <f t="shared" si="1"/>
        <v>-6.8099999999999994E-2</v>
      </c>
      <c r="L22" s="476"/>
      <c r="M22" s="547">
        <v>19417545</v>
      </c>
      <c r="N22" s="476">
        <f t="shared" si="2"/>
        <v>0.19980000000000001</v>
      </c>
      <c r="O22" s="547">
        <v>16183911</v>
      </c>
      <c r="P22" s="476">
        <f t="shared" si="3"/>
        <v>0.16919999999999999</v>
      </c>
      <c r="Q22" s="547">
        <v>13842413</v>
      </c>
      <c r="R22" s="476">
        <f t="shared" si="4"/>
        <v>0.35320000000000001</v>
      </c>
      <c r="S22" s="547">
        <v>10229766</v>
      </c>
      <c r="T22" s="476">
        <f t="shared" si="5"/>
        <v>-0.2409</v>
      </c>
      <c r="U22" s="547">
        <v>13476431</v>
      </c>
      <c r="V22" s="476">
        <f t="shared" si="6"/>
        <v>-0.60129999999999995</v>
      </c>
      <c r="W22" s="476"/>
      <c r="X22" s="850">
        <v>33803323</v>
      </c>
      <c r="Y22" s="538"/>
      <c r="Z22" s="538"/>
      <c r="AA22" s="538"/>
      <c r="AB22" s="538"/>
      <c r="AC22" s="538"/>
      <c r="AD22" s="538"/>
      <c r="AE22" s="538"/>
      <c r="AF22" s="538"/>
      <c r="AG22" s="538"/>
      <c r="AH22" s="538"/>
      <c r="AI22" s="538"/>
    </row>
    <row r="23" spans="1:35">
      <c r="A23" s="594">
        <v>8</v>
      </c>
      <c r="B23" s="538"/>
      <c r="C23" s="852" t="s">
        <v>2400</v>
      </c>
      <c r="D23" s="547">
        <v>0</v>
      </c>
      <c r="E23" s="547">
        <v>0</v>
      </c>
      <c r="F23" s="1324"/>
      <c r="G23" s="547">
        <f ca="1">SCH_C2!H30</f>
        <v>1716657</v>
      </c>
      <c r="H23" s="476">
        <f t="shared" ca="1" si="0"/>
        <v>4.8500000000000001E-2</v>
      </c>
      <c r="I23" s="1323"/>
      <c r="J23" s="547">
        <f>SCH_C2!E30</f>
        <v>1637210</v>
      </c>
      <c r="K23" s="476">
        <f t="shared" si="1"/>
        <v>-5.4699999999999999E-2</v>
      </c>
      <c r="L23" s="476"/>
      <c r="M23" s="547">
        <v>1731904</v>
      </c>
      <c r="N23" s="476">
        <f>IF(O23=0,"-",ROUND((M23-O23)/ABS(O23),4))</f>
        <v>1.4200000000000001E-2</v>
      </c>
      <c r="O23" s="547">
        <v>1707710</v>
      </c>
      <c r="P23" s="476">
        <f>IF(Q23=0,"-",ROUND((O23-Q23)/ABS(Q23),4))</f>
        <v>6.8500000000000005E-2</v>
      </c>
      <c r="Q23" s="547">
        <v>1598163</v>
      </c>
      <c r="R23" s="476">
        <f>IF(S23=0,"-",ROUND((Q23-S23)/ABS(S23),4))</f>
        <v>1.1299999999999999E-2</v>
      </c>
      <c r="S23" s="547">
        <v>1580293</v>
      </c>
      <c r="T23" s="476">
        <f>IF(U23=0,"-",ROUND((S23-U23)/ABS(U23),4))</f>
        <v>0.17949999999999999</v>
      </c>
      <c r="U23" s="547">
        <v>1339759</v>
      </c>
      <c r="V23" s="476">
        <f>IF(X23=0,"-",ROUND((U23-X23)/ABS(X23),4))</f>
        <v>0.47420000000000001</v>
      </c>
      <c r="W23" s="476"/>
      <c r="X23" s="850">
        <v>908830</v>
      </c>
      <c r="Y23" s="538"/>
      <c r="Z23" s="538"/>
      <c r="AA23" s="538"/>
      <c r="AB23" s="538"/>
      <c r="AC23" s="538"/>
      <c r="AD23" s="538"/>
      <c r="AE23" s="538"/>
      <c r="AF23" s="538"/>
      <c r="AG23" s="538"/>
      <c r="AH23" s="538"/>
      <c r="AI23" s="538"/>
    </row>
    <row r="24" spans="1:35">
      <c r="A24" s="594">
        <v>9</v>
      </c>
      <c r="B24" s="538"/>
      <c r="C24" s="852" t="s">
        <v>793</v>
      </c>
      <c r="D24" s="547">
        <v>0</v>
      </c>
      <c r="E24" s="547">
        <v>0</v>
      </c>
      <c r="F24" s="1324"/>
      <c r="G24" s="547">
        <f ca="1">SCH_C2!H31</f>
        <v>14150408</v>
      </c>
      <c r="H24" s="476">
        <f t="shared" ca="1" si="0"/>
        <v>-3.0999999999999999E-3</v>
      </c>
      <c r="I24" s="1323"/>
      <c r="J24" s="547">
        <f>SCH_C2!E31</f>
        <v>14193963</v>
      </c>
      <c r="K24" s="476">
        <f t="shared" si="1"/>
        <v>9.7799999999999998E-2</v>
      </c>
      <c r="L24" s="476"/>
      <c r="M24" s="547">
        <v>12928888</v>
      </c>
      <c r="N24" s="476">
        <f t="shared" si="2"/>
        <v>3.8600000000000002E-2</v>
      </c>
      <c r="O24" s="547">
        <v>12448458</v>
      </c>
      <c r="P24" s="476">
        <f t="shared" si="3"/>
        <v>6.6799999999999998E-2</v>
      </c>
      <c r="Q24" s="547">
        <v>11669381</v>
      </c>
      <c r="R24" s="476">
        <f t="shared" si="4"/>
        <v>0.13600000000000001</v>
      </c>
      <c r="S24" s="547">
        <v>10272619</v>
      </c>
      <c r="T24" s="476">
        <f t="shared" si="5"/>
        <v>1.7600000000000001E-2</v>
      </c>
      <c r="U24" s="547">
        <v>10094517</v>
      </c>
      <c r="V24" s="476">
        <f t="shared" si="6"/>
        <v>7.17E-2</v>
      </c>
      <c r="W24" s="476"/>
      <c r="X24" s="850">
        <v>9419590</v>
      </c>
      <c r="Y24" s="538"/>
      <c r="Z24" s="538"/>
      <c r="AA24" s="538"/>
      <c r="AB24" s="538"/>
      <c r="AC24" s="538"/>
      <c r="AD24" s="538"/>
      <c r="AE24" s="538"/>
      <c r="AF24" s="538"/>
      <c r="AG24" s="538"/>
      <c r="AH24" s="538"/>
      <c r="AI24" s="538"/>
    </row>
    <row r="25" spans="1:35">
      <c r="A25" s="594">
        <v>10</v>
      </c>
      <c r="B25" s="538"/>
      <c r="C25" s="852" t="s">
        <v>588</v>
      </c>
      <c r="D25" s="547">
        <v>0</v>
      </c>
      <c r="E25" s="547">
        <v>0</v>
      </c>
      <c r="F25" s="1324"/>
      <c r="G25" s="547">
        <f ca="1">SCH_C2!H32</f>
        <v>6748845</v>
      </c>
      <c r="H25" s="476">
        <f t="shared" ca="1" si="0"/>
        <v>0.1106</v>
      </c>
      <c r="I25" s="1323"/>
      <c r="J25" s="547">
        <f>SCH_C2!E32</f>
        <v>6076877</v>
      </c>
      <c r="K25" s="476">
        <f t="shared" si="1"/>
        <v>-2.2700000000000001E-2</v>
      </c>
      <c r="L25" s="476"/>
      <c r="M25" s="547">
        <v>6218279</v>
      </c>
      <c r="N25" s="476">
        <f t="shared" si="2"/>
        <v>-5.7599999999999998E-2</v>
      </c>
      <c r="O25" s="547">
        <v>6598617</v>
      </c>
      <c r="P25" s="476">
        <f t="shared" si="3"/>
        <v>-7.0000000000000001E-3</v>
      </c>
      <c r="Q25" s="547">
        <v>6645224</v>
      </c>
      <c r="R25" s="476">
        <f t="shared" si="4"/>
        <v>2.3099999999999999E-2</v>
      </c>
      <c r="S25" s="547">
        <v>6495029</v>
      </c>
      <c r="T25" s="476">
        <f t="shared" si="5"/>
        <v>-9.7299999999999998E-2</v>
      </c>
      <c r="U25" s="547">
        <v>7195426</v>
      </c>
      <c r="V25" s="476">
        <f t="shared" si="6"/>
        <v>-0.19089999999999999</v>
      </c>
      <c r="W25" s="476"/>
      <c r="X25" s="850">
        <v>8893619</v>
      </c>
      <c r="Y25" s="538"/>
      <c r="Z25" s="538"/>
      <c r="AA25" s="538"/>
      <c r="AB25" s="538"/>
      <c r="AC25" s="538"/>
      <c r="AD25" s="538"/>
      <c r="AE25" s="538"/>
      <c r="AF25" s="538"/>
      <c r="AG25" s="538"/>
      <c r="AH25" s="538"/>
      <c r="AI25" s="538"/>
    </row>
    <row r="26" spans="1:35">
      <c r="A26" s="594">
        <v>11</v>
      </c>
      <c r="B26" s="538"/>
      <c r="C26" s="852" t="s">
        <v>2405</v>
      </c>
      <c r="D26" s="547">
        <v>0</v>
      </c>
      <c r="E26" s="547">
        <v>0</v>
      </c>
      <c r="F26" s="1324"/>
      <c r="G26" s="547">
        <f ca="1">SCH_C2!H33</f>
        <v>1081198</v>
      </c>
      <c r="H26" s="476">
        <f t="shared" ca="1" si="0"/>
        <v>0.2039</v>
      </c>
      <c r="I26" s="1323"/>
      <c r="J26" s="547">
        <f>SCH_C2!E33</f>
        <v>898077</v>
      </c>
      <c r="K26" s="476">
        <f t="shared" si="1"/>
        <v>0.33429999999999999</v>
      </c>
      <c r="L26" s="476"/>
      <c r="M26" s="547">
        <v>673046</v>
      </c>
      <c r="N26" s="476">
        <f t="shared" si="2"/>
        <v>0.19539999999999999</v>
      </c>
      <c r="O26" s="547">
        <v>563051</v>
      </c>
      <c r="P26" s="476">
        <f t="shared" si="3"/>
        <v>-0.42230000000000001</v>
      </c>
      <c r="Q26" s="547">
        <v>974702</v>
      </c>
      <c r="R26" s="476">
        <f t="shared" si="4"/>
        <v>-0.35270000000000001</v>
      </c>
      <c r="S26" s="547">
        <v>1505690</v>
      </c>
      <c r="T26" s="476">
        <f t="shared" si="5"/>
        <v>-9.9699999999999997E-2</v>
      </c>
      <c r="U26" s="547">
        <v>1672488</v>
      </c>
      <c r="V26" s="476">
        <f t="shared" si="6"/>
        <v>-8.6999999999999994E-2</v>
      </c>
      <c r="W26" s="476"/>
      <c r="X26" s="850">
        <v>1831807</v>
      </c>
      <c r="Y26" s="538"/>
      <c r="Z26" s="538"/>
      <c r="AA26" s="538"/>
      <c r="AB26" s="538"/>
      <c r="AC26" s="538"/>
      <c r="AD26" s="538"/>
      <c r="AE26" s="538"/>
      <c r="AF26" s="538"/>
      <c r="AG26" s="538"/>
      <c r="AH26" s="538"/>
      <c r="AI26" s="538"/>
    </row>
    <row r="27" spans="1:35">
      <c r="A27" s="594">
        <v>12</v>
      </c>
      <c r="B27" s="538"/>
      <c r="C27" s="852" t="s">
        <v>1639</v>
      </c>
      <c r="D27" s="547">
        <v>0</v>
      </c>
      <c r="E27" s="547">
        <v>0</v>
      </c>
      <c r="F27" s="1324"/>
      <c r="G27" s="547">
        <f ca="1">SCH_C2!H34</f>
        <v>795138</v>
      </c>
      <c r="H27" s="476">
        <f t="shared" ca="1" si="0"/>
        <v>-0.16</v>
      </c>
      <c r="I27" s="1323"/>
      <c r="J27" s="547">
        <f>SCH_C2!E34</f>
        <v>946639</v>
      </c>
      <c r="K27" s="476">
        <f t="shared" si="1"/>
        <v>4.5499999999999999E-2</v>
      </c>
      <c r="L27" s="476"/>
      <c r="M27" s="547">
        <v>905459</v>
      </c>
      <c r="N27" s="476">
        <f>IF(O27=0,"-",ROUND((M27-O27)/ABS(O27),4))</f>
        <v>-3.7000000000000002E-3</v>
      </c>
      <c r="O27" s="547">
        <v>908813</v>
      </c>
      <c r="P27" s="476">
        <f>IF(Q27=0,"-",ROUND((O27-Q27)/ABS(Q27),4))</f>
        <v>0.64290000000000003</v>
      </c>
      <c r="Q27" s="547">
        <v>553189</v>
      </c>
      <c r="R27" s="476">
        <f>IF(S27=0,"-",ROUND((Q27-S27)/ABS(S27),4))</f>
        <v>9.7730999999999995</v>
      </c>
      <c r="S27" s="547">
        <v>51349</v>
      </c>
      <c r="T27" s="476">
        <f>IF(U27=0,"-",ROUND((S27-U27)/ABS(U27),4))</f>
        <v>0.10920000000000001</v>
      </c>
      <c r="U27" s="547">
        <v>46295</v>
      </c>
      <c r="V27" s="476">
        <f>IF(X27=0,"-",ROUND((U27-X27)/ABS(X27),4))</f>
        <v>-0.38109999999999999</v>
      </c>
      <c r="W27" s="476"/>
      <c r="X27" s="850">
        <v>74802</v>
      </c>
      <c r="Y27" s="538"/>
      <c r="Z27" s="538"/>
      <c r="AA27" s="538"/>
      <c r="AB27" s="538"/>
      <c r="AC27" s="538"/>
      <c r="AD27" s="538"/>
      <c r="AE27" s="538"/>
      <c r="AF27" s="538"/>
      <c r="AG27" s="538"/>
      <c r="AH27" s="538"/>
      <c r="AI27" s="538"/>
    </row>
    <row r="28" spans="1:35">
      <c r="A28" s="594">
        <v>13</v>
      </c>
      <c r="B28" s="538"/>
      <c r="C28" s="852" t="s">
        <v>2406</v>
      </c>
      <c r="D28" s="547">
        <v>9042786</v>
      </c>
      <c r="E28" s="547">
        <v>14010777</v>
      </c>
      <c r="F28" s="1324"/>
      <c r="G28" s="547">
        <f ca="1">SCH_C2!H35</f>
        <v>18909843</v>
      </c>
      <c r="H28" s="476">
        <f t="shared" ca="1" si="0"/>
        <v>-7.3400000000000007E-2</v>
      </c>
      <c r="I28" s="1323"/>
      <c r="J28" s="547">
        <f>SCH_C2!E35</f>
        <v>20406967</v>
      </c>
      <c r="K28" s="476">
        <f t="shared" si="1"/>
        <v>5.3499999999999999E-2</v>
      </c>
      <c r="L28" s="476"/>
      <c r="M28" s="547">
        <v>19369738</v>
      </c>
      <c r="N28" s="476">
        <f t="shared" si="2"/>
        <v>-6.5699999999999995E-2</v>
      </c>
      <c r="O28" s="547">
        <v>20731564</v>
      </c>
      <c r="P28" s="476">
        <f t="shared" si="3"/>
        <v>0.1147</v>
      </c>
      <c r="Q28" s="547">
        <v>18598709</v>
      </c>
      <c r="R28" s="476">
        <f t="shared" si="4"/>
        <v>-0.21299999999999999</v>
      </c>
      <c r="S28" s="547">
        <v>23631896</v>
      </c>
      <c r="T28" s="476">
        <f t="shared" si="5"/>
        <v>-0.16250000000000001</v>
      </c>
      <c r="U28" s="547">
        <v>28216569</v>
      </c>
      <c r="V28" s="476">
        <f t="shared" si="6"/>
        <v>0.21990000000000001</v>
      </c>
      <c r="W28" s="476"/>
      <c r="X28" s="850">
        <v>23131079</v>
      </c>
      <c r="Y28" s="538"/>
      <c r="Z28" s="538"/>
      <c r="AA28" s="538"/>
      <c r="AB28" s="538"/>
      <c r="AC28" s="538"/>
      <c r="AD28" s="538"/>
      <c r="AE28" s="538"/>
      <c r="AF28" s="538"/>
      <c r="AG28" s="538"/>
      <c r="AH28" s="538"/>
      <c r="AI28" s="538"/>
    </row>
    <row r="29" spans="1:35">
      <c r="A29" s="594">
        <v>14</v>
      </c>
      <c r="B29" s="538"/>
      <c r="C29" s="852" t="s">
        <v>1028</v>
      </c>
      <c r="D29" s="547">
        <v>0</v>
      </c>
      <c r="E29" s="547">
        <v>0</v>
      </c>
      <c r="F29" s="1324"/>
      <c r="G29" s="547">
        <f>SCH_C2!H36</f>
        <v>-82500</v>
      </c>
      <c r="H29" s="476">
        <f t="shared" si="0"/>
        <v>0.97009999999999996</v>
      </c>
      <c r="I29" s="1323"/>
      <c r="J29" s="547">
        <f>SCH_C2!E36</f>
        <v>-2763105</v>
      </c>
      <c r="K29" s="476">
        <f t="shared" si="1"/>
        <v>-3.3851</v>
      </c>
      <c r="L29" s="476"/>
      <c r="M29" s="547">
        <f>2223229-1064723</f>
        <v>1158506</v>
      </c>
      <c r="N29" s="476">
        <f t="shared" si="2"/>
        <v>7.1555999999999997</v>
      </c>
      <c r="O29" s="547">
        <f>211341-399545</f>
        <v>-188204</v>
      </c>
      <c r="P29" s="476">
        <f t="shared" si="3"/>
        <v>0.94720000000000004</v>
      </c>
      <c r="Q29" s="547">
        <f>-3565339+634</f>
        <v>-3564705</v>
      </c>
      <c r="R29" s="476">
        <f t="shared" si="4"/>
        <v>-0.4022</v>
      </c>
      <c r="S29" s="547">
        <v>-2542190</v>
      </c>
      <c r="T29" s="476">
        <f t="shared" si="5"/>
        <v>-0.38069999999999998</v>
      </c>
      <c r="U29" s="547">
        <v>-1841209</v>
      </c>
      <c r="V29" s="476">
        <f t="shared" si="6"/>
        <v>-1.3542000000000001</v>
      </c>
      <c r="W29" s="476"/>
      <c r="X29" s="850">
        <v>5197697</v>
      </c>
      <c r="Y29" s="538"/>
      <c r="Z29" s="538"/>
      <c r="AA29" s="538"/>
      <c r="AB29" s="538"/>
      <c r="AC29" s="538"/>
      <c r="AD29" s="538"/>
      <c r="AE29" s="538"/>
      <c r="AF29" s="538"/>
      <c r="AG29" s="538"/>
      <c r="AH29" s="538"/>
      <c r="AI29" s="538"/>
    </row>
    <row r="30" spans="1:35">
      <c r="A30" s="594">
        <v>15</v>
      </c>
      <c r="B30" s="538"/>
      <c r="C30" s="1341" t="s">
        <v>2407</v>
      </c>
      <c r="D30" s="547">
        <f t="shared" ref="D30:E30" si="7">SUM(D20:D29)</f>
        <v>238225196</v>
      </c>
      <c r="E30" s="547">
        <f t="shared" si="7"/>
        <v>235795825</v>
      </c>
      <c r="F30" s="1324"/>
      <c r="G30" s="547">
        <f ca="1">SUM(G20:G29)</f>
        <v>240704532</v>
      </c>
      <c r="H30" s="476">
        <f t="shared" ca="1" si="0"/>
        <v>6.2700000000000006E-2</v>
      </c>
      <c r="I30" s="1323"/>
      <c r="J30" s="547">
        <f>SUM(J20:J29)</f>
        <v>226496360</v>
      </c>
      <c r="K30" s="476">
        <f t="shared" si="1"/>
        <v>-9.0300000000000005E-2</v>
      </c>
      <c r="L30" s="476"/>
      <c r="M30" s="547">
        <f>SUM(M20:M29)</f>
        <v>248974224</v>
      </c>
      <c r="N30" s="476">
        <f t="shared" si="2"/>
        <v>-2.2100000000000002E-2</v>
      </c>
      <c r="O30" s="547">
        <f>SUM(O20:O29)</f>
        <v>254597760</v>
      </c>
      <c r="P30" s="476">
        <f t="shared" si="3"/>
        <v>-8.2699999999999996E-2</v>
      </c>
      <c r="Q30" s="547">
        <f>SUM(Q20:Q29)</f>
        <v>277562419</v>
      </c>
      <c r="R30" s="476">
        <f t="shared" si="4"/>
        <v>0.1588</v>
      </c>
      <c r="S30" s="547">
        <f>SUM(S20:S29)</f>
        <v>239516748</v>
      </c>
      <c r="T30" s="476">
        <f t="shared" si="5"/>
        <v>-3.1199999999999999E-2</v>
      </c>
      <c r="U30" s="547">
        <f>SUM(U20:U29)</f>
        <v>247242414</v>
      </c>
      <c r="V30" s="476">
        <f t="shared" si="6"/>
        <v>-6.0299999999999999E-2</v>
      </c>
      <c r="W30" s="476"/>
      <c r="X30" s="547">
        <f>SUM(X20:X29)</f>
        <v>263121804</v>
      </c>
      <c r="Y30" s="538"/>
      <c r="Z30" s="538"/>
      <c r="AA30" s="538"/>
      <c r="AB30" s="538"/>
      <c r="AC30" s="538"/>
      <c r="AD30" s="538"/>
      <c r="AE30" s="538"/>
      <c r="AF30" s="538"/>
      <c r="AG30" s="538"/>
      <c r="AH30" s="538"/>
      <c r="AI30" s="538"/>
    </row>
    <row r="31" spans="1:35">
      <c r="A31" s="594">
        <v>16</v>
      </c>
      <c r="B31" s="538"/>
      <c r="C31" s="852" t="s">
        <v>179</v>
      </c>
      <c r="D31" s="547">
        <v>56729361</v>
      </c>
      <c r="E31" s="547">
        <v>54814260</v>
      </c>
      <c r="F31" s="1324"/>
      <c r="G31" s="1462">
        <f t="array" aca="1" ref="G31" ca="1">SUM(IF(FERCFP=403,AmountFP))</f>
        <v>43420349</v>
      </c>
      <c r="H31" s="476">
        <f t="shared" ca="1" si="0"/>
        <v>0.27489999999999998</v>
      </c>
      <c r="I31" s="1323"/>
      <c r="J31" s="1462">
        <f t="array" ref="J31">SUM(IF(FERCBP=403,AmountBP))</f>
        <v>34057862</v>
      </c>
      <c r="K31" s="476">
        <f t="shared" si="1"/>
        <v>0.13070000000000001</v>
      </c>
      <c r="L31" s="476"/>
      <c r="M31" s="547">
        <v>30121128</v>
      </c>
      <c r="N31" s="476">
        <f t="shared" ref="N31:N41" si="8">IF(O31=0,"-",ROUND((M31-O31)/ABS(O31),4))</f>
        <v>-5.7000000000000002E-3</v>
      </c>
      <c r="O31" s="547">
        <v>30294923</v>
      </c>
      <c r="P31" s="476">
        <f t="shared" ref="P31:P41" si="9">IF(Q31=0,"-",ROUND((O31-Q31)/ABS(Q31),4))</f>
        <v>-5.7000000000000002E-3</v>
      </c>
      <c r="Q31" s="547">
        <v>30469928</v>
      </c>
      <c r="R31" s="476">
        <f t="shared" ref="R31:R41" si="10">IF(S31=0,"-",ROUND((Q31-S31)/ABS(S31),4))</f>
        <v>-2.7000000000000001E-3</v>
      </c>
      <c r="S31" s="547">
        <v>30551560</v>
      </c>
      <c r="T31" s="476">
        <f t="shared" ref="T31:T41" si="11">IF(U31=0,"-",ROUND((S31-U31)/ABS(U31),4))</f>
        <v>2.9100000000000001E-2</v>
      </c>
      <c r="U31" s="547">
        <v>29687762</v>
      </c>
      <c r="V31" s="476">
        <f t="shared" ref="V31:V41" si="12">IF(X31=0,"-",ROUND((U31-X31)/ABS(X31),4))</f>
        <v>2.9399999999999999E-2</v>
      </c>
      <c r="W31" s="476"/>
      <c r="X31" s="850">
        <v>28841028</v>
      </c>
      <c r="Y31" s="538"/>
      <c r="Z31" s="538"/>
      <c r="AA31" s="538"/>
      <c r="AB31" s="538"/>
      <c r="AC31" s="538"/>
      <c r="AD31" s="538"/>
      <c r="AE31" s="538"/>
      <c r="AF31" s="538"/>
      <c r="AG31" s="538"/>
      <c r="AH31" s="538"/>
      <c r="AI31" s="538"/>
    </row>
    <row r="32" spans="1:35">
      <c r="A32" s="594">
        <v>17</v>
      </c>
      <c r="B32" s="538"/>
      <c r="C32" s="852" t="s">
        <v>2408</v>
      </c>
      <c r="D32" s="547">
        <v>0</v>
      </c>
      <c r="E32" s="547">
        <v>0</v>
      </c>
      <c r="F32" s="1324"/>
      <c r="G32" s="1462">
        <f t="array" aca="1" ref="G32" ca="1">SUM(IF(FERCFP=404,AmountFP))</f>
        <v>1121913</v>
      </c>
      <c r="H32" s="476">
        <f t="shared" ca="1" si="0"/>
        <v>-0.14879999999999999</v>
      </c>
      <c r="I32" s="1323"/>
      <c r="J32" s="1462">
        <f t="array" ref="J32">SUM(IF(FERCBP=404,AmountBP))</f>
        <v>1318068</v>
      </c>
      <c r="K32" s="476">
        <f t="shared" si="1"/>
        <v>-0.26119999999999999</v>
      </c>
      <c r="L32" s="476"/>
      <c r="M32" s="547">
        <v>1784095</v>
      </c>
      <c r="N32" s="476">
        <f t="shared" si="8"/>
        <v>-0.1091</v>
      </c>
      <c r="O32" s="547">
        <v>2002497</v>
      </c>
      <c r="P32" s="476">
        <f t="shared" si="9"/>
        <v>-0.1105</v>
      </c>
      <c r="Q32" s="547">
        <v>2251166</v>
      </c>
      <c r="R32" s="476">
        <f t="shared" si="10"/>
        <v>7.7100000000000002E-2</v>
      </c>
      <c r="S32" s="547">
        <v>2089993</v>
      </c>
      <c r="T32" s="476">
        <f t="shared" si="11"/>
        <v>-0.1908</v>
      </c>
      <c r="U32" s="547">
        <v>2582808</v>
      </c>
      <c r="V32" s="476">
        <f t="shared" si="12"/>
        <v>-0.13289999999999999</v>
      </c>
      <c r="W32" s="476"/>
      <c r="X32" s="850">
        <v>2978707</v>
      </c>
      <c r="Y32" s="538"/>
      <c r="Z32" s="538"/>
      <c r="AA32" s="538"/>
      <c r="AB32" s="538"/>
      <c r="AC32" s="538"/>
      <c r="AD32" s="538"/>
      <c r="AE32" s="538"/>
      <c r="AF32" s="538"/>
      <c r="AG32" s="538"/>
      <c r="AH32" s="538"/>
      <c r="AI32" s="538"/>
    </row>
    <row r="33" spans="1:35">
      <c r="A33" s="594">
        <v>18</v>
      </c>
      <c r="B33" s="538"/>
      <c r="C33" s="852" t="s">
        <v>951</v>
      </c>
      <c r="D33" s="547">
        <v>14991358</v>
      </c>
      <c r="E33" s="547">
        <v>14739360</v>
      </c>
      <c r="F33" s="1324"/>
      <c r="G33" s="547">
        <f>SCH_C2!H44</f>
        <v>12781066</v>
      </c>
      <c r="H33" s="476">
        <f t="shared" si="0"/>
        <v>0.19719999999999999</v>
      </c>
      <c r="I33" s="1323"/>
      <c r="J33" s="547">
        <f>SCH_C2!E44</f>
        <v>10675457</v>
      </c>
      <c r="K33" s="476">
        <f t="shared" si="1"/>
        <v>0.1031</v>
      </c>
      <c r="L33" s="476"/>
      <c r="M33" s="547">
        <v>9677833</v>
      </c>
      <c r="N33" s="476">
        <f t="shared" si="8"/>
        <v>8.9200000000000002E-2</v>
      </c>
      <c r="O33" s="547">
        <v>8885417</v>
      </c>
      <c r="P33" s="476">
        <f t="shared" si="9"/>
        <v>-1.3899999999999999E-2</v>
      </c>
      <c r="Q33" s="547">
        <v>9010562</v>
      </c>
      <c r="R33" s="476">
        <f t="shared" si="10"/>
        <v>0.01</v>
      </c>
      <c r="S33" s="547">
        <v>8921552</v>
      </c>
      <c r="T33" s="476">
        <f t="shared" si="11"/>
        <v>-0.17330000000000001</v>
      </c>
      <c r="U33" s="547">
        <v>10791688</v>
      </c>
      <c r="V33" s="476">
        <f t="shared" si="12"/>
        <v>0.35799999999999998</v>
      </c>
      <c r="W33" s="476"/>
      <c r="X33" s="850">
        <v>7946803</v>
      </c>
      <c r="Y33" s="1323"/>
      <c r="Z33" s="538"/>
      <c r="AA33" s="538"/>
      <c r="AB33" s="538"/>
      <c r="AC33" s="538"/>
      <c r="AD33" s="538"/>
      <c r="AE33" s="538"/>
      <c r="AF33" s="538"/>
      <c r="AG33" s="538"/>
      <c r="AH33" s="538"/>
      <c r="AI33" s="538"/>
    </row>
    <row r="34" spans="1:35">
      <c r="A34" s="594">
        <v>19</v>
      </c>
      <c r="B34" s="538"/>
      <c r="C34" s="852" t="s">
        <v>2401</v>
      </c>
      <c r="D34" s="547">
        <v>16393919</v>
      </c>
      <c r="E34" s="547">
        <v>6811578</v>
      </c>
      <c r="F34" s="1324"/>
      <c r="G34" s="547">
        <f ca="1">SCH_C2!H52</f>
        <v>-21224297</v>
      </c>
      <c r="H34" s="476">
        <f t="shared" ca="1" si="0"/>
        <v>-6.4699999999999994E-2</v>
      </c>
      <c r="I34" s="1323"/>
      <c r="J34" s="547">
        <f>SCH_C2!E52</f>
        <v>-19935176</v>
      </c>
      <c r="K34" s="476">
        <f t="shared" si="1"/>
        <v>-0.87350000000000005</v>
      </c>
      <c r="L34" s="476"/>
      <c r="M34" s="547">
        <v>-10640581</v>
      </c>
      <c r="N34" s="476">
        <f t="shared" si="8"/>
        <v>-0.66659999999999997</v>
      </c>
      <c r="O34" s="547">
        <v>-6384426</v>
      </c>
      <c r="P34" s="476">
        <f t="shared" si="9"/>
        <v>-6.5105000000000004</v>
      </c>
      <c r="Q34" s="547">
        <v>-850064</v>
      </c>
      <c r="R34" s="476">
        <f t="shared" si="10"/>
        <v>-1.0760000000000001</v>
      </c>
      <c r="S34" s="547">
        <v>11185733</v>
      </c>
      <c r="T34" s="476">
        <f t="shared" si="11"/>
        <v>2.9392999999999998</v>
      </c>
      <c r="U34" s="547">
        <v>2839553</v>
      </c>
      <c r="V34" s="476">
        <f t="shared" si="12"/>
        <v>-0.21690000000000001</v>
      </c>
      <c r="W34" s="476"/>
      <c r="X34" s="850">
        <v>3625970</v>
      </c>
      <c r="Y34" s="1323"/>
      <c r="Z34" s="538"/>
      <c r="AA34" s="538"/>
      <c r="AB34" s="538"/>
      <c r="AC34" s="538"/>
      <c r="AD34" s="538"/>
      <c r="AE34" s="538"/>
      <c r="AF34" s="538"/>
      <c r="AG34" s="538"/>
      <c r="AH34" s="538"/>
      <c r="AI34" s="538"/>
    </row>
    <row r="35" spans="1:35">
      <c r="A35" s="594">
        <v>20</v>
      </c>
      <c r="B35" s="538"/>
      <c r="C35" s="852" t="s">
        <v>2402</v>
      </c>
      <c r="D35" s="547">
        <v>-8324328</v>
      </c>
      <c r="E35" s="547">
        <v>-6919481</v>
      </c>
      <c r="F35" s="1324"/>
      <c r="G35" s="547">
        <f ca="1">SCH_C2!H47</f>
        <v>-280187</v>
      </c>
      <c r="H35" s="476">
        <f t="shared" ca="1" si="0"/>
        <v>0.54710000000000003</v>
      </c>
      <c r="I35" s="1323"/>
      <c r="J35" s="547">
        <f>SCH_C2!E47</f>
        <v>-618687</v>
      </c>
      <c r="K35" s="476">
        <f t="shared" si="1"/>
        <v>0.68720000000000003</v>
      </c>
      <c r="L35" s="476"/>
      <c r="M35" s="547">
        <v>-1978199</v>
      </c>
      <c r="N35" s="476">
        <f t="shared" si="8"/>
        <v>-0.14280000000000001</v>
      </c>
      <c r="O35" s="547">
        <v>-1731081</v>
      </c>
      <c r="P35" s="476">
        <f t="shared" si="9"/>
        <v>-2.6288999999999998</v>
      </c>
      <c r="Q35" s="547">
        <v>1062705</v>
      </c>
      <c r="R35" s="476">
        <f t="shared" si="10"/>
        <v>0.20030000000000001</v>
      </c>
      <c r="S35" s="547">
        <v>885332</v>
      </c>
      <c r="T35" s="476">
        <f t="shared" si="11"/>
        <v>-0.66139999999999999</v>
      </c>
      <c r="U35" s="547">
        <v>2614847</v>
      </c>
      <c r="V35" s="476">
        <f t="shared" si="12"/>
        <v>1.6192</v>
      </c>
      <c r="W35" s="476"/>
      <c r="X35" s="850">
        <v>998335</v>
      </c>
      <c r="Y35" s="1323"/>
      <c r="Z35" s="538"/>
      <c r="AA35" s="538"/>
      <c r="AB35" s="538"/>
      <c r="AC35" s="538"/>
      <c r="AD35" s="538"/>
      <c r="AE35" s="538"/>
      <c r="AF35" s="538"/>
      <c r="AG35" s="538"/>
      <c r="AH35" s="538"/>
      <c r="AI35" s="538"/>
    </row>
    <row r="36" spans="1:35">
      <c r="A36" s="594">
        <v>21</v>
      </c>
      <c r="B36" s="547"/>
      <c r="C36" s="1342" t="s">
        <v>2409</v>
      </c>
      <c r="D36" s="547">
        <v>18709911</v>
      </c>
      <c r="E36" s="547">
        <v>22681357</v>
      </c>
      <c r="F36" s="1324"/>
      <c r="G36" s="547">
        <f ca="1">SCH_C2!H48+SCH_C2!H53</f>
        <v>25594215</v>
      </c>
      <c r="H36" s="476">
        <f t="shared" ca="1" si="0"/>
        <v>-0.32790000000000002</v>
      </c>
      <c r="I36" s="851"/>
      <c r="J36" s="547">
        <f>SCH_C2!E48+SCH_C2!E53</f>
        <v>38082496</v>
      </c>
      <c r="K36" s="476">
        <f t="shared" si="1"/>
        <v>0.5101</v>
      </c>
      <c r="L36" s="476"/>
      <c r="M36" s="547">
        <f>84050726-58832752</f>
        <v>25217974</v>
      </c>
      <c r="N36" s="476">
        <f t="shared" si="8"/>
        <v>-0.10970000000000001</v>
      </c>
      <c r="O36" s="547">
        <f>134318382-105992512</f>
        <v>28325870</v>
      </c>
      <c r="P36" s="476">
        <f t="shared" si="9"/>
        <v>1.1840999999999999</v>
      </c>
      <c r="Q36" s="547">
        <f>41453065-28484052</f>
        <v>12969013</v>
      </c>
      <c r="R36" s="476">
        <f t="shared" si="10"/>
        <v>1.4165000000000001</v>
      </c>
      <c r="S36" s="547">
        <f>24518195-19151232</f>
        <v>5366963</v>
      </c>
      <c r="T36" s="476">
        <f t="shared" si="11"/>
        <v>2.5669</v>
      </c>
      <c r="U36" s="547">
        <f>32350974-35776261</f>
        <v>-3425287</v>
      </c>
      <c r="V36" s="476">
        <f t="shared" si="12"/>
        <v>-1.6324000000000001</v>
      </c>
      <c r="W36" s="476"/>
      <c r="X36" s="850">
        <f>31760811-26344659</f>
        <v>5416152</v>
      </c>
      <c r="Y36" s="1323"/>
      <c r="Z36" s="538"/>
      <c r="AA36" s="538"/>
      <c r="AB36" s="538"/>
      <c r="AC36" s="538"/>
      <c r="AD36" s="538"/>
      <c r="AE36" s="538"/>
      <c r="AF36" s="538"/>
      <c r="AG36" s="538"/>
      <c r="AH36" s="538"/>
      <c r="AI36" s="538"/>
    </row>
    <row r="37" spans="1:35">
      <c r="A37" s="594">
        <v>22</v>
      </c>
      <c r="B37" s="538"/>
      <c r="C37" s="852" t="s">
        <v>2403</v>
      </c>
      <c r="D37" s="547">
        <v>0</v>
      </c>
      <c r="E37" s="547">
        <v>0</v>
      </c>
      <c r="F37" s="1324"/>
      <c r="G37" s="547">
        <f>SCH_C2!H54</f>
        <v>-11316</v>
      </c>
      <c r="H37" s="476">
        <f t="shared" si="0"/>
        <v>5.3100000000000001E-2</v>
      </c>
      <c r="I37" s="1323"/>
      <c r="J37" s="547">
        <f>SCH_C2!E54</f>
        <v>-11950</v>
      </c>
      <c r="K37" s="476">
        <f t="shared" si="1"/>
        <v>0.44259999999999999</v>
      </c>
      <c r="L37" s="476"/>
      <c r="M37" s="547">
        <v>-21438</v>
      </c>
      <c r="N37" s="476">
        <f t="shared" si="8"/>
        <v>0.23599999999999999</v>
      </c>
      <c r="O37" s="547">
        <v>-28061</v>
      </c>
      <c r="P37" s="476">
        <f t="shared" si="9"/>
        <v>0</v>
      </c>
      <c r="Q37" s="547">
        <v>-28061</v>
      </c>
      <c r="R37" s="476">
        <f t="shared" si="10"/>
        <v>0.23449999999999999</v>
      </c>
      <c r="S37" s="547">
        <v>-36658</v>
      </c>
      <c r="T37" s="476">
        <f t="shared" si="11"/>
        <v>0.39700000000000002</v>
      </c>
      <c r="U37" s="547">
        <v>-60794</v>
      </c>
      <c r="V37" s="476">
        <f t="shared" si="12"/>
        <v>0.1384</v>
      </c>
      <c r="W37" s="476"/>
      <c r="X37" s="850">
        <v>-70561</v>
      </c>
      <c r="Y37" s="1323"/>
      <c r="Z37" s="538"/>
      <c r="AA37" s="538"/>
      <c r="AB37" s="538"/>
      <c r="AC37" s="538"/>
      <c r="AD37" s="538"/>
      <c r="AE37" s="538"/>
      <c r="AF37" s="538"/>
      <c r="AG37" s="538"/>
      <c r="AH37" s="538"/>
      <c r="AI37" s="538"/>
    </row>
    <row r="38" spans="1:35">
      <c r="A38" s="594">
        <v>23</v>
      </c>
      <c r="B38" s="538"/>
      <c r="C38" s="852" t="s">
        <v>2410</v>
      </c>
      <c r="D38" s="547">
        <v>0</v>
      </c>
      <c r="E38" s="547">
        <v>0</v>
      </c>
      <c r="F38" s="1324"/>
      <c r="G38" s="547">
        <v>0</v>
      </c>
      <c r="H38" s="476" t="str">
        <f t="shared" si="0"/>
        <v>-</v>
      </c>
      <c r="I38" s="1323"/>
      <c r="J38" s="547">
        <v>0</v>
      </c>
      <c r="K38" s="476" t="str">
        <f t="shared" si="1"/>
        <v>-</v>
      </c>
      <c r="L38" s="476"/>
      <c r="M38" s="547">
        <v>0</v>
      </c>
      <c r="N38" s="476">
        <f>IF(O38=0,"-",ROUND((M38-O38)/ABS(O38),4))</f>
        <v>1</v>
      </c>
      <c r="O38" s="547">
        <v>-8051</v>
      </c>
      <c r="P38" s="476">
        <f>IF(Q38=0,"-",ROUND((O38-Q38)/ABS(Q38),4))</f>
        <v>-56.920900000000003</v>
      </c>
      <c r="Q38" s="547">
        <v>-139</v>
      </c>
      <c r="R38" s="476">
        <f>IF(S38=0,"-",ROUND((Q38-S38)/ABS(S38),4))</f>
        <v>-0.51090000000000002</v>
      </c>
      <c r="S38" s="547">
        <v>-92</v>
      </c>
      <c r="T38" s="476">
        <f>IF(U38=0,"-",ROUND((S38-U38)/ABS(U38),4))</f>
        <v>0.59289999999999998</v>
      </c>
      <c r="U38" s="547">
        <v>-226</v>
      </c>
      <c r="V38" s="476">
        <f>IF(X38=0,"-",ROUND((U38-X38)/ABS(X38),4))</f>
        <v>0.96699999999999997</v>
      </c>
      <c r="W38" s="476"/>
      <c r="X38" s="850">
        <v>-6841</v>
      </c>
      <c r="Y38" s="1323"/>
      <c r="Z38" s="538"/>
      <c r="AA38" s="538"/>
      <c r="AB38" s="538"/>
      <c r="AC38" s="538"/>
      <c r="AD38" s="538"/>
      <c r="AE38" s="538"/>
      <c r="AF38" s="538"/>
      <c r="AG38" s="538"/>
      <c r="AH38" s="538"/>
      <c r="AI38" s="538"/>
    </row>
    <row r="39" spans="1:35">
      <c r="A39" s="594">
        <v>24</v>
      </c>
      <c r="B39" s="538"/>
      <c r="C39" s="852" t="s">
        <v>628</v>
      </c>
      <c r="D39" s="547">
        <v>0</v>
      </c>
      <c r="E39" s="547">
        <v>0</v>
      </c>
      <c r="F39" s="1324"/>
      <c r="G39" s="547">
        <v>0</v>
      </c>
      <c r="H39" s="476" t="str">
        <f t="shared" si="0"/>
        <v>-</v>
      </c>
      <c r="I39" s="1323"/>
      <c r="J39" s="547">
        <v>0</v>
      </c>
      <c r="K39" s="476" t="str">
        <f t="shared" si="1"/>
        <v>-</v>
      </c>
      <c r="L39" s="476"/>
      <c r="M39" s="547">
        <v>0</v>
      </c>
      <c r="N39" s="476" t="str">
        <f t="shared" si="8"/>
        <v>-</v>
      </c>
      <c r="O39" s="547">
        <v>0</v>
      </c>
      <c r="P39" s="476" t="str">
        <f t="shared" si="9"/>
        <v>-</v>
      </c>
      <c r="Q39" s="547">
        <v>0</v>
      </c>
      <c r="R39" s="476" t="str">
        <f t="shared" si="10"/>
        <v>-</v>
      </c>
      <c r="S39" s="547">
        <v>0</v>
      </c>
      <c r="T39" s="476" t="str">
        <f t="shared" si="11"/>
        <v>-</v>
      </c>
      <c r="U39" s="547">
        <v>0</v>
      </c>
      <c r="V39" s="476" t="str">
        <f t="shared" si="12"/>
        <v>-</v>
      </c>
      <c r="W39" s="476"/>
      <c r="X39" s="850">
        <v>0</v>
      </c>
      <c r="Y39" s="1323"/>
      <c r="Z39" s="538"/>
      <c r="AA39" s="538"/>
      <c r="AB39" s="538"/>
      <c r="AC39" s="538"/>
      <c r="AD39" s="538"/>
      <c r="AE39" s="538"/>
      <c r="AF39" s="538"/>
      <c r="AG39" s="538"/>
      <c r="AH39" s="538"/>
      <c r="AI39" s="538"/>
    </row>
    <row r="40" spans="1:35">
      <c r="A40" s="594">
        <v>25</v>
      </c>
      <c r="B40" s="538"/>
      <c r="C40" s="1323" t="s">
        <v>629</v>
      </c>
      <c r="D40" s="1326">
        <f>D30+SUM(D31:D39)</f>
        <v>336725417</v>
      </c>
      <c r="E40" s="1326">
        <f>E30+SUM(E31:E39)</f>
        <v>327922899</v>
      </c>
      <c r="F40" s="1324"/>
      <c r="G40" s="1326">
        <f ca="1">G30+SUM(G31:G39)</f>
        <v>302106275</v>
      </c>
      <c r="H40" s="476">
        <f t="shared" ca="1" si="0"/>
        <v>4.1500000000000002E-2</v>
      </c>
      <c r="I40" s="1323"/>
      <c r="J40" s="1326">
        <f>J30+SUM(J31:J39)</f>
        <v>290064430</v>
      </c>
      <c r="K40" s="476">
        <f t="shared" si="1"/>
        <v>-4.3099999999999999E-2</v>
      </c>
      <c r="L40" s="476"/>
      <c r="M40" s="1326">
        <f>M30+SUM(M31:M39)</f>
        <v>303135036</v>
      </c>
      <c r="N40" s="476">
        <f t="shared" si="8"/>
        <v>-4.0599999999999997E-2</v>
      </c>
      <c r="O40" s="1326">
        <f>O30+SUM(O31:O39)</f>
        <v>315954848</v>
      </c>
      <c r="P40" s="476">
        <f t="shared" si="9"/>
        <v>-4.9599999999999998E-2</v>
      </c>
      <c r="Q40" s="1326">
        <f>Q30+SUM(Q31:Q39)</f>
        <v>332447529</v>
      </c>
      <c r="R40" s="476">
        <f t="shared" si="10"/>
        <v>0.1138</v>
      </c>
      <c r="S40" s="1326">
        <f>S30+SUM(S31:S39)</f>
        <v>298481131</v>
      </c>
      <c r="T40" s="476">
        <f t="shared" si="11"/>
        <v>2.12E-2</v>
      </c>
      <c r="U40" s="1326">
        <f>U30+SUM(U31:U39)</f>
        <v>292272765</v>
      </c>
      <c r="V40" s="476">
        <f t="shared" si="12"/>
        <v>-6.5799999999999997E-2</v>
      </c>
      <c r="W40" s="476"/>
      <c r="X40" s="1326">
        <f>X30+SUM(X31:X39)</f>
        <v>312851397</v>
      </c>
      <c r="Y40" s="538"/>
      <c r="Z40" s="538"/>
      <c r="AA40" s="538"/>
      <c r="AB40" s="538"/>
      <c r="AC40" s="538"/>
      <c r="AD40" s="538"/>
      <c r="AE40" s="538"/>
      <c r="AF40" s="538"/>
      <c r="AG40" s="538"/>
      <c r="AH40" s="538"/>
      <c r="AI40" s="538"/>
    </row>
    <row r="41" spans="1:35">
      <c r="A41" s="594">
        <v>26</v>
      </c>
      <c r="B41" s="538"/>
      <c r="C41" s="1323" t="s">
        <v>630</v>
      </c>
      <c r="D41" s="548">
        <f>D16-D40</f>
        <v>57039755</v>
      </c>
      <c r="E41" s="548">
        <f>E16-E40</f>
        <v>50380019</v>
      </c>
      <c r="F41" s="1324"/>
      <c r="G41" s="548">
        <f ca="1">IF((G16-G40)=SCH_C2!H59,G16-G40,"ERROR")</f>
        <v>19212679</v>
      </c>
      <c r="H41" s="476">
        <f t="shared" ca="1" si="0"/>
        <v>-0.47199999999999998</v>
      </c>
      <c r="I41" s="1323"/>
      <c r="J41" s="548">
        <f>IF((J16-J40)=SCH_C2!E59,J16-J40,"ERROR")</f>
        <v>36387908</v>
      </c>
      <c r="K41" s="476">
        <f t="shared" si="1"/>
        <v>-0.18479999999999999</v>
      </c>
      <c r="L41" s="476"/>
      <c r="M41" s="548">
        <f>M16-M40</f>
        <v>44635085</v>
      </c>
      <c r="N41" s="476">
        <f t="shared" si="8"/>
        <v>-3.6900000000000002E-2</v>
      </c>
      <c r="O41" s="548">
        <f>O16-O40</f>
        <v>46346716</v>
      </c>
      <c r="P41" s="476">
        <f t="shared" si="9"/>
        <v>0.36809999999999998</v>
      </c>
      <c r="Q41" s="548">
        <f>Q16-Q40</f>
        <v>33876037</v>
      </c>
      <c r="R41" s="476">
        <f t="shared" si="10"/>
        <v>-0.2107</v>
      </c>
      <c r="S41" s="548">
        <f>S16-S40</f>
        <v>42918111</v>
      </c>
      <c r="T41" s="476">
        <f t="shared" si="11"/>
        <v>-5.6300000000000003E-2</v>
      </c>
      <c r="U41" s="548">
        <f>U16-U40</f>
        <v>45477149</v>
      </c>
      <c r="V41" s="476">
        <f t="shared" si="12"/>
        <v>0.48520000000000002</v>
      </c>
      <c r="W41" s="476"/>
      <c r="X41" s="548">
        <f>X16-X40</f>
        <v>30619731</v>
      </c>
      <c r="Y41" s="538"/>
      <c r="Z41" s="538"/>
      <c r="AA41" s="538"/>
      <c r="AB41" s="538"/>
      <c r="AC41" s="538"/>
      <c r="AD41" s="538"/>
      <c r="AE41" s="538"/>
      <c r="AF41" s="538"/>
      <c r="AG41" s="538"/>
      <c r="AH41" s="538"/>
      <c r="AI41" s="538"/>
    </row>
    <row r="42" spans="1:35">
      <c r="A42" s="594"/>
      <c r="B42" s="538"/>
      <c r="C42" s="1323"/>
      <c r="D42" s="1324"/>
      <c r="E42" s="1324"/>
      <c r="F42" s="1324"/>
      <c r="G42" s="1324"/>
      <c r="H42" s="476"/>
      <c r="I42" s="1323"/>
      <c r="J42" s="1324"/>
      <c r="K42" s="476"/>
      <c r="L42" s="476"/>
      <c r="M42" s="1324"/>
      <c r="N42" s="476"/>
      <c r="O42" s="1324"/>
      <c r="P42" s="476"/>
      <c r="Q42" s="1324"/>
      <c r="R42" s="476"/>
      <c r="S42" s="1324"/>
      <c r="T42" s="476"/>
      <c r="U42" s="1324"/>
      <c r="V42" s="476"/>
      <c r="W42" s="476"/>
      <c r="X42" s="1324"/>
      <c r="Y42" s="538"/>
      <c r="Z42" s="538"/>
      <c r="AA42" s="538"/>
      <c r="AB42" s="538"/>
      <c r="AC42" s="538"/>
      <c r="AD42" s="538"/>
      <c r="AE42" s="538"/>
      <c r="AF42" s="538"/>
      <c r="AG42" s="538"/>
      <c r="AH42" s="538"/>
      <c r="AI42" s="538"/>
    </row>
    <row r="43" spans="1:35">
      <c r="A43" s="594">
        <v>27</v>
      </c>
      <c r="B43" s="538"/>
      <c r="C43" s="1340" t="s">
        <v>2411</v>
      </c>
      <c r="D43" s="547"/>
      <c r="E43" s="547"/>
      <c r="F43" s="1324"/>
      <c r="G43" s="547"/>
      <c r="H43" s="476"/>
      <c r="I43" s="1323"/>
      <c r="J43" s="547"/>
      <c r="K43" s="476"/>
      <c r="L43" s="476"/>
      <c r="M43" s="547"/>
      <c r="N43" s="476"/>
      <c r="O43" s="547"/>
      <c r="P43" s="476"/>
      <c r="Q43" s="547"/>
      <c r="R43" s="476"/>
      <c r="S43" s="547"/>
      <c r="T43" s="476"/>
      <c r="U43" s="547"/>
      <c r="V43" s="476"/>
      <c r="W43" s="476"/>
      <c r="X43" s="547"/>
      <c r="Y43" s="538"/>
      <c r="Z43" s="538"/>
      <c r="AA43" s="538"/>
      <c r="AB43" s="538"/>
      <c r="AC43" s="538"/>
      <c r="AD43" s="538"/>
      <c r="AE43" s="538"/>
      <c r="AF43" s="538"/>
      <c r="AG43" s="538"/>
      <c r="AH43" s="538"/>
      <c r="AI43" s="538"/>
    </row>
    <row r="44" spans="1:35">
      <c r="A44" s="594">
        <v>28</v>
      </c>
      <c r="B44" s="538"/>
      <c r="C44" s="1339" t="s">
        <v>2412</v>
      </c>
      <c r="D44" s="547"/>
      <c r="E44" s="547"/>
      <c r="F44" s="1324"/>
      <c r="G44" s="547"/>
      <c r="H44" s="476"/>
      <c r="I44" s="1323"/>
      <c r="J44" s="547"/>
      <c r="K44" s="476"/>
      <c r="L44" s="476"/>
      <c r="M44" s="547"/>
      <c r="N44" s="476"/>
      <c r="O44" s="547"/>
      <c r="P44" s="476"/>
      <c r="Q44" s="547"/>
      <c r="R44" s="476"/>
      <c r="S44" s="547"/>
      <c r="T44" s="476"/>
      <c r="U44" s="547"/>
      <c r="V44" s="476"/>
      <c r="W44" s="476"/>
      <c r="X44" s="547"/>
      <c r="Y44" s="538"/>
      <c r="Z44" s="538"/>
      <c r="AA44" s="538"/>
      <c r="AB44" s="538"/>
      <c r="AC44" s="538"/>
      <c r="AD44" s="538"/>
      <c r="AE44" s="538"/>
      <c r="AF44" s="538"/>
      <c r="AG44" s="538"/>
      <c r="AH44" s="538"/>
      <c r="AI44" s="538"/>
    </row>
    <row r="45" spans="1:35">
      <c r="A45" s="594">
        <v>29</v>
      </c>
      <c r="B45" s="538"/>
      <c r="C45" s="852" t="s">
        <v>2413</v>
      </c>
      <c r="D45" s="547">
        <v>0</v>
      </c>
      <c r="E45" s="547">
        <v>0</v>
      </c>
      <c r="F45" s="1324"/>
      <c r="G45" s="547">
        <v>0</v>
      </c>
      <c r="H45" s="476" t="str">
        <f t="shared" ref="H45:H51" si="13">IF(J45=0,"-",ROUND((G45-J45)/ABS(J45),4))</f>
        <v>-</v>
      </c>
      <c r="I45" s="1323"/>
      <c r="J45" s="547">
        <v>0</v>
      </c>
      <c r="K45" s="476" t="str">
        <f t="shared" ref="K45:K51" si="14">IF(M45=0,"-",ROUND((J45-M45)/ABS(M45),4))</f>
        <v>-</v>
      </c>
      <c r="L45" s="476"/>
      <c r="M45" s="547">
        <v>0</v>
      </c>
      <c r="N45" s="476" t="str">
        <f t="shared" ref="N45:N51" si="15">IF(O45=0,"-",ROUND((M45-O45)/ABS(O45),4))</f>
        <v>-</v>
      </c>
      <c r="O45" s="547">
        <v>0</v>
      </c>
      <c r="P45" s="476" t="str">
        <f t="shared" ref="P45:P51" si="16">IF(Q45=0,"-",ROUND((O45-Q45)/ABS(Q45),4))</f>
        <v>-</v>
      </c>
      <c r="Q45" s="547">
        <v>0</v>
      </c>
      <c r="R45" s="476" t="str">
        <f t="shared" ref="R45:R51" si="17">IF(S45=0,"-",ROUND((Q45-S45)/ABS(S45),4))</f>
        <v>-</v>
      </c>
      <c r="S45" s="547">
        <v>0</v>
      </c>
      <c r="T45" s="476" t="str">
        <f t="shared" ref="T45:T51" si="18">IF(U45=0,"-",ROUND((S45-U45)/ABS(U45),4))</f>
        <v>-</v>
      </c>
      <c r="U45" s="547">
        <v>0</v>
      </c>
      <c r="V45" s="476" t="str">
        <f t="shared" ref="V45:V51" si="19">IF(X45=0,"-",ROUND((U45-X45)/ABS(X45),4))</f>
        <v>-</v>
      </c>
      <c r="W45" s="476"/>
      <c r="X45" s="850">
        <v>0</v>
      </c>
      <c r="Y45" s="1323"/>
      <c r="Z45" s="538"/>
      <c r="AA45" s="538"/>
      <c r="AB45" s="538"/>
      <c r="AC45" s="538"/>
      <c r="AD45" s="538"/>
      <c r="AE45" s="538"/>
      <c r="AF45" s="538"/>
      <c r="AG45" s="538"/>
      <c r="AH45" s="538"/>
      <c r="AI45" s="538"/>
    </row>
    <row r="46" spans="1:35">
      <c r="A46" s="594">
        <v>30</v>
      </c>
      <c r="B46" s="538"/>
      <c r="C46" s="852" t="s">
        <v>2416</v>
      </c>
      <c r="D46" s="547">
        <v>0</v>
      </c>
      <c r="E46" s="547">
        <v>0</v>
      </c>
      <c r="F46" s="1324"/>
      <c r="G46" s="547">
        <v>0</v>
      </c>
      <c r="H46" s="476" t="str">
        <f t="shared" si="13"/>
        <v>-</v>
      </c>
      <c r="I46" s="1323"/>
      <c r="J46" s="547">
        <v>0</v>
      </c>
      <c r="K46" s="476" t="str">
        <f t="shared" si="14"/>
        <v>-</v>
      </c>
      <c r="L46" s="476"/>
      <c r="M46" s="547">
        <v>0</v>
      </c>
      <c r="N46" s="476" t="str">
        <f>IF(O46=0,"-",ROUND((M46-O46)/ABS(O46),4))</f>
        <v>-</v>
      </c>
      <c r="O46" s="547">
        <v>0</v>
      </c>
      <c r="P46" s="476" t="str">
        <f>IF(Q46=0,"-",ROUND((O46-Q46)/ABS(Q46),4))</f>
        <v>-</v>
      </c>
      <c r="Q46" s="547">
        <v>0</v>
      </c>
      <c r="R46" s="476" t="str">
        <f>IF(S46=0,"-",ROUND((Q46-S46)/ABS(S46),4))</f>
        <v>-</v>
      </c>
      <c r="S46" s="547">
        <v>0</v>
      </c>
      <c r="T46" s="476" t="str">
        <f>IF(U46=0,"-",ROUND((S46-U46)/ABS(U46),4))</f>
        <v>-</v>
      </c>
      <c r="U46" s="547">
        <v>0</v>
      </c>
      <c r="V46" s="476" t="str">
        <f>IF(X46=0,"-",ROUND((U46-X46)/ABS(X46),4))</f>
        <v>-</v>
      </c>
      <c r="W46" s="476"/>
      <c r="X46" s="850">
        <v>0</v>
      </c>
      <c r="Y46" s="1323"/>
      <c r="Z46" s="538"/>
      <c r="AA46" s="538"/>
      <c r="AB46" s="538"/>
      <c r="AC46" s="538"/>
      <c r="AD46" s="538"/>
      <c r="AE46" s="538"/>
      <c r="AF46" s="538"/>
      <c r="AG46" s="538"/>
      <c r="AH46" s="538"/>
      <c r="AI46" s="538"/>
    </row>
    <row r="47" spans="1:35">
      <c r="A47" s="594">
        <v>31</v>
      </c>
      <c r="B47" s="538"/>
      <c r="C47" s="1323" t="s">
        <v>636</v>
      </c>
      <c r="D47" s="547">
        <v>1437355</v>
      </c>
      <c r="E47" s="547">
        <v>1235451</v>
      </c>
      <c r="F47" s="1324"/>
      <c r="G47" s="547">
        <v>1186711</v>
      </c>
      <c r="H47" s="476">
        <f t="shared" si="13"/>
        <v>0.42899999999999999</v>
      </c>
      <c r="I47" s="1323"/>
      <c r="J47" s="547">
        <v>830475</v>
      </c>
      <c r="K47" s="476" t="str">
        <f t="shared" si="14"/>
        <v>-</v>
      </c>
      <c r="L47" s="476"/>
      <c r="M47" s="547">
        <v>0</v>
      </c>
      <c r="N47" s="476" t="str">
        <f t="shared" si="15"/>
        <v>-</v>
      </c>
      <c r="O47" s="547">
        <v>0</v>
      </c>
      <c r="P47" s="476" t="str">
        <f t="shared" si="16"/>
        <v>-</v>
      </c>
      <c r="Q47" s="547">
        <v>0</v>
      </c>
      <c r="R47" s="476" t="str">
        <f t="shared" si="17"/>
        <v>-</v>
      </c>
      <c r="S47" s="547">
        <v>0</v>
      </c>
      <c r="T47" s="476" t="str">
        <f t="shared" si="18"/>
        <v>-</v>
      </c>
      <c r="U47" s="547">
        <v>0</v>
      </c>
      <c r="V47" s="476" t="str">
        <f t="shared" si="19"/>
        <v>-</v>
      </c>
      <c r="W47" s="476"/>
      <c r="X47" s="850">
        <v>0</v>
      </c>
      <c r="Y47" s="538"/>
      <c r="Z47" s="538"/>
      <c r="AA47" s="538"/>
      <c r="AB47" s="538"/>
      <c r="AC47" s="538"/>
      <c r="AD47" s="538"/>
      <c r="AE47" s="538"/>
      <c r="AF47" s="538"/>
      <c r="AG47" s="538"/>
      <c r="AH47" s="538"/>
      <c r="AI47" s="538"/>
    </row>
    <row r="48" spans="1:35">
      <c r="A48" s="594">
        <v>32</v>
      </c>
      <c r="B48" s="538"/>
      <c r="C48" s="1323" t="s">
        <v>637</v>
      </c>
      <c r="D48" s="547">
        <v>2799762</v>
      </c>
      <c r="E48" s="547">
        <v>803216</v>
      </c>
      <c r="F48" s="1324"/>
      <c r="G48" s="547">
        <v>3527737</v>
      </c>
      <c r="H48" s="476">
        <f t="shared" si="13"/>
        <v>0.2074</v>
      </c>
      <c r="I48" s="1323"/>
      <c r="J48" s="547">
        <v>2921879</v>
      </c>
      <c r="K48" s="476">
        <f t="shared" si="14"/>
        <v>1.8138000000000001</v>
      </c>
      <c r="L48" s="476"/>
      <c r="M48" s="547">
        <v>1038401</v>
      </c>
      <c r="N48" s="476">
        <f t="shared" si="15"/>
        <v>0.83140000000000003</v>
      </c>
      <c r="O48" s="547">
        <v>566998</v>
      </c>
      <c r="P48" s="476">
        <f t="shared" si="16"/>
        <v>0.22869999999999999</v>
      </c>
      <c r="Q48" s="547">
        <v>461444</v>
      </c>
      <c r="R48" s="476">
        <f t="shared" si="17"/>
        <v>1.0999999999999999E-2</v>
      </c>
      <c r="S48" s="547">
        <v>456409</v>
      </c>
      <c r="T48" s="476">
        <f t="shared" si="18"/>
        <v>9.4700000000000006E-2</v>
      </c>
      <c r="U48" s="547">
        <v>416939</v>
      </c>
      <c r="V48" s="476">
        <f t="shared" si="19"/>
        <v>2.5700000000000001E-2</v>
      </c>
      <c r="W48" s="476"/>
      <c r="X48" s="850">
        <v>406506</v>
      </c>
      <c r="Y48" s="538"/>
      <c r="Z48" s="538"/>
      <c r="AA48" s="538"/>
      <c r="AB48" s="538"/>
      <c r="AC48" s="538"/>
      <c r="AD48" s="538"/>
      <c r="AE48" s="538"/>
      <c r="AF48" s="538"/>
      <c r="AG48" s="538"/>
      <c r="AH48" s="538"/>
      <c r="AI48" s="538"/>
    </row>
    <row r="49" spans="1:35">
      <c r="A49" s="594">
        <v>33</v>
      </c>
      <c r="B49" s="538"/>
      <c r="C49" s="1323" t="s">
        <v>631</v>
      </c>
      <c r="D49" s="547">
        <v>294000</v>
      </c>
      <c r="E49" s="547">
        <v>322000</v>
      </c>
      <c r="F49" s="1324"/>
      <c r="G49" s="547">
        <v>342880</v>
      </c>
      <c r="H49" s="476">
        <f t="shared" si="13"/>
        <v>730.0874</v>
      </c>
      <c r="I49" s="1323"/>
      <c r="J49" s="547">
        <v>469</v>
      </c>
      <c r="K49" s="476" t="str">
        <f t="shared" si="14"/>
        <v>-</v>
      </c>
      <c r="L49" s="476"/>
      <c r="M49" s="547">
        <v>0</v>
      </c>
      <c r="N49" s="476" t="str">
        <f t="shared" si="15"/>
        <v>-</v>
      </c>
      <c r="O49" s="547">
        <v>0</v>
      </c>
      <c r="P49" s="476" t="str">
        <f t="shared" si="16"/>
        <v>-</v>
      </c>
      <c r="Q49" s="547">
        <v>0</v>
      </c>
      <c r="R49" s="476" t="str">
        <f t="shared" si="17"/>
        <v>-</v>
      </c>
      <c r="S49" s="547">
        <v>0</v>
      </c>
      <c r="T49" s="476" t="str">
        <f t="shared" si="18"/>
        <v>-</v>
      </c>
      <c r="U49" s="547">
        <v>0</v>
      </c>
      <c r="V49" s="476" t="str">
        <f t="shared" si="19"/>
        <v>-</v>
      </c>
      <c r="W49" s="476"/>
      <c r="X49" s="850">
        <v>0</v>
      </c>
      <c r="Y49" s="538"/>
      <c r="Z49" s="538"/>
      <c r="AA49" s="538"/>
      <c r="AB49" s="538"/>
      <c r="AC49" s="538"/>
      <c r="AD49" s="538"/>
      <c r="AE49" s="538"/>
      <c r="AF49" s="538"/>
      <c r="AG49" s="538"/>
      <c r="AH49" s="538"/>
      <c r="AI49" s="538"/>
    </row>
    <row r="50" spans="1:35">
      <c r="A50" s="594">
        <v>34</v>
      </c>
      <c r="B50" s="538"/>
      <c r="C50" s="1323" t="s">
        <v>2417</v>
      </c>
      <c r="D50" s="547">
        <v>0</v>
      </c>
      <c r="E50" s="547">
        <v>0</v>
      </c>
      <c r="F50" s="1324"/>
      <c r="G50" s="547">
        <v>0</v>
      </c>
      <c r="H50" s="476" t="str">
        <f t="shared" si="13"/>
        <v>-</v>
      </c>
      <c r="I50" s="1323"/>
      <c r="J50" s="547">
        <v>0</v>
      </c>
      <c r="K50" s="476" t="str">
        <f t="shared" si="14"/>
        <v>-</v>
      </c>
      <c r="L50" s="476"/>
      <c r="M50" s="547">
        <v>0</v>
      </c>
      <c r="N50" s="476" t="str">
        <f t="shared" si="15"/>
        <v>-</v>
      </c>
      <c r="O50" s="547">
        <v>0</v>
      </c>
      <c r="P50" s="476" t="str">
        <f t="shared" si="16"/>
        <v>-</v>
      </c>
      <c r="Q50" s="547">
        <v>0</v>
      </c>
      <c r="R50" s="476" t="str">
        <f t="shared" si="17"/>
        <v>-</v>
      </c>
      <c r="S50" s="547">
        <v>0</v>
      </c>
      <c r="T50" s="476" t="str">
        <f t="shared" si="18"/>
        <v>-</v>
      </c>
      <c r="U50" s="547">
        <v>0</v>
      </c>
      <c r="V50" s="476" t="str">
        <f t="shared" si="19"/>
        <v>-</v>
      </c>
      <c r="W50" s="476"/>
      <c r="X50" s="850">
        <v>0</v>
      </c>
      <c r="Y50" s="538"/>
      <c r="Z50" s="538"/>
      <c r="AA50" s="538"/>
      <c r="AB50" s="538"/>
      <c r="AC50" s="538"/>
      <c r="AD50" s="538"/>
      <c r="AE50" s="538"/>
      <c r="AF50" s="538"/>
      <c r="AG50" s="538"/>
      <c r="AH50" s="538"/>
      <c r="AI50" s="538"/>
    </row>
    <row r="51" spans="1:35">
      <c r="A51" s="594">
        <v>35</v>
      </c>
      <c r="B51" s="538"/>
      <c r="C51" s="1323" t="s">
        <v>632</v>
      </c>
      <c r="D51" s="1326">
        <f>SUM(D45:D50)</f>
        <v>4531117</v>
      </c>
      <c r="E51" s="1326">
        <f>SUM(E45:E50)</f>
        <v>2360667</v>
      </c>
      <c r="F51" s="1324"/>
      <c r="G51" s="1326">
        <f>SUM(G45:G50)</f>
        <v>5057328</v>
      </c>
      <c r="H51" s="476">
        <f t="shared" si="13"/>
        <v>0.34760000000000002</v>
      </c>
      <c r="I51" s="1323"/>
      <c r="J51" s="1326">
        <f>SUM(J45:J50)</f>
        <v>3752823</v>
      </c>
      <c r="K51" s="476">
        <f t="shared" si="14"/>
        <v>2.6139999999999999</v>
      </c>
      <c r="L51" s="476"/>
      <c r="M51" s="1326">
        <f>SUM(M45:M50)</f>
        <v>1038401</v>
      </c>
      <c r="N51" s="476">
        <f t="shared" si="15"/>
        <v>0.83140000000000003</v>
      </c>
      <c r="O51" s="1326">
        <f>SUM(O45:O50)</f>
        <v>566998</v>
      </c>
      <c r="P51" s="476">
        <f t="shared" si="16"/>
        <v>0.22869999999999999</v>
      </c>
      <c r="Q51" s="1326">
        <f>SUM(Q45:Q50)</f>
        <v>461444</v>
      </c>
      <c r="R51" s="476">
        <f t="shared" si="17"/>
        <v>1.0999999999999999E-2</v>
      </c>
      <c r="S51" s="1326">
        <f>SUM(S45:S50)</f>
        <v>456409</v>
      </c>
      <c r="T51" s="476">
        <f t="shared" si="18"/>
        <v>9.4700000000000006E-2</v>
      </c>
      <c r="U51" s="1326">
        <f>SUM(U45:U50)</f>
        <v>416939</v>
      </c>
      <c r="V51" s="476">
        <f t="shared" si="19"/>
        <v>2.5700000000000001E-2</v>
      </c>
      <c r="W51" s="476"/>
      <c r="X51" s="1326">
        <f>SUM(X45:X50)</f>
        <v>406506</v>
      </c>
      <c r="Y51" s="538"/>
      <c r="Z51" s="538"/>
      <c r="AA51" s="538"/>
      <c r="AB51" s="538"/>
      <c r="AC51" s="538"/>
      <c r="AD51" s="538"/>
      <c r="AE51" s="538"/>
      <c r="AF51" s="538"/>
      <c r="AG51" s="538"/>
      <c r="AH51" s="538"/>
      <c r="AI51" s="538"/>
    </row>
    <row r="52" spans="1:35">
      <c r="A52" s="594"/>
      <c r="B52" s="538"/>
      <c r="C52" s="1323"/>
      <c r="D52" s="1324"/>
      <c r="E52" s="1324"/>
      <c r="F52" s="1324"/>
      <c r="G52" s="1324"/>
      <c r="H52" s="476"/>
      <c r="I52" s="1323"/>
      <c r="J52" s="1324"/>
      <c r="K52" s="476"/>
      <c r="L52" s="476"/>
      <c r="M52" s="1324"/>
      <c r="N52" s="476"/>
      <c r="O52" s="1324"/>
      <c r="P52" s="476"/>
      <c r="Q52" s="1324"/>
      <c r="R52" s="476"/>
      <c r="S52" s="1324"/>
      <c r="T52" s="476"/>
      <c r="U52" s="1324"/>
      <c r="V52" s="476"/>
      <c r="W52" s="476"/>
      <c r="X52" s="1324"/>
      <c r="Y52" s="538"/>
      <c r="Z52" s="538"/>
      <c r="AA52" s="538"/>
      <c r="AB52" s="538"/>
      <c r="AC52" s="538"/>
      <c r="AD52" s="538"/>
      <c r="AE52" s="538"/>
      <c r="AF52" s="538"/>
      <c r="AG52" s="538"/>
      <c r="AH52" s="538"/>
      <c r="AI52" s="538"/>
    </row>
    <row r="53" spans="1:35">
      <c r="A53" s="594">
        <v>36</v>
      </c>
      <c r="B53" s="538"/>
      <c r="C53" s="1339" t="s">
        <v>2414</v>
      </c>
      <c r="D53" s="547"/>
      <c r="E53" s="547"/>
      <c r="F53" s="1324"/>
      <c r="G53" s="547"/>
      <c r="H53" s="476"/>
      <c r="I53" s="1323"/>
      <c r="J53" s="547"/>
      <c r="K53" s="476"/>
      <c r="L53" s="476"/>
      <c r="M53" s="547"/>
      <c r="N53" s="476"/>
      <c r="O53" s="547"/>
      <c r="P53" s="476"/>
      <c r="Q53" s="547"/>
      <c r="R53" s="476"/>
      <c r="S53" s="547"/>
      <c r="T53" s="476"/>
      <c r="U53" s="547"/>
      <c r="V53" s="476"/>
      <c r="W53" s="476"/>
      <c r="X53" s="547"/>
      <c r="Y53" s="538"/>
      <c r="Z53" s="538"/>
      <c r="AA53" s="538"/>
      <c r="AB53" s="538"/>
      <c r="AC53" s="538"/>
      <c r="AD53" s="538"/>
      <c r="AE53" s="538"/>
      <c r="AF53" s="538"/>
      <c r="AG53" s="538"/>
      <c r="AH53" s="538"/>
      <c r="AI53" s="538"/>
    </row>
    <row r="54" spans="1:35">
      <c r="A54" s="594">
        <v>37</v>
      </c>
      <c r="B54" s="538"/>
      <c r="C54" s="1323" t="s">
        <v>2418</v>
      </c>
      <c r="D54" s="547">
        <v>0</v>
      </c>
      <c r="E54" s="547">
        <v>0</v>
      </c>
      <c r="F54" s="1324"/>
      <c r="G54" s="547">
        <v>0</v>
      </c>
      <c r="H54" s="476" t="str">
        <f>IF(J54=0,"-",ROUND((G54-J54)/ABS(J54),4))</f>
        <v>-</v>
      </c>
      <c r="I54" s="1323"/>
      <c r="J54" s="547">
        <v>0</v>
      </c>
      <c r="K54" s="476" t="str">
        <f>IF(M54=0,"-",ROUND((J54-M54)/ABS(M54),4))</f>
        <v>-</v>
      </c>
      <c r="L54" s="476"/>
      <c r="M54" s="547">
        <v>0</v>
      </c>
      <c r="N54" s="476" t="str">
        <f>IF(O54=0,"-",ROUND((M54-O54)/ABS(O54),4))</f>
        <v>-</v>
      </c>
      <c r="O54" s="547">
        <v>0</v>
      </c>
      <c r="P54" s="476" t="str">
        <f>IF(Q54=0,"-",ROUND((O54-Q54)/ABS(Q54),4))</f>
        <v>-</v>
      </c>
      <c r="Q54" s="547">
        <v>0</v>
      </c>
      <c r="R54" s="476" t="str">
        <f>IF(S54=0,"-",ROUND((Q54-S54)/ABS(S54),4))</f>
        <v>-</v>
      </c>
      <c r="S54" s="547">
        <v>0</v>
      </c>
      <c r="T54" s="476" t="str">
        <f>IF(U54=0,"-",ROUND((S54-U54)/ABS(U54),4))</f>
        <v>-</v>
      </c>
      <c r="U54" s="547">
        <v>0</v>
      </c>
      <c r="V54" s="476" t="str">
        <f>IF(X54=0,"-",ROUND((U54-X54)/ABS(X54),4))</f>
        <v>-</v>
      </c>
      <c r="W54" s="476"/>
      <c r="X54" s="850">
        <v>0</v>
      </c>
      <c r="Y54" s="538"/>
      <c r="Z54" s="538"/>
      <c r="AA54" s="538"/>
      <c r="AB54" s="538"/>
      <c r="AC54" s="538"/>
      <c r="AD54" s="538"/>
      <c r="AE54" s="538"/>
      <c r="AF54" s="538"/>
      <c r="AG54" s="538"/>
      <c r="AH54" s="538"/>
      <c r="AI54" s="538"/>
    </row>
    <row r="55" spans="1:35">
      <c r="A55" s="594">
        <v>38</v>
      </c>
      <c r="B55" s="538"/>
      <c r="C55" s="1323" t="s">
        <v>633</v>
      </c>
      <c r="D55" s="547">
        <v>0</v>
      </c>
      <c r="E55" s="547">
        <v>0</v>
      </c>
      <c r="F55" s="1324"/>
      <c r="G55" s="547">
        <v>0</v>
      </c>
      <c r="H55" s="476" t="str">
        <f>IF(J55=0,"-",ROUND((G55-J55)/ABS(J55),4))</f>
        <v>-</v>
      </c>
      <c r="I55" s="1323"/>
      <c r="J55" s="547">
        <v>0</v>
      </c>
      <c r="K55" s="476" t="str">
        <f>IF(M55=0,"-",ROUND((J55-M55)/ABS(M55),4))</f>
        <v>-</v>
      </c>
      <c r="L55" s="476"/>
      <c r="M55" s="547">
        <v>0</v>
      </c>
      <c r="N55" s="476" t="str">
        <f>IF(O55=0,"-",ROUND((M55-O55)/ABS(O55),4))</f>
        <v>-</v>
      </c>
      <c r="O55" s="547">
        <v>0</v>
      </c>
      <c r="P55" s="476" t="str">
        <f>IF(Q55=0,"-",ROUND((O55-Q55)/ABS(Q55),4))</f>
        <v>-</v>
      </c>
      <c r="Q55" s="547">
        <v>0</v>
      </c>
      <c r="R55" s="476" t="str">
        <f>IF(S55=0,"-",ROUND((Q55-S55)/ABS(S55),4))</f>
        <v>-</v>
      </c>
      <c r="S55" s="547">
        <v>0</v>
      </c>
      <c r="T55" s="476" t="str">
        <f>IF(U55=0,"-",ROUND((S55-U55)/ABS(U55),4))</f>
        <v>-</v>
      </c>
      <c r="U55" s="547">
        <v>0</v>
      </c>
      <c r="V55" s="476" t="str">
        <f>IF(X55=0,"-",ROUND((U55-X55)/ABS(X55),4))</f>
        <v>-</v>
      </c>
      <c r="W55" s="476"/>
      <c r="X55" s="850">
        <v>0</v>
      </c>
      <c r="Y55" s="538"/>
      <c r="Z55" s="538"/>
      <c r="AA55" s="538"/>
      <c r="AB55" s="538"/>
      <c r="AC55" s="538"/>
      <c r="AD55" s="538"/>
      <c r="AE55" s="538"/>
      <c r="AF55" s="538"/>
      <c r="AG55" s="538"/>
      <c r="AH55" s="538"/>
      <c r="AI55" s="538"/>
    </row>
    <row r="56" spans="1:35">
      <c r="A56" s="594">
        <v>39</v>
      </c>
      <c r="B56" s="538"/>
      <c r="C56" s="1323" t="s">
        <v>634</v>
      </c>
      <c r="D56" s="1326">
        <f>SUM(D54:D55)</f>
        <v>0</v>
      </c>
      <c r="E56" s="1326">
        <f>SUM(E54:E55)</f>
        <v>0</v>
      </c>
      <c r="F56" s="1324"/>
      <c r="G56" s="1326">
        <f>SUM(G54:G55)</f>
        <v>0</v>
      </c>
      <c r="H56" s="476" t="str">
        <f>IF(J56=0,"-",ROUND((G56-J56)/ABS(J56),4))</f>
        <v>-</v>
      </c>
      <c r="I56" s="1323"/>
      <c r="J56" s="1326">
        <f>SUM(J54:J55)</f>
        <v>0</v>
      </c>
      <c r="K56" s="476" t="str">
        <f>IF(M56=0,"-",ROUND((J56-M56)/ABS(M56),4))</f>
        <v>-</v>
      </c>
      <c r="L56" s="476"/>
      <c r="M56" s="1326">
        <f>SUM(M54:M55)</f>
        <v>0</v>
      </c>
      <c r="N56" s="476" t="str">
        <f>IF(O56=0,"-",ROUND((M56-O56)/ABS(O56),4))</f>
        <v>-</v>
      </c>
      <c r="O56" s="1326">
        <f>SUM(O54:O55)</f>
        <v>0</v>
      </c>
      <c r="P56" s="476" t="str">
        <f>IF(Q56=0,"-",ROUND((O56-Q56)/ABS(Q56),4))</f>
        <v>-</v>
      </c>
      <c r="Q56" s="1326">
        <f>SUM(Q54:Q55)</f>
        <v>0</v>
      </c>
      <c r="R56" s="476" t="str">
        <f>IF(S56=0,"-",ROUND((Q56-S56)/ABS(S56),4))</f>
        <v>-</v>
      </c>
      <c r="S56" s="1326">
        <f>SUM(S54:S55)</f>
        <v>0</v>
      </c>
      <c r="T56" s="476" t="str">
        <f>IF(U56=0,"-",ROUND((S56-U56)/ABS(U56),4))</f>
        <v>-</v>
      </c>
      <c r="U56" s="1326">
        <f>SUM(U54:U55)</f>
        <v>0</v>
      </c>
      <c r="V56" s="476" t="str">
        <f>IF(X56=0,"-",ROUND((U56-X56)/ABS(X56),4))</f>
        <v>-</v>
      </c>
      <c r="W56" s="476"/>
      <c r="X56" s="1326">
        <f>SUM(X54:X55)</f>
        <v>0</v>
      </c>
      <c r="Y56" s="538"/>
      <c r="Z56" s="538"/>
      <c r="AA56" s="538"/>
      <c r="AB56" s="538"/>
      <c r="AC56" s="538"/>
      <c r="AD56" s="538"/>
      <c r="AE56" s="538"/>
      <c r="AF56" s="538"/>
      <c r="AG56" s="538"/>
      <c r="AH56" s="538"/>
      <c r="AI56" s="538"/>
    </row>
    <row r="57" spans="1:35">
      <c r="A57" s="594"/>
      <c r="B57" s="538"/>
      <c r="C57" s="1323"/>
      <c r="D57" s="1324"/>
      <c r="E57" s="1324"/>
      <c r="F57" s="1324"/>
      <c r="G57" s="1324"/>
      <c r="H57" s="476"/>
      <c r="I57" s="1323"/>
      <c r="J57" s="1324"/>
      <c r="K57" s="476"/>
      <c r="L57" s="476"/>
      <c r="M57" s="1324"/>
      <c r="N57" s="476"/>
      <c r="O57" s="1324"/>
      <c r="P57" s="476"/>
      <c r="Q57" s="1324"/>
      <c r="R57" s="476"/>
      <c r="S57" s="1324"/>
      <c r="T57" s="476"/>
      <c r="U57" s="1324"/>
      <c r="V57" s="476"/>
      <c r="W57" s="476"/>
      <c r="X57" s="1324"/>
      <c r="Y57" s="538"/>
      <c r="Z57" s="538"/>
      <c r="AA57" s="538"/>
      <c r="AB57" s="538"/>
      <c r="AC57" s="538"/>
      <c r="AD57" s="538"/>
      <c r="AE57" s="538"/>
      <c r="AF57" s="538"/>
      <c r="AG57" s="538"/>
      <c r="AH57" s="538"/>
      <c r="AI57" s="538"/>
    </row>
    <row r="58" spans="1:35">
      <c r="A58" s="594">
        <v>40</v>
      </c>
      <c r="B58" s="538"/>
      <c r="C58" s="1339" t="s">
        <v>904</v>
      </c>
      <c r="D58" s="547"/>
      <c r="E58" s="547"/>
      <c r="F58" s="1324"/>
      <c r="G58" s="547"/>
      <c r="H58" s="476"/>
      <c r="I58" s="1323"/>
      <c r="J58" s="547"/>
      <c r="K58" s="476"/>
      <c r="L58" s="476"/>
      <c r="M58" s="547"/>
      <c r="N58" s="476"/>
      <c r="O58" s="547"/>
      <c r="P58" s="476"/>
      <c r="Q58" s="547"/>
      <c r="R58" s="476"/>
      <c r="S58" s="547"/>
      <c r="T58" s="476"/>
      <c r="U58" s="547"/>
      <c r="V58" s="476"/>
      <c r="W58" s="476"/>
      <c r="X58" s="547"/>
      <c r="Y58" s="538"/>
      <c r="Z58" s="538"/>
      <c r="AA58" s="538"/>
      <c r="AB58" s="538"/>
      <c r="AC58" s="538"/>
      <c r="AD58" s="538"/>
      <c r="AE58" s="538"/>
      <c r="AF58" s="538"/>
      <c r="AG58" s="538"/>
      <c r="AH58" s="538"/>
      <c r="AI58" s="538"/>
    </row>
    <row r="59" spans="1:35">
      <c r="A59" s="594">
        <v>41</v>
      </c>
      <c r="B59" s="538"/>
      <c r="C59" s="1323" t="s">
        <v>2419</v>
      </c>
      <c r="D59" s="547">
        <v>0</v>
      </c>
      <c r="E59" s="547">
        <v>0</v>
      </c>
      <c r="F59" s="1324"/>
      <c r="G59" s="547">
        <v>0</v>
      </c>
      <c r="H59" s="476" t="str">
        <f>IF(J59=0,"-",ROUND((G59-J59)/ABS(J59),4))</f>
        <v>-</v>
      </c>
      <c r="I59" s="1323"/>
      <c r="J59" s="547">
        <v>0</v>
      </c>
      <c r="K59" s="476" t="str">
        <f>IF(M59=0,"-",ROUND((J59-M59)/ABS(M59),4))</f>
        <v>-</v>
      </c>
      <c r="L59" s="476"/>
      <c r="M59" s="547">
        <v>0</v>
      </c>
      <c r="N59" s="476" t="str">
        <f>IF(O59=0,"-",ROUND((M59-O59)/ABS(O59),4))</f>
        <v>-</v>
      </c>
      <c r="O59" s="547">
        <v>0</v>
      </c>
      <c r="P59" s="476" t="str">
        <f>IF(Q59=0,"-",ROUND((O59-Q59)/ABS(Q59),4))</f>
        <v>-</v>
      </c>
      <c r="Q59" s="547">
        <v>0</v>
      </c>
      <c r="R59" s="476" t="str">
        <f>IF(S59=0,"-",ROUND((Q59-S59)/ABS(S59),4))</f>
        <v>-</v>
      </c>
      <c r="S59" s="547">
        <v>0</v>
      </c>
      <c r="T59" s="476" t="str">
        <f>IF(U59=0,"-",ROUND((S59-U59)/ABS(U59),4))</f>
        <v>-</v>
      </c>
      <c r="U59" s="547">
        <v>0</v>
      </c>
      <c r="V59" s="476" t="str">
        <f>IF(X59=0,"-",ROUND((U59-X59)/ABS(X59),4))</f>
        <v>-</v>
      </c>
      <c r="W59" s="476"/>
      <c r="X59" s="850">
        <v>0</v>
      </c>
      <c r="Y59" s="1323"/>
      <c r="Z59" s="538"/>
      <c r="AA59" s="538"/>
      <c r="AB59" s="538"/>
      <c r="AC59" s="538"/>
      <c r="AD59" s="538"/>
      <c r="AE59" s="538"/>
      <c r="AF59" s="538"/>
      <c r="AG59" s="538"/>
      <c r="AH59" s="538"/>
      <c r="AI59" s="538"/>
    </row>
    <row r="60" spans="1:35">
      <c r="A60" s="594">
        <v>42</v>
      </c>
      <c r="B60" s="538"/>
      <c r="C60" s="852" t="s">
        <v>951</v>
      </c>
      <c r="D60" s="547">
        <v>0</v>
      </c>
      <c r="E60" s="547">
        <v>0</v>
      </c>
      <c r="F60" s="1324"/>
      <c r="G60" s="547">
        <v>0</v>
      </c>
      <c r="H60" s="476" t="str">
        <f>IF(J60=0,"-",ROUND((G60-J60)/ABS(J60),4))</f>
        <v>-</v>
      </c>
      <c r="I60" s="1323"/>
      <c r="J60" s="547">
        <v>0</v>
      </c>
      <c r="K60" s="476" t="str">
        <f>IF(M60=0,"-",ROUND((J60-M60)/ABS(M60),4))</f>
        <v>-</v>
      </c>
      <c r="L60" s="476"/>
      <c r="M60" s="547">
        <v>0</v>
      </c>
      <c r="N60" s="476" t="str">
        <f>IF(O60=0,"-",ROUND((M60-O60)/ABS(O60),4))</f>
        <v>-</v>
      </c>
      <c r="O60" s="547">
        <v>0</v>
      </c>
      <c r="P60" s="476" t="str">
        <f>IF(Q60=0,"-",ROUND((O60-Q60)/ABS(Q60),4))</f>
        <v>-</v>
      </c>
      <c r="Q60" s="547">
        <v>0</v>
      </c>
      <c r="R60" s="476" t="str">
        <f>IF(S60=0,"-",ROUND((Q60-S60)/ABS(S60),4))</f>
        <v>-</v>
      </c>
      <c r="S60" s="547">
        <v>0</v>
      </c>
      <c r="T60" s="476" t="str">
        <f>IF(U60=0,"-",ROUND((S60-U60)/ABS(U60),4))</f>
        <v>-</v>
      </c>
      <c r="U60" s="547">
        <v>0</v>
      </c>
      <c r="V60" s="476" t="str">
        <f>IF(X60=0,"-",ROUND((U60-X60)/ABS(X60),4))</f>
        <v>-</v>
      </c>
      <c r="W60" s="476"/>
      <c r="X60" s="850">
        <v>0</v>
      </c>
      <c r="Y60" s="1323"/>
      <c r="Z60" s="538"/>
      <c r="AA60" s="538"/>
      <c r="AB60" s="538"/>
      <c r="AC60" s="538"/>
      <c r="AD60" s="538"/>
      <c r="AE60" s="538"/>
      <c r="AF60" s="538"/>
      <c r="AG60" s="538"/>
      <c r="AH60" s="538"/>
      <c r="AI60" s="538"/>
    </row>
    <row r="61" spans="1:35">
      <c r="A61" s="594">
        <v>43</v>
      </c>
      <c r="B61" s="538"/>
      <c r="C61" s="1323" t="s">
        <v>905</v>
      </c>
      <c r="D61" s="1326">
        <f>SUM(D59:D60)</f>
        <v>0</v>
      </c>
      <c r="E61" s="1326">
        <f>SUM(E59:E60)</f>
        <v>0</v>
      </c>
      <c r="F61" s="1324"/>
      <c r="G61" s="1326">
        <f>SUM(G59:G60)</f>
        <v>0</v>
      </c>
      <c r="H61" s="476" t="str">
        <f>IF(J61=0,"-",ROUND((G61-J61)/ABS(J61),4))</f>
        <v>-</v>
      </c>
      <c r="I61" s="1323"/>
      <c r="J61" s="1326">
        <f>SUM(J59:J60)</f>
        <v>0</v>
      </c>
      <c r="K61" s="476" t="str">
        <f>IF(M61=0,"-",ROUND((J61-M61)/ABS(M61),4))</f>
        <v>-</v>
      </c>
      <c r="L61" s="476"/>
      <c r="M61" s="1326">
        <f>SUM(M59:M60)</f>
        <v>0</v>
      </c>
      <c r="N61" s="476" t="str">
        <f>IF(O61=0,"-",ROUND((M61-O61)/ABS(O61),4))</f>
        <v>-</v>
      </c>
      <c r="O61" s="1326">
        <f>SUM(O59:O60)</f>
        <v>0</v>
      </c>
      <c r="P61" s="476" t="str">
        <f>IF(Q61=0,"-",ROUND((O61-Q61)/ABS(Q61),4))</f>
        <v>-</v>
      </c>
      <c r="Q61" s="1326">
        <f>SUM(Q59:Q60)</f>
        <v>0</v>
      </c>
      <c r="R61" s="476" t="str">
        <f>IF(S61=0,"-",ROUND((Q61-S61)/ABS(S61),4))</f>
        <v>-</v>
      </c>
      <c r="S61" s="1326">
        <f>SUM(S59:S60)</f>
        <v>0</v>
      </c>
      <c r="T61" s="476" t="str">
        <f>IF(U61=0,"-",ROUND((S61-U61)/ABS(U61),4))</f>
        <v>-</v>
      </c>
      <c r="U61" s="1326">
        <f>SUM(U59:U60)</f>
        <v>0</v>
      </c>
      <c r="V61" s="476" t="str">
        <f>IF(X61=0,"-",ROUND((U61-X61)/ABS(X61),4))</f>
        <v>-</v>
      </c>
      <c r="W61" s="476"/>
      <c r="X61" s="1326">
        <f>SUM(X59:X60)</f>
        <v>0</v>
      </c>
      <c r="Y61" s="538"/>
      <c r="Z61" s="538"/>
      <c r="AA61" s="538"/>
      <c r="AB61" s="538"/>
      <c r="AC61" s="538"/>
      <c r="AD61" s="538"/>
      <c r="AE61" s="538"/>
      <c r="AF61" s="538"/>
      <c r="AG61" s="538"/>
      <c r="AH61" s="538"/>
      <c r="AI61" s="538"/>
    </row>
    <row r="62" spans="1:35">
      <c r="A62" s="594">
        <v>44</v>
      </c>
      <c r="B62" s="538"/>
      <c r="C62" s="1323" t="s">
        <v>906</v>
      </c>
      <c r="D62" s="548">
        <f>D51-D56-D61</f>
        <v>4531117</v>
      </c>
      <c r="E62" s="548">
        <f>E51-E56-E61</f>
        <v>2360667</v>
      </c>
      <c r="F62" s="1324"/>
      <c r="G62" s="548">
        <f>G51-G56-G61</f>
        <v>5057328</v>
      </c>
      <c r="H62" s="476">
        <f>IF(J62=0,"-",ROUND((G62-J62)/ABS(J62),4))</f>
        <v>0.34760000000000002</v>
      </c>
      <c r="I62" s="1323"/>
      <c r="J62" s="548">
        <f>J51-J56-J61</f>
        <v>3752823</v>
      </c>
      <c r="K62" s="476">
        <f>IF(M62=0,"-",ROUND((J62-M62)/ABS(M62),4))</f>
        <v>2.6139999999999999</v>
      </c>
      <c r="L62" s="476"/>
      <c r="M62" s="548">
        <f>M51-M56-M61</f>
        <v>1038401</v>
      </c>
      <c r="N62" s="476">
        <f>IF(O62=0,"-",ROUND((M62-O62)/ABS(O62),4))</f>
        <v>0.83140000000000003</v>
      </c>
      <c r="O62" s="548">
        <f>O51-O56-O61</f>
        <v>566998</v>
      </c>
      <c r="P62" s="476">
        <f>IF(Q62=0,"-",ROUND((O62-Q62)/ABS(Q62),4))</f>
        <v>0.22869999999999999</v>
      </c>
      <c r="Q62" s="548">
        <f>Q51-Q56-Q61</f>
        <v>461444</v>
      </c>
      <c r="R62" s="476">
        <f>IF(S62=0,"-",ROUND((Q62-S62)/ABS(S62),4))</f>
        <v>1.0999999999999999E-2</v>
      </c>
      <c r="S62" s="548">
        <f>S51-S56-S61</f>
        <v>456409</v>
      </c>
      <c r="T62" s="476">
        <f>IF(U62=0,"-",ROUND((S62-U62)/ABS(U62),4))</f>
        <v>9.4700000000000006E-2</v>
      </c>
      <c r="U62" s="548">
        <f>U51-U56-U61</f>
        <v>416939</v>
      </c>
      <c r="V62" s="476">
        <f>IF(X62=0,"-",ROUND((U62-X62)/ABS(X62),4))</f>
        <v>2.5700000000000001E-2</v>
      </c>
      <c r="W62" s="476"/>
      <c r="X62" s="548">
        <f>X51-X56-X61</f>
        <v>406506</v>
      </c>
      <c r="Y62" s="538"/>
      <c r="Z62" s="538"/>
      <c r="AA62" s="538"/>
      <c r="AB62" s="538"/>
      <c r="AC62" s="538"/>
      <c r="AD62" s="538"/>
      <c r="AE62" s="538"/>
      <c r="AF62" s="538"/>
      <c r="AG62" s="538"/>
      <c r="AH62" s="538"/>
      <c r="AI62" s="538"/>
    </row>
    <row r="63" spans="1:35">
      <c r="A63" s="594"/>
      <c r="B63" s="538"/>
      <c r="C63" s="1323"/>
      <c r="D63" s="1324"/>
      <c r="E63" s="1324"/>
      <c r="F63" s="1324"/>
      <c r="G63" s="1324"/>
      <c r="H63" s="476"/>
      <c r="I63" s="1323"/>
      <c r="J63" s="1324"/>
      <c r="K63" s="476"/>
      <c r="L63" s="476"/>
      <c r="M63" s="1324"/>
      <c r="N63" s="476"/>
      <c r="O63" s="1324"/>
      <c r="P63" s="476"/>
      <c r="Q63" s="1324"/>
      <c r="R63" s="476"/>
      <c r="S63" s="1324"/>
      <c r="T63" s="476"/>
      <c r="U63" s="1324"/>
      <c r="V63" s="476"/>
      <c r="W63" s="476"/>
      <c r="X63" s="1324"/>
      <c r="Y63" s="538"/>
      <c r="Z63" s="538"/>
      <c r="AA63" s="538"/>
      <c r="AB63" s="538"/>
      <c r="AC63" s="538"/>
      <c r="AD63" s="538"/>
      <c r="AE63" s="538"/>
      <c r="AF63" s="538"/>
      <c r="AG63" s="538"/>
      <c r="AH63" s="538"/>
      <c r="AI63" s="538"/>
    </row>
    <row r="64" spans="1:35">
      <c r="A64" s="594">
        <v>45</v>
      </c>
      <c r="B64" s="538"/>
      <c r="C64" s="1340" t="s">
        <v>18</v>
      </c>
      <c r="D64" s="538"/>
      <c r="E64" s="538"/>
      <c r="F64" s="540"/>
      <c r="G64" s="538"/>
      <c r="H64" s="476"/>
      <c r="I64" s="1323"/>
      <c r="J64" s="538"/>
      <c r="K64" s="476"/>
      <c r="L64" s="476"/>
      <c r="M64" s="538"/>
      <c r="N64" s="476"/>
      <c r="O64" s="538"/>
      <c r="P64" s="476"/>
      <c r="Q64" s="538"/>
      <c r="R64" s="476"/>
      <c r="S64" s="538"/>
      <c r="T64" s="476"/>
      <c r="U64" s="538"/>
      <c r="V64" s="476"/>
      <c r="W64" s="476"/>
      <c r="X64" s="538"/>
      <c r="Y64" s="538"/>
      <c r="Z64" s="538"/>
      <c r="AA64" s="538"/>
      <c r="AB64" s="538"/>
      <c r="AC64" s="538"/>
      <c r="AD64" s="538"/>
      <c r="AE64" s="538"/>
      <c r="AF64" s="538"/>
      <c r="AG64" s="538"/>
      <c r="AH64" s="538"/>
      <c r="AI64" s="538"/>
    </row>
    <row r="65" spans="1:35">
      <c r="A65" s="594">
        <v>46</v>
      </c>
      <c r="B65" s="538"/>
      <c r="C65" s="1323" t="s">
        <v>907</v>
      </c>
      <c r="D65" s="547">
        <v>15028778</v>
      </c>
      <c r="E65" s="547">
        <v>14116206</v>
      </c>
      <c r="F65" s="1324"/>
      <c r="G65" s="547">
        <v>13553066</v>
      </c>
      <c r="H65" s="476">
        <f t="shared" ref="H65:H73" si="20">IF(J65=0,"-",ROUND((G65-J65)/ABS(J65),4))</f>
        <v>0.41260000000000002</v>
      </c>
      <c r="I65" s="1323"/>
      <c r="J65" s="547">
        <v>9594331</v>
      </c>
      <c r="K65" s="476">
        <f t="shared" ref="K65:K73" si="21">IF(M65=0,"-",ROUND((J65-M65)/ABS(M65),4))</f>
        <v>-6.8699999999999997E-2</v>
      </c>
      <c r="L65" s="476"/>
      <c r="M65" s="547">
        <v>10301829</v>
      </c>
      <c r="N65" s="476">
        <f t="shared" ref="N65:N73" si="22">IF(O65=0,"-",ROUND((M65-O65)/ABS(O65),4))</f>
        <v>0.1308</v>
      </c>
      <c r="O65" s="547">
        <v>9110361</v>
      </c>
      <c r="P65" s="476">
        <f t="shared" ref="P65:P73" si="23">IF(Q65=0,"-",ROUND((O65-Q65)/ABS(Q65),4))</f>
        <v>-0.1353</v>
      </c>
      <c r="Q65" s="547">
        <v>10535954</v>
      </c>
      <c r="R65" s="476">
        <f t="shared" ref="R65:R73" si="24">IF(S65=0,"-",ROUND((Q65-S65)/ABS(S65),4))</f>
        <v>-6.8999999999999999E-3</v>
      </c>
      <c r="S65" s="547">
        <v>10609493</v>
      </c>
      <c r="T65" s="476">
        <f t="shared" ref="T65:T73" si="25">IF(U65=0,"-",ROUND((S65-U65)/ABS(U65),4))</f>
        <v>-1.6000000000000001E-3</v>
      </c>
      <c r="U65" s="547">
        <v>10626720</v>
      </c>
      <c r="V65" s="476">
        <f t="shared" ref="V65:V73" si="26">IF(X65=0,"-",ROUND((U65-X65)/ABS(X65),4))</f>
        <v>2.69E-2</v>
      </c>
      <c r="W65" s="476"/>
      <c r="X65" s="850">
        <v>10347995</v>
      </c>
      <c r="Y65" s="1323"/>
      <c r="Z65" s="538"/>
      <c r="AA65" s="538"/>
      <c r="AB65" s="538"/>
      <c r="AC65" s="538"/>
      <c r="AD65" s="538"/>
      <c r="AE65" s="538"/>
      <c r="AF65" s="538"/>
      <c r="AG65" s="538"/>
      <c r="AH65" s="538"/>
      <c r="AI65" s="538"/>
    </row>
    <row r="66" spans="1:35">
      <c r="A66" s="594">
        <v>47</v>
      </c>
      <c r="B66" s="538"/>
      <c r="C66" s="1323" t="s">
        <v>1726</v>
      </c>
      <c r="D66" s="547">
        <v>194287</v>
      </c>
      <c r="E66" s="547">
        <v>278700</v>
      </c>
      <c r="F66" s="1324"/>
      <c r="G66" s="547">
        <v>316031</v>
      </c>
      <c r="H66" s="476">
        <f t="shared" si="20"/>
        <v>3.7600000000000001E-2</v>
      </c>
      <c r="I66" s="1323"/>
      <c r="J66" s="547">
        <v>304591</v>
      </c>
      <c r="K66" s="476">
        <f t="shared" si="21"/>
        <v>-0.45629999999999998</v>
      </c>
      <c r="L66" s="476"/>
      <c r="M66" s="547">
        <v>560246</v>
      </c>
      <c r="N66" s="476">
        <f t="shared" si="22"/>
        <v>0.79149999999999998</v>
      </c>
      <c r="O66" s="547">
        <v>312733</v>
      </c>
      <c r="P66" s="476">
        <f t="shared" si="23"/>
        <v>-2.92E-2</v>
      </c>
      <c r="Q66" s="547">
        <v>322138</v>
      </c>
      <c r="R66" s="476">
        <f t="shared" si="24"/>
        <v>-0.1211</v>
      </c>
      <c r="S66" s="547">
        <v>366535</v>
      </c>
      <c r="T66" s="476">
        <f t="shared" si="25"/>
        <v>-5.1499999999999997E-2</v>
      </c>
      <c r="U66" s="547">
        <v>386436</v>
      </c>
      <c r="V66" s="476">
        <f t="shared" si="26"/>
        <v>0.75160000000000005</v>
      </c>
      <c r="W66" s="476"/>
      <c r="X66" s="850">
        <v>220621</v>
      </c>
      <c r="Y66" s="1323"/>
      <c r="Z66" s="538"/>
      <c r="AA66" s="538"/>
      <c r="AB66" s="538"/>
      <c r="AC66" s="538"/>
      <c r="AD66" s="538"/>
      <c r="AE66" s="538"/>
      <c r="AF66" s="538"/>
      <c r="AG66" s="538"/>
      <c r="AH66" s="538"/>
      <c r="AI66" s="538"/>
    </row>
    <row r="67" spans="1:35">
      <c r="A67" s="594">
        <v>48</v>
      </c>
      <c r="B67" s="538"/>
      <c r="C67" s="1323" t="s">
        <v>1727</v>
      </c>
      <c r="D67" s="547">
        <v>0</v>
      </c>
      <c r="E67" s="547">
        <v>0</v>
      </c>
      <c r="F67" s="1324"/>
      <c r="G67" s="547">
        <v>0</v>
      </c>
      <c r="H67" s="476" t="str">
        <f t="shared" si="20"/>
        <v>-</v>
      </c>
      <c r="I67" s="1323"/>
      <c r="J67" s="547">
        <v>0</v>
      </c>
      <c r="K67" s="476">
        <f t="shared" si="21"/>
        <v>-1</v>
      </c>
      <c r="L67" s="476"/>
      <c r="M67" s="547">
        <v>199504</v>
      </c>
      <c r="N67" s="476">
        <f t="shared" si="22"/>
        <v>0</v>
      </c>
      <c r="O67" s="547">
        <v>199504</v>
      </c>
      <c r="P67" s="476">
        <f t="shared" si="23"/>
        <v>0</v>
      </c>
      <c r="Q67" s="547">
        <v>199504</v>
      </c>
      <c r="R67" s="476">
        <f t="shared" si="24"/>
        <v>-3.5200000000000002E-2</v>
      </c>
      <c r="S67" s="547">
        <v>206774</v>
      </c>
      <c r="T67" s="476">
        <f t="shared" si="25"/>
        <v>-2.46E-2</v>
      </c>
      <c r="U67" s="547">
        <v>211984</v>
      </c>
      <c r="V67" s="476">
        <f t="shared" si="26"/>
        <v>0</v>
      </c>
      <c r="W67" s="476"/>
      <c r="X67" s="850">
        <v>211984</v>
      </c>
      <c r="Y67" s="538"/>
      <c r="Z67" s="538"/>
      <c r="AA67" s="538"/>
      <c r="AB67" s="538"/>
      <c r="AC67" s="538"/>
      <c r="AD67" s="538"/>
      <c r="AE67" s="538"/>
      <c r="AF67" s="538"/>
      <c r="AG67" s="538"/>
      <c r="AH67" s="538"/>
      <c r="AI67" s="538"/>
    </row>
    <row r="68" spans="1:35">
      <c r="A68" s="594">
        <v>49</v>
      </c>
      <c r="B68" s="538"/>
      <c r="C68" s="1323" t="s">
        <v>1728</v>
      </c>
      <c r="D68" s="547">
        <v>0</v>
      </c>
      <c r="E68" s="547">
        <v>0</v>
      </c>
      <c r="F68" s="1324"/>
      <c r="G68" s="547">
        <v>0</v>
      </c>
      <c r="H68" s="476" t="str">
        <f t="shared" si="20"/>
        <v>-</v>
      </c>
      <c r="I68" s="1323"/>
      <c r="J68" s="547">
        <v>0</v>
      </c>
      <c r="K68" s="476" t="str">
        <f t="shared" si="21"/>
        <v>-</v>
      </c>
      <c r="L68" s="476"/>
      <c r="M68" s="547">
        <v>0</v>
      </c>
      <c r="N68" s="476" t="str">
        <f t="shared" si="22"/>
        <v>-</v>
      </c>
      <c r="O68" s="547">
        <v>0</v>
      </c>
      <c r="P68" s="476" t="str">
        <f t="shared" si="23"/>
        <v>-</v>
      </c>
      <c r="Q68" s="547">
        <v>0</v>
      </c>
      <c r="R68" s="476" t="str">
        <f t="shared" si="24"/>
        <v>-</v>
      </c>
      <c r="S68" s="547">
        <v>0</v>
      </c>
      <c r="T68" s="476" t="str">
        <f t="shared" si="25"/>
        <v>-</v>
      </c>
      <c r="U68" s="547">
        <v>0</v>
      </c>
      <c r="V68" s="476" t="str">
        <f t="shared" si="26"/>
        <v>-</v>
      </c>
      <c r="W68" s="476"/>
      <c r="X68" s="850">
        <v>0</v>
      </c>
      <c r="Y68" s="538"/>
      <c r="Z68" s="538"/>
      <c r="AA68" s="538"/>
      <c r="AB68" s="538"/>
      <c r="AC68" s="538"/>
      <c r="AD68" s="538"/>
      <c r="AE68" s="538"/>
      <c r="AF68" s="538"/>
      <c r="AG68" s="538"/>
      <c r="AH68" s="538"/>
      <c r="AI68" s="538"/>
    </row>
    <row r="69" spans="1:35">
      <c r="A69" s="594">
        <v>50</v>
      </c>
      <c r="B69" s="538"/>
      <c r="C69" s="1323" t="s">
        <v>1729</v>
      </c>
      <c r="D69" s="547">
        <v>1347532</v>
      </c>
      <c r="E69" s="547">
        <v>1442433</v>
      </c>
      <c r="F69" s="1324"/>
      <c r="G69" s="547">
        <v>1001348</v>
      </c>
      <c r="H69" s="476">
        <f t="shared" si="20"/>
        <v>1.8985000000000001</v>
      </c>
      <c r="I69" s="1323"/>
      <c r="J69" s="547">
        <v>345474</v>
      </c>
      <c r="K69" s="476">
        <f t="shared" si="21"/>
        <v>1.0141</v>
      </c>
      <c r="L69" s="476"/>
      <c r="M69" s="547">
        <v>171527</v>
      </c>
      <c r="N69" s="476">
        <f t="shared" si="22"/>
        <v>0.21010000000000001</v>
      </c>
      <c r="O69" s="547">
        <v>141751</v>
      </c>
      <c r="P69" s="476">
        <f t="shared" si="23"/>
        <v>10.636100000000001</v>
      </c>
      <c r="Q69" s="547">
        <v>12182</v>
      </c>
      <c r="R69" s="476">
        <f t="shared" si="24"/>
        <v>18.5852</v>
      </c>
      <c r="S69" s="547">
        <v>622</v>
      </c>
      <c r="T69" s="476">
        <f t="shared" si="25"/>
        <v>-0.52559999999999996</v>
      </c>
      <c r="U69" s="547">
        <v>1311</v>
      </c>
      <c r="V69" s="476" t="str">
        <f t="shared" si="26"/>
        <v>-</v>
      </c>
      <c r="W69" s="476"/>
      <c r="X69" s="850">
        <v>0</v>
      </c>
      <c r="Y69" s="538"/>
      <c r="Z69" s="538"/>
      <c r="AA69" s="538"/>
      <c r="AB69" s="538"/>
      <c r="AC69" s="538"/>
      <c r="AD69" s="538"/>
      <c r="AE69" s="538"/>
      <c r="AF69" s="538"/>
      <c r="AG69" s="538"/>
      <c r="AH69" s="538"/>
      <c r="AI69" s="538"/>
    </row>
    <row r="70" spans="1:35">
      <c r="A70" s="594">
        <v>51</v>
      </c>
      <c r="B70" s="538"/>
      <c r="C70" s="1323" t="s">
        <v>635</v>
      </c>
      <c r="D70" s="547">
        <v>1095740</v>
      </c>
      <c r="E70" s="547">
        <v>921883</v>
      </c>
      <c r="F70" s="1324"/>
      <c r="G70" s="547">
        <v>731962</v>
      </c>
      <c r="H70" s="476">
        <f t="shared" si="20"/>
        <v>15.5703</v>
      </c>
      <c r="I70" s="1323"/>
      <c r="J70" s="547">
        <v>44173</v>
      </c>
      <c r="K70" s="476">
        <f t="shared" si="21"/>
        <v>-0.96030000000000004</v>
      </c>
      <c r="L70" s="476"/>
      <c r="M70" s="547">
        <v>1112514</v>
      </c>
      <c r="N70" s="476">
        <f t="shared" si="22"/>
        <v>-0.15329999999999999</v>
      </c>
      <c r="O70" s="547">
        <v>1313971</v>
      </c>
      <c r="P70" s="476">
        <f t="shared" si="23"/>
        <v>-2.0799999999999999E-2</v>
      </c>
      <c r="Q70" s="547">
        <v>1341885</v>
      </c>
      <c r="R70" s="476">
        <f t="shared" si="24"/>
        <v>0.41270000000000001</v>
      </c>
      <c r="S70" s="547">
        <v>949902</v>
      </c>
      <c r="T70" s="476">
        <f t="shared" si="25"/>
        <v>-0.53639999999999999</v>
      </c>
      <c r="U70" s="547">
        <v>2049002</v>
      </c>
      <c r="V70" s="476">
        <f t="shared" si="26"/>
        <v>-0.17219999999999999</v>
      </c>
      <c r="W70" s="476"/>
      <c r="X70" s="850">
        <v>2475273</v>
      </c>
      <c r="Y70" s="538"/>
      <c r="Z70" s="538"/>
      <c r="AA70" s="538"/>
      <c r="AB70" s="538"/>
      <c r="AC70" s="538"/>
      <c r="AD70" s="538"/>
      <c r="AE70" s="538"/>
      <c r="AF70" s="538"/>
      <c r="AG70" s="538"/>
      <c r="AH70" s="538"/>
      <c r="AI70" s="538"/>
    </row>
    <row r="71" spans="1:35">
      <c r="A71" s="594">
        <v>52</v>
      </c>
      <c r="B71" s="538"/>
      <c r="C71" s="1323" t="s">
        <v>2415</v>
      </c>
      <c r="D71" s="547">
        <v>-1119779</v>
      </c>
      <c r="E71" s="547">
        <v>-321251</v>
      </c>
      <c r="F71" s="1324"/>
      <c r="G71" s="547">
        <v>-1410937</v>
      </c>
      <c r="H71" s="476">
        <f t="shared" si="20"/>
        <v>-0.2477</v>
      </c>
      <c r="I71" s="1323"/>
      <c r="J71" s="547">
        <v>-1130857</v>
      </c>
      <c r="K71" s="476">
        <f t="shared" si="21"/>
        <v>-1.5876999999999999</v>
      </c>
      <c r="L71" s="476"/>
      <c r="M71" s="547">
        <v>-437011</v>
      </c>
      <c r="N71" s="476">
        <f t="shared" si="22"/>
        <v>-1.1367</v>
      </c>
      <c r="O71" s="547">
        <v>-204528</v>
      </c>
      <c r="P71" s="476">
        <f t="shared" si="23"/>
        <v>6.5199999999999994E-2</v>
      </c>
      <c r="Q71" s="547">
        <v>-218794</v>
      </c>
      <c r="R71" s="476">
        <f t="shared" si="24"/>
        <v>-5.1299999999999998E-2</v>
      </c>
      <c r="S71" s="547">
        <v>-208115</v>
      </c>
      <c r="T71" s="476">
        <f t="shared" si="25"/>
        <v>0.1991</v>
      </c>
      <c r="U71" s="547">
        <v>-259844</v>
      </c>
      <c r="V71" s="476">
        <f t="shared" si="26"/>
        <v>-0.55310000000000004</v>
      </c>
      <c r="W71" s="476"/>
      <c r="X71" s="850">
        <v>-167303</v>
      </c>
      <c r="Y71" s="538"/>
      <c r="Z71" s="538"/>
      <c r="AA71" s="538"/>
      <c r="AB71" s="538"/>
      <c r="AC71" s="538"/>
      <c r="AD71" s="538"/>
      <c r="AE71" s="538"/>
      <c r="AF71" s="538"/>
      <c r="AG71" s="538"/>
      <c r="AH71" s="538"/>
      <c r="AI71" s="538"/>
    </row>
    <row r="72" spans="1:35">
      <c r="A72" s="594">
        <v>53</v>
      </c>
      <c r="B72" s="538"/>
      <c r="C72" s="1323" t="s">
        <v>1348</v>
      </c>
      <c r="D72" s="1326">
        <f>SUM(D65:D71)</f>
        <v>16546558</v>
      </c>
      <c r="E72" s="1326">
        <f>SUM(E65:E71)</f>
        <v>16437971</v>
      </c>
      <c r="F72" s="1324"/>
      <c r="G72" s="1326">
        <f>SUM(G65:G71)</f>
        <v>14191470</v>
      </c>
      <c r="H72" s="476">
        <f t="shared" si="20"/>
        <v>0.54969999999999997</v>
      </c>
      <c r="I72" s="1323"/>
      <c r="J72" s="1326">
        <f>SUM(J65:J71)</f>
        <v>9157712</v>
      </c>
      <c r="K72" s="476">
        <f t="shared" si="21"/>
        <v>-0.23100000000000001</v>
      </c>
      <c r="L72" s="476"/>
      <c r="M72" s="1326">
        <f>SUM(M65:M71)</f>
        <v>11908609</v>
      </c>
      <c r="N72" s="476">
        <f t="shared" si="22"/>
        <v>9.5200000000000007E-2</v>
      </c>
      <c r="O72" s="1326">
        <f>SUM(O65:O71)</f>
        <v>10873792</v>
      </c>
      <c r="P72" s="476">
        <f t="shared" si="23"/>
        <v>-0.1082</v>
      </c>
      <c r="Q72" s="1326">
        <f>SUM(Q65:Q71)</f>
        <v>12192869</v>
      </c>
      <c r="R72" s="476">
        <f t="shared" si="24"/>
        <v>2.24E-2</v>
      </c>
      <c r="S72" s="1326">
        <f>SUM(S65:S71)</f>
        <v>11925211</v>
      </c>
      <c r="T72" s="476">
        <f t="shared" si="25"/>
        <v>-8.3799999999999999E-2</v>
      </c>
      <c r="U72" s="1326">
        <f>SUM(U65:U71)</f>
        <v>13015609</v>
      </c>
      <c r="V72" s="476">
        <f t="shared" si="26"/>
        <v>-5.5999999999999999E-3</v>
      </c>
      <c r="W72" s="476"/>
      <c r="X72" s="1326">
        <f>SUM(X65:X71)</f>
        <v>13088570</v>
      </c>
      <c r="Y72" s="538"/>
      <c r="Z72" s="538"/>
      <c r="AA72" s="538"/>
      <c r="AB72" s="538"/>
      <c r="AC72" s="538"/>
      <c r="AD72" s="538"/>
      <c r="AE72" s="538"/>
      <c r="AF72" s="538"/>
      <c r="AG72" s="538"/>
      <c r="AH72" s="538"/>
      <c r="AI72" s="538"/>
    </row>
    <row r="73" spans="1:35" ht="13.5" thickBot="1">
      <c r="A73" s="594">
        <v>54</v>
      </c>
      <c r="B73" s="538"/>
      <c r="C73" s="1323" t="s">
        <v>2420</v>
      </c>
      <c r="D73" s="550">
        <f>D41+D62-D72</f>
        <v>45024314</v>
      </c>
      <c r="E73" s="550">
        <f>E41+E62-E72</f>
        <v>36302715</v>
      </c>
      <c r="F73" s="1324"/>
      <c r="G73" s="550">
        <f ca="1">G41+G62-G72</f>
        <v>10078537</v>
      </c>
      <c r="H73" s="476">
        <f t="shared" ca="1" si="20"/>
        <v>-0.67469999999999997</v>
      </c>
      <c r="I73" s="1323"/>
      <c r="J73" s="550">
        <f>J41+J62-J72</f>
        <v>30983019</v>
      </c>
      <c r="K73" s="476">
        <f t="shared" si="21"/>
        <v>-8.2400000000000001E-2</v>
      </c>
      <c r="L73" s="476"/>
      <c r="M73" s="550">
        <f>M41+M62-M72</f>
        <v>33764877</v>
      </c>
      <c r="N73" s="476">
        <f t="shared" si="22"/>
        <v>-6.3100000000000003E-2</v>
      </c>
      <c r="O73" s="550">
        <f>O41+O62-O72</f>
        <v>36039922</v>
      </c>
      <c r="P73" s="476">
        <f t="shared" si="23"/>
        <v>0.62749999999999995</v>
      </c>
      <c r="Q73" s="550">
        <f>Q41+Q62-Q72</f>
        <v>22144612</v>
      </c>
      <c r="R73" s="476">
        <f t="shared" si="24"/>
        <v>-0.2959</v>
      </c>
      <c r="S73" s="550">
        <f>S41+S62-S72</f>
        <v>31449309</v>
      </c>
      <c r="T73" s="476">
        <f t="shared" si="25"/>
        <v>-4.3499999999999997E-2</v>
      </c>
      <c r="U73" s="550">
        <f>U41+U62-U72</f>
        <v>32878479</v>
      </c>
      <c r="V73" s="476">
        <f t="shared" si="26"/>
        <v>0.83289999999999997</v>
      </c>
      <c r="W73" s="476"/>
      <c r="X73" s="550">
        <f>X41+X62-X72</f>
        <v>17937667</v>
      </c>
      <c r="Y73" s="538"/>
      <c r="Z73" s="538"/>
      <c r="AA73" s="538"/>
      <c r="AB73" s="538"/>
      <c r="AC73" s="538"/>
      <c r="AD73" s="538"/>
      <c r="AE73" s="538"/>
      <c r="AF73" s="538"/>
      <c r="AG73" s="538"/>
      <c r="AH73" s="538"/>
      <c r="AI73" s="538"/>
    </row>
    <row r="74" spans="1:35" ht="13.5" thickTop="1">
      <c r="A74" s="538"/>
      <c r="B74" s="538"/>
      <c r="C74" s="538"/>
      <c r="D74" s="547"/>
      <c r="E74" s="547"/>
      <c r="F74" s="1324"/>
      <c r="G74" s="547"/>
      <c r="H74" s="538"/>
      <c r="I74" s="538"/>
      <c r="J74" s="547"/>
      <c r="K74" s="848"/>
      <c r="L74" s="848"/>
      <c r="M74" s="547"/>
      <c r="N74" s="848"/>
      <c r="O74" s="547"/>
      <c r="P74" s="848"/>
      <c r="Q74" s="547"/>
      <c r="R74" s="848"/>
      <c r="S74" s="547"/>
      <c r="T74" s="848"/>
      <c r="U74" s="547"/>
      <c r="V74" s="848"/>
      <c r="W74" s="848"/>
      <c r="X74" s="547"/>
      <c r="Y74" s="538"/>
      <c r="Z74" s="538"/>
      <c r="AA74" s="538"/>
      <c r="AB74" s="538"/>
      <c r="AC74" s="538"/>
      <c r="AD74" s="538"/>
      <c r="AE74" s="538"/>
      <c r="AF74" s="538"/>
      <c r="AG74" s="538"/>
      <c r="AH74" s="538"/>
      <c r="AI74" s="538"/>
    </row>
    <row r="75" spans="1:35">
      <c r="A75" s="544">
        <v>55</v>
      </c>
      <c r="B75" s="538"/>
      <c r="C75" s="1382" t="s">
        <v>2608</v>
      </c>
      <c r="D75" s="547">
        <f>SCH_I4!N24/1000</f>
        <v>4076698.5490000001</v>
      </c>
      <c r="E75" s="547">
        <f>SCH_I4!M24/1000</f>
        <v>4090009.216</v>
      </c>
      <c r="F75" s="1324"/>
      <c r="G75" s="547">
        <f>SCH_I4!K24/1000</f>
        <v>4087791.4649999999</v>
      </c>
      <c r="H75" s="538"/>
      <c r="I75" s="538"/>
      <c r="J75" s="547">
        <f>SCH_I4!I24/1000</f>
        <v>3974919.5630000001</v>
      </c>
      <c r="K75" s="848"/>
      <c r="L75" s="848"/>
      <c r="M75" s="547">
        <f>SCH_I4!G24/1000</f>
        <v>4065161.01</v>
      </c>
      <c r="N75" s="848"/>
      <c r="O75" s="547">
        <f>SCH_I4!F24/1000</f>
        <v>4043221.8659999999</v>
      </c>
      <c r="P75" s="848"/>
      <c r="Q75" s="547">
        <f>SCH_I4!E24/1000</f>
        <v>4073157.81</v>
      </c>
      <c r="R75" s="848"/>
      <c r="S75" s="547">
        <f>SCH_I4!D24/1000</f>
        <v>4034477.699</v>
      </c>
      <c r="T75" s="848"/>
      <c r="U75" s="547">
        <f>SCH_I4!C24/1000</f>
        <v>3980505.13</v>
      </c>
      <c r="V75" s="848"/>
      <c r="W75" s="848"/>
      <c r="X75" s="547"/>
      <c r="Y75" s="538"/>
      <c r="Z75" s="538"/>
      <c r="AA75" s="538"/>
      <c r="AB75" s="538"/>
      <c r="AC75" s="538"/>
      <c r="AD75" s="538"/>
      <c r="AE75" s="538"/>
      <c r="AF75" s="538"/>
      <c r="AG75" s="538"/>
      <c r="AH75" s="538"/>
      <c r="AI75" s="538"/>
    </row>
    <row r="76" spans="1:35">
      <c r="A76" s="544">
        <v>56</v>
      </c>
      <c r="B76" s="538"/>
      <c r="C76" s="538" t="s">
        <v>2421</v>
      </c>
      <c r="D76" s="1343">
        <f t="shared" ref="D76:E76" si="27">D73/D75</f>
        <v>11.044307902296163</v>
      </c>
      <c r="E76" s="1343">
        <f t="shared" si="27"/>
        <v>8.8759494374694334</v>
      </c>
      <c r="F76" s="1324"/>
      <c r="G76" s="1343">
        <f ca="1">G73/G75</f>
        <v>2.4655213178786752</v>
      </c>
      <c r="H76" s="538"/>
      <c r="I76" s="538"/>
      <c r="J76" s="1343">
        <f>J73/J75</f>
        <v>7.794627918612802</v>
      </c>
      <c r="K76" s="848"/>
      <c r="L76" s="848"/>
      <c r="M76" s="1343">
        <f>M73/M75</f>
        <v>8.3059138166829953</v>
      </c>
      <c r="N76" s="848"/>
      <c r="O76" s="1343">
        <f>O73/O75</f>
        <v>8.9136642000936384</v>
      </c>
      <c r="P76" s="848"/>
      <c r="Q76" s="1343">
        <f>Q73/Q75</f>
        <v>5.4367183971199973</v>
      </c>
      <c r="R76" s="848"/>
      <c r="S76" s="1343">
        <f>S73/S75</f>
        <v>7.7951376476303578</v>
      </c>
      <c r="T76" s="45"/>
      <c r="U76" s="1343">
        <f>U73/U75</f>
        <v>8.2598760524647279</v>
      </c>
      <c r="V76" s="848"/>
      <c r="W76" s="848"/>
      <c r="X76" s="547"/>
      <c r="Y76" s="538"/>
      <c r="Z76" s="538"/>
      <c r="AA76" s="538"/>
      <c r="AB76" s="538"/>
      <c r="AC76" s="538"/>
      <c r="AD76" s="538"/>
      <c r="AE76" s="538"/>
      <c r="AF76" s="538"/>
      <c r="AG76" s="538"/>
      <c r="AH76" s="538"/>
      <c r="AI76" s="538"/>
    </row>
    <row r="77" spans="1:35">
      <c r="A77" s="538"/>
      <c r="B77" s="538"/>
      <c r="C77" s="538"/>
      <c r="D77" s="547"/>
      <c r="E77" s="547"/>
      <c r="F77" s="1324"/>
      <c r="G77" s="547"/>
      <c r="H77" s="538"/>
      <c r="I77" s="538"/>
      <c r="J77" s="547"/>
      <c r="K77" s="848"/>
      <c r="L77" s="848"/>
      <c r="M77" s="547"/>
      <c r="N77" s="848"/>
      <c r="O77" s="547"/>
      <c r="P77" s="848"/>
      <c r="Q77" s="547"/>
      <c r="R77" s="848"/>
      <c r="S77" s="547"/>
      <c r="T77" s="848"/>
      <c r="U77" s="547"/>
      <c r="V77" s="848"/>
      <c r="W77" s="848"/>
      <c r="X77" s="547"/>
      <c r="Y77" s="538"/>
      <c r="Z77" s="538"/>
      <c r="AA77" s="538"/>
      <c r="AB77" s="538"/>
      <c r="AC77" s="538"/>
      <c r="AD77" s="538"/>
      <c r="AE77" s="538"/>
      <c r="AF77" s="538"/>
      <c r="AG77" s="538"/>
      <c r="AH77" s="538"/>
      <c r="AI77" s="538"/>
    </row>
    <row r="78" spans="1:35" ht="14.25">
      <c r="A78" s="854"/>
      <c r="B78" s="538"/>
      <c r="C78" s="855"/>
      <c r="D78" s="538"/>
      <c r="E78" s="538"/>
      <c r="F78" s="540"/>
      <c r="G78" s="538"/>
      <c r="H78" s="538"/>
      <c r="I78" s="538"/>
      <c r="J78" s="851" t="s">
        <v>529</v>
      </c>
      <c r="K78" s="848"/>
      <c r="L78" s="848"/>
      <c r="M78" s="547"/>
      <c r="N78" s="848"/>
      <c r="O78" s="547"/>
      <c r="P78" s="848"/>
      <c r="Q78" s="547"/>
      <c r="R78" s="848"/>
      <c r="S78" s="547"/>
      <c r="T78" s="848"/>
      <c r="U78" s="547"/>
      <c r="V78" s="848"/>
      <c r="W78" s="848"/>
      <c r="X78" s="538"/>
      <c r="Y78" s="538"/>
      <c r="Z78" s="538"/>
      <c r="AA78" s="538"/>
      <c r="AB78" s="538"/>
      <c r="AC78" s="538"/>
      <c r="AD78" s="538"/>
      <c r="AE78" s="538"/>
      <c r="AF78" s="538"/>
      <c r="AG78" s="538"/>
      <c r="AH78" s="538"/>
      <c r="AI78" s="538"/>
    </row>
    <row r="79" spans="1:35">
      <c r="A79" s="538"/>
      <c r="B79" s="538"/>
      <c r="C79" s="538"/>
      <c r="D79" s="538"/>
      <c r="E79" s="538"/>
      <c r="F79" s="540"/>
      <c r="G79" s="538"/>
      <c r="H79" s="538"/>
      <c r="I79" s="538"/>
      <c r="J79" s="547"/>
      <c r="K79" s="1324"/>
      <c r="L79" s="1324"/>
      <c r="M79" s="848"/>
      <c r="N79" s="547"/>
      <c r="O79" s="848"/>
      <c r="P79" s="547"/>
      <c r="Q79" s="848"/>
      <c r="R79" s="547"/>
      <c r="S79" s="848"/>
      <c r="T79" s="547"/>
      <c r="U79" s="848"/>
      <c r="V79" s="538"/>
      <c r="W79" s="538"/>
      <c r="X79" s="538"/>
      <c r="Y79" s="538"/>
      <c r="Z79" s="538"/>
      <c r="AA79" s="538"/>
      <c r="AB79" s="538"/>
      <c r="AC79" s="538"/>
      <c r="AD79" s="538"/>
      <c r="AE79" s="538"/>
      <c r="AF79" s="538"/>
      <c r="AG79" s="538"/>
      <c r="AH79" s="538"/>
      <c r="AI79" s="538"/>
    </row>
    <row r="80" spans="1:35">
      <c r="A80" s="538"/>
      <c r="B80" s="538"/>
      <c r="C80" s="538"/>
      <c r="D80" s="538"/>
      <c r="E80" s="538"/>
      <c r="F80" s="540"/>
      <c r="G80" s="538"/>
      <c r="H80" s="538"/>
      <c r="I80" s="538"/>
      <c r="J80" s="547"/>
      <c r="K80" s="1324"/>
      <c r="L80" s="1324"/>
      <c r="M80" s="848"/>
      <c r="N80" s="547"/>
      <c r="O80" s="848"/>
      <c r="P80" s="547"/>
      <c r="Q80" s="848"/>
      <c r="R80" s="547"/>
      <c r="S80" s="848"/>
      <c r="T80" s="547"/>
      <c r="U80" s="848"/>
      <c r="V80" s="538"/>
      <c r="W80" s="538"/>
      <c r="X80" s="538"/>
      <c r="Y80" s="538"/>
      <c r="Z80" s="538"/>
      <c r="AA80" s="538"/>
      <c r="AB80" s="538"/>
      <c r="AC80" s="538"/>
      <c r="AD80" s="538"/>
      <c r="AE80" s="538"/>
      <c r="AF80" s="538"/>
      <c r="AG80" s="538"/>
      <c r="AH80" s="538"/>
      <c r="AI80" s="538"/>
    </row>
    <row r="81" spans="1:35">
      <c r="A81" s="538"/>
      <c r="B81" s="538"/>
      <c r="C81" s="538"/>
      <c r="D81" s="538"/>
      <c r="E81" s="538"/>
      <c r="F81" s="540"/>
      <c r="G81" s="538"/>
      <c r="H81" s="538"/>
      <c r="I81" s="538"/>
      <c r="J81" s="538"/>
      <c r="K81" s="540"/>
      <c r="L81" s="540"/>
      <c r="M81" s="588"/>
      <c r="N81" s="538"/>
      <c r="O81" s="588"/>
      <c r="P81" s="538"/>
      <c r="Q81" s="588"/>
      <c r="R81" s="538"/>
      <c r="S81" s="588"/>
      <c r="T81" s="538"/>
      <c r="U81" s="588"/>
      <c r="V81" s="538"/>
      <c r="W81" s="538"/>
      <c r="X81" s="538"/>
      <c r="Y81" s="538"/>
      <c r="Z81" s="538"/>
      <c r="AA81" s="538"/>
      <c r="AB81" s="538"/>
      <c r="AC81" s="538"/>
      <c r="AD81" s="538"/>
      <c r="AE81" s="538"/>
      <c r="AF81" s="538"/>
      <c r="AG81" s="538"/>
      <c r="AH81" s="538"/>
      <c r="AI81" s="538"/>
    </row>
    <row r="82" spans="1:35">
      <c r="A82" s="538"/>
      <c r="B82" s="538"/>
      <c r="C82" s="538"/>
      <c r="D82" s="538"/>
      <c r="E82" s="538"/>
      <c r="F82" s="540"/>
      <c r="G82" s="538"/>
      <c r="H82" s="538"/>
      <c r="I82" s="538"/>
      <c r="J82" s="538"/>
      <c r="K82" s="1324"/>
      <c r="L82" s="1324"/>
      <c r="M82" s="538"/>
      <c r="N82" s="538"/>
      <c r="O82" s="538"/>
      <c r="P82" s="538"/>
      <c r="Q82" s="588"/>
      <c r="R82" s="538"/>
      <c r="S82" s="588"/>
      <c r="T82" s="538"/>
      <c r="U82" s="588"/>
      <c r="V82" s="538"/>
      <c r="W82" s="538"/>
      <c r="X82" s="538"/>
      <c r="Y82" s="538"/>
      <c r="Z82" s="538"/>
      <c r="AA82" s="538"/>
      <c r="AB82" s="538"/>
      <c r="AC82" s="538"/>
      <c r="AD82" s="538"/>
      <c r="AE82" s="538"/>
      <c r="AF82" s="538"/>
      <c r="AG82" s="538"/>
      <c r="AH82" s="538"/>
      <c r="AI82" s="538"/>
    </row>
    <row r="83" spans="1:35">
      <c r="A83" s="538"/>
      <c r="B83" s="538"/>
      <c r="C83" s="538"/>
      <c r="D83" s="538"/>
      <c r="E83" s="538"/>
      <c r="F83" s="540"/>
      <c r="G83" s="538"/>
      <c r="H83" s="538"/>
      <c r="I83" s="538"/>
      <c r="J83" s="538"/>
      <c r="K83" s="1324"/>
      <c r="L83" s="1324"/>
      <c r="M83" s="538"/>
      <c r="N83" s="538"/>
      <c r="O83" s="538"/>
      <c r="P83" s="538"/>
      <c r="Q83" s="588"/>
      <c r="R83" s="538"/>
      <c r="S83" s="588"/>
      <c r="T83" s="538"/>
      <c r="U83" s="588"/>
      <c r="V83" s="538"/>
      <c r="W83" s="538"/>
      <c r="X83" s="538"/>
      <c r="Y83" s="538"/>
      <c r="Z83" s="538"/>
      <c r="AA83" s="538"/>
      <c r="AB83" s="538"/>
      <c r="AC83" s="538"/>
      <c r="AD83" s="538"/>
      <c r="AE83" s="538"/>
      <c r="AF83" s="538"/>
      <c r="AG83" s="538"/>
      <c r="AH83" s="538"/>
      <c r="AI83" s="538"/>
    </row>
    <row r="84" spans="1:35">
      <c r="A84" s="538"/>
      <c r="B84" s="538"/>
      <c r="C84" s="538"/>
      <c r="D84" s="538"/>
      <c r="E84" s="538"/>
      <c r="F84" s="540"/>
      <c r="G84" s="538"/>
      <c r="H84" s="538"/>
      <c r="I84" s="538"/>
      <c r="J84" s="547"/>
      <c r="K84" s="1324"/>
      <c r="L84" s="1324"/>
      <c r="M84" s="848"/>
      <c r="N84" s="538"/>
      <c r="O84" s="848"/>
      <c r="P84" s="538"/>
      <c r="Q84" s="588"/>
      <c r="R84" s="538"/>
      <c r="S84" s="588"/>
      <c r="T84" s="538"/>
      <c r="U84" s="588"/>
      <c r="V84" s="538"/>
      <c r="W84" s="538"/>
      <c r="X84" s="538"/>
      <c r="Y84" s="538"/>
      <c r="Z84" s="538"/>
      <c r="AA84" s="538"/>
      <c r="AB84" s="538"/>
      <c r="AC84" s="538"/>
      <c r="AD84" s="538"/>
      <c r="AE84" s="538"/>
      <c r="AF84" s="538"/>
      <c r="AG84" s="538"/>
      <c r="AH84" s="538"/>
      <c r="AI84" s="538"/>
    </row>
    <row r="85" spans="1:35">
      <c r="A85" s="538"/>
      <c r="B85" s="538"/>
      <c r="C85" s="538"/>
      <c r="D85" s="538"/>
      <c r="E85" s="538"/>
      <c r="F85" s="540"/>
      <c r="G85" s="538"/>
      <c r="H85" s="538"/>
      <c r="I85" s="538"/>
      <c r="J85" s="1325"/>
      <c r="K85" s="546"/>
      <c r="L85" s="546"/>
      <c r="M85" s="849"/>
      <c r="N85" s="538"/>
      <c r="O85" s="849"/>
      <c r="P85" s="538"/>
      <c r="Q85" s="588"/>
      <c r="R85" s="538"/>
      <c r="S85" s="588"/>
      <c r="T85" s="538"/>
      <c r="U85" s="588"/>
      <c r="V85" s="538"/>
      <c r="W85" s="538"/>
      <c r="X85" s="538"/>
      <c r="Y85" s="538"/>
      <c r="Z85" s="538"/>
      <c r="AA85" s="538"/>
      <c r="AB85" s="538"/>
      <c r="AC85" s="538"/>
      <c r="AD85" s="538"/>
      <c r="AE85" s="538"/>
      <c r="AF85" s="538"/>
      <c r="AG85" s="538"/>
      <c r="AH85" s="538"/>
      <c r="AI85" s="538"/>
    </row>
    <row r="86" spans="1:35">
      <c r="A86" s="538"/>
      <c r="B86" s="538"/>
      <c r="C86" s="538"/>
      <c r="D86" s="538"/>
      <c r="E86" s="538"/>
      <c r="F86" s="540"/>
      <c r="G86" s="538"/>
      <c r="H86" s="538"/>
      <c r="I86" s="538"/>
      <c r="J86" s="547"/>
      <c r="K86" s="1324"/>
      <c r="L86" s="1324"/>
      <c r="M86" s="848"/>
      <c r="N86" s="538"/>
      <c r="O86" s="848"/>
      <c r="P86" s="538"/>
      <c r="Q86" s="588"/>
      <c r="R86" s="538"/>
      <c r="S86" s="588"/>
      <c r="T86" s="538"/>
      <c r="U86" s="588"/>
      <c r="V86" s="538"/>
      <c r="W86" s="538"/>
      <c r="X86" s="538"/>
      <c r="Y86" s="538"/>
      <c r="Z86" s="538"/>
      <c r="AA86" s="538"/>
      <c r="AB86" s="538"/>
      <c r="AC86" s="538"/>
      <c r="AD86" s="538"/>
      <c r="AE86" s="538"/>
      <c r="AF86" s="538"/>
      <c r="AG86" s="538"/>
      <c r="AH86" s="538"/>
      <c r="AI86" s="538"/>
    </row>
    <row r="87" spans="1:35">
      <c r="A87" s="538"/>
      <c r="B87" s="538"/>
      <c r="C87" s="538"/>
      <c r="D87" s="538"/>
      <c r="E87" s="538"/>
      <c r="F87" s="540"/>
      <c r="G87" s="538"/>
      <c r="H87" s="538"/>
      <c r="I87" s="538"/>
      <c r="J87" s="547"/>
      <c r="K87" s="1324"/>
      <c r="L87" s="1324"/>
      <c r="M87" s="848"/>
      <c r="N87" s="538"/>
      <c r="O87" s="848"/>
      <c r="P87" s="538"/>
      <c r="Q87" s="588"/>
      <c r="R87" s="538"/>
      <c r="S87" s="588"/>
      <c r="T87" s="538"/>
      <c r="U87" s="588"/>
      <c r="V87" s="538"/>
      <c r="W87" s="538"/>
      <c r="X87" s="538"/>
      <c r="Y87" s="538"/>
      <c r="Z87" s="538"/>
      <c r="AA87" s="538"/>
      <c r="AB87" s="538"/>
      <c r="AC87" s="538"/>
      <c r="AD87" s="538"/>
      <c r="AE87" s="538"/>
      <c r="AF87" s="538"/>
      <c r="AG87" s="538"/>
      <c r="AH87" s="538"/>
      <c r="AI87" s="538"/>
    </row>
    <row r="88" spans="1:35">
      <c r="A88" s="538"/>
      <c r="B88" s="538"/>
      <c r="C88" s="538"/>
      <c r="D88" s="538"/>
      <c r="E88" s="538"/>
      <c r="F88" s="540"/>
      <c r="G88" s="538"/>
      <c r="H88" s="538"/>
      <c r="I88" s="538"/>
      <c r="J88" s="547"/>
      <c r="K88" s="1324"/>
      <c r="L88" s="1324"/>
      <c r="M88" s="848"/>
      <c r="N88" s="538"/>
      <c r="O88" s="848"/>
      <c r="P88" s="538"/>
      <c r="Q88" s="588"/>
      <c r="R88" s="538"/>
      <c r="S88" s="588"/>
      <c r="T88" s="538"/>
      <c r="U88" s="588"/>
      <c r="V88" s="538"/>
      <c r="W88" s="538"/>
      <c r="X88" s="538"/>
      <c r="Y88" s="538"/>
      <c r="Z88" s="538"/>
      <c r="AA88" s="538"/>
      <c r="AB88" s="538"/>
      <c r="AC88" s="538"/>
      <c r="AD88" s="538"/>
      <c r="AE88" s="538"/>
      <c r="AF88" s="538"/>
      <c r="AG88" s="538"/>
      <c r="AH88" s="538"/>
      <c r="AI88" s="538"/>
    </row>
    <row r="89" spans="1:35">
      <c r="A89" s="538"/>
      <c r="B89" s="538"/>
      <c r="C89" s="538"/>
      <c r="D89" s="538"/>
      <c r="E89" s="538"/>
      <c r="F89" s="540"/>
      <c r="G89" s="538"/>
      <c r="H89" s="538"/>
      <c r="I89" s="538"/>
      <c r="J89" s="547"/>
      <c r="K89" s="1324"/>
      <c r="L89" s="1324"/>
      <c r="M89" s="848"/>
      <c r="N89" s="538"/>
      <c r="O89" s="848"/>
      <c r="P89" s="538"/>
      <c r="Q89" s="588"/>
      <c r="R89" s="538"/>
      <c r="S89" s="588"/>
      <c r="T89" s="538"/>
      <c r="U89" s="588"/>
      <c r="V89" s="538"/>
      <c r="W89" s="538"/>
      <c r="X89" s="538"/>
      <c r="Y89" s="538"/>
      <c r="Z89" s="538"/>
      <c r="AA89" s="538"/>
      <c r="AB89" s="538"/>
      <c r="AC89" s="538"/>
      <c r="AD89" s="538"/>
      <c r="AE89" s="538"/>
      <c r="AF89" s="538"/>
      <c r="AG89" s="538"/>
      <c r="AH89" s="538"/>
      <c r="AI89" s="538"/>
    </row>
    <row r="90" spans="1:35">
      <c r="A90" s="538"/>
      <c r="B90" s="538"/>
      <c r="C90" s="538"/>
      <c r="D90" s="538"/>
      <c r="E90" s="538"/>
      <c r="F90" s="540"/>
      <c r="G90" s="538"/>
      <c r="H90" s="538"/>
      <c r="I90" s="538"/>
      <c r="J90" s="547"/>
      <c r="K90" s="1324"/>
      <c r="L90" s="1324"/>
      <c r="M90" s="848"/>
      <c r="N90" s="538"/>
      <c r="O90" s="848"/>
      <c r="P90" s="538"/>
      <c r="Q90" s="588"/>
      <c r="R90" s="538"/>
      <c r="S90" s="588"/>
      <c r="T90" s="538"/>
      <c r="U90" s="588"/>
      <c r="V90" s="538"/>
      <c r="W90" s="538"/>
      <c r="X90" s="538"/>
      <c r="Y90" s="538"/>
      <c r="Z90" s="538"/>
      <c r="AA90" s="538"/>
      <c r="AB90" s="538"/>
      <c r="AC90" s="538"/>
      <c r="AD90" s="538"/>
      <c r="AE90" s="538"/>
      <c r="AF90" s="538"/>
      <c r="AG90" s="538"/>
      <c r="AH90" s="538"/>
      <c r="AI90" s="538"/>
    </row>
    <row r="91" spans="1:35">
      <c r="A91" s="538"/>
      <c r="B91" s="538"/>
      <c r="C91" s="538"/>
      <c r="D91" s="538"/>
      <c r="E91" s="538"/>
      <c r="F91" s="540"/>
      <c r="G91" s="538"/>
      <c r="H91" s="538"/>
      <c r="I91" s="538"/>
      <c r="J91" s="547"/>
      <c r="K91" s="1324"/>
      <c r="L91" s="1324"/>
      <c r="M91" s="848"/>
      <c r="N91" s="538"/>
      <c r="O91" s="848"/>
      <c r="P91" s="538"/>
      <c r="Q91" s="588"/>
      <c r="R91" s="538"/>
      <c r="S91" s="588"/>
      <c r="T91" s="538"/>
      <c r="U91" s="588"/>
      <c r="V91" s="538"/>
      <c r="W91" s="538"/>
      <c r="X91" s="538"/>
      <c r="Y91" s="538"/>
      <c r="Z91" s="538"/>
      <c r="AA91" s="538"/>
      <c r="AB91" s="538"/>
      <c r="AC91" s="538"/>
      <c r="AD91" s="538"/>
      <c r="AE91" s="538"/>
      <c r="AF91" s="538"/>
      <c r="AG91" s="538"/>
      <c r="AH91" s="538"/>
      <c r="AI91" s="538"/>
    </row>
    <row r="92" spans="1:35">
      <c r="A92" s="538"/>
      <c r="B92" s="538"/>
      <c r="C92" s="538"/>
      <c r="D92" s="538"/>
      <c r="E92" s="538"/>
      <c r="F92" s="540"/>
      <c r="G92" s="538"/>
      <c r="H92" s="538"/>
      <c r="I92" s="538"/>
      <c r="J92" s="547"/>
      <c r="K92" s="1324"/>
      <c r="L92" s="1324"/>
      <c r="M92" s="848"/>
      <c r="N92" s="538"/>
      <c r="O92" s="848"/>
      <c r="P92" s="538"/>
      <c r="Q92" s="588"/>
      <c r="R92" s="538"/>
      <c r="S92" s="588"/>
      <c r="T92" s="538"/>
      <c r="U92" s="588"/>
      <c r="V92" s="538"/>
      <c r="W92" s="538"/>
      <c r="X92" s="538"/>
      <c r="Y92" s="538"/>
      <c r="Z92" s="538"/>
      <c r="AA92" s="538"/>
      <c r="AB92" s="538"/>
      <c r="AC92" s="538"/>
      <c r="AD92" s="538"/>
      <c r="AE92" s="538"/>
      <c r="AF92" s="538"/>
      <c r="AG92" s="538"/>
      <c r="AH92" s="538"/>
      <c r="AI92" s="538"/>
    </row>
    <row r="93" spans="1:35">
      <c r="A93" s="538"/>
      <c r="B93" s="538"/>
      <c r="C93" s="538"/>
      <c r="D93" s="538"/>
      <c r="E93" s="538"/>
      <c r="F93" s="540"/>
      <c r="G93" s="538"/>
      <c r="H93" s="538"/>
      <c r="I93" s="538"/>
      <c r="J93" s="538"/>
      <c r="K93" s="540"/>
      <c r="L93" s="540"/>
      <c r="M93" s="588"/>
      <c r="N93" s="538"/>
      <c r="O93" s="588"/>
      <c r="P93" s="538"/>
      <c r="Q93" s="588"/>
      <c r="R93" s="538"/>
      <c r="S93" s="588"/>
      <c r="T93" s="538"/>
      <c r="U93" s="588"/>
      <c r="V93" s="538"/>
      <c r="W93" s="538"/>
      <c r="X93" s="538"/>
      <c r="Y93" s="538"/>
      <c r="Z93" s="538"/>
      <c r="AA93" s="538"/>
      <c r="AB93" s="538"/>
      <c r="AC93" s="538"/>
      <c r="AD93" s="538"/>
      <c r="AE93" s="538"/>
      <c r="AF93" s="538"/>
      <c r="AG93" s="538"/>
      <c r="AH93" s="538"/>
      <c r="AI93" s="538"/>
    </row>
    <row r="94" spans="1:35">
      <c r="A94" s="538"/>
      <c r="B94" s="538"/>
      <c r="C94" s="538"/>
      <c r="D94" s="538"/>
      <c r="E94" s="538"/>
      <c r="F94" s="540"/>
      <c r="G94" s="538"/>
      <c r="H94" s="538"/>
      <c r="I94" s="538"/>
      <c r="J94" s="538"/>
      <c r="K94" s="540"/>
      <c r="L94" s="540"/>
      <c r="M94" s="588"/>
      <c r="N94" s="538"/>
      <c r="O94" s="588"/>
      <c r="P94" s="538"/>
      <c r="Q94" s="588"/>
      <c r="R94" s="538"/>
      <c r="S94" s="588"/>
      <c r="T94" s="538"/>
      <c r="U94" s="588"/>
      <c r="V94" s="538"/>
      <c r="W94" s="538"/>
      <c r="X94" s="538"/>
      <c r="Y94" s="538"/>
      <c r="Z94" s="538"/>
      <c r="AA94" s="538"/>
      <c r="AB94" s="538"/>
      <c r="AC94" s="538"/>
      <c r="AD94" s="538"/>
      <c r="AE94" s="538"/>
      <c r="AF94" s="538"/>
      <c r="AG94" s="538"/>
      <c r="AH94" s="538"/>
      <c r="AI94" s="538"/>
    </row>
    <row r="95" spans="1:35">
      <c r="A95" s="538"/>
      <c r="B95" s="538"/>
      <c r="C95" s="538"/>
      <c r="D95" s="538"/>
      <c r="E95" s="538"/>
      <c r="F95" s="540"/>
      <c r="G95" s="538"/>
      <c r="H95" s="538"/>
      <c r="I95" s="538"/>
      <c r="J95" s="538"/>
      <c r="K95" s="540"/>
      <c r="L95" s="540"/>
      <c r="M95" s="588"/>
      <c r="N95" s="538"/>
      <c r="O95" s="588"/>
      <c r="P95" s="538"/>
      <c r="Q95" s="588"/>
      <c r="R95" s="538"/>
      <c r="S95" s="588"/>
      <c r="T95" s="538"/>
      <c r="U95" s="588"/>
      <c r="V95" s="538"/>
      <c r="W95" s="538"/>
      <c r="X95" s="538"/>
      <c r="Y95" s="538"/>
      <c r="Z95" s="538"/>
      <c r="AA95" s="538"/>
      <c r="AB95" s="538"/>
      <c r="AC95" s="538"/>
      <c r="AD95" s="538"/>
      <c r="AE95" s="538"/>
      <c r="AF95" s="538"/>
      <c r="AG95" s="538"/>
      <c r="AH95" s="538"/>
      <c r="AI95" s="538"/>
    </row>
    <row r="96" spans="1:35">
      <c r="A96" s="538"/>
      <c r="B96" s="538"/>
      <c r="C96" s="538"/>
      <c r="D96" s="538"/>
      <c r="E96" s="538"/>
      <c r="F96" s="540"/>
      <c r="G96" s="538"/>
      <c r="H96" s="538"/>
      <c r="I96" s="538"/>
      <c r="J96" s="538"/>
      <c r="K96" s="540"/>
      <c r="L96" s="540"/>
      <c r="M96" s="588"/>
      <c r="N96" s="538"/>
      <c r="O96" s="588"/>
      <c r="P96" s="538"/>
      <c r="Q96" s="588"/>
      <c r="R96" s="538"/>
      <c r="S96" s="588"/>
      <c r="T96" s="538"/>
      <c r="U96" s="588"/>
      <c r="V96" s="538"/>
      <c r="W96" s="538"/>
      <c r="X96" s="538"/>
      <c r="Y96" s="538"/>
      <c r="Z96" s="538"/>
      <c r="AA96" s="538"/>
      <c r="AB96" s="538"/>
      <c r="AC96" s="538"/>
      <c r="AD96" s="538"/>
      <c r="AE96" s="538"/>
      <c r="AF96" s="538"/>
      <c r="AG96" s="538"/>
      <c r="AH96" s="538"/>
      <c r="AI96" s="538"/>
    </row>
    <row r="97" spans="1:35">
      <c r="A97" s="538"/>
      <c r="B97" s="538"/>
      <c r="C97" s="538"/>
      <c r="D97" s="538"/>
      <c r="E97" s="538"/>
      <c r="F97" s="540"/>
      <c r="G97" s="538"/>
      <c r="H97" s="538"/>
      <c r="I97" s="538"/>
      <c r="J97" s="538"/>
      <c r="K97" s="540"/>
      <c r="L97" s="540"/>
      <c r="M97" s="588"/>
      <c r="N97" s="538"/>
      <c r="O97" s="588"/>
      <c r="P97" s="538"/>
      <c r="Q97" s="588"/>
      <c r="R97" s="538"/>
      <c r="S97" s="588"/>
      <c r="T97" s="538"/>
      <c r="U97" s="588"/>
      <c r="V97" s="538"/>
      <c r="W97" s="538"/>
      <c r="X97" s="538"/>
      <c r="Y97" s="538"/>
      <c r="Z97" s="538"/>
      <c r="AA97" s="538"/>
      <c r="AB97" s="538"/>
      <c r="AC97" s="538"/>
      <c r="AD97" s="538"/>
      <c r="AE97" s="538"/>
      <c r="AF97" s="538"/>
      <c r="AG97" s="538"/>
      <c r="AH97" s="538"/>
      <c r="AI97" s="538"/>
    </row>
    <row r="98" spans="1:35">
      <c r="A98" s="538"/>
      <c r="B98" s="538"/>
      <c r="C98" s="538"/>
      <c r="D98" s="538"/>
      <c r="E98" s="538"/>
      <c r="F98" s="540"/>
      <c r="G98" s="538"/>
      <c r="H98" s="538"/>
      <c r="I98" s="538"/>
      <c r="J98" s="538"/>
      <c r="K98" s="540"/>
      <c r="L98" s="540"/>
      <c r="M98" s="588"/>
      <c r="N98" s="538"/>
      <c r="O98" s="588"/>
      <c r="P98" s="538"/>
      <c r="Q98" s="588"/>
      <c r="R98" s="538"/>
      <c r="S98" s="588"/>
      <c r="T98" s="538"/>
      <c r="U98" s="588"/>
      <c r="V98" s="538"/>
      <c r="W98" s="538"/>
      <c r="X98" s="538"/>
      <c r="Y98" s="538"/>
      <c r="Z98" s="538"/>
      <c r="AA98" s="538"/>
      <c r="AB98" s="538"/>
      <c r="AC98" s="538"/>
      <c r="AD98" s="538"/>
      <c r="AE98" s="538"/>
      <c r="AF98" s="538"/>
      <c r="AG98" s="538"/>
      <c r="AH98" s="538"/>
      <c r="AI98" s="538"/>
    </row>
    <row r="99" spans="1:35">
      <c r="A99" s="538"/>
      <c r="B99" s="538"/>
      <c r="C99" s="538"/>
      <c r="D99" s="538"/>
      <c r="E99" s="538"/>
      <c r="F99" s="540"/>
      <c r="G99" s="538"/>
      <c r="H99" s="538"/>
      <c r="I99" s="538"/>
      <c r="J99" s="538"/>
      <c r="K99" s="540"/>
      <c r="L99" s="540"/>
      <c r="M99" s="588"/>
      <c r="N99" s="538"/>
      <c r="O99" s="588"/>
      <c r="P99" s="538"/>
      <c r="Q99" s="588"/>
      <c r="R99" s="538"/>
      <c r="S99" s="588"/>
      <c r="T99" s="538"/>
      <c r="U99" s="588"/>
      <c r="V99" s="538"/>
      <c r="W99" s="538"/>
      <c r="X99" s="538"/>
      <c r="Y99" s="538"/>
      <c r="Z99" s="538"/>
      <c r="AA99" s="538"/>
      <c r="AB99" s="538"/>
      <c r="AC99" s="538"/>
      <c r="AD99" s="538"/>
      <c r="AE99" s="538"/>
      <c r="AF99" s="538"/>
      <c r="AG99" s="538"/>
      <c r="AH99" s="538"/>
      <c r="AI99" s="538"/>
    </row>
    <row r="100" spans="1:35">
      <c r="A100" s="538"/>
      <c r="B100" s="538"/>
      <c r="C100" s="538"/>
      <c r="D100" s="538"/>
      <c r="E100" s="538"/>
      <c r="F100" s="540"/>
      <c r="G100" s="538"/>
      <c r="H100" s="538"/>
      <c r="I100" s="538"/>
      <c r="J100" s="538"/>
      <c r="K100" s="540"/>
      <c r="L100" s="540"/>
      <c r="M100" s="588"/>
      <c r="N100" s="538"/>
      <c r="O100" s="588"/>
      <c r="P100" s="538"/>
      <c r="Q100" s="588"/>
      <c r="R100" s="538"/>
      <c r="S100" s="588"/>
      <c r="T100" s="538"/>
      <c r="U100" s="588"/>
      <c r="V100" s="538"/>
      <c r="W100" s="538"/>
      <c r="X100" s="538"/>
      <c r="Y100" s="538"/>
      <c r="Z100" s="538"/>
      <c r="AA100" s="538"/>
      <c r="AB100" s="538"/>
      <c r="AC100" s="538"/>
      <c r="AD100" s="538"/>
      <c r="AE100" s="538"/>
      <c r="AF100" s="538"/>
      <c r="AG100" s="538"/>
      <c r="AH100" s="538"/>
      <c r="AI100" s="538"/>
    </row>
    <row r="101" spans="1:35">
      <c r="A101" s="538"/>
      <c r="B101" s="538"/>
      <c r="C101" s="538"/>
      <c r="D101" s="538"/>
      <c r="E101" s="538"/>
      <c r="F101" s="540"/>
      <c r="G101" s="538"/>
      <c r="H101" s="538"/>
      <c r="I101" s="538"/>
      <c r="J101" s="538"/>
      <c r="K101" s="540"/>
      <c r="L101" s="540"/>
      <c r="M101" s="588"/>
      <c r="N101" s="538"/>
      <c r="O101" s="588"/>
      <c r="P101" s="538"/>
      <c r="Q101" s="588"/>
      <c r="R101" s="538"/>
      <c r="S101" s="588"/>
      <c r="T101" s="538"/>
      <c r="U101" s="588"/>
      <c r="V101" s="538"/>
      <c r="W101" s="538"/>
      <c r="X101" s="538"/>
      <c r="Y101" s="538"/>
      <c r="Z101" s="538"/>
      <c r="AA101" s="538"/>
      <c r="AB101" s="538"/>
      <c r="AC101" s="538"/>
      <c r="AD101" s="538"/>
      <c r="AE101" s="538"/>
      <c r="AF101" s="538"/>
      <c r="AG101" s="538"/>
      <c r="AH101" s="538"/>
      <c r="AI101" s="538"/>
    </row>
    <row r="102" spans="1:35">
      <c r="A102" s="538"/>
      <c r="B102" s="538"/>
      <c r="C102" s="538"/>
      <c r="D102" s="538"/>
      <c r="E102" s="538"/>
      <c r="F102" s="540"/>
      <c r="G102" s="538"/>
      <c r="H102" s="538"/>
      <c r="I102" s="538"/>
      <c r="J102" s="538"/>
      <c r="K102" s="540"/>
      <c r="L102" s="540"/>
      <c r="M102" s="588"/>
      <c r="N102" s="538"/>
      <c r="O102" s="588"/>
      <c r="P102" s="538"/>
      <c r="Q102" s="588"/>
      <c r="R102" s="538"/>
      <c r="S102" s="588"/>
      <c r="T102" s="538"/>
      <c r="U102" s="588"/>
      <c r="V102" s="538"/>
      <c r="W102" s="538"/>
      <c r="X102" s="538"/>
      <c r="Y102" s="538"/>
      <c r="Z102" s="538"/>
      <c r="AA102" s="538"/>
      <c r="AB102" s="538"/>
      <c r="AC102" s="538"/>
      <c r="AD102" s="538"/>
      <c r="AE102" s="538"/>
      <c r="AF102" s="538"/>
      <c r="AG102" s="538"/>
      <c r="AH102" s="538"/>
      <c r="AI102" s="538"/>
    </row>
    <row r="103" spans="1:35">
      <c r="A103" s="538"/>
      <c r="B103" s="538"/>
      <c r="C103" s="538"/>
      <c r="D103" s="538"/>
      <c r="E103" s="538"/>
      <c r="F103" s="540"/>
      <c r="G103" s="538"/>
      <c r="H103" s="538"/>
      <c r="I103" s="538"/>
      <c r="J103" s="538"/>
      <c r="K103" s="540"/>
      <c r="L103" s="540"/>
      <c r="M103" s="588"/>
      <c r="N103" s="538"/>
      <c r="O103" s="588"/>
      <c r="P103" s="538"/>
      <c r="Q103" s="588"/>
      <c r="R103" s="538"/>
      <c r="S103" s="588"/>
      <c r="T103" s="538"/>
      <c r="U103" s="588"/>
      <c r="V103" s="538"/>
      <c r="W103" s="538"/>
      <c r="X103" s="538"/>
      <c r="Y103" s="538"/>
      <c r="Z103" s="538"/>
      <c r="AA103" s="538"/>
      <c r="AB103" s="538"/>
      <c r="AC103" s="538"/>
      <c r="AD103" s="538"/>
      <c r="AE103" s="538"/>
      <c r="AF103" s="538"/>
      <c r="AG103" s="538"/>
      <c r="AH103" s="538"/>
      <c r="AI103" s="538"/>
    </row>
    <row r="104" spans="1:35">
      <c r="A104" s="538"/>
      <c r="B104" s="538"/>
      <c r="C104" s="538"/>
      <c r="D104" s="538"/>
      <c r="E104" s="538"/>
      <c r="F104" s="540"/>
      <c r="G104" s="538"/>
      <c r="H104" s="538"/>
      <c r="I104" s="538"/>
      <c r="J104" s="538"/>
      <c r="K104" s="540"/>
      <c r="L104" s="540"/>
      <c r="M104" s="588"/>
      <c r="N104" s="538"/>
      <c r="O104" s="588"/>
      <c r="P104" s="538"/>
      <c r="Q104" s="588"/>
      <c r="R104" s="538"/>
      <c r="S104" s="588"/>
      <c r="T104" s="538"/>
      <c r="U104" s="588"/>
      <c r="V104" s="538"/>
      <c r="W104" s="538"/>
      <c r="X104" s="538"/>
      <c r="Y104" s="538"/>
      <c r="Z104" s="538"/>
      <c r="AA104" s="538"/>
      <c r="AB104" s="538"/>
      <c r="AC104" s="538"/>
      <c r="AD104" s="538"/>
      <c r="AE104" s="538"/>
      <c r="AF104" s="538"/>
      <c r="AG104" s="538"/>
      <c r="AH104" s="538"/>
      <c r="AI104" s="538"/>
    </row>
    <row r="105" spans="1:35">
      <c r="A105" s="538"/>
      <c r="B105" s="538"/>
      <c r="C105" s="538"/>
      <c r="D105" s="538"/>
      <c r="E105" s="538"/>
      <c r="F105" s="540"/>
      <c r="G105" s="538"/>
      <c r="H105" s="538"/>
      <c r="I105" s="538"/>
      <c r="J105" s="538"/>
      <c r="K105" s="540"/>
      <c r="L105" s="540"/>
      <c r="M105" s="588"/>
      <c r="N105" s="538"/>
      <c r="O105" s="588"/>
      <c r="P105" s="538"/>
      <c r="Q105" s="588"/>
      <c r="R105" s="538"/>
      <c r="S105" s="588"/>
      <c r="T105" s="538"/>
      <c r="U105" s="588"/>
      <c r="V105" s="538"/>
      <c r="W105" s="538"/>
      <c r="X105" s="538"/>
      <c r="Y105" s="538"/>
      <c r="Z105" s="538"/>
      <c r="AA105" s="538"/>
      <c r="AB105" s="538"/>
      <c r="AC105" s="538"/>
      <c r="AD105" s="538"/>
      <c r="AE105" s="538"/>
      <c r="AF105" s="538"/>
      <c r="AG105" s="538"/>
      <c r="AH105" s="538"/>
      <c r="AI105" s="538"/>
    </row>
    <row r="106" spans="1:35">
      <c r="A106" s="538"/>
      <c r="B106" s="538"/>
      <c r="C106" s="538"/>
      <c r="D106" s="538"/>
      <c r="E106" s="538"/>
      <c r="F106" s="540"/>
      <c r="G106" s="538"/>
      <c r="H106" s="538"/>
      <c r="I106" s="538"/>
      <c r="J106" s="538"/>
      <c r="K106" s="540"/>
      <c r="L106" s="540"/>
      <c r="M106" s="588"/>
      <c r="N106" s="538"/>
      <c r="O106" s="588"/>
      <c r="P106" s="538"/>
      <c r="Q106" s="588"/>
      <c r="R106" s="538"/>
      <c r="S106" s="588"/>
      <c r="T106" s="538"/>
      <c r="U106" s="588"/>
      <c r="V106" s="538"/>
      <c r="W106" s="538"/>
      <c r="X106" s="538"/>
      <c r="Y106" s="538"/>
      <c r="Z106" s="538"/>
      <c r="AA106" s="538"/>
      <c r="AB106" s="538"/>
      <c r="AC106" s="538"/>
      <c r="AD106" s="538"/>
      <c r="AE106" s="538"/>
      <c r="AF106" s="538"/>
      <c r="AG106" s="538"/>
      <c r="AH106" s="538"/>
      <c r="AI106" s="538"/>
    </row>
    <row r="107" spans="1:35">
      <c r="A107" s="538"/>
      <c r="B107" s="538"/>
      <c r="C107" s="538"/>
      <c r="D107" s="538"/>
      <c r="E107" s="538"/>
      <c r="F107" s="540"/>
      <c r="G107" s="538"/>
      <c r="H107" s="538"/>
      <c r="I107" s="538"/>
      <c r="J107" s="538"/>
      <c r="K107" s="540"/>
      <c r="L107" s="540"/>
      <c r="M107" s="588"/>
      <c r="N107" s="538"/>
      <c r="O107" s="588"/>
      <c r="P107" s="538"/>
      <c r="Q107" s="588"/>
      <c r="R107" s="538"/>
      <c r="S107" s="588"/>
      <c r="T107" s="538"/>
      <c r="U107" s="588"/>
      <c r="V107" s="538"/>
      <c r="W107" s="538"/>
      <c r="X107" s="538"/>
      <c r="Y107" s="538"/>
      <c r="Z107" s="538"/>
      <c r="AA107" s="538"/>
      <c r="AB107" s="538"/>
      <c r="AC107" s="538"/>
      <c r="AD107" s="538"/>
      <c r="AE107" s="538"/>
      <c r="AF107" s="538"/>
      <c r="AG107" s="538"/>
      <c r="AH107" s="538"/>
      <c r="AI107" s="538"/>
    </row>
    <row r="108" spans="1:35">
      <c r="A108" s="538"/>
      <c r="B108" s="538"/>
      <c r="C108" s="538"/>
      <c r="D108" s="538"/>
      <c r="E108" s="538"/>
      <c r="F108" s="540"/>
      <c r="G108" s="538"/>
      <c r="H108" s="538"/>
      <c r="I108" s="538"/>
      <c r="J108" s="538"/>
      <c r="K108" s="540"/>
      <c r="L108" s="540"/>
      <c r="M108" s="588"/>
      <c r="N108" s="538"/>
      <c r="O108" s="588"/>
      <c r="P108" s="538"/>
      <c r="Q108" s="588"/>
      <c r="R108" s="538"/>
      <c r="S108" s="588"/>
      <c r="T108" s="538"/>
      <c r="U108" s="588"/>
      <c r="V108" s="538"/>
      <c r="W108" s="538"/>
      <c r="X108" s="538"/>
      <c r="Y108" s="538"/>
      <c r="Z108" s="538"/>
      <c r="AA108" s="538"/>
      <c r="AB108" s="538"/>
      <c r="AC108" s="538"/>
      <c r="AD108" s="538"/>
      <c r="AE108" s="538"/>
      <c r="AF108" s="538"/>
      <c r="AG108" s="538"/>
      <c r="AH108" s="538"/>
      <c r="AI108" s="538"/>
    </row>
    <row r="109" spans="1:35">
      <c r="A109" s="538"/>
      <c r="B109" s="538"/>
      <c r="C109" s="538"/>
      <c r="D109" s="538"/>
      <c r="E109" s="538"/>
      <c r="F109" s="540"/>
      <c r="G109" s="538"/>
      <c r="H109" s="538"/>
      <c r="I109" s="538"/>
      <c r="J109" s="538"/>
      <c r="K109" s="540"/>
      <c r="L109" s="540"/>
      <c r="M109" s="588"/>
      <c r="N109" s="538"/>
      <c r="O109" s="588"/>
      <c r="P109" s="538"/>
      <c r="Q109" s="588"/>
      <c r="R109" s="538"/>
      <c r="S109" s="588"/>
      <c r="T109" s="538"/>
      <c r="U109" s="588"/>
      <c r="V109" s="538"/>
      <c r="W109" s="538"/>
      <c r="X109" s="538"/>
      <c r="Y109" s="538"/>
      <c r="Z109" s="538"/>
      <c r="AA109" s="538"/>
      <c r="AB109" s="538"/>
      <c r="AC109" s="538"/>
      <c r="AD109" s="538"/>
      <c r="AE109" s="538"/>
      <c r="AF109" s="538"/>
      <c r="AG109" s="538"/>
      <c r="AH109" s="538"/>
      <c r="AI109" s="538"/>
    </row>
    <row r="110" spans="1:35">
      <c r="A110" s="538"/>
      <c r="B110" s="538"/>
      <c r="C110" s="538"/>
      <c r="D110" s="538"/>
      <c r="E110" s="538"/>
      <c r="F110" s="540"/>
      <c r="G110" s="538"/>
      <c r="H110" s="538"/>
      <c r="I110" s="538"/>
      <c r="J110" s="538"/>
      <c r="K110" s="540"/>
      <c r="L110" s="540"/>
      <c r="M110" s="588"/>
      <c r="N110" s="538"/>
      <c r="O110" s="588"/>
      <c r="P110" s="538"/>
      <c r="Q110" s="588"/>
      <c r="R110" s="538"/>
      <c r="S110" s="588"/>
      <c r="T110" s="538"/>
      <c r="U110" s="588"/>
      <c r="V110" s="538"/>
      <c r="W110" s="538"/>
      <c r="X110" s="538"/>
      <c r="Y110" s="538"/>
      <c r="Z110" s="538"/>
      <c r="AA110" s="538"/>
      <c r="AB110" s="538"/>
      <c r="AC110" s="538"/>
      <c r="AD110" s="538"/>
      <c r="AE110" s="538"/>
      <c r="AF110" s="538"/>
      <c r="AG110" s="538"/>
      <c r="AH110" s="538"/>
      <c r="AI110" s="538"/>
    </row>
    <row r="111" spans="1:35">
      <c r="A111" s="538"/>
      <c r="B111" s="538"/>
      <c r="C111" s="538"/>
      <c r="D111" s="538"/>
      <c r="E111" s="538"/>
      <c r="F111" s="540"/>
      <c r="G111" s="538"/>
      <c r="H111" s="538"/>
      <c r="I111" s="538"/>
      <c r="J111" s="538"/>
      <c r="K111" s="540"/>
      <c r="L111" s="540"/>
      <c r="M111" s="588"/>
      <c r="N111" s="538"/>
      <c r="O111" s="588"/>
      <c r="P111" s="538"/>
      <c r="Q111" s="588"/>
      <c r="R111" s="538"/>
      <c r="S111" s="588"/>
      <c r="T111" s="538"/>
      <c r="U111" s="588"/>
      <c r="V111" s="538"/>
      <c r="W111" s="538"/>
      <c r="X111" s="538"/>
      <c r="Y111" s="538"/>
      <c r="Z111" s="538"/>
      <c r="AA111" s="538"/>
      <c r="AB111" s="538"/>
      <c r="AC111" s="538"/>
      <c r="AD111" s="538"/>
      <c r="AE111" s="538"/>
      <c r="AF111" s="538"/>
      <c r="AG111" s="538"/>
      <c r="AH111" s="538"/>
      <c r="AI111" s="538"/>
    </row>
    <row r="112" spans="1:35">
      <c r="A112" s="538"/>
      <c r="B112" s="538"/>
      <c r="C112" s="538"/>
      <c r="D112" s="538"/>
      <c r="E112" s="538"/>
      <c r="F112" s="540"/>
      <c r="G112" s="538"/>
      <c r="H112" s="538"/>
      <c r="I112" s="538"/>
      <c r="J112" s="538"/>
      <c r="K112" s="540"/>
      <c r="L112" s="540"/>
      <c r="M112" s="588"/>
      <c r="N112" s="538"/>
      <c r="O112" s="588"/>
      <c r="P112" s="538"/>
      <c r="Q112" s="588"/>
      <c r="R112" s="538"/>
      <c r="S112" s="588"/>
      <c r="T112" s="538"/>
      <c r="U112" s="588"/>
      <c r="V112" s="538"/>
      <c r="W112" s="538"/>
      <c r="X112" s="538"/>
      <c r="Y112" s="538"/>
      <c r="Z112" s="538"/>
      <c r="AA112" s="538"/>
      <c r="AB112" s="538"/>
      <c r="AC112" s="538"/>
      <c r="AD112" s="538"/>
      <c r="AE112" s="538"/>
      <c r="AF112" s="538"/>
      <c r="AG112" s="538"/>
      <c r="AH112" s="538"/>
      <c r="AI112" s="538"/>
    </row>
    <row r="113" spans="1:35">
      <c r="A113" s="538"/>
      <c r="B113" s="538"/>
      <c r="C113" s="538"/>
      <c r="D113" s="538"/>
      <c r="E113" s="538"/>
      <c r="F113" s="540"/>
      <c r="G113" s="538"/>
      <c r="H113" s="538"/>
      <c r="I113" s="538"/>
      <c r="J113" s="538"/>
      <c r="K113" s="540"/>
      <c r="L113" s="540"/>
      <c r="M113" s="588"/>
      <c r="N113" s="538"/>
      <c r="O113" s="588"/>
      <c r="P113" s="538"/>
      <c r="Q113" s="588"/>
      <c r="R113" s="538"/>
      <c r="S113" s="588"/>
      <c r="T113" s="538"/>
      <c r="U113" s="588"/>
      <c r="V113" s="538"/>
      <c r="W113" s="538"/>
      <c r="X113" s="538"/>
      <c r="Y113" s="538"/>
      <c r="Z113" s="538"/>
      <c r="AA113" s="538"/>
      <c r="AB113" s="538"/>
      <c r="AC113" s="538"/>
      <c r="AD113" s="538"/>
      <c r="AE113" s="538"/>
      <c r="AF113" s="538"/>
      <c r="AG113" s="538"/>
      <c r="AH113" s="538"/>
      <c r="AI113" s="538"/>
    </row>
    <row r="114" spans="1:35">
      <c r="A114" s="538"/>
      <c r="B114" s="538"/>
      <c r="C114" s="538"/>
      <c r="D114" s="538"/>
      <c r="E114" s="538"/>
      <c r="F114" s="540"/>
      <c r="G114" s="538"/>
      <c r="H114" s="538"/>
      <c r="I114" s="538"/>
      <c r="J114" s="538"/>
      <c r="K114" s="540"/>
      <c r="L114" s="540"/>
      <c r="M114" s="588"/>
      <c r="N114" s="538"/>
      <c r="O114" s="588"/>
      <c r="P114" s="538"/>
      <c r="Q114" s="588"/>
      <c r="R114" s="538"/>
      <c r="S114" s="588"/>
      <c r="T114" s="538"/>
      <c r="U114" s="588"/>
      <c r="V114" s="538"/>
      <c r="W114" s="538"/>
      <c r="X114" s="538"/>
      <c r="Y114" s="538"/>
      <c r="Z114" s="538"/>
      <c r="AA114" s="538"/>
      <c r="AB114" s="538"/>
      <c r="AC114" s="538"/>
      <c r="AD114" s="538"/>
      <c r="AE114" s="538"/>
      <c r="AF114" s="538"/>
      <c r="AG114" s="538"/>
      <c r="AH114" s="538"/>
      <c r="AI114" s="538"/>
    </row>
    <row r="115" spans="1:35">
      <c r="A115" s="538"/>
      <c r="B115" s="538"/>
      <c r="C115" s="538"/>
      <c r="D115" s="538"/>
      <c r="E115" s="538"/>
      <c r="F115" s="540"/>
      <c r="G115" s="538"/>
      <c r="H115" s="538"/>
      <c r="I115" s="538"/>
      <c r="J115" s="538"/>
      <c r="K115" s="540"/>
      <c r="L115" s="540"/>
      <c r="M115" s="588"/>
      <c r="N115" s="538"/>
      <c r="O115" s="588"/>
      <c r="P115" s="538"/>
      <c r="Q115" s="588"/>
      <c r="R115" s="538"/>
      <c r="S115" s="588"/>
      <c r="T115" s="538"/>
      <c r="U115" s="588"/>
      <c r="V115" s="538"/>
      <c r="W115" s="538"/>
      <c r="X115" s="538"/>
      <c r="Y115" s="538"/>
      <c r="Z115" s="538"/>
      <c r="AA115" s="538"/>
      <c r="AB115" s="538"/>
      <c r="AC115" s="538"/>
      <c r="AD115" s="538"/>
      <c r="AE115" s="538"/>
      <c r="AF115" s="538"/>
      <c r="AG115" s="538"/>
      <c r="AH115" s="538"/>
      <c r="AI115" s="538"/>
    </row>
    <row r="116" spans="1:35">
      <c r="A116" s="538"/>
      <c r="B116" s="538"/>
      <c r="C116" s="538"/>
      <c r="D116" s="538"/>
      <c r="E116" s="538"/>
      <c r="F116" s="540"/>
      <c r="G116" s="538"/>
      <c r="H116" s="538"/>
      <c r="I116" s="538"/>
      <c r="J116" s="538"/>
      <c r="K116" s="540"/>
      <c r="L116" s="540"/>
      <c r="M116" s="588"/>
      <c r="N116" s="538"/>
      <c r="O116" s="588"/>
      <c r="P116" s="538"/>
      <c r="Q116" s="588"/>
      <c r="R116" s="538"/>
      <c r="S116" s="588"/>
      <c r="T116" s="538"/>
      <c r="U116" s="588"/>
      <c r="V116" s="538"/>
      <c r="W116" s="538"/>
      <c r="X116" s="538"/>
      <c r="Y116" s="538"/>
      <c r="Z116" s="538"/>
      <c r="AA116" s="538"/>
      <c r="AB116" s="538"/>
      <c r="AC116" s="538"/>
      <c r="AD116" s="538"/>
      <c r="AE116" s="538"/>
      <c r="AF116" s="538"/>
      <c r="AG116" s="538"/>
      <c r="AH116" s="538"/>
      <c r="AI116" s="538"/>
    </row>
    <row r="117" spans="1:35">
      <c r="A117" s="538"/>
      <c r="B117" s="538"/>
      <c r="C117" s="538"/>
      <c r="D117" s="538"/>
      <c r="E117" s="538"/>
      <c r="F117" s="540"/>
      <c r="G117" s="538"/>
      <c r="H117" s="538"/>
      <c r="I117" s="538"/>
      <c r="J117" s="538"/>
      <c r="K117" s="540"/>
      <c r="L117" s="540"/>
      <c r="M117" s="588"/>
      <c r="N117" s="538"/>
      <c r="O117" s="588"/>
      <c r="P117" s="538"/>
      <c r="Q117" s="588"/>
      <c r="R117" s="538"/>
      <c r="S117" s="588"/>
      <c r="T117" s="538"/>
      <c r="U117" s="588"/>
      <c r="V117" s="538"/>
      <c r="W117" s="538"/>
      <c r="X117" s="538"/>
      <c r="Y117" s="538"/>
      <c r="Z117" s="538"/>
      <c r="AA117" s="538"/>
      <c r="AB117" s="538"/>
      <c r="AC117" s="538"/>
      <c r="AD117" s="538"/>
      <c r="AE117" s="538"/>
      <c r="AF117" s="538"/>
      <c r="AG117" s="538"/>
      <c r="AH117" s="538"/>
      <c r="AI117" s="538"/>
    </row>
    <row r="118" spans="1:35">
      <c r="A118" s="538"/>
      <c r="B118" s="538"/>
      <c r="C118" s="538"/>
      <c r="D118" s="538"/>
      <c r="E118" s="538"/>
      <c r="F118" s="540"/>
      <c r="G118" s="538"/>
      <c r="H118" s="538"/>
      <c r="I118" s="538"/>
      <c r="J118" s="538"/>
      <c r="K118" s="540"/>
      <c r="L118" s="540"/>
      <c r="M118" s="588"/>
      <c r="N118" s="538"/>
      <c r="O118" s="588"/>
      <c r="P118" s="538"/>
      <c r="Q118" s="588"/>
      <c r="R118" s="538"/>
      <c r="S118" s="588"/>
      <c r="T118" s="538"/>
      <c r="U118" s="588"/>
      <c r="V118" s="538"/>
      <c r="W118" s="538"/>
      <c r="X118" s="538"/>
      <c r="Y118" s="538"/>
      <c r="Z118" s="538"/>
      <c r="AA118" s="538"/>
      <c r="AB118" s="538"/>
      <c r="AC118" s="538"/>
      <c r="AD118" s="538"/>
      <c r="AE118" s="538"/>
      <c r="AF118" s="538"/>
      <c r="AG118" s="538"/>
      <c r="AH118" s="538"/>
      <c r="AI118" s="538"/>
    </row>
    <row r="119" spans="1:35">
      <c r="A119" s="538"/>
      <c r="B119" s="538"/>
      <c r="C119" s="538"/>
      <c r="D119" s="538"/>
      <c r="E119" s="538"/>
      <c r="F119" s="540"/>
      <c r="G119" s="538"/>
      <c r="H119" s="538"/>
      <c r="I119" s="538"/>
      <c r="J119" s="538"/>
      <c r="K119" s="540"/>
      <c r="L119" s="540"/>
      <c r="M119" s="588"/>
      <c r="N119" s="538"/>
      <c r="O119" s="588"/>
      <c r="P119" s="538"/>
      <c r="Q119" s="588"/>
      <c r="R119" s="538"/>
      <c r="S119" s="588"/>
      <c r="T119" s="538"/>
      <c r="U119" s="588"/>
      <c r="V119" s="538"/>
      <c r="W119" s="538"/>
      <c r="X119" s="538"/>
      <c r="Y119" s="538"/>
      <c r="Z119" s="538"/>
      <c r="AA119" s="538"/>
      <c r="AB119" s="538"/>
      <c r="AC119" s="538"/>
      <c r="AD119" s="538"/>
      <c r="AE119" s="538"/>
      <c r="AF119" s="538"/>
      <c r="AG119" s="538"/>
      <c r="AH119" s="538"/>
      <c r="AI119" s="538"/>
    </row>
    <row r="120" spans="1:35">
      <c r="A120" s="538"/>
      <c r="B120" s="538"/>
      <c r="C120" s="538"/>
      <c r="D120" s="538"/>
      <c r="E120" s="538"/>
      <c r="F120" s="540"/>
      <c r="G120" s="538"/>
      <c r="H120" s="538"/>
      <c r="I120" s="538"/>
      <c r="J120" s="538"/>
      <c r="K120" s="540"/>
      <c r="L120" s="540"/>
      <c r="M120" s="588"/>
      <c r="N120" s="538"/>
      <c r="O120" s="588"/>
      <c r="P120" s="538"/>
      <c r="Q120" s="588"/>
      <c r="R120" s="538"/>
      <c r="S120" s="588"/>
      <c r="T120" s="538"/>
      <c r="U120" s="588"/>
      <c r="V120" s="538"/>
      <c r="W120" s="538"/>
      <c r="X120" s="538"/>
      <c r="Y120" s="538"/>
      <c r="Z120" s="538"/>
      <c r="AA120" s="538"/>
      <c r="AB120" s="538"/>
      <c r="AC120" s="538"/>
      <c r="AD120" s="538"/>
      <c r="AE120" s="538"/>
      <c r="AF120" s="538"/>
      <c r="AG120" s="538"/>
      <c r="AH120" s="538"/>
      <c r="AI120" s="538"/>
    </row>
    <row r="121" spans="1:35">
      <c r="A121" s="538"/>
      <c r="B121" s="538"/>
      <c r="C121" s="538"/>
      <c r="D121" s="538"/>
      <c r="E121" s="538"/>
      <c r="F121" s="540"/>
      <c r="G121" s="538"/>
      <c r="H121" s="538"/>
      <c r="I121" s="538"/>
      <c r="J121" s="538"/>
      <c r="K121" s="540"/>
      <c r="L121" s="540"/>
      <c r="M121" s="588"/>
      <c r="N121" s="538"/>
      <c r="O121" s="588"/>
      <c r="P121" s="538"/>
      <c r="Q121" s="588"/>
      <c r="R121" s="538"/>
      <c r="S121" s="588"/>
      <c r="T121" s="538"/>
      <c r="U121" s="588"/>
      <c r="V121" s="538"/>
      <c r="W121" s="538"/>
      <c r="X121" s="538"/>
      <c r="Y121" s="538"/>
      <c r="Z121" s="538"/>
      <c r="AA121" s="538"/>
      <c r="AB121" s="538"/>
      <c r="AC121" s="538"/>
      <c r="AD121" s="538"/>
      <c r="AE121" s="538"/>
      <c r="AF121" s="538"/>
      <c r="AG121" s="538"/>
      <c r="AH121" s="538"/>
      <c r="AI121" s="538"/>
    </row>
    <row r="122" spans="1:35">
      <c r="A122" s="538"/>
      <c r="B122" s="538"/>
      <c r="C122" s="538"/>
      <c r="D122" s="538"/>
      <c r="E122" s="538"/>
      <c r="F122" s="540"/>
      <c r="G122" s="538"/>
      <c r="H122" s="538"/>
      <c r="I122" s="538"/>
      <c r="J122" s="538"/>
      <c r="K122" s="540"/>
      <c r="L122" s="540"/>
      <c r="M122" s="588"/>
      <c r="N122" s="538"/>
      <c r="O122" s="588"/>
      <c r="P122" s="538"/>
      <c r="Q122" s="588"/>
      <c r="R122" s="538"/>
      <c r="S122" s="588"/>
      <c r="T122" s="538"/>
      <c r="U122" s="588"/>
      <c r="V122" s="538"/>
      <c r="W122" s="538"/>
      <c r="X122" s="538"/>
      <c r="Y122" s="538"/>
      <c r="Z122" s="538"/>
      <c r="AA122" s="538"/>
      <c r="AB122" s="538"/>
      <c r="AC122" s="538"/>
      <c r="AD122" s="538"/>
      <c r="AE122" s="538"/>
      <c r="AF122" s="538"/>
      <c r="AG122" s="538"/>
      <c r="AH122" s="538"/>
      <c r="AI122" s="538"/>
    </row>
    <row r="123" spans="1:35">
      <c r="A123" s="538"/>
      <c r="B123" s="538"/>
      <c r="C123" s="538"/>
      <c r="D123" s="538"/>
      <c r="E123" s="538"/>
      <c r="F123" s="540"/>
      <c r="G123" s="538"/>
      <c r="H123" s="538"/>
      <c r="I123" s="538"/>
      <c r="J123" s="538"/>
      <c r="K123" s="540"/>
      <c r="L123" s="540"/>
      <c r="M123" s="588"/>
      <c r="N123" s="538"/>
      <c r="O123" s="588"/>
      <c r="P123" s="538"/>
      <c r="Q123" s="588"/>
      <c r="R123" s="538"/>
      <c r="S123" s="588"/>
      <c r="T123" s="538"/>
      <c r="U123" s="588"/>
      <c r="V123" s="538"/>
      <c r="W123" s="538"/>
      <c r="X123" s="538"/>
      <c r="Y123" s="538"/>
      <c r="Z123" s="538"/>
      <c r="AA123" s="538"/>
      <c r="AB123" s="538"/>
      <c r="AC123" s="538"/>
      <c r="AD123" s="538"/>
      <c r="AE123" s="538"/>
      <c r="AF123" s="538"/>
      <c r="AG123" s="538"/>
      <c r="AH123" s="538"/>
      <c r="AI123" s="538"/>
    </row>
    <row r="124" spans="1:35">
      <c r="A124" s="538"/>
      <c r="B124" s="538"/>
      <c r="C124" s="538"/>
      <c r="D124" s="538"/>
      <c r="E124" s="538"/>
      <c r="F124" s="540"/>
      <c r="G124" s="538"/>
      <c r="H124" s="538"/>
      <c r="I124" s="538"/>
      <c r="J124" s="538"/>
      <c r="K124" s="540"/>
      <c r="L124" s="540"/>
      <c r="M124" s="588"/>
      <c r="N124" s="538"/>
      <c r="O124" s="588"/>
      <c r="P124" s="538"/>
      <c r="Q124" s="588"/>
      <c r="R124" s="538"/>
      <c r="S124" s="588"/>
      <c r="T124" s="538"/>
      <c r="U124" s="588"/>
      <c r="V124" s="538"/>
      <c r="W124" s="538"/>
      <c r="X124" s="538"/>
      <c r="Y124" s="538"/>
      <c r="Z124" s="538"/>
      <c r="AA124" s="538"/>
      <c r="AB124" s="538"/>
      <c r="AC124" s="538"/>
      <c r="AD124" s="538"/>
      <c r="AE124" s="538"/>
      <c r="AF124" s="538"/>
      <c r="AG124" s="538"/>
      <c r="AH124" s="538"/>
      <c r="AI124" s="538"/>
    </row>
    <row r="125" spans="1:35">
      <c r="A125" s="538"/>
      <c r="B125" s="538"/>
      <c r="C125" s="538"/>
      <c r="D125" s="538"/>
      <c r="E125" s="538"/>
      <c r="F125" s="540"/>
      <c r="G125" s="538"/>
      <c r="H125" s="538"/>
      <c r="I125" s="538"/>
      <c r="J125" s="538"/>
      <c r="K125" s="540"/>
      <c r="L125" s="540"/>
      <c r="M125" s="588"/>
      <c r="N125" s="538"/>
      <c r="O125" s="588"/>
      <c r="P125" s="538"/>
      <c r="Q125" s="588"/>
      <c r="R125" s="538"/>
      <c r="S125" s="588"/>
      <c r="T125" s="538"/>
      <c r="U125" s="588"/>
      <c r="V125" s="538"/>
      <c r="W125" s="538"/>
      <c r="X125" s="538"/>
      <c r="Y125" s="538"/>
      <c r="Z125" s="538"/>
      <c r="AA125" s="538"/>
      <c r="AB125" s="538"/>
      <c r="AC125" s="538"/>
      <c r="AD125" s="538"/>
      <c r="AE125" s="538"/>
      <c r="AF125" s="538"/>
      <c r="AG125" s="538"/>
      <c r="AH125" s="538"/>
      <c r="AI125" s="538"/>
    </row>
    <row r="126" spans="1:35">
      <c r="A126" s="538"/>
      <c r="B126" s="538"/>
      <c r="C126" s="538"/>
      <c r="D126" s="538"/>
      <c r="E126" s="538"/>
      <c r="F126" s="540"/>
      <c r="G126" s="538"/>
      <c r="H126" s="538"/>
      <c r="I126" s="538"/>
      <c r="J126" s="538"/>
      <c r="K126" s="540"/>
      <c r="L126" s="540"/>
      <c r="M126" s="588"/>
      <c r="N126" s="538"/>
      <c r="O126" s="588"/>
      <c r="P126" s="538"/>
      <c r="Q126" s="588"/>
      <c r="R126" s="538"/>
      <c r="S126" s="588"/>
      <c r="T126" s="538"/>
      <c r="U126" s="588"/>
      <c r="V126" s="538"/>
      <c r="W126" s="538"/>
      <c r="X126" s="538"/>
      <c r="Y126" s="538"/>
      <c r="Z126" s="538"/>
      <c r="AA126" s="538"/>
      <c r="AB126" s="538"/>
      <c r="AC126" s="538"/>
      <c r="AD126" s="538"/>
      <c r="AE126" s="538"/>
      <c r="AF126" s="538"/>
      <c r="AG126" s="538"/>
      <c r="AH126" s="538"/>
      <c r="AI126" s="538"/>
    </row>
    <row r="127" spans="1:35">
      <c r="A127" s="538"/>
      <c r="B127" s="538"/>
      <c r="C127" s="538"/>
      <c r="D127" s="538"/>
      <c r="E127" s="538"/>
      <c r="F127" s="540"/>
      <c r="G127" s="538"/>
      <c r="H127" s="538"/>
      <c r="I127" s="538"/>
      <c r="J127" s="538"/>
      <c r="K127" s="540"/>
      <c r="L127" s="540"/>
      <c r="M127" s="588"/>
      <c r="N127" s="538"/>
      <c r="O127" s="588"/>
      <c r="P127" s="538"/>
      <c r="Q127" s="588"/>
      <c r="R127" s="538"/>
      <c r="S127" s="588"/>
      <c r="T127" s="538"/>
      <c r="U127" s="588"/>
      <c r="V127" s="538"/>
      <c r="W127" s="538"/>
      <c r="X127" s="538"/>
      <c r="Y127" s="538"/>
      <c r="Z127" s="538"/>
      <c r="AA127" s="538"/>
      <c r="AB127" s="538"/>
      <c r="AC127" s="538"/>
      <c r="AD127" s="538"/>
      <c r="AE127" s="538"/>
      <c r="AF127" s="538"/>
      <c r="AG127" s="538"/>
      <c r="AH127" s="538"/>
      <c r="AI127" s="538"/>
    </row>
    <row r="128" spans="1:35">
      <c r="A128" s="538"/>
      <c r="B128" s="538"/>
      <c r="C128" s="538"/>
      <c r="D128" s="538"/>
      <c r="E128" s="538"/>
      <c r="F128" s="540"/>
      <c r="G128" s="538"/>
      <c r="H128" s="538"/>
      <c r="I128" s="538"/>
      <c r="J128" s="538"/>
      <c r="K128" s="540"/>
      <c r="L128" s="540"/>
      <c r="M128" s="588"/>
      <c r="N128" s="538"/>
      <c r="O128" s="588"/>
      <c r="P128" s="538"/>
      <c r="Q128" s="588"/>
      <c r="R128" s="538"/>
      <c r="S128" s="588"/>
      <c r="T128" s="538"/>
      <c r="U128" s="588"/>
      <c r="V128" s="538"/>
      <c r="W128" s="538"/>
      <c r="X128" s="538"/>
      <c r="Y128" s="538"/>
      <c r="Z128" s="538"/>
      <c r="AA128" s="538"/>
      <c r="AB128" s="538"/>
      <c r="AC128" s="538"/>
      <c r="AD128" s="538"/>
      <c r="AE128" s="538"/>
      <c r="AF128" s="538"/>
      <c r="AG128" s="538"/>
      <c r="AH128" s="538"/>
      <c r="AI128" s="538"/>
    </row>
    <row r="129" spans="1:35">
      <c r="A129" s="538"/>
      <c r="B129" s="538"/>
      <c r="C129" s="538"/>
      <c r="D129" s="538"/>
      <c r="E129" s="538"/>
      <c r="F129" s="540"/>
      <c r="G129" s="538"/>
      <c r="H129" s="538"/>
      <c r="I129" s="538"/>
      <c r="J129" s="538"/>
      <c r="K129" s="540"/>
      <c r="L129" s="540"/>
      <c r="M129" s="588"/>
      <c r="N129" s="538"/>
      <c r="O129" s="588"/>
      <c r="P129" s="538"/>
      <c r="Q129" s="588"/>
      <c r="R129" s="538"/>
      <c r="S129" s="588"/>
      <c r="T129" s="538"/>
      <c r="U129" s="588"/>
      <c r="V129" s="538"/>
      <c r="W129" s="538"/>
      <c r="X129" s="538"/>
      <c r="Y129" s="538"/>
      <c r="Z129" s="538"/>
      <c r="AA129" s="538"/>
      <c r="AB129" s="538"/>
      <c r="AC129" s="538"/>
      <c r="AD129" s="538"/>
      <c r="AE129" s="538"/>
      <c r="AF129" s="538"/>
      <c r="AG129" s="538"/>
      <c r="AH129" s="538"/>
      <c r="AI129" s="538"/>
    </row>
    <row r="130" spans="1:35">
      <c r="A130" s="538"/>
      <c r="B130" s="538"/>
      <c r="C130" s="538"/>
      <c r="D130" s="538"/>
      <c r="E130" s="538"/>
      <c r="F130" s="540"/>
      <c r="G130" s="538"/>
      <c r="H130" s="538"/>
      <c r="I130" s="538"/>
      <c r="J130" s="538"/>
      <c r="K130" s="540"/>
      <c r="L130" s="540"/>
      <c r="M130" s="588"/>
      <c r="N130" s="538"/>
      <c r="O130" s="588"/>
      <c r="P130" s="538"/>
      <c r="Q130" s="588"/>
      <c r="R130" s="538"/>
      <c r="S130" s="588"/>
      <c r="T130" s="538"/>
      <c r="U130" s="588"/>
      <c r="V130" s="538"/>
      <c r="W130" s="538"/>
      <c r="X130" s="538"/>
      <c r="Y130" s="538"/>
      <c r="Z130" s="538"/>
      <c r="AA130" s="538"/>
      <c r="AB130" s="538"/>
      <c r="AC130" s="538"/>
      <c r="AD130" s="538"/>
      <c r="AE130" s="538"/>
      <c r="AF130" s="538"/>
      <c r="AG130" s="538"/>
      <c r="AH130" s="538"/>
      <c r="AI130" s="538"/>
    </row>
    <row r="131" spans="1:35">
      <c r="A131" s="538"/>
      <c r="B131" s="538"/>
      <c r="C131" s="538"/>
      <c r="D131" s="538"/>
      <c r="E131" s="538"/>
      <c r="F131" s="540"/>
      <c r="G131" s="538"/>
      <c r="H131" s="538"/>
      <c r="I131" s="538"/>
      <c r="J131" s="538"/>
      <c r="K131" s="540"/>
      <c r="L131" s="540"/>
      <c r="M131" s="588"/>
      <c r="N131" s="538"/>
      <c r="O131" s="588"/>
      <c r="P131" s="538"/>
      <c r="Q131" s="588"/>
      <c r="R131" s="538"/>
      <c r="S131" s="588"/>
      <c r="T131" s="538"/>
      <c r="U131" s="588"/>
      <c r="V131" s="538"/>
      <c r="W131" s="538"/>
      <c r="X131" s="538"/>
      <c r="Y131" s="538"/>
      <c r="Z131" s="538"/>
      <c r="AA131" s="538"/>
      <c r="AB131" s="538"/>
      <c r="AC131" s="538"/>
      <c r="AD131" s="538"/>
      <c r="AE131" s="538"/>
      <c r="AF131" s="538"/>
      <c r="AG131" s="538"/>
      <c r="AH131" s="538"/>
      <c r="AI131" s="538"/>
    </row>
    <row r="132" spans="1:35">
      <c r="A132" s="538"/>
      <c r="B132" s="538"/>
      <c r="C132" s="538"/>
      <c r="D132" s="538"/>
      <c r="E132" s="538"/>
      <c r="F132" s="540"/>
      <c r="G132" s="538"/>
      <c r="H132" s="538"/>
      <c r="I132" s="538"/>
      <c r="J132" s="538"/>
      <c r="K132" s="540"/>
      <c r="L132" s="540"/>
      <c r="M132" s="588"/>
      <c r="N132" s="538"/>
      <c r="O132" s="588"/>
      <c r="P132" s="538"/>
      <c r="Q132" s="588"/>
      <c r="R132" s="538"/>
      <c r="S132" s="588"/>
      <c r="T132" s="538"/>
      <c r="U132" s="588"/>
      <c r="V132" s="538"/>
      <c r="W132" s="538"/>
      <c r="X132" s="538"/>
      <c r="Y132" s="538"/>
      <c r="Z132" s="538"/>
      <c r="AA132" s="538"/>
      <c r="AB132" s="538"/>
      <c r="AC132" s="538"/>
      <c r="AD132" s="538"/>
      <c r="AE132" s="538"/>
      <c r="AF132" s="538"/>
      <c r="AG132" s="538"/>
      <c r="AH132" s="538"/>
      <c r="AI132" s="538"/>
    </row>
    <row r="133" spans="1:35">
      <c r="A133" s="538"/>
      <c r="B133" s="538"/>
      <c r="C133" s="538"/>
      <c r="D133" s="538"/>
      <c r="E133" s="538"/>
      <c r="F133" s="540"/>
      <c r="G133" s="538"/>
      <c r="H133" s="538"/>
      <c r="I133" s="538"/>
      <c r="J133" s="538"/>
      <c r="K133" s="540"/>
      <c r="L133" s="540"/>
      <c r="M133" s="588"/>
      <c r="N133" s="538"/>
      <c r="O133" s="588"/>
      <c r="P133" s="538"/>
      <c r="Q133" s="588"/>
      <c r="R133" s="538"/>
      <c r="S133" s="588"/>
      <c r="T133" s="538"/>
      <c r="U133" s="588"/>
      <c r="V133" s="538"/>
      <c r="W133" s="538"/>
      <c r="X133" s="538"/>
      <c r="Y133" s="538"/>
      <c r="Z133" s="538"/>
      <c r="AA133" s="538"/>
      <c r="AB133" s="538"/>
      <c r="AC133" s="538"/>
      <c r="AD133" s="538"/>
      <c r="AE133" s="538"/>
      <c r="AF133" s="538"/>
      <c r="AG133" s="538"/>
      <c r="AH133" s="538"/>
      <c r="AI133" s="538"/>
    </row>
    <row r="134" spans="1:35">
      <c r="A134" s="538"/>
      <c r="B134" s="538"/>
      <c r="C134" s="538"/>
      <c r="D134" s="538"/>
      <c r="E134" s="538"/>
      <c r="F134" s="540"/>
      <c r="G134" s="538"/>
      <c r="H134" s="538"/>
      <c r="I134" s="538"/>
      <c r="J134" s="538"/>
      <c r="K134" s="540"/>
      <c r="L134" s="540"/>
      <c r="M134" s="588"/>
      <c r="N134" s="538"/>
      <c r="O134" s="588"/>
      <c r="P134" s="538"/>
      <c r="Q134" s="588"/>
      <c r="R134" s="538"/>
      <c r="S134" s="588"/>
      <c r="T134" s="538"/>
      <c r="U134" s="588"/>
      <c r="V134" s="538"/>
      <c r="W134" s="538"/>
      <c r="X134" s="538"/>
      <c r="Y134" s="538"/>
      <c r="Z134" s="538"/>
      <c r="AA134" s="538"/>
      <c r="AB134" s="538"/>
      <c r="AC134" s="538"/>
      <c r="AD134" s="538"/>
      <c r="AE134" s="538"/>
      <c r="AF134" s="538"/>
      <c r="AG134" s="538"/>
      <c r="AH134" s="538"/>
      <c r="AI134" s="538"/>
    </row>
    <row r="135" spans="1:35">
      <c r="A135" s="538"/>
      <c r="B135" s="538"/>
      <c r="C135" s="538"/>
      <c r="D135" s="538"/>
      <c r="E135" s="538"/>
      <c r="F135" s="540"/>
      <c r="G135" s="538"/>
      <c r="H135" s="538"/>
      <c r="I135" s="538"/>
      <c r="J135" s="538"/>
      <c r="K135" s="540"/>
      <c r="L135" s="540"/>
      <c r="M135" s="588"/>
      <c r="N135" s="538"/>
      <c r="O135" s="588"/>
      <c r="P135" s="538"/>
      <c r="Q135" s="588"/>
      <c r="R135" s="538"/>
      <c r="S135" s="588"/>
      <c r="T135" s="538"/>
      <c r="U135" s="588"/>
      <c r="V135" s="538"/>
      <c r="W135" s="538"/>
      <c r="X135" s="538"/>
      <c r="Y135" s="538"/>
      <c r="Z135" s="538"/>
      <c r="AA135" s="538"/>
      <c r="AB135" s="538"/>
      <c r="AC135" s="538"/>
      <c r="AD135" s="538"/>
      <c r="AE135" s="538"/>
      <c r="AF135" s="538"/>
      <c r="AG135" s="538"/>
      <c r="AH135" s="538"/>
      <c r="AI135" s="538"/>
    </row>
    <row r="136" spans="1:35">
      <c r="A136" s="538"/>
      <c r="B136" s="538"/>
      <c r="C136" s="538"/>
      <c r="D136" s="538"/>
      <c r="E136" s="538"/>
      <c r="F136" s="540"/>
      <c r="G136" s="538"/>
      <c r="H136" s="538"/>
      <c r="I136" s="538"/>
      <c r="J136" s="538"/>
      <c r="K136" s="540"/>
      <c r="L136" s="540"/>
      <c r="M136" s="588"/>
      <c r="N136" s="538"/>
      <c r="O136" s="588"/>
      <c r="P136" s="538"/>
      <c r="Q136" s="588"/>
      <c r="R136" s="538"/>
      <c r="S136" s="588"/>
      <c r="T136" s="538"/>
      <c r="U136" s="588"/>
      <c r="V136" s="538"/>
      <c r="W136" s="538"/>
      <c r="X136" s="538"/>
      <c r="Y136" s="538"/>
      <c r="Z136" s="538"/>
      <c r="AA136" s="538"/>
      <c r="AB136" s="538"/>
      <c r="AC136" s="538"/>
      <c r="AD136" s="538"/>
      <c r="AE136" s="538"/>
      <c r="AF136" s="538"/>
      <c r="AG136" s="538"/>
      <c r="AH136" s="538"/>
      <c r="AI136" s="538"/>
    </row>
    <row r="137" spans="1:35">
      <c r="A137" s="538"/>
      <c r="B137" s="538"/>
      <c r="C137" s="538"/>
      <c r="D137" s="538"/>
      <c r="E137" s="538"/>
      <c r="F137" s="540"/>
      <c r="G137" s="538"/>
      <c r="H137" s="538"/>
      <c r="I137" s="538"/>
      <c r="J137" s="538"/>
      <c r="K137" s="540"/>
      <c r="L137" s="540"/>
      <c r="M137" s="588"/>
      <c r="N137" s="538"/>
      <c r="O137" s="588"/>
      <c r="P137" s="538"/>
      <c r="Q137" s="588"/>
      <c r="R137" s="538"/>
      <c r="S137" s="588"/>
      <c r="T137" s="538"/>
      <c r="U137" s="588"/>
      <c r="V137" s="538"/>
      <c r="W137" s="538"/>
      <c r="X137" s="538"/>
      <c r="Y137" s="538"/>
      <c r="Z137" s="538"/>
      <c r="AA137" s="538"/>
      <c r="AB137" s="538"/>
      <c r="AC137" s="538"/>
      <c r="AD137" s="538"/>
      <c r="AE137" s="538"/>
      <c r="AF137" s="538"/>
      <c r="AG137" s="538"/>
      <c r="AH137" s="538"/>
      <c r="AI137" s="538"/>
    </row>
    <row r="138" spans="1:35">
      <c r="A138" s="538"/>
      <c r="B138" s="538"/>
      <c r="C138" s="538"/>
      <c r="D138" s="538"/>
      <c r="E138" s="538"/>
      <c r="F138" s="540"/>
      <c r="G138" s="538"/>
      <c r="H138" s="538"/>
      <c r="I138" s="538"/>
      <c r="J138" s="538"/>
      <c r="K138" s="540"/>
      <c r="L138" s="540"/>
      <c r="M138" s="588"/>
      <c r="N138" s="538"/>
      <c r="O138" s="588"/>
      <c r="P138" s="538"/>
      <c r="Q138" s="588"/>
      <c r="R138" s="538"/>
      <c r="S138" s="588"/>
      <c r="T138" s="538"/>
      <c r="U138" s="588"/>
      <c r="V138" s="538"/>
      <c r="W138" s="538"/>
      <c r="X138" s="538"/>
      <c r="Y138" s="538"/>
      <c r="Z138" s="538"/>
      <c r="AA138" s="538"/>
      <c r="AB138" s="538"/>
      <c r="AC138" s="538"/>
      <c r="AD138" s="538"/>
      <c r="AE138" s="538"/>
      <c r="AF138" s="538"/>
      <c r="AG138" s="538"/>
      <c r="AH138" s="538"/>
      <c r="AI138" s="538"/>
    </row>
    <row r="139" spans="1:35">
      <c r="A139" s="538"/>
      <c r="B139" s="538"/>
      <c r="C139" s="538"/>
      <c r="D139" s="538"/>
      <c r="E139" s="538"/>
      <c r="F139" s="540"/>
      <c r="G139" s="538"/>
      <c r="H139" s="538"/>
      <c r="I139" s="538"/>
      <c r="J139" s="538"/>
      <c r="K139" s="540"/>
      <c r="L139" s="540"/>
      <c r="M139" s="588"/>
      <c r="N139" s="538"/>
      <c r="O139" s="588"/>
      <c r="P139" s="538"/>
      <c r="Q139" s="588"/>
      <c r="R139" s="538"/>
      <c r="S139" s="588"/>
      <c r="T139" s="538"/>
      <c r="U139" s="588"/>
      <c r="V139" s="538"/>
      <c r="W139" s="538"/>
      <c r="X139" s="538"/>
      <c r="Y139" s="538"/>
      <c r="Z139" s="538"/>
      <c r="AA139" s="538"/>
      <c r="AB139" s="538"/>
      <c r="AC139" s="538"/>
      <c r="AD139" s="538"/>
      <c r="AE139" s="538"/>
      <c r="AF139" s="538"/>
      <c r="AG139" s="538"/>
      <c r="AH139" s="538"/>
      <c r="AI139" s="538"/>
    </row>
    <row r="140" spans="1:35">
      <c r="A140" s="538"/>
      <c r="B140" s="538"/>
      <c r="C140" s="538"/>
      <c r="D140" s="538"/>
      <c r="E140" s="538"/>
      <c r="F140" s="540"/>
      <c r="G140" s="538"/>
      <c r="H140" s="538"/>
      <c r="I140" s="538"/>
      <c r="J140" s="538"/>
      <c r="K140" s="540"/>
      <c r="L140" s="540"/>
      <c r="M140" s="588"/>
      <c r="N140" s="538"/>
      <c r="O140" s="588"/>
      <c r="P140" s="538"/>
      <c r="Q140" s="588"/>
      <c r="R140" s="538"/>
      <c r="S140" s="588"/>
      <c r="T140" s="538"/>
      <c r="U140" s="588"/>
      <c r="V140" s="538"/>
      <c r="W140" s="538"/>
      <c r="X140" s="538"/>
      <c r="Y140" s="538"/>
      <c r="Z140" s="538"/>
      <c r="AA140" s="538"/>
      <c r="AB140" s="538"/>
      <c r="AC140" s="538"/>
      <c r="AD140" s="538"/>
      <c r="AE140" s="538"/>
      <c r="AF140" s="538"/>
      <c r="AG140" s="538"/>
      <c r="AH140" s="538"/>
      <c r="AI140" s="538"/>
    </row>
    <row r="141" spans="1:35">
      <c r="A141" s="538"/>
      <c r="B141" s="538"/>
      <c r="C141" s="538"/>
      <c r="D141" s="538"/>
      <c r="E141" s="538"/>
      <c r="F141" s="540"/>
      <c r="G141" s="538"/>
      <c r="H141" s="538"/>
      <c r="I141" s="538"/>
      <c r="J141" s="538"/>
      <c r="K141" s="540"/>
      <c r="L141" s="540"/>
      <c r="M141" s="588"/>
      <c r="N141" s="538"/>
      <c r="O141" s="588"/>
      <c r="P141" s="538"/>
      <c r="Q141" s="588"/>
      <c r="R141" s="538"/>
      <c r="S141" s="588"/>
      <c r="T141" s="538"/>
      <c r="U141" s="588"/>
      <c r="V141" s="538"/>
      <c r="W141" s="538"/>
      <c r="X141" s="538"/>
      <c r="Y141" s="538"/>
      <c r="Z141" s="538"/>
      <c r="AA141" s="538"/>
      <c r="AB141" s="538"/>
      <c r="AC141" s="538"/>
      <c r="AD141" s="538"/>
      <c r="AE141" s="538"/>
      <c r="AF141" s="538"/>
      <c r="AG141" s="538"/>
      <c r="AH141" s="538"/>
      <c r="AI141" s="538"/>
    </row>
    <row r="142" spans="1:35">
      <c r="A142" s="538"/>
      <c r="B142" s="538"/>
      <c r="C142" s="538"/>
      <c r="D142" s="538"/>
      <c r="E142" s="538"/>
      <c r="F142" s="540"/>
      <c r="G142" s="538"/>
      <c r="H142" s="538"/>
      <c r="I142" s="538"/>
      <c r="J142" s="538"/>
      <c r="K142" s="540"/>
      <c r="L142" s="540"/>
      <c r="M142" s="588"/>
      <c r="N142" s="538"/>
      <c r="O142" s="588"/>
      <c r="P142" s="538"/>
      <c r="Q142" s="588"/>
      <c r="R142" s="538"/>
      <c r="S142" s="588"/>
      <c r="T142" s="538"/>
      <c r="U142" s="588"/>
      <c r="V142" s="538"/>
      <c r="W142" s="538"/>
      <c r="X142" s="538"/>
      <c r="Y142" s="538"/>
      <c r="Z142" s="538"/>
      <c r="AA142" s="538"/>
      <c r="AB142" s="538"/>
      <c r="AC142" s="538"/>
      <c r="AD142" s="538"/>
      <c r="AE142" s="538"/>
      <c r="AF142" s="538"/>
      <c r="AG142" s="538"/>
      <c r="AH142" s="538"/>
      <c r="AI142" s="538"/>
    </row>
    <row r="143" spans="1:35">
      <c r="A143" s="538"/>
      <c r="B143" s="538"/>
      <c r="C143" s="538"/>
      <c r="D143" s="538"/>
      <c r="E143" s="538"/>
      <c r="F143" s="540"/>
      <c r="G143" s="538"/>
      <c r="H143" s="538"/>
      <c r="I143" s="538"/>
      <c r="J143" s="538"/>
      <c r="K143" s="540"/>
      <c r="L143" s="540"/>
      <c r="M143" s="588"/>
      <c r="N143" s="538"/>
      <c r="O143" s="588"/>
      <c r="P143" s="538"/>
      <c r="Q143" s="588"/>
      <c r="R143" s="538"/>
      <c r="S143" s="588"/>
      <c r="T143" s="538"/>
      <c r="U143" s="588"/>
      <c r="V143" s="538"/>
      <c r="W143" s="538"/>
      <c r="X143" s="538"/>
      <c r="Y143" s="538"/>
      <c r="Z143" s="538"/>
      <c r="AA143" s="538"/>
      <c r="AB143" s="538"/>
      <c r="AC143" s="538"/>
      <c r="AD143" s="538"/>
      <c r="AE143" s="538"/>
      <c r="AF143" s="538"/>
      <c r="AG143" s="538"/>
      <c r="AH143" s="538"/>
      <c r="AI143" s="538"/>
    </row>
    <row r="144" spans="1:35">
      <c r="A144" s="538"/>
      <c r="B144" s="538"/>
      <c r="C144" s="538"/>
      <c r="D144" s="538"/>
      <c r="E144" s="538"/>
      <c r="F144" s="540"/>
      <c r="G144" s="538"/>
      <c r="H144" s="538"/>
      <c r="I144" s="538"/>
      <c r="J144" s="538"/>
      <c r="K144" s="540"/>
      <c r="L144" s="540"/>
      <c r="M144" s="588"/>
      <c r="N144" s="538"/>
      <c r="O144" s="588"/>
      <c r="P144" s="538"/>
      <c r="Q144" s="588"/>
      <c r="R144" s="538"/>
      <c r="S144" s="588"/>
      <c r="T144" s="538"/>
      <c r="U144" s="588"/>
      <c r="V144" s="538"/>
      <c r="W144" s="538"/>
      <c r="X144" s="538"/>
      <c r="Y144" s="538"/>
      <c r="Z144" s="538"/>
      <c r="AA144" s="538"/>
      <c r="AB144" s="538"/>
      <c r="AC144" s="538"/>
      <c r="AD144" s="538"/>
      <c r="AE144" s="538"/>
      <c r="AF144" s="538"/>
      <c r="AG144" s="538"/>
      <c r="AH144" s="538"/>
      <c r="AI144" s="538"/>
    </row>
    <row r="145" spans="1:35">
      <c r="A145" s="538"/>
      <c r="B145" s="538"/>
      <c r="C145" s="538"/>
      <c r="D145" s="538"/>
      <c r="E145" s="538"/>
      <c r="F145" s="540"/>
      <c r="G145" s="538"/>
      <c r="H145" s="538"/>
      <c r="I145" s="538"/>
      <c r="J145" s="538"/>
      <c r="K145" s="540"/>
      <c r="L145" s="540"/>
      <c r="M145" s="588"/>
      <c r="N145" s="538"/>
      <c r="O145" s="588"/>
      <c r="P145" s="538"/>
      <c r="Q145" s="588"/>
      <c r="R145" s="538"/>
      <c r="S145" s="588"/>
      <c r="T145" s="538"/>
      <c r="U145" s="588"/>
      <c r="V145" s="538"/>
      <c r="W145" s="538"/>
      <c r="X145" s="538"/>
      <c r="Y145" s="538"/>
      <c r="Z145" s="538"/>
      <c r="AA145" s="538"/>
      <c r="AB145" s="538"/>
      <c r="AC145" s="538"/>
      <c r="AD145" s="538"/>
      <c r="AE145" s="538"/>
      <c r="AF145" s="538"/>
      <c r="AG145" s="538"/>
      <c r="AH145" s="538"/>
      <c r="AI145" s="538"/>
    </row>
    <row r="146" spans="1:35">
      <c r="A146" s="538"/>
      <c r="B146" s="538"/>
      <c r="C146" s="538"/>
      <c r="D146" s="538"/>
      <c r="E146" s="538"/>
      <c r="F146" s="540"/>
      <c r="G146" s="538"/>
      <c r="H146" s="538"/>
      <c r="I146" s="538"/>
      <c r="J146" s="538"/>
      <c r="K146" s="540"/>
      <c r="L146" s="540"/>
      <c r="M146" s="588"/>
      <c r="N146" s="538"/>
      <c r="O146" s="588"/>
      <c r="P146" s="538"/>
      <c r="Q146" s="588"/>
      <c r="R146" s="538"/>
      <c r="S146" s="588"/>
      <c r="T146" s="538"/>
      <c r="U146" s="588"/>
      <c r="V146" s="538"/>
      <c r="W146" s="538"/>
      <c r="X146" s="538"/>
      <c r="Y146" s="538"/>
      <c r="Z146" s="538"/>
      <c r="AA146" s="538"/>
      <c r="AB146" s="538"/>
      <c r="AC146" s="538"/>
      <c r="AD146" s="538"/>
      <c r="AE146" s="538"/>
      <c r="AF146" s="538"/>
      <c r="AG146" s="538"/>
      <c r="AH146" s="538"/>
      <c r="AI146" s="538"/>
    </row>
    <row r="147" spans="1:35">
      <c r="A147" s="538"/>
      <c r="B147" s="538"/>
      <c r="C147" s="538"/>
      <c r="D147" s="538"/>
      <c r="E147" s="538"/>
      <c r="F147" s="540"/>
      <c r="G147" s="538"/>
      <c r="H147" s="538"/>
      <c r="I147" s="538"/>
      <c r="J147" s="538"/>
      <c r="K147" s="540"/>
      <c r="L147" s="540"/>
      <c r="M147" s="588"/>
      <c r="N147" s="538"/>
      <c r="O147" s="588"/>
      <c r="P147" s="538"/>
      <c r="Q147" s="588"/>
      <c r="R147" s="538"/>
      <c r="S147" s="588"/>
      <c r="T147" s="538"/>
      <c r="U147" s="588"/>
      <c r="V147" s="538"/>
      <c r="W147" s="538"/>
      <c r="X147" s="538"/>
      <c r="Y147" s="538"/>
      <c r="Z147" s="538"/>
      <c r="AA147" s="538"/>
      <c r="AB147" s="538"/>
      <c r="AC147" s="538"/>
      <c r="AD147" s="538"/>
      <c r="AE147" s="538"/>
      <c r="AF147" s="538"/>
      <c r="AG147" s="538"/>
      <c r="AH147" s="538"/>
      <c r="AI147" s="538"/>
    </row>
    <row r="148" spans="1:35">
      <c r="A148" s="538"/>
      <c r="B148" s="538"/>
      <c r="C148" s="538"/>
      <c r="D148" s="538"/>
      <c r="E148" s="538"/>
      <c r="F148" s="540"/>
      <c r="G148" s="538"/>
      <c r="H148" s="538"/>
      <c r="I148" s="538"/>
      <c r="J148" s="538"/>
      <c r="K148" s="540"/>
      <c r="L148" s="540"/>
      <c r="M148" s="588"/>
      <c r="N148" s="538"/>
      <c r="O148" s="588"/>
      <c r="P148" s="538"/>
      <c r="Q148" s="588"/>
      <c r="R148" s="538"/>
      <c r="S148" s="588"/>
      <c r="T148" s="538"/>
      <c r="U148" s="588"/>
      <c r="V148" s="538"/>
      <c r="W148" s="538"/>
      <c r="X148" s="538"/>
      <c r="Y148" s="538"/>
      <c r="Z148" s="538"/>
      <c r="AA148" s="540"/>
      <c r="AB148" s="540"/>
      <c r="AC148" s="540"/>
      <c r="AD148" s="540"/>
      <c r="AE148" s="540"/>
      <c r="AF148" s="540"/>
      <c r="AG148" s="540"/>
      <c r="AH148" s="540"/>
      <c r="AI148" s="540"/>
    </row>
    <row r="149" spans="1:35">
      <c r="A149" s="538"/>
      <c r="B149" s="538"/>
      <c r="C149" s="538"/>
      <c r="D149" s="538"/>
      <c r="E149" s="538"/>
      <c r="F149" s="540"/>
      <c r="G149" s="538"/>
      <c r="H149" s="538"/>
      <c r="I149" s="538"/>
      <c r="J149" s="538"/>
      <c r="K149" s="540"/>
      <c r="L149" s="540"/>
      <c r="M149" s="588"/>
      <c r="N149" s="538"/>
      <c r="O149" s="588"/>
      <c r="P149" s="538"/>
      <c r="Q149" s="588"/>
      <c r="R149" s="538"/>
      <c r="S149" s="588"/>
      <c r="T149" s="538"/>
      <c r="U149" s="588"/>
      <c r="V149" s="538"/>
      <c r="W149" s="538"/>
      <c r="X149" s="538"/>
      <c r="Y149" s="538"/>
      <c r="Z149" s="538"/>
      <c r="AA149" s="540"/>
      <c r="AB149" s="540"/>
      <c r="AC149" s="540"/>
      <c r="AD149" s="540"/>
      <c r="AE149" s="540"/>
      <c r="AF149" s="540"/>
      <c r="AG149" s="540"/>
      <c r="AH149" s="540"/>
      <c r="AI149" s="540"/>
    </row>
    <row r="150" spans="1:35">
      <c r="A150" s="538"/>
      <c r="B150" s="538"/>
      <c r="C150" s="538"/>
      <c r="D150" s="538"/>
      <c r="E150" s="538"/>
      <c r="F150" s="540"/>
      <c r="G150" s="538"/>
      <c r="H150" s="538"/>
      <c r="I150" s="538"/>
      <c r="J150" s="538"/>
      <c r="K150" s="540"/>
      <c r="L150" s="540"/>
      <c r="M150" s="588"/>
      <c r="N150" s="538"/>
      <c r="O150" s="588"/>
      <c r="P150" s="538"/>
      <c r="Q150" s="588"/>
      <c r="R150" s="538"/>
      <c r="S150" s="588"/>
      <c r="T150" s="538"/>
      <c r="U150" s="588"/>
      <c r="V150" s="538"/>
      <c r="W150" s="538"/>
      <c r="X150" s="538"/>
      <c r="Y150" s="538"/>
      <c r="Z150" s="538"/>
      <c r="AA150" s="540"/>
      <c r="AB150" s="540"/>
      <c r="AC150" s="540"/>
      <c r="AD150" s="540"/>
      <c r="AE150" s="540"/>
      <c r="AF150" s="540"/>
      <c r="AG150" s="540"/>
      <c r="AH150" s="540"/>
      <c r="AI150" s="540"/>
    </row>
    <row r="151" spans="1:35">
      <c r="A151" s="538"/>
      <c r="B151" s="538"/>
      <c r="C151" s="538"/>
      <c r="D151" s="538"/>
      <c r="E151" s="538"/>
      <c r="F151" s="540"/>
      <c r="G151" s="538"/>
      <c r="H151" s="538"/>
      <c r="I151" s="538"/>
      <c r="J151" s="538"/>
      <c r="K151" s="540"/>
      <c r="L151" s="540"/>
      <c r="M151" s="588"/>
      <c r="N151" s="538"/>
      <c r="O151" s="588"/>
      <c r="P151" s="538"/>
      <c r="Q151" s="588"/>
      <c r="R151" s="538"/>
      <c r="S151" s="588"/>
      <c r="T151" s="538"/>
      <c r="U151" s="588"/>
      <c r="V151" s="538"/>
      <c r="W151" s="538"/>
      <c r="X151" s="538"/>
      <c r="Y151" s="538"/>
      <c r="Z151" s="538"/>
      <c r="AA151" s="540"/>
      <c r="AB151" s="540"/>
      <c r="AC151" s="540"/>
      <c r="AD151" s="540"/>
      <c r="AE151" s="540"/>
      <c r="AF151" s="540"/>
      <c r="AG151" s="540"/>
      <c r="AH151" s="540"/>
      <c r="AI151" s="540"/>
    </row>
    <row r="152" spans="1:35">
      <c r="A152" s="538"/>
      <c r="B152" s="538"/>
      <c r="C152" s="538"/>
      <c r="D152" s="538"/>
      <c r="E152" s="538"/>
      <c r="F152" s="540"/>
      <c r="G152" s="538"/>
      <c r="H152" s="538"/>
      <c r="I152" s="538"/>
      <c r="J152" s="538"/>
      <c r="K152" s="540"/>
      <c r="L152" s="540"/>
      <c r="M152" s="588"/>
      <c r="N152" s="538"/>
      <c r="O152" s="588"/>
      <c r="P152" s="538"/>
      <c r="Q152" s="588"/>
      <c r="R152" s="538"/>
      <c r="S152" s="588"/>
      <c r="T152" s="538"/>
      <c r="U152" s="588"/>
      <c r="V152" s="538"/>
      <c r="W152" s="538"/>
      <c r="X152" s="538"/>
      <c r="Y152" s="538"/>
      <c r="Z152" s="538"/>
      <c r="AA152" s="540"/>
      <c r="AB152" s="540"/>
      <c r="AC152" s="540"/>
      <c r="AD152" s="540"/>
      <c r="AE152" s="540"/>
      <c r="AF152" s="540"/>
      <c r="AG152" s="540"/>
      <c r="AH152" s="540"/>
      <c r="AI152" s="540"/>
    </row>
    <row r="153" spans="1:35">
      <c r="A153" s="538"/>
      <c r="B153" s="538"/>
      <c r="C153" s="538"/>
      <c r="D153" s="538"/>
      <c r="E153" s="538"/>
      <c r="F153" s="540"/>
      <c r="G153" s="538"/>
      <c r="H153" s="538"/>
      <c r="I153" s="538"/>
      <c r="J153" s="538"/>
      <c r="K153" s="540"/>
      <c r="L153" s="540"/>
      <c r="M153" s="588"/>
      <c r="N153" s="538"/>
      <c r="O153" s="588"/>
      <c r="P153" s="538"/>
      <c r="Q153" s="588"/>
      <c r="R153" s="538"/>
      <c r="S153" s="588"/>
      <c r="T153" s="538"/>
      <c r="U153" s="588"/>
      <c r="V153" s="538"/>
      <c r="W153" s="538"/>
      <c r="X153" s="538"/>
      <c r="Y153" s="538"/>
      <c r="Z153" s="538"/>
      <c r="AA153" s="540"/>
      <c r="AB153" s="540"/>
      <c r="AC153" s="540"/>
      <c r="AD153" s="540"/>
      <c r="AE153" s="540"/>
      <c r="AF153" s="540"/>
      <c r="AG153" s="540"/>
      <c r="AH153" s="540"/>
      <c r="AI153" s="540"/>
    </row>
    <row r="154" spans="1:35">
      <c r="A154" s="538"/>
      <c r="B154" s="538"/>
      <c r="C154" s="538"/>
      <c r="D154" s="538"/>
      <c r="E154" s="538"/>
      <c r="F154" s="540"/>
      <c r="G154" s="538"/>
      <c r="H154" s="538"/>
      <c r="I154" s="538"/>
      <c r="J154" s="538"/>
      <c r="K154" s="540"/>
      <c r="L154" s="540"/>
      <c r="M154" s="588"/>
      <c r="N154" s="538"/>
      <c r="O154" s="588"/>
      <c r="P154" s="538"/>
      <c r="Q154" s="588"/>
      <c r="R154" s="538"/>
      <c r="S154" s="588"/>
      <c r="T154" s="538"/>
      <c r="U154" s="588"/>
      <c r="V154" s="538"/>
      <c r="W154" s="538"/>
      <c r="X154" s="538"/>
      <c r="Y154" s="538"/>
      <c r="Z154" s="538"/>
      <c r="AA154" s="540"/>
      <c r="AB154" s="540"/>
      <c r="AC154" s="540"/>
      <c r="AD154" s="540"/>
      <c r="AE154" s="540"/>
      <c r="AF154" s="540"/>
      <c r="AG154" s="540"/>
      <c r="AH154" s="540"/>
      <c r="AI154" s="540"/>
    </row>
    <row r="155" spans="1:35">
      <c r="A155" s="538"/>
      <c r="B155" s="538"/>
      <c r="C155" s="538"/>
      <c r="D155" s="538"/>
      <c r="E155" s="538"/>
      <c r="F155" s="540"/>
      <c r="G155" s="538"/>
      <c r="H155" s="538"/>
      <c r="I155" s="538"/>
      <c r="J155" s="538"/>
      <c r="K155" s="540"/>
      <c r="L155" s="540"/>
      <c r="M155" s="588"/>
      <c r="N155" s="538"/>
      <c r="O155" s="588"/>
      <c r="P155" s="538"/>
      <c r="Q155" s="588"/>
      <c r="R155" s="538"/>
      <c r="S155" s="588"/>
      <c r="T155" s="538"/>
      <c r="U155" s="588"/>
      <c r="V155" s="538"/>
      <c r="W155" s="538"/>
      <c r="X155" s="538"/>
      <c r="Y155" s="538"/>
      <c r="Z155" s="538"/>
      <c r="AA155" s="540"/>
      <c r="AB155" s="540"/>
      <c r="AC155" s="540"/>
      <c r="AD155" s="540"/>
      <c r="AE155" s="540"/>
      <c r="AF155" s="540"/>
      <c r="AG155" s="540"/>
      <c r="AH155" s="540"/>
      <c r="AI155" s="540"/>
    </row>
    <row r="156" spans="1:35">
      <c r="A156" s="538"/>
      <c r="B156" s="538"/>
      <c r="C156" s="538"/>
      <c r="D156" s="538"/>
      <c r="E156" s="538"/>
      <c r="F156" s="540"/>
      <c r="G156" s="538"/>
      <c r="H156" s="538"/>
      <c r="I156" s="538"/>
      <c r="J156" s="538"/>
      <c r="K156" s="540"/>
      <c r="L156" s="540"/>
      <c r="M156" s="588"/>
      <c r="N156" s="538"/>
      <c r="O156" s="588"/>
      <c r="P156" s="538"/>
      <c r="Q156" s="588"/>
      <c r="R156" s="538"/>
      <c r="S156" s="588"/>
      <c r="T156" s="538"/>
      <c r="U156" s="588"/>
      <c r="V156" s="538"/>
      <c r="W156" s="538"/>
      <c r="X156" s="538"/>
      <c r="Y156" s="538"/>
      <c r="Z156" s="538"/>
      <c r="AA156" s="540"/>
      <c r="AB156" s="540"/>
      <c r="AC156" s="540"/>
      <c r="AD156" s="540"/>
      <c r="AE156" s="540"/>
      <c r="AF156" s="540"/>
      <c r="AG156" s="540"/>
      <c r="AH156" s="540"/>
      <c r="AI156" s="540"/>
    </row>
    <row r="157" spans="1:35">
      <c r="A157" s="538"/>
      <c r="B157" s="538"/>
      <c r="C157" s="538"/>
      <c r="D157" s="538"/>
      <c r="E157" s="538"/>
      <c r="F157" s="540"/>
      <c r="G157" s="538"/>
      <c r="H157" s="538"/>
      <c r="I157" s="538"/>
      <c r="J157" s="538"/>
      <c r="K157" s="540"/>
      <c r="L157" s="540"/>
      <c r="M157" s="588"/>
      <c r="N157" s="538"/>
      <c r="O157" s="588"/>
      <c r="P157" s="538"/>
      <c r="Q157" s="588"/>
      <c r="R157" s="538"/>
      <c r="S157" s="588"/>
      <c r="T157" s="538"/>
      <c r="U157" s="588"/>
      <c r="V157" s="538"/>
      <c r="W157" s="538"/>
      <c r="X157" s="538"/>
      <c r="Y157" s="538"/>
      <c r="Z157" s="538"/>
      <c r="AA157" s="540"/>
      <c r="AB157" s="540"/>
      <c r="AC157" s="540"/>
      <c r="AD157" s="540"/>
      <c r="AE157" s="540"/>
      <c r="AF157" s="540"/>
      <c r="AG157" s="540"/>
      <c r="AH157" s="540"/>
      <c r="AI157" s="540"/>
    </row>
    <row r="158" spans="1:35">
      <c r="A158" s="538"/>
      <c r="B158" s="538"/>
      <c r="C158" s="538"/>
      <c r="D158" s="538"/>
      <c r="E158" s="538"/>
      <c r="F158" s="540"/>
      <c r="G158" s="538"/>
      <c r="H158" s="538"/>
      <c r="I158" s="538"/>
      <c r="J158" s="538"/>
      <c r="K158" s="540"/>
      <c r="L158" s="540"/>
      <c r="M158" s="588"/>
      <c r="N158" s="538"/>
      <c r="O158" s="588"/>
      <c r="P158" s="538"/>
      <c r="Q158" s="588"/>
      <c r="R158" s="538"/>
      <c r="S158" s="588"/>
      <c r="T158" s="538"/>
      <c r="U158" s="588"/>
      <c r="V158" s="538"/>
      <c r="W158" s="538"/>
      <c r="X158" s="538"/>
      <c r="Y158" s="538"/>
      <c r="Z158" s="538"/>
      <c r="AA158" s="540"/>
      <c r="AB158" s="540"/>
      <c r="AC158" s="540"/>
      <c r="AD158" s="540"/>
      <c r="AE158" s="540"/>
      <c r="AF158" s="540"/>
      <c r="AG158" s="540"/>
      <c r="AH158" s="540"/>
      <c r="AI158" s="540"/>
    </row>
    <row r="159" spans="1:35">
      <c r="A159" s="538"/>
      <c r="B159" s="538"/>
      <c r="C159" s="538"/>
      <c r="D159" s="538"/>
      <c r="E159" s="538"/>
      <c r="F159" s="540"/>
      <c r="G159" s="538"/>
      <c r="H159" s="538"/>
      <c r="I159" s="538"/>
      <c r="J159" s="538"/>
      <c r="K159" s="540"/>
      <c r="L159" s="540"/>
      <c r="M159" s="588"/>
      <c r="N159" s="538"/>
      <c r="O159" s="588"/>
      <c r="P159" s="538"/>
      <c r="Q159" s="588"/>
      <c r="R159" s="538"/>
      <c r="S159" s="588"/>
      <c r="T159" s="538"/>
      <c r="U159" s="588"/>
      <c r="V159" s="538"/>
      <c r="W159" s="538"/>
      <c r="X159" s="538"/>
      <c r="Y159" s="538"/>
      <c r="Z159" s="538"/>
      <c r="AA159" s="551"/>
      <c r="AB159" s="551"/>
      <c r="AC159" s="551"/>
      <c r="AD159" s="551"/>
      <c r="AE159" s="551"/>
      <c r="AF159" s="551"/>
      <c r="AG159" s="551"/>
      <c r="AH159" s="551"/>
      <c r="AI159" s="551"/>
    </row>
    <row r="160" spans="1:35">
      <c r="A160" s="538"/>
      <c r="B160" s="538"/>
      <c r="C160" s="538"/>
      <c r="D160" s="538"/>
      <c r="E160" s="538"/>
      <c r="F160" s="540"/>
      <c r="G160" s="538"/>
      <c r="H160" s="538"/>
      <c r="I160" s="538"/>
      <c r="J160" s="538"/>
      <c r="K160" s="540"/>
      <c r="L160" s="540"/>
      <c r="M160" s="588"/>
      <c r="N160" s="538"/>
      <c r="O160" s="588"/>
      <c r="P160" s="538"/>
      <c r="Q160" s="588"/>
      <c r="R160" s="538"/>
      <c r="S160" s="588"/>
      <c r="T160" s="538"/>
      <c r="U160" s="588"/>
      <c r="V160" s="538"/>
      <c r="W160" s="538"/>
      <c r="X160" s="538"/>
      <c r="Y160" s="538"/>
      <c r="Z160" s="538"/>
      <c r="AA160" s="1324"/>
      <c r="AB160" s="1324"/>
      <c r="AC160" s="1324"/>
      <c r="AD160" s="1324"/>
      <c r="AE160" s="1324"/>
      <c r="AF160" s="1324"/>
      <c r="AG160" s="1324"/>
      <c r="AH160" s="1324"/>
      <c r="AI160" s="1324"/>
    </row>
    <row r="161" spans="1:35">
      <c r="A161" s="538"/>
      <c r="B161" s="538"/>
      <c r="C161" s="538"/>
      <c r="D161" s="538"/>
      <c r="E161" s="538"/>
      <c r="F161" s="540"/>
      <c r="G161" s="538"/>
      <c r="H161" s="538"/>
      <c r="I161" s="538"/>
      <c r="J161" s="538"/>
      <c r="K161" s="540"/>
      <c r="L161" s="540"/>
      <c r="M161" s="588"/>
      <c r="N161" s="538"/>
      <c r="O161" s="588"/>
      <c r="P161" s="538"/>
      <c r="Q161" s="588"/>
      <c r="R161" s="538"/>
      <c r="S161" s="588"/>
      <c r="T161" s="538"/>
      <c r="U161" s="588"/>
      <c r="V161" s="538"/>
      <c r="W161" s="538"/>
      <c r="X161" s="538"/>
      <c r="Y161" s="538"/>
      <c r="Z161" s="538"/>
      <c r="AA161" s="551"/>
      <c r="AB161" s="551"/>
      <c r="AC161" s="551"/>
      <c r="AD161" s="551"/>
      <c r="AE161" s="551"/>
      <c r="AF161" s="551"/>
      <c r="AG161" s="551"/>
      <c r="AH161" s="551"/>
      <c r="AI161" s="551"/>
    </row>
    <row r="162" spans="1:35">
      <c r="A162" s="538"/>
      <c r="B162" s="538"/>
      <c r="C162" s="538"/>
      <c r="D162" s="538"/>
      <c r="E162" s="538"/>
      <c r="F162" s="540"/>
      <c r="G162" s="538"/>
      <c r="H162" s="538"/>
      <c r="I162" s="538"/>
      <c r="J162" s="538"/>
      <c r="K162" s="540"/>
      <c r="L162" s="540"/>
      <c r="M162" s="588"/>
      <c r="N162" s="538"/>
      <c r="O162" s="588"/>
      <c r="P162" s="538"/>
      <c r="Q162" s="588"/>
      <c r="R162" s="538"/>
      <c r="S162" s="588"/>
      <c r="T162" s="538"/>
      <c r="U162" s="588"/>
      <c r="V162" s="538"/>
      <c r="W162" s="538"/>
      <c r="X162" s="538"/>
      <c r="Y162" s="538"/>
      <c r="Z162" s="538"/>
      <c r="AA162" s="551"/>
      <c r="AB162" s="551"/>
      <c r="AC162" s="551"/>
      <c r="AD162" s="551"/>
      <c r="AE162" s="551"/>
      <c r="AF162" s="551"/>
      <c r="AG162" s="551"/>
      <c r="AH162" s="551"/>
      <c r="AI162" s="551"/>
    </row>
    <row r="163" spans="1:35">
      <c r="A163" s="538"/>
      <c r="B163" s="538"/>
      <c r="C163" s="538"/>
      <c r="D163" s="538"/>
      <c r="E163" s="538"/>
      <c r="F163" s="540"/>
      <c r="G163" s="538"/>
      <c r="H163" s="538"/>
      <c r="I163" s="538"/>
      <c r="J163" s="538"/>
      <c r="K163" s="540"/>
      <c r="L163" s="540"/>
      <c r="M163" s="588"/>
      <c r="N163" s="538"/>
      <c r="O163" s="588"/>
      <c r="P163" s="538"/>
      <c r="Q163" s="588"/>
      <c r="R163" s="538"/>
      <c r="S163" s="588"/>
      <c r="T163" s="538"/>
      <c r="U163" s="588"/>
      <c r="V163" s="538"/>
      <c r="W163" s="538"/>
      <c r="X163" s="538"/>
      <c r="Y163" s="538"/>
      <c r="Z163" s="538"/>
      <c r="AA163" s="551"/>
      <c r="AB163" s="551"/>
      <c r="AC163" s="551"/>
      <c r="AD163" s="551"/>
      <c r="AE163" s="551"/>
      <c r="AF163" s="551"/>
      <c r="AG163" s="551"/>
      <c r="AH163" s="551"/>
      <c r="AI163" s="551"/>
    </row>
    <row r="164" spans="1:35">
      <c r="A164" s="538"/>
      <c r="B164" s="538"/>
      <c r="C164" s="538"/>
      <c r="D164" s="538"/>
      <c r="E164" s="538"/>
      <c r="F164" s="540"/>
      <c r="G164" s="538"/>
      <c r="H164" s="538"/>
      <c r="I164" s="538"/>
      <c r="J164" s="538"/>
      <c r="K164" s="540"/>
      <c r="L164" s="540"/>
      <c r="M164" s="588"/>
      <c r="N164" s="538"/>
      <c r="O164" s="588"/>
      <c r="P164" s="538"/>
      <c r="Q164" s="588"/>
      <c r="R164" s="538"/>
      <c r="S164" s="588"/>
      <c r="T164" s="538"/>
      <c r="U164" s="588"/>
      <c r="V164" s="538"/>
      <c r="W164" s="538"/>
      <c r="X164" s="538"/>
      <c r="Y164" s="538"/>
      <c r="Z164" s="538"/>
      <c r="AA164" s="551"/>
      <c r="AB164" s="551"/>
      <c r="AC164" s="551"/>
      <c r="AD164" s="551"/>
      <c r="AE164" s="551"/>
      <c r="AF164" s="551"/>
      <c r="AG164" s="551"/>
      <c r="AH164" s="551"/>
      <c r="AI164" s="551"/>
    </row>
    <row r="165" spans="1:35">
      <c r="A165" s="538"/>
      <c r="B165" s="538"/>
      <c r="C165" s="538"/>
      <c r="D165" s="538"/>
      <c r="E165" s="538"/>
      <c r="F165" s="540"/>
      <c r="G165" s="538"/>
      <c r="H165" s="538"/>
      <c r="I165" s="538"/>
      <c r="J165" s="538"/>
      <c r="K165" s="540"/>
      <c r="L165" s="540"/>
      <c r="M165" s="588"/>
      <c r="N165" s="538"/>
      <c r="O165" s="588"/>
      <c r="P165" s="538"/>
      <c r="Q165" s="588"/>
      <c r="R165" s="538"/>
      <c r="S165" s="588"/>
      <c r="T165" s="538"/>
      <c r="U165" s="588"/>
      <c r="V165" s="538"/>
      <c r="W165" s="538"/>
      <c r="X165" s="538"/>
      <c r="Y165" s="538"/>
      <c r="Z165" s="538"/>
      <c r="AA165" s="551"/>
      <c r="AB165" s="551"/>
      <c r="AC165" s="551"/>
      <c r="AD165" s="551"/>
      <c r="AE165" s="551"/>
      <c r="AF165" s="551"/>
      <c r="AG165" s="551"/>
      <c r="AH165" s="551"/>
      <c r="AI165" s="551"/>
    </row>
    <row r="166" spans="1:35">
      <c r="A166" s="538"/>
      <c r="B166" s="538"/>
      <c r="C166" s="538"/>
      <c r="D166" s="538"/>
      <c r="E166" s="538"/>
      <c r="F166" s="540"/>
      <c r="G166" s="538"/>
      <c r="H166" s="538"/>
      <c r="I166" s="538"/>
      <c r="J166" s="538"/>
      <c r="K166" s="540"/>
      <c r="L166" s="540"/>
      <c r="M166" s="588"/>
      <c r="N166" s="538"/>
      <c r="O166" s="588"/>
      <c r="P166" s="538"/>
      <c r="Q166" s="588"/>
      <c r="R166" s="538"/>
      <c r="S166" s="588"/>
      <c r="T166" s="538"/>
      <c r="U166" s="588"/>
      <c r="V166" s="538"/>
      <c r="W166" s="538"/>
      <c r="X166" s="538"/>
      <c r="Y166" s="538"/>
      <c r="Z166" s="538"/>
      <c r="AA166" s="551"/>
      <c r="AB166" s="551"/>
      <c r="AC166" s="551"/>
      <c r="AD166" s="551"/>
      <c r="AE166" s="551"/>
      <c r="AF166" s="551"/>
      <c r="AG166" s="551"/>
      <c r="AH166" s="551"/>
      <c r="AI166" s="551"/>
    </row>
    <row r="167" spans="1:35">
      <c r="A167" s="538"/>
      <c r="B167" s="538"/>
      <c r="C167" s="538"/>
      <c r="D167" s="538"/>
      <c r="E167" s="538"/>
      <c r="F167" s="540"/>
      <c r="G167" s="538"/>
      <c r="H167" s="538"/>
      <c r="I167" s="538"/>
      <c r="J167" s="538"/>
      <c r="K167" s="540"/>
      <c r="L167" s="540"/>
      <c r="M167" s="588"/>
      <c r="N167" s="538"/>
      <c r="O167" s="588"/>
      <c r="P167" s="538"/>
      <c r="Q167" s="588"/>
      <c r="R167" s="538"/>
      <c r="S167" s="588"/>
      <c r="T167" s="538"/>
      <c r="U167" s="588"/>
      <c r="V167" s="538"/>
      <c r="W167" s="538"/>
      <c r="X167" s="538"/>
      <c r="Y167" s="538"/>
      <c r="Z167" s="538"/>
      <c r="AA167" s="551"/>
      <c r="AB167" s="551"/>
      <c r="AC167" s="551"/>
      <c r="AD167" s="551"/>
      <c r="AE167" s="551"/>
      <c r="AF167" s="551"/>
      <c r="AG167" s="551"/>
      <c r="AH167" s="551"/>
      <c r="AI167" s="551"/>
    </row>
    <row r="168" spans="1:35">
      <c r="A168" s="538"/>
      <c r="B168" s="538"/>
      <c r="C168" s="538"/>
      <c r="D168" s="538"/>
      <c r="E168" s="538"/>
      <c r="F168" s="540"/>
      <c r="G168" s="538"/>
      <c r="H168" s="538"/>
      <c r="I168" s="538"/>
      <c r="J168" s="538"/>
      <c r="K168" s="540"/>
      <c r="L168" s="540"/>
      <c r="M168" s="588"/>
      <c r="N168" s="538"/>
      <c r="O168" s="588"/>
      <c r="P168" s="538"/>
      <c r="Q168" s="588"/>
      <c r="R168" s="538"/>
      <c r="S168" s="588"/>
      <c r="T168" s="538"/>
      <c r="U168" s="588"/>
      <c r="V168" s="538"/>
      <c r="W168" s="538"/>
      <c r="X168" s="538"/>
      <c r="Y168" s="538"/>
      <c r="Z168" s="538"/>
      <c r="AA168" s="551"/>
      <c r="AB168" s="551"/>
      <c r="AC168" s="551"/>
      <c r="AD168" s="551"/>
      <c r="AE168" s="551"/>
      <c r="AF168" s="551"/>
      <c r="AG168" s="551"/>
      <c r="AH168" s="551"/>
      <c r="AI168" s="551"/>
    </row>
    <row r="169" spans="1:35">
      <c r="A169" s="538"/>
      <c r="B169" s="538"/>
      <c r="C169" s="538"/>
      <c r="D169" s="538"/>
      <c r="E169" s="538"/>
      <c r="F169" s="540"/>
      <c r="G169" s="538"/>
      <c r="H169" s="538"/>
      <c r="I169" s="538"/>
      <c r="J169" s="538"/>
      <c r="K169" s="540"/>
      <c r="L169" s="540"/>
      <c r="M169" s="588"/>
      <c r="N169" s="538"/>
      <c r="O169" s="588"/>
      <c r="P169" s="538"/>
      <c r="Q169" s="588"/>
      <c r="R169" s="538"/>
      <c r="S169" s="588"/>
      <c r="T169" s="538"/>
      <c r="U169" s="588"/>
      <c r="V169" s="538"/>
      <c r="W169" s="538"/>
      <c r="X169" s="538"/>
      <c r="Y169" s="538"/>
      <c r="Z169" s="538"/>
      <c r="AA169" s="551"/>
      <c r="AB169" s="551"/>
      <c r="AC169" s="551"/>
      <c r="AD169" s="551"/>
      <c r="AE169" s="551"/>
      <c r="AF169" s="551"/>
      <c r="AG169" s="551"/>
      <c r="AH169" s="551"/>
      <c r="AI169" s="551"/>
    </row>
    <row r="170" spans="1:35">
      <c r="A170" s="538"/>
      <c r="B170" s="538"/>
      <c r="C170" s="538"/>
      <c r="D170" s="538"/>
      <c r="E170" s="538"/>
      <c r="F170" s="540"/>
      <c r="G170" s="538"/>
      <c r="H170" s="538"/>
      <c r="I170" s="538"/>
      <c r="J170" s="538"/>
      <c r="K170" s="540"/>
      <c r="L170" s="540"/>
      <c r="M170" s="588"/>
      <c r="N170" s="538"/>
      <c r="O170" s="588"/>
      <c r="P170" s="538"/>
      <c r="Q170" s="588"/>
      <c r="R170" s="538"/>
      <c r="S170" s="588"/>
      <c r="T170" s="538"/>
      <c r="U170" s="588"/>
      <c r="V170" s="538"/>
      <c r="W170" s="538"/>
      <c r="X170" s="538"/>
      <c r="Y170" s="538"/>
      <c r="Z170" s="538"/>
      <c r="AA170" s="551"/>
      <c r="AB170" s="551"/>
      <c r="AC170" s="551"/>
      <c r="AD170" s="551"/>
      <c r="AE170" s="551"/>
      <c r="AF170" s="551"/>
      <c r="AG170" s="551"/>
      <c r="AH170" s="551"/>
      <c r="AI170" s="551"/>
    </row>
    <row r="171" spans="1:35">
      <c r="A171" s="538"/>
      <c r="B171" s="538"/>
      <c r="C171" s="538"/>
      <c r="D171" s="538"/>
      <c r="E171" s="538"/>
      <c r="F171" s="540"/>
      <c r="G171" s="538"/>
      <c r="H171" s="538"/>
      <c r="I171" s="538"/>
      <c r="J171" s="538"/>
      <c r="K171" s="540"/>
      <c r="L171" s="540"/>
      <c r="M171" s="588"/>
      <c r="N171" s="538"/>
      <c r="O171" s="588"/>
      <c r="P171" s="538"/>
      <c r="Q171" s="588"/>
      <c r="R171" s="538"/>
      <c r="S171" s="588"/>
      <c r="T171" s="538"/>
      <c r="U171" s="588"/>
      <c r="V171" s="538"/>
      <c r="W171" s="538"/>
      <c r="X171" s="538"/>
      <c r="Y171" s="538"/>
      <c r="Z171" s="538"/>
      <c r="AA171" s="551"/>
      <c r="AB171" s="551"/>
      <c r="AC171" s="551"/>
      <c r="AD171" s="551"/>
      <c r="AE171" s="551"/>
      <c r="AF171" s="551"/>
      <c r="AG171" s="551"/>
      <c r="AH171" s="551"/>
      <c r="AI171" s="551"/>
    </row>
    <row r="172" spans="1:35">
      <c r="A172" s="538"/>
      <c r="B172" s="538"/>
      <c r="C172" s="538"/>
      <c r="D172" s="538"/>
      <c r="E172" s="538"/>
      <c r="F172" s="540"/>
      <c r="G172" s="538"/>
      <c r="H172" s="538"/>
      <c r="I172" s="538"/>
      <c r="J172" s="538"/>
      <c r="K172" s="540"/>
      <c r="L172" s="540"/>
      <c r="M172" s="588"/>
      <c r="N172" s="538"/>
      <c r="O172" s="588"/>
      <c r="P172" s="538"/>
      <c r="Q172" s="588"/>
      <c r="R172" s="538"/>
      <c r="S172" s="588"/>
      <c r="T172" s="538"/>
      <c r="U172" s="588"/>
      <c r="V172" s="538"/>
      <c r="W172" s="538"/>
      <c r="X172" s="538"/>
      <c r="Y172" s="538"/>
      <c r="Z172" s="538"/>
      <c r="AA172" s="551"/>
      <c r="AB172" s="551"/>
      <c r="AC172" s="551"/>
      <c r="AD172" s="551"/>
      <c r="AE172" s="551"/>
      <c r="AF172" s="551"/>
      <c r="AG172" s="551"/>
      <c r="AH172" s="551"/>
      <c r="AI172" s="551"/>
    </row>
    <row r="173" spans="1:35">
      <c r="A173" s="538"/>
      <c r="B173" s="538"/>
      <c r="C173" s="538"/>
      <c r="D173" s="538"/>
      <c r="E173" s="538"/>
      <c r="F173" s="540"/>
      <c r="G173" s="538"/>
      <c r="H173" s="538"/>
      <c r="I173" s="538"/>
      <c r="J173" s="538"/>
      <c r="K173" s="540"/>
      <c r="L173" s="540"/>
      <c r="M173" s="588"/>
      <c r="N173" s="538"/>
      <c r="O173" s="588"/>
      <c r="P173" s="538"/>
      <c r="Q173" s="588"/>
      <c r="R173" s="538"/>
      <c r="S173" s="588"/>
      <c r="T173" s="538"/>
      <c r="U173" s="588"/>
      <c r="V173" s="538"/>
      <c r="W173" s="538"/>
      <c r="X173" s="538"/>
      <c r="Y173" s="538"/>
      <c r="Z173" s="538"/>
      <c r="AA173" s="1324"/>
      <c r="AB173" s="1324"/>
      <c r="AC173" s="1324"/>
      <c r="AD173" s="1324"/>
      <c r="AE173" s="1324"/>
      <c r="AF173" s="1324"/>
      <c r="AG173" s="1324"/>
      <c r="AH173" s="1324"/>
      <c r="AI173" s="1324"/>
    </row>
    <row r="174" spans="1:35">
      <c r="A174" s="538"/>
      <c r="B174" s="538"/>
      <c r="C174" s="538"/>
      <c r="D174" s="538"/>
      <c r="E174" s="538"/>
      <c r="F174" s="540"/>
      <c r="G174" s="538"/>
      <c r="H174" s="538"/>
      <c r="I174" s="538"/>
      <c r="J174" s="538"/>
      <c r="K174" s="540"/>
      <c r="L174" s="540"/>
      <c r="M174" s="588"/>
      <c r="N174" s="538"/>
      <c r="O174" s="588"/>
      <c r="P174" s="538"/>
      <c r="Q174" s="588"/>
      <c r="R174" s="538"/>
      <c r="S174" s="588"/>
      <c r="T174" s="538"/>
      <c r="U174" s="588"/>
      <c r="V174" s="538"/>
      <c r="W174" s="538"/>
      <c r="X174" s="538"/>
      <c r="Y174" s="538"/>
      <c r="Z174" s="538"/>
      <c r="AA174" s="1324"/>
      <c r="AB174" s="1324"/>
      <c r="AC174" s="1324"/>
      <c r="AD174" s="1324"/>
      <c r="AE174" s="1324"/>
      <c r="AF174" s="1324"/>
      <c r="AG174" s="1324"/>
      <c r="AH174" s="1324"/>
      <c r="AI174" s="1324"/>
    </row>
    <row r="175" spans="1:35">
      <c r="A175" s="538"/>
      <c r="B175" s="538"/>
      <c r="C175" s="538"/>
      <c r="D175" s="538"/>
      <c r="E175" s="538"/>
      <c r="F175" s="540"/>
      <c r="G175" s="538"/>
      <c r="H175" s="538"/>
      <c r="I175" s="538"/>
      <c r="J175" s="538"/>
      <c r="K175" s="540"/>
      <c r="L175" s="540"/>
      <c r="M175" s="588"/>
      <c r="N175" s="538"/>
      <c r="O175" s="588"/>
      <c r="P175" s="538"/>
      <c r="Q175" s="588"/>
      <c r="R175" s="538"/>
      <c r="S175" s="588"/>
      <c r="T175" s="538"/>
      <c r="U175" s="588"/>
      <c r="V175" s="538"/>
      <c r="W175" s="538"/>
      <c r="X175" s="538"/>
      <c r="Y175" s="538"/>
      <c r="Z175" s="538"/>
      <c r="AA175" s="1324"/>
      <c r="AB175" s="1324"/>
      <c r="AC175" s="1324"/>
      <c r="AD175" s="1324"/>
      <c r="AE175" s="1324"/>
      <c r="AF175" s="1324"/>
      <c r="AG175" s="1324"/>
      <c r="AH175" s="1324"/>
      <c r="AI175" s="1324"/>
    </row>
    <row r="176" spans="1:35">
      <c r="A176" s="538"/>
      <c r="B176" s="538"/>
      <c r="C176" s="538"/>
      <c r="D176" s="538"/>
      <c r="E176" s="538"/>
      <c r="F176" s="540"/>
      <c r="G176" s="538"/>
      <c r="H176" s="538"/>
      <c r="I176" s="538"/>
      <c r="J176" s="538"/>
      <c r="K176" s="540"/>
      <c r="L176" s="540"/>
      <c r="M176" s="588"/>
      <c r="N176" s="538"/>
      <c r="O176" s="588"/>
      <c r="P176" s="538"/>
      <c r="Q176" s="588"/>
      <c r="R176" s="538"/>
      <c r="S176" s="588"/>
      <c r="T176" s="538"/>
      <c r="U176" s="588"/>
      <c r="V176" s="538"/>
      <c r="W176" s="538"/>
      <c r="X176" s="538"/>
      <c r="Y176" s="538"/>
      <c r="Z176" s="538"/>
      <c r="AA176" s="1324"/>
      <c r="AB176" s="1324"/>
      <c r="AC176" s="1324"/>
      <c r="AD176" s="1324"/>
      <c r="AE176" s="1324"/>
      <c r="AF176" s="1324"/>
      <c r="AG176" s="1324"/>
      <c r="AH176" s="1324"/>
      <c r="AI176" s="1324"/>
    </row>
    <row r="177" spans="1:35">
      <c r="A177" s="538"/>
      <c r="B177" s="538"/>
      <c r="C177" s="538"/>
      <c r="D177" s="538"/>
      <c r="E177" s="538"/>
      <c r="F177" s="540"/>
      <c r="G177" s="538"/>
      <c r="H177" s="538"/>
      <c r="I177" s="538"/>
      <c r="J177" s="538"/>
      <c r="K177" s="540"/>
      <c r="L177" s="540"/>
      <c r="M177" s="588"/>
      <c r="N177" s="538"/>
      <c r="O177" s="588"/>
      <c r="P177" s="538"/>
      <c r="Q177" s="588"/>
      <c r="R177" s="538"/>
      <c r="S177" s="588"/>
      <c r="T177" s="538"/>
      <c r="U177" s="588"/>
      <c r="V177" s="538"/>
      <c r="W177" s="538"/>
      <c r="X177" s="538"/>
      <c r="Y177" s="538"/>
      <c r="Z177" s="538"/>
      <c r="AA177" s="551"/>
      <c r="AB177" s="551"/>
      <c r="AC177" s="551"/>
      <c r="AD177" s="551"/>
      <c r="AE177" s="551"/>
      <c r="AF177" s="551"/>
      <c r="AG177" s="551"/>
      <c r="AH177" s="551"/>
      <c r="AI177" s="551"/>
    </row>
    <row r="178" spans="1:35">
      <c r="A178" s="538"/>
      <c r="B178" s="538"/>
      <c r="C178" s="538"/>
      <c r="D178" s="538"/>
      <c r="E178" s="538"/>
      <c r="F178" s="540"/>
      <c r="G178" s="538"/>
      <c r="H178" s="538"/>
      <c r="I178" s="538"/>
      <c r="J178" s="538"/>
      <c r="K178" s="540"/>
      <c r="L178" s="540"/>
      <c r="M178" s="588"/>
      <c r="N178" s="538"/>
      <c r="O178" s="588"/>
      <c r="P178" s="538"/>
      <c r="Q178" s="588"/>
      <c r="R178" s="538"/>
      <c r="S178" s="588"/>
      <c r="T178" s="538"/>
      <c r="U178" s="588"/>
      <c r="V178" s="538"/>
      <c r="W178" s="538"/>
      <c r="X178" s="538"/>
      <c r="Y178" s="538"/>
      <c r="Z178" s="538"/>
      <c r="AA178" s="551"/>
      <c r="AB178" s="551"/>
      <c r="AC178" s="551"/>
      <c r="AD178" s="551"/>
      <c r="AE178" s="551"/>
      <c r="AF178" s="551"/>
      <c r="AG178" s="551"/>
      <c r="AH178" s="551"/>
      <c r="AI178" s="551"/>
    </row>
    <row r="179" spans="1:35">
      <c r="A179" s="538"/>
      <c r="B179" s="538"/>
      <c r="C179" s="538"/>
      <c r="D179" s="538"/>
      <c r="E179" s="538"/>
      <c r="F179" s="540"/>
      <c r="G179" s="538"/>
      <c r="H179" s="538"/>
      <c r="I179" s="538"/>
      <c r="J179" s="538"/>
      <c r="K179" s="540"/>
      <c r="L179" s="540"/>
      <c r="M179" s="588"/>
      <c r="N179" s="538"/>
      <c r="O179" s="588"/>
      <c r="P179" s="538"/>
      <c r="Q179" s="588"/>
      <c r="R179" s="538"/>
      <c r="S179" s="588"/>
      <c r="T179" s="538"/>
      <c r="U179" s="588"/>
      <c r="V179" s="538"/>
      <c r="W179" s="538"/>
      <c r="X179" s="538"/>
      <c r="Y179" s="538"/>
      <c r="Z179" s="538"/>
      <c r="AA179" s="551"/>
      <c r="AB179" s="551"/>
      <c r="AC179" s="551"/>
      <c r="AD179" s="551"/>
      <c r="AE179" s="551"/>
      <c r="AF179" s="551"/>
      <c r="AG179" s="551"/>
      <c r="AH179" s="551"/>
      <c r="AI179" s="551"/>
    </row>
    <row r="180" spans="1:35">
      <c r="A180" s="538"/>
      <c r="B180" s="538"/>
      <c r="C180" s="538"/>
      <c r="D180" s="538"/>
      <c r="E180" s="538"/>
      <c r="F180" s="540"/>
      <c r="G180" s="538"/>
      <c r="H180" s="538"/>
      <c r="I180" s="538"/>
      <c r="J180" s="538"/>
      <c r="K180" s="540"/>
      <c r="L180" s="540"/>
      <c r="M180" s="588"/>
      <c r="N180" s="538"/>
      <c r="O180" s="588"/>
      <c r="P180" s="538"/>
      <c r="Q180" s="588"/>
      <c r="R180" s="538"/>
      <c r="S180" s="588"/>
      <c r="T180" s="538"/>
      <c r="U180" s="588"/>
      <c r="V180" s="538"/>
      <c r="W180" s="538"/>
      <c r="X180" s="538"/>
      <c r="Y180" s="538"/>
      <c r="Z180" s="538"/>
      <c r="AA180" s="551"/>
      <c r="AB180" s="551"/>
      <c r="AC180" s="551"/>
      <c r="AD180" s="551"/>
      <c r="AE180" s="551"/>
      <c r="AF180" s="551"/>
      <c r="AG180" s="551"/>
      <c r="AH180" s="551"/>
      <c r="AI180" s="551"/>
    </row>
    <row r="181" spans="1:35">
      <c r="A181" s="538"/>
      <c r="B181" s="538"/>
      <c r="C181" s="538"/>
      <c r="D181" s="538"/>
      <c r="E181" s="538"/>
      <c r="F181" s="540"/>
      <c r="G181" s="538"/>
      <c r="H181" s="538"/>
      <c r="I181" s="538"/>
      <c r="J181" s="538"/>
      <c r="K181" s="540"/>
      <c r="L181" s="540"/>
      <c r="M181" s="588"/>
      <c r="N181" s="538"/>
      <c r="O181" s="588"/>
      <c r="P181" s="538"/>
      <c r="Q181" s="588"/>
      <c r="R181" s="538"/>
      <c r="S181" s="588"/>
      <c r="T181" s="538"/>
      <c r="U181" s="588"/>
      <c r="V181" s="538"/>
      <c r="W181" s="538"/>
      <c r="X181" s="538"/>
      <c r="Y181" s="538"/>
      <c r="Z181" s="538"/>
      <c r="AA181" s="551"/>
      <c r="AB181" s="551"/>
      <c r="AC181" s="551"/>
      <c r="AD181" s="551"/>
      <c r="AE181" s="551"/>
      <c r="AF181" s="551"/>
      <c r="AG181" s="551"/>
      <c r="AH181" s="551"/>
      <c r="AI181" s="551"/>
    </row>
    <row r="182" spans="1:35">
      <c r="A182" s="538"/>
      <c r="B182" s="538"/>
      <c r="C182" s="538"/>
      <c r="D182" s="538"/>
      <c r="E182" s="538"/>
      <c r="F182" s="540"/>
      <c r="G182" s="538"/>
      <c r="H182" s="538"/>
      <c r="I182" s="538"/>
      <c r="J182" s="538"/>
      <c r="K182" s="540"/>
      <c r="L182" s="540"/>
      <c r="M182" s="588"/>
      <c r="N182" s="538"/>
      <c r="O182" s="588"/>
      <c r="P182" s="538"/>
      <c r="Q182" s="588"/>
      <c r="R182" s="538"/>
      <c r="S182" s="588"/>
      <c r="T182" s="538"/>
      <c r="U182" s="588"/>
      <c r="V182" s="538"/>
      <c r="W182" s="538"/>
      <c r="X182" s="538"/>
      <c r="Y182" s="538"/>
      <c r="Z182" s="538"/>
      <c r="AA182" s="1324"/>
      <c r="AB182" s="1324"/>
      <c r="AC182" s="1324"/>
      <c r="AD182" s="1324"/>
      <c r="AE182" s="1324"/>
      <c r="AF182" s="1324"/>
      <c r="AG182" s="1324"/>
      <c r="AH182" s="1324"/>
      <c r="AI182" s="1324"/>
    </row>
    <row r="183" spans="1:35">
      <c r="A183" s="538"/>
      <c r="B183" s="538"/>
      <c r="C183" s="538"/>
      <c r="D183" s="538"/>
      <c r="E183" s="538"/>
      <c r="F183" s="540"/>
      <c r="G183" s="538"/>
      <c r="H183" s="538"/>
      <c r="I183" s="538"/>
      <c r="J183" s="538"/>
      <c r="K183" s="540"/>
      <c r="L183" s="540"/>
      <c r="M183" s="588"/>
      <c r="N183" s="538"/>
      <c r="O183" s="588"/>
      <c r="P183" s="538"/>
      <c r="Q183" s="588"/>
      <c r="R183" s="538"/>
      <c r="S183" s="588"/>
      <c r="T183" s="538"/>
      <c r="U183" s="588"/>
      <c r="V183" s="538"/>
      <c r="W183" s="538"/>
      <c r="X183" s="538"/>
      <c r="Y183" s="538"/>
      <c r="Z183" s="538"/>
      <c r="AA183" s="1324"/>
      <c r="AB183" s="1324"/>
      <c r="AC183" s="1324"/>
      <c r="AD183" s="1324"/>
      <c r="AE183" s="1324"/>
      <c r="AF183" s="1324"/>
      <c r="AG183" s="1324"/>
      <c r="AH183" s="1324"/>
      <c r="AI183" s="1324"/>
    </row>
    <row r="184" spans="1:35">
      <c r="A184" s="538"/>
      <c r="B184" s="538"/>
      <c r="C184" s="538"/>
      <c r="D184" s="538"/>
      <c r="E184" s="538"/>
      <c r="F184" s="540"/>
      <c r="G184" s="538"/>
      <c r="H184" s="538"/>
      <c r="I184" s="538"/>
      <c r="J184" s="538"/>
      <c r="K184" s="540"/>
      <c r="L184" s="540"/>
      <c r="M184" s="588"/>
      <c r="N184" s="538"/>
      <c r="O184" s="588"/>
      <c r="P184" s="538"/>
      <c r="Q184" s="588"/>
      <c r="R184" s="538"/>
      <c r="S184" s="588"/>
      <c r="T184" s="538"/>
      <c r="U184" s="588"/>
      <c r="V184" s="538"/>
      <c r="W184" s="538"/>
      <c r="X184" s="538"/>
      <c r="Y184" s="538"/>
      <c r="Z184" s="538"/>
      <c r="AA184" s="551"/>
      <c r="AB184" s="551"/>
      <c r="AC184" s="551"/>
      <c r="AD184" s="551"/>
      <c r="AE184" s="551"/>
      <c r="AF184" s="551"/>
      <c r="AG184" s="551"/>
      <c r="AH184" s="551"/>
      <c r="AI184" s="551"/>
    </row>
    <row r="185" spans="1:35">
      <c r="A185" s="538"/>
      <c r="B185" s="538"/>
      <c r="C185" s="538"/>
      <c r="D185" s="538"/>
      <c r="E185" s="538"/>
      <c r="F185" s="540"/>
      <c r="G185" s="538"/>
      <c r="H185" s="538"/>
      <c r="I185" s="538"/>
      <c r="J185" s="538"/>
      <c r="K185" s="540"/>
      <c r="L185" s="540"/>
      <c r="M185" s="588"/>
      <c r="N185" s="538"/>
      <c r="O185" s="588"/>
      <c r="P185" s="538"/>
      <c r="Q185" s="588"/>
      <c r="R185" s="538"/>
      <c r="S185" s="588"/>
      <c r="T185" s="538"/>
      <c r="U185" s="588"/>
      <c r="V185" s="538"/>
      <c r="W185" s="538"/>
      <c r="X185" s="538"/>
      <c r="Y185" s="538"/>
      <c r="Z185" s="538"/>
      <c r="AA185" s="551"/>
      <c r="AB185" s="551"/>
      <c r="AC185" s="551"/>
      <c r="AD185" s="551"/>
      <c r="AE185" s="551"/>
      <c r="AF185" s="551"/>
      <c r="AG185" s="551"/>
      <c r="AH185" s="551"/>
      <c r="AI185" s="551"/>
    </row>
    <row r="186" spans="1:35">
      <c r="A186" s="538"/>
      <c r="B186" s="538"/>
      <c r="C186" s="538"/>
      <c r="D186" s="538"/>
      <c r="E186" s="538"/>
      <c r="F186" s="540"/>
      <c r="G186" s="538"/>
      <c r="H186" s="538"/>
      <c r="I186" s="538"/>
      <c r="J186" s="538"/>
      <c r="K186" s="540"/>
      <c r="L186" s="540"/>
      <c r="M186" s="588"/>
      <c r="N186" s="538"/>
      <c r="O186" s="588"/>
      <c r="P186" s="538"/>
      <c r="Q186" s="588"/>
      <c r="R186" s="538"/>
      <c r="S186" s="588"/>
      <c r="T186" s="538"/>
      <c r="U186" s="588"/>
      <c r="V186" s="538"/>
      <c r="W186" s="538"/>
      <c r="X186" s="538"/>
      <c r="Y186" s="538"/>
      <c r="Z186" s="538"/>
      <c r="AA186" s="1324"/>
      <c r="AB186" s="1324"/>
      <c r="AC186" s="1324"/>
      <c r="AD186" s="1324"/>
      <c r="AE186" s="1324"/>
      <c r="AF186" s="1324"/>
      <c r="AG186" s="1324"/>
      <c r="AH186" s="1324"/>
      <c r="AI186" s="1324"/>
    </row>
    <row r="187" spans="1:35">
      <c r="A187" s="538"/>
      <c r="B187" s="538"/>
      <c r="C187" s="538"/>
      <c r="D187" s="538"/>
      <c r="E187" s="538"/>
      <c r="F187" s="540"/>
      <c r="G187" s="538"/>
      <c r="H187" s="538"/>
      <c r="I187" s="538"/>
      <c r="J187" s="538"/>
      <c r="K187" s="540"/>
      <c r="L187" s="540"/>
      <c r="M187" s="588"/>
      <c r="N187" s="538"/>
      <c r="O187" s="588"/>
      <c r="P187" s="538"/>
      <c r="Q187" s="588"/>
      <c r="R187" s="538"/>
      <c r="S187" s="588"/>
      <c r="T187" s="538"/>
      <c r="U187" s="588"/>
      <c r="V187" s="538"/>
      <c r="W187" s="538"/>
      <c r="X187" s="538"/>
      <c r="Y187" s="538"/>
      <c r="Z187" s="538"/>
      <c r="AA187" s="1324"/>
      <c r="AB187" s="1324"/>
      <c r="AC187" s="1324"/>
      <c r="AD187" s="1324"/>
      <c r="AE187" s="1324"/>
      <c r="AF187" s="1324"/>
      <c r="AG187" s="1324"/>
      <c r="AH187" s="1324"/>
      <c r="AI187" s="1324"/>
    </row>
    <row r="188" spans="1:35">
      <c r="A188" s="538"/>
      <c r="B188" s="538"/>
      <c r="C188" s="538"/>
      <c r="D188" s="538"/>
      <c r="E188" s="538"/>
      <c r="F188" s="540"/>
      <c r="G188" s="538"/>
      <c r="H188" s="538"/>
      <c r="I188" s="538"/>
      <c r="J188" s="538"/>
      <c r="K188" s="540"/>
      <c r="L188" s="540"/>
      <c r="M188" s="588"/>
      <c r="N188" s="538"/>
      <c r="O188" s="588"/>
      <c r="P188" s="538"/>
      <c r="Q188" s="588"/>
      <c r="R188" s="538"/>
      <c r="S188" s="588"/>
      <c r="T188" s="538"/>
      <c r="U188" s="588"/>
      <c r="V188" s="538"/>
      <c r="W188" s="538"/>
      <c r="X188" s="538"/>
      <c r="Y188" s="538"/>
      <c r="Z188" s="538"/>
      <c r="AA188" s="551"/>
      <c r="AB188" s="551"/>
      <c r="AC188" s="551"/>
      <c r="AD188" s="551"/>
      <c r="AE188" s="551"/>
      <c r="AF188" s="551"/>
      <c r="AG188" s="551"/>
      <c r="AH188" s="551"/>
      <c r="AI188" s="551"/>
    </row>
    <row r="189" spans="1:35">
      <c r="A189" s="538"/>
      <c r="B189" s="538"/>
      <c r="C189" s="538"/>
      <c r="D189" s="538"/>
      <c r="E189" s="538"/>
      <c r="F189" s="540"/>
      <c r="G189" s="538"/>
      <c r="H189" s="538"/>
      <c r="I189" s="538"/>
      <c r="J189" s="538"/>
      <c r="K189" s="540"/>
      <c r="L189" s="540"/>
      <c r="M189" s="588"/>
      <c r="N189" s="538"/>
      <c r="O189" s="588"/>
      <c r="P189" s="538"/>
      <c r="Q189" s="588"/>
      <c r="R189" s="538"/>
      <c r="S189" s="588"/>
      <c r="T189" s="538"/>
      <c r="U189" s="588"/>
      <c r="V189" s="538"/>
      <c r="W189" s="538"/>
      <c r="X189" s="538"/>
      <c r="Y189" s="538"/>
      <c r="Z189" s="538"/>
      <c r="AA189" s="551"/>
      <c r="AB189" s="551"/>
      <c r="AC189" s="551"/>
      <c r="AD189" s="551"/>
      <c r="AE189" s="551"/>
      <c r="AF189" s="551"/>
      <c r="AG189" s="551"/>
      <c r="AH189" s="551"/>
      <c r="AI189" s="551"/>
    </row>
    <row r="190" spans="1:35">
      <c r="A190" s="538"/>
      <c r="B190" s="538"/>
      <c r="C190" s="538"/>
      <c r="D190" s="538"/>
      <c r="E190" s="538"/>
      <c r="F190" s="540"/>
      <c r="G190" s="538"/>
      <c r="H190" s="538"/>
      <c r="I190" s="538"/>
      <c r="J190" s="538"/>
      <c r="K190" s="540"/>
      <c r="L190" s="540"/>
      <c r="M190" s="588"/>
      <c r="N190" s="538"/>
      <c r="O190" s="588"/>
      <c r="P190" s="538"/>
      <c r="Q190" s="588"/>
      <c r="R190" s="538"/>
      <c r="S190" s="588"/>
      <c r="T190" s="538"/>
      <c r="U190" s="588"/>
      <c r="V190" s="538"/>
      <c r="W190" s="538"/>
      <c r="X190" s="538"/>
      <c r="Y190" s="538"/>
      <c r="Z190" s="538"/>
      <c r="AA190" s="551"/>
      <c r="AB190" s="551"/>
      <c r="AC190" s="551"/>
      <c r="AD190" s="551"/>
      <c r="AE190" s="551"/>
      <c r="AF190" s="551"/>
      <c r="AG190" s="551"/>
      <c r="AH190" s="551"/>
      <c r="AI190" s="551"/>
    </row>
    <row r="191" spans="1:35">
      <c r="A191" s="538"/>
      <c r="B191" s="538"/>
      <c r="C191" s="538"/>
      <c r="D191" s="538"/>
      <c r="E191" s="538"/>
      <c r="F191" s="540"/>
      <c r="G191" s="538"/>
      <c r="H191" s="538"/>
      <c r="I191" s="538"/>
      <c r="J191" s="538"/>
      <c r="K191" s="540"/>
      <c r="L191" s="540"/>
      <c r="M191" s="588"/>
      <c r="N191" s="538"/>
      <c r="O191" s="588"/>
      <c r="P191" s="538"/>
      <c r="Q191" s="588"/>
      <c r="R191" s="538"/>
      <c r="S191" s="588"/>
      <c r="T191" s="538"/>
      <c r="U191" s="588"/>
      <c r="V191" s="538"/>
      <c r="W191" s="538"/>
      <c r="X191" s="538"/>
      <c r="Y191" s="538"/>
      <c r="Z191" s="538"/>
      <c r="AA191" s="551"/>
      <c r="AB191" s="551"/>
      <c r="AC191" s="551"/>
      <c r="AD191" s="551"/>
      <c r="AE191" s="551"/>
      <c r="AF191" s="551"/>
      <c r="AG191" s="551"/>
      <c r="AH191" s="551"/>
      <c r="AI191" s="551"/>
    </row>
    <row r="192" spans="1:35">
      <c r="A192" s="538"/>
      <c r="B192" s="538"/>
      <c r="C192" s="538"/>
      <c r="D192" s="538"/>
      <c r="E192" s="538"/>
      <c r="F192" s="540"/>
      <c r="G192" s="538"/>
      <c r="H192" s="538"/>
      <c r="I192" s="538"/>
      <c r="J192" s="538"/>
      <c r="K192" s="540"/>
      <c r="L192" s="540"/>
      <c r="M192" s="588"/>
      <c r="N192" s="538"/>
      <c r="O192" s="588"/>
      <c r="P192" s="538"/>
      <c r="Q192" s="588"/>
      <c r="R192" s="538"/>
      <c r="S192" s="588"/>
      <c r="T192" s="538"/>
      <c r="U192" s="588"/>
      <c r="V192" s="538"/>
      <c r="W192" s="538"/>
      <c r="X192" s="538"/>
      <c r="Y192" s="538"/>
      <c r="Z192" s="538"/>
      <c r="AA192" s="551"/>
      <c r="AB192" s="551"/>
      <c r="AC192" s="551"/>
      <c r="AD192" s="551"/>
      <c r="AE192" s="551"/>
      <c r="AF192" s="551"/>
      <c r="AG192" s="551"/>
      <c r="AH192" s="551"/>
      <c r="AI192" s="551"/>
    </row>
    <row r="193" spans="1:35">
      <c r="A193" s="538"/>
      <c r="B193" s="538"/>
      <c r="C193" s="538"/>
      <c r="D193" s="538"/>
      <c r="E193" s="538"/>
      <c r="F193" s="540"/>
      <c r="G193" s="538"/>
      <c r="H193" s="538"/>
      <c r="I193" s="538"/>
      <c r="J193" s="538"/>
      <c r="K193" s="540"/>
      <c r="L193" s="540"/>
      <c r="M193" s="588"/>
      <c r="N193" s="538"/>
      <c r="O193" s="588"/>
      <c r="P193" s="538"/>
      <c r="Q193" s="588"/>
      <c r="R193" s="538"/>
      <c r="S193" s="588"/>
      <c r="T193" s="538"/>
      <c r="U193" s="588"/>
      <c r="V193" s="538"/>
      <c r="W193" s="538"/>
      <c r="X193" s="538"/>
      <c r="Y193" s="538"/>
      <c r="Z193" s="538"/>
      <c r="AA193" s="551"/>
      <c r="AB193" s="551"/>
      <c r="AC193" s="551"/>
      <c r="AD193" s="551"/>
      <c r="AE193" s="551"/>
      <c r="AF193" s="551"/>
      <c r="AG193" s="551"/>
      <c r="AH193" s="551"/>
      <c r="AI193" s="551"/>
    </row>
    <row r="194" spans="1:35">
      <c r="A194" s="538"/>
      <c r="B194" s="538"/>
      <c r="C194" s="538"/>
      <c r="D194" s="538"/>
      <c r="E194" s="538"/>
      <c r="F194" s="540"/>
      <c r="G194" s="538"/>
      <c r="H194" s="538"/>
      <c r="I194" s="538"/>
      <c r="J194" s="538"/>
      <c r="K194" s="540"/>
      <c r="L194" s="540"/>
      <c r="M194" s="588"/>
      <c r="N194" s="538"/>
      <c r="O194" s="588"/>
      <c r="P194" s="538"/>
      <c r="Q194" s="588"/>
      <c r="R194" s="538"/>
      <c r="S194" s="588"/>
      <c r="T194" s="538"/>
      <c r="U194" s="588"/>
      <c r="V194" s="538"/>
      <c r="W194" s="538"/>
      <c r="X194" s="538"/>
      <c r="Y194" s="538"/>
      <c r="Z194" s="538"/>
      <c r="AA194" s="1324"/>
      <c r="AB194" s="1324"/>
      <c r="AC194" s="1324"/>
      <c r="AD194" s="1324"/>
      <c r="AE194" s="1324"/>
      <c r="AF194" s="1324"/>
      <c r="AG194" s="1324"/>
      <c r="AH194" s="1324"/>
      <c r="AI194" s="1324"/>
    </row>
    <row r="195" spans="1:35">
      <c r="A195" s="538"/>
      <c r="B195" s="538"/>
      <c r="C195" s="538"/>
      <c r="D195" s="538"/>
      <c r="E195" s="538"/>
      <c r="F195" s="540"/>
      <c r="G195" s="538"/>
      <c r="H195" s="538"/>
      <c r="I195" s="538"/>
      <c r="J195" s="538"/>
      <c r="K195" s="540"/>
      <c r="L195" s="540"/>
      <c r="M195" s="588"/>
      <c r="N195" s="538"/>
      <c r="O195" s="588"/>
      <c r="P195" s="538"/>
      <c r="Q195" s="588"/>
      <c r="R195" s="538"/>
      <c r="S195" s="588"/>
      <c r="T195" s="538"/>
      <c r="U195" s="588"/>
      <c r="V195" s="538"/>
      <c r="W195" s="538"/>
      <c r="X195" s="538"/>
      <c r="Y195" s="538"/>
      <c r="Z195" s="538"/>
      <c r="AA195" s="1324"/>
      <c r="AB195" s="1324"/>
      <c r="AC195" s="1324"/>
      <c r="AD195" s="1324"/>
      <c r="AE195" s="1324"/>
      <c r="AF195" s="1324"/>
      <c r="AG195" s="1324"/>
      <c r="AH195" s="1324"/>
      <c r="AI195" s="1324"/>
    </row>
    <row r="196" spans="1:35">
      <c r="A196" s="538"/>
      <c r="B196" s="538"/>
      <c r="C196" s="538"/>
      <c r="D196" s="538"/>
      <c r="E196" s="538"/>
      <c r="F196" s="540"/>
      <c r="G196" s="538"/>
      <c r="H196" s="538"/>
      <c r="I196" s="538"/>
      <c r="J196" s="538"/>
      <c r="K196" s="540"/>
      <c r="L196" s="540"/>
      <c r="M196" s="588"/>
      <c r="N196" s="538"/>
      <c r="O196" s="588"/>
      <c r="P196" s="538"/>
      <c r="Q196" s="588"/>
      <c r="R196" s="538"/>
      <c r="S196" s="588"/>
      <c r="T196" s="538"/>
      <c r="U196" s="588"/>
      <c r="V196" s="538"/>
      <c r="W196" s="538"/>
      <c r="X196" s="538"/>
      <c r="Y196" s="538"/>
      <c r="Z196" s="538"/>
      <c r="AA196" s="1324"/>
      <c r="AB196" s="1324"/>
      <c r="AC196" s="1324"/>
      <c r="AD196" s="1324"/>
      <c r="AE196" s="1324"/>
      <c r="AF196" s="1324"/>
      <c r="AG196" s="1324"/>
      <c r="AH196" s="1324"/>
      <c r="AI196" s="1324"/>
    </row>
    <row r="197" spans="1:35">
      <c r="A197" s="538"/>
      <c r="B197" s="538"/>
      <c r="C197" s="538"/>
      <c r="D197" s="538"/>
      <c r="E197" s="538"/>
      <c r="F197" s="540"/>
      <c r="G197" s="538"/>
      <c r="H197" s="538"/>
      <c r="I197" s="538"/>
      <c r="J197" s="538"/>
      <c r="K197" s="540"/>
      <c r="L197" s="540"/>
      <c r="M197" s="588"/>
      <c r="N197" s="538"/>
      <c r="O197" s="588"/>
      <c r="P197" s="538"/>
      <c r="Q197" s="588"/>
      <c r="R197" s="538"/>
      <c r="S197" s="588"/>
      <c r="T197" s="538"/>
      <c r="U197" s="588"/>
      <c r="V197" s="538"/>
      <c r="W197" s="538"/>
      <c r="X197" s="538"/>
      <c r="Y197" s="538"/>
      <c r="Z197" s="538"/>
      <c r="AA197" s="551"/>
      <c r="AB197" s="551"/>
      <c r="AC197" s="551"/>
      <c r="AD197" s="551"/>
      <c r="AE197" s="551"/>
      <c r="AF197" s="551"/>
      <c r="AG197" s="551"/>
      <c r="AH197" s="551"/>
      <c r="AI197" s="551"/>
    </row>
    <row r="198" spans="1:35">
      <c r="A198" s="538"/>
      <c r="B198" s="538"/>
      <c r="C198" s="538"/>
      <c r="D198" s="538"/>
      <c r="E198" s="538"/>
      <c r="F198" s="540"/>
      <c r="G198" s="538"/>
      <c r="H198" s="538"/>
      <c r="I198" s="538"/>
      <c r="J198" s="538"/>
      <c r="K198" s="540"/>
      <c r="L198" s="540"/>
      <c r="M198" s="588"/>
      <c r="N198" s="538"/>
      <c r="O198" s="588"/>
      <c r="P198" s="538"/>
      <c r="Q198" s="588"/>
      <c r="R198" s="538"/>
      <c r="S198" s="588"/>
      <c r="T198" s="538"/>
      <c r="U198" s="588"/>
      <c r="V198" s="538"/>
      <c r="W198" s="538"/>
      <c r="X198" s="538"/>
      <c r="Y198" s="538"/>
      <c r="Z198" s="538"/>
      <c r="AA198" s="551"/>
      <c r="AB198" s="551"/>
      <c r="AC198" s="551"/>
      <c r="AD198" s="551"/>
      <c r="AE198" s="551"/>
      <c r="AF198" s="551"/>
      <c r="AG198" s="551"/>
      <c r="AH198" s="551"/>
      <c r="AI198" s="551"/>
    </row>
    <row r="199" spans="1:35">
      <c r="A199" s="538"/>
      <c r="B199" s="538"/>
      <c r="C199" s="538"/>
      <c r="D199" s="538"/>
      <c r="E199" s="538"/>
      <c r="F199" s="540"/>
      <c r="G199" s="538"/>
      <c r="H199" s="538"/>
      <c r="I199" s="538"/>
      <c r="J199" s="538"/>
      <c r="K199" s="540"/>
      <c r="L199" s="540"/>
      <c r="M199" s="588"/>
      <c r="N199" s="538"/>
      <c r="O199" s="588"/>
      <c r="P199" s="538"/>
      <c r="Q199" s="588"/>
      <c r="R199" s="538"/>
      <c r="S199" s="588"/>
      <c r="T199" s="538"/>
      <c r="U199" s="588"/>
      <c r="V199" s="538"/>
      <c r="W199" s="538"/>
      <c r="X199" s="538"/>
      <c r="Y199" s="538"/>
      <c r="Z199" s="538"/>
      <c r="AA199" s="551"/>
      <c r="AB199" s="551"/>
      <c r="AC199" s="551"/>
      <c r="AD199" s="551"/>
      <c r="AE199" s="551"/>
      <c r="AF199" s="551"/>
      <c r="AG199" s="551"/>
      <c r="AH199" s="551"/>
      <c r="AI199" s="551"/>
    </row>
    <row r="200" spans="1:35">
      <c r="A200" s="538"/>
      <c r="B200" s="538"/>
      <c r="C200" s="538"/>
      <c r="D200" s="538"/>
      <c r="E200" s="538"/>
      <c r="F200" s="540"/>
      <c r="G200" s="538"/>
      <c r="H200" s="538"/>
      <c r="I200" s="538"/>
      <c r="J200" s="538"/>
      <c r="K200" s="540"/>
      <c r="L200" s="540"/>
      <c r="M200" s="588"/>
      <c r="N200" s="538"/>
      <c r="O200" s="588"/>
      <c r="P200" s="538"/>
      <c r="Q200" s="588"/>
      <c r="R200" s="538"/>
      <c r="S200" s="588"/>
      <c r="T200" s="538"/>
      <c r="U200" s="588"/>
      <c r="V200" s="538"/>
      <c r="W200" s="538"/>
      <c r="X200" s="538"/>
      <c r="Y200" s="538"/>
      <c r="Z200" s="538"/>
      <c r="AA200" s="551"/>
      <c r="AB200" s="551"/>
      <c r="AC200" s="551"/>
      <c r="AD200" s="551"/>
      <c r="AE200" s="551"/>
      <c r="AF200" s="551"/>
      <c r="AG200" s="551"/>
      <c r="AH200" s="551"/>
      <c r="AI200" s="551"/>
    </row>
    <row r="201" spans="1:35">
      <c r="A201" s="538"/>
      <c r="B201" s="538"/>
      <c r="C201" s="538"/>
      <c r="D201" s="538"/>
      <c r="E201" s="538"/>
      <c r="F201" s="540"/>
      <c r="G201" s="538"/>
      <c r="H201" s="538"/>
      <c r="I201" s="538"/>
      <c r="J201" s="538"/>
      <c r="K201" s="540"/>
      <c r="L201" s="540"/>
      <c r="M201" s="588"/>
      <c r="N201" s="538"/>
      <c r="O201" s="588"/>
      <c r="P201" s="538"/>
      <c r="Q201" s="588"/>
      <c r="R201" s="538"/>
      <c r="S201" s="588"/>
      <c r="T201" s="538"/>
      <c r="U201" s="588"/>
      <c r="V201" s="538"/>
      <c r="W201" s="538"/>
      <c r="X201" s="538"/>
      <c r="Y201" s="538"/>
      <c r="Z201" s="538"/>
      <c r="AA201" s="551"/>
      <c r="AB201" s="551"/>
      <c r="AC201" s="551"/>
      <c r="AD201" s="551"/>
      <c r="AE201" s="551"/>
      <c r="AF201" s="551"/>
      <c r="AG201" s="551"/>
      <c r="AH201" s="551"/>
      <c r="AI201" s="551"/>
    </row>
    <row r="202" spans="1:35">
      <c r="A202" s="538"/>
      <c r="B202" s="538"/>
      <c r="C202" s="538"/>
      <c r="D202" s="538"/>
      <c r="E202" s="538"/>
      <c r="F202" s="540"/>
      <c r="G202" s="538"/>
      <c r="H202" s="538"/>
      <c r="I202" s="538"/>
      <c r="J202" s="538"/>
      <c r="K202" s="540"/>
      <c r="L202" s="540"/>
      <c r="M202" s="588"/>
      <c r="N202" s="538"/>
      <c r="O202" s="588"/>
      <c r="P202" s="538"/>
      <c r="Q202" s="588"/>
      <c r="R202" s="538"/>
      <c r="S202" s="588"/>
      <c r="T202" s="538"/>
      <c r="U202" s="588"/>
      <c r="V202" s="538"/>
      <c r="W202" s="538"/>
      <c r="X202" s="538"/>
      <c r="Y202" s="538"/>
      <c r="Z202" s="538"/>
      <c r="AA202" s="551"/>
      <c r="AB202" s="551"/>
      <c r="AC202" s="551"/>
      <c r="AD202" s="551"/>
      <c r="AE202" s="551"/>
      <c r="AF202" s="551"/>
      <c r="AG202" s="551"/>
      <c r="AH202" s="551"/>
      <c r="AI202" s="551"/>
    </row>
    <row r="203" spans="1:35">
      <c r="A203" s="538"/>
      <c r="B203" s="538"/>
      <c r="C203" s="538"/>
      <c r="D203" s="538"/>
      <c r="E203" s="538"/>
      <c r="F203" s="540"/>
      <c r="G203" s="538"/>
      <c r="H203" s="538"/>
      <c r="I203" s="538"/>
      <c r="J203" s="538"/>
      <c r="K203" s="540"/>
      <c r="L203" s="540"/>
      <c r="M203" s="588"/>
      <c r="N203" s="538"/>
      <c r="O203" s="588"/>
      <c r="P203" s="538"/>
      <c r="Q203" s="588"/>
      <c r="R203" s="538"/>
      <c r="S203" s="588"/>
      <c r="T203" s="538"/>
      <c r="U203" s="588"/>
      <c r="V203" s="538"/>
      <c r="W203" s="538"/>
      <c r="X203" s="538"/>
      <c r="Y203" s="538"/>
      <c r="Z203" s="538"/>
      <c r="AA203" s="551"/>
      <c r="AB203" s="551"/>
      <c r="AC203" s="551"/>
      <c r="AD203" s="551"/>
      <c r="AE203" s="551"/>
      <c r="AF203" s="551"/>
      <c r="AG203" s="551"/>
      <c r="AH203" s="551"/>
      <c r="AI203" s="551"/>
    </row>
    <row r="204" spans="1:35">
      <c r="A204" s="538"/>
      <c r="B204" s="538"/>
      <c r="C204" s="538"/>
      <c r="D204" s="538"/>
      <c r="E204" s="538"/>
      <c r="F204" s="540"/>
      <c r="G204" s="538"/>
      <c r="H204" s="538"/>
      <c r="I204" s="538"/>
      <c r="J204" s="538"/>
      <c r="K204" s="540"/>
      <c r="L204" s="540"/>
      <c r="M204" s="588"/>
      <c r="N204" s="538"/>
      <c r="O204" s="588"/>
      <c r="P204" s="538"/>
      <c r="Q204" s="588"/>
      <c r="R204" s="538"/>
      <c r="S204" s="588"/>
      <c r="T204" s="538"/>
      <c r="U204" s="588"/>
      <c r="V204" s="538"/>
      <c r="W204" s="538"/>
      <c r="X204" s="538"/>
      <c r="Y204" s="538"/>
      <c r="Z204" s="538"/>
      <c r="AA204" s="1324"/>
      <c r="AB204" s="1324"/>
      <c r="AC204" s="1324"/>
      <c r="AD204" s="1324"/>
      <c r="AE204" s="1324"/>
      <c r="AF204" s="1324"/>
      <c r="AG204" s="1324"/>
      <c r="AH204" s="1324"/>
      <c r="AI204" s="1324"/>
    </row>
    <row r="205" spans="1:35">
      <c r="A205" s="538"/>
      <c r="B205" s="538"/>
      <c r="C205" s="538"/>
      <c r="D205" s="538"/>
      <c r="E205" s="538"/>
      <c r="F205" s="540"/>
      <c r="G205" s="538"/>
      <c r="H205" s="538"/>
      <c r="I205" s="538"/>
      <c r="J205" s="538"/>
      <c r="K205" s="540"/>
      <c r="L205" s="540"/>
      <c r="M205" s="588"/>
      <c r="N205" s="538"/>
      <c r="O205" s="588"/>
      <c r="P205" s="538"/>
      <c r="Q205" s="588"/>
      <c r="R205" s="538"/>
      <c r="S205" s="588"/>
      <c r="T205" s="538"/>
      <c r="U205" s="588"/>
      <c r="V205" s="538"/>
      <c r="W205" s="538"/>
      <c r="X205" s="538"/>
      <c r="Y205" s="538"/>
      <c r="Z205" s="538"/>
      <c r="AA205" s="1324"/>
      <c r="AB205" s="1324"/>
      <c r="AC205" s="1324"/>
      <c r="AD205" s="1324"/>
      <c r="AE205" s="1324"/>
      <c r="AF205" s="1324"/>
      <c r="AG205" s="1324"/>
      <c r="AH205" s="1324"/>
      <c r="AI205" s="1324"/>
    </row>
    <row r="206" spans="1:35">
      <c r="A206" s="538"/>
      <c r="B206" s="538"/>
      <c r="C206" s="538"/>
      <c r="D206" s="538"/>
      <c r="E206" s="538"/>
      <c r="F206" s="540"/>
      <c r="G206" s="538"/>
      <c r="H206" s="538"/>
      <c r="I206" s="538"/>
      <c r="J206" s="538"/>
      <c r="K206" s="540"/>
      <c r="L206" s="540"/>
      <c r="M206" s="588"/>
      <c r="N206" s="538"/>
      <c r="O206" s="588"/>
      <c r="P206" s="538"/>
      <c r="Q206" s="588"/>
      <c r="R206" s="538"/>
      <c r="S206" s="588"/>
      <c r="T206" s="538"/>
      <c r="U206" s="588"/>
      <c r="V206" s="538"/>
      <c r="W206" s="538"/>
      <c r="X206" s="538"/>
      <c r="Y206" s="538"/>
      <c r="Z206" s="538"/>
      <c r="AA206" s="540"/>
      <c r="AB206" s="540"/>
      <c r="AC206" s="540"/>
      <c r="AD206" s="540"/>
      <c r="AE206" s="540"/>
      <c r="AF206" s="540"/>
      <c r="AG206" s="540"/>
      <c r="AH206" s="540"/>
      <c r="AI206" s="540"/>
    </row>
    <row r="207" spans="1:35">
      <c r="A207" s="538"/>
      <c r="B207" s="538"/>
      <c r="C207" s="538"/>
      <c r="D207" s="538"/>
      <c r="E207" s="538"/>
      <c r="F207" s="540"/>
      <c r="G207" s="538"/>
      <c r="H207" s="538"/>
      <c r="I207" s="538"/>
      <c r="J207" s="538"/>
      <c r="K207" s="540"/>
      <c r="L207" s="540"/>
      <c r="M207" s="588"/>
      <c r="N207" s="538"/>
      <c r="O207" s="588"/>
      <c r="P207" s="538"/>
      <c r="Q207" s="588"/>
      <c r="R207" s="538"/>
      <c r="S207" s="588"/>
      <c r="T207" s="538"/>
      <c r="U207" s="588"/>
      <c r="V207" s="538"/>
      <c r="W207" s="538"/>
      <c r="X207" s="538"/>
      <c r="Y207" s="538"/>
      <c r="Z207" s="538"/>
      <c r="AA207" s="540"/>
      <c r="AB207" s="540"/>
      <c r="AC207" s="540"/>
      <c r="AD207" s="540"/>
      <c r="AE207" s="540"/>
      <c r="AF207" s="540"/>
      <c r="AG207" s="540"/>
      <c r="AH207" s="540"/>
      <c r="AI207" s="540"/>
    </row>
    <row r="208" spans="1:35">
      <c r="A208" s="538"/>
      <c r="B208" s="538"/>
      <c r="C208" s="538"/>
      <c r="D208" s="538"/>
      <c r="E208" s="538"/>
      <c r="F208" s="540"/>
      <c r="G208" s="538"/>
      <c r="H208" s="538"/>
      <c r="I208" s="538"/>
      <c r="J208" s="538"/>
      <c r="K208" s="540"/>
      <c r="L208" s="540"/>
      <c r="M208" s="588"/>
      <c r="N208" s="538"/>
      <c r="O208" s="588"/>
      <c r="P208" s="538"/>
      <c r="Q208" s="588"/>
      <c r="R208" s="538"/>
      <c r="S208" s="588"/>
      <c r="T208" s="538"/>
      <c r="U208" s="588"/>
      <c r="V208" s="538"/>
      <c r="W208" s="538"/>
      <c r="X208" s="538"/>
      <c r="Y208" s="538"/>
      <c r="Z208" s="538"/>
      <c r="AA208" s="538"/>
      <c r="AB208" s="538"/>
      <c r="AC208" s="538"/>
      <c r="AD208" s="538"/>
      <c r="AE208" s="538"/>
      <c r="AF208" s="538"/>
      <c r="AG208" s="538"/>
      <c r="AH208" s="538"/>
      <c r="AI208" s="538"/>
    </row>
    <row r="209" spans="1:35">
      <c r="A209" s="538"/>
      <c r="B209" s="538"/>
      <c r="C209" s="538"/>
      <c r="D209" s="538"/>
      <c r="E209" s="538"/>
      <c r="F209" s="540"/>
      <c r="G209" s="538"/>
      <c r="H209" s="538"/>
      <c r="I209" s="538"/>
      <c r="J209" s="538"/>
      <c r="K209" s="540"/>
      <c r="L209" s="540"/>
      <c r="M209" s="588"/>
      <c r="N209" s="538"/>
      <c r="O209" s="588"/>
      <c r="P209" s="538"/>
      <c r="Q209" s="588"/>
      <c r="R209" s="538"/>
      <c r="S209" s="588"/>
      <c r="T209" s="538"/>
      <c r="U209" s="588"/>
      <c r="V209" s="538"/>
      <c r="W209" s="538"/>
      <c r="X209" s="538"/>
      <c r="Y209" s="538"/>
      <c r="Z209" s="538"/>
      <c r="AA209" s="538"/>
      <c r="AB209" s="538"/>
      <c r="AC209" s="538"/>
      <c r="AD209" s="538"/>
      <c r="AE209" s="538"/>
      <c r="AF209" s="538"/>
      <c r="AG209" s="538"/>
      <c r="AH209" s="538"/>
      <c r="AI209" s="538"/>
    </row>
    <row r="210" spans="1:35">
      <c r="A210" s="538"/>
      <c r="B210" s="538"/>
      <c r="C210" s="538"/>
      <c r="D210" s="538"/>
      <c r="E210" s="538"/>
      <c r="F210" s="540"/>
      <c r="G210" s="538"/>
      <c r="H210" s="538"/>
      <c r="I210" s="538"/>
      <c r="J210" s="538"/>
      <c r="K210" s="540"/>
      <c r="L210" s="540"/>
      <c r="M210" s="588"/>
      <c r="N210" s="538"/>
      <c r="O210" s="588"/>
      <c r="P210" s="538"/>
      <c r="Q210" s="588"/>
      <c r="R210" s="538"/>
      <c r="S210" s="588"/>
      <c r="T210" s="538"/>
      <c r="U210" s="588"/>
      <c r="V210" s="538"/>
      <c r="W210" s="538"/>
      <c r="X210" s="538"/>
      <c r="Y210" s="538"/>
      <c r="Z210" s="538"/>
      <c r="AA210" s="538"/>
      <c r="AB210" s="538"/>
      <c r="AC210" s="538"/>
      <c r="AD210" s="538"/>
      <c r="AE210" s="538"/>
      <c r="AF210" s="538"/>
      <c r="AG210" s="538"/>
      <c r="AH210" s="538"/>
      <c r="AI210" s="538"/>
    </row>
    <row r="211" spans="1:35">
      <c r="A211" s="538"/>
      <c r="B211" s="538"/>
      <c r="C211" s="538"/>
      <c r="D211" s="538"/>
      <c r="E211" s="538"/>
      <c r="F211" s="540"/>
      <c r="G211" s="538"/>
      <c r="H211" s="538"/>
      <c r="I211" s="538"/>
      <c r="J211" s="538"/>
      <c r="K211" s="540"/>
      <c r="L211" s="540"/>
      <c r="M211" s="588"/>
      <c r="N211" s="538"/>
      <c r="O211" s="588"/>
      <c r="P211" s="538"/>
      <c r="Q211" s="588"/>
      <c r="R211" s="538"/>
      <c r="S211" s="588"/>
      <c r="T211" s="538"/>
      <c r="U211" s="588"/>
      <c r="V211" s="538"/>
      <c r="W211" s="538"/>
      <c r="X211" s="538"/>
      <c r="Y211" s="538"/>
      <c r="Z211" s="538"/>
      <c r="AA211" s="538"/>
      <c r="AB211" s="538"/>
      <c r="AC211" s="538"/>
      <c r="AD211" s="538"/>
      <c r="AE211" s="538"/>
      <c r="AF211" s="538"/>
      <c r="AG211" s="538"/>
      <c r="AH211" s="538"/>
      <c r="AI211" s="538"/>
    </row>
    <row r="212" spans="1:35">
      <c r="A212" s="538"/>
      <c r="B212" s="538"/>
      <c r="C212" s="538"/>
      <c r="D212" s="538"/>
      <c r="E212" s="538"/>
      <c r="F212" s="540"/>
      <c r="G212" s="538"/>
      <c r="H212" s="538"/>
      <c r="I212" s="538"/>
      <c r="J212" s="538"/>
      <c r="K212" s="540"/>
      <c r="L212" s="540"/>
      <c r="M212" s="588"/>
      <c r="N212" s="538"/>
      <c r="O212" s="588"/>
      <c r="P212" s="538"/>
      <c r="Q212" s="588"/>
      <c r="R212" s="538"/>
      <c r="S212" s="588"/>
      <c r="T212" s="538"/>
      <c r="U212" s="588"/>
      <c r="V212" s="538"/>
      <c r="W212" s="538"/>
      <c r="X212" s="538"/>
      <c r="Y212" s="538"/>
      <c r="Z212" s="538"/>
      <c r="AA212" s="538"/>
      <c r="AB212" s="538"/>
      <c r="AC212" s="538"/>
      <c r="AD212" s="538"/>
      <c r="AE212" s="538"/>
      <c r="AF212" s="538"/>
      <c r="AG212" s="538"/>
      <c r="AH212" s="538"/>
      <c r="AI212" s="538"/>
    </row>
    <row r="213" spans="1:35">
      <c r="A213" s="538"/>
      <c r="B213" s="538"/>
      <c r="C213" s="538"/>
      <c r="D213" s="538"/>
      <c r="E213" s="538"/>
      <c r="F213" s="540"/>
      <c r="G213" s="538"/>
      <c r="H213" s="538"/>
      <c r="I213" s="538"/>
      <c r="J213" s="538"/>
      <c r="K213" s="540"/>
      <c r="L213" s="540"/>
      <c r="M213" s="588"/>
      <c r="N213" s="538"/>
      <c r="O213" s="588"/>
      <c r="P213" s="538"/>
      <c r="Q213" s="588"/>
      <c r="R213" s="538"/>
      <c r="S213" s="588"/>
      <c r="T213" s="538"/>
      <c r="U213" s="588"/>
      <c r="V213" s="538"/>
      <c r="W213" s="538"/>
      <c r="X213" s="538"/>
      <c r="Y213" s="538"/>
      <c r="Z213" s="538"/>
      <c r="AA213" s="538"/>
      <c r="AB213" s="538"/>
      <c r="AC213" s="538"/>
      <c r="AD213" s="538"/>
      <c r="AE213" s="538"/>
      <c r="AF213" s="538"/>
      <c r="AG213" s="538"/>
      <c r="AH213" s="538"/>
      <c r="AI213" s="538"/>
    </row>
    <row r="214" spans="1:35">
      <c r="A214" s="538"/>
      <c r="B214" s="538"/>
      <c r="C214" s="538"/>
      <c r="D214" s="538"/>
      <c r="E214" s="538"/>
      <c r="F214" s="540"/>
      <c r="G214" s="538"/>
      <c r="H214" s="538"/>
      <c r="I214" s="538"/>
      <c r="J214" s="538"/>
      <c r="K214" s="540"/>
      <c r="L214" s="540"/>
      <c r="M214" s="588"/>
      <c r="N214" s="538"/>
      <c r="O214" s="588"/>
      <c r="P214" s="538"/>
      <c r="Q214" s="588"/>
      <c r="R214" s="538"/>
      <c r="S214" s="588"/>
      <c r="T214" s="538"/>
      <c r="U214" s="588"/>
      <c r="V214" s="538"/>
      <c r="W214" s="538"/>
      <c r="X214" s="538"/>
      <c r="Y214" s="538"/>
      <c r="Z214" s="538"/>
      <c r="AA214" s="538"/>
      <c r="AB214" s="538"/>
      <c r="AC214" s="538"/>
      <c r="AD214" s="538"/>
      <c r="AE214" s="538"/>
      <c r="AF214" s="538"/>
      <c r="AG214" s="538"/>
      <c r="AH214" s="538"/>
      <c r="AI214" s="538"/>
    </row>
  </sheetData>
  <phoneticPr fontId="19" type="noConversion"/>
  <printOptions horizontalCentered="1"/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00B050"/>
  </sheetPr>
  <dimension ref="A1:R69"/>
  <sheetViews>
    <sheetView tabSelected="1" view="pageLayout" zoomScaleNormal="90" workbookViewId="0">
      <selection activeCell="G1" sqref="G1"/>
    </sheetView>
  </sheetViews>
  <sheetFormatPr defaultColWidth="6.85546875" defaultRowHeight="12.75"/>
  <cols>
    <col min="1" max="1" width="6.85546875" style="18" customWidth="1"/>
    <col min="2" max="2" width="34" style="18" customWidth="1"/>
    <col min="3" max="6" width="14.7109375" style="18" customWidth="1"/>
    <col min="7" max="7" width="14.42578125" style="18" customWidth="1"/>
    <col min="8" max="8" width="1.140625" style="18" customWidth="1"/>
    <col min="9" max="9" width="14.42578125" style="18" customWidth="1"/>
    <col min="10" max="10" width="1.28515625" style="18" customWidth="1"/>
    <col min="11" max="11" width="16" style="18" customWidth="1"/>
    <col min="12" max="12" width="1.28515625" style="18" customWidth="1"/>
    <col min="13" max="13" width="15.42578125" style="18" customWidth="1"/>
    <col min="14" max="14" width="17.42578125" style="18" customWidth="1"/>
    <col min="15" max="18" width="6.85546875" style="18" customWidth="1"/>
    <col min="19" max="19" width="11.7109375" style="18" customWidth="1"/>
    <col min="20" max="20" width="12" style="18" customWidth="1"/>
    <col min="21" max="21" width="13.85546875" style="18" customWidth="1"/>
    <col min="22" max="22" width="14.28515625" style="18" customWidth="1"/>
    <col min="23" max="23" width="14" style="18" customWidth="1"/>
    <col min="24" max="24" width="13.42578125" style="18" customWidth="1"/>
    <col min="25" max="25" width="14.140625" style="18" customWidth="1"/>
    <col min="26" max="16384" width="6.85546875" style="18"/>
  </cols>
  <sheetData>
    <row r="1" spans="1:18">
      <c r="A1" s="714" t="str">
        <f>COMPANY</f>
        <v>DUKE ENERGY KENTUCKY, INC.</v>
      </c>
      <c r="B1" s="786"/>
      <c r="C1" s="786"/>
      <c r="D1" s="786"/>
      <c r="E1" s="786"/>
      <c r="F1" s="786"/>
      <c r="G1" s="786"/>
      <c r="H1" s="786"/>
      <c r="I1" s="786"/>
      <c r="J1" s="786"/>
      <c r="K1" s="786"/>
      <c r="L1" s="786"/>
      <c r="M1" s="786"/>
      <c r="N1" s="786"/>
      <c r="O1" s="789"/>
      <c r="P1" s="700"/>
      <c r="Q1" s="700"/>
      <c r="R1" s="790"/>
    </row>
    <row r="2" spans="1:18">
      <c r="A2" s="808" t="str">
        <f>CASE</f>
        <v>CASE NO. 2017-00321</v>
      </c>
      <c r="B2" s="786"/>
      <c r="C2" s="786"/>
      <c r="D2" s="786"/>
      <c r="E2" s="786"/>
      <c r="F2" s="786"/>
      <c r="G2" s="786"/>
      <c r="H2" s="786"/>
      <c r="I2" s="786"/>
      <c r="J2" s="786"/>
      <c r="K2" s="786"/>
      <c r="L2" s="786"/>
      <c r="M2" s="786"/>
      <c r="N2" s="786"/>
      <c r="O2" s="789"/>
      <c r="P2" s="700"/>
      <c r="Q2" s="700"/>
      <c r="R2" s="790"/>
    </row>
    <row r="3" spans="1:18">
      <c r="A3" s="714" t="s">
        <v>1947</v>
      </c>
      <c r="B3" s="786"/>
      <c r="C3" s="786"/>
      <c r="D3" s="786"/>
      <c r="E3" s="786"/>
      <c r="F3" s="786"/>
      <c r="G3" s="786"/>
      <c r="H3" s="786"/>
      <c r="I3" s="786"/>
      <c r="J3" s="786"/>
      <c r="K3" s="786"/>
      <c r="L3" s="786"/>
      <c r="M3" s="786"/>
      <c r="N3" s="786"/>
      <c r="O3" s="789"/>
      <c r="P3" s="700"/>
      <c r="Q3" s="700"/>
      <c r="R3" s="790"/>
    </row>
    <row r="4" spans="1:18">
      <c r="A4" s="695" t="str">
        <f>PERIOD</f>
        <v>FOR THE TWELVE MONTHS ENDED NOVEMBER 30, 2017</v>
      </c>
      <c r="B4" s="786"/>
      <c r="C4" s="786"/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00"/>
      <c r="P4" s="700"/>
      <c r="Q4" s="700"/>
      <c r="R4" s="700"/>
    </row>
    <row r="5" spans="1:18">
      <c r="A5" s="695" t="str">
        <f>PeriodF</f>
        <v>FOR THE TWELVE MONTHS ENDED MARCH 31, 2019</v>
      </c>
      <c r="B5" s="786"/>
      <c r="C5" s="786"/>
      <c r="D5" s="786"/>
      <c r="E5" s="786"/>
      <c r="F5" s="786"/>
      <c r="G5" s="786"/>
      <c r="H5" s="786"/>
      <c r="I5" s="786"/>
      <c r="J5" s="786"/>
      <c r="K5" s="786"/>
      <c r="L5" s="786"/>
      <c r="M5" s="786"/>
      <c r="N5" s="786"/>
      <c r="O5" s="700"/>
      <c r="P5" s="700"/>
      <c r="Q5" s="700"/>
      <c r="R5" s="700"/>
    </row>
    <row r="6" spans="1:18">
      <c r="A6" s="700"/>
      <c r="B6" s="700"/>
      <c r="C6" s="700"/>
      <c r="D6" s="700"/>
      <c r="E6" s="700"/>
      <c r="F6" s="700"/>
      <c r="G6" s="786"/>
      <c r="H6" s="786"/>
      <c r="I6" s="786"/>
      <c r="J6" s="786"/>
      <c r="K6" s="786"/>
      <c r="L6" s="786"/>
      <c r="M6" s="786"/>
      <c r="N6" s="786"/>
      <c r="O6" s="789"/>
      <c r="P6" s="700"/>
      <c r="Q6" s="700"/>
      <c r="R6" s="790"/>
    </row>
    <row r="7" spans="1:18">
      <c r="A7" s="809"/>
      <c r="B7" s="700"/>
      <c r="C7" s="700"/>
      <c r="D7" s="700"/>
      <c r="E7" s="700"/>
      <c r="F7" s="700"/>
      <c r="G7" s="700"/>
      <c r="H7" s="721"/>
      <c r="I7" s="721"/>
      <c r="J7" s="721"/>
      <c r="K7" s="721"/>
      <c r="L7" s="721"/>
      <c r="M7" s="721" t="s">
        <v>488</v>
      </c>
      <c r="N7" s="786"/>
      <c r="O7" s="789"/>
      <c r="P7" s="700"/>
      <c r="Q7" s="700"/>
      <c r="R7" s="790"/>
    </row>
    <row r="8" spans="1:18">
      <c r="A8" s="809"/>
      <c r="B8" s="700"/>
      <c r="C8" s="700"/>
      <c r="D8" s="700"/>
      <c r="E8" s="700"/>
      <c r="F8" s="700"/>
      <c r="G8" s="700"/>
      <c r="H8" s="721"/>
      <c r="I8" s="721"/>
      <c r="J8" s="721"/>
      <c r="K8" s="721"/>
      <c r="L8" s="721"/>
      <c r="M8" s="721" t="s">
        <v>620</v>
      </c>
      <c r="N8" s="786"/>
      <c r="O8" s="789"/>
      <c r="P8" s="700"/>
      <c r="Q8" s="700"/>
      <c r="R8" s="790"/>
    </row>
    <row r="9" spans="1:18">
      <c r="A9" s="700" t="str">
        <f>DataB</f>
        <v>DATA: "X" BASE PERIOD  "X" FORECASTED PERIOD</v>
      </c>
      <c r="B9" s="700"/>
      <c r="C9" s="700"/>
      <c r="D9" s="700"/>
      <c r="E9" s="700"/>
      <c r="F9" s="788"/>
      <c r="G9" s="700"/>
      <c r="H9" s="811"/>
      <c r="I9" s="811"/>
      <c r="J9" s="811"/>
      <c r="K9" s="811"/>
      <c r="L9" s="811"/>
      <c r="M9" s="811" t="s">
        <v>622</v>
      </c>
      <c r="N9" s="786"/>
      <c r="O9" s="789"/>
      <c r="P9" s="700"/>
      <c r="Q9" s="700"/>
      <c r="R9" s="790"/>
    </row>
    <row r="10" spans="1:18">
      <c r="A10" s="811" t="str">
        <f>LOGO!B15</f>
        <v xml:space="preserve">TYPE OF FILING:  "X" ORIGINAL   UPDATED    REVISED  </v>
      </c>
      <c r="B10" s="700"/>
      <c r="C10" s="700"/>
      <c r="D10" s="700"/>
      <c r="E10" s="700"/>
      <c r="F10" s="788"/>
      <c r="G10" s="700"/>
      <c r="H10" s="700"/>
      <c r="I10" s="700"/>
      <c r="J10" s="700"/>
      <c r="K10" s="700"/>
      <c r="L10" s="700"/>
      <c r="M10" s="700" t="str">
        <f>_WIT6</f>
        <v>R. H. PRATT / D. L. DOSS</v>
      </c>
      <c r="N10" s="786"/>
      <c r="O10" s="789"/>
      <c r="P10" s="700"/>
      <c r="Q10" s="700"/>
      <c r="R10" s="790"/>
    </row>
    <row r="11" spans="1:18">
      <c r="A11" s="721" t="s">
        <v>1731</v>
      </c>
      <c r="B11" s="700"/>
      <c r="C11" s="700"/>
      <c r="D11" s="700"/>
      <c r="E11" s="700"/>
      <c r="F11" s="788"/>
      <c r="G11" s="786"/>
      <c r="H11" s="786"/>
      <c r="I11" s="786"/>
      <c r="J11" s="786"/>
      <c r="K11" s="786"/>
      <c r="L11" s="786"/>
      <c r="M11" s="786"/>
      <c r="N11" s="786"/>
      <c r="O11" s="789"/>
      <c r="P11" s="700"/>
      <c r="Q11" s="700"/>
      <c r="R11" s="790"/>
    </row>
    <row r="12" spans="1:18">
      <c r="A12" s="812"/>
      <c r="B12" s="813"/>
      <c r="C12" s="813"/>
      <c r="D12" s="813"/>
      <c r="E12" s="813"/>
      <c r="F12" s="814"/>
      <c r="G12" s="815"/>
      <c r="H12" s="815"/>
      <c r="I12" s="815"/>
      <c r="J12" s="815"/>
      <c r="K12" s="815"/>
      <c r="L12" s="815"/>
      <c r="M12" s="815"/>
      <c r="N12" s="815"/>
      <c r="O12" s="789"/>
      <c r="P12" s="700"/>
      <c r="Q12" s="700"/>
      <c r="R12" s="790"/>
    </row>
    <row r="13" spans="1:18">
      <c r="A13" s="810"/>
      <c r="B13" s="700"/>
      <c r="C13" s="700"/>
      <c r="D13" s="700"/>
      <c r="E13" s="700"/>
      <c r="F13" s="700"/>
      <c r="G13" s="700"/>
      <c r="H13" s="700"/>
      <c r="I13" s="700"/>
      <c r="J13" s="700"/>
      <c r="K13" s="700"/>
      <c r="L13" s="700"/>
      <c r="M13" s="786" t="s">
        <v>324</v>
      </c>
      <c r="N13" s="786"/>
      <c r="O13" s="789"/>
      <c r="P13" s="700"/>
      <c r="Q13" s="700"/>
      <c r="R13" s="790"/>
    </row>
    <row r="14" spans="1:18">
      <c r="A14" s="810" t="s">
        <v>1961</v>
      </c>
      <c r="B14" s="700"/>
      <c r="C14" s="817" t="s">
        <v>325</v>
      </c>
      <c r="D14" s="817"/>
      <c r="E14" s="817"/>
      <c r="F14" s="817"/>
      <c r="G14" s="817"/>
      <c r="H14" s="807"/>
      <c r="I14" s="807" t="s">
        <v>564</v>
      </c>
      <c r="J14" s="807"/>
      <c r="K14" s="807" t="s">
        <v>1143</v>
      </c>
      <c r="L14" s="807"/>
      <c r="M14" s="818" t="s">
        <v>326</v>
      </c>
      <c r="N14" s="819"/>
      <c r="O14" s="789"/>
      <c r="P14" s="700"/>
      <c r="Q14" s="700"/>
      <c r="R14" s="790"/>
    </row>
    <row r="15" spans="1:18">
      <c r="A15" s="820" t="s">
        <v>90</v>
      </c>
      <c r="B15" s="812" t="s">
        <v>566</v>
      </c>
      <c r="C15" s="717">
        <f>$G$15-4</f>
        <v>2012</v>
      </c>
      <c r="D15" s="717">
        <f>$G$15-3</f>
        <v>2013</v>
      </c>
      <c r="E15" s="717">
        <f>$G$15-2</f>
        <v>2014</v>
      </c>
      <c r="F15" s="717">
        <f>$G$15-1</f>
        <v>2015</v>
      </c>
      <c r="G15" s="717">
        <f>'SCH_I1 - Elec Only'!M14</f>
        <v>2016</v>
      </c>
      <c r="H15" s="717"/>
      <c r="I15" s="717" t="s">
        <v>568</v>
      </c>
      <c r="J15" s="717"/>
      <c r="K15" s="717" t="s">
        <v>568</v>
      </c>
      <c r="L15" s="717"/>
      <c r="M15" s="1291">
        <f>'SCH_I1 - Elec Only'!E14</f>
        <v>2019</v>
      </c>
      <c r="N15" s="1292">
        <f>'SCH_I1 - Elec Only'!D14</f>
        <v>2020</v>
      </c>
      <c r="O15" s="789"/>
      <c r="P15" s="700"/>
      <c r="Q15" s="700"/>
      <c r="R15" s="790"/>
    </row>
    <row r="16" spans="1:18">
      <c r="A16" s="810">
        <v>1</v>
      </c>
      <c r="B16" s="721" t="s">
        <v>1332</v>
      </c>
      <c r="C16" s="816"/>
      <c r="D16" s="816"/>
      <c r="E16" s="816"/>
      <c r="F16" s="816"/>
      <c r="G16" s="816"/>
      <c r="H16" s="816"/>
      <c r="I16" s="816"/>
      <c r="J16" s="816"/>
      <c r="K16" s="816"/>
      <c r="L16" s="816"/>
      <c r="M16" s="816"/>
      <c r="N16" s="700"/>
      <c r="O16" s="789"/>
      <c r="P16" s="700"/>
      <c r="Q16" s="700"/>
      <c r="R16" s="790"/>
    </row>
    <row r="17" spans="1:18">
      <c r="A17" s="810">
        <v>2</v>
      </c>
      <c r="B17" s="821" t="s">
        <v>1333</v>
      </c>
      <c r="C17" s="766"/>
      <c r="D17" s="766"/>
      <c r="E17" s="766"/>
      <c r="F17" s="766"/>
      <c r="G17" s="766"/>
      <c r="H17" s="700"/>
      <c r="I17" s="700"/>
      <c r="J17" s="700"/>
      <c r="K17" s="700"/>
      <c r="L17" s="700"/>
      <c r="M17" s="700"/>
      <c r="N17" s="700"/>
      <c r="O17" s="789"/>
      <c r="P17" s="700"/>
      <c r="Q17" s="700"/>
      <c r="R17" s="790"/>
    </row>
    <row r="18" spans="1:18">
      <c r="A18" s="810">
        <v>3</v>
      </c>
      <c r="B18" s="721" t="s">
        <v>1334</v>
      </c>
      <c r="C18" s="700"/>
      <c r="D18" s="700"/>
      <c r="E18" s="700"/>
      <c r="F18" s="700"/>
      <c r="G18" s="700"/>
      <c r="H18" s="700"/>
      <c r="I18" s="700"/>
      <c r="J18" s="700"/>
      <c r="K18" s="700"/>
      <c r="L18" s="700"/>
      <c r="M18" s="700"/>
      <c r="N18" s="700"/>
      <c r="O18" s="789"/>
      <c r="P18" s="700"/>
      <c r="Q18" s="700"/>
      <c r="R18" s="790"/>
    </row>
    <row r="19" spans="1:18">
      <c r="A19" s="810">
        <v>4</v>
      </c>
      <c r="B19" s="721" t="s">
        <v>1335</v>
      </c>
      <c r="C19" s="792">
        <v>127926561</v>
      </c>
      <c r="D19" s="792">
        <v>127559448</v>
      </c>
      <c r="E19" s="792">
        <v>134130428</v>
      </c>
      <c r="F19" s="792">
        <v>123812030</v>
      </c>
      <c r="G19" s="792">
        <v>130486547</v>
      </c>
      <c r="H19" s="792"/>
      <c r="I19" s="822">
        <f>'SCH_C2.1 - Base Period'!J21</f>
        <v>118309532</v>
      </c>
      <c r="J19" s="792"/>
      <c r="K19" s="822">
        <f ca="1">ROUND('SCH_C2.1 - Forecasted Period'!J21,0)</f>
        <v>119435052</v>
      </c>
      <c r="L19" s="700"/>
      <c r="M19" s="792">
        <v>118169402</v>
      </c>
      <c r="N19" s="792">
        <v>119375357</v>
      </c>
      <c r="O19" s="789"/>
      <c r="P19" s="700"/>
      <c r="Q19" s="700"/>
      <c r="R19" s="790"/>
    </row>
    <row r="20" spans="1:18">
      <c r="A20" s="810">
        <v>5</v>
      </c>
      <c r="B20" s="721" t="s">
        <v>1336</v>
      </c>
      <c r="C20" s="792">
        <v>115828388</v>
      </c>
      <c r="D20" s="792">
        <v>115693002</v>
      </c>
      <c r="E20" s="792">
        <v>120164610</v>
      </c>
      <c r="F20" s="792">
        <v>111993434</v>
      </c>
      <c r="G20" s="792">
        <v>115657305</v>
      </c>
      <c r="H20" s="792"/>
      <c r="I20" s="822">
        <f>'SCH_C2.1 - Base Period'!J22</f>
        <v>109652999</v>
      </c>
      <c r="J20" s="792"/>
      <c r="K20" s="822">
        <f>ROUND('SCH_C2.1 - Forecasted Period'!J22,0)</f>
        <v>108730001</v>
      </c>
      <c r="L20" s="700"/>
      <c r="M20" s="792">
        <v>106815302</v>
      </c>
      <c r="N20" s="792">
        <v>106960307</v>
      </c>
      <c r="O20" s="789"/>
      <c r="P20" s="700"/>
      <c r="Q20" s="700"/>
      <c r="R20" s="790"/>
    </row>
    <row r="21" spans="1:18">
      <c r="A21" s="810">
        <v>6</v>
      </c>
      <c r="B21" s="721" t="s">
        <v>1337</v>
      </c>
      <c r="C21" s="792">
        <v>54620002</v>
      </c>
      <c r="D21" s="792">
        <v>56009758</v>
      </c>
      <c r="E21" s="792">
        <v>59382606</v>
      </c>
      <c r="F21" s="792">
        <v>53099910</v>
      </c>
      <c r="G21" s="792">
        <v>53901107</v>
      </c>
      <c r="H21" s="792"/>
      <c r="I21" s="822">
        <f>'SCH_C2.1 - Base Period'!J23</f>
        <v>51575814</v>
      </c>
      <c r="J21" s="792"/>
      <c r="K21" s="822">
        <f>ROUND('SCH_C2.1 - Forecasted Period'!J23,0)</f>
        <v>53320528</v>
      </c>
      <c r="L21" s="700"/>
      <c r="M21" s="792">
        <v>52547243</v>
      </c>
      <c r="N21" s="792">
        <v>53235781</v>
      </c>
      <c r="O21" s="789"/>
      <c r="P21" s="700"/>
      <c r="Q21" s="700"/>
      <c r="R21" s="790"/>
    </row>
    <row r="22" spans="1:18">
      <c r="A22" s="810">
        <v>7</v>
      </c>
      <c r="B22" s="721" t="s">
        <v>146</v>
      </c>
      <c r="C22" s="792">
        <v>1697986</v>
      </c>
      <c r="D22" s="792">
        <v>1720790</v>
      </c>
      <c r="E22" s="792">
        <v>1775475</v>
      </c>
      <c r="F22" s="792">
        <v>1660036</v>
      </c>
      <c r="G22" s="792">
        <v>1660564</v>
      </c>
      <c r="H22" s="792"/>
      <c r="I22" s="822">
        <f>'SCH_C2.1 - Base Period'!J24</f>
        <v>1597984</v>
      </c>
      <c r="J22" s="792"/>
      <c r="K22" s="822">
        <f ca="1">ROUND('SCH_C2.1 - Forecasted Period'!J24,0)</f>
        <v>1639847</v>
      </c>
      <c r="L22" s="700"/>
      <c r="M22" s="792">
        <v>1626569</v>
      </c>
      <c r="N22" s="792">
        <v>1647467</v>
      </c>
      <c r="O22" s="789"/>
      <c r="P22" s="700"/>
      <c r="Q22" s="700"/>
      <c r="R22" s="790"/>
    </row>
    <row r="23" spans="1:18">
      <c r="A23" s="810">
        <v>8</v>
      </c>
      <c r="B23" s="721" t="s">
        <v>1338</v>
      </c>
      <c r="C23" s="823">
        <f>23208698+69544</f>
        <v>23278242</v>
      </c>
      <c r="D23" s="823">
        <f>22547722+64238</f>
        <v>22611960</v>
      </c>
      <c r="E23" s="823">
        <f>23456996+70944</f>
        <v>23527940</v>
      </c>
      <c r="F23" s="823">
        <f>21523626+59017</f>
        <v>21582643</v>
      </c>
      <c r="G23" s="823">
        <f>22007137+55282</f>
        <v>22062419</v>
      </c>
      <c r="H23" s="823"/>
      <c r="I23" s="793">
        <f>ROUND(('SCH_C2.1 - Base Period'!J25+'SCH_C2.1 - Base Period'!J26),0)</f>
        <v>20732982</v>
      </c>
      <c r="J23" s="823"/>
      <c r="K23" s="793">
        <f ca="1">ROUND(('SCH_C2.1 - Forecasted Period'!J25+'SCH_C2.1 - Forecasted Period'!J26),0)</f>
        <v>19990534</v>
      </c>
      <c r="L23" s="700"/>
      <c r="M23" s="823">
        <v>19575984</v>
      </c>
      <c r="N23" s="823">
        <v>19366296</v>
      </c>
      <c r="O23" s="789"/>
      <c r="P23" s="700"/>
      <c r="Q23" s="700"/>
      <c r="R23" s="790"/>
    </row>
    <row r="24" spans="1:18">
      <c r="A24" s="810">
        <v>9</v>
      </c>
      <c r="B24" s="721" t="s">
        <v>148</v>
      </c>
      <c r="C24" s="793">
        <f>SUM(C19:C23)</f>
        <v>323351179</v>
      </c>
      <c r="D24" s="793">
        <f>SUM(D19:D23)</f>
        <v>323594958</v>
      </c>
      <c r="E24" s="793">
        <f>SUM(E19:E23)</f>
        <v>338981059</v>
      </c>
      <c r="F24" s="793">
        <f>SUM(F19:F23)</f>
        <v>312148053</v>
      </c>
      <c r="G24" s="793">
        <f>SUM(G19:G23)</f>
        <v>323767942</v>
      </c>
      <c r="H24" s="793"/>
      <c r="I24" s="793">
        <f>SUM(I19:I23)</f>
        <v>301869311</v>
      </c>
      <c r="J24" s="793"/>
      <c r="K24" s="793">
        <f ca="1">SUM(K19:K23)</f>
        <v>303115962</v>
      </c>
      <c r="L24" s="700"/>
      <c r="M24" s="793">
        <f>SUM(M19:M23)</f>
        <v>298734500</v>
      </c>
      <c r="N24" s="793">
        <f>SUM(N19:N23)</f>
        <v>300585208</v>
      </c>
      <c r="O24" s="789"/>
      <c r="P24" s="700"/>
      <c r="Q24" s="700"/>
      <c r="R24" s="790"/>
    </row>
    <row r="25" spans="1:18">
      <c r="A25" s="810">
        <v>10</v>
      </c>
      <c r="B25" s="721"/>
      <c r="C25" s="824"/>
      <c r="D25" s="824"/>
      <c r="E25" s="824"/>
      <c r="F25" s="824"/>
      <c r="G25" s="824"/>
      <c r="H25" s="824"/>
      <c r="I25" s="824"/>
      <c r="J25" s="824"/>
      <c r="K25" s="824"/>
      <c r="L25" s="700"/>
      <c r="M25" s="824"/>
      <c r="N25" s="824"/>
      <c r="O25" s="789"/>
      <c r="P25" s="700"/>
      <c r="Q25" s="700"/>
      <c r="R25" s="790"/>
    </row>
    <row r="26" spans="1:18">
      <c r="A26" s="810">
        <v>11</v>
      </c>
      <c r="B26" s="721" t="s">
        <v>1393</v>
      </c>
      <c r="C26" s="825"/>
      <c r="D26" s="825"/>
      <c r="E26" s="825"/>
      <c r="F26" s="825"/>
      <c r="G26" s="825"/>
      <c r="H26" s="825"/>
      <c r="I26" s="825"/>
      <c r="J26" s="825"/>
      <c r="K26" s="825"/>
      <c r="L26" s="825"/>
      <c r="M26" s="825"/>
      <c r="N26" s="825"/>
      <c r="O26" s="789"/>
      <c r="P26" s="700"/>
      <c r="Q26" s="700"/>
      <c r="R26" s="790"/>
    </row>
    <row r="27" spans="1:18">
      <c r="A27" s="810">
        <v>12</v>
      </c>
      <c r="B27" s="821" t="s">
        <v>1394</v>
      </c>
      <c r="C27" s="825"/>
      <c r="D27" s="825"/>
      <c r="E27" s="825"/>
      <c r="F27" s="825"/>
      <c r="G27" s="825"/>
      <c r="H27" s="825"/>
      <c r="I27" s="825"/>
      <c r="J27" s="825"/>
      <c r="K27" s="825"/>
      <c r="L27" s="825"/>
      <c r="M27" s="825"/>
      <c r="N27" s="825"/>
      <c r="O27" s="789"/>
      <c r="P27" s="700"/>
      <c r="Q27" s="700"/>
      <c r="R27" s="790"/>
    </row>
    <row r="28" spans="1:18">
      <c r="A28" s="810">
        <v>13</v>
      </c>
      <c r="B28" s="721" t="s">
        <v>1334</v>
      </c>
      <c r="C28" s="825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  <c r="O28" s="789"/>
      <c r="P28" s="700"/>
      <c r="Q28" s="700"/>
      <c r="R28" s="790"/>
    </row>
    <row r="29" spans="1:18">
      <c r="A29" s="810">
        <v>14</v>
      </c>
      <c r="B29" s="721" t="s">
        <v>1335</v>
      </c>
      <c r="C29" s="792">
        <v>121585</v>
      </c>
      <c r="D29" s="792">
        <v>122323</v>
      </c>
      <c r="E29" s="792">
        <v>122976</v>
      </c>
      <c r="F29" s="792">
        <v>123524</v>
      </c>
      <c r="G29" s="792">
        <v>125166</v>
      </c>
      <c r="H29" s="792"/>
      <c r="I29" s="826">
        <f>'Base Period Cust'!N12</f>
        <v>124704</v>
      </c>
      <c r="J29" s="792"/>
      <c r="K29" s="792">
        <v>126016</v>
      </c>
      <c r="L29" s="792"/>
      <c r="M29" s="792">
        <v>126252</v>
      </c>
      <c r="N29" s="792">
        <v>126884</v>
      </c>
      <c r="O29" s="789"/>
      <c r="P29" s="700"/>
      <c r="Q29" s="700"/>
      <c r="R29" s="790"/>
    </row>
    <row r="30" spans="1:18">
      <c r="A30" s="810">
        <v>15</v>
      </c>
      <c r="B30" s="721" t="s">
        <v>1336</v>
      </c>
      <c r="C30" s="792">
        <v>13613</v>
      </c>
      <c r="D30" s="792">
        <v>13751</v>
      </c>
      <c r="E30" s="792">
        <v>13916</v>
      </c>
      <c r="F30" s="792">
        <v>13881</v>
      </c>
      <c r="G30" s="792">
        <v>14024</v>
      </c>
      <c r="H30" s="792"/>
      <c r="I30" s="826">
        <f>'Base Period Cust'!N13</f>
        <v>14052</v>
      </c>
      <c r="J30" s="792"/>
      <c r="K30" s="792">
        <v>14140</v>
      </c>
      <c r="L30" s="792"/>
      <c r="M30" s="792">
        <v>14138</v>
      </c>
      <c r="N30" s="792">
        <v>14160</v>
      </c>
      <c r="O30" s="789"/>
      <c r="P30" s="700"/>
      <c r="Q30" s="700"/>
      <c r="R30" s="790"/>
    </row>
    <row r="31" spans="1:18">
      <c r="A31" s="810">
        <v>16</v>
      </c>
      <c r="B31" s="721" t="s">
        <v>1337</v>
      </c>
      <c r="C31" s="792">
        <v>380</v>
      </c>
      <c r="D31" s="792">
        <v>377</v>
      </c>
      <c r="E31" s="792">
        <v>373</v>
      </c>
      <c r="F31" s="792">
        <v>372</v>
      </c>
      <c r="G31" s="792">
        <v>370</v>
      </c>
      <c r="H31" s="792"/>
      <c r="I31" s="826">
        <f>'Base Period Cust'!N14</f>
        <v>368.23</v>
      </c>
      <c r="J31" s="792"/>
      <c r="K31" s="792">
        <v>364</v>
      </c>
      <c r="L31" s="792"/>
      <c r="M31" s="792">
        <v>362</v>
      </c>
      <c r="N31" s="792">
        <v>360</v>
      </c>
      <c r="O31" s="789"/>
      <c r="P31" s="700"/>
      <c r="Q31" s="700"/>
      <c r="R31" s="790"/>
    </row>
    <row r="32" spans="1:18">
      <c r="A32" s="810">
        <v>17</v>
      </c>
      <c r="B32" s="721" t="s">
        <v>146</v>
      </c>
      <c r="C32" s="792">
        <v>425</v>
      </c>
      <c r="D32" s="792">
        <v>430</v>
      </c>
      <c r="E32" s="792">
        <v>437</v>
      </c>
      <c r="F32" s="792">
        <v>446</v>
      </c>
      <c r="G32" s="792">
        <v>447</v>
      </c>
      <c r="H32" s="792"/>
      <c r="I32" s="826">
        <f>'Base Period Cust'!N15</f>
        <v>444.17</v>
      </c>
      <c r="J32" s="792"/>
      <c r="K32" s="792">
        <v>445</v>
      </c>
      <c r="L32" s="792"/>
      <c r="M32" s="792">
        <v>445</v>
      </c>
      <c r="N32" s="792">
        <v>447</v>
      </c>
      <c r="O32" s="789"/>
      <c r="P32" s="700"/>
      <c r="Q32" s="700"/>
      <c r="R32" s="790"/>
    </row>
    <row r="33" spans="1:18">
      <c r="A33" s="810">
        <v>18</v>
      </c>
      <c r="B33" s="721" t="s">
        <v>1338</v>
      </c>
      <c r="C33" s="823">
        <v>961</v>
      </c>
      <c r="D33" s="823">
        <v>948</v>
      </c>
      <c r="E33" s="823">
        <v>955</v>
      </c>
      <c r="F33" s="823">
        <v>959</v>
      </c>
      <c r="G33" s="823">
        <v>959</v>
      </c>
      <c r="H33" s="823"/>
      <c r="I33" s="827">
        <f>'Base Period Cust'!N16</f>
        <v>939</v>
      </c>
      <c r="J33" s="823"/>
      <c r="K33" s="823">
        <v>929</v>
      </c>
      <c r="L33" s="823"/>
      <c r="M33" s="823">
        <v>934</v>
      </c>
      <c r="N33" s="823">
        <v>939</v>
      </c>
      <c r="O33" s="789"/>
      <c r="P33" s="700"/>
      <c r="Q33" s="700"/>
      <c r="R33" s="700"/>
    </row>
    <row r="34" spans="1:18">
      <c r="A34" s="810">
        <v>19</v>
      </c>
      <c r="B34" s="721" t="s">
        <v>147</v>
      </c>
      <c r="C34" s="793">
        <f>SUM(C29:C33)</f>
        <v>136964</v>
      </c>
      <c r="D34" s="793">
        <f>SUM(D29:D33)</f>
        <v>137829</v>
      </c>
      <c r="E34" s="793">
        <f>SUM(E29:E33)</f>
        <v>138657</v>
      </c>
      <c r="F34" s="793">
        <f>SUM(F29:F33)</f>
        <v>139182</v>
      </c>
      <c r="G34" s="793">
        <f>SUM(G29:G33)</f>
        <v>140966</v>
      </c>
      <c r="H34" s="793"/>
      <c r="I34" s="793">
        <f>SUM(I29:I33)</f>
        <v>140507.40000000002</v>
      </c>
      <c r="J34" s="793"/>
      <c r="K34" s="793">
        <f>SUM(K29:K33)</f>
        <v>141894</v>
      </c>
      <c r="L34" s="793"/>
      <c r="M34" s="793">
        <f>SUM(M29:M33)</f>
        <v>142131</v>
      </c>
      <c r="N34" s="793">
        <f>SUM(N29:N33)</f>
        <v>142790</v>
      </c>
      <c r="O34" s="789"/>
      <c r="P34" s="700"/>
      <c r="Q34" s="700"/>
      <c r="R34" s="700"/>
    </row>
    <row r="35" spans="1:18">
      <c r="A35" s="810">
        <v>20</v>
      </c>
      <c r="B35" s="721"/>
      <c r="C35" s="828"/>
      <c r="D35" s="828"/>
      <c r="E35" s="828"/>
      <c r="F35" s="828"/>
      <c r="G35" s="828"/>
      <c r="H35" s="828"/>
      <c r="I35" s="828"/>
      <c r="J35" s="828"/>
      <c r="K35" s="828"/>
      <c r="L35" s="828"/>
      <c r="M35" s="828"/>
      <c r="N35" s="828"/>
      <c r="O35" s="789"/>
      <c r="P35" s="700"/>
      <c r="Q35" s="700"/>
      <c r="R35" s="700"/>
    </row>
    <row r="36" spans="1:18">
      <c r="A36" s="810">
        <v>21</v>
      </c>
      <c r="B36" s="721" t="s">
        <v>1395</v>
      </c>
      <c r="C36" s="825"/>
      <c r="D36" s="825"/>
      <c r="E36" s="825"/>
      <c r="F36" s="825"/>
      <c r="G36" s="825"/>
      <c r="H36" s="825"/>
      <c r="I36" s="825"/>
      <c r="J36" s="825"/>
      <c r="K36" s="825"/>
      <c r="L36" s="825"/>
      <c r="M36" s="825"/>
      <c r="N36" s="825"/>
      <c r="O36" s="789"/>
      <c r="P36" s="700"/>
      <c r="Q36" s="700"/>
      <c r="R36" s="700"/>
    </row>
    <row r="37" spans="1:18">
      <c r="A37" s="810">
        <v>22</v>
      </c>
      <c r="B37" s="821" t="s">
        <v>1396</v>
      </c>
      <c r="C37" s="825"/>
      <c r="D37" s="825"/>
      <c r="E37" s="825"/>
      <c r="F37" s="825"/>
      <c r="G37" s="825"/>
      <c r="H37" s="825"/>
      <c r="I37" s="825"/>
      <c r="J37" s="825"/>
      <c r="K37" s="825"/>
      <c r="L37" s="825"/>
      <c r="M37" s="825"/>
      <c r="N37" s="825"/>
      <c r="O37" s="789"/>
      <c r="P37" s="700"/>
      <c r="Q37" s="700"/>
      <c r="R37" s="700"/>
    </row>
    <row r="38" spans="1:18">
      <c r="A38" s="810">
        <v>23</v>
      </c>
      <c r="B38" s="721" t="s">
        <v>1334</v>
      </c>
      <c r="C38" s="825"/>
      <c r="D38" s="825"/>
      <c r="E38" s="825"/>
      <c r="F38" s="825"/>
      <c r="G38" s="825"/>
      <c r="H38" s="825"/>
      <c r="I38" s="825"/>
      <c r="J38" s="825"/>
      <c r="K38" s="825"/>
      <c r="L38" s="825"/>
      <c r="M38" s="825"/>
      <c r="N38" s="825"/>
      <c r="O38" s="789"/>
      <c r="P38" s="700"/>
      <c r="Q38" s="700"/>
      <c r="R38" s="700"/>
    </row>
    <row r="39" spans="1:18">
      <c r="A39" s="810">
        <v>24</v>
      </c>
      <c r="B39" s="721" t="s">
        <v>1335</v>
      </c>
      <c r="C39" s="792">
        <v>121088</v>
      </c>
      <c r="D39" s="792">
        <v>121661</v>
      </c>
      <c r="E39" s="792">
        <v>122287</v>
      </c>
      <c r="F39" s="792">
        <v>122962</v>
      </c>
      <c r="G39" s="792">
        <v>124307</v>
      </c>
      <c r="H39" s="792"/>
      <c r="I39" s="826">
        <f>'Base Period Cust'!P12</f>
        <v>124882</v>
      </c>
      <c r="J39" s="792"/>
      <c r="K39" s="792">
        <v>125257</v>
      </c>
      <c r="L39" s="792"/>
      <c r="M39" s="792">
        <v>125703</v>
      </c>
      <c r="N39" s="792">
        <v>126329</v>
      </c>
      <c r="O39" s="789"/>
      <c r="P39" s="700"/>
      <c r="Q39" s="700"/>
      <c r="R39" s="700"/>
    </row>
    <row r="40" spans="1:18">
      <c r="A40" s="810">
        <v>25</v>
      </c>
      <c r="B40" s="721" t="s">
        <v>1336</v>
      </c>
      <c r="C40" s="792">
        <v>13528</v>
      </c>
      <c r="D40" s="792">
        <v>13689</v>
      </c>
      <c r="E40" s="792">
        <v>13826</v>
      </c>
      <c r="F40" s="792">
        <v>13873</v>
      </c>
      <c r="G40" s="792">
        <v>13932</v>
      </c>
      <c r="H40" s="792"/>
      <c r="I40" s="826">
        <f>'Base Period Cust'!P13</f>
        <v>13955</v>
      </c>
      <c r="J40" s="792"/>
      <c r="K40" s="792">
        <v>14083</v>
      </c>
      <c r="L40" s="792"/>
      <c r="M40" s="792">
        <v>14111</v>
      </c>
      <c r="N40" s="792">
        <v>14137</v>
      </c>
      <c r="O40" s="789"/>
      <c r="P40" s="700"/>
      <c r="Q40" s="700"/>
      <c r="R40" s="700"/>
    </row>
    <row r="41" spans="1:18">
      <c r="A41" s="810">
        <v>26</v>
      </c>
      <c r="B41" s="721" t="s">
        <v>1337</v>
      </c>
      <c r="C41" s="792">
        <v>380</v>
      </c>
      <c r="D41" s="792">
        <v>378</v>
      </c>
      <c r="E41" s="792">
        <v>373</v>
      </c>
      <c r="F41" s="792">
        <v>371</v>
      </c>
      <c r="G41" s="792">
        <v>371</v>
      </c>
      <c r="H41" s="792"/>
      <c r="I41" s="826">
        <f>'Base Period Cust'!P14</f>
        <v>368</v>
      </c>
      <c r="J41" s="792"/>
      <c r="K41" s="792">
        <v>365</v>
      </c>
      <c r="L41" s="792"/>
      <c r="M41" s="792">
        <v>363</v>
      </c>
      <c r="N41" s="792">
        <v>361</v>
      </c>
      <c r="O41" s="789"/>
      <c r="P41" s="700"/>
      <c r="Q41" s="700"/>
      <c r="R41" s="700"/>
    </row>
    <row r="42" spans="1:18">
      <c r="A42" s="810">
        <v>27</v>
      </c>
      <c r="B42" s="721" t="s">
        <v>146</v>
      </c>
      <c r="C42" s="792">
        <v>415</v>
      </c>
      <c r="D42" s="792">
        <v>431</v>
      </c>
      <c r="E42" s="792">
        <v>433</v>
      </c>
      <c r="F42" s="792">
        <v>441</v>
      </c>
      <c r="G42" s="792">
        <v>446</v>
      </c>
      <c r="H42" s="792"/>
      <c r="I42" s="826">
        <f>'Base Period Cust'!P15</f>
        <v>445</v>
      </c>
      <c r="J42" s="792"/>
      <c r="K42" s="792">
        <v>444</v>
      </c>
      <c r="L42" s="792"/>
      <c r="M42" s="792">
        <v>445</v>
      </c>
      <c r="N42" s="792">
        <v>447</v>
      </c>
      <c r="O42" s="789"/>
      <c r="P42" s="700"/>
      <c r="Q42" s="700"/>
      <c r="R42" s="700"/>
    </row>
    <row r="43" spans="1:18">
      <c r="A43" s="810">
        <v>28</v>
      </c>
      <c r="B43" s="721" t="s">
        <v>1338</v>
      </c>
      <c r="C43" s="823">
        <v>966</v>
      </c>
      <c r="D43" s="823">
        <v>956</v>
      </c>
      <c r="E43" s="823">
        <v>950</v>
      </c>
      <c r="F43" s="823">
        <v>958</v>
      </c>
      <c r="G43" s="823">
        <v>958</v>
      </c>
      <c r="H43" s="823"/>
      <c r="I43" s="827">
        <f>'Base Period Cust'!P16</f>
        <v>950</v>
      </c>
      <c r="J43" s="823"/>
      <c r="K43" s="823">
        <v>933</v>
      </c>
      <c r="L43" s="823"/>
      <c r="M43" s="823">
        <v>933</v>
      </c>
      <c r="N43" s="823">
        <v>936</v>
      </c>
      <c r="O43" s="789"/>
      <c r="P43" s="700"/>
      <c r="Q43" s="700"/>
      <c r="R43" s="700"/>
    </row>
    <row r="44" spans="1:18">
      <c r="A44" s="810">
        <v>29</v>
      </c>
      <c r="B44" s="721" t="s">
        <v>147</v>
      </c>
      <c r="C44" s="793">
        <f>SUM(C39:C43)</f>
        <v>136377</v>
      </c>
      <c r="D44" s="793">
        <f>SUM(D39:D43)</f>
        <v>137115</v>
      </c>
      <c r="E44" s="793">
        <f>SUM(E39:E43)</f>
        <v>137869</v>
      </c>
      <c r="F44" s="793">
        <f>SUM(F39:F43)</f>
        <v>138605</v>
      </c>
      <c r="G44" s="793">
        <f>SUM(G39:G43)</f>
        <v>140014</v>
      </c>
      <c r="H44" s="793"/>
      <c r="I44" s="827">
        <f>'Base Period Cust'!P17</f>
        <v>140599</v>
      </c>
      <c r="J44" s="793"/>
      <c r="K44" s="793">
        <f>SUM(K39:K43)</f>
        <v>141082</v>
      </c>
      <c r="L44" s="793"/>
      <c r="M44" s="793">
        <f>SUM(M39:M43)</f>
        <v>141555</v>
      </c>
      <c r="N44" s="793">
        <f>SUM(N39:N43)</f>
        <v>142210</v>
      </c>
      <c r="O44" s="789"/>
      <c r="P44" s="700"/>
      <c r="Q44" s="700"/>
      <c r="R44" s="700"/>
    </row>
    <row r="45" spans="1:18">
      <c r="A45" s="810">
        <v>30</v>
      </c>
      <c r="B45" s="700"/>
      <c r="C45" s="828"/>
      <c r="D45" s="828"/>
      <c r="E45" s="828"/>
      <c r="F45" s="828"/>
      <c r="G45" s="828"/>
      <c r="H45" s="828"/>
      <c r="I45" s="828"/>
      <c r="J45" s="828"/>
      <c r="K45" s="828"/>
      <c r="L45" s="828"/>
      <c r="M45" s="828"/>
      <c r="N45" s="700"/>
      <c r="O45" s="789"/>
      <c r="P45" s="700"/>
      <c r="Q45" s="700"/>
      <c r="R45" s="700"/>
    </row>
    <row r="46" spans="1:18">
      <c r="A46" s="810">
        <v>31</v>
      </c>
      <c r="B46" s="721" t="s">
        <v>1397</v>
      </c>
      <c r="C46" s="700"/>
      <c r="D46" s="700"/>
      <c r="E46" s="700"/>
      <c r="F46" s="700"/>
      <c r="G46" s="700"/>
      <c r="H46" s="700"/>
      <c r="I46" s="700"/>
      <c r="J46" s="700"/>
      <c r="K46" s="700"/>
      <c r="L46" s="700"/>
      <c r="M46" s="700"/>
      <c r="N46" s="700"/>
      <c r="O46" s="789"/>
      <c r="P46" s="700"/>
      <c r="Q46" s="700"/>
      <c r="R46" s="700"/>
    </row>
    <row r="47" spans="1:18">
      <c r="A47" s="810">
        <v>32</v>
      </c>
      <c r="B47" s="821" t="s">
        <v>871</v>
      </c>
      <c r="C47" s="700"/>
      <c r="D47" s="700"/>
      <c r="E47" s="700"/>
      <c r="F47" s="700"/>
      <c r="G47" s="700"/>
      <c r="H47" s="700"/>
      <c r="I47" s="700"/>
      <c r="J47" s="700"/>
      <c r="K47" s="700"/>
      <c r="L47" s="700"/>
      <c r="M47" s="700"/>
      <c r="N47" s="700"/>
      <c r="O47" s="789"/>
      <c r="P47" s="700"/>
      <c r="Q47" s="700"/>
      <c r="R47" s="700"/>
    </row>
    <row r="48" spans="1:18">
      <c r="A48" s="810">
        <v>33</v>
      </c>
      <c r="B48" s="721" t="s">
        <v>1334</v>
      </c>
      <c r="C48" s="700"/>
      <c r="D48" s="700"/>
      <c r="E48" s="700"/>
      <c r="F48" s="700"/>
      <c r="G48" s="700"/>
      <c r="H48" s="700"/>
      <c r="I48" s="700"/>
      <c r="J48" s="700"/>
      <c r="K48" s="700"/>
      <c r="L48" s="700"/>
      <c r="M48" s="700"/>
      <c r="N48" s="700"/>
      <c r="O48" s="789"/>
      <c r="P48" s="700"/>
      <c r="Q48" s="700"/>
      <c r="R48" s="700"/>
    </row>
    <row r="49" spans="1:18">
      <c r="A49" s="810">
        <v>34</v>
      </c>
      <c r="B49" s="721" t="s">
        <v>1335</v>
      </c>
      <c r="C49" s="822">
        <f t="shared" ref="C49:G52" si="0">ROUND((C19/C39),0)</f>
        <v>1056</v>
      </c>
      <c r="D49" s="822">
        <f t="shared" si="0"/>
        <v>1048</v>
      </c>
      <c r="E49" s="822">
        <f t="shared" si="0"/>
        <v>1097</v>
      </c>
      <c r="F49" s="822">
        <f t="shared" si="0"/>
        <v>1007</v>
      </c>
      <c r="G49" s="822">
        <f t="shared" si="0"/>
        <v>1050</v>
      </c>
      <c r="H49" s="822"/>
      <c r="I49" s="822">
        <f>ROUND(I19/I39,0)</f>
        <v>947</v>
      </c>
      <c r="J49" s="822"/>
      <c r="K49" s="822">
        <f ca="1">ROUND(K19/K39,0)</f>
        <v>954</v>
      </c>
      <c r="L49" s="822"/>
      <c r="M49" s="822">
        <f t="shared" ref="M49:N52" si="1">ROUND(M19/M39,0)</f>
        <v>940</v>
      </c>
      <c r="N49" s="822">
        <f t="shared" si="1"/>
        <v>945</v>
      </c>
      <c r="O49" s="789"/>
      <c r="P49" s="700"/>
      <c r="Q49" s="700"/>
      <c r="R49" s="700"/>
    </row>
    <row r="50" spans="1:18">
      <c r="A50" s="810">
        <v>35</v>
      </c>
      <c r="B50" s="721" t="s">
        <v>1336</v>
      </c>
      <c r="C50" s="822">
        <f t="shared" si="0"/>
        <v>8562</v>
      </c>
      <c r="D50" s="822">
        <f t="shared" si="0"/>
        <v>8452</v>
      </c>
      <c r="E50" s="822">
        <f t="shared" si="0"/>
        <v>8691</v>
      </c>
      <c r="F50" s="822">
        <f t="shared" si="0"/>
        <v>8073</v>
      </c>
      <c r="G50" s="822">
        <f t="shared" si="0"/>
        <v>8302</v>
      </c>
      <c r="H50" s="822"/>
      <c r="I50" s="822">
        <f>ROUND(I20/I40,0)</f>
        <v>7858</v>
      </c>
      <c r="J50" s="822"/>
      <c r="K50" s="822">
        <f>ROUND(K20/K40,0)</f>
        <v>7721</v>
      </c>
      <c r="L50" s="822"/>
      <c r="M50" s="822">
        <f t="shared" si="1"/>
        <v>7570</v>
      </c>
      <c r="N50" s="822">
        <f t="shared" si="1"/>
        <v>7566</v>
      </c>
      <c r="O50" s="789"/>
      <c r="P50" s="700"/>
      <c r="Q50" s="700"/>
      <c r="R50" s="700"/>
    </row>
    <row r="51" spans="1:18">
      <c r="A51" s="810">
        <v>36</v>
      </c>
      <c r="B51" s="721" t="s">
        <v>1337</v>
      </c>
      <c r="C51" s="822">
        <f t="shared" si="0"/>
        <v>143737</v>
      </c>
      <c r="D51" s="822">
        <f t="shared" si="0"/>
        <v>148174</v>
      </c>
      <c r="E51" s="822">
        <f t="shared" si="0"/>
        <v>159203</v>
      </c>
      <c r="F51" s="822">
        <f t="shared" si="0"/>
        <v>143126</v>
      </c>
      <c r="G51" s="822">
        <f t="shared" si="0"/>
        <v>145286</v>
      </c>
      <c r="H51" s="822"/>
      <c r="I51" s="822">
        <f>ROUND(I21/I41,0)</f>
        <v>140152</v>
      </c>
      <c r="J51" s="822"/>
      <c r="K51" s="822">
        <f>ROUND(K21/K41,0)</f>
        <v>146084</v>
      </c>
      <c r="L51" s="822"/>
      <c r="M51" s="822">
        <f t="shared" si="1"/>
        <v>144758</v>
      </c>
      <c r="N51" s="822">
        <f t="shared" si="1"/>
        <v>147468</v>
      </c>
      <c r="O51" s="789"/>
      <c r="P51" s="700"/>
      <c r="Q51" s="700"/>
      <c r="R51" s="700"/>
    </row>
    <row r="52" spans="1:18">
      <c r="A52" s="810">
        <v>37</v>
      </c>
      <c r="B52" s="721" t="s">
        <v>146</v>
      </c>
      <c r="C52" s="822">
        <f t="shared" si="0"/>
        <v>4092</v>
      </c>
      <c r="D52" s="822">
        <f t="shared" si="0"/>
        <v>3993</v>
      </c>
      <c r="E52" s="822">
        <f t="shared" si="0"/>
        <v>4100</v>
      </c>
      <c r="F52" s="822">
        <f t="shared" si="0"/>
        <v>3764</v>
      </c>
      <c r="G52" s="822">
        <f t="shared" si="0"/>
        <v>3723</v>
      </c>
      <c r="H52" s="822"/>
      <c r="I52" s="822">
        <f>ROUND(I22/I42,0)</f>
        <v>3591</v>
      </c>
      <c r="J52" s="822"/>
      <c r="K52" s="822">
        <f ca="1">ROUND(K22/K42,0)</f>
        <v>3693</v>
      </c>
      <c r="L52" s="822"/>
      <c r="M52" s="822">
        <f t="shared" si="1"/>
        <v>3655</v>
      </c>
      <c r="N52" s="822">
        <f t="shared" si="1"/>
        <v>3686</v>
      </c>
      <c r="O52" s="789"/>
      <c r="P52" s="700"/>
      <c r="Q52" s="700"/>
      <c r="R52" s="700"/>
    </row>
    <row r="53" spans="1:18">
      <c r="A53" s="810"/>
      <c r="B53" s="721"/>
      <c r="C53" s="822"/>
      <c r="D53" s="822"/>
      <c r="E53" s="822"/>
      <c r="F53" s="822"/>
      <c r="G53" s="822"/>
      <c r="H53" s="822"/>
      <c r="I53" s="822"/>
      <c r="J53" s="822"/>
      <c r="K53" s="822"/>
      <c r="L53" s="822"/>
      <c r="M53" s="822"/>
      <c r="N53" s="700"/>
      <c r="O53" s="789"/>
      <c r="P53" s="700"/>
      <c r="Q53" s="700"/>
      <c r="R53" s="700"/>
    </row>
    <row r="54" spans="1:18">
      <c r="A54" s="829" t="s">
        <v>872</v>
      </c>
      <c r="B54" s="700"/>
      <c r="C54" s="700"/>
      <c r="D54" s="700"/>
      <c r="E54" s="700"/>
      <c r="F54" s="700"/>
      <c r="G54" s="700"/>
      <c r="H54" s="700"/>
      <c r="I54" s="700"/>
      <c r="J54" s="700"/>
      <c r="K54" s="700"/>
      <c r="L54" s="700"/>
      <c r="M54" s="700"/>
      <c r="N54" s="700"/>
      <c r="O54" s="789"/>
      <c r="P54" s="700"/>
      <c r="Q54" s="700"/>
      <c r="R54" s="700"/>
    </row>
    <row r="55" spans="1:18">
      <c r="A55" s="721"/>
      <c r="B55" s="700"/>
      <c r="C55" s="700"/>
      <c r="D55" s="700"/>
      <c r="E55" s="700"/>
      <c r="F55" s="700"/>
      <c r="G55" s="700"/>
      <c r="H55" s="700"/>
      <c r="I55" s="700"/>
      <c r="J55" s="700"/>
      <c r="K55" s="700"/>
      <c r="L55" s="700"/>
      <c r="M55" s="700"/>
      <c r="N55" s="700"/>
      <c r="O55" s="789"/>
      <c r="P55" s="700"/>
      <c r="Q55" s="700"/>
      <c r="R55" s="700"/>
    </row>
    <row r="56" spans="1:18">
      <c r="A56" s="796"/>
      <c r="B56" s="796"/>
      <c r="C56" s="796"/>
      <c r="D56" s="796"/>
      <c r="E56" s="818"/>
      <c r="F56" s="797"/>
      <c r="G56" s="797"/>
      <c r="H56" s="797"/>
      <c r="I56" s="797"/>
      <c r="J56" s="797"/>
      <c r="K56" s="797"/>
      <c r="L56" s="797"/>
      <c r="M56" s="797"/>
      <c r="N56" s="797"/>
      <c r="O56" s="795"/>
      <c r="P56" s="796"/>
      <c r="Q56" s="700"/>
      <c r="R56" s="700"/>
    </row>
    <row r="57" spans="1:18">
      <c r="A57" s="796"/>
      <c r="B57" s="830"/>
      <c r="C57" s="796"/>
      <c r="D57" s="796"/>
      <c r="E57" s="818"/>
      <c r="F57" s="797"/>
      <c r="G57" s="797"/>
      <c r="H57" s="797"/>
      <c r="I57" s="797"/>
      <c r="J57" s="797"/>
      <c r="K57" s="797"/>
      <c r="L57" s="797"/>
      <c r="M57" s="797"/>
      <c r="N57" s="797"/>
      <c r="O57" s="795"/>
      <c r="P57" s="796"/>
      <c r="Q57" s="700"/>
      <c r="R57" s="700"/>
    </row>
    <row r="58" spans="1:18">
      <c r="A58" s="796"/>
      <c r="B58" s="831"/>
      <c r="C58" s="796"/>
      <c r="D58" s="796"/>
      <c r="E58" s="818"/>
      <c r="F58" s="797"/>
      <c r="G58" s="797"/>
      <c r="H58" s="797"/>
      <c r="I58" s="797"/>
      <c r="J58" s="797"/>
      <c r="K58" s="797"/>
      <c r="L58" s="797"/>
      <c r="M58" s="797"/>
      <c r="N58" s="797"/>
      <c r="O58" s="795"/>
      <c r="P58" s="796"/>
      <c r="Q58" s="700"/>
      <c r="R58" s="700"/>
    </row>
    <row r="59" spans="1:18">
      <c r="A59" s="796"/>
      <c r="B59" s="796"/>
      <c r="C59" s="796"/>
      <c r="D59" s="796"/>
      <c r="E59" s="818"/>
      <c r="F59" s="797"/>
      <c r="G59" s="797"/>
      <c r="H59" s="797"/>
      <c r="I59" s="797"/>
      <c r="J59" s="797"/>
      <c r="K59" s="797"/>
      <c r="L59" s="797"/>
      <c r="M59" s="797"/>
      <c r="N59" s="797"/>
      <c r="O59" s="795"/>
      <c r="P59" s="796"/>
      <c r="Q59" s="700"/>
      <c r="R59" s="700"/>
    </row>
    <row r="60" spans="1:18">
      <c r="A60" s="796"/>
      <c r="B60" s="796"/>
      <c r="C60" s="796"/>
      <c r="D60" s="796"/>
      <c r="E60" s="818"/>
      <c r="F60" s="797"/>
      <c r="G60" s="797"/>
      <c r="H60" s="797"/>
      <c r="I60" s="797"/>
      <c r="J60" s="797"/>
      <c r="K60" s="797"/>
      <c r="L60" s="797"/>
      <c r="M60" s="797"/>
      <c r="N60" s="797"/>
      <c r="O60" s="795"/>
      <c r="P60" s="796"/>
      <c r="Q60" s="700"/>
      <c r="R60" s="700"/>
    </row>
    <row r="61" spans="1:18">
      <c r="A61" s="796"/>
      <c r="B61" s="796"/>
      <c r="C61" s="796"/>
      <c r="D61" s="796"/>
      <c r="E61" s="818"/>
      <c r="F61" s="797"/>
      <c r="G61" s="797"/>
      <c r="H61" s="797"/>
      <c r="I61" s="797"/>
      <c r="J61" s="797"/>
      <c r="K61" s="797"/>
      <c r="L61" s="797"/>
      <c r="M61" s="797"/>
      <c r="N61" s="797"/>
      <c r="O61" s="795"/>
      <c r="P61" s="796"/>
      <c r="Q61" s="700"/>
      <c r="R61" s="700"/>
    </row>
    <row r="62" spans="1:18">
      <c r="A62" s="807"/>
      <c r="B62" s="796"/>
      <c r="C62" s="796"/>
      <c r="D62" s="796"/>
      <c r="E62" s="796"/>
      <c r="F62" s="796"/>
      <c r="G62" s="796"/>
      <c r="H62" s="796"/>
      <c r="I62" s="796"/>
      <c r="J62" s="796"/>
      <c r="K62" s="796"/>
      <c r="L62" s="796"/>
      <c r="M62" s="796"/>
      <c r="N62" s="796"/>
      <c r="O62" s="796"/>
      <c r="P62" s="796"/>
      <c r="Q62" s="700"/>
      <c r="R62" s="700"/>
    </row>
    <row r="63" spans="1:18">
      <c r="A63" s="832"/>
      <c r="B63" s="833"/>
      <c r="C63" s="796"/>
      <c r="D63" s="796"/>
      <c r="E63" s="796"/>
      <c r="F63" s="796"/>
      <c r="G63" s="796"/>
      <c r="H63" s="796"/>
      <c r="I63" s="796"/>
      <c r="J63" s="796"/>
      <c r="K63" s="796"/>
      <c r="L63" s="796"/>
      <c r="M63" s="796"/>
      <c r="N63" s="796"/>
      <c r="O63" s="795"/>
      <c r="P63" s="796"/>
      <c r="Q63" s="700"/>
      <c r="R63" s="700"/>
    </row>
    <row r="64" spans="1:18">
      <c r="A64" s="807"/>
      <c r="B64" s="831"/>
      <c r="C64" s="798"/>
      <c r="D64" s="798"/>
      <c r="E64" s="798"/>
      <c r="F64" s="798"/>
      <c r="G64" s="798"/>
      <c r="H64" s="798"/>
      <c r="I64" s="798"/>
      <c r="J64" s="798"/>
      <c r="K64" s="798"/>
      <c r="L64" s="798"/>
      <c r="M64" s="798"/>
      <c r="N64" s="796"/>
      <c r="O64" s="795"/>
      <c r="P64" s="796"/>
      <c r="Q64" s="700"/>
      <c r="R64" s="700"/>
    </row>
    <row r="65" spans="1:18">
      <c r="A65" s="807"/>
      <c r="B65" s="831"/>
      <c r="C65" s="799"/>
      <c r="D65" s="799"/>
      <c r="E65" s="799"/>
      <c r="F65" s="799"/>
      <c r="G65" s="799"/>
      <c r="H65" s="799"/>
      <c r="I65" s="799"/>
      <c r="J65" s="799"/>
      <c r="K65" s="799"/>
      <c r="L65" s="799"/>
      <c r="M65" s="799"/>
      <c r="N65" s="834"/>
      <c r="O65" s="795"/>
      <c r="P65" s="796"/>
      <c r="Q65" s="700"/>
      <c r="R65" s="700"/>
    </row>
    <row r="66" spans="1:18">
      <c r="A66" s="807"/>
      <c r="B66" s="833"/>
      <c r="C66" s="800"/>
      <c r="D66" s="800"/>
      <c r="E66" s="800"/>
      <c r="F66" s="800"/>
      <c r="G66" s="800"/>
      <c r="H66" s="800"/>
      <c r="I66" s="800"/>
      <c r="J66" s="800"/>
      <c r="K66" s="800"/>
      <c r="L66" s="800"/>
      <c r="M66" s="800"/>
      <c r="N66" s="801"/>
      <c r="O66" s="795"/>
      <c r="P66" s="796"/>
      <c r="Q66" s="700"/>
      <c r="R66" s="700"/>
    </row>
    <row r="67" spans="1:18">
      <c r="A67" s="807"/>
      <c r="B67" s="831"/>
      <c r="C67" s="806"/>
      <c r="D67" s="806"/>
      <c r="E67" s="806"/>
      <c r="F67" s="806"/>
      <c r="G67" s="806"/>
      <c r="H67" s="806"/>
      <c r="I67" s="806"/>
      <c r="J67" s="806"/>
      <c r="K67" s="806"/>
      <c r="L67" s="806"/>
      <c r="M67" s="806"/>
      <c r="N67" s="806"/>
      <c r="O67" s="795"/>
      <c r="P67" s="796"/>
      <c r="Q67" s="700"/>
      <c r="R67" s="700"/>
    </row>
    <row r="68" spans="1:18">
      <c r="A68" s="807"/>
      <c r="B68" s="831"/>
      <c r="C68" s="806"/>
      <c r="D68" s="806"/>
      <c r="E68" s="806"/>
      <c r="F68" s="806"/>
      <c r="G68" s="806"/>
      <c r="H68" s="806"/>
      <c r="I68" s="806"/>
      <c r="J68" s="806"/>
      <c r="K68" s="806"/>
      <c r="L68" s="806"/>
      <c r="M68" s="806"/>
      <c r="N68" s="806"/>
      <c r="O68" s="795"/>
      <c r="P68" s="796"/>
      <c r="Q68" s="700"/>
      <c r="R68" s="700"/>
    </row>
    <row r="69" spans="1:18">
      <c r="A69" s="807"/>
      <c r="B69" s="831"/>
      <c r="C69" s="806"/>
      <c r="D69" s="806"/>
      <c r="E69" s="806"/>
      <c r="F69" s="806"/>
      <c r="G69" s="806"/>
      <c r="H69" s="806"/>
      <c r="I69" s="806"/>
      <c r="J69" s="806"/>
      <c r="K69" s="806"/>
      <c r="L69" s="806"/>
      <c r="M69" s="806"/>
      <c r="N69" s="806"/>
      <c r="O69" s="795"/>
      <c r="P69" s="796"/>
      <c r="Q69" s="700"/>
      <c r="R69" s="700"/>
    </row>
  </sheetData>
  <phoneticPr fontId="19" type="noConversion"/>
  <pageMargins left="0.75" right="0.75" top="1" bottom="1" header="0.5" footer="0.5"/>
  <pageSetup scale="59" orientation="portrait" horizontalDpi="300" verticalDpi="300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rgb="FF00B050"/>
  </sheetPr>
  <dimension ref="A1:S49"/>
  <sheetViews>
    <sheetView tabSelected="1" view="pageLayout" zoomScaleNormal="70" workbookViewId="0">
      <selection activeCell="G1" sqref="G1"/>
    </sheetView>
  </sheetViews>
  <sheetFormatPr defaultColWidth="6.85546875" defaultRowHeight="12.75"/>
  <cols>
    <col min="1" max="1" width="6.85546875" style="18" customWidth="1"/>
    <col min="2" max="2" width="34" style="18" customWidth="1"/>
    <col min="3" max="8" width="15.42578125" style="18" customWidth="1"/>
    <col min="9" max="14" width="15.5703125" style="18" customWidth="1"/>
    <col min="15" max="15" width="17" style="18" customWidth="1"/>
    <col min="16" max="16" width="12.7109375" style="18" customWidth="1"/>
    <col min="17" max="17" width="12" style="18" customWidth="1"/>
    <col min="18" max="18" width="13.85546875" style="18" customWidth="1"/>
    <col min="19" max="19" width="14.28515625" style="18" customWidth="1"/>
    <col min="20" max="20" width="14" style="18" customWidth="1"/>
    <col min="21" max="21" width="13.42578125" style="18" customWidth="1"/>
    <col min="22" max="22" width="14.140625" style="18" customWidth="1"/>
    <col min="23" max="16384" width="6.85546875" style="18"/>
  </cols>
  <sheetData>
    <row r="1" spans="1:19">
      <c r="A1" s="714" t="str">
        <f>LOGO!B5</f>
        <v>DUKE ENERGY KENTUCKY, INC.</v>
      </c>
      <c r="B1" s="786"/>
      <c r="C1" s="786"/>
      <c r="D1" s="786"/>
      <c r="E1" s="786"/>
      <c r="F1" s="786"/>
      <c r="G1" s="786"/>
      <c r="H1" s="786"/>
      <c r="I1" s="786"/>
      <c r="J1" s="786"/>
      <c r="K1" s="1836"/>
      <c r="L1" s="786"/>
      <c r="M1" s="786"/>
      <c r="N1" s="1836"/>
      <c r="O1" s="1836"/>
      <c r="P1" s="786"/>
      <c r="Q1" s="721"/>
      <c r="R1" s="700"/>
      <c r="S1" s="700"/>
    </row>
    <row r="2" spans="1:19">
      <c r="A2" s="808" t="str">
        <f>LOGO!B6</f>
        <v>CASE NO. 2017-00321</v>
      </c>
      <c r="B2" s="786"/>
      <c r="C2" s="786"/>
      <c r="D2" s="786"/>
      <c r="E2" s="786"/>
      <c r="F2" s="786"/>
      <c r="G2" s="786"/>
      <c r="H2" s="786"/>
      <c r="I2" s="786"/>
      <c r="J2" s="786"/>
      <c r="K2" s="1836"/>
      <c r="L2" s="786"/>
      <c r="M2" s="786"/>
      <c r="N2" s="1836"/>
      <c r="O2" s="1836"/>
      <c r="P2" s="786"/>
      <c r="Q2" s="721"/>
      <c r="R2" s="700"/>
      <c r="S2" s="700"/>
    </row>
    <row r="3" spans="1:19">
      <c r="A3" s="714" t="s">
        <v>487</v>
      </c>
      <c r="B3" s="786"/>
      <c r="C3" s="786"/>
      <c r="D3" s="786"/>
      <c r="E3" s="786"/>
      <c r="F3" s="786"/>
      <c r="G3" s="786"/>
      <c r="H3" s="786"/>
      <c r="I3" s="786"/>
      <c r="J3" s="786"/>
      <c r="K3" s="1836"/>
      <c r="L3" s="786"/>
      <c r="M3" s="786"/>
      <c r="N3" s="1836"/>
      <c r="O3" s="1836"/>
      <c r="P3" s="786"/>
      <c r="Q3" s="721"/>
      <c r="R3" s="700"/>
      <c r="S3" s="700"/>
    </row>
    <row r="4" spans="1:19">
      <c r="A4" s="1837" t="str">
        <f>TESTYR</f>
        <v>12 MONTHS ENDED NOVEMBER 30, 2017</v>
      </c>
      <c r="B4" s="786"/>
      <c r="C4" s="786"/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21"/>
      <c r="R4" s="700"/>
      <c r="S4" s="700"/>
    </row>
    <row r="5" spans="1:19">
      <c r="A5" s="1837"/>
      <c r="B5" s="786"/>
      <c r="C5" s="786"/>
      <c r="D5" s="786"/>
      <c r="E5" s="786"/>
      <c r="F5" s="786"/>
      <c r="G5" s="786"/>
      <c r="H5" s="786"/>
      <c r="I5" s="786"/>
      <c r="J5" s="786"/>
      <c r="K5" s="700"/>
      <c r="L5" s="700"/>
      <c r="M5" s="700"/>
      <c r="N5" s="700"/>
      <c r="O5" s="700"/>
      <c r="P5" s="700"/>
      <c r="Q5" s="721"/>
      <c r="R5" s="700"/>
      <c r="S5" s="700"/>
    </row>
    <row r="6" spans="1:19">
      <c r="A6" s="1837"/>
      <c r="B6" s="786"/>
      <c r="C6" s="786"/>
      <c r="D6" s="786"/>
      <c r="E6" s="786"/>
      <c r="F6" s="786"/>
      <c r="G6" s="786"/>
      <c r="H6" s="786"/>
      <c r="I6" s="786"/>
      <c r="J6" s="786"/>
      <c r="K6" s="700"/>
      <c r="L6" s="700"/>
      <c r="M6" s="700"/>
      <c r="N6" s="700"/>
      <c r="O6" s="700"/>
      <c r="P6" s="700"/>
      <c r="Q6" s="721"/>
      <c r="R6" s="700"/>
      <c r="S6" s="700"/>
    </row>
    <row r="7" spans="1:19">
      <c r="A7" s="1837"/>
      <c r="B7" s="786"/>
      <c r="C7" s="787"/>
      <c r="D7" s="786"/>
      <c r="E7" s="786"/>
      <c r="F7" s="786"/>
      <c r="G7" s="786"/>
      <c r="H7" s="786"/>
      <c r="I7" s="786"/>
      <c r="J7" s="786"/>
      <c r="K7" s="700"/>
      <c r="L7" s="700"/>
      <c r="M7" s="700"/>
      <c r="N7" s="700"/>
      <c r="O7" s="700"/>
      <c r="P7" s="700"/>
      <c r="Q7" s="721"/>
      <c r="R7" s="700"/>
      <c r="S7" s="700"/>
    </row>
    <row r="8" spans="1:19">
      <c r="A8" s="721"/>
      <c r="B8" s="700"/>
      <c r="C8" s="700"/>
      <c r="D8" s="700"/>
      <c r="E8" s="700"/>
      <c r="F8" s="788"/>
      <c r="G8" s="786"/>
      <c r="H8" s="786"/>
      <c r="I8" s="786"/>
      <c r="J8" s="700"/>
      <c r="K8" s="789"/>
      <c r="L8" s="700"/>
      <c r="M8" s="700"/>
      <c r="N8" s="790"/>
      <c r="O8" s="790"/>
      <c r="P8" s="810"/>
      <c r="Q8" s="721"/>
      <c r="R8" s="810"/>
      <c r="S8" s="810"/>
    </row>
    <row r="9" spans="1:19">
      <c r="A9" s="810">
        <v>1</v>
      </c>
      <c r="B9" s="721" t="s">
        <v>1393</v>
      </c>
      <c r="C9" s="791">
        <f>LOGO!I7</f>
        <v>42735</v>
      </c>
      <c r="D9" s="791">
        <f>LOGO!I8</f>
        <v>42766</v>
      </c>
      <c r="E9" s="791">
        <f>LOGO!I9</f>
        <v>42794</v>
      </c>
      <c r="F9" s="791">
        <f>LOGO!I10</f>
        <v>42825</v>
      </c>
      <c r="G9" s="791">
        <f>LOGO!I11</f>
        <v>42855</v>
      </c>
      <c r="H9" s="791">
        <f>LOGO!I12</f>
        <v>42886</v>
      </c>
      <c r="I9" s="791">
        <f>LOGO!I13</f>
        <v>42916</v>
      </c>
      <c r="J9" s="791">
        <f>LOGO!I14</f>
        <v>42947</v>
      </c>
      <c r="K9" s="791">
        <f>LOGO!I15</f>
        <v>42978</v>
      </c>
      <c r="L9" s="791">
        <f>LOGO!I16</f>
        <v>43008</v>
      </c>
      <c r="M9" s="791">
        <f>LOGO!I17</f>
        <v>43039</v>
      </c>
      <c r="N9" s="791">
        <f>LOGO!I18</f>
        <v>43069</v>
      </c>
      <c r="O9" s="791" t="s">
        <v>1929</v>
      </c>
      <c r="P9" s="1838" t="s">
        <v>873</v>
      </c>
      <c r="Q9" s="1839"/>
      <c r="R9" s="1839"/>
      <c r="S9" s="1839"/>
    </row>
    <row r="10" spans="1:19">
      <c r="A10" s="810">
        <v>2</v>
      </c>
      <c r="B10" s="821" t="s">
        <v>1394</v>
      </c>
      <c r="C10" s="1360" t="s">
        <v>2457</v>
      </c>
      <c r="D10" s="1360" t="s">
        <v>2457</v>
      </c>
      <c r="E10" s="1360" t="s">
        <v>2457</v>
      </c>
      <c r="F10" s="1360" t="s">
        <v>2457</v>
      </c>
      <c r="G10" s="1360" t="s">
        <v>2457</v>
      </c>
      <c r="H10" s="1360" t="s">
        <v>2457</v>
      </c>
      <c r="I10" s="1360" t="s">
        <v>2458</v>
      </c>
      <c r="J10" s="1360" t="s">
        <v>2458</v>
      </c>
      <c r="K10" s="1360" t="s">
        <v>2458</v>
      </c>
      <c r="L10" s="1360" t="s">
        <v>2458</v>
      </c>
      <c r="M10" s="1360" t="s">
        <v>2458</v>
      </c>
      <c r="N10" s="1360" t="s">
        <v>2458</v>
      </c>
      <c r="O10" s="792"/>
      <c r="P10" s="825"/>
      <c r="Q10" s="816"/>
      <c r="R10" s="816"/>
      <c r="S10" s="816"/>
    </row>
    <row r="11" spans="1:19">
      <c r="A11" s="810">
        <v>3</v>
      </c>
      <c r="B11" s="721" t="s">
        <v>1334</v>
      </c>
      <c r="C11" s="792"/>
      <c r="D11" s="792"/>
      <c r="E11" s="792"/>
      <c r="F11" s="792"/>
      <c r="G11" s="792"/>
      <c r="H11" s="792"/>
      <c r="I11" s="792"/>
      <c r="J11" s="792"/>
      <c r="K11" s="792"/>
      <c r="L11" s="792"/>
      <c r="M11" s="792"/>
      <c r="N11" s="792"/>
      <c r="O11" s="792"/>
      <c r="P11" s="825"/>
      <c r="Q11" s="1839"/>
      <c r="R11" s="1839"/>
      <c r="S11" s="1839"/>
    </row>
    <row r="12" spans="1:19">
      <c r="A12" s="810">
        <v>4</v>
      </c>
      <c r="B12" s="721" t="s">
        <v>142</v>
      </c>
      <c r="C12" s="792">
        <v>125166</v>
      </c>
      <c r="D12" s="792">
        <v>125353</v>
      </c>
      <c r="E12" s="792">
        <v>124833</v>
      </c>
      <c r="F12" s="792">
        <v>125561</v>
      </c>
      <c r="G12" s="792">
        <v>125228</v>
      </c>
      <c r="H12" s="792">
        <v>125655</v>
      </c>
      <c r="I12" s="792">
        <v>124244</v>
      </c>
      <c r="J12" s="792">
        <v>124393</v>
      </c>
      <c r="K12" s="792">
        <v>124349</v>
      </c>
      <c r="L12" s="792">
        <v>124496</v>
      </c>
      <c r="M12" s="792">
        <v>124596</v>
      </c>
      <c r="N12" s="792">
        <v>124704</v>
      </c>
      <c r="O12" s="826">
        <f>SUM(C12:N12)</f>
        <v>1498578</v>
      </c>
      <c r="P12" s="825">
        <f>ROUND(O12/12,0)</f>
        <v>124882</v>
      </c>
      <c r="Q12" s="816"/>
      <c r="R12" s="816"/>
      <c r="S12" s="816"/>
    </row>
    <row r="13" spans="1:19">
      <c r="A13" s="810">
        <v>5</v>
      </c>
      <c r="B13" s="721" t="s">
        <v>143</v>
      </c>
      <c r="C13" s="792">
        <v>14024</v>
      </c>
      <c r="D13" s="792">
        <v>14066</v>
      </c>
      <c r="E13" s="792">
        <v>14011</v>
      </c>
      <c r="F13" s="792">
        <v>14061</v>
      </c>
      <c r="G13" s="792">
        <v>13681</v>
      </c>
      <c r="H13" s="792">
        <v>13612</v>
      </c>
      <c r="I13" s="792">
        <v>13958</v>
      </c>
      <c r="J13" s="792">
        <v>13980</v>
      </c>
      <c r="K13" s="792">
        <v>13991</v>
      </c>
      <c r="L13" s="792">
        <v>13982</v>
      </c>
      <c r="M13" s="792">
        <v>14047</v>
      </c>
      <c r="N13" s="792">
        <v>14052</v>
      </c>
      <c r="O13" s="826">
        <f>SUM(C13:N13)</f>
        <v>167465</v>
      </c>
      <c r="P13" s="825">
        <f>ROUND(O13/12,0)</f>
        <v>13955</v>
      </c>
      <c r="Q13" s="816"/>
      <c r="R13" s="816"/>
      <c r="S13" s="816"/>
    </row>
    <row r="14" spans="1:19">
      <c r="A14" s="810">
        <v>6</v>
      </c>
      <c r="B14" s="721" t="s">
        <v>144</v>
      </c>
      <c r="C14" s="792">
        <v>370</v>
      </c>
      <c r="D14" s="792">
        <v>367</v>
      </c>
      <c r="E14" s="792">
        <v>366</v>
      </c>
      <c r="F14" s="792">
        <v>369</v>
      </c>
      <c r="G14" s="792">
        <v>362</v>
      </c>
      <c r="H14" s="792">
        <v>367</v>
      </c>
      <c r="I14" s="792">
        <v>369</v>
      </c>
      <c r="J14" s="792">
        <v>368</v>
      </c>
      <c r="K14" s="792">
        <v>368</v>
      </c>
      <c r="L14" s="792">
        <v>368</v>
      </c>
      <c r="M14" s="792">
        <v>368.39</v>
      </c>
      <c r="N14" s="792">
        <v>368.23</v>
      </c>
      <c r="O14" s="826">
        <f>SUM(C14:N14)</f>
        <v>4410.62</v>
      </c>
      <c r="P14" s="825">
        <f>ROUND(O14/12,0)</f>
        <v>368</v>
      </c>
      <c r="Q14" s="700"/>
      <c r="R14" s="700"/>
      <c r="S14" s="700"/>
    </row>
    <row r="15" spans="1:19">
      <c r="A15" s="810">
        <v>7</v>
      </c>
      <c r="B15" s="721" t="s">
        <v>145</v>
      </c>
      <c r="C15" s="792">
        <v>447</v>
      </c>
      <c r="D15" s="792">
        <v>445</v>
      </c>
      <c r="E15" s="792">
        <v>446</v>
      </c>
      <c r="F15" s="792">
        <v>445</v>
      </c>
      <c r="G15" s="792">
        <v>447</v>
      </c>
      <c r="H15" s="792">
        <v>446</v>
      </c>
      <c r="I15" s="792">
        <v>443</v>
      </c>
      <c r="J15" s="792">
        <v>444</v>
      </c>
      <c r="K15" s="792">
        <v>444</v>
      </c>
      <c r="L15" s="792">
        <v>444</v>
      </c>
      <c r="M15" s="792">
        <v>443.73</v>
      </c>
      <c r="N15" s="792">
        <v>444.17</v>
      </c>
      <c r="O15" s="826">
        <f>SUM(C15:N15)</f>
        <v>5338.9</v>
      </c>
      <c r="P15" s="825">
        <f>ROUND(O15/12,0)</f>
        <v>445</v>
      </c>
      <c r="Q15" s="700"/>
      <c r="R15" s="700"/>
      <c r="S15" s="700"/>
    </row>
    <row r="16" spans="1:19">
      <c r="A16" s="810">
        <v>8</v>
      </c>
      <c r="B16" s="721" t="s">
        <v>950</v>
      </c>
      <c r="C16" s="823">
        <v>959</v>
      </c>
      <c r="D16" s="823">
        <v>964</v>
      </c>
      <c r="E16" s="823">
        <v>955</v>
      </c>
      <c r="F16" s="823">
        <v>962</v>
      </c>
      <c r="G16" s="823">
        <v>958</v>
      </c>
      <c r="H16" s="823">
        <v>963</v>
      </c>
      <c r="I16" s="823">
        <v>935</v>
      </c>
      <c r="J16" s="823">
        <v>942</v>
      </c>
      <c r="K16" s="823">
        <v>941</v>
      </c>
      <c r="L16" s="823">
        <v>934</v>
      </c>
      <c r="M16" s="823">
        <v>944</v>
      </c>
      <c r="N16" s="823">
        <v>939</v>
      </c>
      <c r="O16" s="827">
        <f>SUM(C16:N16)</f>
        <v>11396</v>
      </c>
      <c r="P16" s="1840">
        <f>ROUND(O16/12,0)</f>
        <v>950</v>
      </c>
      <c r="Q16" s="700"/>
      <c r="R16" s="700"/>
      <c r="S16" s="700"/>
    </row>
    <row r="17" spans="1:19">
      <c r="A17" s="810">
        <v>9</v>
      </c>
      <c r="B17" s="721" t="s">
        <v>1339</v>
      </c>
      <c r="C17" s="793">
        <f t="shared" ref="C17:O17" si="0">SUM(C12:C16)</f>
        <v>140966</v>
      </c>
      <c r="D17" s="793">
        <f t="shared" si="0"/>
        <v>141195</v>
      </c>
      <c r="E17" s="793">
        <f t="shared" si="0"/>
        <v>140611</v>
      </c>
      <c r="F17" s="793">
        <f t="shared" si="0"/>
        <v>141398</v>
      </c>
      <c r="G17" s="793">
        <f t="shared" si="0"/>
        <v>140676</v>
      </c>
      <c r="H17" s="793">
        <f t="shared" si="0"/>
        <v>141043</v>
      </c>
      <c r="I17" s="793">
        <f t="shared" si="0"/>
        <v>139949</v>
      </c>
      <c r="J17" s="793">
        <f t="shared" si="0"/>
        <v>140127</v>
      </c>
      <c r="K17" s="793">
        <f t="shared" si="0"/>
        <v>140093</v>
      </c>
      <c r="L17" s="793">
        <f t="shared" si="0"/>
        <v>140224</v>
      </c>
      <c r="M17" s="793">
        <f t="shared" si="0"/>
        <v>140399.12000000002</v>
      </c>
      <c r="N17" s="793">
        <f t="shared" si="0"/>
        <v>140507.40000000002</v>
      </c>
      <c r="O17" s="793">
        <f t="shared" si="0"/>
        <v>1687188.52</v>
      </c>
      <c r="P17" s="1841">
        <f>ROUND(AVERAGE(C17:N17),0)</f>
        <v>140599</v>
      </c>
      <c r="Q17" s="700"/>
      <c r="R17" s="700"/>
      <c r="S17" s="700"/>
    </row>
    <row r="18" spans="1:19">
      <c r="A18" s="810">
        <v>10</v>
      </c>
      <c r="B18" s="831"/>
      <c r="C18" s="794"/>
      <c r="D18" s="794"/>
      <c r="E18" s="794"/>
      <c r="F18" s="794"/>
      <c r="G18" s="794"/>
      <c r="H18" s="794"/>
      <c r="I18" s="794"/>
      <c r="J18" s="795"/>
      <c r="K18" s="796"/>
      <c r="L18" s="700"/>
      <c r="M18" s="700"/>
      <c r="N18" s="700"/>
      <c r="O18" s="700"/>
      <c r="P18" s="700"/>
      <c r="Q18" s="700"/>
      <c r="R18" s="700"/>
      <c r="S18" s="700"/>
    </row>
    <row r="19" spans="1:19">
      <c r="A19" s="810">
        <v>11</v>
      </c>
      <c r="B19" s="721" t="s">
        <v>689</v>
      </c>
      <c r="C19" s="794"/>
      <c r="D19" s="794"/>
      <c r="E19" s="794"/>
      <c r="F19" s="794"/>
      <c r="G19" s="794"/>
      <c r="H19" s="794"/>
      <c r="I19" s="794"/>
      <c r="J19" s="795"/>
      <c r="K19" s="796"/>
      <c r="L19" s="700"/>
      <c r="M19" s="700"/>
      <c r="N19" s="700"/>
      <c r="O19" s="700"/>
      <c r="P19" s="700"/>
      <c r="Q19" s="700"/>
      <c r="R19" s="700"/>
      <c r="S19" s="700"/>
    </row>
    <row r="20" spans="1:19">
      <c r="A20" s="810">
        <v>12</v>
      </c>
      <c r="B20" s="821" t="s">
        <v>690</v>
      </c>
      <c r="C20" s="794"/>
      <c r="D20" s="794"/>
      <c r="E20" s="794"/>
      <c r="F20" s="794"/>
      <c r="G20" s="794"/>
      <c r="H20" s="794"/>
      <c r="I20" s="794"/>
      <c r="J20" s="795"/>
      <c r="K20" s="796"/>
      <c r="L20" s="700"/>
      <c r="M20" s="700"/>
      <c r="N20" s="700"/>
      <c r="O20" s="700"/>
      <c r="P20" s="700"/>
      <c r="Q20" s="700"/>
      <c r="R20" s="700"/>
      <c r="S20" s="700"/>
    </row>
    <row r="21" spans="1:19">
      <c r="A21" s="810">
        <v>13</v>
      </c>
      <c r="B21" s="721" t="s">
        <v>1334</v>
      </c>
      <c r="C21" s="794"/>
      <c r="D21" s="794"/>
      <c r="E21" s="794"/>
      <c r="F21" s="794"/>
      <c r="G21" s="794"/>
      <c r="H21" s="794"/>
      <c r="I21" s="794"/>
      <c r="J21" s="795"/>
      <c r="K21" s="796"/>
      <c r="L21" s="700"/>
      <c r="M21" s="700"/>
      <c r="N21" s="700"/>
      <c r="O21" s="700"/>
      <c r="P21" s="700"/>
      <c r="Q21" s="700"/>
      <c r="R21" s="700"/>
      <c r="S21" s="700"/>
    </row>
    <row r="22" spans="1:19">
      <c r="A22" s="810">
        <v>14</v>
      </c>
      <c r="B22" s="721" t="s">
        <v>142</v>
      </c>
      <c r="C22" s="792">
        <v>126293795</v>
      </c>
      <c r="D22" s="792">
        <v>152260687</v>
      </c>
      <c r="E22" s="792">
        <v>116857527</v>
      </c>
      <c r="F22" s="792">
        <v>105428213</v>
      </c>
      <c r="G22" s="792">
        <v>92266565</v>
      </c>
      <c r="H22" s="792">
        <v>88890938</v>
      </c>
      <c r="I22" s="792">
        <v>109734000</v>
      </c>
      <c r="J22" s="792">
        <v>145989000</v>
      </c>
      <c r="K22" s="792">
        <v>150371000</v>
      </c>
      <c r="L22" s="792">
        <v>134048000</v>
      </c>
      <c r="M22" s="792">
        <v>91397000</v>
      </c>
      <c r="N22" s="792">
        <v>93648000</v>
      </c>
      <c r="O22" s="826">
        <f>SUM(C22:N22)</f>
        <v>1407184725</v>
      </c>
      <c r="P22" s="700"/>
      <c r="Q22" s="700"/>
      <c r="R22" s="700"/>
      <c r="S22" s="700"/>
    </row>
    <row r="23" spans="1:19">
      <c r="A23" s="810">
        <v>15</v>
      </c>
      <c r="B23" s="721" t="s">
        <v>143</v>
      </c>
      <c r="C23" s="792">
        <v>123799146</v>
      </c>
      <c r="D23" s="792">
        <v>125774982</v>
      </c>
      <c r="E23" s="792">
        <v>113534919</v>
      </c>
      <c r="F23" s="792">
        <v>111492272</v>
      </c>
      <c r="G23" s="792">
        <v>112433824</v>
      </c>
      <c r="H23" s="792">
        <v>114871932</v>
      </c>
      <c r="I23" s="792">
        <v>126780000</v>
      </c>
      <c r="J23" s="792">
        <v>138250000</v>
      </c>
      <c r="K23" s="792">
        <v>136815000</v>
      </c>
      <c r="L23" s="792">
        <v>133486000</v>
      </c>
      <c r="M23" s="792">
        <v>116749000</v>
      </c>
      <c r="N23" s="792">
        <v>113837000</v>
      </c>
      <c r="O23" s="826">
        <f>SUM(C23:N23)</f>
        <v>1467824075</v>
      </c>
      <c r="P23" s="700"/>
      <c r="Q23" s="700"/>
      <c r="R23" s="700"/>
      <c r="S23" s="700"/>
    </row>
    <row r="24" spans="1:19">
      <c r="A24" s="810">
        <v>16</v>
      </c>
      <c r="B24" s="721" t="s">
        <v>144</v>
      </c>
      <c r="C24" s="792">
        <v>68551298</v>
      </c>
      <c r="D24" s="792">
        <v>63354620</v>
      </c>
      <c r="E24" s="792">
        <v>63352735</v>
      </c>
      <c r="F24" s="792">
        <v>61886999</v>
      </c>
      <c r="G24" s="792">
        <v>63764958</v>
      </c>
      <c r="H24" s="792">
        <v>66379122</v>
      </c>
      <c r="I24" s="792">
        <v>68355000</v>
      </c>
      <c r="J24" s="792">
        <v>69054000</v>
      </c>
      <c r="K24" s="792">
        <v>68740000</v>
      </c>
      <c r="L24" s="792">
        <v>67906000</v>
      </c>
      <c r="M24" s="792">
        <v>68571000</v>
      </c>
      <c r="N24" s="792">
        <v>68193000</v>
      </c>
      <c r="O24" s="826">
        <f>SUM(C24:N24)</f>
        <v>798108732</v>
      </c>
      <c r="P24" s="700"/>
      <c r="Q24" s="700"/>
      <c r="R24" s="700"/>
      <c r="S24" s="700"/>
    </row>
    <row r="25" spans="1:19">
      <c r="A25" s="810">
        <v>17</v>
      </c>
      <c r="B25" s="721" t="s">
        <v>145</v>
      </c>
      <c r="C25" s="792">
        <v>1314287</v>
      </c>
      <c r="D25" s="792">
        <v>1285611</v>
      </c>
      <c r="E25" s="792">
        <v>1283934</v>
      </c>
      <c r="F25" s="792">
        <v>1237187</v>
      </c>
      <c r="G25" s="792">
        <v>1260933</v>
      </c>
      <c r="H25" s="792">
        <v>1241605</v>
      </c>
      <c r="I25" s="792">
        <v>1263000</v>
      </c>
      <c r="J25" s="792">
        <v>1267000</v>
      </c>
      <c r="K25" s="792">
        <v>1264000</v>
      </c>
      <c r="L25" s="792">
        <v>1267000</v>
      </c>
      <c r="M25" s="792">
        <v>1267000</v>
      </c>
      <c r="N25" s="792">
        <v>1308000</v>
      </c>
      <c r="O25" s="826">
        <f>SUM(C25:N25)</f>
        <v>15259557</v>
      </c>
      <c r="P25" s="700"/>
      <c r="Q25" s="700"/>
      <c r="R25" s="700"/>
      <c r="S25" s="700"/>
    </row>
    <row r="26" spans="1:19">
      <c r="A26" s="810">
        <v>18</v>
      </c>
      <c r="B26" s="721" t="s">
        <v>950</v>
      </c>
      <c r="C26" s="823">
        <f>24304353+34154</f>
        <v>24338507</v>
      </c>
      <c r="D26" s="823">
        <f>24592459+129877</f>
        <v>24722336</v>
      </c>
      <c r="E26" s="823">
        <f>21395892+168021</f>
        <v>21563913</v>
      </c>
      <c r="F26" s="823">
        <f>22219128+473912</f>
        <v>22693040</v>
      </c>
      <c r="G26" s="823">
        <f>21364175-372632</f>
        <v>20991543</v>
      </c>
      <c r="H26" s="823">
        <f>22843977+30158</f>
        <v>22874135</v>
      </c>
      <c r="I26" s="823">
        <f>24011000+41000</f>
        <v>24052000</v>
      </c>
      <c r="J26" s="823">
        <f>24812000+59000</f>
        <v>24871000</v>
      </c>
      <c r="K26" s="823">
        <f>25763000+53000</f>
        <v>25816000</v>
      </c>
      <c r="L26" s="823">
        <f>27294000+24000</f>
        <v>27318000</v>
      </c>
      <c r="M26" s="823">
        <f>24381000+26000</f>
        <v>24407000</v>
      </c>
      <c r="N26" s="823">
        <f>22838000+57000</f>
        <v>22895000</v>
      </c>
      <c r="O26" s="827">
        <f>SUM(C26:N26)</f>
        <v>286542474</v>
      </c>
      <c r="P26" s="700"/>
      <c r="Q26" s="700"/>
      <c r="R26" s="700"/>
      <c r="S26" s="700"/>
    </row>
    <row r="27" spans="1:19">
      <c r="A27" s="810">
        <v>19</v>
      </c>
      <c r="B27" s="721" t="s">
        <v>1339</v>
      </c>
      <c r="C27" s="793">
        <f t="shared" ref="C27:O27" si="1">SUM(C22:C26)</f>
        <v>344297033</v>
      </c>
      <c r="D27" s="793">
        <f t="shared" si="1"/>
        <v>367398236</v>
      </c>
      <c r="E27" s="793">
        <f t="shared" si="1"/>
        <v>316593028</v>
      </c>
      <c r="F27" s="793">
        <f t="shared" si="1"/>
        <v>302737711</v>
      </c>
      <c r="G27" s="793">
        <f t="shared" si="1"/>
        <v>290717823</v>
      </c>
      <c r="H27" s="793">
        <f t="shared" si="1"/>
        <v>294257732</v>
      </c>
      <c r="I27" s="793">
        <f t="shared" si="1"/>
        <v>330184000</v>
      </c>
      <c r="J27" s="793">
        <f t="shared" si="1"/>
        <v>379431000</v>
      </c>
      <c r="K27" s="793">
        <f t="shared" si="1"/>
        <v>383006000</v>
      </c>
      <c r="L27" s="793">
        <f t="shared" si="1"/>
        <v>364025000</v>
      </c>
      <c r="M27" s="793">
        <f t="shared" si="1"/>
        <v>302391000</v>
      </c>
      <c r="N27" s="793">
        <f t="shared" si="1"/>
        <v>299881000</v>
      </c>
      <c r="O27" s="793">
        <f t="shared" si="1"/>
        <v>3974919563</v>
      </c>
      <c r="P27" s="700"/>
      <c r="Q27" s="700"/>
      <c r="R27" s="700"/>
      <c r="S27" s="700"/>
    </row>
    <row r="28" spans="1:19">
      <c r="A28" s="807"/>
      <c r="B28" s="831"/>
      <c r="C28" s="794"/>
      <c r="D28" s="794"/>
      <c r="E28" s="794"/>
      <c r="F28" s="794"/>
      <c r="G28" s="794"/>
      <c r="H28" s="794"/>
      <c r="I28" s="794"/>
      <c r="J28" s="795"/>
      <c r="K28" s="796"/>
      <c r="L28" s="700"/>
      <c r="M28" s="700"/>
      <c r="N28" s="700"/>
      <c r="O28" s="700"/>
      <c r="P28" s="700"/>
      <c r="Q28" s="700"/>
      <c r="R28" s="700"/>
      <c r="S28" s="700"/>
    </row>
    <row r="29" spans="1:19">
      <c r="A29" s="807"/>
      <c r="B29" s="831"/>
      <c r="C29" s="796"/>
      <c r="D29" s="796"/>
      <c r="E29" s="818"/>
      <c r="F29" s="797"/>
      <c r="G29" s="797"/>
      <c r="H29" s="797"/>
      <c r="I29" s="796"/>
      <c r="J29" s="795"/>
      <c r="K29" s="796"/>
      <c r="L29" s="700"/>
      <c r="M29" s="700"/>
      <c r="N29" s="700"/>
      <c r="O29" s="700"/>
      <c r="P29" s="700"/>
      <c r="Q29" s="700"/>
      <c r="R29" s="700"/>
      <c r="S29" s="700"/>
    </row>
    <row r="30" spans="1:19">
      <c r="A30" s="796"/>
      <c r="B30" s="1842" t="s">
        <v>2540</v>
      </c>
      <c r="C30" s="796"/>
      <c r="D30" s="796"/>
      <c r="E30" s="818"/>
      <c r="F30" s="797"/>
      <c r="G30" s="797"/>
      <c r="H30" s="797"/>
      <c r="I30" s="796"/>
      <c r="J30" s="795"/>
      <c r="K30" s="796"/>
      <c r="L30" s="700"/>
      <c r="M30" s="700"/>
      <c r="N30" s="700"/>
      <c r="O30" s="700"/>
      <c r="P30" s="700"/>
      <c r="Q30" s="700"/>
      <c r="R30" s="700"/>
      <c r="S30" s="700"/>
    </row>
    <row r="31" spans="1:19">
      <c r="A31" s="796"/>
      <c r="B31" s="830"/>
      <c r="C31" s="796"/>
      <c r="D31" s="796"/>
      <c r="E31" s="818"/>
      <c r="F31" s="797"/>
      <c r="G31" s="797"/>
      <c r="H31" s="797"/>
      <c r="I31" s="1549"/>
      <c r="J31" s="1549"/>
      <c r="K31" s="1549"/>
      <c r="L31" s="700"/>
      <c r="M31" s="700"/>
      <c r="N31" s="700"/>
      <c r="O31" s="700"/>
      <c r="P31" s="700"/>
      <c r="Q31" s="700"/>
      <c r="R31" s="700"/>
      <c r="S31" s="700"/>
    </row>
    <row r="32" spans="1:19">
      <c r="A32" s="796"/>
      <c r="B32" s="831"/>
      <c r="C32" s="796"/>
      <c r="D32" s="796"/>
      <c r="E32" s="818"/>
      <c r="F32" s="797"/>
      <c r="G32" s="797"/>
      <c r="H32" s="797"/>
      <c r="I32" s="1549"/>
      <c r="J32" s="1549"/>
      <c r="K32" s="1549"/>
      <c r="L32" s="700"/>
      <c r="M32" s="700"/>
      <c r="N32" s="700"/>
      <c r="O32" s="700"/>
      <c r="P32" s="700"/>
      <c r="Q32" s="700"/>
      <c r="R32" s="700"/>
      <c r="S32" s="700"/>
    </row>
    <row r="33" spans="1:19">
      <c r="A33" s="796"/>
      <c r="B33" s="796"/>
      <c r="C33" s="796"/>
      <c r="D33" s="796"/>
      <c r="E33" s="818"/>
      <c r="F33" s="797"/>
      <c r="G33" s="797"/>
      <c r="H33" s="797"/>
      <c r="I33" s="1549"/>
      <c r="J33" s="1549"/>
      <c r="K33" s="1549"/>
      <c r="L33" s="700"/>
      <c r="M33" s="700"/>
      <c r="N33" s="700"/>
      <c r="O33" s="700"/>
      <c r="P33" s="700"/>
      <c r="Q33" s="700"/>
      <c r="R33" s="700"/>
      <c r="S33" s="700"/>
    </row>
    <row r="34" spans="1:19">
      <c r="A34" s="796"/>
      <c r="B34" s="796"/>
      <c r="C34" s="796"/>
      <c r="D34" s="796"/>
      <c r="E34" s="818"/>
      <c r="F34" s="797"/>
      <c r="G34" s="797"/>
      <c r="H34" s="797"/>
      <c r="I34" s="1549"/>
      <c r="J34" s="1549"/>
      <c r="K34" s="1549"/>
      <c r="L34" s="700"/>
      <c r="M34" s="700"/>
      <c r="N34" s="700"/>
      <c r="O34" s="700"/>
      <c r="P34" s="700"/>
      <c r="Q34" s="700"/>
      <c r="R34" s="700"/>
      <c r="S34" s="700"/>
    </row>
    <row r="35" spans="1:19">
      <c r="A35" s="796"/>
      <c r="B35" s="796"/>
      <c r="C35" s="796"/>
      <c r="D35" s="796"/>
      <c r="E35" s="818"/>
      <c r="F35" s="797"/>
      <c r="G35" s="797"/>
      <c r="H35" s="797"/>
      <c r="I35" s="1549"/>
      <c r="J35" s="1549"/>
      <c r="K35" s="1549"/>
      <c r="L35" s="700"/>
      <c r="M35" s="700"/>
      <c r="N35" s="700"/>
      <c r="O35" s="700"/>
      <c r="P35" s="700"/>
      <c r="Q35" s="700"/>
      <c r="R35" s="700"/>
      <c r="S35" s="700"/>
    </row>
    <row r="36" spans="1:19">
      <c r="A36" s="807"/>
      <c r="B36" s="796"/>
      <c r="C36" s="796"/>
      <c r="D36" s="796"/>
      <c r="E36" s="796"/>
      <c r="F36" s="796"/>
      <c r="G36" s="796"/>
      <c r="H36" s="796"/>
      <c r="I36" s="796"/>
      <c r="J36" s="796"/>
      <c r="K36" s="796"/>
      <c r="L36" s="700"/>
      <c r="M36" s="700"/>
      <c r="N36" s="700"/>
      <c r="O36" s="700"/>
      <c r="P36" s="700"/>
      <c r="Q36" s="700"/>
      <c r="R36" s="700"/>
      <c r="S36" s="700"/>
    </row>
    <row r="37" spans="1:19">
      <c r="A37" s="832"/>
      <c r="B37" s="833"/>
      <c r="C37" s="796"/>
      <c r="D37" s="796"/>
      <c r="E37" s="796"/>
      <c r="F37" s="796"/>
      <c r="G37" s="796"/>
      <c r="H37" s="796"/>
      <c r="I37" s="796"/>
      <c r="J37" s="795"/>
      <c r="K37" s="796"/>
      <c r="L37" s="700"/>
      <c r="M37" s="700"/>
      <c r="N37" s="700"/>
      <c r="O37" s="700"/>
      <c r="P37" s="700"/>
      <c r="Q37" s="700"/>
      <c r="R37" s="700"/>
      <c r="S37" s="700"/>
    </row>
    <row r="38" spans="1:19">
      <c r="A38" s="807"/>
      <c r="B38" s="831"/>
      <c r="C38" s="798"/>
      <c r="D38" s="798"/>
      <c r="E38" s="798"/>
      <c r="F38" s="798"/>
      <c r="G38" s="796"/>
      <c r="H38" s="1843"/>
      <c r="I38" s="798"/>
      <c r="J38" s="795"/>
      <c r="K38" s="796"/>
      <c r="L38" s="700"/>
      <c r="M38" s="700"/>
      <c r="N38" s="700"/>
      <c r="O38" s="700"/>
      <c r="P38" s="700"/>
      <c r="Q38" s="700"/>
      <c r="R38" s="700"/>
      <c r="S38" s="700"/>
    </row>
    <row r="39" spans="1:19">
      <c r="A39" s="807"/>
      <c r="B39" s="831"/>
      <c r="C39" s="799"/>
      <c r="D39" s="799"/>
      <c r="E39" s="799"/>
      <c r="F39" s="799"/>
      <c r="G39" s="834"/>
      <c r="H39" s="799"/>
      <c r="I39" s="799"/>
      <c r="J39" s="795"/>
      <c r="K39" s="796"/>
      <c r="L39" s="700"/>
      <c r="M39" s="700"/>
      <c r="N39" s="700"/>
      <c r="O39" s="700"/>
      <c r="P39" s="700"/>
      <c r="Q39" s="700"/>
      <c r="R39" s="700"/>
      <c r="S39" s="700"/>
    </row>
    <row r="40" spans="1:19">
      <c r="A40" s="807"/>
      <c r="B40" s="833"/>
      <c r="C40" s="800"/>
      <c r="D40" s="800"/>
      <c r="E40" s="800"/>
      <c r="F40" s="800"/>
      <c r="G40" s="801"/>
      <c r="H40" s="800"/>
      <c r="I40" s="800"/>
      <c r="J40" s="795"/>
      <c r="K40" s="796"/>
      <c r="L40" s="700"/>
      <c r="M40" s="700"/>
      <c r="N40" s="700"/>
      <c r="O40" s="700"/>
      <c r="P40" s="700"/>
      <c r="Q40" s="700"/>
      <c r="R40" s="700"/>
      <c r="S40" s="700"/>
    </row>
    <row r="41" spans="1:19">
      <c r="A41" s="807"/>
      <c r="B41" s="831"/>
      <c r="C41" s="802"/>
      <c r="D41" s="802"/>
      <c r="E41" s="802"/>
      <c r="F41" s="802"/>
      <c r="G41" s="802"/>
      <c r="H41" s="802"/>
      <c r="I41" s="802"/>
      <c r="J41" s="795"/>
      <c r="K41" s="796"/>
      <c r="L41" s="700"/>
      <c r="M41" s="700"/>
      <c r="N41" s="700"/>
      <c r="O41" s="700"/>
      <c r="P41" s="700"/>
      <c r="Q41" s="700"/>
      <c r="R41" s="700"/>
      <c r="S41" s="700"/>
    </row>
    <row r="42" spans="1:19">
      <c r="A42" s="807"/>
      <c r="B42" s="831"/>
      <c r="C42" s="802"/>
      <c r="D42" s="802"/>
      <c r="E42" s="802"/>
      <c r="F42" s="802"/>
      <c r="G42" s="802"/>
      <c r="H42" s="802"/>
      <c r="I42" s="802"/>
      <c r="J42" s="795"/>
      <c r="K42" s="796"/>
      <c r="L42" s="700"/>
      <c r="M42" s="700"/>
      <c r="N42" s="700"/>
      <c r="O42" s="700"/>
      <c r="P42" s="700"/>
      <c r="Q42" s="700"/>
      <c r="R42" s="700"/>
      <c r="S42" s="700"/>
    </row>
    <row r="43" spans="1:19">
      <c r="A43" s="807"/>
      <c r="B43" s="831"/>
      <c r="C43" s="802"/>
      <c r="D43" s="802"/>
      <c r="E43" s="802"/>
      <c r="F43" s="802"/>
      <c r="G43" s="802"/>
      <c r="H43" s="802"/>
      <c r="I43" s="802"/>
      <c r="J43" s="795"/>
      <c r="K43" s="796"/>
      <c r="L43" s="700"/>
      <c r="M43" s="700"/>
      <c r="N43" s="700"/>
      <c r="O43" s="700"/>
      <c r="P43" s="700"/>
      <c r="Q43" s="700"/>
      <c r="R43" s="700"/>
      <c r="S43" s="700"/>
    </row>
    <row r="44" spans="1:19">
      <c r="A44" s="807"/>
      <c r="B44" s="831"/>
      <c r="C44" s="803"/>
      <c r="D44" s="803"/>
      <c r="E44" s="803"/>
      <c r="F44" s="803"/>
      <c r="G44" s="803"/>
      <c r="H44" s="803"/>
      <c r="I44" s="803"/>
      <c r="J44" s="795"/>
      <c r="K44" s="796"/>
      <c r="L44" s="700"/>
      <c r="M44" s="700"/>
      <c r="N44" s="700"/>
      <c r="O44" s="700"/>
      <c r="P44" s="700"/>
      <c r="Q44" s="700"/>
      <c r="R44" s="700"/>
      <c r="S44" s="700"/>
    </row>
    <row r="45" spans="1:19">
      <c r="A45" s="807"/>
      <c r="B45" s="831"/>
      <c r="C45" s="804"/>
      <c r="D45" s="804"/>
      <c r="E45" s="804"/>
      <c r="F45" s="804"/>
      <c r="G45" s="804"/>
      <c r="H45" s="804"/>
      <c r="I45" s="804"/>
      <c r="J45" s="795"/>
      <c r="K45" s="796"/>
      <c r="L45" s="700"/>
      <c r="M45" s="700"/>
      <c r="N45" s="700"/>
      <c r="O45" s="700"/>
      <c r="P45" s="700"/>
      <c r="Q45" s="700"/>
      <c r="R45" s="700"/>
      <c r="S45" s="700"/>
    </row>
    <row r="46" spans="1:19">
      <c r="A46" s="807"/>
      <c r="B46" s="796"/>
      <c r="C46" s="805"/>
      <c r="D46" s="805"/>
      <c r="E46" s="805"/>
      <c r="F46" s="805"/>
      <c r="G46" s="805"/>
      <c r="H46" s="805"/>
      <c r="I46" s="805"/>
      <c r="J46" s="795"/>
      <c r="K46" s="796"/>
      <c r="L46" s="700"/>
      <c r="M46" s="700"/>
      <c r="N46" s="700"/>
      <c r="O46" s="700"/>
      <c r="P46" s="700"/>
      <c r="Q46" s="700"/>
      <c r="R46" s="700"/>
      <c r="S46" s="700"/>
    </row>
    <row r="47" spans="1:19">
      <c r="A47" s="807"/>
      <c r="B47" s="831"/>
      <c r="C47" s="796"/>
      <c r="D47" s="796"/>
      <c r="E47" s="796"/>
      <c r="F47" s="796"/>
      <c r="G47" s="796"/>
      <c r="H47" s="796"/>
      <c r="I47" s="796"/>
      <c r="J47" s="795"/>
      <c r="K47" s="796"/>
      <c r="L47" s="700"/>
      <c r="M47" s="700"/>
      <c r="N47" s="700"/>
      <c r="O47" s="700"/>
      <c r="P47" s="700"/>
      <c r="Q47" s="700"/>
      <c r="R47" s="700"/>
      <c r="S47" s="700"/>
    </row>
    <row r="48" spans="1:19">
      <c r="A48" s="807"/>
      <c r="B48" s="833"/>
      <c r="C48" s="796"/>
      <c r="D48" s="796"/>
      <c r="E48" s="796"/>
      <c r="F48" s="796"/>
      <c r="G48" s="796"/>
      <c r="H48" s="796"/>
      <c r="I48" s="796"/>
      <c r="J48" s="795"/>
      <c r="K48" s="796"/>
      <c r="L48" s="700"/>
      <c r="M48" s="700"/>
      <c r="N48" s="700"/>
      <c r="O48" s="700"/>
      <c r="P48" s="700"/>
      <c r="Q48" s="700"/>
      <c r="R48" s="700"/>
      <c r="S48" s="700"/>
    </row>
    <row r="49" spans="1:19">
      <c r="A49" s="807"/>
      <c r="B49" s="831"/>
      <c r="C49" s="806"/>
      <c r="D49" s="806"/>
      <c r="E49" s="806"/>
      <c r="F49" s="806"/>
      <c r="G49" s="806"/>
      <c r="H49" s="806"/>
      <c r="I49" s="806"/>
      <c r="J49" s="795"/>
      <c r="K49" s="796"/>
      <c r="L49" s="700"/>
      <c r="M49" s="700"/>
      <c r="N49" s="700"/>
      <c r="O49" s="700"/>
      <c r="P49" s="700"/>
      <c r="Q49" s="700"/>
      <c r="R49" s="700"/>
      <c r="S49" s="700"/>
    </row>
  </sheetData>
  <phoneticPr fontId="19" type="noConversion"/>
  <pageMargins left="0.75" right="0.75" top="1" bottom="1" header="0.5" footer="0.5"/>
  <pageSetup scale="59" orientation="landscape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tabColor rgb="FF00B050"/>
  </sheetPr>
  <dimension ref="A1:L49"/>
  <sheetViews>
    <sheetView tabSelected="1" view="pageLayout" zoomScaleNormal="90" workbookViewId="0">
      <selection activeCell="G1" sqref="G1"/>
    </sheetView>
  </sheetViews>
  <sheetFormatPr defaultColWidth="8" defaultRowHeight="12.75"/>
  <cols>
    <col min="1" max="1" width="8" style="18" customWidth="1"/>
    <col min="2" max="2" width="13.140625" style="18" customWidth="1"/>
    <col min="3" max="3" width="17.5703125" style="18" customWidth="1"/>
    <col min="4" max="4" width="17.28515625" style="18" customWidth="1"/>
    <col min="5" max="5" width="16.85546875" style="18" customWidth="1"/>
    <col min="6" max="6" width="16" style="18" customWidth="1"/>
    <col min="7" max="7" width="16.140625" style="18" customWidth="1"/>
    <col min="8" max="8" width="18.28515625" style="18" customWidth="1"/>
    <col min="9" max="9" width="15.5703125" style="18" customWidth="1"/>
    <col min="10" max="10" width="17.85546875" style="18" customWidth="1"/>
    <col min="11" max="16384" width="8" style="18"/>
  </cols>
  <sheetData>
    <row r="1" spans="1:12">
      <c r="A1" s="529" t="str">
        <f>COMPANY</f>
        <v>DUKE ENERGY KENTUCKY, INC.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</row>
    <row r="2" spans="1:12">
      <c r="A2" s="529" t="s">
        <v>117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</row>
    <row r="3" spans="1:12">
      <c r="A3" s="529"/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</row>
    <row r="4" spans="1:12">
      <c r="A4" s="529"/>
      <c r="B4" s="529"/>
      <c r="C4" s="529"/>
      <c r="D4" s="529"/>
      <c r="E4" s="529"/>
      <c r="F4" s="529"/>
      <c r="G4" s="529"/>
      <c r="H4" s="529"/>
      <c r="I4" s="529"/>
      <c r="J4" s="529"/>
      <c r="K4" s="529"/>
      <c r="L4" s="529"/>
    </row>
    <row r="5" spans="1:12">
      <c r="A5" s="529"/>
      <c r="B5" s="529"/>
      <c r="C5" s="529"/>
      <c r="D5" s="529"/>
      <c r="E5" s="529"/>
      <c r="F5" s="529"/>
      <c r="G5" s="529"/>
      <c r="H5" s="529"/>
      <c r="I5" s="529"/>
      <c r="J5" s="529"/>
      <c r="K5" s="529"/>
      <c r="L5" s="529"/>
    </row>
    <row r="6" spans="1:12">
      <c r="A6" s="1831" t="s">
        <v>625</v>
      </c>
      <c r="B6" s="529"/>
      <c r="D6" s="529"/>
      <c r="E6" s="529"/>
      <c r="F6" s="529"/>
      <c r="G6" s="529"/>
      <c r="H6" s="529"/>
      <c r="I6" s="529"/>
      <c r="J6" s="529"/>
      <c r="K6" s="529"/>
      <c r="L6" s="529"/>
    </row>
    <row r="7" spans="1:12">
      <c r="A7" s="529"/>
      <c r="B7" s="529"/>
      <c r="C7" s="1832"/>
      <c r="D7" s="1832"/>
      <c r="E7" s="1832"/>
      <c r="F7" s="1832"/>
      <c r="G7" s="1832"/>
      <c r="H7" s="1832" t="s">
        <v>1929</v>
      </c>
      <c r="I7" s="1832"/>
      <c r="J7" s="1832" t="s">
        <v>1929</v>
      </c>
      <c r="K7" s="529"/>
      <c r="L7" s="529"/>
    </row>
    <row r="8" spans="1:12">
      <c r="A8" s="529"/>
      <c r="B8" s="529"/>
      <c r="C8" s="1833" t="s">
        <v>947</v>
      </c>
      <c r="D8" s="1833" t="s">
        <v>948</v>
      </c>
      <c r="E8" s="1833" t="s">
        <v>949</v>
      </c>
      <c r="F8" s="1833" t="s">
        <v>118</v>
      </c>
      <c r="G8" s="1833" t="s">
        <v>950</v>
      </c>
      <c r="H8" s="1833" t="s">
        <v>2240</v>
      </c>
      <c r="I8" s="1833" t="s">
        <v>938</v>
      </c>
      <c r="J8" s="1833" t="s">
        <v>1553</v>
      </c>
      <c r="K8" s="529"/>
      <c r="L8" s="529"/>
    </row>
    <row r="9" spans="1:12">
      <c r="A9" s="529"/>
      <c r="B9" s="529"/>
      <c r="C9" s="1834"/>
      <c r="D9" s="532"/>
      <c r="E9" s="532"/>
      <c r="F9" s="532"/>
      <c r="G9" s="532"/>
      <c r="H9" s="532"/>
      <c r="I9" s="532"/>
      <c r="J9" s="532"/>
      <c r="K9" s="529"/>
      <c r="L9" s="529"/>
    </row>
    <row r="10" spans="1:12">
      <c r="A10" s="1613">
        <v>2016</v>
      </c>
      <c r="B10" s="529" t="s">
        <v>1042</v>
      </c>
      <c r="C10" s="1322">
        <f>'Base Period Cust'!$C$22</f>
        <v>126293795</v>
      </c>
      <c r="D10" s="1322">
        <f>'Base Period Cust'!$C$23</f>
        <v>123799146</v>
      </c>
      <c r="E10" s="1322">
        <f>'Base Period Cust'!$C$24</f>
        <v>68551298</v>
      </c>
      <c r="F10" s="1322">
        <f>'Base Period Cust'!$C$25</f>
        <v>1314287</v>
      </c>
      <c r="G10" s="1322">
        <f>'Base Period Cust'!$C$26-I10</f>
        <v>24304353</v>
      </c>
      <c r="H10" s="1322">
        <f>SUM(C10:G10)</f>
        <v>344262879</v>
      </c>
      <c r="I10" s="1835">
        <v>34154</v>
      </c>
      <c r="J10" s="1322">
        <f>H10+I10</f>
        <v>344297033</v>
      </c>
      <c r="K10" s="1322" t="s">
        <v>273</v>
      </c>
      <c r="L10" s="529" t="str">
        <f>IF(J10='Base Period Cust'!C27,"","ERROR")</f>
        <v/>
      </c>
    </row>
    <row r="11" spans="1:12">
      <c r="A11" s="532">
        <f>A10+1</f>
        <v>2017</v>
      </c>
      <c r="B11" s="529" t="s">
        <v>1506</v>
      </c>
      <c r="C11" s="1322">
        <f>'Base Period Cust'!$D$22</f>
        <v>152260687</v>
      </c>
      <c r="D11" s="1322">
        <f>'Base Period Cust'!$D$23</f>
        <v>125774982</v>
      </c>
      <c r="E11" s="1322">
        <f>'Base Period Cust'!$D$24</f>
        <v>63354620</v>
      </c>
      <c r="F11" s="1322">
        <f>'Base Period Cust'!$D$25</f>
        <v>1285611</v>
      </c>
      <c r="G11" s="1322">
        <f>'Base Period Cust'!$D$26-I11</f>
        <v>24592459</v>
      </c>
      <c r="H11" s="1322">
        <f t="shared" ref="H11:H21" si="0">SUM(C11:G11)</f>
        <v>367268359</v>
      </c>
      <c r="I11" s="1835">
        <v>129877</v>
      </c>
      <c r="J11" s="1322">
        <f t="shared" ref="J11:J21" si="1">H11+I11</f>
        <v>367398236</v>
      </c>
      <c r="K11" s="1322" t="s">
        <v>273</v>
      </c>
      <c r="L11" s="529" t="str">
        <f>IF(J11='Base Period Cust'!D27,"","ERROR")</f>
        <v/>
      </c>
    </row>
    <row r="12" spans="1:12">
      <c r="A12" s="529"/>
      <c r="B12" s="529" t="s">
        <v>1043</v>
      </c>
      <c r="C12" s="1322">
        <f>'Base Period Cust'!$E$22</f>
        <v>116857527</v>
      </c>
      <c r="D12" s="1322">
        <f>'Base Period Cust'!$E$23</f>
        <v>113534919</v>
      </c>
      <c r="E12" s="1322">
        <f>'Base Period Cust'!$E$24</f>
        <v>63352735</v>
      </c>
      <c r="F12" s="1322">
        <f>'Base Period Cust'!$E$25</f>
        <v>1283934</v>
      </c>
      <c r="G12" s="1322">
        <f>'Base Period Cust'!$E$26-I12</f>
        <v>21395892</v>
      </c>
      <c r="H12" s="1322">
        <f t="shared" si="0"/>
        <v>316425007</v>
      </c>
      <c r="I12" s="1835">
        <v>168021</v>
      </c>
      <c r="J12" s="1322">
        <f t="shared" si="1"/>
        <v>316593028</v>
      </c>
      <c r="K12" s="1322" t="s">
        <v>273</v>
      </c>
      <c r="L12" s="529" t="str">
        <f>IF(J12='Base Period Cust'!E27,"","ERROR")</f>
        <v/>
      </c>
    </row>
    <row r="13" spans="1:12">
      <c r="A13" s="529"/>
      <c r="B13" s="529" t="s">
        <v>1044</v>
      </c>
      <c r="C13" s="1322">
        <f>'Base Period Cust'!$F$22</f>
        <v>105428213</v>
      </c>
      <c r="D13" s="1322">
        <f>'Base Period Cust'!$F$23</f>
        <v>111492272</v>
      </c>
      <c r="E13" s="1322">
        <f>'Base Period Cust'!$F$24</f>
        <v>61886999</v>
      </c>
      <c r="F13" s="1322">
        <f>'Base Period Cust'!$F$25</f>
        <v>1237187</v>
      </c>
      <c r="G13" s="1322">
        <f>'Base Period Cust'!$F$26-I13</f>
        <v>22219128</v>
      </c>
      <c r="H13" s="1322">
        <f t="shared" si="0"/>
        <v>302263799</v>
      </c>
      <c r="I13" s="1835">
        <v>473912</v>
      </c>
      <c r="J13" s="1322">
        <f t="shared" si="1"/>
        <v>302737711</v>
      </c>
      <c r="K13" s="1322" t="s">
        <v>273</v>
      </c>
      <c r="L13" s="529" t="str">
        <f>IF(J13='Base Period Cust'!F27,"","ERROR")</f>
        <v/>
      </c>
    </row>
    <row r="14" spans="1:12">
      <c r="A14" s="529"/>
      <c r="B14" s="529" t="s">
        <v>1045</v>
      </c>
      <c r="C14" s="1322">
        <f>'Base Period Cust'!$G$22</f>
        <v>92266565</v>
      </c>
      <c r="D14" s="1322">
        <f>'Base Period Cust'!$G$23</f>
        <v>112433824</v>
      </c>
      <c r="E14" s="1322">
        <f>'Base Period Cust'!$G$24</f>
        <v>63764958</v>
      </c>
      <c r="F14" s="1322">
        <f>'Base Period Cust'!$G$25</f>
        <v>1260933</v>
      </c>
      <c r="G14" s="1322">
        <f>'Base Period Cust'!$G$26-I14</f>
        <v>21364175</v>
      </c>
      <c r="H14" s="1322">
        <f t="shared" si="0"/>
        <v>291090455</v>
      </c>
      <c r="I14" s="1835">
        <v>-372632</v>
      </c>
      <c r="J14" s="1322">
        <f t="shared" si="1"/>
        <v>290717823</v>
      </c>
      <c r="K14" s="1322" t="s">
        <v>273</v>
      </c>
      <c r="L14" s="529" t="str">
        <f>IF(J14='Base Period Cust'!G27,"","ERROR")</f>
        <v/>
      </c>
    </row>
    <row r="15" spans="1:12">
      <c r="A15" s="529"/>
      <c r="B15" s="529" t="s">
        <v>1046</v>
      </c>
      <c r="C15" s="1322">
        <f>'Base Period Cust'!$H$22</f>
        <v>88890938</v>
      </c>
      <c r="D15" s="1322">
        <f>'Base Period Cust'!$H$23</f>
        <v>114871932</v>
      </c>
      <c r="E15" s="1322">
        <f>'Base Period Cust'!$H$24</f>
        <v>66379122</v>
      </c>
      <c r="F15" s="1322">
        <f>'Base Period Cust'!$H$25</f>
        <v>1241605</v>
      </c>
      <c r="G15" s="1322">
        <f>'Base Period Cust'!$H$26-I15</f>
        <v>22843977</v>
      </c>
      <c r="H15" s="1322">
        <f t="shared" si="0"/>
        <v>294227574</v>
      </c>
      <c r="I15" s="1835">
        <v>30158</v>
      </c>
      <c r="J15" s="1322">
        <f t="shared" si="1"/>
        <v>294257732</v>
      </c>
      <c r="K15" s="1322" t="s">
        <v>273</v>
      </c>
      <c r="L15" s="529" t="str">
        <f>IF(J15='Base Period Cust'!H27,"","ERROR")</f>
        <v/>
      </c>
    </row>
    <row r="16" spans="1:12">
      <c r="A16" s="529"/>
      <c r="B16" s="529" t="s">
        <v>1047</v>
      </c>
      <c r="C16" s="1322">
        <f>'Base Period Cust'!$I$22</f>
        <v>109734000</v>
      </c>
      <c r="D16" s="1322">
        <f>'Base Period Cust'!$I$23</f>
        <v>126780000</v>
      </c>
      <c r="E16" s="1322">
        <f>'Base Period Cust'!$I$24</f>
        <v>68355000</v>
      </c>
      <c r="F16" s="1322">
        <f>'Base Period Cust'!$I$25</f>
        <v>1263000</v>
      </c>
      <c r="G16" s="1322">
        <f>'Base Period Cust'!$I$26-I16</f>
        <v>24011000</v>
      </c>
      <c r="H16" s="1322">
        <f t="shared" si="0"/>
        <v>330143000</v>
      </c>
      <c r="I16" s="1835">
        <v>41000</v>
      </c>
      <c r="J16" s="1322">
        <f t="shared" si="1"/>
        <v>330184000</v>
      </c>
      <c r="K16" s="1322" t="s">
        <v>274</v>
      </c>
      <c r="L16" s="529" t="str">
        <f>IF(J16='Base Period Cust'!I27,"","ERROR")</f>
        <v/>
      </c>
    </row>
    <row r="17" spans="1:12">
      <c r="A17" s="529"/>
      <c r="B17" s="529" t="s">
        <v>1048</v>
      </c>
      <c r="C17" s="1322">
        <f>'Base Period Cust'!$J$22</f>
        <v>145989000</v>
      </c>
      <c r="D17" s="1322">
        <f>'Base Period Cust'!$J$23</f>
        <v>138250000</v>
      </c>
      <c r="E17" s="1322">
        <f>'Base Period Cust'!$J$24</f>
        <v>69054000</v>
      </c>
      <c r="F17" s="1322">
        <f>'Base Period Cust'!$J$25</f>
        <v>1267000</v>
      </c>
      <c r="G17" s="1322">
        <f>'Base Period Cust'!$J$26-I17</f>
        <v>24812000</v>
      </c>
      <c r="H17" s="1322">
        <f t="shared" si="0"/>
        <v>379372000</v>
      </c>
      <c r="I17" s="1835">
        <v>59000</v>
      </c>
      <c r="J17" s="1322">
        <f t="shared" si="1"/>
        <v>379431000</v>
      </c>
      <c r="K17" s="1322" t="s">
        <v>274</v>
      </c>
      <c r="L17" s="529" t="str">
        <f>IF(J17='Base Period Cust'!J27,"","ERROR")</f>
        <v/>
      </c>
    </row>
    <row r="18" spans="1:12">
      <c r="A18" s="529"/>
      <c r="B18" s="529" t="s">
        <v>1049</v>
      </c>
      <c r="C18" s="1322">
        <f>'Base Period Cust'!$K$22</f>
        <v>150371000</v>
      </c>
      <c r="D18" s="1322">
        <f>'Base Period Cust'!$K$23</f>
        <v>136815000</v>
      </c>
      <c r="E18" s="1322">
        <f>'Base Period Cust'!$K$24</f>
        <v>68740000</v>
      </c>
      <c r="F18" s="1322">
        <f>'Base Period Cust'!$K$25</f>
        <v>1264000</v>
      </c>
      <c r="G18" s="1322">
        <f>'Base Period Cust'!$K$26-I18</f>
        <v>25763000</v>
      </c>
      <c r="H18" s="1322">
        <f t="shared" si="0"/>
        <v>382953000</v>
      </c>
      <c r="I18" s="1835">
        <v>53000</v>
      </c>
      <c r="J18" s="1322">
        <f t="shared" si="1"/>
        <v>383006000</v>
      </c>
      <c r="K18" s="1322" t="s">
        <v>274</v>
      </c>
      <c r="L18" s="529" t="str">
        <f>IF(J18='Base Period Cust'!K27,"","ERROR")</f>
        <v/>
      </c>
    </row>
    <row r="19" spans="1:12">
      <c r="A19" s="529"/>
      <c r="B19" s="529" t="s">
        <v>1050</v>
      </c>
      <c r="C19" s="1322">
        <f>'Base Period Cust'!$L$22</f>
        <v>134048000</v>
      </c>
      <c r="D19" s="1322">
        <f>'Base Period Cust'!$L$23</f>
        <v>133486000</v>
      </c>
      <c r="E19" s="1322">
        <f>'Base Period Cust'!$L$24</f>
        <v>67906000</v>
      </c>
      <c r="F19" s="1322">
        <f>'Base Period Cust'!$L$25</f>
        <v>1267000</v>
      </c>
      <c r="G19" s="1322">
        <f>'Base Period Cust'!$L$26-I19</f>
        <v>27294000</v>
      </c>
      <c r="H19" s="1322">
        <f t="shared" si="0"/>
        <v>364001000</v>
      </c>
      <c r="I19" s="1835">
        <v>24000</v>
      </c>
      <c r="J19" s="1322">
        <f t="shared" si="1"/>
        <v>364025000</v>
      </c>
      <c r="K19" s="1322" t="s">
        <v>274</v>
      </c>
      <c r="L19" s="529" t="str">
        <f>IF(J19='Base Period Cust'!L27,"","ERROR")</f>
        <v/>
      </c>
    </row>
    <row r="20" spans="1:12">
      <c r="A20" s="529"/>
      <c r="B20" s="529" t="s">
        <v>1019</v>
      </c>
      <c r="C20" s="1322">
        <f>'Base Period Cust'!$M$22</f>
        <v>91397000</v>
      </c>
      <c r="D20" s="1322">
        <f>'Base Period Cust'!$M$23</f>
        <v>116749000</v>
      </c>
      <c r="E20" s="1322">
        <f>'Base Period Cust'!$M$24</f>
        <v>68571000</v>
      </c>
      <c r="F20" s="1322">
        <f>'Base Period Cust'!$M$25</f>
        <v>1267000</v>
      </c>
      <c r="G20" s="1322">
        <f>'Base Period Cust'!$M$26-I20</f>
        <v>24381000</v>
      </c>
      <c r="H20" s="1322">
        <f>SUM(C20:G20)</f>
        <v>302365000</v>
      </c>
      <c r="I20" s="1835">
        <v>26000</v>
      </c>
      <c r="J20" s="1322">
        <f t="shared" si="1"/>
        <v>302391000</v>
      </c>
      <c r="K20" s="1322" t="s">
        <v>274</v>
      </c>
      <c r="L20" s="529" t="str">
        <f>IF(J20='Base Period Cust'!M27,"","ERROR")</f>
        <v/>
      </c>
    </row>
    <row r="21" spans="1:12">
      <c r="A21" s="529"/>
      <c r="B21" s="529" t="s">
        <v>1041</v>
      </c>
      <c r="C21" s="1322">
        <f>'Base Period Cust'!$N$22</f>
        <v>93648000</v>
      </c>
      <c r="D21" s="1322">
        <f>'Base Period Cust'!$N$23</f>
        <v>113837000</v>
      </c>
      <c r="E21" s="1322">
        <f>'Base Period Cust'!$N$24</f>
        <v>68193000</v>
      </c>
      <c r="F21" s="1322">
        <f>'Base Period Cust'!$N$25</f>
        <v>1308000</v>
      </c>
      <c r="G21" s="1322">
        <f>'Base Period Cust'!$N$26-I21</f>
        <v>22838000</v>
      </c>
      <c r="H21" s="1322">
        <f t="shared" si="0"/>
        <v>299824000</v>
      </c>
      <c r="I21" s="1835">
        <v>57000</v>
      </c>
      <c r="J21" s="1322">
        <f t="shared" si="1"/>
        <v>299881000</v>
      </c>
      <c r="K21" s="1322" t="s">
        <v>274</v>
      </c>
      <c r="L21" s="529" t="str">
        <f>IF(J21='Base Period Cust'!N27,"","ERROR")</f>
        <v/>
      </c>
    </row>
    <row r="22" spans="1:12">
      <c r="A22" s="529"/>
      <c r="B22" s="529"/>
      <c r="C22" s="1322"/>
      <c r="D22" s="1322"/>
      <c r="E22" s="1322"/>
      <c r="F22" s="1322"/>
      <c r="G22" s="1322"/>
      <c r="H22" s="1322"/>
      <c r="I22" s="1322"/>
      <c r="J22" s="1322"/>
      <c r="K22" s="1322"/>
      <c r="L22" s="529"/>
    </row>
    <row r="23" spans="1:12">
      <c r="A23" s="529"/>
      <c r="B23" s="529" t="s">
        <v>1929</v>
      </c>
      <c r="C23" s="1322">
        <f t="shared" ref="C23:J23" si="2">SUM(C10:C21)</f>
        <v>1407184725</v>
      </c>
      <c r="D23" s="1322">
        <f t="shared" si="2"/>
        <v>1467824075</v>
      </c>
      <c r="E23" s="1322">
        <f t="shared" si="2"/>
        <v>798108732</v>
      </c>
      <c r="F23" s="1322">
        <f t="shared" si="2"/>
        <v>15259557</v>
      </c>
      <c r="G23" s="1322">
        <f t="shared" si="2"/>
        <v>285818984</v>
      </c>
      <c r="H23" s="1322">
        <f t="shared" si="2"/>
        <v>3974196073</v>
      </c>
      <c r="I23" s="1322">
        <f t="shared" si="2"/>
        <v>723490</v>
      </c>
      <c r="J23" s="1322">
        <f t="shared" si="2"/>
        <v>3974919563</v>
      </c>
      <c r="K23" s="1322"/>
      <c r="L23" s="529"/>
    </row>
    <row r="24" spans="1:12">
      <c r="A24" s="529"/>
      <c r="B24" s="529"/>
      <c r="C24" s="1322"/>
      <c r="D24" s="1322"/>
      <c r="E24" s="1322"/>
      <c r="F24" s="1322"/>
      <c r="G24" s="1322"/>
      <c r="H24" s="1322"/>
      <c r="I24" s="1322"/>
      <c r="J24" s="1322"/>
      <c r="K24" s="1322"/>
      <c r="L24" s="529"/>
    </row>
    <row r="25" spans="1:12">
      <c r="A25" s="1831" t="s">
        <v>2583</v>
      </c>
      <c r="B25" s="529"/>
      <c r="C25" s="1322"/>
      <c r="D25" s="1322"/>
      <c r="E25" s="1322"/>
      <c r="F25" s="1322"/>
      <c r="G25" s="1322"/>
      <c r="H25" s="1322"/>
      <c r="I25" s="1322"/>
      <c r="J25" s="1322"/>
      <c r="K25" s="1322"/>
      <c r="L25" s="529"/>
    </row>
    <row r="26" spans="1:12">
      <c r="A26" s="529"/>
      <c r="B26" s="529"/>
      <c r="C26" s="1322"/>
      <c r="D26" s="528"/>
      <c r="E26" s="1322"/>
      <c r="F26" s="1322"/>
      <c r="G26" s="1322"/>
      <c r="H26" s="1322"/>
      <c r="I26" s="1322"/>
      <c r="J26" s="1322"/>
      <c r="K26" s="1322"/>
      <c r="L26" s="529"/>
    </row>
    <row r="27" spans="1:12">
      <c r="A27" s="1613">
        <v>2018</v>
      </c>
      <c r="B27" s="529" t="s">
        <v>1045</v>
      </c>
      <c r="C27" s="1835">
        <v>81130952</v>
      </c>
      <c r="D27" s="1835">
        <v>114946081</v>
      </c>
      <c r="E27" s="1835">
        <v>65621661</v>
      </c>
      <c r="F27" s="1835">
        <v>1270556</v>
      </c>
      <c r="G27" s="1835">
        <v>22478201</v>
      </c>
      <c r="H27" s="1322">
        <f t="shared" ref="H27:H38" si="3">SUM(C27:G27)</f>
        <v>285447451</v>
      </c>
      <c r="I27" s="1835">
        <v>25703</v>
      </c>
      <c r="J27" s="1322">
        <f t="shared" ref="J27:J38" si="4">H27+I27</f>
        <v>285473154</v>
      </c>
      <c r="K27" s="1322"/>
      <c r="L27" s="529"/>
    </row>
    <row r="28" spans="1:12">
      <c r="A28" s="532"/>
      <c r="B28" s="529" t="s">
        <v>1046</v>
      </c>
      <c r="C28" s="1835">
        <v>86248091</v>
      </c>
      <c r="D28" s="1835">
        <v>112156587</v>
      </c>
      <c r="E28" s="1835">
        <v>66671445</v>
      </c>
      <c r="F28" s="1835">
        <v>1268923</v>
      </c>
      <c r="G28" s="1835">
        <v>21484686</v>
      </c>
      <c r="H28" s="1322">
        <f t="shared" si="3"/>
        <v>287829732</v>
      </c>
      <c r="I28" s="1835">
        <v>21030</v>
      </c>
      <c r="J28" s="1322">
        <f t="shared" si="4"/>
        <v>287850762</v>
      </c>
      <c r="K28" s="1322"/>
      <c r="L28" s="529"/>
    </row>
    <row r="29" spans="1:12">
      <c r="A29" s="532"/>
      <c r="B29" s="529" t="s">
        <v>1047</v>
      </c>
      <c r="C29" s="1835">
        <v>129833876</v>
      </c>
      <c r="D29" s="1835">
        <v>126379347</v>
      </c>
      <c r="E29" s="1835">
        <v>71071684</v>
      </c>
      <c r="F29" s="1835">
        <v>1266791</v>
      </c>
      <c r="G29" s="1835">
        <v>24403403</v>
      </c>
      <c r="H29" s="1322">
        <f t="shared" si="3"/>
        <v>352955101</v>
      </c>
      <c r="I29" s="1835">
        <v>43867</v>
      </c>
      <c r="J29" s="1322">
        <f t="shared" si="4"/>
        <v>352998968</v>
      </c>
      <c r="K29" s="1322"/>
      <c r="L29" s="529"/>
    </row>
    <row r="30" spans="1:12">
      <c r="A30" s="532"/>
      <c r="B30" s="529" t="s">
        <v>1048</v>
      </c>
      <c r="C30" s="1835">
        <v>163294422</v>
      </c>
      <c r="D30" s="1835">
        <v>140588477</v>
      </c>
      <c r="E30" s="1835">
        <v>73541014</v>
      </c>
      <c r="F30" s="1835">
        <v>1268183</v>
      </c>
      <c r="G30" s="1835">
        <v>25384390</v>
      </c>
      <c r="H30" s="1322">
        <f t="shared" si="3"/>
        <v>404076486</v>
      </c>
      <c r="I30" s="1835">
        <v>62951</v>
      </c>
      <c r="J30" s="1322">
        <f t="shared" si="4"/>
        <v>404139437</v>
      </c>
      <c r="K30" s="1322"/>
      <c r="L30" s="529"/>
    </row>
    <row r="31" spans="1:12">
      <c r="A31" s="532"/>
      <c r="B31" s="529" t="s">
        <v>1049</v>
      </c>
      <c r="C31" s="1835">
        <v>126947480</v>
      </c>
      <c r="D31" s="1835">
        <v>138571887</v>
      </c>
      <c r="E31" s="1835">
        <v>72194952</v>
      </c>
      <c r="F31" s="1835">
        <v>1267535</v>
      </c>
      <c r="G31" s="1835">
        <v>24668904</v>
      </c>
      <c r="H31" s="1322">
        <f t="shared" si="3"/>
        <v>363650758</v>
      </c>
      <c r="I31" s="1835">
        <v>56395</v>
      </c>
      <c r="J31" s="1322">
        <f t="shared" si="4"/>
        <v>363707153</v>
      </c>
      <c r="K31" s="1322"/>
      <c r="L31" s="529"/>
    </row>
    <row r="32" spans="1:12">
      <c r="A32" s="532"/>
      <c r="B32" s="529" t="s">
        <v>1050</v>
      </c>
      <c r="C32" s="1835">
        <v>139381012</v>
      </c>
      <c r="D32" s="1835">
        <v>137153291</v>
      </c>
      <c r="E32" s="1835">
        <v>71573000</v>
      </c>
      <c r="F32" s="1835">
        <v>1268895</v>
      </c>
      <c r="G32" s="1835">
        <v>25921234</v>
      </c>
      <c r="H32" s="1322">
        <f t="shared" si="3"/>
        <v>375297432</v>
      </c>
      <c r="I32" s="1835">
        <v>25886</v>
      </c>
      <c r="J32" s="1322">
        <f t="shared" si="4"/>
        <v>375323318</v>
      </c>
      <c r="K32" s="1322"/>
      <c r="L32" s="529"/>
    </row>
    <row r="33" spans="1:12">
      <c r="A33" s="532"/>
      <c r="B33" s="529" t="s">
        <v>1019</v>
      </c>
      <c r="C33" s="1835">
        <v>111360525</v>
      </c>
      <c r="D33" s="1835">
        <v>124356715</v>
      </c>
      <c r="E33" s="1835">
        <v>66472253</v>
      </c>
      <c r="F33" s="1835">
        <v>1269735</v>
      </c>
      <c r="G33" s="1835">
        <v>24671001</v>
      </c>
      <c r="H33" s="1322">
        <f t="shared" si="3"/>
        <v>328130229</v>
      </c>
      <c r="I33" s="1835">
        <v>24348</v>
      </c>
      <c r="J33" s="1322">
        <f t="shared" si="4"/>
        <v>328154577</v>
      </c>
      <c r="K33" s="1322"/>
      <c r="L33" s="529"/>
    </row>
    <row r="34" spans="1:12">
      <c r="A34" s="532"/>
      <c r="B34" s="529" t="s">
        <v>1041</v>
      </c>
      <c r="C34" s="1835">
        <v>97072397</v>
      </c>
      <c r="D34" s="1835">
        <v>112229284</v>
      </c>
      <c r="E34" s="1835">
        <v>65258553</v>
      </c>
      <c r="F34" s="1835">
        <v>1334304</v>
      </c>
      <c r="G34" s="1835">
        <v>22873225</v>
      </c>
      <c r="H34" s="1322">
        <f t="shared" si="3"/>
        <v>298767763</v>
      </c>
      <c r="I34" s="1835">
        <v>52316</v>
      </c>
      <c r="J34" s="1322">
        <f t="shared" si="4"/>
        <v>298820079</v>
      </c>
      <c r="K34" s="1322"/>
      <c r="L34" s="529"/>
    </row>
    <row r="35" spans="1:12">
      <c r="A35" s="532"/>
      <c r="B35" s="529" t="s">
        <v>1042</v>
      </c>
      <c r="C35" s="1835">
        <v>146551942</v>
      </c>
      <c r="D35" s="1835">
        <v>123080078</v>
      </c>
      <c r="E35" s="1835">
        <v>72890298</v>
      </c>
      <c r="F35" s="1835">
        <v>1274426</v>
      </c>
      <c r="G35" s="1835">
        <v>24007844</v>
      </c>
      <c r="H35" s="1322">
        <f t="shared" si="3"/>
        <v>367804588</v>
      </c>
      <c r="I35" s="1835">
        <v>89237</v>
      </c>
      <c r="J35" s="1322">
        <f t="shared" si="4"/>
        <v>367893825</v>
      </c>
      <c r="K35" s="1322"/>
      <c r="L35" s="529"/>
    </row>
    <row r="36" spans="1:12">
      <c r="A36" s="532">
        <f>A27+1</f>
        <v>2019</v>
      </c>
      <c r="B36" s="529" t="s">
        <v>1506</v>
      </c>
      <c r="C36" s="1835">
        <v>156433892</v>
      </c>
      <c r="D36" s="1835">
        <v>127860754</v>
      </c>
      <c r="E36" s="1835">
        <v>69341560</v>
      </c>
      <c r="F36" s="1835">
        <v>1351900</v>
      </c>
      <c r="G36" s="1835">
        <v>24182795</v>
      </c>
      <c r="H36" s="1322">
        <f t="shared" si="3"/>
        <v>379170901</v>
      </c>
      <c r="I36" s="1835">
        <v>151647</v>
      </c>
      <c r="J36" s="1322">
        <f t="shared" si="4"/>
        <v>379322548</v>
      </c>
      <c r="K36" s="1322"/>
      <c r="L36" s="529"/>
    </row>
    <row r="37" spans="1:12">
      <c r="A37" s="532"/>
      <c r="B37" s="529" t="s">
        <v>1043</v>
      </c>
      <c r="C37" s="1835">
        <v>149083032</v>
      </c>
      <c r="D37" s="1835">
        <v>119475502</v>
      </c>
      <c r="E37" s="1835">
        <v>63022042</v>
      </c>
      <c r="F37" s="1835">
        <v>1323288</v>
      </c>
      <c r="G37" s="1835">
        <v>22905484</v>
      </c>
      <c r="H37" s="1322">
        <f t="shared" si="3"/>
        <v>355809348</v>
      </c>
      <c r="I37" s="1835">
        <v>102252</v>
      </c>
      <c r="J37" s="1322">
        <f t="shared" si="4"/>
        <v>355911600</v>
      </c>
      <c r="K37" s="1322"/>
      <c r="L37" s="529"/>
    </row>
    <row r="38" spans="1:12">
      <c r="B38" s="529" t="s">
        <v>1044</v>
      </c>
      <c r="C38" s="1835">
        <v>84178177</v>
      </c>
      <c r="D38" s="1835">
        <v>116149056</v>
      </c>
      <c r="E38" s="1835">
        <v>63966095</v>
      </c>
      <c r="F38" s="1835">
        <v>1277303</v>
      </c>
      <c r="G38" s="1835">
        <v>22565531</v>
      </c>
      <c r="H38" s="1322">
        <f t="shared" si="3"/>
        <v>288136162</v>
      </c>
      <c r="I38" s="1835">
        <v>59882</v>
      </c>
      <c r="J38" s="1322">
        <f t="shared" si="4"/>
        <v>288196044</v>
      </c>
      <c r="K38" s="1322"/>
      <c r="L38" s="529"/>
    </row>
    <row r="39" spans="1:12">
      <c r="A39" s="529"/>
      <c r="B39" s="529"/>
      <c r="C39" s="1322"/>
      <c r="D39" s="1322"/>
      <c r="E39" s="1322"/>
      <c r="F39" s="1322"/>
      <c r="G39" s="1322"/>
      <c r="H39" s="1322"/>
      <c r="I39" s="1322"/>
      <c r="J39" s="1322"/>
      <c r="K39" s="1322"/>
      <c r="L39" s="529"/>
    </row>
    <row r="40" spans="1:12">
      <c r="A40" s="529"/>
      <c r="B40" s="529" t="s">
        <v>1929</v>
      </c>
      <c r="C40" s="1322">
        <f t="shared" ref="C40:I40" si="5">SUM(C27:C38)</f>
        <v>1471515798</v>
      </c>
      <c r="D40" s="1322">
        <f t="shared" si="5"/>
        <v>1492947059</v>
      </c>
      <c r="E40" s="1322">
        <f t="shared" si="5"/>
        <v>821624557</v>
      </c>
      <c r="F40" s="1322">
        <f t="shared" si="5"/>
        <v>15441839</v>
      </c>
      <c r="G40" s="1322">
        <f t="shared" si="5"/>
        <v>285546698</v>
      </c>
      <c r="H40" s="1322">
        <f t="shared" si="5"/>
        <v>4087075951</v>
      </c>
      <c r="I40" s="1322">
        <f t="shared" si="5"/>
        <v>715514</v>
      </c>
      <c r="J40" s="1322">
        <f>SUM(J27:J38)</f>
        <v>4087791465</v>
      </c>
      <c r="K40" s="1322"/>
      <c r="L40" s="529"/>
    </row>
    <row r="41" spans="1:12">
      <c r="A41" s="529"/>
      <c r="B41" s="529"/>
      <c r="C41" s="1322"/>
      <c r="D41" s="1322"/>
      <c r="E41" s="1322"/>
      <c r="F41" s="1322"/>
      <c r="G41" s="1322"/>
      <c r="H41" s="1322"/>
      <c r="I41" s="1322"/>
      <c r="J41" s="1322"/>
      <c r="K41" s="1322"/>
      <c r="L41" s="529"/>
    </row>
    <row r="42" spans="1:12">
      <c r="A42" s="529"/>
      <c r="B42" s="1475"/>
      <c r="C42" s="1469"/>
      <c r="D42" s="1469"/>
      <c r="E42" s="1469"/>
      <c r="F42" s="1469"/>
      <c r="G42" s="1469"/>
      <c r="H42" s="1322"/>
      <c r="I42" s="1322"/>
      <c r="J42" s="1322"/>
      <c r="K42" s="1322"/>
      <c r="L42" s="529"/>
    </row>
    <row r="43" spans="1:12">
      <c r="A43" s="529"/>
      <c r="B43" s="1475"/>
      <c r="C43" s="1469"/>
      <c r="D43" s="1469"/>
      <c r="E43" s="1469"/>
      <c r="F43" s="463"/>
      <c r="G43" s="2796"/>
      <c r="H43" s="1322"/>
      <c r="I43" s="1322"/>
      <c r="J43" s="1322"/>
      <c r="K43" s="1322"/>
      <c r="L43" s="529"/>
    </row>
    <row r="44" spans="1:12">
      <c r="A44" s="529"/>
      <c r="B44" s="463"/>
      <c r="C44" s="1376"/>
      <c r="D44" s="463"/>
      <c r="E44" s="1469"/>
      <c r="F44" s="463"/>
      <c r="G44" s="468"/>
      <c r="H44" s="1322"/>
      <c r="I44" s="1322"/>
      <c r="J44" s="1322"/>
      <c r="K44" s="1322"/>
      <c r="L44" s="529"/>
    </row>
    <row r="45" spans="1:12">
      <c r="A45" s="529"/>
      <c r="B45" s="1475"/>
      <c r="C45" s="1469"/>
      <c r="D45" s="1469"/>
      <c r="E45" s="1469"/>
      <c r="F45" s="463"/>
      <c r="G45" s="2797"/>
      <c r="H45" s="1322"/>
      <c r="I45" s="1322"/>
      <c r="J45" s="1322"/>
      <c r="K45" s="1322"/>
      <c r="L45" s="529"/>
    </row>
    <row r="46" spans="1:12">
      <c r="A46" s="529"/>
      <c r="B46" s="1475"/>
      <c r="C46" s="1469"/>
      <c r="D46" s="1469"/>
      <c r="E46" s="1469"/>
      <c r="F46" s="463"/>
      <c r="G46" s="468"/>
      <c r="H46" s="1322"/>
      <c r="I46" s="1322"/>
      <c r="J46" s="1322"/>
      <c r="K46" s="1322"/>
      <c r="L46" s="529"/>
    </row>
    <row r="47" spans="1:12">
      <c r="B47" s="1475"/>
      <c r="C47" s="1469"/>
      <c r="D47" s="1469"/>
      <c r="E47" s="1469"/>
      <c r="F47" s="1376"/>
      <c r="G47" s="1376"/>
      <c r="H47" s="1322"/>
      <c r="I47" s="1322"/>
      <c r="J47" s="1322"/>
      <c r="K47" s="1322"/>
      <c r="L47" s="529"/>
    </row>
    <row r="48" spans="1:12">
      <c r="A48" s="529"/>
      <c r="B48" s="529"/>
      <c r="C48" s="1322"/>
      <c r="D48" s="1322"/>
      <c r="E48" s="1322"/>
      <c r="F48" s="1322"/>
      <c r="G48" s="1322"/>
      <c r="H48" s="1322"/>
      <c r="I48" s="1322"/>
      <c r="J48" s="1322"/>
      <c r="K48" s="1322"/>
      <c r="L48" s="529"/>
    </row>
    <row r="49" spans="1:12">
      <c r="A49" s="529" t="s">
        <v>119</v>
      </c>
      <c r="B49" s="529"/>
      <c r="C49" s="1322"/>
      <c r="D49" s="1322"/>
      <c r="E49" s="1322"/>
      <c r="F49" s="1322"/>
      <c r="G49" s="1322"/>
      <c r="H49" s="1322"/>
      <c r="I49" s="1322"/>
      <c r="J49" s="1322"/>
      <c r="K49" s="1322"/>
      <c r="L49" s="529"/>
    </row>
  </sheetData>
  <phoneticPr fontId="19" type="noConversion"/>
  <pageMargins left="0.75" right="0.75" top="1" bottom="1" header="0.5" footer="0.5"/>
  <pageSetup scale="59" orientation="landscape" verticalDpi="300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00B050"/>
  </sheetPr>
  <dimension ref="A1:R59"/>
  <sheetViews>
    <sheetView tabSelected="1" view="pageLayout" zoomScaleNormal="90" workbookViewId="0">
      <selection activeCell="G1" sqref="G1"/>
    </sheetView>
  </sheetViews>
  <sheetFormatPr defaultColWidth="6.85546875" defaultRowHeight="12.75"/>
  <cols>
    <col min="1" max="1" width="6.85546875" style="18" customWidth="1"/>
    <col min="2" max="2" width="34.5703125" style="18" customWidth="1"/>
    <col min="3" max="5" width="14.42578125" style="18" customWidth="1"/>
    <col min="6" max="7" width="14.7109375" style="18" customWidth="1"/>
    <col min="8" max="8" width="1.140625" style="18" customWidth="1"/>
    <col min="9" max="9" width="14.7109375" style="18" customWidth="1"/>
    <col min="10" max="10" width="1.28515625" style="18" customWidth="1"/>
    <col min="11" max="11" width="16.28515625" style="18" customWidth="1"/>
    <col min="12" max="12" width="1" style="18" customWidth="1"/>
    <col min="13" max="13" width="14.140625" style="18" customWidth="1"/>
    <col min="14" max="14" width="14.5703125" style="18" customWidth="1"/>
    <col min="15" max="18" width="6.85546875" style="18" customWidth="1"/>
    <col min="19" max="19" width="11.7109375" style="18" customWidth="1"/>
    <col min="20" max="20" width="12" style="18" customWidth="1"/>
    <col min="21" max="21" width="13.85546875" style="18" customWidth="1"/>
    <col min="22" max="22" width="14.28515625" style="18" customWidth="1"/>
    <col min="23" max="23" width="14" style="18" customWidth="1"/>
    <col min="24" max="24" width="13.42578125" style="18" customWidth="1"/>
    <col min="25" max="25" width="14.140625" style="18" customWidth="1"/>
    <col min="26" max="16384" width="6.85546875" style="18"/>
  </cols>
  <sheetData>
    <row r="1" spans="1:18">
      <c r="A1" s="1797" t="str">
        <f>COMPANY</f>
        <v>DUKE ENERGY KENTUCKY, INC.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1798"/>
      <c r="P1" s="1799"/>
      <c r="Q1" s="1799"/>
      <c r="R1" s="1800"/>
    </row>
    <row r="2" spans="1:18">
      <c r="A2" s="1801" t="str">
        <f>CASE</f>
        <v>CASE NO. 2017-00321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1798"/>
      <c r="P2" s="1799"/>
      <c r="Q2" s="1799"/>
      <c r="R2" s="1800"/>
    </row>
    <row r="3" spans="1:18">
      <c r="A3" s="1797" t="s">
        <v>61</v>
      </c>
      <c r="B3" s="707"/>
      <c r="C3" s="707"/>
      <c r="D3" s="707"/>
      <c r="E3" s="707"/>
      <c r="F3" s="707"/>
      <c r="G3" s="707"/>
      <c r="H3" s="707"/>
      <c r="I3" s="707"/>
      <c r="J3" s="707"/>
      <c r="K3" s="707"/>
      <c r="L3" s="707"/>
      <c r="M3" s="707"/>
      <c r="N3" s="707"/>
      <c r="O3" s="1798"/>
      <c r="P3" s="1799"/>
      <c r="Q3" s="1799"/>
      <c r="R3" s="1800"/>
    </row>
    <row r="4" spans="1:18">
      <c r="A4" s="695" t="str">
        <f>PERIOD</f>
        <v>FOR THE TWELVE MONTHS ENDED NOVEMBER 30, 2017</v>
      </c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1799"/>
      <c r="P4" s="1799"/>
      <c r="Q4" s="1799"/>
      <c r="R4" s="1799"/>
    </row>
    <row r="5" spans="1:18">
      <c r="A5" s="695" t="str">
        <f>PeriodF</f>
        <v>FOR THE TWELVE MONTHS ENDED MARCH 31, 2019</v>
      </c>
      <c r="B5" s="707"/>
      <c r="C5" s="707"/>
      <c r="D5" s="707"/>
      <c r="E5" s="707"/>
      <c r="F5" s="707"/>
      <c r="G5" s="707"/>
      <c r="H5" s="707"/>
      <c r="I5" s="707"/>
      <c r="J5" s="707"/>
      <c r="K5" s="707"/>
      <c r="L5" s="707"/>
      <c r="M5" s="707"/>
      <c r="N5" s="707"/>
      <c r="O5" s="1799"/>
      <c r="P5" s="1799"/>
      <c r="Q5" s="1799"/>
      <c r="R5" s="1799"/>
    </row>
    <row r="6" spans="1:18">
      <c r="A6" s="1799"/>
      <c r="B6" s="1799"/>
      <c r="C6" s="1799"/>
      <c r="D6" s="1799"/>
      <c r="E6" s="1799"/>
      <c r="F6" s="1799"/>
      <c r="G6" s="707"/>
      <c r="H6" s="707"/>
      <c r="I6" s="707"/>
      <c r="J6" s="707"/>
      <c r="K6" s="707"/>
      <c r="L6" s="707"/>
      <c r="M6" s="707"/>
      <c r="N6" s="707"/>
      <c r="O6" s="1798"/>
      <c r="P6" s="1799"/>
      <c r="Q6" s="1799"/>
      <c r="R6" s="1800"/>
    </row>
    <row r="7" spans="1:18">
      <c r="A7" s="1802"/>
      <c r="B7" s="1799"/>
      <c r="C7" s="1799"/>
      <c r="D7" s="1799"/>
      <c r="E7" s="1799"/>
      <c r="F7" s="1799"/>
      <c r="G7" s="1799"/>
      <c r="H7" s="1803"/>
      <c r="I7" s="1803"/>
      <c r="J7" s="1803"/>
      <c r="K7" s="1803"/>
      <c r="L7" s="1803"/>
      <c r="M7" s="1803" t="s">
        <v>874</v>
      </c>
      <c r="N7" s="707"/>
      <c r="O7" s="1798"/>
      <c r="P7" s="1799"/>
      <c r="Q7" s="1799"/>
      <c r="R7" s="1800"/>
    </row>
    <row r="8" spans="1:18">
      <c r="A8" s="1802"/>
      <c r="B8" s="1799"/>
      <c r="C8" s="1799"/>
      <c r="D8" s="1799"/>
      <c r="E8" s="1799"/>
      <c r="F8" s="1799"/>
      <c r="G8" s="1799"/>
      <c r="H8" s="1803"/>
      <c r="I8" s="1803"/>
      <c r="J8" s="1803"/>
      <c r="K8" s="1803"/>
      <c r="L8" s="1803"/>
      <c r="M8" s="1803" t="s">
        <v>620</v>
      </c>
      <c r="N8" s="707"/>
      <c r="O8" s="1798"/>
      <c r="P8" s="1799"/>
      <c r="Q8" s="1799"/>
      <c r="R8" s="1800"/>
    </row>
    <row r="9" spans="1:18">
      <c r="A9" s="1799" t="str">
        <f>DataB</f>
        <v>DATA: "X" BASE PERIOD  "X" FORECASTED PERIOD</v>
      </c>
      <c r="B9" s="1799"/>
      <c r="C9" s="1799"/>
      <c r="D9" s="1799"/>
      <c r="E9" s="1799"/>
      <c r="F9" s="1804"/>
      <c r="G9" s="1799"/>
      <c r="H9" s="1805"/>
      <c r="I9" s="1805"/>
      <c r="J9" s="1805"/>
      <c r="K9" s="1805"/>
      <c r="L9" s="1805"/>
      <c r="M9" s="1805" t="s">
        <v>622</v>
      </c>
      <c r="N9" s="707"/>
      <c r="O9" s="1798"/>
      <c r="P9" s="1799"/>
      <c r="Q9" s="1799"/>
      <c r="R9" s="1800"/>
    </row>
    <row r="10" spans="1:18">
      <c r="A10" s="1805" t="str">
        <f>LOGO!B15</f>
        <v xml:space="preserve">TYPE OF FILING:  "X" ORIGINAL   UPDATED    REVISED  </v>
      </c>
      <c r="B10" s="1799"/>
      <c r="C10" s="1799"/>
      <c r="D10" s="1799"/>
      <c r="E10" s="1799"/>
      <c r="F10" s="1804"/>
      <c r="G10" s="1799"/>
      <c r="H10" s="700"/>
      <c r="I10" s="700"/>
      <c r="J10" s="700"/>
      <c r="K10" s="700"/>
      <c r="L10" s="700"/>
      <c r="M10" s="700" t="str">
        <f>_WIT6</f>
        <v>R. H. PRATT / D. L. DOSS</v>
      </c>
      <c r="N10" s="707"/>
      <c r="O10" s="1798"/>
      <c r="P10" s="1799"/>
      <c r="Q10" s="1799"/>
      <c r="R10" s="1800"/>
    </row>
    <row r="11" spans="1:18">
      <c r="A11" s="1803" t="s">
        <v>1731</v>
      </c>
      <c r="B11" s="1799"/>
      <c r="C11" s="1799"/>
      <c r="D11" s="1799"/>
      <c r="E11" s="1799"/>
      <c r="F11" s="1804"/>
      <c r="G11" s="707"/>
      <c r="H11" s="707"/>
      <c r="I11" s="707"/>
      <c r="J11" s="707"/>
      <c r="K11" s="707"/>
      <c r="L11" s="707"/>
      <c r="M11" s="707"/>
      <c r="N11" s="707"/>
      <c r="O11" s="1798"/>
      <c r="P11" s="1799"/>
      <c r="Q11" s="1799"/>
      <c r="R11" s="1800"/>
    </row>
    <row r="12" spans="1:18">
      <c r="A12" s="1806"/>
      <c r="B12" s="1807"/>
      <c r="C12" s="1807"/>
      <c r="D12" s="1807"/>
      <c r="E12" s="1807"/>
      <c r="F12" s="1808"/>
      <c r="G12" s="1809"/>
      <c r="H12" s="1809"/>
      <c r="I12" s="1809"/>
      <c r="J12" s="1809"/>
      <c r="K12" s="1809"/>
      <c r="L12" s="1809"/>
      <c r="M12" s="1809"/>
      <c r="N12" s="1809"/>
      <c r="O12" s="1798"/>
      <c r="P12" s="1799"/>
      <c r="Q12" s="1799"/>
      <c r="R12" s="1800"/>
    </row>
    <row r="13" spans="1:18">
      <c r="A13" s="1803"/>
      <c r="B13" s="1799"/>
      <c r="C13" s="1799"/>
      <c r="D13" s="1799"/>
      <c r="E13" s="1799"/>
      <c r="F13" s="1804"/>
      <c r="G13" s="707"/>
      <c r="H13" s="707"/>
      <c r="I13" s="707"/>
      <c r="J13" s="707"/>
      <c r="K13" s="707"/>
      <c r="L13" s="707"/>
      <c r="M13" s="707" t="s">
        <v>324</v>
      </c>
      <c r="N13" s="708"/>
      <c r="O13" s="1799"/>
      <c r="P13" s="1799"/>
      <c r="Q13" s="1799"/>
      <c r="R13" s="1800"/>
    </row>
    <row r="14" spans="1:18">
      <c r="A14" s="1810" t="s">
        <v>1961</v>
      </c>
      <c r="B14" s="1799"/>
      <c r="C14" s="1811" t="s">
        <v>875</v>
      </c>
      <c r="D14" s="1812"/>
      <c r="E14" s="1812"/>
      <c r="F14" s="1812"/>
      <c r="G14" s="1812"/>
      <c r="H14" s="1813"/>
      <c r="I14" s="712" t="s">
        <v>564</v>
      </c>
      <c r="J14" s="707"/>
      <c r="K14" s="712" t="s">
        <v>1143</v>
      </c>
      <c r="L14" s="713"/>
      <c r="M14" s="714" t="s">
        <v>326</v>
      </c>
      <c r="N14" s="708"/>
      <c r="O14" s="1799"/>
      <c r="P14" s="1799"/>
      <c r="Q14" s="1799"/>
      <c r="R14" s="1800"/>
    </row>
    <row r="15" spans="1:18">
      <c r="A15" s="1814" t="s">
        <v>90</v>
      </c>
      <c r="B15" s="1806" t="s">
        <v>566</v>
      </c>
      <c r="C15" s="717">
        <f>$G$15-4</f>
        <v>2012</v>
      </c>
      <c r="D15" s="717">
        <f>$G$15-3</f>
        <v>2013</v>
      </c>
      <c r="E15" s="717">
        <f>$G$15-2</f>
        <v>2014</v>
      </c>
      <c r="F15" s="717">
        <f>$G$15-1</f>
        <v>2015</v>
      </c>
      <c r="G15" s="717">
        <f>'SCH_I1 - Elec Only'!M14</f>
        <v>2016</v>
      </c>
      <c r="H15" s="718"/>
      <c r="I15" s="718" t="s">
        <v>568</v>
      </c>
      <c r="J15" s="718"/>
      <c r="K15" s="718" t="s">
        <v>568</v>
      </c>
      <c r="L15" s="718"/>
      <c r="M15" s="719">
        <f>SCH_I2.1!M15</f>
        <v>2019</v>
      </c>
      <c r="N15" s="719">
        <f>SCH_I2.1!N15</f>
        <v>2020</v>
      </c>
      <c r="O15" s="1799"/>
      <c r="P15" s="1799"/>
      <c r="Q15" s="1799"/>
      <c r="R15" s="1799"/>
    </row>
    <row r="16" spans="1:18">
      <c r="A16" s="1810">
        <v>1</v>
      </c>
      <c r="B16" s="1803" t="s">
        <v>1332</v>
      </c>
      <c r="C16" s="1815"/>
      <c r="D16" s="1815"/>
      <c r="E16" s="1815"/>
      <c r="F16" s="1815"/>
      <c r="G16" s="1815"/>
      <c r="H16" s="1815"/>
      <c r="I16" s="1815"/>
      <c r="J16" s="1815"/>
      <c r="K16" s="1815"/>
      <c r="L16" s="1815"/>
      <c r="M16" s="1815"/>
      <c r="N16" s="1799"/>
      <c r="O16" s="1798"/>
      <c r="P16" s="1799"/>
      <c r="Q16" s="1799"/>
      <c r="R16" s="1799"/>
    </row>
    <row r="17" spans="1:18">
      <c r="A17" s="1810">
        <v>2</v>
      </c>
      <c r="B17" s="1816" t="s">
        <v>1333</v>
      </c>
      <c r="C17" s="1799"/>
      <c r="D17" s="1799"/>
      <c r="E17" s="1799"/>
      <c r="F17" s="1799"/>
      <c r="G17" s="1799"/>
      <c r="H17" s="1799"/>
      <c r="I17" s="1799"/>
      <c r="J17" s="1799"/>
      <c r="K17" s="1799"/>
      <c r="L17" s="1799"/>
      <c r="M17" s="1799"/>
      <c r="N17" s="1799"/>
      <c r="O17" s="1798"/>
      <c r="P17" s="1799"/>
      <c r="Q17" s="1799"/>
      <c r="R17" s="1799"/>
    </row>
    <row r="18" spans="1:18">
      <c r="A18" s="1810">
        <v>3</v>
      </c>
      <c r="B18" s="721" t="s">
        <v>876</v>
      </c>
      <c r="C18" s="1799"/>
      <c r="D18" s="1799"/>
      <c r="E18" s="1799"/>
      <c r="F18" s="1799"/>
      <c r="G18" s="1799"/>
      <c r="H18" s="1799"/>
      <c r="I18" s="1799"/>
      <c r="J18" s="1799"/>
      <c r="K18" s="1799"/>
      <c r="L18" s="1799"/>
      <c r="M18" s="1799"/>
      <c r="N18" s="1799"/>
      <c r="O18" s="1798"/>
      <c r="P18" s="1799"/>
      <c r="Q18" s="1799"/>
      <c r="R18" s="1799"/>
    </row>
    <row r="19" spans="1:18">
      <c r="A19" s="1810">
        <v>4</v>
      </c>
      <c r="B19" s="1803" t="s">
        <v>1335</v>
      </c>
      <c r="C19" s="1817"/>
      <c r="D19" s="1817"/>
      <c r="E19" s="1817"/>
      <c r="F19" s="1817"/>
      <c r="G19" s="1817"/>
      <c r="H19" s="1817"/>
      <c r="I19" s="1817"/>
      <c r="J19" s="1817"/>
      <c r="K19" s="1817"/>
      <c r="L19" s="1817"/>
      <c r="M19" s="1817"/>
      <c r="N19" s="1817"/>
      <c r="O19" s="1798"/>
      <c r="P19" s="1799"/>
      <c r="Q19" s="1799"/>
      <c r="R19" s="1799"/>
    </row>
    <row r="20" spans="1:18">
      <c r="A20" s="1810">
        <v>5</v>
      </c>
      <c r="B20" s="1803" t="s">
        <v>1336</v>
      </c>
      <c r="C20" s="1817"/>
      <c r="D20" s="1817"/>
      <c r="E20" s="1817"/>
      <c r="F20" s="1817"/>
      <c r="G20" s="1817"/>
      <c r="H20" s="1817"/>
      <c r="I20" s="1817"/>
      <c r="J20" s="1817"/>
      <c r="K20" s="1817"/>
      <c r="L20" s="1817"/>
      <c r="M20" s="1817"/>
      <c r="N20" s="1817"/>
      <c r="O20" s="1798"/>
      <c r="P20" s="1799"/>
      <c r="Q20" s="1799"/>
      <c r="R20" s="1799"/>
    </row>
    <row r="21" spans="1:18">
      <c r="A21" s="1810">
        <v>6</v>
      </c>
      <c r="B21" s="1803" t="s">
        <v>1337</v>
      </c>
      <c r="C21" s="1817"/>
      <c r="D21" s="1817"/>
      <c r="E21" s="1817"/>
      <c r="F21" s="1817"/>
      <c r="G21" s="1817"/>
      <c r="H21" s="1817"/>
      <c r="I21" s="1817"/>
      <c r="J21" s="1817"/>
      <c r="K21" s="1817"/>
      <c r="L21" s="1817"/>
      <c r="M21" s="1817"/>
      <c r="N21" s="1817"/>
      <c r="O21" s="1798"/>
      <c r="P21" s="1799"/>
      <c r="Q21" s="1799"/>
      <c r="R21" s="1799"/>
    </row>
    <row r="22" spans="1:18">
      <c r="A22" s="1810">
        <v>7</v>
      </c>
      <c r="B22" s="721" t="s">
        <v>146</v>
      </c>
      <c r="C22" s="1817"/>
      <c r="D22" s="1817"/>
      <c r="E22" s="1817"/>
      <c r="F22" s="1817"/>
      <c r="G22" s="1817"/>
      <c r="H22" s="1817"/>
      <c r="I22" s="1817"/>
      <c r="J22" s="1817"/>
      <c r="K22" s="1817"/>
      <c r="L22" s="1817"/>
      <c r="M22" s="1817"/>
      <c r="N22" s="1817"/>
      <c r="O22" s="1798"/>
      <c r="P22" s="1799"/>
      <c r="Q22" s="1799"/>
      <c r="R22" s="1799"/>
    </row>
    <row r="23" spans="1:18">
      <c r="A23" s="1810">
        <v>8</v>
      </c>
      <c r="B23" s="1803" t="s">
        <v>1338</v>
      </c>
      <c r="C23" s="1818"/>
      <c r="D23" s="1818"/>
      <c r="E23" s="1818"/>
      <c r="F23" s="1818"/>
      <c r="G23" s="1818"/>
      <c r="H23" s="1818"/>
      <c r="I23" s="1818"/>
      <c r="J23" s="1818"/>
      <c r="K23" s="1818"/>
      <c r="L23" s="1818"/>
      <c r="M23" s="1818"/>
      <c r="N23" s="1818"/>
      <c r="O23" s="1798"/>
      <c r="P23" s="1799"/>
      <c r="Q23" s="1799"/>
      <c r="R23" s="1799"/>
    </row>
    <row r="24" spans="1:18">
      <c r="A24" s="1810">
        <v>9</v>
      </c>
      <c r="B24" s="721" t="s">
        <v>147</v>
      </c>
      <c r="C24" s="1819"/>
      <c r="D24" s="1819"/>
      <c r="E24" s="1819"/>
      <c r="F24" s="1819"/>
      <c r="G24" s="1819"/>
      <c r="H24" s="1819"/>
      <c r="I24" s="1819"/>
      <c r="J24" s="1819"/>
      <c r="K24" s="1819"/>
      <c r="L24" s="1819"/>
      <c r="M24" s="1819"/>
      <c r="N24" s="1819"/>
      <c r="O24" s="1798"/>
      <c r="P24" s="1799"/>
      <c r="Q24" s="1799"/>
      <c r="R24" s="1799"/>
    </row>
    <row r="25" spans="1:18">
      <c r="A25" s="1810">
        <v>10</v>
      </c>
      <c r="B25" s="1799"/>
      <c r="C25" s="1820"/>
      <c r="D25" s="1820"/>
      <c r="E25" s="1820"/>
      <c r="F25" s="1820"/>
      <c r="G25" s="1820"/>
      <c r="H25" s="1820"/>
      <c r="I25" s="1820"/>
      <c r="J25" s="1820"/>
      <c r="K25" s="1820"/>
      <c r="L25" s="1820"/>
      <c r="M25" s="1820"/>
      <c r="N25" s="1820"/>
      <c r="O25" s="1798"/>
      <c r="P25" s="1799"/>
      <c r="Q25" s="1799"/>
      <c r="R25" s="1799"/>
    </row>
    <row r="26" spans="1:18">
      <c r="A26" s="1810">
        <v>11</v>
      </c>
      <c r="B26" s="1803" t="s">
        <v>1393</v>
      </c>
      <c r="C26" s="1796"/>
      <c r="D26" s="1796"/>
      <c r="E26" s="1796"/>
      <c r="F26" s="1796"/>
      <c r="G26" s="1796"/>
      <c r="H26" s="1796"/>
      <c r="I26" s="1796"/>
      <c r="J26" s="1796"/>
      <c r="K26" s="1796"/>
      <c r="L26" s="1796"/>
      <c r="M26" s="1796"/>
      <c r="N26" s="1796"/>
      <c r="O26" s="1798"/>
      <c r="P26" s="1799"/>
      <c r="Q26" s="1799"/>
      <c r="R26" s="1799"/>
    </row>
    <row r="27" spans="1:18">
      <c r="A27" s="1810">
        <v>12</v>
      </c>
      <c r="B27" s="1816" t="s">
        <v>1394</v>
      </c>
      <c r="C27" s="1796"/>
      <c r="D27" s="1796"/>
      <c r="E27" s="1796"/>
      <c r="F27" s="1796"/>
      <c r="G27" s="1796"/>
      <c r="H27" s="1796"/>
      <c r="I27" s="1796"/>
      <c r="J27" s="1796"/>
      <c r="K27" s="1796"/>
      <c r="L27" s="1796"/>
      <c r="M27" s="1796"/>
      <c r="N27" s="1796"/>
      <c r="O27" s="1798"/>
      <c r="P27" s="1799"/>
      <c r="Q27" s="1799"/>
      <c r="R27" s="1799"/>
    </row>
    <row r="28" spans="1:18">
      <c r="A28" s="1810">
        <v>13</v>
      </c>
      <c r="B28" s="721" t="s">
        <v>876</v>
      </c>
      <c r="C28" s="1796"/>
      <c r="D28" s="792" t="s">
        <v>1927</v>
      </c>
      <c r="E28" s="1796"/>
      <c r="F28" s="1796"/>
      <c r="G28" s="1796"/>
      <c r="H28" s="1796"/>
      <c r="I28" s="1796"/>
      <c r="J28" s="1796"/>
      <c r="K28" s="1796"/>
      <c r="L28" s="1796"/>
      <c r="M28" s="1796"/>
      <c r="N28" s="1796"/>
      <c r="O28" s="1798"/>
      <c r="P28" s="1799"/>
      <c r="Q28" s="1799"/>
      <c r="R28" s="1799"/>
    </row>
    <row r="29" spans="1:18">
      <c r="A29" s="1810">
        <v>14</v>
      </c>
      <c r="B29" s="1803" t="s">
        <v>1335</v>
      </c>
      <c r="C29" s="1817"/>
      <c r="D29" s="1817"/>
      <c r="E29" s="1817"/>
      <c r="F29" s="1817"/>
      <c r="G29" s="1817"/>
      <c r="H29" s="1817"/>
      <c r="I29" s="1817"/>
      <c r="J29" s="1817"/>
      <c r="K29" s="1817"/>
      <c r="L29" s="1817"/>
      <c r="M29" s="1817"/>
      <c r="N29" s="1817"/>
      <c r="O29" s="1798"/>
      <c r="P29" s="1799"/>
      <c r="Q29" s="1799"/>
      <c r="R29" s="1799"/>
    </row>
    <row r="30" spans="1:18">
      <c r="A30" s="1810">
        <v>15</v>
      </c>
      <c r="B30" s="1803" t="s">
        <v>1336</v>
      </c>
      <c r="C30" s="1817"/>
      <c r="D30" s="1817"/>
      <c r="E30" s="1817"/>
      <c r="F30" s="1817"/>
      <c r="G30" s="1817"/>
      <c r="H30" s="1817"/>
      <c r="I30" s="1817"/>
      <c r="J30" s="1817"/>
      <c r="K30" s="1817"/>
      <c r="L30" s="1817"/>
      <c r="M30" s="1817"/>
      <c r="N30" s="1817"/>
      <c r="O30" s="1798"/>
      <c r="P30" s="1799"/>
      <c r="Q30" s="1799"/>
      <c r="R30" s="1799"/>
    </row>
    <row r="31" spans="1:18">
      <c r="A31" s="1810">
        <v>16</v>
      </c>
      <c r="B31" s="1803" t="s">
        <v>1337</v>
      </c>
      <c r="C31" s="1817"/>
      <c r="D31" s="1817"/>
      <c r="E31" s="1817"/>
      <c r="F31" s="1817"/>
      <c r="G31" s="1817"/>
      <c r="H31" s="1817"/>
      <c r="I31" s="1817"/>
      <c r="J31" s="1817"/>
      <c r="K31" s="1817"/>
      <c r="L31" s="1817"/>
      <c r="M31" s="1817"/>
      <c r="N31" s="1817"/>
      <c r="O31" s="1798"/>
      <c r="P31" s="1799"/>
      <c r="Q31" s="1799"/>
      <c r="R31" s="1799"/>
    </row>
    <row r="32" spans="1:18">
      <c r="A32" s="1810">
        <v>17</v>
      </c>
      <c r="B32" s="721" t="s">
        <v>146</v>
      </c>
      <c r="C32" s="1817"/>
      <c r="D32" s="1817"/>
      <c r="E32" s="1817"/>
      <c r="F32" s="1817"/>
      <c r="G32" s="1817"/>
      <c r="H32" s="1817"/>
      <c r="I32" s="1817"/>
      <c r="J32" s="1817"/>
      <c r="K32" s="1817"/>
      <c r="L32" s="1817"/>
      <c r="M32" s="1817"/>
      <c r="N32" s="1817"/>
      <c r="O32" s="1798"/>
      <c r="P32" s="1799"/>
      <c r="Q32" s="1799"/>
      <c r="R32" s="1799"/>
    </row>
    <row r="33" spans="1:18">
      <c r="A33" s="1810">
        <v>18</v>
      </c>
      <c r="B33" s="1803" t="s">
        <v>1338</v>
      </c>
      <c r="C33" s="1818"/>
      <c r="D33" s="1818"/>
      <c r="E33" s="1818"/>
      <c r="F33" s="1818"/>
      <c r="G33" s="1818"/>
      <c r="H33" s="1818"/>
      <c r="I33" s="1818"/>
      <c r="J33" s="1818"/>
      <c r="K33" s="1818"/>
      <c r="L33" s="1818"/>
      <c r="M33" s="1818"/>
      <c r="N33" s="1821"/>
      <c r="O33" s="1798"/>
      <c r="P33" s="1799"/>
      <c r="Q33" s="1799"/>
      <c r="R33" s="1799"/>
    </row>
    <row r="34" spans="1:18">
      <c r="A34" s="1810">
        <v>19</v>
      </c>
      <c r="B34" s="721" t="s">
        <v>147</v>
      </c>
      <c r="C34" s="1819"/>
      <c r="D34" s="1819"/>
      <c r="E34" s="1819"/>
      <c r="F34" s="1819"/>
      <c r="G34" s="1819"/>
      <c r="H34" s="1819"/>
      <c r="I34" s="1819"/>
      <c r="J34" s="1819"/>
      <c r="K34" s="1819"/>
      <c r="L34" s="1819"/>
      <c r="M34" s="1819"/>
      <c r="N34" s="1819"/>
      <c r="O34" s="1798"/>
      <c r="P34" s="1799"/>
      <c r="Q34" s="1799"/>
      <c r="R34" s="1799"/>
    </row>
    <row r="35" spans="1:18">
      <c r="A35" s="1810">
        <v>20</v>
      </c>
      <c r="B35" s="721"/>
      <c r="C35" s="828"/>
      <c r="D35" s="828"/>
      <c r="E35" s="1822"/>
      <c r="F35" s="1822"/>
      <c r="G35" s="1822"/>
      <c r="H35" s="1822"/>
      <c r="I35" s="1822"/>
      <c r="J35" s="1822"/>
      <c r="K35" s="1822"/>
      <c r="L35" s="1822"/>
      <c r="M35" s="1822"/>
      <c r="N35" s="1822"/>
      <c r="O35" s="1798"/>
      <c r="P35" s="1799"/>
      <c r="Q35" s="1799"/>
      <c r="R35" s="1799"/>
    </row>
    <row r="36" spans="1:18">
      <c r="A36" s="1810">
        <v>21</v>
      </c>
      <c r="B36" s="1803" t="s">
        <v>1395</v>
      </c>
      <c r="C36" s="1796"/>
      <c r="D36" s="1796"/>
      <c r="E36" s="1796"/>
      <c r="F36" s="1796"/>
      <c r="G36" s="1796"/>
      <c r="H36" s="1796"/>
      <c r="I36" s="1796"/>
      <c r="J36" s="1796"/>
      <c r="K36" s="1796"/>
      <c r="L36" s="1796"/>
      <c r="M36" s="1796"/>
      <c r="N36" s="1796"/>
      <c r="O36" s="1798"/>
      <c r="P36" s="1799"/>
      <c r="Q36" s="1799"/>
      <c r="R36" s="1799"/>
    </row>
    <row r="37" spans="1:18">
      <c r="A37" s="1810">
        <v>22</v>
      </c>
      <c r="B37" s="1816" t="s">
        <v>1396</v>
      </c>
      <c r="C37" s="1796"/>
      <c r="D37" s="1796"/>
      <c r="E37" s="1796"/>
      <c r="F37" s="1796"/>
      <c r="G37" s="1796"/>
      <c r="H37" s="1796"/>
      <c r="I37" s="1796"/>
      <c r="J37" s="1796"/>
      <c r="K37" s="1796"/>
      <c r="L37" s="1796"/>
      <c r="M37" s="1796"/>
      <c r="N37" s="1796"/>
      <c r="O37" s="1798"/>
      <c r="P37" s="1799"/>
      <c r="Q37" s="1799"/>
      <c r="R37" s="1799"/>
    </row>
    <row r="38" spans="1:18">
      <c r="A38" s="1810">
        <v>23</v>
      </c>
      <c r="B38" s="721" t="s">
        <v>876</v>
      </c>
      <c r="C38" s="1796"/>
      <c r="D38" s="1796"/>
      <c r="E38" s="1796"/>
      <c r="F38" s="1796"/>
      <c r="G38" s="1796"/>
      <c r="H38" s="1796"/>
      <c r="I38" s="1796"/>
      <c r="J38" s="1796"/>
      <c r="K38" s="1796"/>
      <c r="L38" s="1796"/>
      <c r="M38" s="1796"/>
      <c r="N38" s="1796"/>
      <c r="O38" s="1798"/>
      <c r="P38" s="1799"/>
      <c r="Q38" s="1799"/>
      <c r="R38" s="1799"/>
    </row>
    <row r="39" spans="1:18">
      <c r="A39" s="1810">
        <v>24</v>
      </c>
      <c r="B39" s="1803" t="s">
        <v>1335</v>
      </c>
      <c r="C39" s="1817"/>
      <c r="D39" s="1817"/>
      <c r="E39" s="1817"/>
      <c r="F39" s="1817"/>
      <c r="G39" s="1817"/>
      <c r="H39" s="1817"/>
      <c r="I39" s="1817"/>
      <c r="J39" s="1817"/>
      <c r="K39" s="1817"/>
      <c r="L39" s="1817"/>
      <c r="M39" s="1817"/>
      <c r="N39" s="1817"/>
      <c r="O39" s="1798"/>
      <c r="P39" s="1799"/>
      <c r="Q39" s="1799"/>
      <c r="R39" s="1799"/>
    </row>
    <row r="40" spans="1:18">
      <c r="A40" s="1810">
        <v>25</v>
      </c>
      <c r="B40" s="1803" t="s">
        <v>1336</v>
      </c>
      <c r="C40" s="1817"/>
      <c r="D40" s="1817"/>
      <c r="E40" s="1817"/>
      <c r="F40" s="1817"/>
      <c r="G40" s="1817"/>
      <c r="H40" s="1817"/>
      <c r="I40" s="1817"/>
      <c r="J40" s="1817"/>
      <c r="K40" s="1817"/>
      <c r="L40" s="1817"/>
      <c r="M40" s="1817"/>
      <c r="N40" s="1817"/>
      <c r="O40" s="1798"/>
      <c r="P40" s="1799"/>
      <c r="Q40" s="1799"/>
      <c r="R40" s="1799"/>
    </row>
    <row r="41" spans="1:18">
      <c r="A41" s="1810">
        <v>26</v>
      </c>
      <c r="B41" s="1803" t="s">
        <v>1337</v>
      </c>
      <c r="C41" s="1817"/>
      <c r="D41" s="1817"/>
      <c r="E41" s="1817"/>
      <c r="F41" s="1817"/>
      <c r="G41" s="1817"/>
      <c r="H41" s="1817"/>
      <c r="I41" s="1817"/>
      <c r="J41" s="1817"/>
      <c r="K41" s="1817"/>
      <c r="L41" s="1817"/>
      <c r="M41" s="1817"/>
      <c r="N41" s="1817"/>
      <c r="O41" s="1798"/>
      <c r="P41" s="1799"/>
      <c r="Q41" s="1799"/>
      <c r="R41" s="1799"/>
    </row>
    <row r="42" spans="1:18">
      <c r="A42" s="1810">
        <v>27</v>
      </c>
      <c r="B42" s="721" t="s">
        <v>146</v>
      </c>
      <c r="C42" s="1817"/>
      <c r="D42" s="1817"/>
      <c r="E42" s="1817"/>
      <c r="F42" s="1817"/>
      <c r="G42" s="1817"/>
      <c r="H42" s="1817"/>
      <c r="I42" s="1817"/>
      <c r="J42" s="1817"/>
      <c r="K42" s="1817"/>
      <c r="L42" s="1817"/>
      <c r="M42" s="1817"/>
      <c r="N42" s="1817"/>
      <c r="O42" s="1798"/>
      <c r="P42" s="1799"/>
      <c r="Q42" s="1799"/>
      <c r="R42" s="1799"/>
    </row>
    <row r="43" spans="1:18">
      <c r="A43" s="1810">
        <v>28</v>
      </c>
      <c r="B43" s="1803" t="s">
        <v>1338</v>
      </c>
      <c r="C43" s="1818"/>
      <c r="D43" s="1818"/>
      <c r="E43" s="1818"/>
      <c r="F43" s="1818"/>
      <c r="G43" s="1818"/>
      <c r="H43" s="1818"/>
      <c r="I43" s="1818"/>
      <c r="J43" s="1818"/>
      <c r="K43" s="1818"/>
      <c r="L43" s="1818"/>
      <c r="M43" s="1818"/>
      <c r="N43" s="1821"/>
      <c r="O43" s="1798"/>
      <c r="P43" s="1799"/>
      <c r="Q43" s="1799"/>
      <c r="R43" s="1799"/>
    </row>
    <row r="44" spans="1:18">
      <c r="A44" s="1810">
        <v>29</v>
      </c>
      <c r="B44" s="721" t="s">
        <v>693</v>
      </c>
      <c r="C44" s="1819"/>
      <c r="D44" s="1819"/>
      <c r="E44" s="1819"/>
      <c r="F44" s="1819"/>
      <c r="G44" s="1819"/>
      <c r="H44" s="1819"/>
      <c r="I44" s="1819"/>
      <c r="J44" s="1819"/>
      <c r="K44" s="1819"/>
      <c r="L44" s="1819"/>
      <c r="M44" s="1819"/>
      <c r="N44" s="827"/>
      <c r="O44" s="1798"/>
      <c r="P44" s="1799"/>
      <c r="Q44" s="1799"/>
      <c r="R44" s="1799"/>
    </row>
    <row r="45" spans="1:18">
      <c r="A45" s="1810">
        <v>30</v>
      </c>
      <c r="B45" s="1799"/>
      <c r="C45" s="1820"/>
      <c r="D45" s="1820"/>
      <c r="E45" s="1820"/>
      <c r="F45" s="1820"/>
      <c r="G45" s="1820"/>
      <c r="H45" s="1820"/>
      <c r="I45" s="1820"/>
      <c r="J45" s="1820"/>
      <c r="K45" s="1820"/>
      <c r="L45" s="1820"/>
      <c r="M45" s="1820"/>
      <c r="N45" s="1820"/>
      <c r="O45" s="1798"/>
      <c r="P45" s="1799"/>
      <c r="Q45" s="1799"/>
      <c r="R45" s="1799"/>
    </row>
    <row r="46" spans="1:18">
      <c r="A46" s="1810">
        <v>31</v>
      </c>
      <c r="B46" s="1803" t="s">
        <v>1397</v>
      </c>
      <c r="C46" s="1799"/>
      <c r="D46" s="1799"/>
      <c r="E46" s="1799"/>
      <c r="F46" s="1799"/>
      <c r="G46" s="1799"/>
      <c r="H46" s="1799"/>
      <c r="I46" s="1799"/>
      <c r="J46" s="1799"/>
      <c r="K46" s="1799"/>
      <c r="L46" s="1799"/>
      <c r="M46" s="1799"/>
      <c r="N46" s="1799"/>
      <c r="O46" s="1798"/>
      <c r="P46" s="1799"/>
      <c r="Q46" s="1799"/>
      <c r="R46" s="1799"/>
    </row>
    <row r="47" spans="1:18">
      <c r="A47" s="1810">
        <v>32</v>
      </c>
      <c r="B47" s="1816" t="s">
        <v>871</v>
      </c>
      <c r="C47" s="1799"/>
      <c r="D47" s="1799"/>
      <c r="E47" s="1799"/>
      <c r="F47" s="1799"/>
      <c r="G47" s="1799"/>
      <c r="H47" s="1799"/>
      <c r="I47" s="1799"/>
      <c r="J47" s="1799"/>
      <c r="K47" s="1799"/>
      <c r="L47" s="1799"/>
      <c r="M47" s="1799"/>
      <c r="N47" s="1799"/>
      <c r="O47" s="1798"/>
      <c r="P47" s="1799"/>
      <c r="Q47" s="1799"/>
      <c r="R47" s="1799"/>
    </row>
    <row r="48" spans="1:18">
      <c r="A48" s="1810">
        <v>33</v>
      </c>
      <c r="B48" s="721" t="s">
        <v>1334</v>
      </c>
      <c r="C48" s="1799"/>
      <c r="D48" s="1799"/>
      <c r="E48" s="1799"/>
      <c r="F48" s="1799"/>
      <c r="G48" s="1799"/>
      <c r="H48" s="1799"/>
      <c r="I48" s="1799"/>
      <c r="J48" s="1799"/>
      <c r="K48" s="1799"/>
      <c r="L48" s="1799"/>
      <c r="M48" s="1799"/>
      <c r="N48" s="1799"/>
      <c r="O48" s="1798"/>
      <c r="P48" s="1799"/>
      <c r="Q48" s="1799"/>
      <c r="R48" s="1799"/>
    </row>
    <row r="49" spans="1:18">
      <c r="A49" s="1810">
        <v>34</v>
      </c>
      <c r="B49" s="721" t="s">
        <v>1335</v>
      </c>
      <c r="C49" s="1823"/>
      <c r="D49" s="1823"/>
      <c r="E49" s="1823"/>
      <c r="F49" s="1823"/>
      <c r="G49" s="1823"/>
      <c r="H49" s="1823"/>
      <c r="I49" s="1823"/>
      <c r="J49" s="1823"/>
      <c r="K49" s="1823"/>
      <c r="L49" s="1823"/>
      <c r="M49" s="1823"/>
      <c r="N49" s="1823"/>
      <c r="O49" s="1798"/>
      <c r="P49" s="1799"/>
      <c r="Q49" s="1799"/>
      <c r="R49" s="1799"/>
    </row>
    <row r="50" spans="1:18">
      <c r="A50" s="1810">
        <v>35</v>
      </c>
      <c r="B50" s="721" t="s">
        <v>1336</v>
      </c>
      <c r="C50" s="1823"/>
      <c r="D50" s="1823"/>
      <c r="E50" s="1823"/>
      <c r="F50" s="1823"/>
      <c r="G50" s="1823"/>
      <c r="H50" s="1823"/>
      <c r="I50" s="1823"/>
      <c r="J50" s="1823"/>
      <c r="K50" s="1823"/>
      <c r="L50" s="1823"/>
      <c r="M50" s="1823"/>
      <c r="N50" s="1823"/>
      <c r="O50" s="1798"/>
      <c r="P50" s="1799"/>
      <c r="Q50" s="1799"/>
      <c r="R50" s="1799"/>
    </row>
    <row r="51" spans="1:18">
      <c r="A51" s="1810">
        <v>36</v>
      </c>
      <c r="B51" s="721" t="s">
        <v>1337</v>
      </c>
      <c r="C51" s="1823"/>
      <c r="D51" s="1823"/>
      <c r="E51" s="1823"/>
      <c r="F51" s="1823"/>
      <c r="G51" s="1823"/>
      <c r="H51" s="1823"/>
      <c r="I51" s="1823"/>
      <c r="J51" s="1823"/>
      <c r="K51" s="1823"/>
      <c r="L51" s="1823"/>
      <c r="M51" s="1823"/>
      <c r="N51" s="1823"/>
      <c r="O51" s="1798"/>
      <c r="P51" s="1799"/>
      <c r="Q51" s="1799"/>
      <c r="R51" s="1799"/>
    </row>
    <row r="52" spans="1:18">
      <c r="A52" s="1810">
        <v>37</v>
      </c>
      <c r="B52" s="721" t="s">
        <v>146</v>
      </c>
      <c r="C52" s="1823"/>
      <c r="D52" s="1823"/>
      <c r="E52" s="1823"/>
      <c r="F52" s="1823"/>
      <c r="G52" s="1823"/>
      <c r="H52" s="1823"/>
      <c r="I52" s="1823"/>
      <c r="J52" s="1823"/>
      <c r="K52" s="1823"/>
      <c r="L52" s="1823"/>
      <c r="M52" s="1823"/>
      <c r="N52" s="1823"/>
      <c r="O52" s="1798"/>
      <c r="P52" s="1799"/>
      <c r="Q52" s="1799"/>
      <c r="R52" s="1799"/>
    </row>
    <row r="53" spans="1:18">
      <c r="A53" s="1810"/>
      <c r="B53" s="721"/>
      <c r="C53" s="1823"/>
      <c r="D53" s="1823"/>
      <c r="E53" s="822"/>
      <c r="F53" s="822"/>
      <c r="G53" s="822"/>
      <c r="H53" s="822"/>
      <c r="I53" s="822"/>
      <c r="J53" s="822"/>
      <c r="K53" s="822"/>
      <c r="L53" s="822"/>
      <c r="M53" s="822"/>
      <c r="N53" s="822"/>
      <c r="O53" s="1798"/>
      <c r="P53" s="1799"/>
      <c r="Q53" s="1799"/>
      <c r="R53" s="1799"/>
    </row>
    <row r="54" spans="1:18">
      <c r="A54" s="1824" t="s">
        <v>872</v>
      </c>
      <c r="B54" s="1799"/>
      <c r="C54" s="1799"/>
      <c r="D54" s="1799"/>
      <c r="E54" s="1799"/>
      <c r="F54" s="1799"/>
      <c r="G54" s="1799"/>
      <c r="H54" s="1799"/>
      <c r="I54" s="1799"/>
      <c r="J54" s="1799"/>
      <c r="K54" s="1799"/>
      <c r="L54" s="1799"/>
      <c r="M54" s="1799"/>
      <c r="N54" s="1799"/>
      <c r="O54" s="1798"/>
      <c r="P54" s="1799"/>
      <c r="Q54" s="1799"/>
      <c r="R54" s="1799"/>
    </row>
    <row r="55" spans="1:18">
      <c r="A55" s="1825"/>
      <c r="B55" s="1825"/>
      <c r="C55" s="1825"/>
      <c r="D55" s="1825"/>
      <c r="E55" s="1825"/>
      <c r="F55" s="1826"/>
      <c r="G55" s="1827"/>
      <c r="H55" s="1827"/>
      <c r="I55" s="1827"/>
      <c r="J55" s="1827"/>
      <c r="K55" s="1827"/>
      <c r="L55" s="1827"/>
      <c r="M55" s="1827"/>
      <c r="N55" s="1827"/>
      <c r="O55" s="1828"/>
      <c r="P55" s="1825"/>
      <c r="Q55" s="1825"/>
      <c r="R55" s="1799"/>
    </row>
    <row r="56" spans="1:18">
      <c r="A56" s="1825"/>
      <c r="B56" s="1829"/>
      <c r="C56" s="1825"/>
      <c r="D56" s="1825"/>
      <c r="E56" s="1825"/>
      <c r="F56" s="1826"/>
      <c r="G56" s="1827"/>
      <c r="H56" s="1827"/>
      <c r="I56" s="1827"/>
      <c r="J56" s="1827"/>
      <c r="K56" s="1827"/>
      <c r="L56" s="1827"/>
      <c r="M56" s="1827"/>
      <c r="N56" s="1827"/>
      <c r="O56" s="1828"/>
      <c r="P56" s="1825"/>
      <c r="Q56" s="1825"/>
      <c r="R56" s="1799"/>
    </row>
    <row r="57" spans="1:18">
      <c r="A57" s="1825"/>
      <c r="B57" s="1830"/>
      <c r="C57" s="1825"/>
      <c r="D57" s="1825"/>
      <c r="E57" s="1825"/>
      <c r="F57" s="1826"/>
      <c r="G57" s="1827"/>
      <c r="H57" s="1827"/>
      <c r="I57" s="1827"/>
      <c r="J57" s="1827"/>
      <c r="K57" s="1827"/>
      <c r="L57" s="1827"/>
      <c r="M57" s="1827"/>
      <c r="N57" s="1827"/>
      <c r="O57" s="1828"/>
      <c r="P57" s="1825"/>
      <c r="Q57" s="1825"/>
      <c r="R57" s="1799"/>
    </row>
    <row r="58" spans="1:18">
      <c r="A58" s="1825"/>
      <c r="B58" s="1825"/>
      <c r="C58" s="1825"/>
      <c r="D58" s="1825"/>
      <c r="E58" s="1825"/>
      <c r="F58" s="1826"/>
      <c r="G58" s="1827"/>
      <c r="H58" s="1827"/>
      <c r="I58" s="1827"/>
      <c r="J58" s="1827"/>
      <c r="K58" s="1827"/>
      <c r="L58" s="1827"/>
      <c r="M58" s="1827"/>
      <c r="N58" s="1827"/>
      <c r="O58" s="1828"/>
      <c r="P58" s="1825"/>
      <c r="Q58" s="1825"/>
      <c r="R58" s="1799"/>
    </row>
    <row r="59" spans="1:18">
      <c r="A59" s="1825"/>
      <c r="B59" s="1825"/>
      <c r="C59" s="1825"/>
      <c r="D59" s="1825"/>
      <c r="E59" s="1825"/>
      <c r="F59" s="1826"/>
      <c r="G59" s="1827"/>
      <c r="H59" s="1827"/>
      <c r="I59" s="1827"/>
      <c r="J59" s="1827"/>
      <c r="K59" s="1827"/>
      <c r="L59" s="1827"/>
      <c r="M59" s="1827"/>
      <c r="N59" s="1827"/>
      <c r="O59" s="1828"/>
      <c r="P59" s="1825"/>
      <c r="Q59" s="1825"/>
      <c r="R59" s="1799"/>
    </row>
  </sheetData>
  <phoneticPr fontId="19" type="noConversion"/>
  <pageMargins left="0.75" right="0.75" top="1" bottom="1" header="0.5" footer="0.5"/>
  <pageSetup scale="59" orientation="portrait" horizontalDpi="300" verticalDpi="300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rgb="FF00B050"/>
  </sheetPr>
  <dimension ref="A1:S59"/>
  <sheetViews>
    <sheetView tabSelected="1" view="pageLayout" zoomScaleNormal="90" workbookViewId="0">
      <selection activeCell="G1" sqref="G1"/>
    </sheetView>
  </sheetViews>
  <sheetFormatPr defaultColWidth="6.85546875" defaultRowHeight="12.75"/>
  <cols>
    <col min="1" max="1" width="6.85546875" style="18" customWidth="1"/>
    <col min="2" max="2" width="34.5703125" style="18" customWidth="1"/>
    <col min="3" max="3" width="17.140625" style="18" customWidth="1"/>
    <col min="4" max="4" width="18.140625" style="18" customWidth="1"/>
    <col min="5" max="5" width="17.5703125" style="18" customWidth="1"/>
    <col min="6" max="6" width="18.42578125" style="18" customWidth="1"/>
    <col min="7" max="7" width="16.85546875" style="18" customWidth="1"/>
    <col min="8" max="8" width="1.5703125" style="18" customWidth="1"/>
    <col min="9" max="9" width="17.42578125" style="18" customWidth="1"/>
    <col min="10" max="10" width="1" style="18" customWidth="1"/>
    <col min="11" max="11" width="17.5703125" style="18" customWidth="1"/>
    <col min="12" max="12" width="1.42578125" style="18" customWidth="1"/>
    <col min="13" max="13" width="16.7109375" style="18" customWidth="1"/>
    <col min="14" max="14" width="17" style="18" customWidth="1"/>
    <col min="15" max="18" width="6.85546875" style="18" customWidth="1"/>
    <col min="19" max="19" width="11.7109375" style="18" customWidth="1"/>
    <col min="20" max="20" width="12" style="18" customWidth="1"/>
    <col min="21" max="21" width="13.85546875" style="18" customWidth="1"/>
    <col min="22" max="22" width="14.28515625" style="18" customWidth="1"/>
    <col min="23" max="23" width="14" style="18" customWidth="1"/>
    <col min="24" max="24" width="13.42578125" style="18" customWidth="1"/>
    <col min="25" max="25" width="14.140625" style="18" customWidth="1"/>
    <col min="26" max="16384" width="6.85546875" style="18"/>
  </cols>
  <sheetData>
    <row r="1" spans="1:19">
      <c r="A1" s="742" t="str">
        <f>COMPANY</f>
        <v>DUKE ENERGY KENTUCKY, INC.</v>
      </c>
      <c r="B1" s="743"/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4"/>
      <c r="P1" s="745"/>
      <c r="Q1" s="745"/>
      <c r="R1" s="746"/>
      <c r="S1" s="745"/>
    </row>
    <row r="2" spans="1:19">
      <c r="A2" s="748" t="str">
        <f>CASE</f>
        <v>CASE NO. 2017-00321</v>
      </c>
      <c r="B2" s="743"/>
      <c r="C2" s="743"/>
      <c r="D2" s="743"/>
      <c r="E2" s="743"/>
      <c r="F2" s="743"/>
      <c r="G2" s="743"/>
      <c r="H2" s="743"/>
      <c r="I2" s="743"/>
      <c r="J2" s="743"/>
      <c r="K2" s="743"/>
      <c r="L2" s="743"/>
      <c r="M2" s="743"/>
      <c r="N2" s="743"/>
      <c r="O2" s="744"/>
      <c r="P2" s="745"/>
      <c r="Q2" s="745"/>
      <c r="R2" s="746"/>
      <c r="S2" s="745"/>
    </row>
    <row r="3" spans="1:19">
      <c r="A3" s="742" t="s">
        <v>1948</v>
      </c>
      <c r="B3" s="743"/>
      <c r="C3" s="743"/>
      <c r="D3" s="743"/>
      <c r="E3" s="743"/>
      <c r="F3" s="743"/>
      <c r="G3" s="743"/>
      <c r="H3" s="743"/>
      <c r="I3" s="743"/>
      <c r="J3" s="743"/>
      <c r="K3" s="743"/>
      <c r="L3" s="743"/>
      <c r="M3" s="743"/>
      <c r="N3" s="743"/>
      <c r="O3" s="744"/>
      <c r="P3" s="745"/>
      <c r="Q3" s="745"/>
      <c r="R3" s="746"/>
      <c r="S3" s="745"/>
    </row>
    <row r="4" spans="1:19">
      <c r="A4" s="695" t="str">
        <f>PERIOD</f>
        <v>FOR THE TWELVE MONTHS ENDED NOVEMBER 30, 2017</v>
      </c>
      <c r="B4" s="743"/>
      <c r="C4" s="743"/>
      <c r="D4" s="743"/>
      <c r="E4" s="743"/>
      <c r="F4" s="743"/>
      <c r="G4" s="743"/>
      <c r="H4" s="743"/>
      <c r="I4" s="743"/>
      <c r="J4" s="743"/>
      <c r="K4" s="743"/>
      <c r="L4" s="743"/>
      <c r="M4" s="743"/>
      <c r="N4" s="743"/>
      <c r="O4" s="745"/>
      <c r="P4" s="745"/>
      <c r="Q4" s="745"/>
      <c r="R4" s="745"/>
      <c r="S4" s="745"/>
    </row>
    <row r="5" spans="1:19">
      <c r="A5" s="695" t="str">
        <f>PeriodF</f>
        <v>FOR THE TWELVE MONTHS ENDED MARCH 31, 2019</v>
      </c>
      <c r="B5" s="743"/>
      <c r="C5" s="743"/>
      <c r="D5" s="743"/>
      <c r="E5" s="743"/>
      <c r="F5" s="743"/>
      <c r="G5" s="743"/>
      <c r="H5" s="743"/>
      <c r="I5" s="743"/>
      <c r="J5" s="743"/>
      <c r="K5" s="743"/>
      <c r="L5" s="743"/>
      <c r="M5" s="743"/>
      <c r="N5" s="743"/>
      <c r="O5" s="745"/>
      <c r="P5" s="745"/>
      <c r="Q5" s="745"/>
      <c r="R5" s="745"/>
      <c r="S5" s="745"/>
    </row>
    <row r="6" spans="1:19">
      <c r="A6" s="749"/>
      <c r="B6" s="749"/>
      <c r="C6" s="749"/>
      <c r="D6" s="749"/>
      <c r="E6" s="749"/>
      <c r="F6" s="749"/>
      <c r="G6" s="743"/>
      <c r="H6" s="743"/>
      <c r="I6" s="743"/>
      <c r="J6" s="743"/>
      <c r="K6" s="743"/>
      <c r="L6" s="743"/>
      <c r="M6" s="743"/>
      <c r="N6" s="743"/>
      <c r="O6" s="744"/>
      <c r="P6" s="745"/>
      <c r="Q6" s="745"/>
      <c r="R6" s="746"/>
      <c r="S6" s="745"/>
    </row>
    <row r="7" spans="1:19">
      <c r="A7" s="750"/>
      <c r="B7" s="749"/>
      <c r="C7" s="749"/>
      <c r="D7" s="749"/>
      <c r="E7" s="749"/>
      <c r="F7" s="749"/>
      <c r="G7" s="745"/>
      <c r="H7" s="751"/>
      <c r="I7" s="751"/>
      <c r="J7" s="751"/>
      <c r="K7" s="751"/>
      <c r="L7" s="751"/>
      <c r="M7" s="751" t="s">
        <v>1928</v>
      </c>
      <c r="N7" s="743"/>
      <c r="O7" s="744"/>
      <c r="P7" s="745"/>
      <c r="Q7" s="745"/>
      <c r="R7" s="746"/>
      <c r="S7" s="752"/>
    </row>
    <row r="8" spans="1:19">
      <c r="A8" s="750"/>
      <c r="B8" s="749"/>
      <c r="C8" s="749"/>
      <c r="D8" s="749"/>
      <c r="E8" s="749"/>
      <c r="F8" s="749"/>
      <c r="G8" s="745"/>
      <c r="H8" s="751"/>
      <c r="I8" s="751"/>
      <c r="J8" s="751"/>
      <c r="K8" s="751"/>
      <c r="L8" s="751"/>
      <c r="M8" s="751" t="s">
        <v>620</v>
      </c>
      <c r="N8" s="743"/>
      <c r="O8" s="744"/>
      <c r="P8" s="745"/>
      <c r="Q8" s="745"/>
      <c r="R8" s="746"/>
      <c r="S8" s="752"/>
    </row>
    <row r="9" spans="1:19">
      <c r="A9" s="749" t="str">
        <f>DataB</f>
        <v>DATA: "X" BASE PERIOD  "X" FORECASTED PERIOD</v>
      </c>
      <c r="B9" s="749"/>
      <c r="C9" s="749"/>
      <c r="D9" s="749"/>
      <c r="E9" s="749"/>
      <c r="F9" s="753"/>
      <c r="G9" s="745"/>
      <c r="H9" s="754"/>
      <c r="I9" s="754"/>
      <c r="J9" s="754"/>
      <c r="K9" s="754"/>
      <c r="L9" s="754"/>
      <c r="M9" s="754" t="s">
        <v>622</v>
      </c>
      <c r="N9" s="743"/>
      <c r="O9" s="744"/>
      <c r="P9" s="745"/>
      <c r="Q9" s="745"/>
      <c r="R9" s="746"/>
      <c r="S9" s="752"/>
    </row>
    <row r="10" spans="1:19">
      <c r="A10" s="754" t="str">
        <f>LOGO!B15</f>
        <v xml:space="preserve">TYPE OF FILING:  "X" ORIGINAL   UPDATED    REVISED  </v>
      </c>
      <c r="B10" s="749"/>
      <c r="C10" s="749"/>
      <c r="D10" s="749"/>
      <c r="E10" s="749"/>
      <c r="F10" s="753"/>
      <c r="G10" s="745"/>
      <c r="H10" s="700"/>
      <c r="I10" s="700"/>
      <c r="J10" s="700"/>
      <c r="K10" s="700"/>
      <c r="L10" s="700"/>
      <c r="M10" s="700" t="str">
        <f>_WIT6</f>
        <v>R. H. PRATT / D. L. DOSS</v>
      </c>
      <c r="N10" s="743"/>
      <c r="O10" s="744"/>
      <c r="P10" s="745"/>
      <c r="Q10" s="745"/>
      <c r="R10" s="746"/>
      <c r="S10" s="752"/>
    </row>
    <row r="11" spans="1:19">
      <c r="A11" s="751" t="s">
        <v>1731</v>
      </c>
      <c r="B11" s="749"/>
      <c r="C11" s="749"/>
      <c r="D11" s="749"/>
      <c r="E11" s="749"/>
      <c r="F11" s="753"/>
      <c r="G11" s="743"/>
      <c r="H11" s="743"/>
      <c r="I11" s="743"/>
      <c r="J11" s="743"/>
      <c r="K11" s="743"/>
      <c r="L11" s="743"/>
      <c r="M11" s="743"/>
      <c r="N11" s="743"/>
      <c r="O11" s="744"/>
      <c r="P11" s="745"/>
      <c r="Q11" s="745"/>
      <c r="R11" s="746"/>
      <c r="S11" s="752"/>
    </row>
    <row r="12" spans="1:19">
      <c r="A12" s="755"/>
      <c r="B12" s="756"/>
      <c r="C12" s="756"/>
      <c r="D12" s="756"/>
      <c r="E12" s="756"/>
      <c r="F12" s="757"/>
      <c r="G12" s="758"/>
      <c r="H12" s="758"/>
      <c r="I12" s="758"/>
      <c r="J12" s="758"/>
      <c r="K12" s="758"/>
      <c r="L12" s="758"/>
      <c r="M12" s="758"/>
      <c r="N12" s="758"/>
      <c r="O12" s="744"/>
      <c r="P12" s="745"/>
      <c r="Q12" s="745"/>
      <c r="R12" s="746"/>
      <c r="S12" s="752"/>
    </row>
    <row r="13" spans="1:19">
      <c r="A13" s="751"/>
      <c r="B13" s="749"/>
      <c r="C13" s="749"/>
      <c r="D13" s="749"/>
      <c r="E13" s="749"/>
      <c r="F13" s="753"/>
      <c r="G13" s="743"/>
      <c r="H13" s="743"/>
      <c r="I13" s="707"/>
      <c r="J13" s="707"/>
      <c r="K13" s="707"/>
      <c r="L13" s="707"/>
      <c r="M13" s="707" t="s">
        <v>324</v>
      </c>
      <c r="N13" s="708"/>
      <c r="O13" s="744"/>
      <c r="P13" s="745"/>
      <c r="Q13" s="745"/>
      <c r="R13" s="746"/>
      <c r="S13" s="752"/>
    </row>
    <row r="14" spans="1:19">
      <c r="A14" s="759" t="s">
        <v>1961</v>
      </c>
      <c r="B14" s="749"/>
      <c r="C14" s="760" t="s">
        <v>875</v>
      </c>
      <c r="D14" s="761"/>
      <c r="E14" s="761"/>
      <c r="F14" s="761"/>
      <c r="G14" s="761"/>
      <c r="H14" s="711"/>
      <c r="I14" s="712" t="s">
        <v>564</v>
      </c>
      <c r="J14" s="707"/>
      <c r="K14" s="712" t="s">
        <v>1143</v>
      </c>
      <c r="L14" s="713"/>
      <c r="M14" s="714" t="s">
        <v>326</v>
      </c>
      <c r="N14" s="708"/>
      <c r="O14" s="744"/>
      <c r="P14" s="745"/>
      <c r="Q14" s="745"/>
      <c r="R14" s="746"/>
      <c r="S14" s="762"/>
    </row>
    <row r="15" spans="1:19">
      <c r="A15" s="763" t="s">
        <v>90</v>
      </c>
      <c r="B15" s="755" t="s">
        <v>566</v>
      </c>
      <c r="C15" s="717">
        <f>$G$15-4</f>
        <v>2012</v>
      </c>
      <c r="D15" s="717">
        <f>$G$15-3</f>
        <v>2013</v>
      </c>
      <c r="E15" s="717">
        <f>$G$15-2</f>
        <v>2014</v>
      </c>
      <c r="F15" s="717">
        <f>$G$15-1</f>
        <v>2015</v>
      </c>
      <c r="G15" s="717">
        <f>'SCH_I1 - Elec Only'!M14</f>
        <v>2016</v>
      </c>
      <c r="H15" s="717"/>
      <c r="I15" s="718" t="s">
        <v>568</v>
      </c>
      <c r="J15" s="718"/>
      <c r="K15" s="718" t="s">
        <v>568</v>
      </c>
      <c r="L15" s="718"/>
      <c r="M15" s="719">
        <f>SCH_I2.1!M15</f>
        <v>2019</v>
      </c>
      <c r="N15" s="719">
        <f>SCH_I2.1!N15</f>
        <v>2020</v>
      </c>
      <c r="O15" s="744"/>
      <c r="P15" s="745"/>
      <c r="Q15" s="745"/>
      <c r="R15" s="746"/>
      <c r="S15" s="747"/>
    </row>
    <row r="16" spans="1:19">
      <c r="A16" s="759">
        <v>1</v>
      </c>
      <c r="B16" s="751" t="s">
        <v>844</v>
      </c>
      <c r="C16" s="764"/>
      <c r="D16" s="764"/>
      <c r="E16" s="764"/>
      <c r="F16" s="764"/>
      <c r="G16" s="764"/>
      <c r="H16" s="764"/>
      <c r="I16" s="764"/>
      <c r="J16" s="764"/>
      <c r="K16" s="764"/>
      <c r="L16" s="764"/>
      <c r="M16" s="764"/>
      <c r="N16" s="745"/>
      <c r="O16" s="744"/>
      <c r="P16" s="745"/>
      <c r="Q16" s="745"/>
      <c r="R16" s="745"/>
      <c r="S16" s="745"/>
    </row>
    <row r="17" spans="1:19">
      <c r="A17" s="759">
        <v>2</v>
      </c>
      <c r="B17" s="765" t="s">
        <v>691</v>
      </c>
      <c r="C17" s="766"/>
      <c r="D17" s="766"/>
      <c r="E17" s="766"/>
      <c r="F17" s="766"/>
      <c r="G17" s="766"/>
      <c r="H17" s="745"/>
      <c r="I17" s="745"/>
      <c r="J17" s="745"/>
      <c r="K17" s="745"/>
      <c r="L17" s="745"/>
      <c r="M17" s="745"/>
      <c r="N17" s="745"/>
      <c r="O17" s="744"/>
      <c r="P17" s="745"/>
      <c r="Q17" s="745"/>
      <c r="R17" s="745"/>
      <c r="S17" s="745"/>
    </row>
    <row r="18" spans="1:19">
      <c r="A18" s="759">
        <v>3</v>
      </c>
      <c r="B18" s="721" t="s">
        <v>876</v>
      </c>
      <c r="C18" s="745"/>
      <c r="D18" s="745"/>
      <c r="E18" s="745"/>
      <c r="F18" s="745"/>
      <c r="G18" s="745"/>
      <c r="H18" s="745"/>
      <c r="I18" s="745"/>
      <c r="J18" s="745"/>
      <c r="K18" s="745"/>
      <c r="L18" s="745"/>
      <c r="M18" s="745"/>
      <c r="N18" s="745"/>
      <c r="O18" s="744"/>
      <c r="P18" s="745"/>
      <c r="Q18" s="745"/>
      <c r="R18" s="745"/>
      <c r="S18" s="745"/>
    </row>
    <row r="19" spans="1:19">
      <c r="A19" s="759">
        <v>4</v>
      </c>
      <c r="B19" s="751" t="s">
        <v>1335</v>
      </c>
      <c r="C19" s="767">
        <v>1450472324</v>
      </c>
      <c r="D19" s="767">
        <v>1465360770</v>
      </c>
      <c r="E19" s="767">
        <v>1479746219</v>
      </c>
      <c r="F19" s="767">
        <v>1445887133</v>
      </c>
      <c r="G19" s="767">
        <v>1451681665</v>
      </c>
      <c r="H19" s="767"/>
      <c r="I19" s="768">
        <f>'Base Period Cust'!O22</f>
        <v>1407184725</v>
      </c>
      <c r="J19" s="767"/>
      <c r="K19" s="768">
        <f>'KWH Sales'!C40</f>
        <v>1471515798</v>
      </c>
      <c r="L19" s="767"/>
      <c r="M19" s="767">
        <v>1478161953</v>
      </c>
      <c r="N19" s="767">
        <v>1476107673</v>
      </c>
      <c r="O19" s="744"/>
      <c r="P19" s="745"/>
      <c r="Q19" s="745"/>
      <c r="R19" s="745"/>
      <c r="S19" s="745"/>
    </row>
    <row r="20" spans="1:19">
      <c r="A20" s="759">
        <v>5</v>
      </c>
      <c r="B20" s="751" t="s">
        <v>1336</v>
      </c>
      <c r="C20" s="767">
        <v>1440387481</v>
      </c>
      <c r="D20" s="767">
        <v>1454626739</v>
      </c>
      <c r="E20" s="767">
        <v>1459943982</v>
      </c>
      <c r="F20" s="767">
        <v>1477900086</v>
      </c>
      <c r="G20" s="767">
        <v>1494014329</v>
      </c>
      <c r="H20" s="767"/>
      <c r="I20" s="768">
        <f>'Base Period Cust'!O23</f>
        <v>1467824075</v>
      </c>
      <c r="J20" s="767"/>
      <c r="K20" s="768">
        <f>'KWH Sales'!D40</f>
        <v>1492947059</v>
      </c>
      <c r="L20" s="767"/>
      <c r="M20" s="767">
        <v>1496320535</v>
      </c>
      <c r="N20" s="767">
        <v>1496304733</v>
      </c>
      <c r="O20" s="744"/>
      <c r="P20" s="745"/>
      <c r="Q20" s="745"/>
      <c r="R20" s="745"/>
      <c r="S20" s="745"/>
    </row>
    <row r="21" spans="1:19">
      <c r="A21" s="759">
        <v>6</v>
      </c>
      <c r="B21" s="751" t="s">
        <v>1337</v>
      </c>
      <c r="C21" s="767">
        <v>777512641</v>
      </c>
      <c r="D21" s="767">
        <v>808830691</v>
      </c>
      <c r="E21" s="767">
        <v>827408491</v>
      </c>
      <c r="F21" s="767">
        <v>812522102</v>
      </c>
      <c r="G21" s="767">
        <v>810977383</v>
      </c>
      <c r="H21" s="767"/>
      <c r="I21" s="768">
        <f>'Base Period Cust'!O24</f>
        <v>798108732</v>
      </c>
      <c r="J21" s="767"/>
      <c r="K21" s="768">
        <f>'KWH Sales'!E40</f>
        <v>821624557</v>
      </c>
      <c r="L21" s="767"/>
      <c r="M21" s="767">
        <v>817809513</v>
      </c>
      <c r="N21" s="767">
        <v>809607980</v>
      </c>
      <c r="O21" s="744"/>
      <c r="P21" s="745"/>
      <c r="Q21" s="745"/>
      <c r="R21" s="745"/>
      <c r="S21" s="745"/>
    </row>
    <row r="22" spans="1:19">
      <c r="A22" s="759">
        <v>7</v>
      </c>
      <c r="B22" s="721" t="s">
        <v>146</v>
      </c>
      <c r="C22" s="767">
        <v>15005759</v>
      </c>
      <c r="D22" s="767">
        <v>15362175</v>
      </c>
      <c r="E22" s="767">
        <v>15274235</v>
      </c>
      <c r="F22" s="767">
        <v>15120166</v>
      </c>
      <c r="G22" s="767">
        <f>15263851</f>
        <v>15263851</v>
      </c>
      <c r="H22" s="767"/>
      <c r="I22" s="768">
        <f>'Base Period Cust'!O25</f>
        <v>15259557</v>
      </c>
      <c r="J22" s="767"/>
      <c r="K22" s="768">
        <f>'KWH Sales'!F40</f>
        <v>15441839</v>
      </c>
      <c r="L22" s="767"/>
      <c r="M22" s="767">
        <v>15458032</v>
      </c>
      <c r="N22" s="767">
        <v>15478636</v>
      </c>
      <c r="O22" s="744"/>
      <c r="P22" s="745"/>
      <c r="Q22" s="745"/>
      <c r="R22" s="745"/>
      <c r="S22" s="745"/>
    </row>
    <row r="23" spans="1:19">
      <c r="A23" s="759">
        <v>8</v>
      </c>
      <c r="B23" s="751" t="s">
        <v>1338</v>
      </c>
      <c r="C23" s="769">
        <f>296272018+854907</f>
        <v>297126925</v>
      </c>
      <c r="D23" s="769">
        <f>289424509+872815</f>
        <v>290297324</v>
      </c>
      <c r="E23" s="769">
        <f>289830748+954135</f>
        <v>290784883</v>
      </c>
      <c r="F23" s="769">
        <f>290988320+804059</f>
        <v>291792379</v>
      </c>
      <c r="G23" s="769">
        <f>292466701+757081</f>
        <v>293223782</v>
      </c>
      <c r="H23" s="769"/>
      <c r="I23" s="770">
        <f>'Base Period Cust'!O26</f>
        <v>286542474</v>
      </c>
      <c r="J23" s="769"/>
      <c r="K23" s="770">
        <f>'KWH Sales'!G40+'KWH Sales'!I40</f>
        <v>286262212</v>
      </c>
      <c r="L23" s="769"/>
      <c r="M23" s="769">
        <v>282259183</v>
      </c>
      <c r="N23" s="769">
        <v>279199527</v>
      </c>
      <c r="O23" s="744"/>
      <c r="P23" s="745"/>
      <c r="Q23" s="745"/>
      <c r="R23" s="745"/>
      <c r="S23" s="745"/>
    </row>
    <row r="24" spans="1:19">
      <c r="A24" s="759">
        <v>9</v>
      </c>
      <c r="B24" s="721" t="s">
        <v>147</v>
      </c>
      <c r="C24" s="771">
        <f>SUM(C19:C23)</f>
        <v>3980505130</v>
      </c>
      <c r="D24" s="771">
        <f>SUM(D19:D23)</f>
        <v>4034477699</v>
      </c>
      <c r="E24" s="771">
        <f>SUM(E19:E23)</f>
        <v>4073157810</v>
      </c>
      <c r="F24" s="771">
        <f>SUM(F19:F23)</f>
        <v>4043221866</v>
      </c>
      <c r="G24" s="771">
        <f>SUM(G19:G23)</f>
        <v>4065161010</v>
      </c>
      <c r="H24" s="771"/>
      <c r="I24" s="771">
        <f>SUM(I19:I23)</f>
        <v>3974919563</v>
      </c>
      <c r="J24" s="771"/>
      <c r="K24" s="771">
        <f>SUM(K19:K23)</f>
        <v>4087791465</v>
      </c>
      <c r="L24" s="771"/>
      <c r="M24" s="771">
        <f>SUM(M19:M23)</f>
        <v>4090009216</v>
      </c>
      <c r="N24" s="771">
        <f>SUM(N19:N23)</f>
        <v>4076698549</v>
      </c>
      <c r="O24" s="744"/>
      <c r="P24" s="745"/>
      <c r="Q24" s="745"/>
      <c r="R24" s="745"/>
      <c r="S24" s="745"/>
    </row>
    <row r="25" spans="1:19">
      <c r="A25" s="759">
        <v>10</v>
      </c>
      <c r="B25" s="749"/>
      <c r="C25" s="772"/>
      <c r="D25" s="772"/>
      <c r="E25" s="772"/>
      <c r="F25" s="772"/>
      <c r="G25" s="772"/>
      <c r="H25" s="772"/>
      <c r="I25" s="772"/>
      <c r="J25" s="772"/>
      <c r="K25" s="772"/>
      <c r="L25" s="772"/>
      <c r="M25" s="772"/>
      <c r="N25" s="772"/>
      <c r="O25" s="744"/>
      <c r="P25" s="745"/>
      <c r="Q25" s="745"/>
      <c r="R25" s="745"/>
      <c r="S25" s="745"/>
    </row>
    <row r="26" spans="1:19">
      <c r="A26" s="759">
        <v>11</v>
      </c>
      <c r="B26" s="751" t="s">
        <v>1393</v>
      </c>
      <c r="C26" s="749"/>
      <c r="D26" s="749"/>
      <c r="E26" s="749"/>
      <c r="F26" s="749"/>
      <c r="G26" s="749"/>
      <c r="H26" s="749"/>
      <c r="I26" s="749"/>
      <c r="J26" s="749"/>
      <c r="K26" s="749"/>
      <c r="L26" s="749"/>
      <c r="M26" s="749"/>
      <c r="N26" s="749"/>
      <c r="O26" s="744"/>
      <c r="P26" s="745"/>
      <c r="Q26" s="745"/>
      <c r="R26" s="745"/>
      <c r="S26" s="745"/>
    </row>
    <row r="27" spans="1:19">
      <c r="A27" s="759">
        <v>12</v>
      </c>
      <c r="B27" s="765" t="s">
        <v>1394</v>
      </c>
      <c r="C27" s="749"/>
      <c r="D27" s="749"/>
      <c r="E27" s="749"/>
      <c r="F27" s="749"/>
      <c r="G27" s="749"/>
      <c r="H27" s="749"/>
      <c r="I27" s="749"/>
      <c r="J27" s="749"/>
      <c r="K27" s="749"/>
      <c r="L27" s="749"/>
      <c r="M27" s="749"/>
      <c r="N27" s="749"/>
      <c r="O27" s="744"/>
      <c r="P27" s="745"/>
      <c r="Q27" s="745"/>
      <c r="R27" s="745"/>
      <c r="S27" s="745"/>
    </row>
    <row r="28" spans="1:19">
      <c r="A28" s="759">
        <v>13</v>
      </c>
      <c r="B28" s="721" t="s">
        <v>876</v>
      </c>
      <c r="C28" s="749"/>
      <c r="D28" s="749"/>
      <c r="E28" s="749"/>
      <c r="F28" s="749"/>
      <c r="G28" s="749"/>
      <c r="H28" s="749"/>
      <c r="I28" s="749"/>
      <c r="J28" s="749"/>
      <c r="K28" s="749"/>
      <c r="L28" s="749"/>
      <c r="M28" s="749"/>
      <c r="N28" s="749"/>
      <c r="O28" s="744"/>
      <c r="P28" s="745"/>
      <c r="Q28" s="745"/>
      <c r="R28" s="745"/>
      <c r="S28" s="745"/>
    </row>
    <row r="29" spans="1:19">
      <c r="A29" s="759">
        <v>14</v>
      </c>
      <c r="B29" s="751" t="s">
        <v>1335</v>
      </c>
      <c r="C29" s="773">
        <f>SCH_I2.1!C29</f>
        <v>121585</v>
      </c>
      <c r="D29" s="773">
        <f>SCH_I2.1!D29</f>
        <v>122323</v>
      </c>
      <c r="E29" s="773">
        <f>SCH_I2.1!E29</f>
        <v>122976</v>
      </c>
      <c r="F29" s="773">
        <f>SCH_I2.1!F29</f>
        <v>123524</v>
      </c>
      <c r="G29" s="773">
        <f>SCH_I2.1!G29</f>
        <v>125166</v>
      </c>
      <c r="H29" s="773"/>
      <c r="I29" s="773">
        <f>SCH_I2.1!I29</f>
        <v>124704</v>
      </c>
      <c r="J29" s="773"/>
      <c r="K29" s="773">
        <f>SCH_I2.1!K29</f>
        <v>126016</v>
      </c>
      <c r="L29" s="773"/>
      <c r="M29" s="773">
        <f>SCH_I2.1!M29</f>
        <v>126252</v>
      </c>
      <c r="N29" s="773">
        <f>SCH_I2.1!N29</f>
        <v>126884</v>
      </c>
      <c r="O29" s="744"/>
      <c r="P29" s="745"/>
      <c r="Q29" s="745"/>
      <c r="R29" s="745"/>
      <c r="S29" s="745"/>
    </row>
    <row r="30" spans="1:19">
      <c r="A30" s="759">
        <v>15</v>
      </c>
      <c r="B30" s="751" t="s">
        <v>1336</v>
      </c>
      <c r="C30" s="773">
        <f>SCH_I2.1!C30</f>
        <v>13613</v>
      </c>
      <c r="D30" s="773">
        <f>SCH_I2.1!D30</f>
        <v>13751</v>
      </c>
      <c r="E30" s="773">
        <f>SCH_I2.1!E30</f>
        <v>13916</v>
      </c>
      <c r="F30" s="773">
        <f>SCH_I2.1!F30</f>
        <v>13881</v>
      </c>
      <c r="G30" s="773">
        <f>SCH_I2.1!G30</f>
        <v>14024</v>
      </c>
      <c r="H30" s="773"/>
      <c r="I30" s="773">
        <f>SCH_I2.1!I30</f>
        <v>14052</v>
      </c>
      <c r="J30" s="773"/>
      <c r="K30" s="773">
        <f>SCH_I2.1!K30</f>
        <v>14140</v>
      </c>
      <c r="L30" s="773"/>
      <c r="M30" s="773">
        <f>SCH_I2.1!M30</f>
        <v>14138</v>
      </c>
      <c r="N30" s="773">
        <f>SCH_I2.1!N30</f>
        <v>14160</v>
      </c>
      <c r="O30" s="744"/>
      <c r="P30" s="745"/>
      <c r="Q30" s="745"/>
      <c r="R30" s="745"/>
      <c r="S30" s="745"/>
    </row>
    <row r="31" spans="1:19">
      <c r="A31" s="759">
        <v>16</v>
      </c>
      <c r="B31" s="751" t="s">
        <v>1337</v>
      </c>
      <c r="C31" s="773">
        <f>SCH_I2.1!C31</f>
        <v>380</v>
      </c>
      <c r="D31" s="773">
        <f>SCH_I2.1!D31</f>
        <v>377</v>
      </c>
      <c r="E31" s="773">
        <f>SCH_I2.1!E31</f>
        <v>373</v>
      </c>
      <c r="F31" s="773">
        <f>SCH_I2.1!F31</f>
        <v>372</v>
      </c>
      <c r="G31" s="773">
        <f>SCH_I2.1!G31</f>
        <v>370</v>
      </c>
      <c r="H31" s="773"/>
      <c r="I31" s="773">
        <f>SCH_I2.1!I31</f>
        <v>368.23</v>
      </c>
      <c r="J31" s="773"/>
      <c r="K31" s="773">
        <f>SCH_I2.1!K31</f>
        <v>364</v>
      </c>
      <c r="L31" s="773"/>
      <c r="M31" s="773">
        <f>SCH_I2.1!M31</f>
        <v>362</v>
      </c>
      <c r="N31" s="773">
        <f>SCH_I2.1!N31</f>
        <v>360</v>
      </c>
      <c r="O31" s="744"/>
      <c r="P31" s="745"/>
      <c r="Q31" s="745"/>
      <c r="R31" s="745"/>
      <c r="S31" s="745"/>
    </row>
    <row r="32" spans="1:19">
      <c r="A32" s="759">
        <v>17</v>
      </c>
      <c r="B32" s="721" t="s">
        <v>146</v>
      </c>
      <c r="C32" s="773">
        <f>SCH_I2.1!C32</f>
        <v>425</v>
      </c>
      <c r="D32" s="773">
        <f>SCH_I2.1!D32</f>
        <v>430</v>
      </c>
      <c r="E32" s="773">
        <f>SCH_I2.1!E32</f>
        <v>437</v>
      </c>
      <c r="F32" s="773">
        <f>SCH_I2.1!F32</f>
        <v>446</v>
      </c>
      <c r="G32" s="773">
        <f>SCH_I2.1!G32</f>
        <v>447</v>
      </c>
      <c r="H32" s="773"/>
      <c r="I32" s="773">
        <f>SCH_I2.1!I32</f>
        <v>444.17</v>
      </c>
      <c r="J32" s="773"/>
      <c r="K32" s="773">
        <f>SCH_I2.1!K32</f>
        <v>445</v>
      </c>
      <c r="L32" s="773"/>
      <c r="M32" s="773">
        <f>SCH_I2.1!M32</f>
        <v>445</v>
      </c>
      <c r="N32" s="773">
        <f>SCH_I2.1!N32</f>
        <v>447</v>
      </c>
      <c r="O32" s="744"/>
      <c r="P32" s="745"/>
      <c r="Q32" s="745"/>
      <c r="R32" s="745"/>
      <c r="S32" s="745"/>
    </row>
    <row r="33" spans="1:19">
      <c r="A33" s="759">
        <v>18</v>
      </c>
      <c r="B33" s="751" t="s">
        <v>1338</v>
      </c>
      <c r="C33" s="771">
        <f>SCH_I2.1!C33</f>
        <v>961</v>
      </c>
      <c r="D33" s="771">
        <f>SCH_I2.1!D33</f>
        <v>948</v>
      </c>
      <c r="E33" s="771">
        <f>SCH_I2.1!E33</f>
        <v>955</v>
      </c>
      <c r="F33" s="771">
        <f>SCH_I2.1!F33</f>
        <v>959</v>
      </c>
      <c r="G33" s="771">
        <f>SCH_I2.1!G33</f>
        <v>959</v>
      </c>
      <c r="H33" s="771"/>
      <c r="I33" s="771">
        <f>SCH_I2.1!I33</f>
        <v>939</v>
      </c>
      <c r="J33" s="771"/>
      <c r="K33" s="771">
        <f>SCH_I2.1!K33</f>
        <v>929</v>
      </c>
      <c r="L33" s="771"/>
      <c r="M33" s="771">
        <f>SCH_I2.1!M33</f>
        <v>934</v>
      </c>
      <c r="N33" s="771">
        <f>SCH_I2.1!N33</f>
        <v>939</v>
      </c>
      <c r="O33" s="744"/>
      <c r="P33" s="745"/>
      <c r="Q33" s="745"/>
      <c r="R33" s="745"/>
      <c r="S33" s="745"/>
    </row>
    <row r="34" spans="1:19">
      <c r="A34" s="759">
        <v>19</v>
      </c>
      <c r="B34" s="721" t="s">
        <v>147</v>
      </c>
      <c r="C34" s="771">
        <f>SUM(C29:C33)</f>
        <v>136964</v>
      </c>
      <c r="D34" s="771">
        <f>SUM(D29:D33)</f>
        <v>137829</v>
      </c>
      <c r="E34" s="771">
        <f>SUM(E29:E33)</f>
        <v>138657</v>
      </c>
      <c r="F34" s="771">
        <f>SUM(F29:F33)</f>
        <v>139182</v>
      </c>
      <c r="G34" s="771">
        <f>SUM(G29:G33)</f>
        <v>140966</v>
      </c>
      <c r="H34" s="771"/>
      <c r="I34" s="771">
        <f>SUM(I29:I33)</f>
        <v>140507.40000000002</v>
      </c>
      <c r="J34" s="771"/>
      <c r="K34" s="771">
        <f>SUM(K29:K33)</f>
        <v>141894</v>
      </c>
      <c r="L34" s="771"/>
      <c r="M34" s="771">
        <f>SUM(M29:M33)</f>
        <v>142131</v>
      </c>
      <c r="N34" s="771">
        <f>SUM(N29:N33)</f>
        <v>142790</v>
      </c>
      <c r="O34" s="744"/>
      <c r="P34" s="745"/>
      <c r="Q34" s="745"/>
      <c r="R34" s="745"/>
      <c r="S34" s="745"/>
    </row>
    <row r="35" spans="1:19">
      <c r="A35" s="759">
        <v>20</v>
      </c>
      <c r="B35" s="721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74"/>
      <c r="O35" s="744"/>
      <c r="P35" s="745"/>
      <c r="Q35" s="745"/>
      <c r="R35" s="745"/>
      <c r="S35" s="745"/>
    </row>
    <row r="36" spans="1:19">
      <c r="A36" s="759">
        <v>21</v>
      </c>
      <c r="B36" s="751" t="s">
        <v>1395</v>
      </c>
      <c r="C36" s="749"/>
      <c r="D36" s="749"/>
      <c r="E36" s="749"/>
      <c r="F36" s="749"/>
      <c r="G36" s="749"/>
      <c r="H36" s="749"/>
      <c r="I36" s="749"/>
      <c r="J36" s="749"/>
      <c r="K36" s="749"/>
      <c r="L36" s="749"/>
      <c r="M36" s="749"/>
      <c r="N36" s="749"/>
      <c r="O36" s="744"/>
      <c r="P36" s="745"/>
      <c r="Q36" s="745"/>
      <c r="R36" s="745"/>
      <c r="S36" s="745"/>
    </row>
    <row r="37" spans="1:19">
      <c r="A37" s="759">
        <v>22</v>
      </c>
      <c r="B37" s="765" t="s">
        <v>796</v>
      </c>
      <c r="C37" s="749"/>
      <c r="D37" s="749"/>
      <c r="E37" s="749"/>
      <c r="F37" s="749"/>
      <c r="G37" s="749"/>
      <c r="H37" s="749"/>
      <c r="I37" s="749"/>
      <c r="J37" s="749"/>
      <c r="K37" s="749"/>
      <c r="L37" s="749"/>
      <c r="M37" s="749"/>
      <c r="N37" s="749"/>
      <c r="O37" s="744"/>
      <c r="P37" s="745"/>
      <c r="Q37" s="745"/>
      <c r="R37" s="745"/>
      <c r="S37" s="745"/>
    </row>
    <row r="38" spans="1:19">
      <c r="A38" s="759">
        <v>23</v>
      </c>
      <c r="B38" s="721" t="s">
        <v>876</v>
      </c>
      <c r="C38" s="749"/>
      <c r="D38" s="749"/>
      <c r="E38" s="749"/>
      <c r="F38" s="749"/>
      <c r="G38" s="749"/>
      <c r="H38" s="749"/>
      <c r="I38" s="749"/>
      <c r="J38" s="749"/>
      <c r="K38" s="749"/>
      <c r="L38" s="749"/>
      <c r="M38" s="749"/>
      <c r="N38" s="749"/>
      <c r="O38" s="744"/>
      <c r="P38" s="745"/>
      <c r="Q38" s="745"/>
      <c r="R38" s="745"/>
      <c r="S38" s="745"/>
    </row>
    <row r="39" spans="1:19">
      <c r="A39" s="759">
        <v>24</v>
      </c>
      <c r="B39" s="751" t="s">
        <v>1335</v>
      </c>
      <c r="C39" s="773">
        <f>SCH_I2.1!C39</f>
        <v>121088</v>
      </c>
      <c r="D39" s="773">
        <f>SCH_I2.1!D39</f>
        <v>121661</v>
      </c>
      <c r="E39" s="773">
        <f>SCH_I2.1!E39</f>
        <v>122287</v>
      </c>
      <c r="F39" s="773">
        <f>SCH_I2.1!F39</f>
        <v>122962</v>
      </c>
      <c r="G39" s="773">
        <f>SCH_I2.1!G39</f>
        <v>124307</v>
      </c>
      <c r="H39" s="773"/>
      <c r="I39" s="773">
        <f>SCH_I2.1!I39</f>
        <v>124882</v>
      </c>
      <c r="J39" s="773"/>
      <c r="K39" s="773">
        <f>SCH_I2.1!K39</f>
        <v>125257</v>
      </c>
      <c r="L39" s="773"/>
      <c r="M39" s="773">
        <f>SCH_I2.1!M39</f>
        <v>125703</v>
      </c>
      <c r="N39" s="773">
        <f>SCH_I2.1!N39</f>
        <v>126329</v>
      </c>
      <c r="O39" s="744"/>
      <c r="P39" s="745"/>
      <c r="Q39" s="745"/>
      <c r="R39" s="745"/>
      <c r="S39" s="745"/>
    </row>
    <row r="40" spans="1:19">
      <c r="A40" s="759">
        <v>25</v>
      </c>
      <c r="B40" s="751" t="s">
        <v>1336</v>
      </c>
      <c r="C40" s="773">
        <f>SCH_I2.1!C40</f>
        <v>13528</v>
      </c>
      <c r="D40" s="773">
        <f>SCH_I2.1!D40</f>
        <v>13689</v>
      </c>
      <c r="E40" s="773">
        <f>SCH_I2.1!E40</f>
        <v>13826</v>
      </c>
      <c r="F40" s="773">
        <f>SCH_I2.1!F40</f>
        <v>13873</v>
      </c>
      <c r="G40" s="773">
        <f>SCH_I2.1!G40</f>
        <v>13932</v>
      </c>
      <c r="H40" s="773"/>
      <c r="I40" s="773">
        <f>SCH_I2.1!I40</f>
        <v>13955</v>
      </c>
      <c r="J40" s="773"/>
      <c r="K40" s="773">
        <f>SCH_I2.1!K40</f>
        <v>14083</v>
      </c>
      <c r="L40" s="773"/>
      <c r="M40" s="773">
        <f>SCH_I2.1!M40</f>
        <v>14111</v>
      </c>
      <c r="N40" s="773">
        <f>SCH_I2.1!N40</f>
        <v>14137</v>
      </c>
      <c r="O40" s="744"/>
      <c r="P40" s="745"/>
      <c r="Q40" s="745"/>
      <c r="R40" s="745"/>
      <c r="S40" s="745"/>
    </row>
    <row r="41" spans="1:19">
      <c r="A41" s="759">
        <v>26</v>
      </c>
      <c r="B41" s="751" t="s">
        <v>1337</v>
      </c>
      <c r="C41" s="773">
        <f>SCH_I2.1!C41</f>
        <v>380</v>
      </c>
      <c r="D41" s="773">
        <f>SCH_I2.1!D41</f>
        <v>378</v>
      </c>
      <c r="E41" s="773">
        <f>SCH_I2.1!E41</f>
        <v>373</v>
      </c>
      <c r="F41" s="773">
        <f>SCH_I2.1!F41</f>
        <v>371</v>
      </c>
      <c r="G41" s="773">
        <f>SCH_I2.1!G41</f>
        <v>371</v>
      </c>
      <c r="H41" s="773"/>
      <c r="I41" s="773">
        <f>SCH_I2.1!I41</f>
        <v>368</v>
      </c>
      <c r="J41" s="773"/>
      <c r="K41" s="773">
        <f>SCH_I2.1!K41</f>
        <v>365</v>
      </c>
      <c r="L41" s="773"/>
      <c r="M41" s="773">
        <f>SCH_I2.1!M41</f>
        <v>363</v>
      </c>
      <c r="N41" s="773">
        <f>SCH_I2.1!N41</f>
        <v>361</v>
      </c>
      <c r="O41" s="744"/>
      <c r="P41" s="745"/>
      <c r="Q41" s="745"/>
      <c r="R41" s="745"/>
      <c r="S41" s="745"/>
    </row>
    <row r="42" spans="1:19">
      <c r="A42" s="759">
        <v>27</v>
      </c>
      <c r="B42" s="721" t="s">
        <v>146</v>
      </c>
      <c r="C42" s="773">
        <f>SCH_I2.1!C42</f>
        <v>415</v>
      </c>
      <c r="D42" s="773">
        <f>SCH_I2.1!D42</f>
        <v>431</v>
      </c>
      <c r="E42" s="773">
        <f>SCH_I2.1!E42</f>
        <v>433</v>
      </c>
      <c r="F42" s="773">
        <f>SCH_I2.1!F42</f>
        <v>441</v>
      </c>
      <c r="G42" s="773">
        <f>SCH_I2.1!G42</f>
        <v>446</v>
      </c>
      <c r="H42" s="773"/>
      <c r="I42" s="773">
        <f>SCH_I2.1!I42</f>
        <v>445</v>
      </c>
      <c r="J42" s="773"/>
      <c r="K42" s="773">
        <f>SCH_I2.1!K42</f>
        <v>444</v>
      </c>
      <c r="L42" s="773"/>
      <c r="M42" s="773">
        <f>SCH_I2.1!M42</f>
        <v>445</v>
      </c>
      <c r="N42" s="773">
        <f>SCH_I2.1!N42</f>
        <v>447</v>
      </c>
      <c r="O42" s="744"/>
      <c r="P42" s="745"/>
      <c r="Q42" s="745"/>
      <c r="R42" s="745"/>
      <c r="S42" s="745"/>
    </row>
    <row r="43" spans="1:19">
      <c r="A43" s="759">
        <v>28</v>
      </c>
      <c r="B43" s="751" t="s">
        <v>1338</v>
      </c>
      <c r="C43" s="771">
        <f>SCH_I2.1!C43</f>
        <v>966</v>
      </c>
      <c r="D43" s="771">
        <f>SCH_I2.1!D43</f>
        <v>956</v>
      </c>
      <c r="E43" s="771">
        <f>SCH_I2.1!E43</f>
        <v>950</v>
      </c>
      <c r="F43" s="771">
        <f>SCH_I2.1!F43</f>
        <v>958</v>
      </c>
      <c r="G43" s="771">
        <f>SCH_I2.1!G43</f>
        <v>958</v>
      </c>
      <c r="H43" s="771"/>
      <c r="I43" s="771">
        <f>SCH_I2.1!I43</f>
        <v>950</v>
      </c>
      <c r="J43" s="771"/>
      <c r="K43" s="771">
        <f>SCH_I2.1!K43</f>
        <v>933</v>
      </c>
      <c r="L43" s="771"/>
      <c r="M43" s="771">
        <f>SCH_I2.1!M43</f>
        <v>933</v>
      </c>
      <c r="N43" s="771">
        <f>SCH_I2.1!N43</f>
        <v>936</v>
      </c>
      <c r="O43" s="744"/>
      <c r="P43" s="745"/>
      <c r="Q43" s="745"/>
      <c r="R43" s="745"/>
      <c r="S43" s="745"/>
    </row>
    <row r="44" spans="1:19">
      <c r="A44" s="759">
        <v>29</v>
      </c>
      <c r="B44" s="721" t="s">
        <v>147</v>
      </c>
      <c r="C44" s="771">
        <f>SUM(C39:C43)</f>
        <v>136377</v>
      </c>
      <c r="D44" s="771">
        <f>SUM(D39:D43)</f>
        <v>137115</v>
      </c>
      <c r="E44" s="771">
        <f>SUM(E39:E43)</f>
        <v>137869</v>
      </c>
      <c r="F44" s="771">
        <f>SUM(F39:F43)</f>
        <v>138605</v>
      </c>
      <c r="G44" s="771">
        <f>SUM(G39:G43)</f>
        <v>140014</v>
      </c>
      <c r="H44" s="771"/>
      <c r="I44" s="771">
        <f>SUM(I39:I43)</f>
        <v>140600</v>
      </c>
      <c r="J44" s="771"/>
      <c r="K44" s="771">
        <f>SUM(K39:K43)</f>
        <v>141082</v>
      </c>
      <c r="L44" s="771"/>
      <c r="M44" s="771">
        <f>SUM(M39:M43)</f>
        <v>141555</v>
      </c>
      <c r="N44" s="771">
        <f>SUM(N39:N43)</f>
        <v>142210</v>
      </c>
      <c r="O44" s="744"/>
      <c r="P44" s="745"/>
      <c r="Q44" s="745"/>
      <c r="R44" s="745"/>
      <c r="S44" s="745"/>
    </row>
    <row r="45" spans="1:19">
      <c r="A45" s="759">
        <v>30</v>
      </c>
      <c r="B45" s="749"/>
      <c r="C45" s="772"/>
      <c r="D45" s="772"/>
      <c r="E45" s="772"/>
      <c r="F45" s="772"/>
      <c r="G45" s="772"/>
      <c r="H45" s="772"/>
      <c r="I45" s="772"/>
      <c r="J45" s="772"/>
      <c r="K45" s="772"/>
      <c r="L45" s="772"/>
      <c r="M45" s="772"/>
      <c r="N45" s="772"/>
      <c r="O45" s="744"/>
      <c r="P45" s="745"/>
      <c r="Q45" s="745"/>
      <c r="R45" s="745"/>
      <c r="S45" s="745"/>
    </row>
    <row r="46" spans="1:19">
      <c r="A46" s="759">
        <v>31</v>
      </c>
      <c r="B46" s="751" t="s">
        <v>797</v>
      </c>
      <c r="C46" s="749"/>
      <c r="D46" s="749"/>
      <c r="E46" s="749"/>
      <c r="F46" s="749"/>
      <c r="G46" s="749"/>
      <c r="H46" s="749"/>
      <c r="I46" s="749"/>
      <c r="J46" s="749"/>
      <c r="K46" s="749"/>
      <c r="L46" s="749"/>
      <c r="M46" s="749"/>
      <c r="N46" s="749"/>
      <c r="O46" s="744"/>
      <c r="P46" s="745"/>
      <c r="Q46" s="745"/>
      <c r="R46" s="745"/>
      <c r="S46" s="745"/>
    </row>
    <row r="47" spans="1:19">
      <c r="A47" s="759">
        <v>32</v>
      </c>
      <c r="B47" s="765" t="s">
        <v>692</v>
      </c>
      <c r="C47" s="749"/>
      <c r="D47" s="749"/>
      <c r="E47" s="749"/>
      <c r="F47" s="749"/>
      <c r="G47" s="749"/>
      <c r="H47" s="749"/>
      <c r="I47" s="749"/>
      <c r="J47" s="749"/>
      <c r="K47" s="749"/>
      <c r="L47" s="749"/>
      <c r="M47" s="749"/>
      <c r="N47" s="749"/>
      <c r="O47" s="744"/>
      <c r="P47" s="745"/>
      <c r="Q47" s="745"/>
      <c r="R47" s="745"/>
      <c r="S47" s="745"/>
    </row>
    <row r="48" spans="1:19">
      <c r="A48" s="759">
        <v>33</v>
      </c>
      <c r="B48" s="721" t="s">
        <v>1334</v>
      </c>
      <c r="C48" s="749"/>
      <c r="D48" s="749"/>
      <c r="E48" s="749"/>
      <c r="F48" s="749"/>
      <c r="G48" s="749"/>
      <c r="H48" s="749"/>
      <c r="I48" s="749"/>
      <c r="J48" s="749"/>
      <c r="K48" s="749"/>
      <c r="L48" s="749"/>
      <c r="M48" s="749"/>
      <c r="N48" s="749"/>
      <c r="O48" s="744"/>
      <c r="P48" s="745"/>
      <c r="Q48" s="745"/>
      <c r="R48" s="745"/>
      <c r="S48" s="745"/>
    </row>
    <row r="49" spans="1:19">
      <c r="A49" s="759">
        <v>34</v>
      </c>
      <c r="B49" s="721" t="s">
        <v>1335</v>
      </c>
      <c r="C49" s="773">
        <f t="shared" ref="C49:G52" si="0">ROUND((C19/C39),0)</f>
        <v>11979</v>
      </c>
      <c r="D49" s="773">
        <f t="shared" si="0"/>
        <v>12045</v>
      </c>
      <c r="E49" s="773">
        <f t="shared" si="0"/>
        <v>12101</v>
      </c>
      <c r="F49" s="773">
        <f t="shared" si="0"/>
        <v>11759</v>
      </c>
      <c r="G49" s="773">
        <f t="shared" si="0"/>
        <v>11678</v>
      </c>
      <c r="H49" s="773"/>
      <c r="I49" s="773">
        <f>ROUND((I19/I39),0)</f>
        <v>11268</v>
      </c>
      <c r="J49" s="773"/>
      <c r="K49" s="773">
        <f>ROUND((K19/K39),0)</f>
        <v>11748</v>
      </c>
      <c r="L49" s="773"/>
      <c r="M49" s="773">
        <f t="shared" ref="M49:N52" si="1">ROUND((M19/M39),0)</f>
        <v>11759</v>
      </c>
      <c r="N49" s="773">
        <f t="shared" si="1"/>
        <v>11685</v>
      </c>
      <c r="O49" s="744"/>
      <c r="P49" s="745"/>
      <c r="Q49" s="745"/>
      <c r="R49" s="745"/>
      <c r="S49" s="745"/>
    </row>
    <row r="50" spans="1:19">
      <c r="A50" s="759">
        <v>35</v>
      </c>
      <c r="B50" s="721" t="s">
        <v>1336</v>
      </c>
      <c r="C50" s="773">
        <f t="shared" si="0"/>
        <v>106475</v>
      </c>
      <c r="D50" s="773">
        <f t="shared" si="0"/>
        <v>106262</v>
      </c>
      <c r="E50" s="773">
        <f t="shared" si="0"/>
        <v>105594</v>
      </c>
      <c r="F50" s="773">
        <f t="shared" si="0"/>
        <v>106531</v>
      </c>
      <c r="G50" s="773">
        <f t="shared" si="0"/>
        <v>107236</v>
      </c>
      <c r="H50" s="773"/>
      <c r="I50" s="773">
        <f>ROUND((I20/I40),0)</f>
        <v>105183</v>
      </c>
      <c r="J50" s="773"/>
      <c r="K50" s="773">
        <f>ROUND((K20/K40),0)</f>
        <v>106011</v>
      </c>
      <c r="L50" s="773"/>
      <c r="M50" s="773">
        <f t="shared" si="1"/>
        <v>106039</v>
      </c>
      <c r="N50" s="773">
        <f t="shared" si="1"/>
        <v>105843</v>
      </c>
      <c r="O50" s="744"/>
      <c r="P50" s="745"/>
      <c r="Q50" s="745"/>
      <c r="R50" s="745"/>
      <c r="S50" s="745"/>
    </row>
    <row r="51" spans="1:19">
      <c r="A51" s="759">
        <v>36</v>
      </c>
      <c r="B51" s="721" t="s">
        <v>1337</v>
      </c>
      <c r="C51" s="773">
        <f t="shared" si="0"/>
        <v>2046086</v>
      </c>
      <c r="D51" s="773">
        <f t="shared" si="0"/>
        <v>2139764</v>
      </c>
      <c r="E51" s="773">
        <f t="shared" si="0"/>
        <v>2218253</v>
      </c>
      <c r="F51" s="773">
        <f t="shared" si="0"/>
        <v>2190087</v>
      </c>
      <c r="G51" s="773">
        <f t="shared" si="0"/>
        <v>2185923</v>
      </c>
      <c r="H51" s="773"/>
      <c r="I51" s="773">
        <f>ROUND((I21/I41),0)</f>
        <v>2168774</v>
      </c>
      <c r="J51" s="773"/>
      <c r="K51" s="773">
        <f>ROUND((K21/K41),0)</f>
        <v>2251026</v>
      </c>
      <c r="L51" s="773"/>
      <c r="M51" s="773">
        <f t="shared" si="1"/>
        <v>2252919</v>
      </c>
      <c r="N51" s="773">
        <f t="shared" si="1"/>
        <v>2242681</v>
      </c>
      <c r="O51" s="744"/>
      <c r="P51" s="745"/>
      <c r="Q51" s="745"/>
      <c r="R51" s="745"/>
      <c r="S51" s="745"/>
    </row>
    <row r="52" spans="1:19">
      <c r="A52" s="759">
        <v>37</v>
      </c>
      <c r="B52" s="721" t="s">
        <v>146</v>
      </c>
      <c r="C52" s="773">
        <f t="shared" si="0"/>
        <v>36158</v>
      </c>
      <c r="D52" s="773">
        <f t="shared" si="0"/>
        <v>35643</v>
      </c>
      <c r="E52" s="773">
        <f t="shared" si="0"/>
        <v>35275</v>
      </c>
      <c r="F52" s="773">
        <f t="shared" si="0"/>
        <v>34286</v>
      </c>
      <c r="G52" s="773">
        <f t="shared" si="0"/>
        <v>34224</v>
      </c>
      <c r="H52" s="773"/>
      <c r="I52" s="773">
        <f>ROUND((I22/I42),0)</f>
        <v>34291</v>
      </c>
      <c r="J52" s="773"/>
      <c r="K52" s="773">
        <f>ROUND((K22/K42),0)</f>
        <v>34779</v>
      </c>
      <c r="L52" s="773"/>
      <c r="M52" s="773">
        <f t="shared" si="1"/>
        <v>34737</v>
      </c>
      <c r="N52" s="773">
        <f t="shared" si="1"/>
        <v>34628</v>
      </c>
      <c r="O52" s="744"/>
      <c r="P52" s="745"/>
      <c r="Q52" s="745"/>
      <c r="R52" s="745"/>
      <c r="S52" s="745"/>
    </row>
    <row r="53" spans="1:19">
      <c r="A53" s="759"/>
      <c r="B53" s="721"/>
      <c r="C53" s="773"/>
      <c r="D53" s="773"/>
      <c r="E53" s="773"/>
      <c r="F53" s="773"/>
      <c r="G53" s="773"/>
      <c r="H53" s="773"/>
      <c r="I53" s="773"/>
      <c r="J53" s="773"/>
      <c r="K53" s="773"/>
      <c r="L53" s="773"/>
      <c r="M53" s="773"/>
      <c r="N53" s="773"/>
      <c r="O53" s="744"/>
      <c r="P53" s="745"/>
      <c r="Q53" s="745"/>
      <c r="R53" s="745"/>
      <c r="S53" s="745"/>
    </row>
    <row r="54" spans="1:19">
      <c r="A54" s="759"/>
      <c r="B54" s="751"/>
      <c r="C54" s="773"/>
      <c r="D54" s="773"/>
      <c r="E54" s="773"/>
      <c r="F54" s="773"/>
      <c r="G54" s="773"/>
      <c r="H54" s="773"/>
      <c r="I54" s="773"/>
      <c r="J54" s="773"/>
      <c r="K54" s="773"/>
      <c r="L54" s="773"/>
      <c r="M54" s="773"/>
      <c r="N54" s="773"/>
      <c r="O54" s="744"/>
      <c r="P54" s="745"/>
      <c r="Q54" s="745"/>
      <c r="R54" s="745"/>
      <c r="S54" s="745"/>
    </row>
    <row r="55" spans="1:19">
      <c r="A55" s="775" t="s">
        <v>2541</v>
      </c>
      <c r="B55" s="776"/>
      <c r="C55" s="773"/>
      <c r="D55" s="773"/>
      <c r="E55" s="773"/>
      <c r="F55" s="773"/>
      <c r="G55" s="773"/>
      <c r="H55" s="773"/>
      <c r="I55" s="773"/>
      <c r="J55" s="773"/>
      <c r="K55" s="773"/>
      <c r="L55" s="773"/>
      <c r="M55" s="773"/>
      <c r="N55" s="773"/>
      <c r="O55" s="744"/>
      <c r="P55" s="745"/>
      <c r="Q55" s="745"/>
      <c r="R55" s="745"/>
      <c r="S55" s="745"/>
    </row>
    <row r="56" spans="1:19">
      <c r="A56" s="777"/>
      <c r="B56" s="777"/>
      <c r="C56" s="777"/>
      <c r="D56" s="777"/>
      <c r="E56" s="777"/>
      <c r="F56" s="777"/>
      <c r="G56" s="777"/>
      <c r="H56" s="777"/>
      <c r="I56" s="777"/>
      <c r="J56" s="777"/>
      <c r="K56" s="777"/>
      <c r="L56" s="777"/>
      <c r="M56" s="777"/>
      <c r="N56" s="777"/>
      <c r="O56" s="744"/>
      <c r="P56" s="745"/>
      <c r="Q56" s="745"/>
      <c r="R56" s="745"/>
      <c r="S56" s="745"/>
    </row>
    <row r="57" spans="1:19">
      <c r="A57" s="778"/>
      <c r="B57" s="777"/>
      <c r="C57" s="777"/>
      <c r="D57" s="777"/>
      <c r="E57" s="777"/>
      <c r="F57" s="777"/>
      <c r="G57" s="777"/>
      <c r="H57" s="777"/>
      <c r="I57" s="777"/>
      <c r="J57" s="777"/>
      <c r="K57" s="777"/>
      <c r="L57" s="777"/>
      <c r="M57" s="777"/>
      <c r="N57" s="777"/>
      <c r="O57" s="744"/>
      <c r="P57" s="745"/>
      <c r="Q57" s="745"/>
      <c r="R57" s="745"/>
      <c r="S57" s="745"/>
    </row>
    <row r="58" spans="1:19">
      <c r="A58" s="779"/>
      <c r="B58" s="779"/>
      <c r="C58" s="779"/>
      <c r="D58" s="779"/>
      <c r="E58" s="779"/>
      <c r="F58" s="780"/>
      <c r="G58" s="779"/>
      <c r="H58" s="779"/>
      <c r="I58" s="779"/>
      <c r="J58" s="779"/>
      <c r="K58" s="779"/>
      <c r="L58" s="779"/>
      <c r="M58" s="779"/>
      <c r="N58" s="779"/>
      <c r="O58" s="781"/>
      <c r="P58" s="782"/>
      <c r="Q58" s="782"/>
      <c r="R58" s="745"/>
      <c r="S58" s="745"/>
    </row>
    <row r="59" spans="1:19">
      <c r="A59" s="779"/>
      <c r="B59" s="783"/>
      <c r="C59" s="784"/>
      <c r="D59" s="779"/>
      <c r="E59" s="779"/>
      <c r="F59" s="785"/>
      <c r="G59" s="784"/>
      <c r="H59" s="784"/>
      <c r="I59" s="784"/>
      <c r="J59" s="784"/>
      <c r="K59" s="784"/>
      <c r="L59" s="784"/>
      <c r="M59" s="784"/>
      <c r="N59" s="784"/>
      <c r="O59" s="781"/>
      <c r="P59" s="782"/>
      <c r="Q59" s="782"/>
      <c r="R59" s="745"/>
      <c r="S59" s="745"/>
    </row>
  </sheetData>
  <phoneticPr fontId="19" type="noConversion"/>
  <pageMargins left="0.75" right="0.75" top="1" bottom="1" header="0.5" footer="0.5"/>
  <pageSetup scale="59" orientation="portrait" horizontalDpi="300" verticalDpi="300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00B050"/>
  </sheetPr>
  <dimension ref="A1:S69"/>
  <sheetViews>
    <sheetView tabSelected="1" view="pageLayout" zoomScaleNormal="90" workbookViewId="0">
      <selection activeCell="G1" sqref="G1"/>
    </sheetView>
  </sheetViews>
  <sheetFormatPr defaultColWidth="6.85546875" defaultRowHeight="12.75"/>
  <cols>
    <col min="1" max="1" width="6.85546875" style="18" customWidth="1"/>
    <col min="2" max="2" width="34" style="18" customWidth="1"/>
    <col min="3" max="3" width="16" style="18" customWidth="1"/>
    <col min="4" max="4" width="18" style="18" customWidth="1"/>
    <col min="5" max="5" width="17.7109375" style="18" customWidth="1"/>
    <col min="6" max="6" width="19.28515625" style="18" customWidth="1"/>
    <col min="7" max="7" width="17" style="18" customWidth="1"/>
    <col min="8" max="8" width="1.140625" style="18" customWidth="1"/>
    <col min="9" max="9" width="18" style="18" customWidth="1"/>
    <col min="10" max="10" width="1.42578125" style="18" customWidth="1"/>
    <col min="11" max="11" width="16.5703125" style="18" customWidth="1"/>
    <col min="12" max="12" width="1.7109375" style="18" customWidth="1"/>
    <col min="13" max="13" width="18.5703125" style="18" customWidth="1"/>
    <col min="14" max="14" width="18.140625" style="18" customWidth="1"/>
    <col min="15" max="18" width="6.85546875" style="18" customWidth="1"/>
    <col min="19" max="19" width="11.7109375" style="18" customWidth="1"/>
    <col min="20" max="20" width="12" style="18" customWidth="1"/>
    <col min="21" max="21" width="13.85546875" style="18" customWidth="1"/>
    <col min="22" max="22" width="14.28515625" style="18" customWidth="1"/>
    <col min="23" max="23" width="14" style="18" customWidth="1"/>
    <col min="24" max="24" width="13.42578125" style="18" customWidth="1"/>
    <col min="25" max="25" width="14.140625" style="18" customWidth="1"/>
    <col min="26" max="16384" width="6.85546875" style="18"/>
  </cols>
  <sheetData>
    <row r="1" spans="1:19">
      <c r="A1" s="689" t="str">
        <f>COMPANY</f>
        <v>DUKE ENERGY KENTUCKY, INC.</v>
      </c>
      <c r="B1" s="690"/>
      <c r="C1" s="690"/>
      <c r="D1" s="690"/>
      <c r="E1" s="690"/>
      <c r="F1" s="690"/>
      <c r="G1" s="690"/>
      <c r="H1" s="690"/>
      <c r="I1" s="690"/>
      <c r="J1" s="690"/>
      <c r="K1" s="690"/>
      <c r="L1" s="690"/>
      <c r="M1" s="690"/>
      <c r="N1" s="690"/>
      <c r="O1" s="691"/>
      <c r="P1" s="541"/>
      <c r="Q1" s="541"/>
      <c r="R1" s="692"/>
      <c r="S1" s="541"/>
    </row>
    <row r="2" spans="1:19">
      <c r="A2" s="694" t="str">
        <f>CASE</f>
        <v>CASE NO. 2017-00321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1"/>
      <c r="P2" s="541"/>
      <c r="Q2" s="541"/>
      <c r="R2" s="692"/>
      <c r="S2" s="541"/>
    </row>
    <row r="3" spans="1:19">
      <c r="A3" s="689" t="s">
        <v>60</v>
      </c>
      <c r="B3" s="690"/>
      <c r="C3" s="690"/>
      <c r="D3" s="690"/>
      <c r="E3" s="690"/>
      <c r="F3" s="690"/>
      <c r="G3" s="690"/>
      <c r="H3" s="690"/>
      <c r="I3" s="690"/>
      <c r="J3" s="690"/>
      <c r="K3" s="690"/>
      <c r="L3" s="690"/>
      <c r="M3" s="690"/>
      <c r="N3" s="690"/>
      <c r="O3" s="691"/>
      <c r="P3" s="541"/>
      <c r="Q3" s="541"/>
      <c r="R3" s="692"/>
      <c r="S3" s="541"/>
    </row>
    <row r="4" spans="1:19">
      <c r="A4" s="695" t="str">
        <f>PERIOD</f>
        <v>FOR THE TWELVE MONTHS ENDED NOVEMBER 30, 2017</v>
      </c>
      <c r="B4" s="690"/>
      <c r="C4" s="690"/>
      <c r="D4" s="690"/>
      <c r="E4" s="690"/>
      <c r="F4" s="690"/>
      <c r="G4" s="690"/>
      <c r="H4" s="690"/>
      <c r="I4" s="690"/>
      <c r="J4" s="690"/>
      <c r="K4" s="690"/>
      <c r="L4" s="690"/>
      <c r="M4" s="690"/>
      <c r="N4" s="690"/>
      <c r="O4" s="541"/>
      <c r="P4" s="541"/>
      <c r="Q4" s="541"/>
      <c r="R4" s="541"/>
      <c r="S4" s="541"/>
    </row>
    <row r="5" spans="1:19">
      <c r="A5" s="695" t="str">
        <f>PeriodF</f>
        <v>FOR THE TWELVE MONTHS ENDED MARCH 31, 2019</v>
      </c>
      <c r="B5" s="690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O5" s="541"/>
      <c r="P5" s="541"/>
      <c r="Q5" s="541"/>
      <c r="R5" s="541"/>
      <c r="S5" s="541"/>
    </row>
    <row r="6" spans="1:19">
      <c r="A6" s="541"/>
      <c r="B6" s="541"/>
      <c r="C6" s="541"/>
      <c r="D6" s="541"/>
      <c r="E6" s="541"/>
      <c r="F6" s="541"/>
      <c r="G6" s="690"/>
      <c r="H6" s="690"/>
      <c r="I6" s="690"/>
      <c r="J6" s="690"/>
      <c r="K6" s="690"/>
      <c r="L6" s="690"/>
      <c r="M6" s="690"/>
      <c r="N6" s="690"/>
      <c r="O6" s="691"/>
      <c r="P6" s="541"/>
      <c r="Q6" s="541"/>
      <c r="R6" s="692"/>
      <c r="S6" s="541"/>
    </row>
    <row r="7" spans="1:19">
      <c r="A7" s="696"/>
      <c r="B7" s="541"/>
      <c r="C7" s="541"/>
      <c r="D7" s="541"/>
      <c r="E7" s="541"/>
      <c r="F7" s="541"/>
      <c r="G7" s="541"/>
      <c r="H7" s="693"/>
      <c r="I7" s="693"/>
      <c r="J7" s="693"/>
      <c r="K7" s="693"/>
      <c r="L7" s="693"/>
      <c r="M7" s="693" t="s">
        <v>798</v>
      </c>
      <c r="N7" s="690"/>
      <c r="O7" s="691"/>
      <c r="P7" s="541"/>
      <c r="Q7" s="541"/>
      <c r="R7" s="692"/>
      <c r="S7" s="697"/>
    </row>
    <row r="8" spans="1:19">
      <c r="A8" s="696"/>
      <c r="B8" s="541"/>
      <c r="C8" s="541"/>
      <c r="D8" s="541"/>
      <c r="E8" s="541"/>
      <c r="F8" s="541"/>
      <c r="G8" s="541"/>
      <c r="H8" s="693"/>
      <c r="I8" s="693"/>
      <c r="J8" s="693"/>
      <c r="K8" s="693"/>
      <c r="L8" s="693"/>
      <c r="M8" s="693" t="s">
        <v>620</v>
      </c>
      <c r="N8" s="690"/>
      <c r="O8" s="691"/>
      <c r="P8" s="541"/>
      <c r="Q8" s="541"/>
      <c r="R8" s="692"/>
      <c r="S8" s="697"/>
    </row>
    <row r="9" spans="1:19">
      <c r="A9" s="541" t="str">
        <f>DataB</f>
        <v>DATA: "X" BASE PERIOD  "X" FORECASTED PERIOD</v>
      </c>
      <c r="B9" s="541"/>
      <c r="C9" s="541"/>
      <c r="D9" s="541"/>
      <c r="E9" s="541"/>
      <c r="F9" s="698"/>
      <c r="G9" s="541"/>
      <c r="H9" s="699"/>
      <c r="I9" s="699"/>
      <c r="J9" s="699"/>
      <c r="K9" s="699"/>
      <c r="L9" s="699"/>
      <c r="M9" s="699" t="s">
        <v>622</v>
      </c>
      <c r="N9" s="690"/>
      <c r="O9" s="691"/>
      <c r="P9" s="541"/>
      <c r="Q9" s="541"/>
      <c r="R9" s="692"/>
      <c r="S9" s="697"/>
    </row>
    <row r="10" spans="1:19">
      <c r="A10" s="699" t="str">
        <f>LOGO!B15</f>
        <v xml:space="preserve">TYPE OF FILING:  "X" ORIGINAL   UPDATED    REVISED  </v>
      </c>
      <c r="B10" s="541"/>
      <c r="C10" s="541"/>
      <c r="D10" s="541"/>
      <c r="E10" s="541"/>
      <c r="F10" s="698"/>
      <c r="G10" s="541"/>
      <c r="H10" s="700"/>
      <c r="I10" s="700"/>
      <c r="J10" s="700"/>
      <c r="K10" s="700"/>
      <c r="L10" s="700"/>
      <c r="M10" s="700" t="str">
        <f>_WIT6</f>
        <v>R. H. PRATT / D. L. DOSS</v>
      </c>
      <c r="N10" s="690"/>
      <c r="O10" s="691"/>
      <c r="P10" s="541"/>
      <c r="Q10" s="541"/>
      <c r="R10" s="692"/>
      <c r="S10" s="697"/>
    </row>
    <row r="11" spans="1:19">
      <c r="A11" s="693" t="s">
        <v>1731</v>
      </c>
      <c r="B11" s="541"/>
      <c r="C11" s="541"/>
      <c r="D11" s="541"/>
      <c r="E11" s="541"/>
      <c r="F11" s="698"/>
      <c r="G11" s="690"/>
      <c r="H11" s="690"/>
      <c r="I11" s="690"/>
      <c r="J11" s="690"/>
      <c r="K11" s="690"/>
      <c r="L11" s="690"/>
      <c r="M11" s="690"/>
      <c r="N11" s="690"/>
      <c r="O11" s="691"/>
      <c r="P11" s="541"/>
      <c r="Q11" s="541"/>
      <c r="R11" s="692"/>
      <c r="S11" s="697"/>
    </row>
    <row r="12" spans="1:19">
      <c r="A12" s="701"/>
      <c r="B12" s="702"/>
      <c r="C12" s="702"/>
      <c r="D12" s="702"/>
      <c r="E12" s="702"/>
      <c r="F12" s="703"/>
      <c r="G12" s="704"/>
      <c r="H12" s="705"/>
      <c r="I12" s="704"/>
      <c r="J12" s="704"/>
      <c r="K12" s="704"/>
      <c r="L12" s="704"/>
      <c r="M12" s="704"/>
      <c r="N12" s="704"/>
      <c r="O12" s="691"/>
      <c r="P12" s="541"/>
      <c r="Q12" s="541"/>
      <c r="R12" s="692"/>
      <c r="S12" s="697"/>
    </row>
    <row r="13" spans="1:19">
      <c r="A13" s="693"/>
      <c r="B13" s="541"/>
      <c r="C13" s="541"/>
      <c r="D13" s="541"/>
      <c r="E13" s="541"/>
      <c r="F13" s="698"/>
      <c r="G13" s="690"/>
      <c r="H13" s="706"/>
      <c r="I13" s="707"/>
      <c r="J13" s="707"/>
      <c r="K13" s="707"/>
      <c r="L13" s="707"/>
      <c r="M13" s="707" t="s">
        <v>324</v>
      </c>
      <c r="N13" s="708"/>
      <c r="O13" s="691"/>
      <c r="P13" s="541"/>
      <c r="Q13" s="541"/>
      <c r="R13" s="692"/>
      <c r="S13" s="697"/>
    </row>
    <row r="14" spans="1:19">
      <c r="A14" s="697" t="s">
        <v>1961</v>
      </c>
      <c r="B14" s="541"/>
      <c r="C14" s="709" t="s">
        <v>875</v>
      </c>
      <c r="D14" s="710"/>
      <c r="E14" s="710"/>
      <c r="F14" s="710"/>
      <c r="G14" s="710"/>
      <c r="H14" s="711"/>
      <c r="I14" s="712" t="s">
        <v>564</v>
      </c>
      <c r="J14" s="707"/>
      <c r="K14" s="712" t="s">
        <v>1143</v>
      </c>
      <c r="L14" s="713"/>
      <c r="M14" s="714" t="s">
        <v>326</v>
      </c>
      <c r="N14" s="708"/>
      <c r="O14" s="691"/>
      <c r="P14" s="541"/>
      <c r="Q14" s="541"/>
      <c r="R14" s="692"/>
      <c r="S14" s="715"/>
    </row>
    <row r="15" spans="1:19">
      <c r="A15" s="716" t="s">
        <v>90</v>
      </c>
      <c r="B15" s="701" t="s">
        <v>566</v>
      </c>
      <c r="C15" s="717">
        <f>$G$15-4</f>
        <v>2012</v>
      </c>
      <c r="D15" s="717">
        <f>$G$15-3</f>
        <v>2013</v>
      </c>
      <c r="E15" s="717">
        <f>$G$15-2</f>
        <v>2014</v>
      </c>
      <c r="F15" s="717">
        <f>$G$15-1</f>
        <v>2015</v>
      </c>
      <c r="G15" s="717">
        <f>'SCH_I1 - Elec Only'!M14</f>
        <v>2016</v>
      </c>
      <c r="H15" s="717"/>
      <c r="I15" s="718" t="s">
        <v>568</v>
      </c>
      <c r="J15" s="718"/>
      <c r="K15" s="718" t="s">
        <v>568</v>
      </c>
      <c r="L15" s="718"/>
      <c r="M15" s="719">
        <f>SCH_I2.1!M15</f>
        <v>2019</v>
      </c>
      <c r="N15" s="719">
        <f>SCH_I2.1!N15</f>
        <v>2020</v>
      </c>
      <c r="O15" s="691"/>
      <c r="P15" s="541"/>
      <c r="Q15" s="541"/>
      <c r="R15" s="692"/>
      <c r="S15" s="693"/>
    </row>
    <row r="16" spans="1:19">
      <c r="A16" s="697">
        <v>1</v>
      </c>
      <c r="B16" s="693" t="s">
        <v>844</v>
      </c>
      <c r="C16" s="715"/>
      <c r="D16" s="715"/>
      <c r="E16" s="715"/>
      <c r="F16" s="715"/>
      <c r="G16" s="715"/>
      <c r="H16" s="715"/>
      <c r="I16" s="715"/>
      <c r="J16" s="715"/>
      <c r="K16" s="715"/>
      <c r="L16" s="715"/>
      <c r="M16" s="715"/>
      <c r="N16" s="541"/>
      <c r="O16" s="691"/>
      <c r="P16" s="541"/>
      <c r="Q16" s="541"/>
      <c r="R16" s="541"/>
      <c r="S16" s="541"/>
    </row>
    <row r="17" spans="1:19">
      <c r="A17" s="697">
        <v>2</v>
      </c>
      <c r="B17" s="720" t="s">
        <v>1945</v>
      </c>
      <c r="C17" s="541"/>
      <c r="D17" s="541"/>
      <c r="E17" s="541"/>
      <c r="F17" s="541"/>
      <c r="G17" s="541"/>
      <c r="H17" s="541"/>
      <c r="I17" s="541"/>
      <c r="J17" s="541"/>
      <c r="K17" s="541"/>
      <c r="L17" s="541"/>
      <c r="M17" s="541"/>
      <c r="N17" s="541"/>
      <c r="O17" s="691"/>
      <c r="P17" s="541"/>
      <c r="Q17" s="541"/>
      <c r="R17" s="541"/>
      <c r="S17" s="541"/>
    </row>
    <row r="18" spans="1:19">
      <c r="A18" s="697">
        <v>3</v>
      </c>
      <c r="B18" s="721" t="s">
        <v>876</v>
      </c>
      <c r="C18" s="541"/>
      <c r="D18" s="541"/>
      <c r="E18" s="541"/>
      <c r="F18" s="541"/>
      <c r="G18" s="541"/>
      <c r="H18" s="541"/>
      <c r="I18" s="541"/>
      <c r="J18" s="541"/>
      <c r="K18" s="541"/>
      <c r="L18" s="541"/>
      <c r="M18" s="541"/>
      <c r="N18" s="541"/>
      <c r="O18" s="691"/>
      <c r="P18" s="541"/>
      <c r="Q18" s="541"/>
      <c r="R18" s="541"/>
      <c r="S18" s="541"/>
    </row>
    <row r="19" spans="1:19">
      <c r="A19" s="697">
        <v>4</v>
      </c>
      <c r="B19" s="693" t="s">
        <v>1335</v>
      </c>
      <c r="C19" s="722"/>
      <c r="D19" s="722"/>
      <c r="E19" s="722"/>
      <c r="F19" s="722"/>
      <c r="G19" s="722"/>
      <c r="H19" s="722"/>
      <c r="I19" s="722"/>
      <c r="J19" s="722"/>
      <c r="K19" s="722"/>
      <c r="L19" s="722"/>
      <c r="M19" s="722"/>
      <c r="N19" s="722"/>
      <c r="O19" s="691"/>
      <c r="P19" s="541"/>
      <c r="Q19" s="541"/>
      <c r="R19" s="541"/>
      <c r="S19" s="541"/>
    </row>
    <row r="20" spans="1:19">
      <c r="A20" s="697">
        <v>5</v>
      </c>
      <c r="B20" s="693" t="s">
        <v>1336</v>
      </c>
      <c r="C20" s="722"/>
      <c r="D20" s="722"/>
      <c r="E20" s="722"/>
      <c r="F20" s="722"/>
      <c r="G20" s="722"/>
      <c r="H20" s="722"/>
      <c r="I20" s="722"/>
      <c r="J20" s="722"/>
      <c r="K20" s="722"/>
      <c r="L20" s="722"/>
      <c r="M20" s="722"/>
      <c r="N20" s="722"/>
      <c r="O20" s="691"/>
      <c r="P20" s="541"/>
      <c r="Q20" s="541"/>
      <c r="R20" s="541"/>
      <c r="S20" s="541"/>
    </row>
    <row r="21" spans="1:19">
      <c r="A21" s="697">
        <v>6</v>
      </c>
      <c r="B21" s="693" t="s">
        <v>1337</v>
      </c>
      <c r="C21" s="722"/>
      <c r="D21" s="722"/>
      <c r="E21" s="722"/>
      <c r="F21" s="722"/>
      <c r="G21" s="722"/>
      <c r="H21" s="722"/>
      <c r="I21" s="722"/>
      <c r="J21" s="722"/>
      <c r="K21" s="722"/>
      <c r="L21" s="722"/>
      <c r="M21" s="722"/>
      <c r="N21" s="722"/>
      <c r="O21" s="691"/>
      <c r="P21" s="541"/>
      <c r="Q21" s="541"/>
      <c r="R21" s="541"/>
      <c r="S21" s="541"/>
    </row>
    <row r="22" spans="1:19">
      <c r="A22" s="697">
        <v>7</v>
      </c>
      <c r="B22" s="721" t="s">
        <v>146</v>
      </c>
      <c r="C22" s="722"/>
      <c r="D22" s="722"/>
      <c r="E22" s="722"/>
      <c r="F22" s="722"/>
      <c r="G22" s="722"/>
      <c r="H22" s="722"/>
      <c r="I22" s="722"/>
      <c r="J22" s="722"/>
      <c r="K22" s="722"/>
      <c r="L22" s="722"/>
      <c r="M22" s="722"/>
      <c r="N22" s="722"/>
      <c r="O22" s="691"/>
      <c r="P22" s="541"/>
      <c r="Q22" s="541"/>
      <c r="R22" s="541"/>
      <c r="S22" s="541"/>
    </row>
    <row r="23" spans="1:19">
      <c r="A23" s="697">
        <v>8</v>
      </c>
      <c r="B23" s="693" t="s">
        <v>1338</v>
      </c>
      <c r="C23" s="723"/>
      <c r="D23" s="723"/>
      <c r="E23" s="723"/>
      <c r="F23" s="723"/>
      <c r="G23" s="723"/>
      <c r="H23" s="723"/>
      <c r="I23" s="724"/>
      <c r="J23" s="723"/>
      <c r="K23" s="724"/>
      <c r="L23" s="724"/>
      <c r="M23" s="724"/>
      <c r="N23" s="724"/>
      <c r="O23" s="691"/>
      <c r="P23" s="541"/>
      <c r="Q23" s="541"/>
      <c r="R23" s="541"/>
      <c r="S23" s="541"/>
    </row>
    <row r="24" spans="1:19">
      <c r="A24" s="697">
        <v>9</v>
      </c>
      <c r="B24" s="721" t="s">
        <v>147</v>
      </c>
      <c r="C24" s="724"/>
      <c r="D24" s="724"/>
      <c r="E24" s="724"/>
      <c r="F24" s="724"/>
      <c r="G24" s="724"/>
      <c r="H24" s="724"/>
      <c r="I24" s="724"/>
      <c r="J24" s="724"/>
      <c r="K24" s="724"/>
      <c r="L24" s="724"/>
      <c r="M24" s="724"/>
      <c r="N24" s="724"/>
      <c r="O24" s="691"/>
      <c r="P24" s="541"/>
      <c r="Q24" s="541"/>
      <c r="R24" s="541"/>
      <c r="S24" s="541"/>
    </row>
    <row r="25" spans="1:19">
      <c r="A25" s="697">
        <v>10</v>
      </c>
      <c r="B25" s="541"/>
      <c r="C25" s="725"/>
      <c r="D25" s="725"/>
      <c r="E25" s="725"/>
      <c r="F25" s="725"/>
      <c r="G25" s="725"/>
      <c r="H25" s="725"/>
      <c r="I25" s="725"/>
      <c r="J25" s="725"/>
      <c r="K25" s="725"/>
      <c r="L25" s="725"/>
      <c r="M25" s="725"/>
      <c r="N25" s="725"/>
      <c r="O25" s="691"/>
      <c r="P25" s="541"/>
      <c r="Q25" s="541"/>
      <c r="R25" s="541"/>
      <c r="S25" s="541"/>
    </row>
    <row r="26" spans="1:19">
      <c r="A26" s="697">
        <v>11</v>
      </c>
      <c r="B26" s="693" t="s">
        <v>1393</v>
      </c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  <c r="N26" s="541"/>
      <c r="O26" s="691"/>
      <c r="P26" s="541"/>
      <c r="Q26" s="541"/>
      <c r="R26" s="541"/>
      <c r="S26" s="541"/>
    </row>
    <row r="27" spans="1:19">
      <c r="A27" s="697">
        <v>12</v>
      </c>
      <c r="B27" s="720" t="s">
        <v>1394</v>
      </c>
      <c r="C27" s="541"/>
      <c r="D27" s="541"/>
      <c r="E27" s="541"/>
      <c r="F27" s="541"/>
      <c r="G27" s="541"/>
      <c r="H27" s="541"/>
      <c r="I27" s="541"/>
      <c r="J27" s="541"/>
      <c r="K27" s="541"/>
      <c r="L27" s="541"/>
      <c r="M27" s="541"/>
      <c r="N27" s="541"/>
      <c r="O27" s="691"/>
      <c r="P27" s="541"/>
      <c r="Q27" s="541"/>
      <c r="R27" s="541"/>
      <c r="S27" s="541"/>
    </row>
    <row r="28" spans="1:19">
      <c r="A28" s="697">
        <v>13</v>
      </c>
      <c r="B28" s="721" t="s">
        <v>876</v>
      </c>
      <c r="C28" s="541"/>
      <c r="D28" s="792" t="s">
        <v>1946</v>
      </c>
      <c r="E28" s="1796"/>
      <c r="F28" s="1796"/>
      <c r="G28" s="1796"/>
      <c r="H28" s="1796"/>
      <c r="I28" s="1796"/>
      <c r="J28" s="1796"/>
      <c r="K28" s="1796"/>
      <c r="L28" s="1796"/>
      <c r="M28" s="1796"/>
      <c r="N28" s="1796"/>
      <c r="O28" s="691"/>
      <c r="P28" s="541"/>
      <c r="Q28" s="541"/>
      <c r="R28" s="541"/>
      <c r="S28" s="541"/>
    </row>
    <row r="29" spans="1:19">
      <c r="A29" s="697">
        <v>14</v>
      </c>
      <c r="B29" s="693" t="s">
        <v>1335</v>
      </c>
      <c r="C29" s="722"/>
      <c r="D29" s="722"/>
      <c r="E29" s="722"/>
      <c r="F29" s="722"/>
      <c r="G29" s="722"/>
      <c r="H29" s="722"/>
      <c r="I29" s="722"/>
      <c r="J29" s="722"/>
      <c r="K29" s="722"/>
      <c r="L29" s="722"/>
      <c r="M29" s="722"/>
      <c r="N29" s="722"/>
      <c r="O29" s="691"/>
      <c r="P29" s="541"/>
      <c r="Q29" s="541"/>
      <c r="R29" s="541"/>
      <c r="S29" s="541"/>
    </row>
    <row r="30" spans="1:19">
      <c r="A30" s="697">
        <v>15</v>
      </c>
      <c r="B30" s="693" t="s">
        <v>1336</v>
      </c>
      <c r="C30" s="722"/>
      <c r="D30" s="722"/>
      <c r="E30" s="722"/>
      <c r="F30" s="722"/>
      <c r="G30" s="722"/>
      <c r="H30" s="722"/>
      <c r="I30" s="722"/>
      <c r="J30" s="722"/>
      <c r="K30" s="722"/>
      <c r="L30" s="722"/>
      <c r="M30" s="722"/>
      <c r="N30" s="722"/>
      <c r="O30" s="691"/>
      <c r="P30" s="541"/>
      <c r="Q30" s="541"/>
      <c r="R30" s="541"/>
      <c r="S30" s="541"/>
    </row>
    <row r="31" spans="1:19">
      <c r="A31" s="697">
        <v>16</v>
      </c>
      <c r="B31" s="693" t="s">
        <v>1337</v>
      </c>
      <c r="C31" s="722"/>
      <c r="D31" s="722"/>
      <c r="E31" s="722"/>
      <c r="F31" s="722"/>
      <c r="G31" s="722"/>
      <c r="H31" s="722"/>
      <c r="I31" s="722"/>
      <c r="J31" s="722"/>
      <c r="K31" s="722"/>
      <c r="L31" s="722"/>
      <c r="M31" s="722"/>
      <c r="N31" s="722"/>
      <c r="O31" s="691"/>
      <c r="P31" s="541"/>
      <c r="Q31" s="541"/>
      <c r="R31" s="541"/>
      <c r="S31" s="541"/>
    </row>
    <row r="32" spans="1:19">
      <c r="A32" s="697">
        <v>17</v>
      </c>
      <c r="B32" s="721" t="s">
        <v>146</v>
      </c>
      <c r="C32" s="722"/>
      <c r="D32" s="722"/>
      <c r="E32" s="722"/>
      <c r="F32" s="722"/>
      <c r="G32" s="722"/>
      <c r="H32" s="722"/>
      <c r="I32" s="722"/>
      <c r="J32" s="722"/>
      <c r="K32" s="722"/>
      <c r="L32" s="722"/>
      <c r="M32" s="722"/>
      <c r="N32" s="722"/>
      <c r="O32" s="691"/>
      <c r="P32" s="541"/>
      <c r="Q32" s="541"/>
      <c r="R32" s="541"/>
      <c r="S32" s="541"/>
    </row>
    <row r="33" spans="1:19">
      <c r="A33" s="697">
        <v>18</v>
      </c>
      <c r="B33" s="693" t="s">
        <v>1338</v>
      </c>
      <c r="C33" s="724"/>
      <c r="D33" s="724"/>
      <c r="E33" s="724"/>
      <c r="F33" s="724"/>
      <c r="G33" s="724"/>
      <c r="H33" s="724"/>
      <c r="I33" s="724"/>
      <c r="J33" s="724"/>
      <c r="K33" s="724"/>
      <c r="L33" s="724"/>
      <c r="M33" s="724"/>
      <c r="N33" s="724"/>
      <c r="O33" s="691"/>
      <c r="P33" s="541"/>
      <c r="Q33" s="541"/>
      <c r="R33" s="541"/>
      <c r="S33" s="541"/>
    </row>
    <row r="34" spans="1:19">
      <c r="A34" s="697">
        <v>19</v>
      </c>
      <c r="B34" s="721" t="s">
        <v>147</v>
      </c>
      <c r="C34" s="724"/>
      <c r="D34" s="724"/>
      <c r="E34" s="724"/>
      <c r="F34" s="724"/>
      <c r="G34" s="724"/>
      <c r="H34" s="724"/>
      <c r="I34" s="724"/>
      <c r="J34" s="724"/>
      <c r="K34" s="724"/>
      <c r="L34" s="724"/>
      <c r="M34" s="724"/>
      <c r="N34" s="724"/>
      <c r="O34" s="691"/>
      <c r="P34" s="541"/>
      <c r="Q34" s="541"/>
      <c r="R34" s="541"/>
      <c r="S34" s="541"/>
    </row>
    <row r="35" spans="1:19">
      <c r="A35" s="697">
        <v>20</v>
      </c>
      <c r="B35" s="541"/>
      <c r="C35" s="725"/>
      <c r="D35" s="725"/>
      <c r="E35" s="725"/>
      <c r="F35" s="725"/>
      <c r="G35" s="725"/>
      <c r="H35" s="725"/>
      <c r="I35" s="725"/>
      <c r="J35" s="725"/>
      <c r="K35" s="725"/>
      <c r="L35" s="725"/>
      <c r="M35" s="725"/>
      <c r="N35" s="725"/>
      <c r="O35" s="691"/>
      <c r="P35" s="541"/>
      <c r="Q35" s="541"/>
      <c r="R35" s="541"/>
      <c r="S35" s="541"/>
    </row>
    <row r="36" spans="1:19">
      <c r="A36" s="697">
        <v>21</v>
      </c>
      <c r="B36" s="693" t="s">
        <v>1395</v>
      </c>
      <c r="C36" s="541"/>
      <c r="D36" s="541"/>
      <c r="E36" s="541"/>
      <c r="F36" s="541"/>
      <c r="G36" s="541"/>
      <c r="H36" s="541"/>
      <c r="I36" s="541"/>
      <c r="J36" s="541"/>
      <c r="K36" s="541"/>
      <c r="L36" s="541"/>
      <c r="M36" s="541"/>
      <c r="N36" s="541"/>
      <c r="O36" s="691"/>
      <c r="P36" s="541"/>
      <c r="Q36" s="541"/>
      <c r="R36" s="541"/>
      <c r="S36" s="541"/>
    </row>
    <row r="37" spans="1:19">
      <c r="A37" s="697">
        <v>22</v>
      </c>
      <c r="B37" s="720" t="s">
        <v>796</v>
      </c>
      <c r="C37" s="541"/>
      <c r="D37" s="541"/>
      <c r="E37" s="541"/>
      <c r="F37" s="541"/>
      <c r="G37" s="541"/>
      <c r="H37" s="541"/>
      <c r="I37" s="541"/>
      <c r="J37" s="541"/>
      <c r="K37" s="541"/>
      <c r="L37" s="541"/>
      <c r="M37" s="541"/>
      <c r="N37" s="541"/>
      <c r="O37" s="691"/>
      <c r="P37" s="541"/>
      <c r="Q37" s="541"/>
      <c r="R37" s="541"/>
      <c r="S37" s="541"/>
    </row>
    <row r="38" spans="1:19">
      <c r="A38" s="697">
        <v>23</v>
      </c>
      <c r="B38" s="721" t="s">
        <v>876</v>
      </c>
      <c r="C38" s="541"/>
      <c r="D38" s="541"/>
      <c r="E38" s="541"/>
      <c r="F38" s="541"/>
      <c r="G38" s="541"/>
      <c r="H38" s="541"/>
      <c r="I38" s="541"/>
      <c r="J38" s="541"/>
      <c r="K38" s="541"/>
      <c r="L38" s="541"/>
      <c r="M38" s="541"/>
      <c r="N38" s="541"/>
      <c r="O38" s="691"/>
      <c r="P38" s="541"/>
      <c r="Q38" s="541"/>
      <c r="R38" s="541"/>
      <c r="S38" s="541"/>
    </row>
    <row r="39" spans="1:19">
      <c r="A39" s="697">
        <v>24</v>
      </c>
      <c r="B39" s="693" t="s">
        <v>1335</v>
      </c>
      <c r="C39" s="722"/>
      <c r="D39" s="722"/>
      <c r="E39" s="722"/>
      <c r="F39" s="722"/>
      <c r="G39" s="722"/>
      <c r="H39" s="722"/>
      <c r="I39" s="722"/>
      <c r="J39" s="722"/>
      <c r="K39" s="722"/>
      <c r="L39" s="722"/>
      <c r="M39" s="722"/>
      <c r="N39" s="722"/>
      <c r="O39" s="691"/>
      <c r="P39" s="541"/>
      <c r="Q39" s="541"/>
      <c r="R39" s="541"/>
      <c r="S39" s="541"/>
    </row>
    <row r="40" spans="1:19">
      <c r="A40" s="697">
        <v>25</v>
      </c>
      <c r="B40" s="693" t="s">
        <v>1336</v>
      </c>
      <c r="C40" s="722"/>
      <c r="D40" s="722"/>
      <c r="E40" s="722"/>
      <c r="F40" s="722"/>
      <c r="G40" s="722"/>
      <c r="H40" s="722"/>
      <c r="I40" s="722"/>
      <c r="J40" s="722"/>
      <c r="K40" s="722"/>
      <c r="L40" s="722"/>
      <c r="M40" s="722"/>
      <c r="N40" s="722"/>
      <c r="O40" s="691"/>
      <c r="P40" s="541"/>
      <c r="Q40" s="541"/>
      <c r="R40" s="541"/>
      <c r="S40" s="541"/>
    </row>
    <row r="41" spans="1:19">
      <c r="A41" s="697">
        <v>26</v>
      </c>
      <c r="B41" s="693" t="s">
        <v>1337</v>
      </c>
      <c r="C41" s="722"/>
      <c r="D41" s="722"/>
      <c r="E41" s="722"/>
      <c r="F41" s="722"/>
      <c r="G41" s="722"/>
      <c r="H41" s="722"/>
      <c r="I41" s="722"/>
      <c r="J41" s="722"/>
      <c r="K41" s="722"/>
      <c r="L41" s="722"/>
      <c r="M41" s="722"/>
      <c r="N41" s="722"/>
      <c r="O41" s="691"/>
      <c r="P41" s="541"/>
      <c r="Q41" s="541"/>
      <c r="R41" s="541"/>
      <c r="S41" s="541"/>
    </row>
    <row r="42" spans="1:19">
      <c r="A42" s="697">
        <v>27</v>
      </c>
      <c r="B42" s="721" t="s">
        <v>146</v>
      </c>
      <c r="C42" s="722"/>
      <c r="D42" s="722"/>
      <c r="E42" s="722"/>
      <c r="F42" s="722"/>
      <c r="G42" s="722"/>
      <c r="H42" s="722"/>
      <c r="I42" s="722"/>
      <c r="J42" s="722"/>
      <c r="K42" s="722"/>
      <c r="L42" s="722"/>
      <c r="M42" s="722"/>
      <c r="N42" s="722"/>
      <c r="O42" s="691"/>
      <c r="P42" s="541"/>
      <c r="Q42" s="541"/>
      <c r="R42" s="541"/>
      <c r="S42" s="541"/>
    </row>
    <row r="43" spans="1:19">
      <c r="A43" s="697">
        <v>28</v>
      </c>
      <c r="B43" s="693" t="s">
        <v>1338</v>
      </c>
      <c r="C43" s="724"/>
      <c r="D43" s="724"/>
      <c r="E43" s="724"/>
      <c r="F43" s="724"/>
      <c r="G43" s="724"/>
      <c r="H43" s="724"/>
      <c r="I43" s="724"/>
      <c r="J43" s="724"/>
      <c r="K43" s="724"/>
      <c r="L43" s="724"/>
      <c r="M43" s="724"/>
      <c r="N43" s="724"/>
      <c r="O43" s="691"/>
      <c r="P43" s="541"/>
      <c r="Q43" s="541"/>
      <c r="R43" s="541"/>
      <c r="S43" s="541"/>
    </row>
    <row r="44" spans="1:19">
      <c r="A44" s="697">
        <v>29</v>
      </c>
      <c r="B44" s="721" t="s">
        <v>147</v>
      </c>
      <c r="C44" s="724"/>
      <c r="D44" s="724"/>
      <c r="E44" s="724"/>
      <c r="F44" s="724"/>
      <c r="G44" s="724"/>
      <c r="H44" s="724"/>
      <c r="I44" s="724"/>
      <c r="J44" s="724"/>
      <c r="K44" s="724"/>
      <c r="L44" s="724"/>
      <c r="M44" s="724"/>
      <c r="N44" s="724"/>
      <c r="O44" s="691"/>
      <c r="P44" s="541"/>
      <c r="Q44" s="541"/>
      <c r="R44" s="541"/>
      <c r="S44" s="541"/>
    </row>
    <row r="45" spans="1:19">
      <c r="A45" s="697">
        <v>30</v>
      </c>
      <c r="B45" s="541"/>
      <c r="C45" s="725"/>
      <c r="D45" s="725"/>
      <c r="E45" s="725"/>
      <c r="F45" s="725"/>
      <c r="G45" s="725"/>
      <c r="H45" s="725"/>
      <c r="I45" s="725"/>
      <c r="J45" s="725"/>
      <c r="K45" s="725"/>
      <c r="L45" s="725"/>
      <c r="M45" s="725"/>
      <c r="N45" s="725"/>
      <c r="O45" s="691"/>
      <c r="P45" s="541"/>
      <c r="Q45" s="541"/>
      <c r="R45" s="541"/>
      <c r="S45" s="541"/>
    </row>
    <row r="46" spans="1:19">
      <c r="A46" s="697">
        <v>31</v>
      </c>
      <c r="B46" s="693" t="s">
        <v>797</v>
      </c>
      <c r="C46" s="541"/>
      <c r="D46" s="541"/>
      <c r="E46" s="541"/>
      <c r="F46" s="541"/>
      <c r="G46" s="541"/>
      <c r="H46" s="541"/>
      <c r="I46" s="541"/>
      <c r="J46" s="541"/>
      <c r="K46" s="541"/>
      <c r="L46" s="541"/>
      <c r="M46" s="541"/>
      <c r="N46" s="541"/>
      <c r="O46" s="691"/>
      <c r="P46" s="541"/>
      <c r="Q46" s="541"/>
      <c r="R46" s="541"/>
      <c r="S46" s="541"/>
    </row>
    <row r="47" spans="1:19">
      <c r="A47" s="697">
        <v>32</v>
      </c>
      <c r="B47" s="720" t="s">
        <v>692</v>
      </c>
      <c r="C47" s="541"/>
      <c r="D47" s="541"/>
      <c r="E47" s="541"/>
      <c r="F47" s="541"/>
      <c r="G47" s="541"/>
      <c r="H47" s="541"/>
      <c r="I47" s="541"/>
      <c r="J47" s="541"/>
      <c r="K47" s="541"/>
      <c r="L47" s="541"/>
      <c r="M47" s="541"/>
      <c r="N47" s="541"/>
      <c r="O47" s="691"/>
      <c r="P47" s="541"/>
      <c r="Q47" s="541"/>
      <c r="R47" s="541"/>
      <c r="S47" s="541"/>
    </row>
    <row r="48" spans="1:19">
      <c r="A48" s="697">
        <v>33</v>
      </c>
      <c r="B48" s="721" t="s">
        <v>1334</v>
      </c>
      <c r="C48" s="541"/>
      <c r="D48" s="541"/>
      <c r="E48" s="541"/>
      <c r="F48" s="541"/>
      <c r="G48" s="541"/>
      <c r="H48" s="541"/>
      <c r="I48" s="541"/>
      <c r="J48" s="541"/>
      <c r="K48" s="541"/>
      <c r="L48" s="541"/>
      <c r="M48" s="541"/>
      <c r="N48" s="541"/>
      <c r="O48" s="691"/>
      <c r="P48" s="541"/>
      <c r="Q48" s="541"/>
      <c r="R48" s="541"/>
      <c r="S48" s="541"/>
    </row>
    <row r="49" spans="1:19">
      <c r="A49" s="697">
        <v>34</v>
      </c>
      <c r="B49" s="721" t="s">
        <v>1335</v>
      </c>
      <c r="C49" s="722"/>
      <c r="D49" s="722"/>
      <c r="E49" s="722"/>
      <c r="F49" s="722"/>
      <c r="G49" s="722"/>
      <c r="H49" s="722"/>
      <c r="I49" s="722"/>
      <c r="J49" s="722"/>
      <c r="K49" s="722"/>
      <c r="L49" s="722"/>
      <c r="M49" s="722"/>
      <c r="N49" s="722"/>
      <c r="O49" s="691"/>
      <c r="P49" s="541"/>
      <c r="Q49" s="541"/>
      <c r="R49" s="541"/>
      <c r="S49" s="541"/>
    </row>
    <row r="50" spans="1:19">
      <c r="A50" s="697">
        <v>35</v>
      </c>
      <c r="B50" s="721" t="s">
        <v>1336</v>
      </c>
      <c r="C50" s="722"/>
      <c r="D50" s="722"/>
      <c r="E50" s="722"/>
      <c r="F50" s="722"/>
      <c r="G50" s="722"/>
      <c r="H50" s="722"/>
      <c r="I50" s="722"/>
      <c r="J50" s="722"/>
      <c r="K50" s="722"/>
      <c r="L50" s="722"/>
      <c r="M50" s="722"/>
      <c r="N50" s="722"/>
      <c r="O50" s="691"/>
      <c r="P50" s="541"/>
      <c r="Q50" s="541"/>
      <c r="R50" s="541"/>
      <c r="S50" s="541"/>
    </row>
    <row r="51" spans="1:19">
      <c r="A51" s="697">
        <v>36</v>
      </c>
      <c r="B51" s="721" t="s">
        <v>1337</v>
      </c>
      <c r="C51" s="722"/>
      <c r="D51" s="722"/>
      <c r="E51" s="722"/>
      <c r="F51" s="722"/>
      <c r="G51" s="722"/>
      <c r="H51" s="722"/>
      <c r="I51" s="722"/>
      <c r="J51" s="722"/>
      <c r="K51" s="722"/>
      <c r="L51" s="722"/>
      <c r="M51" s="722"/>
      <c r="N51" s="722"/>
      <c r="O51" s="691"/>
      <c r="P51" s="541"/>
      <c r="Q51" s="541"/>
      <c r="R51" s="541"/>
      <c r="S51" s="541"/>
    </row>
    <row r="52" spans="1:19">
      <c r="A52" s="697">
        <v>37</v>
      </c>
      <c r="B52" s="721" t="s">
        <v>146</v>
      </c>
      <c r="C52" s="722"/>
      <c r="D52" s="722"/>
      <c r="E52" s="722"/>
      <c r="F52" s="722"/>
      <c r="G52" s="722"/>
      <c r="H52" s="722"/>
      <c r="I52" s="722"/>
      <c r="J52" s="722"/>
      <c r="K52" s="722"/>
      <c r="L52" s="722"/>
      <c r="M52" s="722"/>
      <c r="N52" s="722"/>
      <c r="O52" s="691"/>
      <c r="P52" s="541"/>
      <c r="Q52" s="541"/>
      <c r="R52" s="541"/>
      <c r="S52" s="541"/>
    </row>
    <row r="53" spans="1:19">
      <c r="A53" s="684"/>
      <c r="B53" s="684"/>
      <c r="C53" s="684"/>
      <c r="D53" s="684"/>
      <c r="E53" s="684"/>
      <c r="F53" s="726"/>
      <c r="G53" s="684"/>
      <c r="H53" s="684"/>
      <c r="I53" s="684"/>
      <c r="J53" s="684"/>
      <c r="K53" s="684"/>
      <c r="L53" s="684"/>
      <c r="M53" s="684"/>
      <c r="N53" s="684"/>
      <c r="O53" s="727"/>
      <c r="P53" s="684"/>
      <c r="Q53" s="684"/>
      <c r="R53" s="541"/>
      <c r="S53" s="541"/>
    </row>
    <row r="54" spans="1:19">
      <c r="A54" s="728" t="s">
        <v>872</v>
      </c>
      <c r="B54" s="684"/>
      <c r="C54" s="684"/>
      <c r="D54" s="684"/>
      <c r="E54" s="684"/>
      <c r="F54" s="684"/>
      <c r="G54" s="684"/>
      <c r="H54" s="684"/>
      <c r="I54" s="684"/>
      <c r="J54" s="684"/>
      <c r="K54" s="684"/>
      <c r="L54" s="684"/>
      <c r="M54" s="684"/>
      <c r="N54" s="541"/>
      <c r="O54" s="727"/>
      <c r="P54" s="684"/>
      <c r="Q54" s="684"/>
      <c r="R54" s="541"/>
      <c r="S54" s="541"/>
    </row>
    <row r="55" spans="1:19">
      <c r="A55" s="729"/>
      <c r="B55" s="730"/>
      <c r="C55" s="684"/>
      <c r="D55" s="684"/>
      <c r="E55" s="684"/>
      <c r="F55" s="684"/>
      <c r="G55" s="684"/>
      <c r="H55" s="684"/>
      <c r="I55" s="684"/>
      <c r="J55" s="684"/>
      <c r="K55" s="684"/>
      <c r="L55" s="684"/>
      <c r="M55" s="684"/>
      <c r="N55" s="541"/>
      <c r="O55" s="727"/>
      <c r="P55" s="684"/>
      <c r="Q55" s="684"/>
      <c r="R55" s="541"/>
      <c r="S55" s="541"/>
    </row>
    <row r="56" spans="1:19">
      <c r="A56" s="731"/>
      <c r="B56" s="726"/>
      <c r="C56" s="732"/>
      <c r="D56" s="733"/>
      <c r="E56" s="733"/>
      <c r="F56" s="733"/>
      <c r="G56" s="733"/>
      <c r="H56" s="733"/>
      <c r="I56" s="684"/>
      <c r="J56" s="733"/>
      <c r="K56" s="684"/>
      <c r="L56" s="733"/>
      <c r="M56" s="733"/>
      <c r="N56" s="541"/>
      <c r="O56" s="727"/>
      <c r="P56" s="684"/>
      <c r="Q56" s="684"/>
      <c r="R56" s="541"/>
      <c r="S56" s="541"/>
    </row>
    <row r="57" spans="1:19">
      <c r="A57" s="731"/>
      <c r="B57" s="726"/>
      <c r="C57" s="734"/>
      <c r="D57" s="734"/>
      <c r="E57" s="734"/>
      <c r="F57" s="734"/>
      <c r="G57" s="734"/>
      <c r="H57" s="734"/>
      <c r="I57" s="735"/>
      <c r="J57" s="734"/>
      <c r="K57" s="735"/>
      <c r="L57" s="734"/>
      <c r="M57" s="734"/>
      <c r="N57" s="541"/>
      <c r="O57" s="727"/>
      <c r="P57" s="684"/>
      <c r="Q57" s="684"/>
      <c r="R57" s="541"/>
      <c r="S57" s="541"/>
    </row>
    <row r="58" spans="1:19">
      <c r="A58" s="731"/>
      <c r="B58" s="730"/>
      <c r="C58" s="736"/>
      <c r="D58" s="736"/>
      <c r="E58" s="736"/>
      <c r="F58" s="736"/>
      <c r="G58" s="736"/>
      <c r="H58" s="736"/>
      <c r="I58" s="737"/>
      <c r="J58" s="736"/>
      <c r="K58" s="737"/>
      <c r="L58" s="736"/>
      <c r="M58" s="736"/>
      <c r="N58" s="541"/>
      <c r="O58" s="684"/>
      <c r="P58" s="684"/>
      <c r="Q58" s="684"/>
      <c r="R58" s="541"/>
      <c r="S58" s="541"/>
    </row>
    <row r="59" spans="1:19">
      <c r="A59" s="731"/>
      <c r="B59" s="726"/>
      <c r="C59" s="738"/>
      <c r="D59" s="738"/>
      <c r="E59" s="738"/>
      <c r="F59" s="738"/>
      <c r="G59" s="738"/>
      <c r="H59" s="738"/>
      <c r="I59" s="738"/>
      <c r="J59" s="738"/>
      <c r="K59" s="738"/>
      <c r="L59" s="738"/>
      <c r="M59" s="738"/>
      <c r="N59" s="541"/>
      <c r="O59" s="684"/>
      <c r="P59" s="684"/>
      <c r="Q59" s="684"/>
      <c r="R59" s="541"/>
      <c r="S59" s="541"/>
    </row>
    <row r="60" spans="1:19">
      <c r="A60" s="731"/>
      <c r="B60" s="726"/>
      <c r="C60" s="738"/>
      <c r="D60" s="738"/>
      <c r="E60" s="738"/>
      <c r="F60" s="738"/>
      <c r="G60" s="738"/>
      <c r="H60" s="738"/>
      <c r="I60" s="738"/>
      <c r="J60" s="738"/>
      <c r="K60" s="738"/>
      <c r="L60" s="738"/>
      <c r="M60" s="738"/>
      <c r="N60" s="541"/>
      <c r="O60" s="684"/>
      <c r="P60" s="684"/>
      <c r="Q60" s="684"/>
      <c r="R60" s="541"/>
      <c r="S60" s="541"/>
    </row>
    <row r="61" spans="1:19">
      <c r="A61" s="731"/>
      <c r="B61" s="726"/>
      <c r="C61" s="738"/>
      <c r="D61" s="738"/>
      <c r="E61" s="738"/>
      <c r="F61" s="738"/>
      <c r="G61" s="738"/>
      <c r="H61" s="738"/>
      <c r="I61" s="738"/>
      <c r="J61" s="738"/>
      <c r="K61" s="738"/>
      <c r="L61" s="738"/>
      <c r="M61" s="738"/>
      <c r="N61" s="541"/>
      <c r="O61" s="684"/>
      <c r="P61" s="684"/>
      <c r="Q61" s="684"/>
      <c r="R61" s="541"/>
      <c r="S61" s="541"/>
    </row>
    <row r="62" spans="1:19">
      <c r="A62" s="731"/>
      <c r="B62" s="726"/>
      <c r="C62" s="739"/>
      <c r="D62" s="739"/>
      <c r="E62" s="739"/>
      <c r="F62" s="739"/>
      <c r="G62" s="739"/>
      <c r="H62" s="739"/>
      <c r="I62" s="739"/>
      <c r="J62" s="739"/>
      <c r="K62" s="739"/>
      <c r="L62" s="739"/>
      <c r="M62" s="739"/>
      <c r="N62" s="541"/>
      <c r="O62" s="684"/>
      <c r="P62" s="684"/>
      <c r="Q62" s="684"/>
      <c r="R62" s="541"/>
      <c r="S62" s="541"/>
    </row>
    <row r="63" spans="1:19">
      <c r="A63" s="731"/>
      <c r="B63" s="726"/>
      <c r="C63" s="740"/>
      <c r="D63" s="740"/>
      <c r="E63" s="740"/>
      <c r="F63" s="740"/>
      <c r="G63" s="740"/>
      <c r="H63" s="740"/>
      <c r="I63" s="740"/>
      <c r="J63" s="740"/>
      <c r="K63" s="740"/>
      <c r="L63" s="740"/>
      <c r="M63" s="740"/>
      <c r="N63" s="541"/>
      <c r="O63" s="684"/>
      <c r="P63" s="684"/>
      <c r="Q63" s="684"/>
      <c r="R63" s="541"/>
      <c r="S63" s="541"/>
    </row>
    <row r="64" spans="1:19">
      <c r="A64" s="731"/>
      <c r="B64" s="684"/>
      <c r="C64" s="741"/>
      <c r="D64" s="741"/>
      <c r="E64" s="741"/>
      <c r="F64" s="741"/>
      <c r="G64" s="741"/>
      <c r="H64" s="741"/>
      <c r="I64" s="741"/>
      <c r="J64" s="741"/>
      <c r="K64" s="741"/>
      <c r="L64" s="741"/>
      <c r="M64" s="741"/>
      <c r="N64" s="541"/>
      <c r="O64" s="684"/>
      <c r="P64" s="684"/>
      <c r="Q64" s="684"/>
      <c r="R64" s="541"/>
      <c r="S64" s="541"/>
    </row>
    <row r="65" spans="1:19">
      <c r="A65" s="731"/>
      <c r="B65" s="726"/>
      <c r="C65" s="684"/>
      <c r="D65" s="684"/>
      <c r="E65" s="684"/>
      <c r="F65" s="684"/>
      <c r="G65" s="684"/>
      <c r="H65" s="684"/>
      <c r="I65" s="684"/>
      <c r="J65" s="684"/>
      <c r="K65" s="684"/>
      <c r="L65" s="684"/>
      <c r="M65" s="684"/>
      <c r="N65" s="541"/>
      <c r="O65" s="684"/>
      <c r="P65" s="684"/>
      <c r="Q65" s="684"/>
      <c r="R65" s="541"/>
      <c r="S65" s="541"/>
    </row>
    <row r="66" spans="1:19">
      <c r="A66" s="731"/>
      <c r="B66" s="730"/>
      <c r="C66" s="684"/>
      <c r="D66" s="684"/>
      <c r="E66" s="684"/>
      <c r="F66" s="684"/>
      <c r="G66" s="684"/>
      <c r="H66" s="684"/>
      <c r="I66" s="684"/>
      <c r="J66" s="684"/>
      <c r="K66" s="684"/>
      <c r="L66" s="684"/>
      <c r="M66" s="684"/>
      <c r="N66" s="541"/>
      <c r="O66" s="684"/>
      <c r="P66" s="684"/>
      <c r="Q66" s="684"/>
      <c r="R66" s="541"/>
      <c r="S66" s="541"/>
    </row>
    <row r="67" spans="1:19">
      <c r="A67" s="731"/>
      <c r="B67" s="726"/>
      <c r="C67" s="738"/>
      <c r="D67" s="738"/>
      <c r="E67" s="738"/>
      <c r="F67" s="738"/>
      <c r="G67" s="738"/>
      <c r="H67" s="738"/>
      <c r="I67" s="738"/>
      <c r="J67" s="738"/>
      <c r="K67" s="738"/>
      <c r="L67" s="738"/>
      <c r="M67" s="738"/>
      <c r="N67" s="541"/>
      <c r="O67" s="684"/>
      <c r="P67" s="684"/>
      <c r="Q67" s="684"/>
      <c r="R67" s="541"/>
      <c r="S67" s="541"/>
    </row>
    <row r="68" spans="1:19">
      <c r="A68" s="731"/>
      <c r="B68" s="726"/>
      <c r="C68" s="738"/>
      <c r="D68" s="738"/>
      <c r="E68" s="738"/>
      <c r="F68" s="738"/>
      <c r="G68" s="738"/>
      <c r="H68" s="738"/>
      <c r="I68" s="738"/>
      <c r="J68" s="738"/>
      <c r="K68" s="738"/>
      <c r="L68" s="738"/>
      <c r="M68" s="738"/>
      <c r="N68" s="541"/>
      <c r="O68" s="684"/>
      <c r="P68" s="684"/>
      <c r="Q68" s="684"/>
      <c r="R68" s="541"/>
      <c r="S68" s="541"/>
    </row>
    <row r="69" spans="1:19">
      <c r="A69" s="731"/>
      <c r="B69" s="726"/>
      <c r="C69" s="738"/>
      <c r="D69" s="738"/>
      <c r="E69" s="738"/>
      <c r="F69" s="738"/>
      <c r="G69" s="738"/>
      <c r="H69" s="738"/>
      <c r="I69" s="738"/>
      <c r="J69" s="738"/>
      <c r="K69" s="738"/>
      <c r="L69" s="738"/>
      <c r="M69" s="738"/>
      <c r="N69" s="541"/>
      <c r="O69" s="684"/>
      <c r="P69" s="684"/>
      <c r="Q69" s="684"/>
      <c r="R69" s="541"/>
      <c r="S69" s="541"/>
    </row>
  </sheetData>
  <phoneticPr fontId="19" type="noConversion"/>
  <pageMargins left="0.75" right="0.75" top="1" bottom="1" header="0.5" footer="0.5"/>
  <pageSetup scale="59" orientation="portrait" horizontalDpi="300" verticalDpi="300" r:id="rId1"/>
  <headerFooter alignWithMargins="0">
    <oddHeader>&amp;C&amp;A&amp;R&amp;"Times New Roman,Bold"KyPSC Case No. 2017-00321
STAFF-DR-01-071 SFRs Attachment
Page &amp;P of &amp;N</oddHeader>
    <oddFooter>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FB4F9D769397A4B9CC6B02A2352A1B6" ma:contentTypeVersion="2" ma:contentTypeDescription="Create a new document." ma:contentTypeScope="" ma:versionID="32a6c64bc67fd6dc23ce6e169db15490">
  <xsd:schema xmlns:xsd="http://www.w3.org/2001/XMLSchema" xmlns:xs="http://www.w3.org/2001/XMLSchema" xmlns:p="http://schemas.microsoft.com/office/2006/metadata/properties" xmlns:ns2="ace8dc78-f72f-446e-be2b-b93d2c0549dc" targetNamespace="http://schemas.microsoft.com/office/2006/metadata/properties" ma:root="true" ma:fieldsID="2cc048f8f59d8d8f6098479745d20e00" ns2:_="">
    <xsd:import namespace="ace8dc78-f72f-446e-be2b-b93d2c0549dc"/>
    <xsd:element name="properties">
      <xsd:complexType>
        <xsd:sequence>
          <xsd:element name="documentManagement">
            <xsd:complexType>
              <xsd:all>
                <xsd:element ref="ns2:Witnes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e8dc78-f72f-446e-be2b-b93d2c0549dc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ace8dc78-f72f-446e-be2b-b93d2c0549dc">Lawler</Witness>
  </documentManagement>
</p:properties>
</file>

<file path=customXml/itemProps1.xml><?xml version="1.0" encoding="utf-8"?>
<ds:datastoreItem xmlns:ds="http://schemas.openxmlformats.org/officeDocument/2006/customXml" ds:itemID="{C2619F3C-9FA1-44E3-AC4F-4AD6A60995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e8dc78-f72f-446e-be2b-b93d2c0549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9D62E91-FF4D-4A6E-94C4-A0ED3A61148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8778367-5653-4AA6-9699-1E51B2BAF357}">
  <ds:schemaRefs>
    <ds:schemaRef ds:uri="http://schemas.microsoft.com/office/2006/documentManagement/types"/>
    <ds:schemaRef ds:uri="ace8dc78-f72f-446e-be2b-b93d2c0549dc"/>
    <ds:schemaRef ds:uri="http://purl.org/dc/dcmitype/"/>
    <ds:schemaRef ds:uri="http://schemas.microsoft.com/office/2006/metadata/properties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107</vt:i4>
      </vt:variant>
      <vt:variant>
        <vt:lpstr>Named Ranges</vt:lpstr>
      </vt:variant>
      <vt:variant>
        <vt:i4>491</vt:i4>
      </vt:variant>
    </vt:vector>
  </HeadingPairs>
  <TitlesOfParts>
    <vt:vector size="598" baseType="lpstr">
      <vt:lpstr>LOGO</vt:lpstr>
      <vt:lpstr>GOTO</vt:lpstr>
      <vt:lpstr>PRINT</vt:lpstr>
      <vt:lpstr>BASE PERIOD</vt:lpstr>
      <vt:lpstr>BP Actual Exp</vt:lpstr>
      <vt:lpstr>BP Rev by Product</vt:lpstr>
      <vt:lpstr>BP Actual Rev</vt:lpstr>
      <vt:lpstr>FORECASTED PERIOD</vt:lpstr>
      <vt:lpstr>FP Rev by Product</vt:lpstr>
      <vt:lpstr>ALLOCTABLE</vt:lpstr>
      <vt:lpstr>SCH_A</vt:lpstr>
      <vt:lpstr>Rate Base Ratios</vt:lpstr>
      <vt:lpstr>SCH_B1</vt:lpstr>
      <vt:lpstr>SCH B-2</vt:lpstr>
      <vt:lpstr>SCH B-2.1</vt:lpstr>
      <vt:lpstr>SCH B-2.2</vt:lpstr>
      <vt:lpstr>SCH B-2.3</vt:lpstr>
      <vt:lpstr>SCH B-2.4</vt:lpstr>
      <vt:lpstr>SCH B-2.5</vt:lpstr>
      <vt:lpstr>SCH B-2.6</vt:lpstr>
      <vt:lpstr>SCH B-2.7</vt:lpstr>
      <vt:lpstr>SCH B-3</vt:lpstr>
      <vt:lpstr>SCH B-3.1</vt:lpstr>
      <vt:lpstr>SCH B-3.2 - Proposed</vt:lpstr>
      <vt:lpstr>SCH B-4</vt:lpstr>
      <vt:lpstr>SCH_B5s</vt:lpstr>
      <vt:lpstr>WPB-5's</vt:lpstr>
      <vt:lpstr>SCH_B6</vt:lpstr>
      <vt:lpstr>WPB-6's</vt:lpstr>
      <vt:lpstr>SCH_B7s</vt:lpstr>
      <vt:lpstr>SCH_B8</vt:lpstr>
      <vt:lpstr>SCH_C1</vt:lpstr>
      <vt:lpstr>SCH_C2</vt:lpstr>
      <vt:lpstr>WPC_2</vt:lpstr>
      <vt:lpstr>WPC-2e - Adj Summary</vt:lpstr>
      <vt:lpstr>SCH_C2.1 - Base Period</vt:lpstr>
      <vt:lpstr>SCH_C2.1 - Forecasted Period</vt:lpstr>
      <vt:lpstr>SCH_D1</vt:lpstr>
      <vt:lpstr>SCH_D2.1</vt:lpstr>
      <vt:lpstr>SCH_D2.2</vt:lpstr>
      <vt:lpstr>SCH_D2.3</vt:lpstr>
      <vt:lpstr>SCH_D2.4</vt:lpstr>
      <vt:lpstr>SCH_D2.5</vt:lpstr>
      <vt:lpstr>SCH_D2.6</vt:lpstr>
      <vt:lpstr>SCH_D2.7</vt:lpstr>
      <vt:lpstr>SCH_D2.8</vt:lpstr>
      <vt:lpstr>SCH_D2.9</vt:lpstr>
      <vt:lpstr>SCH_D2.10</vt:lpstr>
      <vt:lpstr>SCH_D2.11</vt:lpstr>
      <vt:lpstr>SCH_D2.12</vt:lpstr>
      <vt:lpstr>SCH_D2.13</vt:lpstr>
      <vt:lpstr>SCH_D2.14</vt:lpstr>
      <vt:lpstr>SCH_D2.15</vt:lpstr>
      <vt:lpstr>SCH_D2.16</vt:lpstr>
      <vt:lpstr>SCH_D2.17</vt:lpstr>
      <vt:lpstr>SCH_D2.18</vt:lpstr>
      <vt:lpstr>SCH_D2.19</vt:lpstr>
      <vt:lpstr>SCH_D2.20</vt:lpstr>
      <vt:lpstr>SCH_D2.21</vt:lpstr>
      <vt:lpstr>SCH_D2.22</vt:lpstr>
      <vt:lpstr>SCH_D2.23</vt:lpstr>
      <vt:lpstr>SCH_D2.24</vt:lpstr>
      <vt:lpstr>SCH_D2.25</vt:lpstr>
      <vt:lpstr>SCH_D2.26</vt:lpstr>
      <vt:lpstr>SCH_D2.27</vt:lpstr>
      <vt:lpstr>SCH_D2.28</vt:lpstr>
      <vt:lpstr>SCH_D2.29</vt:lpstr>
      <vt:lpstr>SCH_D2.30</vt:lpstr>
      <vt:lpstr>SCH_D2.31</vt:lpstr>
      <vt:lpstr>SCH_D2.32</vt:lpstr>
      <vt:lpstr>SCH_D2.33</vt:lpstr>
      <vt:lpstr>SCH_D2.34</vt:lpstr>
      <vt:lpstr>SCH_D2.35</vt:lpstr>
      <vt:lpstr>SCH_D3</vt:lpstr>
      <vt:lpstr>SCH_D4</vt:lpstr>
      <vt:lpstr>SCH_D5</vt:lpstr>
      <vt:lpstr>SCH_E1</vt:lpstr>
      <vt:lpstr>SCH_E2</vt:lpstr>
      <vt:lpstr>SCH_F1</vt:lpstr>
      <vt:lpstr>SCH_F2.1</vt:lpstr>
      <vt:lpstr>SCH_F2.2</vt:lpstr>
      <vt:lpstr>SCH_F2.3</vt:lpstr>
      <vt:lpstr>SCH_F3</vt:lpstr>
      <vt:lpstr>SCH_F4</vt:lpstr>
      <vt:lpstr>SCH_F5</vt:lpstr>
      <vt:lpstr>SCH_F6</vt:lpstr>
      <vt:lpstr>SCH_F7</vt:lpstr>
      <vt:lpstr>SCH_G1</vt:lpstr>
      <vt:lpstr>SCH_G2</vt:lpstr>
      <vt:lpstr>SCH_G3</vt:lpstr>
      <vt:lpstr>SCH_H</vt:lpstr>
      <vt:lpstr>SCH_I1 - Total Co</vt:lpstr>
      <vt:lpstr>SCH_I1 - Elec Only</vt:lpstr>
      <vt:lpstr>SCH_I2.1</vt:lpstr>
      <vt:lpstr>Base Period Cust</vt:lpstr>
      <vt:lpstr>KWH Sales</vt:lpstr>
      <vt:lpstr>SCH_I3</vt:lpstr>
      <vt:lpstr>SCH_I4</vt:lpstr>
      <vt:lpstr>SCH_I5</vt:lpstr>
      <vt:lpstr>SCH_J1 - Base</vt:lpstr>
      <vt:lpstr>SCH_J1 - Forecast</vt:lpstr>
      <vt:lpstr>SCH_J2 - Base</vt:lpstr>
      <vt:lpstr>SCH_J2 - Forecast</vt:lpstr>
      <vt:lpstr>SCH_J3 - Base</vt:lpstr>
      <vt:lpstr>SCH_J3 - Forecast</vt:lpstr>
      <vt:lpstr>SCH_J4</vt:lpstr>
      <vt:lpstr>SCH K</vt:lpstr>
      <vt:lpstr>_WIT1</vt:lpstr>
      <vt:lpstr>_WIT10</vt:lpstr>
      <vt:lpstr>_Wit11</vt:lpstr>
      <vt:lpstr>_WIT2</vt:lpstr>
      <vt:lpstr>_WIT3</vt:lpstr>
      <vt:lpstr>_WIT4</vt:lpstr>
      <vt:lpstr>_WIT5</vt:lpstr>
      <vt:lpstr>_WIT6</vt:lpstr>
      <vt:lpstr>_WIT7</vt:lpstr>
      <vt:lpstr>_Wit8</vt:lpstr>
      <vt:lpstr>_WIT9</vt:lpstr>
      <vt:lpstr>AccountBP</vt:lpstr>
      <vt:lpstr>ACCT</vt:lpstr>
      <vt:lpstr>AcctTab1</vt:lpstr>
      <vt:lpstr>ACCTTABLE</vt:lpstr>
      <vt:lpstr>ALLOCTABLE</vt:lpstr>
      <vt:lpstr>AmountBP</vt:lpstr>
      <vt:lpstr>AmountFP</vt:lpstr>
      <vt:lpstr>APPORT</vt:lpstr>
      <vt:lpstr>Base_Period</vt:lpstr>
      <vt:lpstr>Base1</vt:lpstr>
      <vt:lpstr>Base10</vt:lpstr>
      <vt:lpstr>Base11</vt:lpstr>
      <vt:lpstr>Base12</vt:lpstr>
      <vt:lpstr>Base2</vt:lpstr>
      <vt:lpstr>Base3</vt:lpstr>
      <vt:lpstr>Base4</vt:lpstr>
      <vt:lpstr>Base5</vt:lpstr>
      <vt:lpstr>Base6</vt:lpstr>
      <vt:lpstr>Base7</vt:lpstr>
      <vt:lpstr>Base8</vt:lpstr>
      <vt:lpstr>Base9</vt:lpstr>
      <vt:lpstr>BaseFuelRate</vt:lpstr>
      <vt:lpstr>BasePeriod</vt:lpstr>
      <vt:lpstr>BPActRev1</vt:lpstr>
      <vt:lpstr>BPActRev2</vt:lpstr>
      <vt:lpstr>BPActRev3</vt:lpstr>
      <vt:lpstr>BPActRev4</vt:lpstr>
      <vt:lpstr>BPActRev5</vt:lpstr>
      <vt:lpstr>BPActRev6</vt:lpstr>
      <vt:lpstr>BPActRev7</vt:lpstr>
      <vt:lpstr>BPActRevAccount</vt:lpstr>
      <vt:lpstr>BPActRevProduct</vt:lpstr>
      <vt:lpstr>BPActual</vt:lpstr>
      <vt:lpstr>BPActualRev</vt:lpstr>
      <vt:lpstr>BPrev1</vt:lpstr>
      <vt:lpstr>BPrev10</vt:lpstr>
      <vt:lpstr>BPrev11</vt:lpstr>
      <vt:lpstr>BPrev12</vt:lpstr>
      <vt:lpstr>BPrev2</vt:lpstr>
      <vt:lpstr>BPrev3</vt:lpstr>
      <vt:lpstr>BPrev4</vt:lpstr>
      <vt:lpstr>BPrev5</vt:lpstr>
      <vt:lpstr>BPrev6</vt:lpstr>
      <vt:lpstr>BPrev7</vt:lpstr>
      <vt:lpstr>BPrev8</vt:lpstr>
      <vt:lpstr>BPrev9</vt:lpstr>
      <vt:lpstr>BPrevACCT</vt:lpstr>
      <vt:lpstr>BPREVPROD</vt:lpstr>
      <vt:lpstr>BPrevTotal</vt:lpstr>
      <vt:lpstr>BPTotal</vt:lpstr>
      <vt:lpstr>C_1_PROEXP</vt:lpstr>
      <vt:lpstr>CASE</vt:lpstr>
      <vt:lpstr>CheckTotal</vt:lpstr>
      <vt:lpstr>CODE</vt:lpstr>
      <vt:lpstr>CodeF</vt:lpstr>
      <vt:lpstr>CommonE</vt:lpstr>
      <vt:lpstr>COMPANY</vt:lpstr>
      <vt:lpstr>COMPTAX</vt:lpstr>
      <vt:lpstr>D_1_DEPR</vt:lpstr>
      <vt:lpstr>D_1_INTADJ</vt:lpstr>
      <vt:lpstr>D_1_OMEXP</vt:lpstr>
      <vt:lpstr>D_1_OTHER</vt:lpstr>
      <vt:lpstr>D_1_OTHTX</vt:lpstr>
      <vt:lpstr>D_1_REV</vt:lpstr>
      <vt:lpstr>Data</vt:lpstr>
      <vt:lpstr>DataB</vt:lpstr>
      <vt:lpstr>Database</vt:lpstr>
      <vt:lpstr>DataF</vt:lpstr>
      <vt:lpstr>DateCertain</vt:lpstr>
      <vt:lpstr>DEPT</vt:lpstr>
      <vt:lpstr>DUKE_ENERGY_KENTUCKY</vt:lpstr>
      <vt:lpstr>ERBR_BP</vt:lpstr>
      <vt:lpstr>ERBR_FP</vt:lpstr>
      <vt:lpstr>ExpGRCF</vt:lpstr>
      <vt:lpstr>FACrate</vt:lpstr>
      <vt:lpstr>FERCBP</vt:lpstr>
      <vt:lpstr>FERCFP</vt:lpstr>
      <vt:lpstr>FIT</vt:lpstr>
      <vt:lpstr>Forecast</vt:lpstr>
      <vt:lpstr>Forecast1</vt:lpstr>
      <vt:lpstr>Forecast10</vt:lpstr>
      <vt:lpstr>Forecast11</vt:lpstr>
      <vt:lpstr>Forecast12</vt:lpstr>
      <vt:lpstr>Forecast2</vt:lpstr>
      <vt:lpstr>Forecast3</vt:lpstr>
      <vt:lpstr>forecast4</vt:lpstr>
      <vt:lpstr>Forecast5</vt:lpstr>
      <vt:lpstr>Forecast6</vt:lpstr>
      <vt:lpstr>Forecast7</vt:lpstr>
      <vt:lpstr>Forecast8</vt:lpstr>
      <vt:lpstr>Forecast9</vt:lpstr>
      <vt:lpstr>FPERIOD</vt:lpstr>
      <vt:lpstr>FPrev1</vt:lpstr>
      <vt:lpstr>FPrev10</vt:lpstr>
      <vt:lpstr>FPrev11</vt:lpstr>
      <vt:lpstr>FPrev12</vt:lpstr>
      <vt:lpstr>FPrev2</vt:lpstr>
      <vt:lpstr>FPrev3</vt:lpstr>
      <vt:lpstr>FPrev4</vt:lpstr>
      <vt:lpstr>FPrev5</vt:lpstr>
      <vt:lpstr>FPrev6</vt:lpstr>
      <vt:lpstr>FPrev7</vt:lpstr>
      <vt:lpstr>FPrev8</vt:lpstr>
      <vt:lpstr>FPrev9</vt:lpstr>
      <vt:lpstr>FPrevAcct</vt:lpstr>
      <vt:lpstr>FPrevProd</vt:lpstr>
      <vt:lpstr>FPrevTotal</vt:lpstr>
      <vt:lpstr>FPunbilled</vt:lpstr>
      <vt:lpstr>GRBR_BP</vt:lpstr>
      <vt:lpstr>GRBR_FP</vt:lpstr>
      <vt:lpstr>GRCF</vt:lpstr>
      <vt:lpstr>GROSS_REVENUE_CONVERSION_FACTOR</vt:lpstr>
      <vt:lpstr>KPSC</vt:lpstr>
      <vt:lpstr>KPSCMaint</vt:lpstr>
      <vt:lpstr>MINCR</vt:lpstr>
      <vt:lpstr>'SCH_I1 - Elec Only'!NOTES</vt:lpstr>
      <vt:lpstr>PayrollWit</vt:lpstr>
      <vt:lpstr>PERIOD</vt:lpstr>
      <vt:lpstr>PeriodF</vt:lpstr>
      <vt:lpstr>PLANT_IN_SERVICE</vt:lpstr>
      <vt:lpstr>'SCH_I1 - Elec Only'!PRINT</vt:lpstr>
      <vt:lpstr>'BASE PERIOD'!Print_Area</vt:lpstr>
      <vt:lpstr>'FORECASTED PERIOD'!Print_Area</vt:lpstr>
      <vt:lpstr>PRINT!Print_Area</vt:lpstr>
      <vt:lpstr>'Rate Base Ratios'!Print_Area</vt:lpstr>
      <vt:lpstr>'SCH B-2'!Print_Area</vt:lpstr>
      <vt:lpstr>'SCH B-2.1'!Print_Area</vt:lpstr>
      <vt:lpstr>'SCH B-2.2'!Print_Area</vt:lpstr>
      <vt:lpstr>'SCH B-2.3'!Print_Area</vt:lpstr>
      <vt:lpstr>'SCH B-2.4'!Print_Area</vt:lpstr>
      <vt:lpstr>'SCH B-2.5'!Print_Area</vt:lpstr>
      <vt:lpstr>'SCH B-2.6'!Print_Area</vt:lpstr>
      <vt:lpstr>'SCH B-2.7'!Print_Area</vt:lpstr>
      <vt:lpstr>'SCH B-3'!Print_Area</vt:lpstr>
      <vt:lpstr>'SCH B-3.1'!Print_Area</vt:lpstr>
      <vt:lpstr>'SCH B-3.2 - Proposed'!Print_Area</vt:lpstr>
      <vt:lpstr>'SCH B-4'!Print_Area</vt:lpstr>
      <vt:lpstr>'SCH K'!Print_Area</vt:lpstr>
      <vt:lpstr>SCH_A!Print_Area</vt:lpstr>
      <vt:lpstr>SCH_B1!Print_Area</vt:lpstr>
      <vt:lpstr>SCH_B5s!Print_Area</vt:lpstr>
      <vt:lpstr>SCH_B6!Print_Area</vt:lpstr>
      <vt:lpstr>SCH_B7s!Print_Area</vt:lpstr>
      <vt:lpstr>SCH_B8!Print_Area</vt:lpstr>
      <vt:lpstr>SCH_C1!Print_Area</vt:lpstr>
      <vt:lpstr>SCH_C2!Print_Area</vt:lpstr>
      <vt:lpstr>'SCH_C2.1 - Base Period'!Print_Area</vt:lpstr>
      <vt:lpstr>'SCH_C2.1 - Forecasted Period'!Print_Area</vt:lpstr>
      <vt:lpstr>SCH_D1!Print_Area</vt:lpstr>
      <vt:lpstr>SCH_D2.1!Print_Area</vt:lpstr>
      <vt:lpstr>SCH_D2.10!Print_Area</vt:lpstr>
      <vt:lpstr>SCH_D2.11!Print_Area</vt:lpstr>
      <vt:lpstr>SCH_D2.12!Print_Area</vt:lpstr>
      <vt:lpstr>SCH_D2.13!Print_Area</vt:lpstr>
      <vt:lpstr>SCH_D2.14!Print_Area</vt:lpstr>
      <vt:lpstr>SCH_D2.15!Print_Area</vt:lpstr>
      <vt:lpstr>SCH_D2.16!Print_Area</vt:lpstr>
      <vt:lpstr>SCH_D2.17!Print_Area</vt:lpstr>
      <vt:lpstr>SCH_D2.18!Print_Area</vt:lpstr>
      <vt:lpstr>SCH_D2.19!Print_Area</vt:lpstr>
      <vt:lpstr>SCH_D2.2!Print_Area</vt:lpstr>
      <vt:lpstr>SCH_D2.20!Print_Area</vt:lpstr>
      <vt:lpstr>SCH_D2.21!Print_Area</vt:lpstr>
      <vt:lpstr>SCH_D2.22!Print_Area</vt:lpstr>
      <vt:lpstr>SCH_D2.23!Print_Area</vt:lpstr>
      <vt:lpstr>SCH_D2.24!Print_Area</vt:lpstr>
      <vt:lpstr>SCH_D2.25!Print_Area</vt:lpstr>
      <vt:lpstr>SCH_D2.26!Print_Area</vt:lpstr>
      <vt:lpstr>SCH_D2.27!Print_Area</vt:lpstr>
      <vt:lpstr>SCH_D2.28!Print_Area</vt:lpstr>
      <vt:lpstr>SCH_D2.29!Print_Area</vt:lpstr>
      <vt:lpstr>SCH_D2.3!Print_Area</vt:lpstr>
      <vt:lpstr>SCH_D2.30!Print_Area</vt:lpstr>
      <vt:lpstr>SCH_D2.31!Print_Area</vt:lpstr>
      <vt:lpstr>SCH_D2.32!Print_Area</vt:lpstr>
      <vt:lpstr>SCH_D2.33!Print_Area</vt:lpstr>
      <vt:lpstr>SCH_D2.34!Print_Area</vt:lpstr>
      <vt:lpstr>SCH_D2.35!Print_Area</vt:lpstr>
      <vt:lpstr>SCH_D2.4!Print_Area</vt:lpstr>
      <vt:lpstr>SCH_D2.5!Print_Area</vt:lpstr>
      <vt:lpstr>SCH_D2.6!Print_Area</vt:lpstr>
      <vt:lpstr>SCH_D2.7!Print_Area</vt:lpstr>
      <vt:lpstr>SCH_D2.8!Print_Area</vt:lpstr>
      <vt:lpstr>SCH_D2.9!Print_Area</vt:lpstr>
      <vt:lpstr>SCH_D3!Print_Area</vt:lpstr>
      <vt:lpstr>SCH_D4!Print_Area</vt:lpstr>
      <vt:lpstr>SCH_D5!Print_Area</vt:lpstr>
      <vt:lpstr>SCH_E1!Print_Area</vt:lpstr>
      <vt:lpstr>SCH_E2!Print_Area</vt:lpstr>
      <vt:lpstr>SCH_F1!Print_Area</vt:lpstr>
      <vt:lpstr>SCH_F2.1!Print_Area</vt:lpstr>
      <vt:lpstr>SCH_F2.2!Print_Area</vt:lpstr>
      <vt:lpstr>SCH_F2.3!Print_Area</vt:lpstr>
      <vt:lpstr>SCH_F3!Print_Area</vt:lpstr>
      <vt:lpstr>SCH_F4!Print_Area</vt:lpstr>
      <vt:lpstr>SCH_F5!Print_Area</vt:lpstr>
      <vt:lpstr>SCH_F6!Print_Area</vt:lpstr>
      <vt:lpstr>SCH_F7!Print_Area</vt:lpstr>
      <vt:lpstr>SCH_G1!Print_Area</vt:lpstr>
      <vt:lpstr>SCH_G2!Print_Area</vt:lpstr>
      <vt:lpstr>SCH_G3!Print_Area</vt:lpstr>
      <vt:lpstr>SCH_H!Print_Area</vt:lpstr>
      <vt:lpstr>'SCH_I1 - Elec Only'!Print_Area</vt:lpstr>
      <vt:lpstr>'SCH_I1 - Total Co'!Print_Area</vt:lpstr>
      <vt:lpstr>SCH_I2.1!Print_Area</vt:lpstr>
      <vt:lpstr>SCH_I3!Print_Area</vt:lpstr>
      <vt:lpstr>SCH_I4!Print_Area</vt:lpstr>
      <vt:lpstr>SCH_I5!Print_Area</vt:lpstr>
      <vt:lpstr>'SCH_J1 - Base'!Print_Area</vt:lpstr>
      <vt:lpstr>'SCH_J1 - Forecast'!Print_Area</vt:lpstr>
      <vt:lpstr>'SCH_J2 - Base'!Print_Area</vt:lpstr>
      <vt:lpstr>'SCH_J2 - Forecast'!Print_Area</vt:lpstr>
      <vt:lpstr>'SCH_J3 - Base'!Print_Area</vt:lpstr>
      <vt:lpstr>'SCH_J3 - Forecast'!Print_Area</vt:lpstr>
      <vt:lpstr>'WPB-5''s'!Print_Area</vt:lpstr>
      <vt:lpstr>'WPB-6''s'!Print_Area</vt:lpstr>
      <vt:lpstr>WPC_2!Print_Area</vt:lpstr>
      <vt:lpstr>'WPC-2e - Adj Summary'!Print_Area</vt:lpstr>
      <vt:lpstr>'BASE PERIOD'!Print_Titles</vt:lpstr>
      <vt:lpstr>'FORECASTED PERIOD'!Print_Titles</vt:lpstr>
      <vt:lpstr>RofR</vt:lpstr>
      <vt:lpstr>SCH_A</vt:lpstr>
      <vt:lpstr>SCH_B1</vt:lpstr>
      <vt:lpstr>SCH_B2.1P1</vt:lpstr>
      <vt:lpstr>SCH_B2.1P10</vt:lpstr>
      <vt:lpstr>SCH_B2.1P11</vt:lpstr>
      <vt:lpstr>SCH_B2.1P12</vt:lpstr>
      <vt:lpstr>SCH_B2.1P2</vt:lpstr>
      <vt:lpstr>SCH_B2.1P3</vt:lpstr>
      <vt:lpstr>SCH_B2.1P4</vt:lpstr>
      <vt:lpstr>SCH_B2.1P5</vt:lpstr>
      <vt:lpstr>SCH_B2.1P6</vt:lpstr>
      <vt:lpstr>SCH_B2.1P7</vt:lpstr>
      <vt:lpstr>SCH_B2.1P8</vt:lpstr>
      <vt:lpstr>SCH_B2.1P9</vt:lpstr>
      <vt:lpstr>SCH_B2.2P1</vt:lpstr>
      <vt:lpstr>SCH_B2.2P2</vt:lpstr>
      <vt:lpstr>SCH_B2.3P1</vt:lpstr>
      <vt:lpstr>SCH_B2.3P10</vt:lpstr>
      <vt:lpstr>SCH_B2.3P11</vt:lpstr>
      <vt:lpstr>SCH_B2.3P12</vt:lpstr>
      <vt:lpstr>SCH_B2.3P2</vt:lpstr>
      <vt:lpstr>SCH_B2.3P3</vt:lpstr>
      <vt:lpstr>SCH_B2.3P4</vt:lpstr>
      <vt:lpstr>SCH_B2.3P5</vt:lpstr>
      <vt:lpstr>SCH_B2.3P6</vt:lpstr>
      <vt:lpstr>SCH_B2.3P7</vt:lpstr>
      <vt:lpstr>SCH_B2.3P8</vt:lpstr>
      <vt:lpstr>SCH_B2.3P9</vt:lpstr>
      <vt:lpstr>SCH_B2.4P1</vt:lpstr>
      <vt:lpstr>SCH_B2.4P2</vt:lpstr>
      <vt:lpstr>SCH_B2.5P1</vt:lpstr>
      <vt:lpstr>SCH_B2.5P2</vt:lpstr>
      <vt:lpstr>SCH_B2.6P1</vt:lpstr>
      <vt:lpstr>SCH_B2.6P2</vt:lpstr>
      <vt:lpstr>SCH_B2.7P1</vt:lpstr>
      <vt:lpstr>SCH_B2.7P2</vt:lpstr>
      <vt:lpstr>SCH_B2P1</vt:lpstr>
      <vt:lpstr>SCH_B2P2</vt:lpstr>
      <vt:lpstr>SCH_B3.1P1</vt:lpstr>
      <vt:lpstr>SCH_B3.1P2</vt:lpstr>
      <vt:lpstr>SCH_B3.2P1</vt:lpstr>
      <vt:lpstr>SCH_B3.2P2</vt:lpstr>
      <vt:lpstr>SCH_B3.2P3</vt:lpstr>
      <vt:lpstr>SCH_B3.2P4</vt:lpstr>
      <vt:lpstr>SCH_B3.2P5</vt:lpstr>
      <vt:lpstr>SCH_B3.2P6</vt:lpstr>
      <vt:lpstr>SCH_B3P1</vt:lpstr>
      <vt:lpstr>SCH_B3P10</vt:lpstr>
      <vt:lpstr>SCH_B3P11</vt:lpstr>
      <vt:lpstr>SCH_B3P12</vt:lpstr>
      <vt:lpstr>SCH_B3P2</vt:lpstr>
      <vt:lpstr>SCH_B3P3</vt:lpstr>
      <vt:lpstr>SCH_B3P4</vt:lpstr>
      <vt:lpstr>SCH_B3P5</vt:lpstr>
      <vt:lpstr>SCH_B3P6</vt:lpstr>
      <vt:lpstr>SCH_B3P7</vt:lpstr>
      <vt:lpstr>SCH_B3P8</vt:lpstr>
      <vt:lpstr>SCH_B3P9</vt:lpstr>
      <vt:lpstr>SCH_B4P1</vt:lpstr>
      <vt:lpstr>SCH_B4P2</vt:lpstr>
      <vt:lpstr>SCH_B5</vt:lpstr>
      <vt:lpstr>SCH_B5.1</vt:lpstr>
      <vt:lpstr>SCH_B5.1P2</vt:lpstr>
      <vt:lpstr>SCH_B6P1</vt:lpstr>
      <vt:lpstr>SCH_B6P2</vt:lpstr>
      <vt:lpstr>SCH_B7.1</vt:lpstr>
      <vt:lpstr>SCH_B7.2</vt:lpstr>
      <vt:lpstr>SCH_B7P1</vt:lpstr>
      <vt:lpstr>SCH_B8P1</vt:lpstr>
      <vt:lpstr>SCH_B8P2</vt:lpstr>
      <vt:lpstr>SCH_C1</vt:lpstr>
      <vt:lpstr>SCH_C2</vt:lpstr>
      <vt:lpstr>SCH_C2.1FP1</vt:lpstr>
      <vt:lpstr>SCH_C2.1FP2</vt:lpstr>
      <vt:lpstr>SCH_C2.1FP3</vt:lpstr>
      <vt:lpstr>SCH_C2.1FP4</vt:lpstr>
      <vt:lpstr>SCH_C2.1FP5</vt:lpstr>
      <vt:lpstr>SCH_C2.1FP6</vt:lpstr>
      <vt:lpstr>SCH_C2.1FP7</vt:lpstr>
      <vt:lpstr>SCH_C2.1P1</vt:lpstr>
      <vt:lpstr>SCH_C2.1P2</vt:lpstr>
      <vt:lpstr>SCH_C2.1P3</vt:lpstr>
      <vt:lpstr>SCH_C2.1P4</vt:lpstr>
      <vt:lpstr>SCH_C2.1P5</vt:lpstr>
      <vt:lpstr>SCH_C2.1P6</vt:lpstr>
      <vt:lpstr>SCH_C2.1P7</vt:lpstr>
      <vt:lpstr>SCH_D1P1</vt:lpstr>
      <vt:lpstr>SCH_D1P2</vt:lpstr>
      <vt:lpstr>SCH_D1P3</vt:lpstr>
      <vt:lpstr>SCH_D1P4</vt:lpstr>
      <vt:lpstr>SCH_D1P5</vt:lpstr>
      <vt:lpstr>SCH_D1P6</vt:lpstr>
      <vt:lpstr>SCH_D1P7</vt:lpstr>
      <vt:lpstr>SCH_D1P8</vt:lpstr>
      <vt:lpstr>SCH_D1P9</vt:lpstr>
      <vt:lpstr>SCH_D2.1</vt:lpstr>
      <vt:lpstr>SCH_D2.10</vt:lpstr>
      <vt:lpstr>SCH_D2.11</vt:lpstr>
      <vt:lpstr>SCH_D2.12</vt:lpstr>
      <vt:lpstr>SCH_D2.13</vt:lpstr>
      <vt:lpstr>SCH_D2.14</vt:lpstr>
      <vt:lpstr>SCH_D2.15</vt:lpstr>
      <vt:lpstr>SCH_D2.16</vt:lpstr>
      <vt:lpstr>SCH_D2.17</vt:lpstr>
      <vt:lpstr>SCH_D2.18</vt:lpstr>
      <vt:lpstr>SCH_D2.19</vt:lpstr>
      <vt:lpstr>SCH_D2.19P2</vt:lpstr>
      <vt:lpstr>SCH_D2.2</vt:lpstr>
      <vt:lpstr>SCH_D2.20</vt:lpstr>
      <vt:lpstr>SCH_D2.21</vt:lpstr>
      <vt:lpstr>SCH_D2.22</vt:lpstr>
      <vt:lpstr>SCH_D2.23</vt:lpstr>
      <vt:lpstr>SCH_D2.24P1</vt:lpstr>
      <vt:lpstr>SCH_D2.25</vt:lpstr>
      <vt:lpstr>SCH_D2.26</vt:lpstr>
      <vt:lpstr>SCH_D2.27</vt:lpstr>
      <vt:lpstr>SCH_D2.28</vt:lpstr>
      <vt:lpstr>SCH_D2.29</vt:lpstr>
      <vt:lpstr>SCH_D2.3</vt:lpstr>
      <vt:lpstr>SCH_D2.30</vt:lpstr>
      <vt:lpstr>SCH_D2.31</vt:lpstr>
      <vt:lpstr>SCH_D2.32</vt:lpstr>
      <vt:lpstr>SCH_D2.33</vt:lpstr>
      <vt:lpstr>SCH_D2.34</vt:lpstr>
      <vt:lpstr>SCH_D2.35</vt:lpstr>
      <vt:lpstr>SCH_D2.4</vt:lpstr>
      <vt:lpstr>SCH_D2.5</vt:lpstr>
      <vt:lpstr>SCH_D2.6</vt:lpstr>
      <vt:lpstr>SCH_D2.7</vt:lpstr>
      <vt:lpstr>SCH_D2.8</vt:lpstr>
      <vt:lpstr>SCH_D2.9</vt:lpstr>
      <vt:lpstr>SCH_D3</vt:lpstr>
      <vt:lpstr>SCH_D4</vt:lpstr>
      <vt:lpstr>SCH_D5</vt:lpstr>
      <vt:lpstr>Sch_E1P1</vt:lpstr>
      <vt:lpstr>Sch_E1P2</vt:lpstr>
      <vt:lpstr>Sch_E1P3</vt:lpstr>
      <vt:lpstr>Sch_E2P1</vt:lpstr>
      <vt:lpstr>Sch_F1</vt:lpstr>
      <vt:lpstr>SCH_F2.1</vt:lpstr>
      <vt:lpstr>SCH_F2.2</vt:lpstr>
      <vt:lpstr>SCH_F2.3</vt:lpstr>
      <vt:lpstr>SCH_F3P1</vt:lpstr>
      <vt:lpstr>SCH_F4P1</vt:lpstr>
      <vt:lpstr>SCH_F4P2</vt:lpstr>
      <vt:lpstr>SCH_F5</vt:lpstr>
      <vt:lpstr>SCH_F5P2</vt:lpstr>
      <vt:lpstr>SCH_F6</vt:lpstr>
      <vt:lpstr>SCH_F7</vt:lpstr>
      <vt:lpstr>SCH_G1</vt:lpstr>
      <vt:lpstr>SCH_G2</vt:lpstr>
      <vt:lpstr>SCH_G3</vt:lpstr>
      <vt:lpstr>Sch_G3p2</vt:lpstr>
      <vt:lpstr>SCH_H</vt:lpstr>
      <vt:lpstr>SCH_H_FP</vt:lpstr>
      <vt:lpstr>SCH_I1_Elec</vt:lpstr>
      <vt:lpstr>SCH_I1_Total</vt:lpstr>
      <vt:lpstr>'Base Period Cust'!SCH_I2.1</vt:lpstr>
      <vt:lpstr>SCH_I2.1</vt:lpstr>
      <vt:lpstr>SCH_I3</vt:lpstr>
      <vt:lpstr>SCH_I4</vt:lpstr>
      <vt:lpstr>SCH_I5</vt:lpstr>
      <vt:lpstr>SCH_J1_Base</vt:lpstr>
      <vt:lpstr>SCH_J1_Forecast</vt:lpstr>
      <vt:lpstr>SCH_J2_Base</vt:lpstr>
      <vt:lpstr>SCH_J2_Forecast</vt:lpstr>
      <vt:lpstr>SCH_J3_Base</vt:lpstr>
      <vt:lpstr>SCH_J3_Forecast</vt:lpstr>
      <vt:lpstr>SCH_J4</vt:lpstr>
      <vt:lpstr>SCH_K1P1</vt:lpstr>
      <vt:lpstr>SCH_K1P2</vt:lpstr>
      <vt:lpstr>SCH_K1P3</vt:lpstr>
      <vt:lpstr>SCH_K1P4</vt:lpstr>
      <vt:lpstr>SCH_K1p5</vt:lpstr>
      <vt:lpstr>SIT</vt:lpstr>
      <vt:lpstr>TAXRECONTABLE</vt:lpstr>
      <vt:lpstr>Testyear</vt:lpstr>
      <vt:lpstr>TESTYR</vt:lpstr>
      <vt:lpstr>Type</vt:lpstr>
      <vt:lpstr>UncollExp</vt:lpstr>
      <vt:lpstr>UncollRatio</vt:lpstr>
      <vt:lpstr>WCD</vt:lpstr>
      <vt:lpstr>WORKING_CAPITAL</vt:lpstr>
      <vt:lpstr>WPA_1a</vt:lpstr>
      <vt:lpstr>WPA_1b</vt:lpstr>
      <vt:lpstr>WPA_1c</vt:lpstr>
      <vt:lpstr>WPA_1d</vt:lpstr>
      <vt:lpstr>WPB_5.1a</vt:lpstr>
      <vt:lpstr>WPB_5.1b</vt:lpstr>
      <vt:lpstr>WPB_5.1c</vt:lpstr>
      <vt:lpstr>WPB_5.1d</vt:lpstr>
      <vt:lpstr>WPB_5.1e</vt:lpstr>
      <vt:lpstr>WPB_5.1f</vt:lpstr>
      <vt:lpstr>WPB_5.1g</vt:lpstr>
      <vt:lpstr>WPB_5.1h</vt:lpstr>
      <vt:lpstr>WPB_5.1i</vt:lpstr>
      <vt:lpstr>WPB_5.1j</vt:lpstr>
      <vt:lpstr>WPB_6a</vt:lpstr>
      <vt:lpstr>WPB_6b</vt:lpstr>
      <vt:lpstr>WPB_6c</vt:lpstr>
      <vt:lpstr>WPB_6d</vt:lpstr>
      <vt:lpstr>WPB_6e</vt:lpstr>
      <vt:lpstr>WPC_1a</vt:lpstr>
      <vt:lpstr>WPC_2.1a_BP</vt:lpstr>
      <vt:lpstr>WPC_2.1a_FP</vt:lpstr>
      <vt:lpstr>WPC_2a</vt:lpstr>
      <vt:lpstr>WPC_2b</vt:lpstr>
      <vt:lpstr>WPC_2c</vt:lpstr>
      <vt:lpstr>WPC_2d</vt:lpstr>
      <vt:lpstr>WPC_2e</vt:lpstr>
      <vt:lpstr>WPD_2.10a</vt:lpstr>
      <vt:lpstr>WPD_2.11a</vt:lpstr>
      <vt:lpstr>WPD_2.12a</vt:lpstr>
      <vt:lpstr>WPD_2.13a</vt:lpstr>
      <vt:lpstr>WPD_2.14a</vt:lpstr>
      <vt:lpstr>WPD_2.15a</vt:lpstr>
      <vt:lpstr>WPD_2.16a</vt:lpstr>
      <vt:lpstr>WPD_2.17a</vt:lpstr>
      <vt:lpstr>WPD_2.18a</vt:lpstr>
      <vt:lpstr>WPD_2.19a</vt:lpstr>
      <vt:lpstr>WPD_2.1a</vt:lpstr>
      <vt:lpstr>WPD_2.1e</vt:lpstr>
      <vt:lpstr>WPD_2.20a</vt:lpstr>
      <vt:lpstr>WPD_2.21a</vt:lpstr>
      <vt:lpstr>WPD_2.21b</vt:lpstr>
      <vt:lpstr>WPD_2.22a</vt:lpstr>
      <vt:lpstr>WPD_2.23a</vt:lpstr>
      <vt:lpstr>WPD_2.24a</vt:lpstr>
      <vt:lpstr>WPD_2.26a</vt:lpstr>
      <vt:lpstr>WPD_2.27a</vt:lpstr>
      <vt:lpstr>WPD_2.28a</vt:lpstr>
      <vt:lpstr>WPD_2.28b</vt:lpstr>
      <vt:lpstr>WPD_2.29a</vt:lpstr>
      <vt:lpstr>WPD_2.2a</vt:lpstr>
      <vt:lpstr>WPD_2.2bAmount</vt:lpstr>
      <vt:lpstr>WPD_2.2bClass</vt:lpstr>
      <vt:lpstr>WPD_2.30a</vt:lpstr>
      <vt:lpstr>WPD_2.30b</vt:lpstr>
      <vt:lpstr>WPD_2.31a</vt:lpstr>
      <vt:lpstr>WPD_2.32a</vt:lpstr>
      <vt:lpstr>WPD_2.33a</vt:lpstr>
      <vt:lpstr>WPD_2.33b</vt:lpstr>
      <vt:lpstr>WPD_2.34a</vt:lpstr>
      <vt:lpstr>WPD_2.35a</vt:lpstr>
      <vt:lpstr>WPD_2.35b</vt:lpstr>
      <vt:lpstr>WPD_2.3a</vt:lpstr>
      <vt:lpstr>WPD_2.5a</vt:lpstr>
      <vt:lpstr>WPD_2.6a</vt:lpstr>
      <vt:lpstr>WPD_2.7a</vt:lpstr>
      <vt:lpstr>WPD_2.8a</vt:lpstr>
      <vt:lpstr>WPD_2.8b</vt:lpstr>
      <vt:lpstr>WPD_2.9a</vt:lpstr>
      <vt:lpstr>WPE_1a</vt:lpstr>
      <vt:lpstr>WPE_1b</vt:lpstr>
      <vt:lpstr>WPF_4a</vt:lpstr>
      <vt:lpstr>WPF_4b</vt:lpstr>
      <vt:lpstr>WPF_5a</vt:lpstr>
      <vt:lpstr>WPF_5b</vt:lpstr>
      <vt:lpstr>WPH_a</vt:lpstr>
    </vt:vector>
  </TitlesOfParts>
  <Company>Cinergy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Excel Version of Application</dc:subject>
  <dc:creator>Ted Czupik</dc:creator>
  <cp:lastModifiedBy>Gates, Debbie</cp:lastModifiedBy>
  <cp:lastPrinted>2017-09-14T21:49:05Z</cp:lastPrinted>
  <dcterms:created xsi:type="dcterms:W3CDTF">2004-07-23T13:25:20Z</dcterms:created>
  <dcterms:modified xsi:type="dcterms:W3CDTF">2017-09-15T21:58:11Z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0x010100EFB4F9D769397A4B9CC6B02A2352A1B6</vt:lpwstr>
  </property>
</Properties>
</file>